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omments7.xml" ContentType="application/vnd.openxmlformats-officedocument.spreadsheetml.comments+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xml" ContentType="application/vnd.openxmlformats-officedocument.themeOverrid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2.xml" ContentType="application/vnd.openxmlformats-officedocument.themeOverrid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theme/themeOverride3.xml" ContentType="application/vnd.openxmlformats-officedocument.themeOverride+xml"/>
  <Override PartName="/xl/drawings/drawing6.xml" ContentType="application/vnd.openxmlformats-officedocument.drawing+xml"/>
  <Override PartName="/xl/comments8.xml" ContentType="application/vnd.openxmlformats-officedocument.spreadsheetml.comments+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7.xml" ContentType="application/vnd.openxmlformats-officedocument.drawing+xml"/>
  <Override PartName="/xl/comments9.xml" ContentType="application/vnd.openxmlformats-officedocument.spreadsheetml.comments+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theme/themeOverride4.xml" ContentType="application/vnd.openxmlformats-officedocument.themeOverride+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8.xml" ContentType="application/vnd.openxmlformats-officedocument.drawing+xml"/>
  <Override PartName="/xl/comments10.xml" ContentType="application/vnd.openxmlformats-officedocument.spreadsheetml.comments+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style31.xml" ContentType="application/vnd.ms-office.chartstyle+xml"/>
  <Override PartName="/xl/charts/colors31.xml" ContentType="application/vnd.ms-office.chartcolorstyle+xml"/>
  <Override PartName="/xl/charts/chart41.xml" ContentType="application/vnd.openxmlformats-officedocument.drawingml.chart+xml"/>
  <Override PartName="/xl/charts/style32.xml" ContentType="application/vnd.ms-office.chartstyle+xml"/>
  <Override PartName="/xl/charts/colors32.xml" ContentType="application/vnd.ms-office.chartcolorstyle+xml"/>
  <Override PartName="/xl/charts/chart42.xml" ContentType="application/vnd.openxmlformats-officedocument.drawingml.chart+xml"/>
  <Override PartName="/xl/charts/style33.xml" ContentType="application/vnd.ms-office.chartstyle+xml"/>
  <Override PartName="/xl/charts/colors33.xml" ContentType="application/vnd.ms-office.chartcolorstyle+xml"/>
  <Override PartName="/xl/charts/chart43.xml" ContentType="application/vnd.openxmlformats-officedocument.drawingml.chart+xml"/>
  <Override PartName="/xl/charts/style34.xml" ContentType="application/vnd.ms-office.chartstyle+xml"/>
  <Override PartName="/xl/charts/colors34.xml" ContentType="application/vnd.ms-office.chartcolorstyle+xml"/>
  <Override PartName="/xl/charts/chart44.xml" ContentType="application/vnd.openxmlformats-officedocument.drawingml.chart+xml"/>
  <Override PartName="/xl/charts/style35.xml" ContentType="application/vnd.ms-office.chartstyle+xml"/>
  <Override PartName="/xl/charts/colors35.xml" ContentType="application/vnd.ms-office.chartcolorstyle+xml"/>
  <Override PartName="/xl/charts/chart45.xml" ContentType="application/vnd.openxmlformats-officedocument.drawingml.chart+xml"/>
  <Override PartName="/xl/charts/style36.xml" ContentType="application/vnd.ms-office.chartstyle+xml"/>
  <Override PartName="/xl/charts/colors36.xml" ContentType="application/vnd.ms-office.chartcolorstyle+xml"/>
  <Override PartName="/xl/charts/chart46.xml" ContentType="application/vnd.openxmlformats-officedocument.drawingml.chart+xml"/>
  <Override PartName="/xl/charts/style37.xml" ContentType="application/vnd.ms-office.chartstyle+xml"/>
  <Override PartName="/xl/charts/colors37.xml" ContentType="application/vnd.ms-office.chartcolorstyle+xml"/>
  <Override PartName="/xl/charts/chart47.xml" ContentType="application/vnd.openxmlformats-officedocument.drawingml.chart+xml"/>
  <Override PartName="/xl/charts/chart48.xml" ContentType="application/vnd.openxmlformats-officedocument.drawingml.chart+xml"/>
  <Override PartName="/xl/charts/style38.xml" ContentType="application/vnd.ms-office.chartstyle+xml"/>
  <Override PartName="/xl/charts/colors38.xml" ContentType="application/vnd.ms-office.chartcolorstyle+xml"/>
  <Override PartName="/xl/charts/chart49.xml" ContentType="application/vnd.openxmlformats-officedocument.drawingml.chart+xml"/>
  <Override PartName="/xl/charts/style39.xml" ContentType="application/vnd.ms-office.chartstyle+xml"/>
  <Override PartName="/xl/charts/colors39.xml" ContentType="application/vnd.ms-office.chartcolorstyle+xml"/>
  <Override PartName="/xl/charts/chart50.xml" ContentType="application/vnd.openxmlformats-officedocument.drawingml.chart+xml"/>
  <Override PartName="/xl/charts/style40.xml" ContentType="application/vnd.ms-office.chartstyle+xml"/>
  <Override PartName="/xl/charts/colors40.xml" ContentType="application/vnd.ms-office.chartcolorstyle+xml"/>
  <Override PartName="/xl/charts/chart51.xml" ContentType="application/vnd.openxmlformats-officedocument.drawingml.chart+xml"/>
  <Override PartName="/xl/charts/style41.xml" ContentType="application/vnd.ms-office.chartstyle+xml"/>
  <Override PartName="/xl/charts/colors41.xml" ContentType="application/vnd.ms-office.chartcolorstyle+xml"/>
  <Override PartName="/xl/charts/chart52.xml" ContentType="application/vnd.openxmlformats-officedocument.drawingml.chart+xml"/>
  <Override PartName="/xl/charts/style42.xml" ContentType="application/vnd.ms-office.chartstyle+xml"/>
  <Override PartName="/xl/charts/colors42.xml" ContentType="application/vnd.ms-office.chartcolorstyle+xml"/>
  <Override PartName="/xl/charts/chart53.xml" ContentType="application/vnd.openxmlformats-officedocument.drawingml.chart+xml"/>
  <Override PartName="/xl/charts/style43.xml" ContentType="application/vnd.ms-office.chartstyle+xml"/>
  <Override PartName="/xl/charts/colors43.xml" ContentType="application/vnd.ms-office.chartcolorstyle+xml"/>
  <Override PartName="/xl/charts/chart54.xml" ContentType="application/vnd.openxmlformats-officedocument.drawingml.chart+xml"/>
  <Override PartName="/xl/charts/style44.xml" ContentType="application/vnd.ms-office.chartstyle+xml"/>
  <Override PartName="/xl/charts/colors44.xml" ContentType="application/vnd.ms-office.chartcolorstyle+xml"/>
  <Override PartName="/xl/charts/chart55.xml" ContentType="application/vnd.openxmlformats-officedocument.drawingml.chart+xml"/>
  <Override PartName="/xl/charts/style45.xml" ContentType="application/vnd.ms-office.chartstyle+xml"/>
  <Override PartName="/xl/charts/colors45.xml" ContentType="application/vnd.ms-office.chartcolorstyle+xml"/>
  <Override PartName="/xl/charts/chart56.xml" ContentType="application/vnd.openxmlformats-officedocument.drawingml.chart+xml"/>
  <Override PartName="/xl/charts/style46.xml" ContentType="application/vnd.ms-office.chartstyle+xml"/>
  <Override PartName="/xl/charts/colors46.xml" ContentType="application/vnd.ms-office.chartcolorstyle+xml"/>
  <Override PartName="/xl/charts/chart57.xml" ContentType="application/vnd.openxmlformats-officedocument.drawingml.chart+xml"/>
  <Override PartName="/xl/charts/style47.xml" ContentType="application/vnd.ms-office.chartstyle+xml"/>
  <Override PartName="/xl/charts/colors47.xml" ContentType="application/vnd.ms-office.chartcolorstyle+xml"/>
  <Override PartName="/xl/charts/chart58.xml" ContentType="application/vnd.openxmlformats-officedocument.drawingml.chart+xml"/>
  <Override PartName="/xl/charts/style48.xml" ContentType="application/vnd.ms-office.chartstyle+xml"/>
  <Override PartName="/xl/charts/colors48.xml" ContentType="application/vnd.ms-office.chartcolorstyle+xml"/>
  <Override PartName="/xl/charts/chart59.xml" ContentType="application/vnd.openxmlformats-officedocument.drawingml.chart+xml"/>
  <Override PartName="/xl/charts/style49.xml" ContentType="application/vnd.ms-office.chartstyle+xml"/>
  <Override PartName="/xl/charts/colors49.xml" ContentType="application/vnd.ms-office.chartcolorstyle+xml"/>
  <Override PartName="/xl/charts/chart60.xml" ContentType="application/vnd.openxmlformats-officedocument.drawingml.chart+xml"/>
  <Override PartName="/xl/charts/style50.xml" ContentType="application/vnd.ms-office.chartstyle+xml"/>
  <Override PartName="/xl/charts/colors50.xml" ContentType="application/vnd.ms-office.chartcolorstyle+xml"/>
  <Override PartName="/xl/charts/chart61.xml" ContentType="application/vnd.openxmlformats-officedocument.drawingml.chart+xml"/>
  <Override PartName="/xl/charts/style51.xml" ContentType="application/vnd.ms-office.chartstyle+xml"/>
  <Override PartName="/xl/charts/colors51.xml" ContentType="application/vnd.ms-office.chartcolorstyle+xml"/>
  <Override PartName="/xl/charts/chart62.xml" ContentType="application/vnd.openxmlformats-officedocument.drawingml.chart+xml"/>
  <Override PartName="/xl/charts/style52.xml" ContentType="application/vnd.ms-office.chartstyle+xml"/>
  <Override PartName="/xl/charts/colors52.xml" ContentType="application/vnd.ms-office.chartcolorstyle+xml"/>
  <Override PartName="/xl/charts/chart63.xml" ContentType="application/vnd.openxmlformats-officedocument.drawingml.chart+xml"/>
  <Override PartName="/xl/charts/style53.xml" ContentType="application/vnd.ms-office.chartstyle+xml"/>
  <Override PartName="/xl/charts/colors53.xml" ContentType="application/vnd.ms-office.chartcolorstyle+xml"/>
  <Override PartName="/xl/charts/chart64.xml" ContentType="application/vnd.openxmlformats-officedocument.drawingml.chart+xml"/>
  <Override PartName="/xl/charts/style54.xml" ContentType="application/vnd.ms-office.chartstyle+xml"/>
  <Override PartName="/xl/charts/colors54.xml" ContentType="application/vnd.ms-office.chartcolorstyle+xml"/>
  <Override PartName="/xl/charts/chart65.xml" ContentType="application/vnd.openxmlformats-officedocument.drawingml.chart+xml"/>
  <Override PartName="/xl/charts/style55.xml" ContentType="application/vnd.ms-office.chartstyle+xml"/>
  <Override PartName="/xl/charts/colors55.xml" ContentType="application/vnd.ms-office.chartcolorstyle+xml"/>
  <Override PartName="/xl/charts/chart66.xml" ContentType="application/vnd.openxmlformats-officedocument.drawingml.chart+xml"/>
  <Override PartName="/xl/charts/style56.xml" ContentType="application/vnd.ms-office.chartstyle+xml"/>
  <Override PartName="/xl/charts/colors56.xml" ContentType="application/vnd.ms-office.chartcolorstyle+xml"/>
  <Override PartName="/xl/charts/chart67.xml" ContentType="application/vnd.openxmlformats-officedocument.drawingml.chart+xml"/>
  <Override PartName="/xl/charts/style57.xml" ContentType="application/vnd.ms-office.chartstyle+xml"/>
  <Override PartName="/xl/charts/colors57.xml" ContentType="application/vnd.ms-office.chartcolorstyle+xml"/>
  <Override PartName="/xl/charts/chart68.xml" ContentType="application/vnd.openxmlformats-officedocument.drawingml.chart+xml"/>
  <Override PartName="/xl/charts/style58.xml" ContentType="application/vnd.ms-office.chartstyle+xml"/>
  <Override PartName="/xl/charts/colors58.xml" ContentType="application/vnd.ms-office.chartcolorstyle+xml"/>
  <Override PartName="/xl/charts/chart69.xml" ContentType="application/vnd.openxmlformats-officedocument.drawingml.chart+xml"/>
  <Override PartName="/xl/charts/style59.xml" ContentType="application/vnd.ms-office.chartstyle+xml"/>
  <Override PartName="/xl/charts/colors59.xml" ContentType="application/vnd.ms-office.chartcolorstyle+xml"/>
  <Override PartName="/xl/charts/chart70.xml" ContentType="application/vnd.openxmlformats-officedocument.drawingml.chart+xml"/>
  <Override PartName="/xl/charts/style60.xml" ContentType="application/vnd.ms-office.chartstyle+xml"/>
  <Override PartName="/xl/charts/colors60.xml" ContentType="application/vnd.ms-office.chartcolorstyle+xml"/>
  <Override PartName="/xl/charts/chart71.xml" ContentType="application/vnd.openxmlformats-officedocument.drawingml.chart+xml"/>
  <Override PartName="/xl/charts/style61.xml" ContentType="application/vnd.ms-office.chartstyle+xml"/>
  <Override PartName="/xl/charts/colors61.xml" ContentType="application/vnd.ms-office.chartcolorstyle+xml"/>
  <Override PartName="/xl/charts/chart72.xml" ContentType="application/vnd.openxmlformats-officedocument.drawingml.chart+xml"/>
  <Override PartName="/xl/charts/style62.xml" ContentType="application/vnd.ms-office.chartstyle+xml"/>
  <Override PartName="/xl/charts/colors62.xml" ContentType="application/vnd.ms-office.chartcolorstyle+xml"/>
  <Override PartName="/xl/charts/chart73.xml" ContentType="application/vnd.openxmlformats-officedocument.drawingml.chart+xml"/>
  <Override PartName="/xl/charts/style63.xml" ContentType="application/vnd.ms-office.chartstyle+xml"/>
  <Override PartName="/xl/charts/colors63.xml" ContentType="application/vnd.ms-office.chartcolorstyle+xml"/>
  <Override PartName="/xl/charts/chart74.xml" ContentType="application/vnd.openxmlformats-officedocument.drawingml.chart+xml"/>
  <Override PartName="/xl/charts/style64.xml" ContentType="application/vnd.ms-office.chartstyle+xml"/>
  <Override PartName="/xl/charts/colors64.xml" ContentType="application/vnd.ms-office.chartcolorstyle+xml"/>
  <Override PartName="/xl/charts/chart75.xml" ContentType="application/vnd.openxmlformats-officedocument.drawingml.chart+xml"/>
  <Override PartName="/xl/charts/style65.xml" ContentType="application/vnd.ms-office.chartstyle+xml"/>
  <Override PartName="/xl/charts/colors65.xml" ContentType="application/vnd.ms-office.chartcolorstyle+xml"/>
  <Override PartName="/xl/charts/chart76.xml" ContentType="application/vnd.openxmlformats-officedocument.drawingml.chart+xml"/>
  <Override PartName="/xl/charts/style66.xml" ContentType="application/vnd.ms-office.chartstyle+xml"/>
  <Override PartName="/xl/charts/colors66.xml" ContentType="application/vnd.ms-office.chartcolorstyle+xml"/>
  <Override PartName="/xl/charts/chart77.xml" ContentType="application/vnd.openxmlformats-officedocument.drawingml.chart+xml"/>
  <Override PartName="/xl/charts/style67.xml" ContentType="application/vnd.ms-office.chartstyle+xml"/>
  <Override PartName="/xl/charts/colors67.xml" ContentType="application/vnd.ms-office.chartcolorstyle+xml"/>
  <Override PartName="/xl/charts/chart78.xml" ContentType="application/vnd.openxmlformats-officedocument.drawingml.chart+xml"/>
  <Override PartName="/xl/charts/style68.xml" ContentType="application/vnd.ms-office.chartstyle+xml"/>
  <Override PartName="/xl/charts/colors68.xml" ContentType="application/vnd.ms-office.chartcolorstyle+xml"/>
  <Override PartName="/xl/charts/chart79.xml" ContentType="application/vnd.openxmlformats-officedocument.drawingml.chart+xml"/>
  <Override PartName="/xl/charts/style69.xml" ContentType="application/vnd.ms-office.chartstyle+xml"/>
  <Override PartName="/xl/charts/colors69.xml" ContentType="application/vnd.ms-office.chartcolorstyle+xml"/>
  <Override PartName="/xl/charts/chart80.xml" ContentType="application/vnd.openxmlformats-officedocument.drawingml.chart+xml"/>
  <Override PartName="/xl/charts/style70.xml" ContentType="application/vnd.ms-office.chartstyle+xml"/>
  <Override PartName="/xl/charts/colors70.xml" ContentType="application/vnd.ms-office.chartcolorstyle+xml"/>
  <Override PartName="/xl/charts/chart81.xml" ContentType="application/vnd.openxmlformats-officedocument.drawingml.chart+xml"/>
  <Override PartName="/xl/charts/style71.xml" ContentType="application/vnd.ms-office.chartstyle+xml"/>
  <Override PartName="/xl/charts/colors71.xml" ContentType="application/vnd.ms-office.chartcolorstyle+xml"/>
  <Override PartName="/xl/charts/chart82.xml" ContentType="application/vnd.openxmlformats-officedocument.drawingml.chart+xml"/>
  <Override PartName="/xl/charts/style72.xml" ContentType="application/vnd.ms-office.chartstyle+xml"/>
  <Override PartName="/xl/charts/colors72.xml" ContentType="application/vnd.ms-office.chartcolorstyle+xml"/>
  <Override PartName="/xl/charts/chart83.xml" ContentType="application/vnd.openxmlformats-officedocument.drawingml.chart+xml"/>
  <Override PartName="/xl/charts/style73.xml" ContentType="application/vnd.ms-office.chartstyle+xml"/>
  <Override PartName="/xl/charts/colors73.xml" ContentType="application/vnd.ms-office.chartcolorstyle+xml"/>
  <Override PartName="/xl/charts/chart84.xml" ContentType="application/vnd.openxmlformats-officedocument.drawingml.chart+xml"/>
  <Override PartName="/xl/charts/style74.xml" ContentType="application/vnd.ms-office.chartstyle+xml"/>
  <Override PartName="/xl/charts/colors74.xml" ContentType="application/vnd.ms-office.chartcolorstyle+xml"/>
  <Override PartName="/xl/charts/chart85.xml" ContentType="application/vnd.openxmlformats-officedocument.drawingml.chart+xml"/>
  <Override PartName="/xl/charts/style75.xml" ContentType="application/vnd.ms-office.chartstyle+xml"/>
  <Override PartName="/xl/charts/colors75.xml" ContentType="application/vnd.ms-office.chartcolorstyle+xml"/>
  <Override PartName="/xl/charts/chart86.xml" ContentType="application/vnd.openxmlformats-officedocument.drawingml.chart+xml"/>
  <Override PartName="/xl/charts/style76.xml" ContentType="application/vnd.ms-office.chartstyle+xml"/>
  <Override PartName="/xl/charts/colors76.xml" ContentType="application/vnd.ms-office.chartcolorstyle+xml"/>
  <Override PartName="/xl/charts/chart87.xml" ContentType="application/vnd.openxmlformats-officedocument.drawingml.chart+xml"/>
  <Override PartName="/xl/charts/style77.xml" ContentType="application/vnd.ms-office.chartstyle+xml"/>
  <Override PartName="/xl/charts/colors77.xml" ContentType="application/vnd.ms-office.chartcolorstyle+xml"/>
  <Override PartName="/xl/charts/chart88.xml" ContentType="application/vnd.openxmlformats-officedocument.drawingml.chart+xml"/>
  <Override PartName="/xl/charts/style78.xml" ContentType="application/vnd.ms-office.chartstyle+xml"/>
  <Override PartName="/xl/charts/colors78.xml" ContentType="application/vnd.ms-office.chartcolorstyle+xml"/>
  <Override PartName="/xl/charts/chart89.xml" ContentType="application/vnd.openxmlformats-officedocument.drawingml.chart+xml"/>
  <Override PartName="/xl/charts/style79.xml" ContentType="application/vnd.ms-office.chartstyle+xml"/>
  <Override PartName="/xl/charts/colors79.xml" ContentType="application/vnd.ms-office.chartcolorstyle+xml"/>
  <Override PartName="/xl/charts/chart90.xml" ContentType="application/vnd.openxmlformats-officedocument.drawingml.chart+xml"/>
  <Override PartName="/xl/charts/style80.xml" ContentType="application/vnd.ms-office.chartstyle+xml"/>
  <Override PartName="/xl/charts/colors80.xml" ContentType="application/vnd.ms-office.chartcolorstyle+xml"/>
  <Override PartName="/xl/charts/chart91.xml" ContentType="application/vnd.openxmlformats-officedocument.drawingml.chart+xml"/>
  <Override PartName="/xl/charts/style81.xml" ContentType="application/vnd.ms-office.chartstyle+xml"/>
  <Override PartName="/xl/charts/colors81.xml" ContentType="application/vnd.ms-office.chartcolorstyle+xml"/>
  <Override PartName="/xl/charts/chart92.xml" ContentType="application/vnd.openxmlformats-officedocument.drawingml.chart+xml"/>
  <Override PartName="/xl/charts/style82.xml" ContentType="application/vnd.ms-office.chartstyle+xml"/>
  <Override PartName="/xl/charts/colors82.xml" ContentType="application/vnd.ms-office.chartcolorstyle+xml"/>
  <Override PartName="/xl/charts/chart93.xml" ContentType="application/vnd.openxmlformats-officedocument.drawingml.chart+xml"/>
  <Override PartName="/xl/charts/style83.xml" ContentType="application/vnd.ms-office.chartstyle+xml"/>
  <Override PartName="/xl/charts/colors83.xml" ContentType="application/vnd.ms-office.chartcolorstyle+xml"/>
  <Override PartName="/xl/charts/chart94.xml" ContentType="application/vnd.openxmlformats-officedocument.drawingml.chart+xml"/>
  <Override PartName="/xl/charts/style84.xml" ContentType="application/vnd.ms-office.chartstyle+xml"/>
  <Override PartName="/xl/charts/colors84.xml" ContentType="application/vnd.ms-office.chartcolorstyle+xml"/>
  <Override PartName="/xl/charts/chart95.xml" ContentType="application/vnd.openxmlformats-officedocument.drawingml.chart+xml"/>
  <Override PartName="/xl/charts/style85.xml" ContentType="application/vnd.ms-office.chartstyle+xml"/>
  <Override PartName="/xl/charts/colors85.xml" ContentType="application/vnd.ms-office.chartcolorstyle+xml"/>
  <Override PartName="/xl/charts/chart96.xml" ContentType="application/vnd.openxmlformats-officedocument.drawingml.chart+xml"/>
  <Override PartName="/xl/charts/style86.xml" ContentType="application/vnd.ms-office.chartstyle+xml"/>
  <Override PartName="/xl/charts/colors86.xml" ContentType="application/vnd.ms-office.chartcolorstyle+xml"/>
  <Override PartName="/xl/charts/chart97.xml" ContentType="application/vnd.openxmlformats-officedocument.drawingml.chart+xml"/>
  <Override PartName="/xl/charts/style87.xml" ContentType="application/vnd.ms-office.chartstyle+xml"/>
  <Override PartName="/xl/charts/colors87.xml" ContentType="application/vnd.ms-office.chartcolorstyle+xml"/>
  <Override PartName="/xl/charts/chart98.xml" ContentType="application/vnd.openxmlformats-officedocument.drawingml.chart+xml"/>
  <Override PartName="/xl/charts/style88.xml" ContentType="application/vnd.ms-office.chartstyle+xml"/>
  <Override PartName="/xl/charts/colors88.xml" ContentType="application/vnd.ms-office.chartcolorstyle+xml"/>
  <Override PartName="/xl/charts/chart99.xml" ContentType="application/vnd.openxmlformats-officedocument.drawingml.chart+xml"/>
  <Override PartName="/xl/charts/style89.xml" ContentType="application/vnd.ms-office.chartstyle+xml"/>
  <Override PartName="/xl/charts/colors89.xml" ContentType="application/vnd.ms-office.chartcolorstyle+xml"/>
  <Override PartName="/xl/charts/chart100.xml" ContentType="application/vnd.openxmlformats-officedocument.drawingml.chart+xml"/>
  <Override PartName="/xl/charts/style90.xml" ContentType="application/vnd.ms-office.chartstyle+xml"/>
  <Override PartName="/xl/charts/colors90.xml" ContentType="application/vnd.ms-office.chartcolorstyle+xml"/>
  <Override PartName="/xl/charts/chart101.xml" ContentType="application/vnd.openxmlformats-officedocument.drawingml.chart+xml"/>
  <Override PartName="/xl/charts/style91.xml" ContentType="application/vnd.ms-office.chartstyle+xml"/>
  <Override PartName="/xl/charts/colors91.xml" ContentType="application/vnd.ms-office.chartcolorstyle+xml"/>
  <Override PartName="/xl/theme/themeOverride5.xml" ContentType="application/vnd.openxmlformats-officedocument.themeOverride+xml"/>
  <Override PartName="/xl/charts/chart102.xml" ContentType="application/vnd.openxmlformats-officedocument.drawingml.chart+xml"/>
  <Override PartName="/xl/charts/style92.xml" ContentType="application/vnd.ms-office.chartstyle+xml"/>
  <Override PartName="/xl/charts/colors92.xml" ContentType="application/vnd.ms-office.chartcolorstyle+xml"/>
  <Override PartName="/xl/theme/themeOverride6.xml" ContentType="application/vnd.openxmlformats-officedocument.themeOverride+xml"/>
  <Override PartName="/xl/charts/chart103.xml" ContentType="application/vnd.openxmlformats-officedocument.drawingml.chart+xml"/>
  <Override PartName="/xl/charts/style93.xml" ContentType="application/vnd.ms-office.chartstyle+xml"/>
  <Override PartName="/xl/charts/colors93.xml" ContentType="application/vnd.ms-office.chartcolorstyle+xml"/>
  <Override PartName="/xl/theme/themeOverride7.xml" ContentType="application/vnd.openxmlformats-officedocument.themeOverride+xml"/>
  <Override PartName="/xl/charts/chart104.xml" ContentType="application/vnd.openxmlformats-officedocument.drawingml.chart+xml"/>
  <Override PartName="/xl/charts/style94.xml" ContentType="application/vnd.ms-office.chartstyle+xml"/>
  <Override PartName="/xl/charts/colors94.xml" ContentType="application/vnd.ms-office.chartcolorstyle+xml"/>
  <Override PartName="/xl/theme/themeOverride8.xml" ContentType="application/vnd.openxmlformats-officedocument.themeOverride+xml"/>
  <Override PartName="/xl/charts/chart105.xml" ContentType="application/vnd.openxmlformats-officedocument.drawingml.chart+xml"/>
  <Override PartName="/xl/charts/style95.xml" ContentType="application/vnd.ms-office.chartstyle+xml"/>
  <Override PartName="/xl/charts/colors95.xml" ContentType="application/vnd.ms-office.chartcolorstyle+xml"/>
  <Override PartName="/xl/theme/themeOverride9.xml" ContentType="application/vnd.openxmlformats-officedocument.themeOverride+xml"/>
  <Override PartName="/xl/drawings/drawing9.xml" ContentType="application/vnd.openxmlformats-officedocument.drawing+xml"/>
  <Override PartName="/xl/comments11.xml" ContentType="application/vnd.openxmlformats-officedocument.spreadsheetml.comments+xml"/>
  <Override PartName="/xl/charts/chart106.xml" ContentType="application/vnd.openxmlformats-officedocument.drawingml.chart+xml"/>
  <Override PartName="/xl/charts/chart107.xml" ContentType="application/vnd.openxmlformats-officedocument.drawingml.chart+xml"/>
  <Override PartName="/xl/charts/style96.xml" ContentType="application/vnd.ms-office.chartstyle+xml"/>
  <Override PartName="/xl/charts/colors96.xml" ContentType="application/vnd.ms-office.chartcolorstyle+xml"/>
  <Override PartName="/xl/drawings/drawing10.xml" ContentType="application/vnd.openxmlformats-officedocument.drawing+xml"/>
  <Override PartName="/xl/comments12.xml" ContentType="application/vnd.openxmlformats-officedocument.spreadsheetml.comments+xml"/>
  <Override PartName="/xl/charts/chart108.xml" ContentType="application/vnd.openxmlformats-officedocument.drawingml.chart+xml"/>
  <Override PartName="/xl/charts/chart109.xml" ContentType="application/vnd.openxmlformats-officedocument.drawingml.chart+xml"/>
  <Override PartName="/xl/charts/style97.xml" ContentType="application/vnd.ms-office.chartstyle+xml"/>
  <Override PartName="/xl/charts/colors97.xml" ContentType="application/vnd.ms-office.chartcolorstyle+xml"/>
  <Override PartName="/xl/charts/chart110.xml" ContentType="application/vnd.openxmlformats-officedocument.drawingml.chart+xml"/>
  <Override PartName="/xl/charts/style98.xml" ContentType="application/vnd.ms-office.chartstyle+xml"/>
  <Override PartName="/xl/charts/colors98.xml" ContentType="application/vnd.ms-office.chartcolorstyle+xml"/>
  <Override PartName="/xl/comments13.xml" ContentType="application/vnd.openxmlformats-officedocument.spreadsheetml.comments+xml"/>
  <Override PartName="/xl/comments14.xml" ContentType="application/vnd.openxmlformats-officedocument.spreadsheetml.comments+xml"/>
  <Override PartName="/xl/drawings/drawing11.xml" ContentType="application/vnd.openxmlformats-officedocument.drawing+xml"/>
  <Override PartName="/xl/comments15.xml" ContentType="application/vnd.openxmlformats-officedocument.spreadsheetml.comments+xml"/>
  <Override PartName="/xl/charts/chart111.xml" ContentType="application/vnd.openxmlformats-officedocument.drawingml.chart+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charts/chart115.xml" ContentType="application/vnd.openxmlformats-officedocument.drawingml.chart+xml"/>
  <Override PartName="/xl/charts/chart116.xml" ContentType="application/vnd.openxmlformats-officedocument.drawingml.chart+xml"/>
  <Override PartName="/xl/charts/chart117.xml" ContentType="application/vnd.openxmlformats-officedocument.drawingml.chart+xml"/>
  <Override PartName="/xl/charts/style99.xml" ContentType="application/vnd.ms-office.chartstyle+xml"/>
  <Override PartName="/xl/charts/colors99.xml" ContentType="application/vnd.ms-office.chartcolorstyle+xml"/>
  <Override PartName="/xl/charts/chart118.xml" ContentType="application/vnd.openxmlformats-officedocument.drawingml.chart+xml"/>
  <Override PartName="/xl/charts/style100.xml" ContentType="application/vnd.ms-office.chartstyle+xml"/>
  <Override PartName="/xl/charts/colors100.xml" ContentType="application/vnd.ms-office.chartcolorstyle+xml"/>
  <Override PartName="/xl/charts/chart119.xml" ContentType="application/vnd.openxmlformats-officedocument.drawingml.chart+xml"/>
  <Override PartName="/xl/charts/style101.xml" ContentType="application/vnd.ms-office.chartstyle+xml"/>
  <Override PartName="/xl/charts/colors101.xml" ContentType="application/vnd.ms-office.chartcolorstyle+xml"/>
  <Override PartName="/xl/charts/chart120.xml" ContentType="application/vnd.openxmlformats-officedocument.drawingml.chart+xml"/>
  <Override PartName="/xl/charts/style102.xml" ContentType="application/vnd.ms-office.chartstyle+xml"/>
  <Override PartName="/xl/charts/colors102.xml" ContentType="application/vnd.ms-office.chartcolorstyle+xml"/>
  <Override PartName="/xl/charts/chart121.xml" ContentType="application/vnd.openxmlformats-officedocument.drawingml.chart+xml"/>
  <Override PartName="/xl/charts/style103.xml" ContentType="application/vnd.ms-office.chartstyle+xml"/>
  <Override PartName="/xl/charts/colors10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David\Desktop\New folder\"/>
    </mc:Choice>
  </mc:AlternateContent>
  <xr:revisionPtr revIDLastSave="0" documentId="13_ncr:1_{AC9B572A-DA3A-457D-A274-6D66DF081DAB}" xr6:coauthVersionLast="47" xr6:coauthVersionMax="47" xr10:uidLastSave="{00000000-0000-0000-0000-000000000000}"/>
  <bookViews>
    <workbookView xWindow="15930" yWindow="3120" windowWidth="27375" windowHeight="24270" tabRatio="769" xr2:uid="{00000000-000D-0000-FFFF-FFFF00000000}"/>
  </bookViews>
  <sheets>
    <sheet name="Cover" sheetId="24" r:id="rId1"/>
    <sheet name="Summary I" sheetId="26" r:id="rId2"/>
    <sheet name="SOP" sheetId="9" r:id="rId3"/>
    <sheet name="Valuation" sheetId="7" r:id="rId4"/>
    <sheet name="Master" sheetId="1" r:id="rId5"/>
    <sheet name="Cable" sheetId="10" r:id="rId6"/>
    <sheet name="SKY Mex" sheetId="13" r:id="rId7"/>
    <sheet name="Mobile" sheetId="21" r:id="rId8"/>
    <sheet name="Interims" sheetId="5" r:id="rId9"/>
    <sheet name="HY" sheetId="30" r:id="rId10"/>
    <sheet name="Earnings Snaps" sheetId="28" r:id="rId11"/>
    <sheet name="VOD" sheetId="25" r:id="rId12"/>
    <sheet name="VOD-quarts" sheetId="27" r:id="rId13"/>
    <sheet name="Analysis" sheetId="16" r:id="rId14"/>
    <sheet name="Consensus" sheetId="29" r:id="rId15"/>
    <sheet name="Anna" sheetId="18" r:id="rId16"/>
    <sheet name="Content" sheetId="14" r:id="rId17"/>
    <sheet name="Notes" sheetId="3" r:id="rId18"/>
    <sheet name="Questions" sheetId="8" r:id="rId19"/>
    <sheet name="Pricing comps" sheetId="17" r:id="rId20"/>
    <sheet name="Iusacell" sheetId="11" r:id="rId21"/>
    <sheet name="Univision" sheetId="12" r:id="rId22"/>
    <sheet name="JER" sheetId="20" r:id="rId23"/>
    <sheet name="SEGMENTOS" sheetId="4" r:id="rId24"/>
    <sheet name="Shares" sheetId="2" r:id="rId25"/>
    <sheet name="export to DTV" sheetId="19" r:id="rId26"/>
    <sheet name="FKLink" sheetId="22" r:id="rId27"/>
  </sheets>
  <externalReferences>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__" localSheetId="26">#REF!</definedName>
    <definedName name="___">#REF!</definedName>
    <definedName name="________yr1996" localSheetId="26">#REF!</definedName>
    <definedName name="________yr1996">#REF!</definedName>
    <definedName name="___yr1996" localSheetId="26">#REF!</definedName>
    <definedName name="___yr1996">#REF!</definedName>
    <definedName name="__FDS_HYPERLINK_TOGGLE_STATE__" hidden="1">"ON"</definedName>
    <definedName name="_1993A">#REF!</definedName>
    <definedName name="_1994A">#REF!</definedName>
    <definedName name="_1995">#REF!</definedName>
    <definedName name="_1995A">#REF!</definedName>
    <definedName name="_1996">#REF!</definedName>
    <definedName name="_1996A">#REF!</definedName>
    <definedName name="_1997">#REF!</definedName>
    <definedName name="_1997A">#REF!</definedName>
    <definedName name="_1998">#REF!</definedName>
    <definedName name="_1998E">#REF!</definedName>
    <definedName name="_1999">#REF!</definedName>
    <definedName name="_1999E">#REF!</definedName>
    <definedName name="_2000">#REF!</definedName>
    <definedName name="_2000E">#REF!</definedName>
    <definedName name="_2001">#REF!</definedName>
    <definedName name="_2001E">#REF!</definedName>
    <definedName name="_2002">#REF!</definedName>
    <definedName name="_2002E">#REF!</definedName>
    <definedName name="_2003E">#REF!</definedName>
    <definedName name="_2004E">#REF!</definedName>
    <definedName name="_2005E">#REF!</definedName>
    <definedName name="_Admin" hidden="1">"No"</definedName>
    <definedName name="_Fill" hidden="1">#REF!</definedName>
    <definedName name="_xlnm._FilterDatabase" hidden="1">#REF!</definedName>
    <definedName name="_GSR008" hidden="1">[1]Equipment!$E$134:$DT$134</definedName>
    <definedName name="_GSR012" hidden="1">[1]Equipment!$E$185:$DT$185</definedName>
    <definedName name="_InAdmin" hidden="1">"No"</definedName>
    <definedName name="_Key1" localSheetId="0" hidden="1">#REF!</definedName>
    <definedName name="_Key1" hidden="1">#REF!</definedName>
    <definedName name="_LegalOk" hidden="1">"No"</definedName>
    <definedName name="_MC16" hidden="1">[1]Equipment!$E$80:$DT$80</definedName>
    <definedName name="_MC28" hidden="1">[1]Equipment!$E$77:$DT$77</definedName>
    <definedName name="_Order1" hidden="1">255</definedName>
    <definedName name="_Order2" hidden="1">0</definedName>
    <definedName name="_Sort" localSheetId="0" hidden="1">#REF!</definedName>
    <definedName name="_Sort" hidden="1">#REF!</definedName>
    <definedName name="_UP">#REF!</definedName>
    <definedName name="_yr1996">#REF!</definedName>
    <definedName name="a_sted">'[2]A-sted'!$A$8:$J$52</definedName>
    <definedName name="a_sted_akk">'[2]A-sted'!$O$8:$AA$59</definedName>
    <definedName name="adfa" hidden="1">#REF!</definedName>
    <definedName name="anscount" localSheetId="0" hidden="1">2</definedName>
    <definedName name="anscount" hidden="1">1</definedName>
    <definedName name="Användare">#REF!</definedName>
    <definedName name="AP" hidden="1">[1]Model!$E$41</definedName>
    <definedName name="aRG">#REF!</definedName>
    <definedName name="ARPUInput" hidden="1">[1]Model!$E$142:$DT$142</definedName>
    <definedName name="asdfdf" hidden="1">{#N/A,#N/A,FALSE,"Statement of Ops";#N/A,#N/A,FALSE,"Trend Ops"}</definedName>
    <definedName name="assoc">#REF!</definedName>
    <definedName name="Assumptions" hidden="1">[1]Model!$A$30:$A$122</definedName>
    <definedName name="Austria_telenor_mobile_export">[3]IM!#REF!</definedName>
    <definedName name="AvgVoiceLines" hidden="1">[1]Model!$E$136:$DT$136</definedName>
    <definedName name="Balance_Sheet" hidden="1">'[1]Financial Statements'!$A$126:$A$177</definedName>
    <definedName name="bb" hidden="1">{#N/A,#N/A,FALSE,"Statement of Ops";#N/A,#N/A,FALSE,"Trend Ops"}</definedName>
    <definedName name="Belgium_Belgacom_fixed_export">#REF!</definedName>
    <definedName name="Belgium_Belgacom_mobile_export">#REF!</definedName>
    <definedName name="bondcos">#REF!</definedName>
    <definedName name="bondcost">#REF!</definedName>
    <definedName name="BPackClust" hidden="1">[1]Equipment!$E$226:$DT$226</definedName>
    <definedName name="BPackRTU" hidden="1">[1]Equipment!$E$220:$DT$220</definedName>
    <definedName name="BPackRTUCapex" hidden="1">[1]Capex!$E$220:$DT$220</definedName>
    <definedName name="BPackRTULife" hidden="1">[1]Capex!$C$116</definedName>
    <definedName name="BPackRTUMaint" hidden="1">[1]Capex!$E$248:$DT$248</definedName>
    <definedName name="bsminority">#REF!</definedName>
    <definedName name="BT_Att">#REF!</definedName>
    <definedName name="BT_BSMins">#REF!</definedName>
    <definedName name="BT_CFPS">#REF!</definedName>
    <definedName name="BT_CFPS_fd">#REF!</definedName>
    <definedName name="BT_DPS">#REF!</definedName>
    <definedName name="BT_DtoE">#REF!</definedName>
    <definedName name="BT_EBITDA">#REF!</definedName>
    <definedName name="BT_EPS_fd">#REF!</definedName>
    <definedName name="BT_FA">#REF!</definedName>
    <definedName name="BT_Min">#REF!</definedName>
    <definedName name="BT_Minorities">#REF!</definedName>
    <definedName name="BT_Mins">#REF!</definedName>
    <definedName name="BT_NAV">#REF!</definedName>
    <definedName name="BT_NDebt">#REF!</definedName>
    <definedName name="BT_netdebt">#REF!</definedName>
    <definedName name="BT_Provs">#REF!</definedName>
    <definedName name="BT_R">#REF!</definedName>
    <definedName name="BT_Rec">#REF!</definedName>
    <definedName name="BT_ROCE">#REF!</definedName>
    <definedName name="BT_ROE">#REF!</definedName>
    <definedName name="BT_Sales">#REF!</definedName>
    <definedName name="BT_Shf">#REF!</definedName>
    <definedName name="BT_Shissued">#REF!</definedName>
    <definedName name="BT_UK_export">[4]IM!$K$12:$AL$48</definedName>
    <definedName name="BT_UP">#REF!</definedName>
    <definedName name="BTS" hidden="1">[1]Equipment!$E$212:$DT$212</definedName>
    <definedName name="BTSAppRTUCapex" hidden="1">[1]Capex!$E$218:$DT$218</definedName>
    <definedName name="BTSAppRTULife" hidden="1">[1]Capex!$C$114</definedName>
    <definedName name="BTSAppRTUMaint" hidden="1">[1]Capex!$E$247:$DT$247</definedName>
    <definedName name="BTSLife" hidden="1">[1]Capex!$C$112</definedName>
    <definedName name="BTSPlatRTUCapex" hidden="1">[1]Capex!$E$217:$DT$217</definedName>
    <definedName name="BTSPlatRTULife" hidden="1">[1]Capex!$C$113</definedName>
    <definedName name="BTSPlatRTUMaint" hidden="1">[1]Capex!$E$246:$DT$246</definedName>
    <definedName name="BTSRTU" hidden="1">[1]Equipment!$E$206:$DT$206</definedName>
    <definedName name="CalcSetting" hidden="1">[1]Equipment!$B$10</definedName>
    <definedName name="CallMgmtPctInbound" hidden="1">[1]Model!$E$118:$DT$118</definedName>
    <definedName name="CallMgmtPctOutbound" hidden="1">[1]Model!$E$119:$DT$119</definedName>
    <definedName name="Capital_Employed">#REF!</definedName>
    <definedName name="Card" hidden="1">[1]Equipment!$E$40:$DT$40</definedName>
    <definedName name="CardInput" hidden="1">'[1]Capex Input'!$E$48:$DT$48</definedName>
    <definedName name="cash">#REF!</definedName>
    <definedName name="Cash_Flow_Statement" hidden="1">'[1]Financial Statements'!$A$69:$A$122</definedName>
    <definedName name="casheps">#REF!</definedName>
    <definedName name="changend">#REF!</definedName>
    <definedName name="Chile">#REF!</definedName>
    <definedName name="CHT" hidden="1">[1]Equipment!$E$202:$DT$202</definedName>
    <definedName name="CHTInput" hidden="1">'[1]Capex Input'!$E$41:$DT$41</definedName>
    <definedName name="CMTSInputs" hidden="1">[1]Equipment!$E$13:$DT$57</definedName>
    <definedName name="CMTSOutputs" hidden="1">[1]Equipment!$E$59:$DT$68</definedName>
    <definedName name="CNAMPctInbound" hidden="1">[1]Model!$E$116:$DT$116</definedName>
    <definedName name="CNAMPctOutbound" hidden="1">[1]Model!$E$117:$DT$117</definedName>
    <definedName name="CodecInput" hidden="1">'[1]Capex Input'!$E$33:$DT$33</definedName>
    <definedName name="Cognit" hidden="1">[1]Equipment!$E$235:$DT$235</definedName>
    <definedName name="ColCount" hidden="1">[1]Equipment!$B$11</definedName>
    <definedName name="Company_Code">[5]Front!$E$10</definedName>
    <definedName name="Company_Name">[5]Front!$E$11</definedName>
    <definedName name="Core_old__BT_cap_ex">#REF!</definedName>
    <definedName name="corecapex">#REF!</definedName>
    <definedName name="cost_of_capital" hidden="1">[1]Model!$E$43</definedName>
    <definedName name="CPE">#REF!</definedName>
    <definedName name="CPULimit" hidden="1">[1]Equipment!$E$56:$DT$56</definedName>
    <definedName name="CPUPerDataSub" hidden="1">[1]Equipment!$E$36:$DT$36</definedName>
    <definedName name="CPUPerDS0" hidden="1">[1]Equipment!$E$35:$DT$35</definedName>
    <definedName name="CPUUtil" hidden="1">[1]Equipment!$E$63:$DT$63</definedName>
    <definedName name="CPUUtilData" hidden="1">[1]Equipment!$E$68:$DT$68</definedName>
    <definedName name="creditors">#REF!</definedName>
    <definedName name="cueps">#REF!</definedName>
    <definedName name="Currency">[5]Front!$E$15</definedName>
    <definedName name="Datatabell">#REF!</definedName>
    <definedName name="Date">[5]Front!$E$16</definedName>
    <definedName name="DB">"WIREUK"</definedName>
    <definedName name="DCF_Valuation">[6]UK!#REF!</definedName>
    <definedName name="debtors">#REF!</definedName>
    <definedName name="depre">#REF!</definedName>
    <definedName name="depreciation">#REF!</definedName>
    <definedName name="dere" hidden="1">{#N/A,#N/A,FALSE,"Statement of Ops";#N/A,#N/A,FALSE,"Trend Ops"}</definedName>
    <definedName name="dfdfd" hidden="1">{#N/A,#N/A,FALSE,"Statement of Ops";#N/A,#N/A,FALSE,"Trend Ops"}</definedName>
    <definedName name="dfsdf" hidden="1">{#N/A,#N/A,FALSE,"Statement of Ops";#N/A,#N/A,FALSE,"Trend Ops"}</definedName>
    <definedName name="disposals">#REF!</definedName>
    <definedName name="divpaid">#REF!</definedName>
    <definedName name="dps">#REF!</definedName>
    <definedName name="dsf" hidden="1">{#N/A,#N/A,FALSE,"Statement of Ops";#N/A,#N/A,FALSE,"Trend Ops"}</definedName>
    <definedName name="DSPerDataSub" hidden="1">[1]Equipment!$E$30:$DT$30</definedName>
    <definedName name="DSPerDataSubInput" hidden="1">'[1]Capex Input'!$E$42:$DT$42</definedName>
    <definedName name="DSPerDom" hidden="1">[1]Equipment!$E$46:$DT$46</definedName>
    <definedName name="DSPerDS0" hidden="1">[1]Equipment!$E$24:$DT$24</definedName>
    <definedName name="DSUtil" hidden="1">[1]Equipment!$E$60:$DT$60</definedName>
    <definedName name="DSUtilData" hidden="1">[1]Equipment!$E$65:$DT$65</definedName>
    <definedName name="DualPctData" hidden="1">[1]Capex!$E$32:$DT$32</definedName>
    <definedName name="DualPctVoiceInput" hidden="1">[1]Model!$E$86:$DT$86</definedName>
    <definedName name="eeeeeeeeee" hidden="1">{#N/A,#N/A,FALSE,"Statement of Ops";#N/A,#N/A,FALSE,"Trend Ops"}</definedName>
    <definedName name="EgenRappPath">#REF!</definedName>
    <definedName name="eps">#REF!</definedName>
    <definedName name="Equipment_and_CAPEX" hidden="1">[1]Model!$A$199:$A$265</definedName>
    <definedName name="erere" hidden="1">{#N/A,#N/A,FALSE,"Statement of Ops";#N/A,#N/A,FALSE,"Trend Ops"}</definedName>
    <definedName name="ererere" hidden="1">{#N/A,#N/A,FALSE,"Statement of Ops";#N/A,#N/A,FALSE,"Trend Ops"}</definedName>
    <definedName name="ErlangsPerLine" hidden="1">[1]Equipment!$E$29:$DT$29</definedName>
    <definedName name="ErlangsPerLineInput" hidden="1">'[1]Capex Input'!$E$40:$DT$40</definedName>
    <definedName name="F.1981.03">#REF!</definedName>
    <definedName name="F.1982.03">#REF!</definedName>
    <definedName name="F.1983.03">#REF!</definedName>
    <definedName name="F.1984.03">#REF!</definedName>
    <definedName name="F.1985.03">#REF!</definedName>
    <definedName name="F.1986.03">#REF!</definedName>
    <definedName name="F.1987.03">#REF!</definedName>
    <definedName name="F.1988.03">#REF!</definedName>
    <definedName name="F.1989.03">#REF!</definedName>
    <definedName name="F.1990.03">#REF!</definedName>
    <definedName name="F.1991.03">#REF!</definedName>
    <definedName name="F.1992.03">#REF!</definedName>
    <definedName name="F.1993.03">#REF!</definedName>
    <definedName name="F.1994.03">#REF!</definedName>
    <definedName name="F.1995.03">#REF!</definedName>
    <definedName name="F.1998.03">#REF!</definedName>
    <definedName name="fcf">#REF!</definedName>
    <definedName name="France_Telecom">#REF!</definedName>
    <definedName name="France_Telecom_Belgium_mobile_interconnect_receipts">#REF!</definedName>
    <definedName name="France_Telecom_Belgium_mobile_interconnect_receipts_from_fixed_operators">#REF!</definedName>
    <definedName name="France_Telecom_Belgium_mobile_interconnect_receipts_from_mobile_operators">#REF!</definedName>
    <definedName name="France_Telecom_Belgium_mobile_other_revenue">#REF!</definedName>
    <definedName name="France_Telecom_Belgium_mobile_retail_and_wholesale_services_revenue">#REF!</definedName>
    <definedName name="France_Telecom_Belgium_mobile_retail_revenue">#REF!</definedName>
    <definedName name="France_Telecom_Belgium_mobile_retail_subscribers">#REF!</definedName>
    <definedName name="France_Telecom_Belgium_mobile_revenue">#REF!</definedName>
    <definedName name="France_Telecom_Belgium_mobile_wholesale_revenue">#REF!</definedName>
    <definedName name="France_Telecom_Belgium_mobile_wholesale_subscribers">#REF!</definedName>
    <definedName name="France_Telecom_Denmark_mobile_interconnect_receipts">#REF!</definedName>
    <definedName name="France_Telecom_Denmark_mobile_interconnect_receipts_from_fixed_operators">#REF!</definedName>
    <definedName name="France_Telecom_Denmark_mobile_interconnect_receipts_from_mobile_operators">#REF!</definedName>
    <definedName name="France_Telecom_Denmark_mobile_other_revenue">#REF!</definedName>
    <definedName name="France_Telecom_Denmark_mobile_retail_and_wholesale_services_revenue">#REF!</definedName>
    <definedName name="France_Telecom_Denmark_mobile_retail_revenue">#REF!</definedName>
    <definedName name="France_Telecom_Denmark_mobile_retail_subscribers">#REF!</definedName>
    <definedName name="France_Telecom_Denmark_mobile_revenue">#REF!</definedName>
    <definedName name="France_Telecom_Denmark_mobile_wholesale_revenue">#REF!</definedName>
    <definedName name="France_Telecom_Denmark_mobile_wholesale_subscribers">#REF!</definedName>
    <definedName name="France_Telecom_Egypt_mobile_interconnect_receipts">#REF!</definedName>
    <definedName name="France_Telecom_Egypt_mobile_interconnect_receipts_from_fixed_operators">#REF!</definedName>
    <definedName name="France_Telecom_Egypt_mobile_interconnect_receipts_from_mobile_operators">#REF!</definedName>
    <definedName name="France_Telecom_Egypt_mobile_other_revenue">#REF!</definedName>
    <definedName name="France_Telecom_Egypt_mobile_retail_and_wholesale_services_revenue">#REF!</definedName>
    <definedName name="France_Telecom_Egypt_mobile_retail_revenue">#REF!</definedName>
    <definedName name="France_Telecom_Egypt_mobile_retail_subscribers">#REF!</definedName>
    <definedName name="France_Telecom_Egypt_mobile_revenue">#REF!</definedName>
    <definedName name="France_Telecom_Egypt_mobile_wholesale_revenue">#REF!</definedName>
    <definedName name="France_Telecom_Egypt_mobile_wholesale_subscribers">#REF!</definedName>
    <definedName name="France_Telecom_France_fixed_broadband_revenue__business">#REF!</definedName>
    <definedName name="France_Telecom_France_fixed_broadband_revenue__residential">#REF!</definedName>
    <definedName name="France_Telecom_France_fixed_broadband_revenue__residential___business">#REF!</definedName>
    <definedName name="France_Telecom_France_fixed_interconnect_receipts">#REF!</definedName>
    <definedName name="France_Telecom_France_fixed_interconnect_receipts_from_fixed_operators">#REF!</definedName>
    <definedName name="France_Telecom_France_fixed_interconnect_receipts_from_mobile_operators">#REF!</definedName>
    <definedName name="France_Telecom_France_fixed_other_revenue">#REF!</definedName>
    <definedName name="France_Telecom_France_fixed_retail_and_wholesale_services_revenue">#REF!</definedName>
    <definedName name="France_Telecom_France_fixed_retail_broadband_business_sites">#REF!</definedName>
    <definedName name="France_Telecom_France_fixed_retail_broadband_homes">#REF!</definedName>
    <definedName name="France_Telecom_France_fixed_retail_broadband_sites__homes_and_businesses">#REF!</definedName>
    <definedName name="France_Telecom_France_fixed_retail_business_sites">#REF!</definedName>
    <definedName name="France_Telecom_France_fixed_retail_homes">#REF!</definedName>
    <definedName name="France_Telecom_France_fixed_retail_lines__business">#REF!</definedName>
    <definedName name="France_Telecom_France_fixed_retail_lines__ISDN">#REF!</definedName>
    <definedName name="France_Telecom_France_fixed_retail_lines__PSTN">#REF!</definedName>
    <definedName name="France_Telecom_France_fixed_retail_lines__PSTN___ISDN">#REF!</definedName>
    <definedName name="France_Telecom_France_fixed_retail_lines__residential">#REF!</definedName>
    <definedName name="France_Telecom_France_fixed_retail_lines__residential___business">#REF!</definedName>
    <definedName name="France_Telecom_France_fixed_retail_revenue__business">#REF!</definedName>
    <definedName name="France_Telecom_France_fixed_retail_revenue__residential">#REF!</definedName>
    <definedName name="France_Telecom_France_fixed_retail_revenue__residential___business">#REF!</definedName>
    <definedName name="France_Telecom_France_fixed_revenue">#REF!</definedName>
    <definedName name="France_Telecom_France_fixed_wholesale_and_interconnect_services_revenue">#REF!</definedName>
    <definedName name="France_Telecom_France_fixed_wholesale_broadband_business_sites">#REF!</definedName>
    <definedName name="France_Telecom_France_fixed_wholesale_broadband_homes">#REF!</definedName>
    <definedName name="France_Telecom_France_fixed_wholesale_broadband_sites__homes_and_businesses">#REF!</definedName>
    <definedName name="France_Telecom_France_fixed_wholesale_business_sites">#REF!</definedName>
    <definedName name="France_Telecom_France_fixed_wholesale_homes">#REF!</definedName>
    <definedName name="France_Telecom_France_fixed_wholesale_lines__business">#REF!</definedName>
    <definedName name="France_Telecom_France_fixed_wholesale_lines__ISDN">#REF!</definedName>
    <definedName name="France_Telecom_France_fixed_wholesale_lines__PSTN">#REF!</definedName>
    <definedName name="France_Telecom_France_fixed_wholesale_lines__PSTN___ISDN">#REF!</definedName>
    <definedName name="France_Telecom_France_fixed_wholesale_lines__residential">#REF!</definedName>
    <definedName name="France_Telecom_France_fixed_wholesale_lines__residential___business">#REF!</definedName>
    <definedName name="France_Telecom_France_fixed_wholesale_revenue">#REF!</definedName>
    <definedName name="France_Telecom_France_mobile_interconnect_receipts">#REF!</definedName>
    <definedName name="France_Telecom_France_mobile_interconnect_receipts_from_fixed_operators">#REF!</definedName>
    <definedName name="France_Telecom_France_mobile_interconnect_receipts_from_mobile_operators">#REF!</definedName>
    <definedName name="France_Telecom_France_mobile_other_revenue">#REF!</definedName>
    <definedName name="France_Telecom_France_mobile_retail_and_wholesale_services_revenue">#REF!</definedName>
    <definedName name="France_Telecom_France_mobile_retail_revenue">#REF!</definedName>
    <definedName name="France_Telecom_France_mobile_retail_subscribers">#REF!</definedName>
    <definedName name="France_Telecom_France_mobile_revenue">#REF!</definedName>
    <definedName name="France_Telecom_France_mobile_wholesale_revenue">#REF!</definedName>
    <definedName name="France_Telecom_France_mobile_wholesale_subscribers">#REF!</definedName>
    <definedName name="France_Telecom_Netherlands_mobile_interconnect_receipts">#REF!</definedName>
    <definedName name="France_Telecom_Netherlands_mobile_interconnect_receipts_from_fixed_operators">#REF!</definedName>
    <definedName name="France_Telecom_Netherlands_mobile_interconnect_receipts_from_mobile_operators">#REF!</definedName>
    <definedName name="France_Telecom_Netherlands_mobile_other_revenue">#REF!</definedName>
    <definedName name="France_Telecom_Netherlands_mobile_retail_and_wholesale_services_revenue">#REF!</definedName>
    <definedName name="France_Telecom_Netherlands_mobile_retail_revenue">#REF!</definedName>
    <definedName name="France_Telecom_Netherlands_mobile_retail_subscribers">#REF!</definedName>
    <definedName name="France_Telecom_Netherlands_mobile_revenue">#REF!</definedName>
    <definedName name="France_Telecom_Netherlands_mobile_wholesale_revenue">#REF!</definedName>
    <definedName name="France_Telecom_Netherlands_mobile_wholesale_subscribers">#REF!</definedName>
    <definedName name="France_Telecom_Poland_fixed_broadband_revenue__business">#REF!</definedName>
    <definedName name="France_Telecom_Poland_fixed_broadband_revenue__residential">#REF!</definedName>
    <definedName name="France_Telecom_Poland_fixed_broadband_revenue__residential___business">#REF!</definedName>
    <definedName name="France_Telecom_Poland_fixed_interconnect_receipts">#REF!</definedName>
    <definedName name="France_Telecom_Poland_fixed_interconnect_receipts_from_fixed_operators">#REF!</definedName>
    <definedName name="France_Telecom_Poland_fixed_interconnect_receipts_from_mobile_operators">#REF!</definedName>
    <definedName name="France_Telecom_Poland_fixed_other_revenue">#REF!</definedName>
    <definedName name="France_Telecom_Poland_fixed_retail_and_wholesale_services_revenue">#REF!</definedName>
    <definedName name="France_Telecom_Poland_fixed_retail_broadband_business_sites">#REF!</definedName>
    <definedName name="France_Telecom_Poland_fixed_retail_broadband_homes">#REF!</definedName>
    <definedName name="France_Telecom_Poland_fixed_retail_broadband_sites__homes_and_businesses">#REF!</definedName>
    <definedName name="France_Telecom_Poland_fixed_retail_business_sites">#REF!</definedName>
    <definedName name="France_Telecom_Poland_fixed_retail_homes">#REF!</definedName>
    <definedName name="France_Telecom_Poland_fixed_retail_lines__business">#REF!</definedName>
    <definedName name="France_Telecom_Poland_fixed_retail_lines__ISDN">#REF!</definedName>
    <definedName name="France_Telecom_Poland_fixed_retail_lines__PSTN">#REF!</definedName>
    <definedName name="France_Telecom_Poland_fixed_retail_lines__PSTN___ISDN">#REF!</definedName>
    <definedName name="France_Telecom_Poland_fixed_retail_lines__residential">#REF!</definedName>
    <definedName name="France_Telecom_Poland_fixed_retail_lines__residential___business">#REF!</definedName>
    <definedName name="France_Telecom_Poland_fixed_retail_revenue__business">#REF!</definedName>
    <definedName name="France_Telecom_Poland_fixed_retail_revenue__residential">#REF!</definedName>
    <definedName name="France_Telecom_Poland_fixed_retail_revenue__residential___business">#REF!</definedName>
    <definedName name="France_Telecom_Poland_fixed_revenue">#REF!</definedName>
    <definedName name="France_Telecom_Poland_fixed_wholesale_and_interconnect_services_revenue">#REF!</definedName>
    <definedName name="France_Telecom_Poland_fixed_wholesale_broadband_business_sites">#REF!</definedName>
    <definedName name="France_Telecom_Poland_fixed_wholesale_broadband_homes">#REF!</definedName>
    <definedName name="France_Telecom_Poland_fixed_wholesale_broadband_sites__homes_and_businesses">#REF!</definedName>
    <definedName name="France_Telecom_Poland_fixed_wholesale_business_sites">#REF!</definedName>
    <definedName name="France_Telecom_Poland_fixed_wholesale_homes">#REF!</definedName>
    <definedName name="France_Telecom_Poland_fixed_wholesale_lines__business">#REF!</definedName>
    <definedName name="France_Telecom_Poland_fixed_wholesale_lines__ISDN">#REF!</definedName>
    <definedName name="France_Telecom_Poland_fixed_wholesale_lines__PSTN">#REF!</definedName>
    <definedName name="France_Telecom_Poland_fixed_wholesale_lines__PSTN___ISDN">#REF!</definedName>
    <definedName name="France_Telecom_Poland_fixed_wholesale_lines__residential">#REF!</definedName>
    <definedName name="France_Telecom_Poland_fixed_wholesale_lines__residential___business">#REF!</definedName>
    <definedName name="France_Telecom_Poland_fixed_wholesale_revenue">#REF!</definedName>
    <definedName name="France_Telecom_Poland_mobile_interconnect_receipts">#REF!</definedName>
    <definedName name="France_Telecom_Poland_mobile_interconnect_receipts_from_fixed_operators">#REF!</definedName>
    <definedName name="France_Telecom_Poland_mobile_interconnect_receipts_from_mobile_operators">#REF!</definedName>
    <definedName name="France_Telecom_Poland_mobile_other_revenue">#REF!</definedName>
    <definedName name="France_Telecom_Poland_mobile_retail_and_wholesale_services_revenue">#REF!</definedName>
    <definedName name="France_Telecom_Poland_mobile_retail_revenue">#REF!</definedName>
    <definedName name="France_Telecom_Poland_mobile_retail_subscribers">#REF!</definedName>
    <definedName name="France_Telecom_Poland_mobile_revenue">#REF!</definedName>
    <definedName name="France_Telecom_Poland_mobile_wholesale_revenue">#REF!</definedName>
    <definedName name="France_Telecom_Poland_mobile_wholesale_subscribers">#REF!</definedName>
    <definedName name="France_Telecom_Romania_mobile_interconnect_receipts">#REF!</definedName>
    <definedName name="France_Telecom_Romania_mobile_interconnect_receipts_from_fixed_operators">#REF!</definedName>
    <definedName name="France_Telecom_Romania_mobile_interconnect_receipts_from_mobile_operators">#REF!</definedName>
    <definedName name="France_Telecom_Romania_mobile_other_revenue">#REF!</definedName>
    <definedName name="France_Telecom_Romania_mobile_retail_and_wholesale_services_revenue">#REF!</definedName>
    <definedName name="France_Telecom_Romania_mobile_retail_revenue">#REF!</definedName>
    <definedName name="France_Telecom_Romania_mobile_retail_subscribers">#REF!</definedName>
    <definedName name="France_Telecom_Romania_mobile_revenue">#REF!</definedName>
    <definedName name="France_Telecom_Romania_mobile_wholesale_revenue">#REF!</definedName>
    <definedName name="France_Telecom_Romania_mobile_wholesale_subscribers">#REF!</definedName>
    <definedName name="France_Telecom_Slovakia_mobile_interconnect_receipts">#REF!</definedName>
    <definedName name="France_Telecom_Slovakia_mobile_interconnect_receipts_from_fixed_operators">#REF!</definedName>
    <definedName name="France_Telecom_Slovakia_mobile_interconnect_receipts_from_mobile_operators">#REF!</definedName>
    <definedName name="France_Telecom_Slovakia_mobile_other_revenue">#REF!</definedName>
    <definedName name="France_Telecom_Slovakia_mobile_retail_and_wholesale_services_revenue">#REF!</definedName>
    <definedName name="France_Telecom_Slovakia_mobile_retail_revenue">#REF!</definedName>
    <definedName name="France_Telecom_Slovakia_mobile_retail_subscribers">#REF!</definedName>
    <definedName name="France_Telecom_Slovakia_mobile_revenue">#REF!</definedName>
    <definedName name="France_Telecom_Slovakia_mobile_wholesale_revenue">#REF!</definedName>
    <definedName name="France_Telecom_Slovakia_mobile_wholesale_subscribers">#REF!</definedName>
    <definedName name="France_Telecom_Switzerland_mobile_interconnect_receipts">#REF!</definedName>
    <definedName name="France_Telecom_Switzerland_mobile_interconnect_receipts_from_fixed_operators">#REF!</definedName>
    <definedName name="France_Telecom_Switzerland_mobile_interconnect_receipts_from_mobile_operators">#REF!</definedName>
    <definedName name="France_Telecom_Switzerland_mobile_other_revenue">#REF!</definedName>
    <definedName name="France_Telecom_Switzerland_mobile_retail_and_wholesale_services_revenue">#REF!</definedName>
    <definedName name="France_Telecom_Switzerland_mobile_retail_revenue">#REF!</definedName>
    <definedName name="France_Telecom_Switzerland_mobile_retail_subscribers">#REF!</definedName>
    <definedName name="France_Telecom_Switzerland_mobile_revenue">#REF!</definedName>
    <definedName name="France_Telecom_Switzerland_mobile_wholesale_revenue">#REF!</definedName>
    <definedName name="France_Telecom_Switzerland_mobile_wholesale_subscribers">#REF!</definedName>
    <definedName name="France_Telecom2">#REF!</definedName>
    <definedName name="France_TelecomFrancefixedretail_revenue__residential">#REF!</definedName>
    <definedName name="FT">#REF!</definedName>
    <definedName name="g_Cumulative_Net_Income" hidden="1">[1]Results!$P$157:$AH$192</definedName>
    <definedName name="g_Discounted_Cash" hidden="1">[1]Results!$A$341:$M$376</definedName>
    <definedName name="g_Expenses" hidden="1">[1]Results!$P$203:$AH$238</definedName>
    <definedName name="g_IRR" hidden="1">[1]Results!$P$65:$AH$100</definedName>
    <definedName name="g_Net_Income" hidden="1">[1]Results!$A$157:$M$192</definedName>
    <definedName name="g_NPV" hidden="1">[1]Results!$A$65:$M$100</definedName>
    <definedName name="g_Service_Revenue" hidden="1">[1]Results!$A$203:$M$238</definedName>
    <definedName name="g_User_defined_1" hidden="1">[1]Results!$A$249:$M$284</definedName>
    <definedName name="g_User_defined_2" hidden="1">[1]Results!$P$249:$AH$284</definedName>
    <definedName name="g_User_defined_3" hidden="1">[1]Results!$A$295:$M$330</definedName>
    <definedName name="g_User_defined_4" hidden="1">[1]Results!$P$295:$AH$330</definedName>
    <definedName name="GBPUSD">[7]Summary!$C$84</definedName>
    <definedName name="gdps">#REF!</definedName>
    <definedName name="GOS" hidden="1">[1]Equipment!$E$23:$DT$23</definedName>
    <definedName name="GOSInput" hidden="1">'[1]Capex Input'!$E$36:$DT$36</definedName>
    <definedName name="Graphs" hidden="1">[1]Results!$A$49:$A$62</definedName>
    <definedName name="GrossAddDual" hidden="1">[1]Model!$E$104:$DT$104</definedName>
    <definedName name="GrossAddFromHSD" hidden="1">[1]Model!$E$102:$DT$102</definedName>
    <definedName name="GrossAddVoiceOnly" hidden="1">[1]Model!$E$100:$DT$100</definedName>
    <definedName name="GrossLineAdds" hidden="1">[1]Model!$E$107:$DT$107</definedName>
    <definedName name="GSR008Data" hidden="1">[1]Equipment!$E$143:$DT$143</definedName>
    <definedName name="GSR012Data" hidden="1">[1]Equipment!$E$191:$DT$191</definedName>
    <definedName name="GSR1OC12_CMTS" hidden="1">[1]Equipment!$E$131:$DT$131</definedName>
    <definedName name="GSR1OC12Data_CMTS" hidden="1">[1]Equipment!$E$140:$DT$140</definedName>
    <definedName name="GSR4OC12_DC" hidden="1">[1]Equipment!$E$179:$DT$179</definedName>
    <definedName name="GSR4OC12ATM" hidden="1">[1]Equipment!$E$182:$DT$182</definedName>
    <definedName name="GSR4OC12Data_DC" hidden="1">[1]Equipment!$E$188:$DT$188</definedName>
    <definedName name="GSR4OC3_CMTS" hidden="1">[1]Equipment!$E$128:$DT$128</definedName>
    <definedName name="GSR4OC3Data_CMTS" hidden="1">[1]Equipment!$E$137:$DT$137</definedName>
    <definedName name="GSRCapex" hidden="1">[1]Capex!$E$266:$DT$266</definedName>
    <definedName name="GSRLife" hidden="1">[1]Capex!$C$102</definedName>
    <definedName name="GSRMaint" hidden="1">[1]Capex!$E$291:$DT$291</definedName>
    <definedName name="h.IsCSM" hidden="1">"CSModel"</definedName>
    <definedName name="HHP" hidden="1">[1]Capex!$E$12:$DT$12</definedName>
    <definedName name="HHPInput" hidden="1">[1]Model!$E$71:$DT$71</definedName>
    <definedName name="HTML_CodePage" hidden="1">1252</definedName>
    <definedName name="HTML_Description" hidden="1">"IBN Products"</definedName>
    <definedName name="HTML_Email" hidden="1">""</definedName>
    <definedName name="HTML_Header" hidden="1">"Edit"</definedName>
    <definedName name="HTML_LastUpdate" hidden="1">"24/05/97"</definedName>
    <definedName name="HTML_LineAfter" hidden="1">FALSE</definedName>
    <definedName name="HTML_LineBefore" hidden="1">TRUE</definedName>
    <definedName name="HTML_Name" hidden="1">"Mike Bibbings"</definedName>
    <definedName name="HTML_OBDlg2" hidden="1">TRUE</definedName>
    <definedName name="HTML_OBDlg4" hidden="1">TRUE</definedName>
    <definedName name="HTML_OS" hidden="1">0</definedName>
    <definedName name="HTML_PathFile" hidden="1">"C:\My Documents\mmelHTML.htm"</definedName>
    <definedName name="HTML_Title" hidden="1">"Master Edit List"</definedName>
    <definedName name="HubSize" hidden="1">[1]Equipment!$E$17:$DT$17</definedName>
    <definedName name="HubSizeInput" hidden="1">'[1]Capex Input'!$E$27:$DT$27</definedName>
    <definedName name="I1.1989.09">[8]cuslink!#REF!</definedName>
    <definedName name="I1.1996.09">#REF!</definedName>
    <definedName name="inccred">#REF!</definedName>
    <definedName name="Income_Statement" hidden="1">'[1]Financial Statements'!$A$31:$A$65</definedName>
    <definedName name="income_tax_rate" hidden="1">[1]Model!$E$42</definedName>
    <definedName name="incpenprov">#REF!</definedName>
    <definedName name="increc">#REF!</definedName>
    <definedName name="incstock">#REF!</definedName>
    <definedName name="Intangible_Fixed_Assets">#REF!</definedName>
    <definedName name="InTC">#REF!</definedName>
    <definedName name="investments">#REF!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IP" hidden="1">"c2245"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39420.5584027778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ssmin">#REF!</definedName>
    <definedName name="issord">#REF!</definedName>
    <definedName name="ITC">#REF!</definedName>
    <definedName name="k_kost">'[2]K-kost'!$A$9:$J$37</definedName>
    <definedName name="k_kost_akk">'[2]K-kost'!$O$8:$AA$42</definedName>
    <definedName name="kk" hidden="1">#REF!</definedName>
    <definedName name="Kopieringsområde">'[9]Business Sol'!$A$7:$K$77</definedName>
    <definedName name="LATASize" hidden="1">[1]Equipment!$E$149:$DT$149</definedName>
    <definedName name="LATASizeInput" hidden="1">'[1]Capex Input'!$E$28:$DT$28</definedName>
    <definedName name="Leased">#REF!</definedName>
    <definedName name="LegalOk" hidden="1">"No"</definedName>
    <definedName name="limcount" hidden="1">1</definedName>
    <definedName name="Linerent">#REF!</definedName>
    <definedName name="Lines_per_100_pop">#REF!</definedName>
    <definedName name="LinesPerFN" hidden="1">[1]Equipment!$E$15:$DT$15</definedName>
    <definedName name="LinesPerSubInput" hidden="1">[1]Model!$E$77:$DT$77</definedName>
    <definedName name="lll" hidden="1">{#N/A,#N/A,FALSE,"Statement of Ops";#N/A,#N/A,FALSE,"Trend Ops"}</definedName>
    <definedName name="llll" hidden="1">{#N/A,#N/A,FALSE,"Statement of Ops";#N/A,#N/A,FALSE,"Trend Ops"}</definedName>
    <definedName name="lllll" hidden="1">{#N/A,#N/A,FALSE,"Statement of Ops";#N/A,#N/A,FALSE,"Trend Ops"}</definedName>
    <definedName name="LNPPct" hidden="1">[1]Model!$E$120:$DT$120</definedName>
    <definedName name="LookupAppRTU" hidden="1">'[1]BTS Tables'!$B$30:$B$81</definedName>
    <definedName name="LookupCPS" hidden="1">'[1]BTS Tables'!$A$3:$A$27</definedName>
    <definedName name="LookupLines" hidden="1">'[1]BTS Tables'!$A$30:$A$81</definedName>
    <definedName name="LookupPlatRTU" hidden="1">'[1]BTS Tables'!$B$3:$B$27</definedName>
    <definedName name="Lösenord">#REF!</definedName>
    <definedName name="ltd">#REF!</definedName>
    <definedName name="måned">[10]Grunndata!$B$3:$C$14</definedName>
    <definedName name="MC16Data" hidden="1">[1]Equipment!$E$98:$DT$98</definedName>
    <definedName name="MC28Data" hidden="1">[1]Equipment!$E$95:$DT$95</definedName>
    <definedName name="md" hidden="1">[1]Model!$E$52</definedName>
    <definedName name="MGX" hidden="1">[1]Equipment!$E$161:$DT$161</definedName>
    <definedName name="MGXCapex" hidden="1">[1]Capex!$E$267:$DT$267</definedName>
    <definedName name="MGXLife" hidden="1">[1]Capex!$C$108</definedName>
    <definedName name="MGXMaint" hidden="1">[1]Capex!$E$292:$DT$292</definedName>
    <definedName name="minority">#REF!</definedName>
    <definedName name="MinPerLineLocal" hidden="1">[1]Model!$E$111:$DT$111</definedName>
    <definedName name="MinPerLineToll" hidden="1">[1]Model!$E$112:$DT$112</definedName>
    <definedName name="Mobile">#REF!</definedName>
    <definedName name="mv" hidden="1">[1]Model!$E$51</definedName>
    <definedName name="Net_Assets">#REF!</definedName>
    <definedName name="Net_Profit_SGW_Adjusted_">#REF!</definedName>
    <definedName name="netint">#REF!</definedName>
    <definedName name="netprofit">#REF!</definedName>
    <definedName name="ni_divs">#REF!</definedName>
    <definedName name="nidivs">#REF!</definedName>
    <definedName name="oldcueps">#REF!</definedName>
    <definedName name="OnNetMaxInput" hidden="1">'[1]Capex Input'!$E$29:$DT$29</definedName>
    <definedName name="Operations" hidden="1">[1]Model!$A$269:$A$412</definedName>
    <definedName name="oppro">#REF!</definedName>
    <definedName name="opprofit">#REF!</definedName>
    <definedName name="Oss">#REF!</definedName>
    <definedName name="OSSInput" hidden="1">'[1]Capex Input'!$E$144:$DT$144</definedName>
    <definedName name="Other_Long_Term_Liabilities">#REF!</definedName>
    <definedName name="Otherinc">#REF!</definedName>
    <definedName name="Otherop">#REF!</definedName>
    <definedName name="Otheropcf">#REF!</definedName>
    <definedName name="ownwork">#REF!</definedName>
    <definedName name="p" hidden="1">[1]Model!$E$53</definedName>
    <definedName name="pbt">#REF!</definedName>
    <definedName name="PentrData" hidden="1">[1]Equipment!$E$4:$DT$4</definedName>
    <definedName name="PentrDataInput" hidden="1">[1]Model!$E$76:$DT$76</definedName>
    <definedName name="PentrVoice" hidden="1">[1]Equipment!$E$2:$DT$2</definedName>
    <definedName name="PentrVoiceInput" hidden="1">[1]Model!$E$75:$DT$75</definedName>
    <definedName name="Period">[5]Front!$E$12</definedName>
    <definedName name="Peru">#REF!</definedName>
    <definedName name="PHSInput" hidden="1">'[1]Capex Input'!$E$35:$DT$35</definedName>
    <definedName name="PlatformInput" hidden="1">'[1]Capex Input'!$E$47:$DT$47</definedName>
    <definedName name="_xlnm.Print_Area" localSheetId="13">Analysis!$A$1:$AC$100</definedName>
    <definedName name="_xlnm.Print_Area" localSheetId="0">#REF!</definedName>
    <definedName name="_xlnm.Print_Area" localSheetId="2">SOP!$A$1:$AM$99</definedName>
    <definedName name="_xlnm.Print_Area">#N/A</definedName>
    <definedName name="_xlnm.Print_Titles" localSheetId="0">#REF!</definedName>
    <definedName name="_xlnm.Print_Titles" localSheetId="8">Interims!$A:$A,Interims!$3:$4</definedName>
    <definedName name="_xlnm.Print_Titles" localSheetId="23">SEGMENTOS!$A:$A,SEGMENTOS!$3:$4</definedName>
    <definedName name="_xlnm.Print_Titles">#N/A</definedName>
    <definedName name="proforma">[11]proforma!#REF!</definedName>
    <definedName name="ProjectName" localSheetId="26">{"Client Name or Project Name"}</definedName>
    <definedName name="ProjectName">{"Client Name or Project Name"}</definedName>
    <definedName name="PT_Portugal_fixed_export">#REF!</definedName>
    <definedName name="PT_Portugal_mobile_export">#REF!</definedName>
    <definedName name="Purchase_of_tangible_fixed_assets">#REF!</definedName>
    <definedName name="purfai">#REF!</definedName>
    <definedName name="pursub">#REF!</definedName>
    <definedName name="purtfa">#REF!</definedName>
    <definedName name="Q1.1996.06">#REF!</definedName>
    <definedName name="Q1_Account">#REF!</definedName>
    <definedName name="Q1_Coding">#REF!</definedName>
    <definedName name="Q1_Data">#REF!</definedName>
    <definedName name="Q1_Period">#REF!</definedName>
    <definedName name="Q1_TP">#REF!</definedName>
    <definedName name="Q2.1996.09">#REF!</definedName>
    <definedName name="Q2_Account">#REF!</definedName>
    <definedName name="Q2_Coding">#REF!</definedName>
    <definedName name="Q2_Data">#REF!</definedName>
    <definedName name="Q2_Period">#REF!</definedName>
    <definedName name="Q2_TP">#REF!</definedName>
    <definedName name="Q3.1996.12">#REF!</definedName>
    <definedName name="Q3_Account">#REF!</definedName>
    <definedName name="Q3_Coding">#REF!</definedName>
    <definedName name="Q3_Data">#REF!</definedName>
    <definedName name="Q3_Period">#REF!</definedName>
    <definedName name="Q3_TP">#REF!</definedName>
    <definedName name="Q4_Account">#REF!</definedName>
    <definedName name="Q4_Coding">#REF!</definedName>
    <definedName name="Q4_Data">#REF!</definedName>
    <definedName name="Q4_Period">#REF!</definedName>
    <definedName name="Q4_TP">#REF!</definedName>
    <definedName name="QC用労働時間有">'[12]03FY 2nd Hafl Latest Estimate'!$A$1:$A$2638</definedName>
    <definedName name="QC用労働時間無">'[12]03FY 2nd Hafl Latest Estimate'!$A$1:$D$618</definedName>
    <definedName name="RapportTyp">#REF!</definedName>
    <definedName name="Redundancy">#REF!</definedName>
    <definedName name="RedundantEdgeInput" hidden="1">'[1]Capex Input'!$E$51:$DT$51</definedName>
    <definedName name="RedundantGWInput" hidden="1">'[1]Capex Input'!$E$53:$DT$53</definedName>
    <definedName name="RedundNInput" hidden="1">'[1]Capex Input'!$E$58:$DT$58</definedName>
    <definedName name="Repdate1">#REF!</definedName>
    <definedName name="Repdate2">#REF!</definedName>
    <definedName name="res_2002">#REF!</definedName>
    <definedName name="res_2002_a">#REF!</definedName>
    <definedName name="Revenue">#REF!</definedName>
    <definedName name="RevFixed_05">[13]TPSA_Model!$O$468</definedName>
    <definedName name="RF" hidden="1">[1]Equipment!$E$92:$DT$92</definedName>
    <definedName name="RFData" hidden="1">[1]Equipment!$E$110:$DT$110</definedName>
    <definedName name="rngColData">'[14]RevCost Report'!$G$1:$Y$65536,'[14]RevCost Report'!$AA$1:$BV$65536</definedName>
    <definedName name="rngColHidden">'[14]RevCost Report'!$A$1:$B$65536,'[14]RevCost Report'!$D$1:$D$65536</definedName>
    <definedName name="rngHideMissingColumns">FALSE</definedName>
    <definedName name="rngHideMissingRows">FALSE</definedName>
    <definedName name="rngRowHidden">'[14]RevCost Report'!$A$4:$IV$5,'[14]RevCost Report'!$A$11:$IV$17</definedName>
    <definedName name="RoutesPerLATA" hidden="1">[1]Model!$E$114:$DT$114</definedName>
    <definedName name="Rpt_Month">[15]★ﾒﾆｭｰ!$I$31</definedName>
    <definedName name="Rpt_Year">[15]★ﾒﾆｭｰ!$I$30</definedName>
    <definedName name="salefa">#REF!</definedName>
    <definedName name="SalvagePct" hidden="1">[1]Model!$E$38</definedName>
    <definedName name="SampleInput" hidden="1">'[1]Capex Input'!$E$34:$DT$34</definedName>
    <definedName name="SAPBEXhrIndnt" hidden="1">1</definedName>
    <definedName name="SAPBEXrevision" hidden="1">0</definedName>
    <definedName name="SAPBEXsysID" hidden="1">"UBP"</definedName>
    <definedName name="SAPBEXwbID" hidden="1">"46ZQZIX9P9TMSSGKMZCTXHTXP"</definedName>
    <definedName name="sdsdsd" hidden="1">{#N/A,#N/A,FALSE,"Statement of Ops";#N/A,#N/A,FALSE,"Trend Ops"}</definedName>
    <definedName name="SecretArchiveNumber" hidden="1">1</definedName>
    <definedName name="Select_Inc_Exp">[16]Ref!$B$12</definedName>
    <definedName name="sencount" localSheetId="0" hidden="1">2</definedName>
    <definedName name="sencount" hidden="1">1</definedName>
    <definedName name="ServerHWCapex" hidden="1">[1]Capex!$E$268:$DT$268</definedName>
    <definedName name="ServerHWMaint" hidden="1">[1]Capex!$E$293:$DT$293</definedName>
    <definedName name="Services_and_Revenue" hidden="1">[1]Model!$A$126:$A$195</definedName>
    <definedName name="sfsdf" hidden="1">{#N/A,#N/A,FALSE,"Statement of Ops";#N/A,#N/A,FALSE,"Trend Ops"}</definedName>
    <definedName name="sharecap">#REF!</definedName>
    <definedName name="Sheetname_Instructions">[16]Ref!#REF!</definedName>
    <definedName name="show_base">[16]WaterFall_Prep!$U$1</definedName>
    <definedName name="show_newbase">[16]WaterFall_Prep!$W$1</definedName>
    <definedName name="show_pctchange">[16]WaterFall_Prep!$Y$1</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PAPrint">[17]SPA!$A$1:$AD$48,[17]SPA!$A$90:$AD$137</definedName>
    <definedName name="Staff">#REF!</definedName>
    <definedName name="staffcosts">#REF!</definedName>
    <definedName name="std">#REF!</definedName>
    <definedName name="stocks">#REF!</definedName>
    <definedName name="subs1" hidden="1">{"Monthly Rev",#N/A,FALSE,"DetRev";"Monthly Tech",#N/A,FALSE,"DetTech";"Monthly CSR",#N/A,FALSE,"DetCSR";"Monthly Mrkt",#N/A,FALSE,"DetMrkt";"Monthly Online",#N/A,FALSE,"DetOnline";"Monthly AdSales",#N/A,FALSE,"DetAdSales";"Monthly LO",#N/A,FALSE,"DETLO";"Monthly Admin",#N/A,FALSE,"DetAdmin";"Monthly Prod",#N/A,FALSE,"DetProd";"Headcount Monthly",#N/A,FALSE,"Headcount"}</definedName>
    <definedName name="subtotal">[18]基礎ﾃﾞｰﾀ!#REF!</definedName>
    <definedName name="sweden_telenor_mobile_export">[3]IM!#REF!</definedName>
    <definedName name="TA">[12]Sheet3!$A$1:$E$196</definedName>
    <definedName name="Tangible_Fixed_Assets">#REF!</definedName>
    <definedName name="tax">#REF!</definedName>
    <definedName name="taxpaid">#REF!</definedName>
    <definedName name="telcopay">#REF!</definedName>
    <definedName name="Telesp">#REF!</definedName>
    <definedName name="Template.WIRE">"DBACCESS"</definedName>
    <definedName name="tfa">#REF!</definedName>
    <definedName name="TI_Italy_fixed_export">#REF!</definedName>
    <definedName name="Total_lines">#REF!</definedName>
    <definedName name="Trace">FALSE</definedName>
    <definedName name="Transaction_Type">[5]Front!$E$20</definedName>
    <definedName name="Trend_Start">[15]★ﾒﾆｭｰ!$L$31</definedName>
    <definedName name="uBR10Data" hidden="1">[1]Equipment!$E$100:$DT$100</definedName>
    <definedName name="uBR1OC12" hidden="1">[1]Equipment!$E$91:$DT$91</definedName>
    <definedName name="uBR1OC12Data" hidden="1">[1]Equipment!$E$109:$DT$109</definedName>
    <definedName name="uBR1OC3" hidden="1">[1]Equipment!$E$88:$DT$88</definedName>
    <definedName name="uBR1OC3Data" hidden="1">[1]Equipment!$E$106:$DT$106</definedName>
    <definedName name="uBR7Data" hidden="1">[1]Equipment!$E$103:$DT$103</definedName>
    <definedName name="uBRCapex" hidden="1">[1]Capex!$E$265:$DT$265</definedName>
    <definedName name="uBRLife" hidden="1">[1]Capex!$C$92</definedName>
    <definedName name="uBRMaint" hidden="1">[1]Capex!$E$290:$DT$290</definedName>
    <definedName name="UK_population__ms">#REF!</definedName>
    <definedName name="UKPrint">[17]UK!$A$90:$AD$137,[17]UK!$A$1:$AD$48</definedName>
    <definedName name="unadjusted">#REF!</definedName>
    <definedName name="uOne" hidden="1">[1]Equipment!$E$259:$DT$259</definedName>
    <definedName name="UpgradeVersion">"v2.35"</definedName>
    <definedName name="UPIBVPrint">[17]UPIBV!$A$1:$AD$48,[17]UPIBV!$A$90:$AD$137</definedName>
    <definedName name="UPIOPrint">[17]UPIO!$A$90:$AD$137,[17]UPIO!$A$1:$AD$48</definedName>
    <definedName name="UPVPPrint">[17]UPVP!$A$1:$AD$48,[17]UPVP!$A$90:$AD$137</definedName>
    <definedName name="USBandwidth" hidden="1">[1]Equipment!$E$54:$DT$54</definedName>
    <definedName name="USDBRL">[7]Summary!$C$86</definedName>
    <definedName name="USDJPY">[7]Summary!$C$87</definedName>
    <definedName name="UsefulLife" hidden="1">[1]Model!$E$37</definedName>
    <definedName name="USPerDataSub" hidden="1">[1]Equipment!$E$31:$DT$31</definedName>
    <definedName name="USPerDataSubInput" hidden="1">'[1]Capex Input'!$E$43:$DT$43</definedName>
    <definedName name="USPerDom" hidden="1">[1]Equipment!$E$47:$DT$47</definedName>
    <definedName name="USPerDS0" hidden="1">[1]Equipment!$E$25:$DT$25</definedName>
    <definedName name="USUtil" hidden="1">[1]Equipment!$E$61:$DT$61</definedName>
    <definedName name="USUtilData" hidden="1">[1]Equipment!$E$66:$DT$66</definedName>
    <definedName name="valuearea">[19]data!$AQ$26:$CS$864</definedName>
    <definedName name="variance_logic">#REF!</definedName>
    <definedName name="VerintFixed" hidden="1">[1]Equipment!$E$244:$DT$244</definedName>
    <definedName name="VerintVar" hidden="1">[1]Equipment!$E$250:$DT$250</definedName>
    <definedName name="Version.WIRE">1</definedName>
    <definedName name="vis_måned">[10]Grunndata!$A$3:$B$14</definedName>
    <definedName name="VISM" hidden="1">[1]Equipment!$E$159:$DT$159</definedName>
    <definedName name="VoiceLines" hidden="1">[1]Model!$E$83:$DT$83</definedName>
    <definedName name="VoiceSubs" hidden="1">[1]Model!$E$81:$DT$81</definedName>
    <definedName name="WANBandwidth" hidden="1">[1]Equipment!$E$55:$DT$55</definedName>
    <definedName name="WANPerDataSub" hidden="1">[1]Equipment!$E$32:$DT$32</definedName>
    <definedName name="WANPerDS0" hidden="1">[1]Equipment!$E$26:$DT$26</definedName>
    <definedName name="WANUtil" hidden="1">[1]Equipment!$E$62:$DT$62</definedName>
    <definedName name="WANUtilData" hidden="1">[1]Equipment!$E$67:$DT$67</definedName>
    <definedName name="WhoIs" hidden="1">"Developed by Cisco Systems, August 2002"</definedName>
    <definedName name="Workbook.Author">[20]Contents!$B$14</definedName>
    <definedName name="Workbook.Authors_Email_Address">[20]Contents!$B$15</definedName>
    <definedName name="Workbook.Objective">[20]Contents!$B$6</definedName>
    <definedName name="Workbook.Status">[20]Contents!$B$9</definedName>
    <definedName name="Workbook.Title">[20]Contents!$B$5</definedName>
    <definedName name="Workbook.Version">[20]Contents!$B$8</definedName>
    <definedName name="WORKBOOK_SAPBEXq0003" comment="DP_4">"DP_4"</definedName>
    <definedName name="WORKBOOK_SAPBEXq0004" comment="DP_5">"DP_5"</definedName>
    <definedName name="WORKBOOK_SAPBEXq0009" comment="DP_6">"DP_6"</definedName>
    <definedName name="WORKBOOK_SAPBEXq0010" comment="DP_7">"DP_7"</definedName>
    <definedName name="WORKBOOK_SAPBEXq0011" comment="DP_8">"DP_8"</definedName>
    <definedName name="WORKBOOK_SAPBEXq0012" comment="DP_9">"DP_9"</definedName>
    <definedName name="WORKBOOK_SAPBEXq0015" comment="DP_10">"DP_10"</definedName>
    <definedName name="wrn.4Q._.Report." hidden="1">{"Summary OCF",#N/A,FALSE,"Summary OCF";"Rev &amp; OCF",#N/A,FALSE,"Revenue and OCF";"Exp",#N/A,FALSE,"Expenses";"Subs",#N/A,FALSE,"Subscribers"}</definedName>
    <definedName name="wrn.Budget._.Annual." hidden="1">{"Annual P&amp;L",#N/A,TRUE,"P&amp;L";"Annual Revenue 1",#N/A,TRUE,"DetRev";"Annual Revenue 2",#N/A,TRUE,"DetRev";"Annual Tech",#N/A,TRUE,"DetTech";"Annual Customer Service",#N/A,TRUE,"DetCSR";"Annual Marketing",#N/A,TRUE,"DetMrkt";"Annual Online",#N/A,TRUE,"DetOnline";"Annual Telephony",#N/A,TRUE,"DetTelephony";"Annual Adsales",#N/A,TRUE,"DetAdSales";"Annual LO",#N/A,TRUE,"DETLO";"Annual Administration",#N/A,TRUE,"DetAdmin";"Annual Product",#N/A,TRUE,"DetProd";"Annual Manpower",#N/A,TRUE,"Manpower Summary"}</definedName>
    <definedName name="wrn.Budget._.Trend." hidden="1">{"Trend P&amp;L",#N/A,TRUE,"P&amp;L";"Trend Revenue 1",#N/A,TRUE,"DetRev";"Trend Revenue 2",#N/A,TRUE,"DetRev";"Trend Tech",#N/A,TRUE,"DetTech";"Trend Customer Service",#N/A,TRUE,"DetCSR";"Trend Marketing",#N/A,TRUE,"DetMrkt";"Trend Online",#N/A,TRUE,"DetOnline";"Trend Telephony",#N/A,TRUE,"DetTelephony";"Trend Adsales",#N/A,TRUE,"DetAdSales";"Trend LO",#N/A,TRUE,"DETLO";"Trend Administration",#N/A,TRUE,"DetAdmin";"Trend Product",#N/A,TRUE,"DetProd"}</definedName>
    <definedName name="wrn.Cable._.Headcount._.Reports." hidden="1">{"Headcount Annual",#N/A,FALSE,"Headcount";"Headcount Monthly",#N/A,FALSE,"Headcount"}</definedName>
    <definedName name="wrn.Capital." hidden="1">{"Capital",#N/A,FALSE,"CapSum"}</definedName>
    <definedName name="wrn.Capital._.Report." hidden="1">{"Capital",#N/A,FALSE,"CapSum"}</definedName>
    <definedName name="wrn.Capital._.Reports." hidden="1">{"Capital Summary",#N/A,FALSE,"CapSum";"Other Capital",#N/A,FALSE,"CapDet";"Construction Report",#N/A,FALSE,"ConstRep"}</definedName>
    <definedName name="wrn.Capital._.Summary." hidden="1">{"Capital",#N/A,FALSE,"CapSum"}</definedName>
    <definedName name="wrn.Current._.Month." hidden="1">{"current month",#N/A,FALSE,"Capitalization"}</definedName>
    <definedName name="wrn.Digital._.Sub._.Detail." hidden="1">{"Digital Detail",#N/A,FALSE,"Digital"}</definedName>
    <definedName name="wrn.Financial._.Reports." hidden="1">{#N/A,#N/A,FALSE,"Statement of Ops";#N/A,#N/A,FALSE,"Trend Ops";#N/A,#N/A,FALSE,"Revenue";#N/A,#N/A,FALSE,"Trend Rev";#N/A,#N/A,FALSE,"Tech";#N/A,#N/A,FALSE,"Trend Tech";#N/A,#N/A,FALSE,"Cust Serv";#N/A,#N/A,FALSE,"Trend Cust Serv";#N/A,#N/A,FALSE,"Marketing";#N/A,#N/A,FALSE,"Trend Marketing";#N/A,#N/A,FALSE,"Online";#N/A,#N/A,FALSE,"Trend Online";#N/A,#N/A,FALSE,"Telephony";#N/A,#N/A,FALSE,"Trend Telephony";#N/A,#N/A,FALSE,"Ad Sales";#N/A,#N/A,FALSE,"Trend Ad Sales";#N/A,#N/A,FALSE,"LO";#N/A,#N/A,FALSE,"Trend LO";#N/A,#N/A,FALSE,"Admin";#N/A,#N/A,FALSE,"Trend Admin";#N/A,#N/A,FALSE,"Product";#N/A,#N/A,FALSE,"Trend Product"}</definedName>
    <definedName name="wrn.Monthly._.Financial._.Reports." hidden="1">{"Monthly Rev",#N/A,FALSE,"DetRev";"Monthly Tech",#N/A,FALSE,"DetTech";"Monthly CSR",#N/A,FALSE,"DetCSR";"Monthly Mrkt",#N/A,FALSE,"DetMrkt";"Monthly Online",#N/A,FALSE,"DetOnline";"Monthly AdSales",#N/A,FALSE,"DetAdSales";"Monthly LO",#N/A,FALSE,"DETLO";"Monthly Admin",#N/A,FALSE,"DetAdmin";"Monthly Prod",#N/A,FALSE,"DetProd";"Headcount Monthly",#N/A,FALSE,"Headcount"}</definedName>
    <definedName name="wrn.No._.Ad._.Sales._.Reports." hidden="1">{"Annual P&amp;L NoAd",#N/A,FALSE,"P&amp;L No Ad Sales";"Annual Rev NoAd",#N/A,FALSE,"DetRev No Ad Sales";"Monthly P&amp;L NoAd",#N/A,FALSE,"P&amp;L No Ad Sales";"Monthly Rev NoAd",#N/A,FALSE,"DetRev No Ad Sales"}</definedName>
    <definedName name="wrn.No._.AdSales._.Annual." hidden="1">{"P&amp;L No Ads Annual",#N/A,TRUE,"P&amp;L No Ad Sales";"Revenue No Ads Annual",#N/A,TRUE,"DetRev No Ad Sales"}</definedName>
    <definedName name="wrn.No._.AdSales._.Financial." hidden="1">{"Annual P&amp;L No Ads",#N/A,TRUE,"Trend No AdSales";"Monthly P&amp;L No Ads",#N/A,TRUE,"Trend No AdSales";"Annual Rev no Ads",#N/A,TRUE,"Trend Rev No AdSales";"Monthly Rev No Ads",#N/A,TRUE,"Trend Rev No AdSales"}</definedName>
    <definedName name="wrn.No._.Adsales._.Reports." hidden="1">{"Trend P&amp;L No Adsales",#N/A,TRUE,"P&amp;L No Ad Sales";"Annual P&amp;L No Adsales",#N/A,TRUE,"P&amp;L No Ad Sales";"Trend Revenue no Adsales",#N/A,TRUE,"DetRev No AdSales";"Annual Revenue No AdSales",#N/A,TRUE,"DetRev No AdSales"}</definedName>
    <definedName name="wrn.No._.AdSales._.Trend." hidden="1">{"P&amp;L No Ads Trend",#N/A,TRUE,"P&amp;L No Ad Sales";"Revenue No Ads Trend",#N/A,TRUE,"DetRev No Ad Sales"}</definedName>
    <definedName name="wrn.Online._.Headcount._.Reports." hidden="1">{"Online Headcount Annual",#N/A,FALSE,"Headcount";"Online Headcount Monthly",#N/A,FALSE,"Headcount"}</definedName>
    <definedName name="wrn.Online._.Sub._.Detail." hidden="1">{"Online Detail",#N/A,FALSE,"OnLine"}</definedName>
    <definedName name="wrn.PandL." localSheetId="26" hidden="1">{"P&amp;L",#N/A,FALSE,"annual"}</definedName>
    <definedName name="wrn.PandL." hidden="1">{"P&amp;L",#N/A,FALSE,"annual"}</definedName>
    <definedName name="wrn.Pay._.Sub._.Detail." hidden="1">{"Pay Detail",#N/A,FALSE,"Pay"}</definedName>
    <definedName name="wrn.Trend." hidden="1">{"trend",#N/A,TRUE,"Capitalization"}</definedName>
    <definedName name="wrn.Trend._.Reports." hidden="1">{"P&amp;L Trend",#N/A,TRUE,"P&amp;L";"Revenue Trend",#N/A,TRUE,"DetRev";"Tech Trend",#N/A,TRUE,"DetTech";"Customer Service Trend",#N/A,TRUE,"DetCSR";"Marketing Trend",#N/A,TRUE,"DetMrkt";"Online Trend",#N/A,TRUE,"DetOnline";"Telephony Trend",#N/A,TRUE,"DetTelephony";"Adsales Trend",#N/A,TRUE,"DetAdSales";"LO Trend",#N/A,TRUE,"DETLO";"Admin Trend",#N/A,TRUE,"DetAdmin";"Product Trend",#N/A,TRUE,"DetProd"}</definedName>
    <definedName name="wrn.Vodafone._.printout." localSheetId="26" hidden="1">{"Groupannual",#N/A,FALSE,"Groupannual";"VodMann",#N/A,FALSE,"VodMann";"Data",#N/A,FALSE,"Data";"Group International",#N/A,FALSE,"Group International";"BellAir",#N/A,FALSE,"BellAir";"DCF sum of parts",#N/A,FALSE,"DCF sum of parts";"licences",#N/A,FALSE,"licences"}</definedName>
    <definedName name="wrn.Vodafone._.printout." hidden="1">{"Groupannual",#N/A,FALSE,"Groupannual";"VodMann",#N/A,FALSE,"VodMann";"Data",#N/A,FALSE,"Data";"Group International",#N/A,FALSE,"Group International";"BellAir",#N/A,FALSE,"BellAir";"DCF sum of parts",#N/A,FALSE,"DCF sum of parts";"licences",#N/A,FALSE,"licences"}</definedName>
    <definedName name="wwwwwwwwwwwww" hidden="1">{#N/A,#N/A,FALSE,"Statement of Ops";#N/A,#N/A,FALSE,"Trend Ops"}</definedName>
    <definedName name="xxxx" hidden="1">{"P&amp;L Annual",#N/A,FALSE,"P&amp;L";"Rev Annual",#N/A,FALSE,"DetRev";"Tech Annual",#N/A,FALSE,"DetTech";"CSR Annual",#N/A,FALSE,"DetCSR";"Marketing Annual",#N/A,FALSE,"DetMrkt";"Ad Sales Annual",#N/A,FALSE,"DetAdSales";"LO Annual",#N/A,FALSE,"DETLO";"Admin Annual",#N/A,FALSE,"DetAdmin";"Product Annual",#N/A,FALSE,"DetProd"}</definedName>
    <definedName name="Year_ending_March">#REF!</definedName>
    <definedName name="years">#REF!</definedName>
    <definedName name="Yellow">#REF!</definedName>
    <definedName name="YTDcomrange1">#REF!</definedName>
    <definedName name="YTDcomrange2">#REF!</definedName>
    <definedName name="Z_FB9FEF07_E23D_4093_B787_DA7C6E65880F_.wvu.PrintTitles" hidden="1">'[21]Inputs - Debt Roll'!$A$1:$F$65536,'[21]Inputs - Debt Roll'!$A$1:$IV$9</definedName>
    <definedName name="ｸﾞﾚｰ">'[22]ﾃﾞｰﾀ加工(MTD)'!$EY$4</definedName>
    <definedName name="ｸﾞﾚｰY">'[22]ﾃﾞｰﾀ加工(YTD)'!$EY$4</definedName>
    <definedName name="チケット別日別販売実績_DAT">#REF!</definedName>
    <definedName name="ベニューリスト">#REF!</definedName>
    <definedName name="元DATA">'[12]03FY 2nd Hafl Latest Estimate'!$B$2:$J$1450</definedName>
    <definedName name="利益処分計算">'[12]03FY 2nd Hafl Latest Estimate'!#REF!</definedName>
    <definedName name="勘定科目">#REF!</definedName>
    <definedName name="印刷01">'[12]03FY 2nd Hafl Latest Estimate'!$B$4:$Z$399</definedName>
    <definedName name="印刷02">'[12]03FY 2nd Hafl Latest Estimate'!$B$400:$Z$474</definedName>
    <definedName name="反転">'[22]ﾃﾞｰﾀ加工(MTD)'!$FC$4</definedName>
    <definedName name="反転Y">'[22]ﾃﾞｰﾀ加工(YTD)'!$FC$4</definedName>
    <definedName name="基本項目_FLAG">[18]基礎ﾃﾞｰﾀ!#REF!</definedName>
    <definedName name="消税率">#REF!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3345" i="16" l="1"/>
  <c r="BM3331" i="16"/>
  <c r="BC3336" i="16"/>
  <c r="BD3336" i="16"/>
  <c r="BE3336" i="16"/>
  <c r="BF3336" i="16"/>
  <c r="BG3336" i="16"/>
  <c r="BH3336" i="16"/>
  <c r="BI3336" i="16"/>
  <c r="BJ3336" i="16"/>
  <c r="BB3335" i="16"/>
  <c r="BB3334" i="16"/>
  <c r="BR3304" i="16"/>
  <c r="BP3419" i="16"/>
  <c r="BO3419" i="16"/>
  <c r="BN3419" i="16"/>
  <c r="BM3419" i="16"/>
  <c r="BL3419" i="16"/>
  <c r="BK3419" i="16"/>
  <c r="BJ3419" i="16"/>
  <c r="BI3419" i="16"/>
  <c r="BH3419" i="16"/>
  <c r="BP3416" i="16"/>
  <c r="BO3416" i="16"/>
  <c r="BN3416" i="16"/>
  <c r="BM3416" i="16"/>
  <c r="BL3416" i="16"/>
  <c r="BK3416" i="16"/>
  <c r="BJ3416" i="16"/>
  <c r="BI3416" i="16"/>
  <c r="BC3360" i="16"/>
  <c r="BD3360" i="16"/>
  <c r="BE3360" i="16"/>
  <c r="BF3360" i="16"/>
  <c r="BG3360" i="16"/>
  <c r="BH3360" i="16"/>
  <c r="BI3360" i="16"/>
  <c r="BJ3360" i="16"/>
  <c r="BK3360" i="16"/>
  <c r="BL3360" i="16"/>
  <c r="BM3360" i="16"/>
  <c r="BN3360" i="16"/>
  <c r="BO3360" i="16"/>
  <c r="BP3360" i="16"/>
  <c r="BB3360" i="16"/>
  <c r="BE3362" i="16"/>
  <c r="BF3362" i="16" s="1"/>
  <c r="BG3362" i="16" s="1"/>
  <c r="BH3362" i="16" s="1"/>
  <c r="BI3362" i="16" s="1"/>
  <c r="BJ3362" i="16" s="1"/>
  <c r="BK3362" i="16" s="1"/>
  <c r="BL3362" i="16" s="1"/>
  <c r="BM3362" i="16" s="1"/>
  <c r="BN3362" i="16" s="1"/>
  <c r="BO3362" i="16" s="1"/>
  <c r="BP3362" i="16" s="1"/>
  <c r="CD3345" i="16" l="1"/>
  <c r="CD3331" i="16"/>
  <c r="BT3336" i="16"/>
  <c r="BU3336" i="16"/>
  <c r="BV3336" i="16"/>
  <c r="BW3336" i="16"/>
  <c r="BX3336" i="16"/>
  <c r="BY3336" i="16"/>
  <c r="BZ3336" i="16"/>
  <c r="CA3336" i="16"/>
  <c r="BS3335" i="16"/>
  <c r="BS3334" i="16"/>
  <c r="BR3303" i="16"/>
  <c r="BS3299" i="16"/>
  <c r="BS3294" i="16"/>
  <c r="BS3292" i="16"/>
  <c r="BE3292" i="16"/>
  <c r="BF3292" i="16"/>
  <c r="BE3294" i="16"/>
  <c r="BF3294" i="16"/>
  <c r="BC3296" i="16"/>
  <c r="BD3296" i="16"/>
  <c r="BE3296" i="16"/>
  <c r="BF3296" i="16"/>
  <c r="BC3300" i="16"/>
  <c r="BD3300" i="16"/>
  <c r="BE3300" i="16"/>
  <c r="BF3300" i="16"/>
  <c r="BG3301" i="16"/>
  <c r="BH3301" i="16"/>
  <c r="BI3301" i="16"/>
  <c r="BJ3301" i="16"/>
  <c r="BK3301" i="16"/>
  <c r="BL3301" i="16"/>
  <c r="BM3301" i="16"/>
  <c r="BN3301" i="16"/>
  <c r="BO3301" i="16"/>
  <c r="BP3301" i="16"/>
  <c r="BC3304" i="16"/>
  <c r="BD3304" i="16"/>
  <c r="BE3304" i="16"/>
  <c r="BF3304" i="16"/>
  <c r="BB3304" i="16"/>
  <c r="BB3300" i="16"/>
  <c r="BB3296" i="16"/>
  <c r="BB3294" i="16"/>
  <c r="AH59" i="1"/>
  <c r="U27" i="26"/>
  <c r="V27" i="26"/>
  <c r="W27" i="26"/>
  <c r="X27" i="26"/>
  <c r="Y27" i="26"/>
  <c r="Z27" i="26"/>
  <c r="AA27" i="26"/>
  <c r="AA28" i="26"/>
  <c r="Z28" i="26"/>
  <c r="Y28" i="26"/>
  <c r="X28" i="26"/>
  <c r="W28" i="26"/>
  <c r="V28" i="26"/>
  <c r="U28" i="26"/>
  <c r="AA26" i="26"/>
  <c r="Z26" i="26"/>
  <c r="Y26" i="26"/>
  <c r="X26" i="26"/>
  <c r="W26" i="26"/>
  <c r="V26" i="26"/>
  <c r="U26" i="26"/>
  <c r="AA3" i="26"/>
  <c r="Z3" i="26"/>
  <c r="BB3292" i="16"/>
  <c r="AT33" i="27" l="1"/>
  <c r="AU33" i="27"/>
  <c r="AW26" i="27"/>
  <c r="AW27" i="27"/>
  <c r="AW25" i="27"/>
  <c r="AW22" i="27"/>
  <c r="AW23" i="27"/>
  <c r="AW21" i="27"/>
  <c r="S40" i="10" l="1"/>
  <c r="R40" i="10"/>
  <c r="Q40" i="10"/>
  <c r="P40" i="10"/>
  <c r="O40" i="10"/>
  <c r="Y30" i="13"/>
  <c r="Z30" i="13" s="1"/>
  <c r="AA30" i="13" s="1"/>
  <c r="AB30" i="13" s="1"/>
  <c r="AC30" i="13" s="1"/>
  <c r="AD30" i="13" s="1"/>
  <c r="W30" i="13"/>
  <c r="Q41" i="10" l="1"/>
  <c r="S41" i="10"/>
  <c r="R41" i="10"/>
  <c r="P41" i="10"/>
  <c r="AU27" i="27" l="1"/>
  <c r="AT27" i="27"/>
  <c r="AU26" i="27"/>
  <c r="AT26" i="27"/>
  <c r="AU25" i="27"/>
  <c r="AT25" i="27"/>
  <c r="AU23" i="27"/>
  <c r="AT23" i="27"/>
  <c r="AU22" i="27"/>
  <c r="AT22" i="27"/>
  <c r="AU21" i="27"/>
  <c r="AT21" i="27"/>
  <c r="AT2" i="27"/>
  <c r="AU2" i="27"/>
  <c r="AV2" i="27"/>
  <c r="X11" i="13" l="1"/>
  <c r="Y3" i="26" l="1"/>
  <c r="X3" i="26"/>
  <c r="AD149" i="18"/>
  <c r="AC149" i="18"/>
  <c r="AN146" i="18"/>
  <c r="AM146" i="18"/>
  <c r="AL146" i="18"/>
  <c r="AK146" i="18"/>
  <c r="AJ146" i="18"/>
  <c r="AI146" i="18"/>
  <c r="AH146" i="18"/>
  <c r="AG146" i="18"/>
  <c r="AF146" i="18"/>
  <c r="AE146" i="18"/>
  <c r="AD146" i="18"/>
  <c r="AC146" i="18"/>
  <c r="AC141" i="18"/>
  <c r="AB141" i="18"/>
  <c r="AA141" i="18"/>
  <c r="Z141" i="18"/>
  <c r="AC140" i="18"/>
  <c r="AB140" i="18"/>
  <c r="AA140" i="18"/>
  <c r="Z140" i="18"/>
  <c r="AD134" i="18"/>
  <c r="AC134" i="18"/>
  <c r="AC133" i="18"/>
  <c r="AB133" i="18"/>
  <c r="AA133" i="18"/>
  <c r="Z133" i="18"/>
  <c r="AD132" i="18"/>
  <c r="AC132" i="18"/>
  <c r="AB132" i="18"/>
  <c r="AA132" i="18"/>
  <c r="Z132" i="18"/>
  <c r="AN28" i="18"/>
  <c r="AM28" i="18"/>
  <c r="AL28" i="18"/>
  <c r="AK28" i="18"/>
  <c r="AJ28" i="18"/>
  <c r="AI28" i="18"/>
  <c r="AH28" i="18"/>
  <c r="AG28" i="18"/>
  <c r="AF28" i="18"/>
  <c r="AE28" i="18"/>
  <c r="AD27" i="18"/>
  <c r="AC27" i="18"/>
  <c r="AB27" i="18"/>
  <c r="AA27" i="18"/>
  <c r="Z27" i="18"/>
  <c r="AD26" i="18"/>
  <c r="AC26" i="18"/>
  <c r="AB26" i="18"/>
  <c r="AA26" i="18"/>
  <c r="Z26" i="18"/>
  <c r="AD20" i="18"/>
  <c r="AC20" i="18"/>
  <c r="AB20" i="18"/>
  <c r="AD11" i="18"/>
  <c r="AC11" i="18"/>
  <c r="AB11" i="18"/>
  <c r="AA11" i="18"/>
  <c r="Z11" i="18"/>
  <c r="C3404" i="16" l="1"/>
  <c r="D3404" i="16"/>
  <c r="E3404" i="16"/>
  <c r="F3382" i="16"/>
  <c r="G3382" i="16" s="1"/>
  <c r="H3382" i="16" s="1"/>
  <c r="H3404" i="16" s="1"/>
  <c r="F3425" i="16"/>
  <c r="G3425" i="16" s="1"/>
  <c r="H3425" i="16" s="1"/>
  <c r="F3404" i="16" l="1"/>
  <c r="G3404" i="16"/>
  <c r="Q3416" i="16" l="1"/>
  <c r="P3416" i="16"/>
  <c r="O3416" i="16"/>
  <c r="N3416" i="16"/>
  <c r="M3416" i="16"/>
  <c r="L3416" i="16"/>
  <c r="K3416" i="16"/>
  <c r="F3366" i="16"/>
  <c r="BE3366" i="16" s="1"/>
  <c r="G3366" i="16"/>
  <c r="BF3366" i="16" s="1"/>
  <c r="G3364" i="16"/>
  <c r="BF3364" i="16" s="1"/>
  <c r="F3364" i="16"/>
  <c r="BE3364" i="16" s="1"/>
  <c r="I3425" i="16"/>
  <c r="I3382" i="16"/>
  <c r="J3382" i="16" s="1"/>
  <c r="K3382" i="16" s="1"/>
  <c r="L3382" i="16" s="1"/>
  <c r="M3382" i="16" s="1"/>
  <c r="N3382" i="16" s="1"/>
  <c r="O3382" i="16" s="1"/>
  <c r="P3382" i="16" s="1"/>
  <c r="Q3382" i="16" s="1"/>
  <c r="Q3404" i="16" s="1"/>
  <c r="F3362" i="16"/>
  <c r="G3362" i="16" s="1"/>
  <c r="H3362" i="16" s="1"/>
  <c r="I3362" i="16" s="1"/>
  <c r="J3362" i="16" s="1"/>
  <c r="K3362" i="16" s="1"/>
  <c r="L3362" i="16" s="1"/>
  <c r="M3362" i="16" s="1"/>
  <c r="N3362" i="16" s="1"/>
  <c r="O3362" i="16" s="1"/>
  <c r="P3362" i="16" s="1"/>
  <c r="Q3362" i="16" s="1"/>
  <c r="Y314" i="1"/>
  <c r="Z314" i="1" s="1"/>
  <c r="C3315" i="16"/>
  <c r="C3331" i="16"/>
  <c r="C3344" i="16" l="1"/>
  <c r="E3344" i="16" s="1"/>
  <c r="J3425" i="16"/>
  <c r="I3419" i="16"/>
  <c r="P3404" i="16"/>
  <c r="O3404" i="16"/>
  <c r="N3404" i="16"/>
  <c r="M3404" i="16"/>
  <c r="L3404" i="16"/>
  <c r="K3404" i="16"/>
  <c r="I3404" i="16"/>
  <c r="J3404" i="16"/>
  <c r="K3425" i="16" l="1"/>
  <c r="J3419" i="16"/>
  <c r="L3425" i="16" l="1"/>
  <c r="K3419" i="16"/>
  <c r="M3425" i="16" l="1"/>
  <c r="L3419" i="16"/>
  <c r="N3425" i="16" l="1"/>
  <c r="M3419" i="16"/>
  <c r="O3425" i="16" l="1"/>
  <c r="N3419" i="16"/>
  <c r="P3425" i="16" l="1"/>
  <c r="O3419" i="16"/>
  <c r="Q3425" i="16" l="1"/>
  <c r="Q3419" i="16" s="1"/>
  <c r="P3419" i="16"/>
  <c r="Y536" i="1" l="1"/>
  <c r="Z536" i="1" s="1"/>
  <c r="AA536" i="1" s="1"/>
  <c r="AB536" i="1" s="1"/>
  <c r="AC536" i="1" s="1"/>
  <c r="AD536" i="1" s="1"/>
  <c r="AE536" i="1" s="1"/>
  <c r="AF536" i="1" s="1"/>
  <c r="AG536" i="1" s="1"/>
  <c r="AH536" i="1" s="1"/>
  <c r="Y529" i="1"/>
  <c r="Z529" i="1" s="1"/>
  <c r="AA529" i="1" s="1"/>
  <c r="AB529" i="1" s="1"/>
  <c r="AC529" i="1" s="1"/>
  <c r="AD529" i="1" s="1"/>
  <c r="AE529" i="1" s="1"/>
  <c r="AF529" i="1" s="1"/>
  <c r="AG529" i="1" s="1"/>
  <c r="AH529" i="1" s="1"/>
  <c r="Y522" i="1"/>
  <c r="Z522" i="1" s="1"/>
  <c r="AA522" i="1" s="1"/>
  <c r="AB522" i="1" s="1"/>
  <c r="AC522" i="1" s="1"/>
  <c r="AD522" i="1" s="1"/>
  <c r="AE522" i="1" s="1"/>
  <c r="AF522" i="1" s="1"/>
  <c r="AG522" i="1" s="1"/>
  <c r="AH522" i="1" s="1"/>
  <c r="E3502" i="16"/>
  <c r="F3501" i="16" s="1"/>
  <c r="J3491" i="16"/>
  <c r="J3493" i="16" s="1"/>
  <c r="F3498" i="16" l="1"/>
  <c r="F3499" i="16"/>
  <c r="F3500" i="16"/>
  <c r="I3491" i="16"/>
  <c r="I3493" i="16" s="1"/>
  <c r="H3482" i="16" l="1"/>
  <c r="AM537" i="1"/>
  <c r="AM539" i="1" s="1"/>
  <c r="Y549" i="1" l="1"/>
  <c r="Z549" i="1" s="1"/>
  <c r="AA549" i="1" s="1"/>
  <c r="Y543" i="1"/>
  <c r="Z543" i="1" s="1"/>
  <c r="AA543" i="1" s="1"/>
  <c r="V540" i="1"/>
  <c r="V536" i="1"/>
  <c r="V538" i="1" s="1"/>
  <c r="V529" i="1"/>
  <c r="V531" i="1" s="1"/>
  <c r="V522" i="1"/>
  <c r="V524" i="1" s="1"/>
  <c r="V515" i="1"/>
  <c r="V517" i="1" s="1"/>
  <c r="W538" i="1"/>
  <c r="W531" i="1"/>
  <c r="W524" i="1"/>
  <c r="W517" i="1"/>
  <c r="W540" i="1"/>
  <c r="X540" i="1"/>
  <c r="X538" i="1"/>
  <c r="X531" i="1"/>
  <c r="X524" i="1"/>
  <c r="X517" i="1"/>
  <c r="G170" i="25"/>
  <c r="Z354" i="1"/>
  <c r="AA354" i="1" s="1"/>
  <c r="AB354" i="1" s="1"/>
  <c r="AC354" i="1" s="1"/>
  <c r="AD354" i="1" s="1"/>
  <c r="AE354" i="1" s="1"/>
  <c r="AF354" i="1" s="1"/>
  <c r="AG354" i="1" s="1"/>
  <c r="AH354" i="1" s="1"/>
  <c r="X343" i="1"/>
  <c r="CD131" i="5"/>
  <c r="BZ131" i="5"/>
  <c r="CF130" i="5"/>
  <c r="CF136" i="5" s="1"/>
  <c r="CE130" i="5"/>
  <c r="CE136" i="5" s="1"/>
  <c r="CF129" i="5"/>
  <c r="CF277" i="5" s="1"/>
  <c r="CE129" i="5"/>
  <c r="CE135" i="5" s="1"/>
  <c r="CG128" i="5"/>
  <c r="CF128" i="5"/>
  <c r="CE128" i="5"/>
  <c r="CG138" i="5"/>
  <c r="CF138" i="5"/>
  <c r="CE138" i="5"/>
  <c r="CF184" i="5"/>
  <c r="CF185" i="5" s="1"/>
  <c r="CE184" i="5"/>
  <c r="CE185" i="5" s="1"/>
  <c r="CF179" i="5"/>
  <c r="CE179" i="5"/>
  <c r="CD179" i="5"/>
  <c r="CG300" i="5"/>
  <c r="CF300" i="5"/>
  <c r="CE300" i="5"/>
  <c r="CG286" i="5"/>
  <c r="CF286" i="5"/>
  <c r="CE286" i="5"/>
  <c r="CF291" i="5"/>
  <c r="CE291" i="5"/>
  <c r="CF297" i="5"/>
  <c r="CE297" i="5"/>
  <c r="CF296" i="5"/>
  <c r="CE296" i="5"/>
  <c r="CF295" i="5"/>
  <c r="CE295" i="5"/>
  <c r="CF294" i="5"/>
  <c r="CE294" i="5"/>
  <c r="FE39" i="5"/>
  <c r="FD39" i="5"/>
  <c r="FE35" i="5"/>
  <c r="FD35" i="5"/>
  <c r="AB137" i="27"/>
  <c r="Z110" i="27"/>
  <c r="X110" i="27"/>
  <c r="Y101" i="27"/>
  <c r="X101" i="27"/>
  <c r="Y100" i="27"/>
  <c r="X100" i="27"/>
  <c r="Y97" i="27"/>
  <c r="X97" i="27"/>
  <c r="Y96" i="27"/>
  <c r="X96" i="27"/>
  <c r="Z111" i="27"/>
  <c r="Y111" i="27"/>
  <c r="X111" i="27"/>
  <c r="Y110" i="27"/>
  <c r="Z109" i="27"/>
  <c r="Z159" i="27" s="1"/>
  <c r="Y109" i="27"/>
  <c r="Y159" i="27" s="1"/>
  <c r="X109" i="27"/>
  <c r="X159" i="27" s="1"/>
  <c r="Y161" i="27"/>
  <c r="X161" i="27"/>
  <c r="Y142" i="27"/>
  <c r="X145" i="27"/>
  <c r="Y133" i="27"/>
  <c r="Y139" i="27" s="1"/>
  <c r="Y140" i="27" s="1"/>
  <c r="X133" i="27"/>
  <c r="Y12" i="27"/>
  <c r="X12" i="27"/>
  <c r="Y150" i="27"/>
  <c r="Y153" i="27" s="1"/>
  <c r="Y155" i="27" s="1"/>
  <c r="X150" i="27"/>
  <c r="X153" i="27" s="1"/>
  <c r="X155" i="27" s="1"/>
  <c r="AA137" i="27"/>
  <c r="Y64" i="27"/>
  <c r="X64" i="27"/>
  <c r="Y40" i="27"/>
  <c r="X40" i="27"/>
  <c r="Y39" i="27"/>
  <c r="X39" i="27"/>
  <c r="Y38" i="27"/>
  <c r="X38" i="27"/>
  <c r="AB18" i="27"/>
  <c r="AB132" i="27" s="1"/>
  <c r="AA27" i="27"/>
  <c r="Z27" i="27" s="1"/>
  <c r="AV27" i="27" s="1"/>
  <c r="Y24" i="27"/>
  <c r="Y20" i="27"/>
  <c r="X24" i="27"/>
  <c r="X20" i="27"/>
  <c r="AA18" i="27"/>
  <c r="AA132" i="27" s="1"/>
  <c r="X18" i="27"/>
  <c r="X132" i="27" s="1"/>
  <c r="Y18" i="27"/>
  <c r="Y90" i="27" s="1"/>
  <c r="Z18" i="27"/>
  <c r="Z132" i="27" s="1"/>
  <c r="CF81" i="5"/>
  <c r="CE81" i="5"/>
  <c r="CF135" i="5" l="1"/>
  <c r="X5" i="27"/>
  <c r="Y4" i="27"/>
  <c r="X544" i="1"/>
  <c r="X554" i="1"/>
  <c r="W544" i="1"/>
  <c r="W554" i="1"/>
  <c r="V544" i="1"/>
  <c r="V554" i="1"/>
  <c r="CE131" i="5"/>
  <c r="CE137" i="5" s="1"/>
  <c r="Y132" i="27"/>
  <c r="FD130" i="5"/>
  <c r="FE130" i="5"/>
  <c r="AB543" i="1"/>
  <c r="AB549" i="1"/>
  <c r="V546" i="1"/>
  <c r="X546" i="1"/>
  <c r="W546" i="1"/>
  <c r="CE277" i="5"/>
  <c r="X90" i="27"/>
  <c r="X37" i="27"/>
  <c r="CF131" i="5"/>
  <c r="Y37" i="27"/>
  <c r="Y5" i="27"/>
  <c r="FD129" i="5"/>
  <c r="Z37" i="27"/>
  <c r="Z90" i="27"/>
  <c r="FE129" i="5"/>
  <c r="X4" i="27"/>
  <c r="Y145" i="27"/>
  <c r="X142" i="27"/>
  <c r="Y19" i="27"/>
  <c r="X19" i="27"/>
  <c r="Y30" i="27" l="1"/>
  <c r="W550" i="1"/>
  <c r="W556" i="1"/>
  <c r="V550" i="1"/>
  <c r="V556" i="1"/>
  <c r="X556" i="1"/>
  <c r="C3489" i="16"/>
  <c r="FD131" i="5"/>
  <c r="AC543" i="1"/>
  <c r="AD543" i="1" s="1"/>
  <c r="AE543" i="1" s="1"/>
  <c r="AF543" i="1" s="1"/>
  <c r="AC549" i="1"/>
  <c r="X34" i="27"/>
  <c r="X160" i="27" s="1"/>
  <c r="X30" i="27"/>
  <c r="X3" i="27"/>
  <c r="Y34" i="27"/>
  <c r="Y160" i="27" s="1"/>
  <c r="Y3" i="27"/>
  <c r="Y31" i="27"/>
  <c r="X31" i="27"/>
  <c r="CF14" i="5"/>
  <c r="CF132" i="5" s="1"/>
  <c r="CE14" i="5"/>
  <c r="CE132" i="5" s="1"/>
  <c r="CD14" i="5"/>
  <c r="CD132" i="5" s="1"/>
  <c r="U8" i="10"/>
  <c r="R8" i="21"/>
  <c r="S8" i="21" s="1"/>
  <c r="T8" i="21" s="1"/>
  <c r="CE261" i="5"/>
  <c r="CF261" i="5" s="1"/>
  <c r="CE260" i="5"/>
  <c r="CF260" i="5" s="1"/>
  <c r="CE259" i="5"/>
  <c r="CF259" i="5" s="1"/>
  <c r="CF269" i="5" s="1"/>
  <c r="CG256" i="5"/>
  <c r="CF256" i="5"/>
  <c r="CE256" i="5"/>
  <c r="CD256" i="5"/>
  <c r="CE262" i="5"/>
  <c r="CF262" i="5" s="1"/>
  <c r="CD263" i="5"/>
  <c r="S33" i="10"/>
  <c r="CF19" i="5"/>
  <c r="CF21" i="5" s="1"/>
  <c r="CE19" i="5"/>
  <c r="CE21" i="5" s="1"/>
  <c r="BZ17" i="5"/>
  <c r="CC17" i="5"/>
  <c r="BZ15" i="5"/>
  <c r="FD15" i="5" s="1"/>
  <c r="CC15" i="5"/>
  <c r="FE16" i="5"/>
  <c r="FD16" i="5"/>
  <c r="U25" i="10"/>
  <c r="V25" i="10" s="1"/>
  <c r="Z22" i="1" s="1"/>
  <c r="T36" i="10"/>
  <c r="S36" i="10"/>
  <c r="S42" i="10" s="1"/>
  <c r="U32" i="10"/>
  <c r="Y24" i="1" s="1"/>
  <c r="CH17" i="5" s="1"/>
  <c r="CG17" i="5" s="1"/>
  <c r="T33" i="10"/>
  <c r="T26" i="10"/>
  <c r="P6" i="10"/>
  <c r="Q6" i="10"/>
  <c r="R6" i="10"/>
  <c r="S6" i="10"/>
  <c r="P7" i="10"/>
  <c r="Q7" i="10"/>
  <c r="R7" i="10"/>
  <c r="S7" i="10"/>
  <c r="P8" i="10"/>
  <c r="Q8" i="10"/>
  <c r="R8" i="10"/>
  <c r="S8" i="10"/>
  <c r="P5" i="10"/>
  <c r="Q5" i="10"/>
  <c r="R5" i="10"/>
  <c r="S5" i="10"/>
  <c r="T6" i="10"/>
  <c r="U6" i="10" s="1"/>
  <c r="V6" i="10" s="1"/>
  <c r="W6" i="10" s="1"/>
  <c r="X6" i="10" s="1"/>
  <c r="Y6" i="10" s="1"/>
  <c r="Z6" i="10" s="1"/>
  <c r="AA6" i="10" s="1"/>
  <c r="AB6" i="10" s="1"/>
  <c r="AC6" i="10" s="1"/>
  <c r="AD6" i="10" s="1"/>
  <c r="T7" i="10"/>
  <c r="U7" i="10" s="1"/>
  <c r="V7" i="10" s="1"/>
  <c r="W7" i="10" s="1"/>
  <c r="X7" i="10" s="1"/>
  <c r="Y7" i="10" s="1"/>
  <c r="Z7" i="10" s="1"/>
  <c r="AA7" i="10" s="1"/>
  <c r="AB7" i="10" s="1"/>
  <c r="AC7" i="10" s="1"/>
  <c r="AD7" i="10" s="1"/>
  <c r="T8" i="10"/>
  <c r="T5" i="10"/>
  <c r="U5" i="10" s="1"/>
  <c r="V5" i="10" s="1"/>
  <c r="V54" i="13"/>
  <c r="CC130" i="5"/>
  <c r="CC129" i="5"/>
  <c r="BX130" i="5"/>
  <c r="BX129" i="5"/>
  <c r="BS130" i="5"/>
  <c r="BS129" i="5"/>
  <c r="BN130" i="5"/>
  <c r="BN129" i="5"/>
  <c r="BI130" i="5"/>
  <c r="BI129" i="5"/>
  <c r="BD130" i="5"/>
  <c r="BD129" i="5"/>
  <c r="AY130" i="5"/>
  <c r="AY129" i="5"/>
  <c r="C16" i="5"/>
  <c r="D16" i="5"/>
  <c r="E16" i="5"/>
  <c r="B16" i="5"/>
  <c r="P8" i="13"/>
  <c r="P7" i="13"/>
  <c r="P6" i="13"/>
  <c r="P5" i="13"/>
  <c r="AX291" i="5"/>
  <c r="AY291" i="5" s="1"/>
  <c r="AY290" i="5"/>
  <c r="AY289" i="5"/>
  <c r="AY288" i="5"/>
  <c r="AY287" i="5"/>
  <c r="Q8" i="13"/>
  <c r="Q7" i="13"/>
  <c r="Q6" i="13"/>
  <c r="R8" i="13"/>
  <c r="R7" i="13"/>
  <c r="R6" i="13"/>
  <c r="Q5" i="13"/>
  <c r="R5" i="13"/>
  <c r="BC286" i="5"/>
  <c r="BB286" i="5"/>
  <c r="BA286" i="5"/>
  <c r="AZ286" i="5"/>
  <c r="BC291" i="5"/>
  <c r="BD291" i="5" s="1"/>
  <c r="BD290" i="5"/>
  <c r="BD289" i="5"/>
  <c r="BD288" i="5"/>
  <c r="BD287" i="5"/>
  <c r="BX290" i="5"/>
  <c r="BX289" i="5"/>
  <c r="BX288" i="5"/>
  <c r="BX287" i="5"/>
  <c r="BS290" i="5"/>
  <c r="BS289" i="5"/>
  <c r="BS288" i="5"/>
  <c r="BS287" i="5"/>
  <c r="BH291" i="5"/>
  <c r="BI291" i="5" s="1"/>
  <c r="BI290" i="5"/>
  <c r="BI289" i="5"/>
  <c r="BI288" i="5"/>
  <c r="BI287" i="5"/>
  <c r="S8" i="13"/>
  <c r="S7" i="13"/>
  <c r="S6" i="13"/>
  <c r="T8" i="13"/>
  <c r="T7" i="13"/>
  <c r="T6" i="13"/>
  <c r="U8" i="13"/>
  <c r="U7" i="13"/>
  <c r="U6" i="13"/>
  <c r="S5" i="13"/>
  <c r="T5" i="13"/>
  <c r="U5" i="13"/>
  <c r="V8" i="13"/>
  <c r="V7" i="13"/>
  <c r="V6" i="13"/>
  <c r="W6" i="13" s="1"/>
  <c r="CH288" i="5" s="1"/>
  <c r="CG288" i="5" s="1"/>
  <c r="CG295" i="5" s="1"/>
  <c r="V5" i="13"/>
  <c r="X26" i="1"/>
  <c r="W26" i="1"/>
  <c r="W27" i="1" s="1"/>
  <c r="CE107" i="5" l="1"/>
  <c r="CE96" i="5" s="1"/>
  <c r="CE34" i="5"/>
  <c r="CF107" i="5"/>
  <c r="CF118" i="5" s="1"/>
  <c r="CF34" i="5"/>
  <c r="FE34" i="5" s="1"/>
  <c r="U8" i="21"/>
  <c r="X29" i="26"/>
  <c r="W555" i="1"/>
  <c r="C3492" i="16"/>
  <c r="C3493" i="16" s="1"/>
  <c r="C3497" i="16" s="1"/>
  <c r="V555" i="1"/>
  <c r="AD549" i="1"/>
  <c r="AG543" i="1"/>
  <c r="Y9" i="27"/>
  <c r="X9" i="27"/>
  <c r="X10" i="27"/>
  <c r="FF17" i="5"/>
  <c r="CG130" i="5"/>
  <c r="CF96" i="5"/>
  <c r="Y10" i="27"/>
  <c r="CA15" i="5"/>
  <c r="FE15" i="5" s="1"/>
  <c r="CF271" i="5"/>
  <c r="U15" i="10"/>
  <c r="T37" i="10"/>
  <c r="V8" i="10"/>
  <c r="V15" i="10" s="1"/>
  <c r="X8" i="10"/>
  <c r="W8" i="10"/>
  <c r="CH261" i="5"/>
  <c r="CG261" i="5" s="1"/>
  <c r="CG271" i="5" s="1"/>
  <c r="CE271" i="5"/>
  <c r="CF270" i="5"/>
  <c r="CE270" i="5"/>
  <c r="CH260" i="5"/>
  <c r="CG260" i="5" s="1"/>
  <c r="CG270" i="5" s="1"/>
  <c r="CH259" i="5"/>
  <c r="CG259" i="5" s="1"/>
  <c r="CG269" i="5" s="1"/>
  <c r="CE269" i="5"/>
  <c r="CF263" i="5"/>
  <c r="CF265" i="5" s="1"/>
  <c r="CF272" i="5"/>
  <c r="CE263" i="5"/>
  <c r="CE272" i="5"/>
  <c r="CA17" i="5"/>
  <c r="FE17" i="5" s="1"/>
  <c r="Y22" i="1"/>
  <c r="Y21" i="1" s="1"/>
  <c r="AE133" i="18" s="1"/>
  <c r="U36" i="10"/>
  <c r="U244" i="10" s="1"/>
  <c r="FG17" i="5"/>
  <c r="FD17" i="5"/>
  <c r="W25" i="10"/>
  <c r="U11" i="13"/>
  <c r="Q13" i="13"/>
  <c r="F16" i="5"/>
  <c r="U12" i="13"/>
  <c r="W5" i="10"/>
  <c r="V32" i="10"/>
  <c r="V36" i="10" s="1"/>
  <c r="V244" i="10" s="1"/>
  <c r="Q12" i="10"/>
  <c r="Q14" i="10"/>
  <c r="T15" i="10"/>
  <c r="T13" i="10"/>
  <c r="T26" i="26" s="1"/>
  <c r="S9" i="10"/>
  <c r="S18" i="10" s="1"/>
  <c r="S14" i="10"/>
  <c r="R15" i="10"/>
  <c r="T14" i="10"/>
  <c r="T28" i="26" s="1"/>
  <c r="Q15" i="10"/>
  <c r="Q13" i="10"/>
  <c r="R14" i="10"/>
  <c r="R12" i="10"/>
  <c r="T12" i="10"/>
  <c r="T27" i="26" s="1"/>
  <c r="S15" i="10"/>
  <c r="S13" i="10"/>
  <c r="V16" i="13"/>
  <c r="S11" i="13"/>
  <c r="T9" i="10"/>
  <c r="R9" i="10"/>
  <c r="R18" i="10" s="1"/>
  <c r="R13" i="10"/>
  <c r="S12" i="10"/>
  <c r="Q9" i="10"/>
  <c r="Q18" i="10" s="1"/>
  <c r="P9" i="10"/>
  <c r="P18" i="10" s="1"/>
  <c r="P16" i="13"/>
  <c r="U16" i="13"/>
  <c r="R16" i="13"/>
  <c r="Q16" i="13"/>
  <c r="T11" i="13"/>
  <c r="Q12" i="13"/>
  <c r="Q14" i="13"/>
  <c r="S16" i="13"/>
  <c r="T16" i="13"/>
  <c r="T14" i="13"/>
  <c r="S14" i="13"/>
  <c r="Q11" i="13"/>
  <c r="V13" i="13"/>
  <c r="R12" i="13"/>
  <c r="R13" i="13"/>
  <c r="V14" i="13"/>
  <c r="T13" i="13"/>
  <c r="S13" i="13"/>
  <c r="R14" i="13"/>
  <c r="S12" i="13"/>
  <c r="V11" i="13"/>
  <c r="U13" i="13"/>
  <c r="U14" i="13"/>
  <c r="T12" i="13"/>
  <c r="R11" i="13"/>
  <c r="V12" i="13"/>
  <c r="W5" i="13"/>
  <c r="CB14" i="5"/>
  <c r="CB19" i="5"/>
  <c r="FC17" i="5"/>
  <c r="FC15" i="5"/>
  <c r="FC16" i="5"/>
  <c r="BY19" i="5"/>
  <c r="CD19" i="5"/>
  <c r="N9" i="21"/>
  <c r="CE118" i="5" l="1"/>
  <c r="V8" i="21"/>
  <c r="Y29" i="26"/>
  <c r="C3501" i="16"/>
  <c r="C3500" i="16"/>
  <c r="C3499" i="16"/>
  <c r="C3498" i="16"/>
  <c r="V245" i="10"/>
  <c r="AE549" i="1"/>
  <c r="AH543" i="1"/>
  <c r="CE265" i="5"/>
  <c r="CF278" i="5" s="1"/>
  <c r="CF279" i="5" s="1"/>
  <c r="CF140" i="5"/>
  <c r="CF190" i="5"/>
  <c r="FD34" i="5"/>
  <c r="CE190" i="5"/>
  <c r="X5" i="13"/>
  <c r="Y5" i="13" s="1"/>
  <c r="CH287" i="5"/>
  <c r="CG287" i="5" s="1"/>
  <c r="CG294" i="5" s="1"/>
  <c r="CE140" i="5"/>
  <c r="CF274" i="5"/>
  <c r="FF130" i="5"/>
  <c r="CG136" i="5"/>
  <c r="CF70" i="5"/>
  <c r="CF36" i="5"/>
  <c r="CF40" i="5"/>
  <c r="CE36" i="5"/>
  <c r="CE40" i="5"/>
  <c r="CE70" i="5"/>
  <c r="W15" i="10"/>
  <c r="CH15" i="5"/>
  <c r="FG15" i="5" s="1"/>
  <c r="Y8" i="10"/>
  <c r="Y15" i="10" s="1"/>
  <c r="X15" i="10"/>
  <c r="CE274" i="5"/>
  <c r="CG274" i="5"/>
  <c r="CH262" i="5"/>
  <c r="CG262" i="5" s="1"/>
  <c r="U9" i="10"/>
  <c r="U18" i="10" s="1"/>
  <c r="CF273" i="5"/>
  <c r="CE273" i="5"/>
  <c r="X25" i="10"/>
  <c r="AB22" i="1" s="1"/>
  <c r="AA22" i="1"/>
  <c r="U37" i="10"/>
  <c r="V37" i="10"/>
  <c r="U17" i="13"/>
  <c r="X5" i="10"/>
  <c r="Q19" i="10"/>
  <c r="R19" i="10"/>
  <c r="W32" i="10"/>
  <c r="W36" i="10" s="1"/>
  <c r="W244" i="10" s="1"/>
  <c r="W245" i="10" s="1"/>
  <c r="Z24" i="1"/>
  <c r="Z21" i="1" s="1"/>
  <c r="AF133" i="18" s="1"/>
  <c r="S19" i="10"/>
  <c r="S28" i="10" s="1"/>
  <c r="T16" i="10"/>
  <c r="T18" i="10"/>
  <c r="T19" i="10" s="1"/>
  <c r="T28" i="10" s="1"/>
  <c r="R16" i="10"/>
  <c r="S16" i="10"/>
  <c r="V17" i="13"/>
  <c r="Q17" i="13"/>
  <c r="Q16" i="10"/>
  <c r="R17" i="13"/>
  <c r="T17" i="13"/>
  <c r="S17" i="13"/>
  <c r="FC19" i="5"/>
  <c r="Z208" i="1"/>
  <c r="AF110" i="18" s="1"/>
  <c r="AA208" i="1"/>
  <c r="AG110" i="18" s="1"/>
  <c r="AB208" i="1"/>
  <c r="AH110" i="18" s="1"/>
  <c r="AC208" i="1"/>
  <c r="AI110" i="18" s="1"/>
  <c r="AD208" i="1"/>
  <c r="AJ110" i="18" s="1"/>
  <c r="AE208" i="1"/>
  <c r="AK110" i="18" s="1"/>
  <c r="AF208" i="1"/>
  <c r="AL110" i="18" s="1"/>
  <c r="AG208" i="1"/>
  <c r="AM110" i="18" s="1"/>
  <c r="AH208" i="1"/>
  <c r="AN110" i="18" s="1"/>
  <c r="Y208" i="1"/>
  <c r="AE110" i="18" s="1"/>
  <c r="BK34" i="5"/>
  <c r="BL34" i="5"/>
  <c r="BM34" i="5"/>
  <c r="BO34" i="5"/>
  <c r="BP34" i="5"/>
  <c r="BQ34" i="5"/>
  <c r="BR34" i="5"/>
  <c r="BT34" i="5"/>
  <c r="BJ34" i="5"/>
  <c r="G34" i="5"/>
  <c r="CC34" i="5"/>
  <c r="W8" i="21" l="1"/>
  <c r="Z29" i="26"/>
  <c r="CF266" i="5"/>
  <c r="AF549" i="1"/>
  <c r="CF141" i="5"/>
  <c r="CF51" i="5"/>
  <c r="CF84" i="5"/>
  <c r="CF38" i="5"/>
  <c r="CF167" i="5" s="1"/>
  <c r="CF174" i="5" s="1"/>
  <c r="CF71" i="5"/>
  <c r="CE51" i="5"/>
  <c r="CE84" i="5"/>
  <c r="CE38" i="5"/>
  <c r="CE167" i="5" s="1"/>
  <c r="CE174" i="5" s="1"/>
  <c r="CE71" i="5"/>
  <c r="CG15" i="5"/>
  <c r="Y25" i="10"/>
  <c r="AC22" i="1" s="1"/>
  <c r="Z8" i="10"/>
  <c r="Z15" i="10" s="1"/>
  <c r="U16" i="10"/>
  <c r="V9" i="10"/>
  <c r="CG263" i="5"/>
  <c r="CG272" i="5"/>
  <c r="W37" i="10"/>
  <c r="Y5" i="10"/>
  <c r="U19" i="10"/>
  <c r="U28" i="10" s="1"/>
  <c r="U29" i="10" s="1"/>
  <c r="T29" i="10"/>
  <c r="X32" i="10"/>
  <c r="X36" i="10" s="1"/>
  <c r="X244" i="10" s="1"/>
  <c r="X245" i="10" s="1"/>
  <c r="AA24" i="1"/>
  <c r="AA21" i="1" s="1"/>
  <c r="AG133" i="18" s="1"/>
  <c r="HR107" i="5"/>
  <c r="HR96" i="5" s="1"/>
  <c r="HR178" i="5"/>
  <c r="BZ26" i="28" s="1"/>
  <c r="HR34" i="5"/>
  <c r="BZ10" i="28" s="1"/>
  <c r="HR14" i="5"/>
  <c r="BZ6" i="28" s="1"/>
  <c r="HR16" i="5"/>
  <c r="X8" i="21" l="1"/>
  <c r="Y8" i="21" s="1"/>
  <c r="Z8" i="21" s="1"/>
  <c r="AA29" i="26"/>
  <c r="CF86" i="5"/>
  <c r="CF87" i="5" s="1"/>
  <c r="CE91" i="5"/>
  <c r="CE87" i="5"/>
  <c r="AG549" i="1"/>
  <c r="CE72" i="5"/>
  <c r="CE188" i="5"/>
  <c r="CE122" i="5"/>
  <c r="CG273" i="5"/>
  <c r="CG265" i="5"/>
  <c r="CF72" i="5"/>
  <c r="CF42" i="5"/>
  <c r="CF188" i="5"/>
  <c r="CF122" i="5"/>
  <c r="CG14" i="5"/>
  <c r="CG129" i="5"/>
  <c r="FF15" i="5"/>
  <c r="Z25" i="10"/>
  <c r="AD22" i="1" s="1"/>
  <c r="AA8" i="10"/>
  <c r="AA15" i="10" s="1"/>
  <c r="V18" i="10"/>
  <c r="V16" i="10"/>
  <c r="W9" i="10"/>
  <c r="X37" i="10"/>
  <c r="Z5" i="10"/>
  <c r="AB24" i="1"/>
  <c r="AB21" i="1" s="1"/>
  <c r="AH133" i="18" s="1"/>
  <c r="Y32" i="10"/>
  <c r="Y36" i="10" s="1"/>
  <c r="Y244" i="10" s="1"/>
  <c r="Y245" i="10" s="1"/>
  <c r="BZ7" i="28"/>
  <c r="HR70" i="5"/>
  <c r="AI3112" i="16"/>
  <c r="P3131" i="16"/>
  <c r="P3117" i="16"/>
  <c r="P3143" i="16"/>
  <c r="P3126" i="16"/>
  <c r="P3124" i="16"/>
  <c r="P3123" i="16" s="1"/>
  <c r="P3121" i="16"/>
  <c r="CF91" i="5" l="1"/>
  <c r="CE92" i="5"/>
  <c r="CE93" i="5"/>
  <c r="AH549" i="1"/>
  <c r="CE123" i="5"/>
  <c r="CF123" i="5"/>
  <c r="CG266" i="5"/>
  <c r="CG278" i="5"/>
  <c r="AA25" i="10"/>
  <c r="AE22" i="1" s="1"/>
  <c r="CG131" i="5"/>
  <c r="FF129" i="5"/>
  <c r="CG277" i="5"/>
  <c r="CG135" i="5"/>
  <c r="CG141" i="5"/>
  <c r="CG140" i="5"/>
  <c r="AB8" i="10"/>
  <c r="AB15" i="10" s="1"/>
  <c r="X9" i="10"/>
  <c r="W18" i="10"/>
  <c r="W19" i="10" s="1"/>
  <c r="W28" i="10" s="1"/>
  <c r="W16" i="10"/>
  <c r="V19" i="10"/>
  <c r="V28" i="10" s="1"/>
  <c r="V29" i="10" s="1"/>
  <c r="Y37" i="10"/>
  <c r="AA5" i="10"/>
  <c r="AC24" i="1"/>
  <c r="AC21" i="1" s="1"/>
  <c r="AI133" i="18" s="1"/>
  <c r="Z32" i="10"/>
  <c r="Z36" i="10" s="1"/>
  <c r="Z244" i="10" s="1"/>
  <c r="Z245" i="10" s="1"/>
  <c r="BY10" i="28"/>
  <c r="CA10" i="28" s="1"/>
  <c r="BY8" i="28"/>
  <c r="BY7" i="28"/>
  <c r="CA7" i="28" s="1"/>
  <c r="BY26" i="28"/>
  <c r="CA26" i="28" s="1"/>
  <c r="BY22" i="28"/>
  <c r="BY16" i="28"/>
  <c r="BY37" i="28"/>
  <c r="BY36" i="28"/>
  <c r="BY35" i="28"/>
  <c r="CD80" i="5"/>
  <c r="CD81" i="5" s="1"/>
  <c r="CD37" i="5"/>
  <c r="CD40" i="5" s="1"/>
  <c r="CD51" i="5" s="1"/>
  <c r="W64" i="27"/>
  <c r="BB102" i="28"/>
  <c r="BB109" i="28" s="1"/>
  <c r="BB100" i="28"/>
  <c r="BN7" i="28"/>
  <c r="BN18" i="28"/>
  <c r="BN16" i="28"/>
  <c r="BN11" i="28"/>
  <c r="BN8" i="28"/>
  <c r="FD4" i="5"/>
  <c r="FE4" i="5"/>
  <c r="FF4" i="5"/>
  <c r="FG4" i="5"/>
  <c r="FC39" i="5"/>
  <c r="FC35" i="5"/>
  <c r="FC34" i="5"/>
  <c r="BB110" i="28" s="1"/>
  <c r="FC4" i="5"/>
  <c r="CH210" i="5"/>
  <c r="CH115" i="5"/>
  <c r="CH89" i="5"/>
  <c r="CH80" i="5"/>
  <c r="CH18" i="5"/>
  <c r="CG18" i="5" s="1"/>
  <c r="CD300" i="5"/>
  <c r="CD297" i="5"/>
  <c r="CD296" i="5"/>
  <c r="CD295" i="5"/>
  <c r="CD294" i="5"/>
  <c r="CD291" i="5"/>
  <c r="CD286" i="5"/>
  <c r="CD277" i="5"/>
  <c r="CD272" i="5"/>
  <c r="CH272" i="5" s="1"/>
  <c r="CD271" i="5"/>
  <c r="CD270" i="5"/>
  <c r="CD269" i="5"/>
  <c r="CD265" i="5"/>
  <c r="CD209" i="5"/>
  <c r="CD211" i="5" s="1"/>
  <c r="CD206" i="5"/>
  <c r="CD201" i="5"/>
  <c r="CD190" i="5"/>
  <c r="CD184" i="5"/>
  <c r="CD185" i="5" s="1"/>
  <c r="CD168" i="5"/>
  <c r="CD138" i="5"/>
  <c r="CD136" i="5"/>
  <c r="CD135" i="5"/>
  <c r="CD128" i="5"/>
  <c r="CD107" i="5"/>
  <c r="CD67" i="5"/>
  <c r="CD54" i="5"/>
  <c r="CD36" i="5"/>
  <c r="CD43" i="5" s="1"/>
  <c r="AS33" i="27"/>
  <c r="AS27" i="27"/>
  <c r="AS26" i="27"/>
  <c r="AS25" i="27"/>
  <c r="AS23" i="27"/>
  <c r="AS22" i="27"/>
  <c r="AS21" i="27"/>
  <c r="AS2" i="27"/>
  <c r="W148" i="27"/>
  <c r="W150" i="27" s="1"/>
  <c r="W142" i="27"/>
  <c r="W144" i="27" s="1"/>
  <c r="X139" i="27" s="1"/>
  <c r="X140" i="27" s="1"/>
  <c r="W137" i="27"/>
  <c r="Z137" i="27" s="1"/>
  <c r="W135" i="27"/>
  <c r="W151" i="27" s="1"/>
  <c r="W161" i="27"/>
  <c r="W154" i="27"/>
  <c r="W133" i="27"/>
  <c r="W118" i="27"/>
  <c r="W109" i="27"/>
  <c r="W159" i="27" s="1"/>
  <c r="W101" i="27"/>
  <c r="W100" i="27"/>
  <c r="W97" i="27"/>
  <c r="W96" i="27"/>
  <c r="CF92" i="5" l="1"/>
  <c r="CF93" i="5"/>
  <c r="CG80" i="5"/>
  <c r="CE141" i="5"/>
  <c r="CE278" i="5"/>
  <c r="CE279" i="5" s="1"/>
  <c r="CE266" i="5"/>
  <c r="AB25" i="10"/>
  <c r="AF22" i="1" s="1"/>
  <c r="CG279" i="5"/>
  <c r="CG132" i="5"/>
  <c r="BB91" i="28"/>
  <c r="CH270" i="5"/>
  <c r="BB92" i="28"/>
  <c r="CH271" i="5"/>
  <c r="BB90" i="28"/>
  <c r="CD274" i="5"/>
  <c r="CH269" i="5"/>
  <c r="AD8" i="10"/>
  <c r="AC8" i="10"/>
  <c r="AC15" i="10" s="1"/>
  <c r="W29" i="10"/>
  <c r="X18" i="10"/>
  <c r="X19" i="10" s="1"/>
  <c r="X28" i="10" s="1"/>
  <c r="X29" i="10" s="1"/>
  <c r="X16" i="10"/>
  <c r="Y9" i="10"/>
  <c r="Z37" i="10"/>
  <c r="AB5" i="10"/>
  <c r="AD24" i="1"/>
  <c r="AD21" i="1" s="1"/>
  <c r="AJ133" i="18" s="1"/>
  <c r="AA32" i="10"/>
  <c r="AA36" i="10" s="1"/>
  <c r="AA244" i="10" s="1"/>
  <c r="AA245" i="10" s="1"/>
  <c r="BY21" i="28"/>
  <c r="BY17" i="28"/>
  <c r="CD68" i="5"/>
  <c r="CD38" i="5"/>
  <c r="CD84" i="5"/>
  <c r="BY23" i="28" s="1"/>
  <c r="W153" i="27"/>
  <c r="W155" i="27" s="1"/>
  <c r="W145" i="27"/>
  <c r="CE42" i="5" l="1"/>
  <c r="CD167" i="5"/>
  <c r="AC25" i="10"/>
  <c r="AD15" i="10"/>
  <c r="Y18" i="10"/>
  <c r="Y19" i="10" s="1"/>
  <c r="Y28" i="10" s="1"/>
  <c r="Y29" i="10" s="1"/>
  <c r="Y16" i="10"/>
  <c r="Z9" i="10"/>
  <c r="AC5" i="10"/>
  <c r="AA37" i="10"/>
  <c r="AB32" i="10"/>
  <c r="AB36" i="10" s="1"/>
  <c r="AB244" i="10" s="1"/>
  <c r="AB245" i="10" s="1"/>
  <c r="AE24" i="1"/>
  <c r="AE21" i="1" s="1"/>
  <c r="AK133" i="18" s="1"/>
  <c r="BY18" i="28"/>
  <c r="CD21" i="5"/>
  <c r="CD70" i="5"/>
  <c r="CD118" i="5"/>
  <c r="CD173" i="5"/>
  <c r="CD174" i="5" s="1"/>
  <c r="CD175" i="5" s="1"/>
  <c r="CD188" i="5"/>
  <c r="CD122" i="5"/>
  <c r="AT207" i="28" s="1"/>
  <c r="CD91" i="5"/>
  <c r="BY24" i="28" s="1"/>
  <c r="CD87" i="5"/>
  <c r="AR27" i="27"/>
  <c r="AQ27" i="27"/>
  <c r="AP27" i="27"/>
  <c r="AO27" i="27"/>
  <c r="AN27" i="27"/>
  <c r="AM27" i="27"/>
  <c r="AL27" i="27"/>
  <c r="AK27" i="27"/>
  <c r="AR26" i="27"/>
  <c r="AQ26" i="27"/>
  <c r="AP26" i="27"/>
  <c r="AO26" i="27"/>
  <c r="AN26" i="27"/>
  <c r="AM26" i="27"/>
  <c r="AL26" i="27"/>
  <c r="AK26" i="27"/>
  <c r="AR25" i="27"/>
  <c r="AQ25" i="27"/>
  <c r="AP25" i="27"/>
  <c r="AO25" i="27"/>
  <c r="AN25" i="27"/>
  <c r="AM25" i="27"/>
  <c r="AL25" i="27"/>
  <c r="AK25" i="27"/>
  <c r="AR23" i="27"/>
  <c r="AQ23" i="27"/>
  <c r="AP23" i="27"/>
  <c r="AO23" i="27"/>
  <c r="AN23" i="27"/>
  <c r="AM23" i="27"/>
  <c r="AL23" i="27"/>
  <c r="AK23" i="27"/>
  <c r="AR22" i="27"/>
  <c r="AQ22" i="27"/>
  <c r="AP22" i="27"/>
  <c r="AO22" i="27"/>
  <c r="AN22" i="27"/>
  <c r="AM22" i="27"/>
  <c r="AL22" i="27"/>
  <c r="AK22" i="27"/>
  <c r="AR21" i="27"/>
  <c r="AQ21" i="27"/>
  <c r="AP21" i="27"/>
  <c r="AO21" i="27"/>
  <c r="AN21" i="27"/>
  <c r="AM21" i="27"/>
  <c r="AL21" i="27"/>
  <c r="AK21" i="27"/>
  <c r="W40" i="27"/>
  <c r="W39" i="27"/>
  <c r="W38" i="27"/>
  <c r="V12" i="27"/>
  <c r="U12" i="27"/>
  <c r="T12" i="27"/>
  <c r="S12" i="27"/>
  <c r="V24" i="27"/>
  <c r="V5" i="27" s="1"/>
  <c r="U24" i="27"/>
  <c r="AU24" i="27" s="1"/>
  <c r="T24" i="27"/>
  <c r="S24" i="27"/>
  <c r="V20" i="27"/>
  <c r="U20" i="27"/>
  <c r="T20" i="27"/>
  <c r="S20" i="27"/>
  <c r="W12" i="27"/>
  <c r="BY31" i="28" s="1"/>
  <c r="W18" i="27"/>
  <c r="W24" i="27"/>
  <c r="W20" i="27"/>
  <c r="H3304" i="16"/>
  <c r="BG3304" i="16" s="1"/>
  <c r="F3298" i="16"/>
  <c r="G3298" i="16"/>
  <c r="F3297" i="16"/>
  <c r="BE3297" i="16" s="1"/>
  <c r="G3297" i="16"/>
  <c r="C3297" i="16"/>
  <c r="BB3297" i="16" s="1"/>
  <c r="G3301" i="16"/>
  <c r="BF3301" i="16" s="1"/>
  <c r="F3301" i="16"/>
  <c r="BE3301" i="16" s="1"/>
  <c r="K206" i="25"/>
  <c r="L206" i="25" s="1"/>
  <c r="M206" i="25" s="1"/>
  <c r="N206" i="25" s="1"/>
  <c r="O206" i="25" s="1"/>
  <c r="P206" i="25" s="1"/>
  <c r="Q206" i="25" s="1"/>
  <c r="R206" i="25" s="1"/>
  <c r="S206" i="25" s="1"/>
  <c r="H3297" i="16" l="1"/>
  <c r="BG3297" i="16" s="1"/>
  <c r="BF3297" i="16"/>
  <c r="G3299" i="16"/>
  <c r="BF3299" i="16" s="1"/>
  <c r="BF3298" i="16"/>
  <c r="F3299" i="16"/>
  <c r="BE3299" i="16" s="1"/>
  <c r="BE3298" i="16"/>
  <c r="X95" i="27"/>
  <c r="AT20" i="27"/>
  <c r="Y95" i="27"/>
  <c r="AU20" i="27"/>
  <c r="X99" i="27"/>
  <c r="AT24" i="27"/>
  <c r="I3304" i="16"/>
  <c r="C3351" i="16"/>
  <c r="U5" i="27"/>
  <c r="AU5" i="27" s="1"/>
  <c r="Y99" i="27"/>
  <c r="AG22" i="1"/>
  <c r="AD25" i="10"/>
  <c r="AH22" i="1" s="1"/>
  <c r="Z18" i="10"/>
  <c r="Z19" i="10" s="1"/>
  <c r="Z28" i="10" s="1"/>
  <c r="Z29" i="10" s="1"/>
  <c r="Z16" i="10"/>
  <c r="AA9" i="10"/>
  <c r="AD5" i="10"/>
  <c r="AB37" i="10"/>
  <c r="AF24" i="1"/>
  <c r="AF21" i="1" s="1"/>
  <c r="AL133" i="18" s="1"/>
  <c r="AC32" i="10"/>
  <c r="AC36" i="10" s="1"/>
  <c r="AC244" i="10" s="1"/>
  <c r="AC245" i="10" s="1"/>
  <c r="CD71" i="5"/>
  <c r="BY5" i="28"/>
  <c r="U19" i="27"/>
  <c r="AU19" i="27" s="1"/>
  <c r="CD72" i="5"/>
  <c r="CD123" i="5"/>
  <c r="AT208" i="28" s="1"/>
  <c r="CD93" i="5"/>
  <c r="CD92" i="5"/>
  <c r="BY25" i="28" s="1"/>
  <c r="AS12" i="27"/>
  <c r="AS20" i="27"/>
  <c r="W99" i="27"/>
  <c r="AS24" i="27"/>
  <c r="V19" i="27"/>
  <c r="V3" i="27" s="1"/>
  <c r="S19" i="27"/>
  <c r="T19" i="27"/>
  <c r="T4" i="27"/>
  <c r="AT4" i="27" s="1"/>
  <c r="U4" i="27"/>
  <c r="AU4" i="27" s="1"/>
  <c r="W37" i="27"/>
  <c r="W132" i="27"/>
  <c r="W90" i="27"/>
  <c r="W5" i="27"/>
  <c r="S5" i="27"/>
  <c r="S4" i="27"/>
  <c r="W4" i="27"/>
  <c r="V4" i="27"/>
  <c r="W19" i="27"/>
  <c r="T5" i="27"/>
  <c r="AT5" i="27" s="1"/>
  <c r="W95" i="27"/>
  <c r="I3297" i="16" l="1"/>
  <c r="BH3297" i="16" s="1"/>
  <c r="J3304" i="16"/>
  <c r="BH3304" i="16"/>
  <c r="X92" i="27"/>
  <c r="AT19" i="27"/>
  <c r="U3" i="27"/>
  <c r="AU3" i="27" s="1"/>
  <c r="Y92" i="27"/>
  <c r="AA18" i="10"/>
  <c r="AA16" i="10"/>
  <c r="AB9" i="10"/>
  <c r="AC37" i="10"/>
  <c r="AD32" i="10"/>
  <c r="AG24" i="1"/>
  <c r="AG21" i="1" s="1"/>
  <c r="AM133" i="18" s="1"/>
  <c r="BY6" i="28"/>
  <c r="CA6" i="28" s="1"/>
  <c r="BY14" i="28"/>
  <c r="BY19" i="28"/>
  <c r="AS4" i="27"/>
  <c r="W55" i="27"/>
  <c r="AS5" i="27"/>
  <c r="W30" i="27"/>
  <c r="AS19" i="27"/>
  <c r="T3" i="27"/>
  <c r="AT3" i="27" s="1"/>
  <c r="W92" i="27"/>
  <c r="W122" i="27"/>
  <c r="W31" i="27"/>
  <c r="W3" i="27"/>
  <c r="W34" i="27"/>
  <c r="W160" i="27" s="1"/>
  <c r="W54" i="27"/>
  <c r="S3" i="27"/>
  <c r="J3297" i="16" l="1"/>
  <c r="BI3297" i="16" s="1"/>
  <c r="K3304" i="16"/>
  <c r="BI3304" i="16"/>
  <c r="AB18" i="10"/>
  <c r="AB19" i="10" s="1"/>
  <c r="AB28" i="10" s="1"/>
  <c r="AB16" i="10"/>
  <c r="AD9" i="10"/>
  <c r="AC9" i="10"/>
  <c r="AA19" i="10"/>
  <c r="AA28" i="10" s="1"/>
  <c r="AA29" i="10" s="1"/>
  <c r="AH24" i="1"/>
  <c r="AH21" i="1" s="1"/>
  <c r="AN133" i="18" s="1"/>
  <c r="AD36" i="10"/>
  <c r="AD244" i="10" s="1"/>
  <c r="AD245" i="10" s="1"/>
  <c r="W9" i="27"/>
  <c r="BY30" i="28"/>
  <c r="AS3" i="27"/>
  <c r="W10" i="27"/>
  <c r="W56" i="27"/>
  <c r="K3297" i="16"/>
  <c r="BJ3297" i="16" s="1"/>
  <c r="L3304" i="16" l="1"/>
  <c r="BJ3304" i="16"/>
  <c r="AB29" i="10"/>
  <c r="AC16" i="10"/>
  <c r="AC18" i="10"/>
  <c r="AD18" i="10"/>
  <c r="AD16" i="10"/>
  <c r="AD37" i="10"/>
  <c r="L3297" i="16"/>
  <c r="M3297" i="16" l="1"/>
  <c r="BL3297" i="16" s="1"/>
  <c r="BK3297" i="16"/>
  <c r="M3304" i="16"/>
  <c r="BK3304" i="16"/>
  <c r="AC19" i="10"/>
  <c r="AC28" i="10" s="1"/>
  <c r="AC29" i="10" s="1"/>
  <c r="AD19" i="10"/>
  <c r="AD28" i="10" s="1"/>
  <c r="C3324" i="16"/>
  <c r="N3297" i="16" l="1"/>
  <c r="BM3297" i="16" s="1"/>
  <c r="N3304" i="16"/>
  <c r="BL3304" i="16"/>
  <c r="AD29" i="10"/>
  <c r="C3310" i="16"/>
  <c r="BS3295" i="16" s="1"/>
  <c r="C3302" i="16"/>
  <c r="C3301" i="16"/>
  <c r="BB3301" i="16" s="1"/>
  <c r="G3302" i="16"/>
  <c r="BF3302" i="16" s="1"/>
  <c r="F3302" i="16"/>
  <c r="BE3302" i="16" s="1"/>
  <c r="C3298" i="16"/>
  <c r="G3295" i="16"/>
  <c r="H3295" i="16" s="1"/>
  <c r="I3295" i="16" s="1"/>
  <c r="J3295" i="16" s="1"/>
  <c r="K3295" i="16" s="1"/>
  <c r="L3295" i="16" s="1"/>
  <c r="M3295" i="16" s="1"/>
  <c r="N3295" i="16" s="1"/>
  <c r="O3295" i="16" s="1"/>
  <c r="P3295" i="16" s="1"/>
  <c r="Q3295" i="16" s="1"/>
  <c r="F3295" i="16"/>
  <c r="BE3295" i="16" s="1"/>
  <c r="C3295" i="16"/>
  <c r="BB3295" i="16" s="1"/>
  <c r="E3294" i="16"/>
  <c r="BD3294" i="16" s="1"/>
  <c r="D3294" i="16"/>
  <c r="BC3294" i="16" s="1"/>
  <c r="G3293" i="16"/>
  <c r="E3292" i="16"/>
  <c r="BD3292" i="16" s="1"/>
  <c r="D3292" i="16"/>
  <c r="BC3292" i="16" s="1"/>
  <c r="F3291" i="16"/>
  <c r="G3291" i="16" s="1"/>
  <c r="H3291" i="16" s="1"/>
  <c r="I3291" i="16" s="1"/>
  <c r="O3297" i="16" l="1"/>
  <c r="BN3297" i="16" s="1"/>
  <c r="C3305" i="16"/>
  <c r="BB3305" i="16" s="1"/>
  <c r="BB3302" i="16"/>
  <c r="BF3295" i="16"/>
  <c r="C3299" i="16"/>
  <c r="BB3299" i="16" s="1"/>
  <c r="BB3298" i="16"/>
  <c r="BM3304" i="16"/>
  <c r="O3304" i="16"/>
  <c r="J3291" i="16"/>
  <c r="F3353" i="16"/>
  <c r="D3302" i="16"/>
  <c r="D3303" i="16" s="1"/>
  <c r="BC3303" i="16" s="1"/>
  <c r="E3302" i="16"/>
  <c r="E3301" i="16"/>
  <c r="BD3301" i="16" s="1"/>
  <c r="E3297" i="16"/>
  <c r="BD3297" i="16" s="1"/>
  <c r="D3293" i="16"/>
  <c r="D3297" i="16"/>
  <c r="BC3297" i="16" s="1"/>
  <c r="H3292" i="16"/>
  <c r="BG3292" i="16" s="1"/>
  <c r="D3295" i="16"/>
  <c r="BC3295" i="16" s="1"/>
  <c r="D3301" i="16"/>
  <c r="BC3301" i="16" s="1"/>
  <c r="F3305" i="16"/>
  <c r="BE3305" i="16" s="1"/>
  <c r="F3303" i="16"/>
  <c r="BE3303" i="16" s="1"/>
  <c r="G3305" i="16"/>
  <c r="BF3305" i="16" s="1"/>
  <c r="G3303" i="16"/>
  <c r="BF3303" i="16" s="1"/>
  <c r="E3293" i="16"/>
  <c r="F3293" i="16"/>
  <c r="D3298" i="16"/>
  <c r="E3295" i="16"/>
  <c r="BD3295" i="16" s="1"/>
  <c r="E3298" i="16"/>
  <c r="C3303" i="16"/>
  <c r="BB3303" i="16" s="1"/>
  <c r="P3297" i="16" l="1"/>
  <c r="BO3297" i="16" s="1"/>
  <c r="E3299" i="16"/>
  <c r="BD3299" i="16" s="1"/>
  <c r="BD3298" i="16"/>
  <c r="D3299" i="16"/>
  <c r="BC3299" i="16" s="1"/>
  <c r="BC3298" i="16"/>
  <c r="BG3295" i="16"/>
  <c r="BN3304" i="16"/>
  <c r="P3304" i="16"/>
  <c r="E3305" i="16"/>
  <c r="BD3305" i="16" s="1"/>
  <c r="BD3302" i="16"/>
  <c r="D3305" i="16"/>
  <c r="BC3305" i="16" s="1"/>
  <c r="BC3302" i="16"/>
  <c r="H3296" i="16"/>
  <c r="BG3296" i="16" s="1"/>
  <c r="E3303" i="16"/>
  <c r="BD3303" i="16" s="1"/>
  <c r="K3291" i="16"/>
  <c r="G3353" i="16"/>
  <c r="Q3297" i="16"/>
  <c r="BP3297" i="16" s="1"/>
  <c r="H3300" i="16"/>
  <c r="BG3300" i="16" s="1"/>
  <c r="H3294" i="16"/>
  <c r="BG3294" i="16" s="1"/>
  <c r="I3292" i="16"/>
  <c r="BH3292" i="16" s="1"/>
  <c r="BO3304" i="16" l="1"/>
  <c r="Q3304" i="16"/>
  <c r="BP3304" i="16" s="1"/>
  <c r="BH3295" i="16"/>
  <c r="I3300" i="16"/>
  <c r="BH3300" i="16" s="1"/>
  <c r="L3291" i="16"/>
  <c r="H3353" i="16"/>
  <c r="J3292" i="16"/>
  <c r="BI3292" i="16" s="1"/>
  <c r="H3302" i="16"/>
  <c r="BG3302" i="16" s="1"/>
  <c r="H3298" i="16"/>
  <c r="I3296" i="16"/>
  <c r="BH3296" i="16" s="1"/>
  <c r="I3294" i="16"/>
  <c r="BH3294" i="16" s="1"/>
  <c r="BI3295" i="16" l="1"/>
  <c r="H3299" i="16"/>
  <c r="BG3299" i="16" s="1"/>
  <c r="BG3298" i="16"/>
  <c r="J3296" i="16"/>
  <c r="BI3296" i="16" s="1"/>
  <c r="M3291" i="16"/>
  <c r="I3353" i="16"/>
  <c r="K3292" i="16"/>
  <c r="BJ3292" i="16" s="1"/>
  <c r="J3300" i="16"/>
  <c r="BI3300" i="16" s="1"/>
  <c r="J3294" i="16"/>
  <c r="BI3294" i="16" s="1"/>
  <c r="I3302" i="16"/>
  <c r="I3298" i="16"/>
  <c r="H3303" i="16"/>
  <c r="BG3303" i="16" s="1"/>
  <c r="H3305" i="16"/>
  <c r="BG3305" i="16" s="1"/>
  <c r="I3299" i="16" l="1"/>
  <c r="BH3299" i="16" s="1"/>
  <c r="BH3298" i="16"/>
  <c r="I3305" i="16"/>
  <c r="BH3305" i="16" s="1"/>
  <c r="BH3302" i="16"/>
  <c r="BJ3295" i="16"/>
  <c r="J3298" i="16"/>
  <c r="L3292" i="16"/>
  <c r="BK3292" i="16" s="1"/>
  <c r="N3291" i="16"/>
  <c r="J3353" i="16"/>
  <c r="K3296" i="16"/>
  <c r="BJ3296" i="16" s="1"/>
  <c r="K3294" i="16"/>
  <c r="BJ3294" i="16" s="1"/>
  <c r="J3302" i="16"/>
  <c r="K3300" i="16"/>
  <c r="BJ3300" i="16" s="1"/>
  <c r="I3303" i="16"/>
  <c r="BH3303" i="16" s="1"/>
  <c r="V282" i="10"/>
  <c r="W282" i="10" s="1"/>
  <c r="G29" i="9"/>
  <c r="G38" i="9"/>
  <c r="I180" i="25"/>
  <c r="I174" i="25"/>
  <c r="I149" i="25"/>
  <c r="I148" i="25"/>
  <c r="I159" i="25" s="1"/>
  <c r="I147" i="25"/>
  <c r="I158" i="25" s="1"/>
  <c r="I144" i="25"/>
  <c r="I143" i="25"/>
  <c r="I154" i="25" s="1"/>
  <c r="I142" i="25"/>
  <c r="I153" i="25" s="1"/>
  <c r="X434" i="1"/>
  <c r="X579" i="1"/>
  <c r="Y580" i="1" s="1"/>
  <c r="X445" i="1"/>
  <c r="X450" i="1" s="1"/>
  <c r="Y450" i="1" s="1"/>
  <c r="Z450" i="1" s="1"/>
  <c r="AA450" i="1" s="1"/>
  <c r="AB450" i="1" s="1"/>
  <c r="AC450" i="1" s="1"/>
  <c r="AD450" i="1" s="1"/>
  <c r="AE450" i="1" s="1"/>
  <c r="AF450" i="1" s="1"/>
  <c r="AG450" i="1" s="1"/>
  <c r="AH450" i="1" s="1"/>
  <c r="S303" i="1"/>
  <c r="T303" i="1"/>
  <c r="U303" i="1"/>
  <c r="V303" i="1"/>
  <c r="W303" i="1"/>
  <c r="X303" i="1"/>
  <c r="X246" i="1"/>
  <c r="X243" i="1"/>
  <c r="X362" i="1"/>
  <c r="X357" i="1"/>
  <c r="X318" i="1"/>
  <c r="X307" i="1"/>
  <c r="X311" i="1"/>
  <c r="X312" i="1"/>
  <c r="X288" i="1"/>
  <c r="X284" i="1" s="1"/>
  <c r="Z255" i="1"/>
  <c r="AA255" i="1" s="1"/>
  <c r="AB255" i="1" s="1"/>
  <c r="AC255" i="1" s="1"/>
  <c r="AD255" i="1" s="1"/>
  <c r="AE255" i="1" s="1"/>
  <c r="AF255" i="1" s="1"/>
  <c r="AG255" i="1" s="1"/>
  <c r="AH255" i="1" s="1"/>
  <c r="X258" i="1"/>
  <c r="W258" i="1"/>
  <c r="X237" i="1"/>
  <c r="X232" i="1"/>
  <c r="X252" i="1"/>
  <c r="X62" i="1"/>
  <c r="AD139" i="18" s="1"/>
  <c r="AD152" i="18" s="1"/>
  <c r="Y173" i="10"/>
  <c r="Z173" i="10" s="1"/>
  <c r="AA173" i="10" s="1"/>
  <c r="AB173" i="10" s="1"/>
  <c r="AC173" i="10" s="1"/>
  <c r="AD173" i="10" s="1"/>
  <c r="V116" i="13"/>
  <c r="Z8" i="1"/>
  <c r="AA8" i="1" s="1"/>
  <c r="AB8" i="1" s="1"/>
  <c r="AC8" i="1" s="1"/>
  <c r="AD8" i="1" s="1"/>
  <c r="AE8" i="1" s="1"/>
  <c r="AF8" i="1" s="1"/>
  <c r="AG8" i="1" s="1"/>
  <c r="AH8" i="1" s="1"/>
  <c r="CH199" i="5"/>
  <c r="CG199" i="5" s="1"/>
  <c r="Z64" i="27" s="1"/>
  <c r="J3299" i="16" l="1"/>
  <c r="BI3299" i="16" s="1"/>
  <c r="BI3298" i="16"/>
  <c r="J3303" i="16"/>
  <c r="BI3303" i="16" s="1"/>
  <c r="BI3302" i="16"/>
  <c r="BK3295" i="16"/>
  <c r="X254" i="1"/>
  <c r="X255" i="1" s="1"/>
  <c r="AD21" i="18"/>
  <c r="M3292" i="16"/>
  <c r="BL3292" i="16" s="1"/>
  <c r="L3294" i="16"/>
  <c r="BK3294" i="16" s="1"/>
  <c r="L3300" i="16"/>
  <c r="BK3300" i="16" s="1"/>
  <c r="L3296" i="16"/>
  <c r="BK3296" i="16" s="1"/>
  <c r="O3291" i="16"/>
  <c r="K3353" i="16"/>
  <c r="K3298" i="16"/>
  <c r="J3305" i="16"/>
  <c r="BI3305" i="16" s="1"/>
  <c r="K3302" i="16"/>
  <c r="P8" i="21"/>
  <c r="K3299" i="16" l="1"/>
  <c r="BJ3299" i="16" s="1"/>
  <c r="BJ3298" i="16"/>
  <c r="BL3295" i="16"/>
  <c r="K3305" i="16"/>
  <c r="BJ3305" i="16" s="1"/>
  <c r="BJ3302" i="16"/>
  <c r="L3298" i="16"/>
  <c r="L3302" i="16"/>
  <c r="N3292" i="16"/>
  <c r="BM3292" i="16" s="1"/>
  <c r="M3294" i="16"/>
  <c r="BL3294" i="16" s="1"/>
  <c r="M3300" i="16"/>
  <c r="BL3300" i="16" s="1"/>
  <c r="M3296" i="16"/>
  <c r="BL3296" i="16" s="1"/>
  <c r="P3291" i="16"/>
  <c r="L3353" i="16"/>
  <c r="Q9" i="21"/>
  <c r="K3303" i="16"/>
  <c r="BJ3303" i="16" s="1"/>
  <c r="AR5" i="27"/>
  <c r="AR4" i="27"/>
  <c r="AR3" i="27"/>
  <c r="AR2" i="27"/>
  <c r="AK12" i="27"/>
  <c r="AJ12" i="27"/>
  <c r="AI12" i="27"/>
  <c r="AP12" i="27"/>
  <c r="AO12" i="27"/>
  <c r="AN12" i="27"/>
  <c r="AM12" i="27"/>
  <c r="AL12" i="27"/>
  <c r="AR12" i="27"/>
  <c r="AQ12" i="27"/>
  <c r="AH3112" i="16"/>
  <c r="AG3112" i="16"/>
  <c r="AF3112" i="16"/>
  <c r="AE3112" i="16"/>
  <c r="AD3112" i="16"/>
  <c r="AC3112" i="16"/>
  <c r="AB3112" i="16"/>
  <c r="AA3112" i="16"/>
  <c r="Z3112" i="16"/>
  <c r="Y3112" i="16"/>
  <c r="X3112" i="16"/>
  <c r="W3112" i="16"/>
  <c r="O3117" i="16"/>
  <c r="P3118" i="16" s="1"/>
  <c r="AI3113" i="16" s="1"/>
  <c r="AE3133" i="16"/>
  <c r="O3143" i="16"/>
  <c r="O3131" i="16"/>
  <c r="O3126" i="16"/>
  <c r="O3124" i="16"/>
  <c r="O3123" i="16" s="1"/>
  <c r="P3128" i="16" s="1"/>
  <c r="P3129" i="16" s="1"/>
  <c r="P3130" i="16" s="1"/>
  <c r="P3134" i="16" s="1"/>
  <c r="O3121" i="16"/>
  <c r="BM18" i="28"/>
  <c r="BM16" i="28"/>
  <c r="BN17" i="28" s="1"/>
  <c r="BM11" i="28"/>
  <c r="BM8" i="28"/>
  <c r="BM7" i="28"/>
  <c r="L3299" i="16" l="1"/>
  <c r="BK3299" i="16" s="1"/>
  <c r="BK3298" i="16"/>
  <c r="L3303" i="16"/>
  <c r="BK3303" i="16" s="1"/>
  <c r="BK3302" i="16"/>
  <c r="BM3295" i="16"/>
  <c r="L3305" i="16"/>
  <c r="BK3305" i="16" s="1"/>
  <c r="M3298" i="16"/>
  <c r="M3302" i="16"/>
  <c r="N3294" i="16"/>
  <c r="BM3294" i="16" s="1"/>
  <c r="N3296" i="16"/>
  <c r="BM3296" i="16" s="1"/>
  <c r="N3300" i="16"/>
  <c r="BM3300" i="16" s="1"/>
  <c r="O3292" i="16"/>
  <c r="BN3292" i="16" s="1"/>
  <c r="Q3291" i="16"/>
  <c r="N3353" i="16" s="1"/>
  <c r="M3353" i="16"/>
  <c r="X21" i="1"/>
  <c r="FA14" i="5"/>
  <c r="BN13" i="28"/>
  <c r="BN12" i="28"/>
  <c r="BA103" i="28"/>
  <c r="BN3295" i="16" l="1"/>
  <c r="M3299" i="16"/>
  <c r="BL3299" i="16" s="1"/>
  <c r="BL3298" i="16"/>
  <c r="M3303" i="16"/>
  <c r="BL3303" i="16" s="1"/>
  <c r="BL3302" i="16"/>
  <c r="T244" i="10"/>
  <c r="U245" i="10" s="1"/>
  <c r="AD133" i="18"/>
  <c r="M3305" i="16"/>
  <c r="BL3305" i="16" s="1"/>
  <c r="P3292" i="16"/>
  <c r="BO3292" i="16" s="1"/>
  <c r="O3296" i="16"/>
  <c r="BN3296" i="16" s="1"/>
  <c r="N3302" i="16"/>
  <c r="O3300" i="16"/>
  <c r="BN3300" i="16" s="1"/>
  <c r="O3294" i="16"/>
  <c r="BN3294" i="16" s="1"/>
  <c r="N3298" i="16"/>
  <c r="R9" i="21"/>
  <c r="T9" i="21"/>
  <c r="S9" i="21"/>
  <c r="BA100" i="28"/>
  <c r="AZ100" i="28"/>
  <c r="AY100" i="28"/>
  <c r="BA102" i="28"/>
  <c r="BA109" i="28" s="1"/>
  <c r="BX31" i="28"/>
  <c r="BX30" i="28"/>
  <c r="BX26" i="28"/>
  <c r="BX16" i="28"/>
  <c r="BX10" i="28"/>
  <c r="CB184" i="5"/>
  <c r="CB185" i="5" s="1"/>
  <c r="CB179" i="5"/>
  <c r="CB297" i="5"/>
  <c r="CB296" i="5"/>
  <c r="CB295" i="5"/>
  <c r="CB294" i="5"/>
  <c r="CB291" i="5"/>
  <c r="CB286" i="5"/>
  <c r="CB277" i="5"/>
  <c r="CB272" i="5"/>
  <c r="CB271" i="5"/>
  <c r="BA92" i="28" s="1"/>
  <c r="CB270" i="5"/>
  <c r="BA91" i="28" s="1"/>
  <c r="CB269" i="5"/>
  <c r="BA90" i="28" s="1"/>
  <c r="CB256" i="5"/>
  <c r="CB263" i="5"/>
  <c r="CB265" i="5" s="1"/>
  <c r="CB136" i="5"/>
  <c r="CB135" i="5"/>
  <c r="CB128" i="5"/>
  <c r="CB131" i="5"/>
  <c r="CB96" i="5"/>
  <c r="CB107" i="5" s="1"/>
  <c r="CB115" i="5"/>
  <c r="CB114" i="5"/>
  <c r="CB108" i="5"/>
  <c r="CB83" i="5"/>
  <c r="BX22" i="28" s="1"/>
  <c r="CB79" i="5"/>
  <c r="CB78" i="5"/>
  <c r="CB54" i="5"/>
  <c r="CB37" i="5"/>
  <c r="BX17" i="28" s="1"/>
  <c r="CB36" i="5"/>
  <c r="V148" i="27"/>
  <c r="V142" i="27"/>
  <c r="V144" i="27" s="1"/>
  <c r="V138" i="27"/>
  <c r="V109" i="27"/>
  <c r="V159" i="27" s="1"/>
  <c r="V101" i="27"/>
  <c r="V100" i="27"/>
  <c r="V97" i="27"/>
  <c r="V96" i="27"/>
  <c r="FA4" i="5"/>
  <c r="N3299" i="16" l="1"/>
  <c r="BM3299" i="16" s="1"/>
  <c r="BM3298" i="16"/>
  <c r="N3305" i="16"/>
  <c r="BM3305" i="16" s="1"/>
  <c r="BM3302" i="16"/>
  <c r="BP3295" i="16"/>
  <c r="BO3295" i="16"/>
  <c r="P3296" i="16"/>
  <c r="BO3296" i="16" s="1"/>
  <c r="P3300" i="16"/>
  <c r="BO3300" i="16" s="1"/>
  <c r="N3303" i="16"/>
  <c r="BM3303" i="16" s="1"/>
  <c r="P3294" i="16"/>
  <c r="BO3294" i="16" s="1"/>
  <c r="O3298" i="16"/>
  <c r="Q3292" i="16"/>
  <c r="BP3292" i="16" s="1"/>
  <c r="O3302" i="16"/>
  <c r="BN3302" i="16" s="1"/>
  <c r="CG137" i="5"/>
  <c r="FF131" i="5"/>
  <c r="CD266" i="5"/>
  <c r="CD278" i="5"/>
  <c r="CD279" i="5" s="1"/>
  <c r="CD141" i="5"/>
  <c r="I215" i="25"/>
  <c r="W140" i="27"/>
  <c r="W139" i="27" s="1"/>
  <c r="CB43" i="5"/>
  <c r="CB274" i="5"/>
  <c r="CB132" i="5"/>
  <c r="CB38" i="5"/>
  <c r="CF187" i="5" s="1"/>
  <c r="CB40" i="5"/>
  <c r="BX21" i="28" s="1"/>
  <c r="V64" i="27"/>
  <c r="V55" i="27"/>
  <c r="V54" i="27"/>
  <c r="V40" i="27"/>
  <c r="V39" i="27"/>
  <c r="V38" i="27"/>
  <c r="V10" i="27"/>
  <c r="V9" i="27"/>
  <c r="U157" i="10"/>
  <c r="V157" i="10" s="1"/>
  <c r="W157" i="10" s="1"/>
  <c r="X157" i="10" s="1"/>
  <c r="O3299" i="16" l="1"/>
  <c r="BN3299" i="16" s="1"/>
  <c r="BN3298" i="16"/>
  <c r="Y157" i="10"/>
  <c r="P3302" i="16"/>
  <c r="P3298" i="16"/>
  <c r="Q3296" i="16"/>
  <c r="BP3296" i="16" s="1"/>
  <c r="Q3294" i="16"/>
  <c r="BP3294" i="16" s="1"/>
  <c r="Q3300" i="16"/>
  <c r="BP3300" i="16" s="1"/>
  <c r="O3303" i="16"/>
  <c r="BN3303" i="16" s="1"/>
  <c r="O3305" i="16"/>
  <c r="BN3305" i="16" s="1"/>
  <c r="CB188" i="5"/>
  <c r="CD42" i="5"/>
  <c r="CB122" i="5"/>
  <c r="AS207" i="28" s="1"/>
  <c r="BX18" i="28"/>
  <c r="CB51" i="5"/>
  <c r="V56" i="27"/>
  <c r="X67" i="29"/>
  <c r="X64" i="29"/>
  <c r="P58" i="30"/>
  <c r="O58" i="30"/>
  <c r="M58" i="30"/>
  <c r="L58" i="30"/>
  <c r="K58" i="30"/>
  <c r="J58" i="30"/>
  <c r="H58" i="30"/>
  <c r="G58" i="30"/>
  <c r="F58" i="30"/>
  <c r="E58" i="30"/>
  <c r="B58" i="30"/>
  <c r="D21" i="30"/>
  <c r="C21" i="30"/>
  <c r="B21" i="30"/>
  <c r="E21" i="30"/>
  <c r="H21" i="30"/>
  <c r="G21" i="30"/>
  <c r="F21" i="30"/>
  <c r="I21" i="30"/>
  <c r="K21" i="30"/>
  <c r="J21" i="30"/>
  <c r="D16" i="30"/>
  <c r="C16" i="30"/>
  <c r="B16" i="30"/>
  <c r="E16" i="30"/>
  <c r="H16" i="30"/>
  <c r="G16" i="30"/>
  <c r="F16" i="30"/>
  <c r="I16" i="30"/>
  <c r="BC184" i="5"/>
  <c r="BC185" i="5" s="1"/>
  <c r="BB184" i="5"/>
  <c r="BB185" i="5" s="1"/>
  <c r="BA184" i="5"/>
  <c r="BA185" i="5" s="1"/>
  <c r="AZ184" i="5"/>
  <c r="AZ185" i="5" s="1"/>
  <c r="BH184" i="5"/>
  <c r="BH185" i="5" s="1"/>
  <c r="BG184" i="5"/>
  <c r="BG185" i="5" s="1"/>
  <c r="BF184" i="5"/>
  <c r="BF185" i="5" s="1"/>
  <c r="BE184" i="5"/>
  <c r="BE185" i="5" s="1"/>
  <c r="BJ184" i="5"/>
  <c r="BJ185" i="5" s="1"/>
  <c r="BK184" i="5"/>
  <c r="BK185" i="5" s="1"/>
  <c r="CA128" i="5"/>
  <c r="BZ128" i="5"/>
  <c r="BY128" i="5"/>
  <c r="X21" i="30"/>
  <c r="W21" i="30"/>
  <c r="V21" i="30"/>
  <c r="X16" i="30"/>
  <c r="W16" i="30"/>
  <c r="V16" i="30"/>
  <c r="K16" i="30"/>
  <c r="J16" i="30"/>
  <c r="L16" i="30"/>
  <c r="M16" i="30"/>
  <c r="P16" i="30"/>
  <c r="O16" i="30"/>
  <c r="N16" i="30"/>
  <c r="Q16" i="30"/>
  <c r="R16" i="30"/>
  <c r="S16" i="30"/>
  <c r="T16" i="30"/>
  <c r="L21" i="30"/>
  <c r="M21" i="30"/>
  <c r="P21" i="30"/>
  <c r="O21" i="30"/>
  <c r="N21" i="30"/>
  <c r="Q21" i="30"/>
  <c r="T21" i="30"/>
  <c r="S21" i="30"/>
  <c r="R21" i="30"/>
  <c r="W312" i="1"/>
  <c r="W311" i="1"/>
  <c r="U21" i="30"/>
  <c r="U16" i="30"/>
  <c r="D68" i="30"/>
  <c r="E68" i="30"/>
  <c r="F68" i="30"/>
  <c r="G68" i="30"/>
  <c r="H68" i="30"/>
  <c r="I68" i="30"/>
  <c r="J68" i="30"/>
  <c r="K68" i="30"/>
  <c r="L68" i="30"/>
  <c r="M68" i="30"/>
  <c r="N68" i="30"/>
  <c r="O68" i="30"/>
  <c r="P68" i="30"/>
  <c r="Q68" i="30"/>
  <c r="R68" i="30"/>
  <c r="S68" i="30"/>
  <c r="T68" i="30"/>
  <c r="U68" i="30"/>
  <c r="V68" i="30"/>
  <c r="W68" i="30"/>
  <c r="X68" i="30"/>
  <c r="Y68" i="30"/>
  <c r="Z68" i="30"/>
  <c r="AA68" i="30"/>
  <c r="B68" i="30"/>
  <c r="C66" i="30"/>
  <c r="C68" i="30" s="1"/>
  <c r="P3299" i="16" l="1"/>
  <c r="BO3299" i="16" s="1"/>
  <c r="BO3298" i="16"/>
  <c r="P3303" i="16"/>
  <c r="BO3303" i="16" s="1"/>
  <c r="BO3302" i="16"/>
  <c r="Z157" i="10"/>
  <c r="AA157" i="10" s="1"/>
  <c r="AB157" i="10" s="1"/>
  <c r="AC157" i="10" s="1"/>
  <c r="AD157" i="10" s="1"/>
  <c r="P3305" i="16"/>
  <c r="BO3305" i="16" s="1"/>
  <c r="Q3302" i="16"/>
  <c r="Q3298" i="16"/>
  <c r="G17" i="30"/>
  <c r="G18" i="30" s="1"/>
  <c r="G22" i="30" s="1"/>
  <c r="C17" i="30"/>
  <c r="C18" i="30" s="1"/>
  <c r="C22" i="30" s="1"/>
  <c r="H17" i="30"/>
  <c r="H18" i="30" s="1"/>
  <c r="H22" i="30" s="1"/>
  <c r="E17" i="30"/>
  <c r="E18" i="30" s="1"/>
  <c r="E22" i="30" s="1"/>
  <c r="B17" i="30"/>
  <c r="B18" i="30" s="1"/>
  <c r="B22" i="30" s="1"/>
  <c r="D17" i="30"/>
  <c r="D18" i="30" s="1"/>
  <c r="D22" i="30" s="1"/>
  <c r="I17" i="30"/>
  <c r="I18" i="30" s="1"/>
  <c r="I22" i="30" s="1"/>
  <c r="F17" i="30"/>
  <c r="F18" i="30" s="1"/>
  <c r="F22" i="30" s="1"/>
  <c r="J17" i="30"/>
  <c r="J18" i="30" s="1"/>
  <c r="J22" i="30" s="1"/>
  <c r="K17" i="30"/>
  <c r="K18" i="30" s="1"/>
  <c r="K22" i="30" s="1"/>
  <c r="Q3303" i="16" l="1"/>
  <c r="BP3303" i="16" s="1"/>
  <c r="BP3302" i="16"/>
  <c r="Q3299" i="16"/>
  <c r="BP3299" i="16" s="1"/>
  <c r="BP3298" i="16"/>
  <c r="Q3305" i="16"/>
  <c r="N26" i="30"/>
  <c r="I27" i="30"/>
  <c r="J27" i="30"/>
  <c r="K27" i="30"/>
  <c r="L27" i="30"/>
  <c r="M27" i="30"/>
  <c r="Y302" i="1"/>
  <c r="B40" i="30"/>
  <c r="C40" i="30"/>
  <c r="D40" i="30"/>
  <c r="E40" i="30"/>
  <c r="F40" i="30"/>
  <c r="V311" i="1"/>
  <c r="U312" i="1"/>
  <c r="U311" i="1"/>
  <c r="T312" i="1"/>
  <c r="T311" i="1"/>
  <c r="S312" i="1"/>
  <c r="S311" i="1"/>
  <c r="R59" i="30"/>
  <c r="R58" i="30" s="1"/>
  <c r="Q59" i="30"/>
  <c r="Q58" i="30" s="1"/>
  <c r="N59" i="30"/>
  <c r="N58" i="30" s="1"/>
  <c r="I59" i="30"/>
  <c r="I58" i="30" s="1"/>
  <c r="D59" i="30"/>
  <c r="D58" i="30" s="1"/>
  <c r="C59" i="30"/>
  <c r="C58" i="30" s="1"/>
  <c r="C3311" i="16" l="1"/>
  <c r="BP3305" i="16"/>
  <c r="C3308" i="16"/>
  <c r="O27" i="30"/>
  <c r="Z302" i="1"/>
  <c r="N27" i="30"/>
  <c r="O26" i="30"/>
  <c r="P26" i="30" s="1"/>
  <c r="Q26" i="30" s="1"/>
  <c r="T59" i="30"/>
  <c r="R11" i="30"/>
  <c r="S11" i="30" s="1"/>
  <c r="T11" i="30" s="1"/>
  <c r="U11" i="30" s="1"/>
  <c r="N11" i="30"/>
  <c r="O11" i="30" s="1"/>
  <c r="P11" i="30" s="1"/>
  <c r="Q11" i="30" s="1"/>
  <c r="J11" i="30"/>
  <c r="K11" i="30" s="1"/>
  <c r="L11" i="30" s="1"/>
  <c r="M11" i="30" s="1"/>
  <c r="F11" i="30"/>
  <c r="G11" i="30" s="1"/>
  <c r="H11" i="30" s="1"/>
  <c r="I11" i="30" s="1"/>
  <c r="K23" i="30"/>
  <c r="J23" i="30"/>
  <c r="I23" i="30"/>
  <c r="H23" i="30"/>
  <c r="G23" i="30"/>
  <c r="F23" i="30"/>
  <c r="E23" i="30"/>
  <c r="D23" i="30"/>
  <c r="C23" i="30"/>
  <c r="K19" i="30"/>
  <c r="J19" i="30"/>
  <c r="I19" i="30"/>
  <c r="H19" i="30"/>
  <c r="G19" i="30"/>
  <c r="F19" i="30"/>
  <c r="E19" i="30"/>
  <c r="D19" i="30"/>
  <c r="C19" i="30"/>
  <c r="D76" i="30"/>
  <c r="BS3293" i="16" l="1"/>
  <c r="C3312" i="16"/>
  <c r="BS3297" i="16" s="1"/>
  <c r="BS3296" i="16"/>
  <c r="AA302" i="1"/>
  <c r="P27" i="30"/>
  <c r="R26" i="30"/>
  <c r="AK2" i="27"/>
  <c r="AL2" i="27"/>
  <c r="AM2" i="27"/>
  <c r="AN2" i="27"/>
  <c r="AO2" i="27"/>
  <c r="AP2" i="27"/>
  <c r="AQ2" i="27"/>
  <c r="AK4" i="27"/>
  <c r="AL4" i="27"/>
  <c r="AM4" i="27"/>
  <c r="AN4" i="27"/>
  <c r="AO4" i="27"/>
  <c r="AP4" i="27"/>
  <c r="AQ4" i="27"/>
  <c r="AK5" i="27"/>
  <c r="AL5" i="27"/>
  <c r="AM5" i="27"/>
  <c r="AN5" i="27"/>
  <c r="AO5" i="27"/>
  <c r="AP5" i="27"/>
  <c r="AQ5" i="27"/>
  <c r="AK3" i="27"/>
  <c r="AL3" i="27"/>
  <c r="AM3" i="27"/>
  <c r="AN3" i="27"/>
  <c r="AO3" i="27"/>
  <c r="AP3" i="27"/>
  <c r="AQ3" i="27"/>
  <c r="C3313" i="16" l="1"/>
  <c r="AB302" i="1"/>
  <c r="Q27" i="30"/>
  <c r="S26" i="30"/>
  <c r="AD3133" i="16"/>
  <c r="N3143" i="16"/>
  <c r="N3126" i="16"/>
  <c r="N3124" i="16"/>
  <c r="N3123" i="16" s="1"/>
  <c r="O3128" i="16" s="1"/>
  <c r="O3129" i="16" s="1"/>
  <c r="O3130" i="16" s="1"/>
  <c r="O3134" i="16" s="1"/>
  <c r="N3121" i="16"/>
  <c r="N3117" i="16"/>
  <c r="O3118" i="16" s="1"/>
  <c r="AH3113" i="16" s="1"/>
  <c r="C3319" i="16" l="1"/>
  <c r="E3463" i="16" s="1"/>
  <c r="BS3298" i="16"/>
  <c r="C3316" i="16"/>
  <c r="AE3134" i="16"/>
  <c r="P3135" i="16"/>
  <c r="AC302" i="1"/>
  <c r="R27" i="30"/>
  <c r="T26" i="30"/>
  <c r="AZ102" i="28"/>
  <c r="AZ109" i="28" s="1"/>
  <c r="BL18" i="28"/>
  <c r="BL16" i="28"/>
  <c r="BM17" i="28" s="1"/>
  <c r="BL11" i="28"/>
  <c r="BL8" i="28"/>
  <c r="BL7" i="28"/>
  <c r="BM3342" i="16" l="1"/>
  <c r="C3323" i="16"/>
  <c r="C3332" i="16"/>
  <c r="C3320" i="16"/>
  <c r="BS3300" i="16"/>
  <c r="BM12" i="28"/>
  <c r="BM13" i="28"/>
  <c r="AD302" i="1"/>
  <c r="S27" i="30"/>
  <c r="U26" i="30"/>
  <c r="EZ130" i="5"/>
  <c r="EY130" i="5"/>
  <c r="EZ129" i="5"/>
  <c r="CA85" i="5"/>
  <c r="CA190" i="5"/>
  <c r="CA184" i="5"/>
  <c r="CA179" i="5"/>
  <c r="CA171" i="5"/>
  <c r="CA115" i="5"/>
  <c r="CA114" i="5"/>
  <c r="CA108" i="5"/>
  <c r="CA107" i="5"/>
  <c r="X6" i="30" s="1"/>
  <c r="CA80" i="5"/>
  <c r="CA81" i="5" s="1"/>
  <c r="CA136" i="5"/>
  <c r="CA135" i="5"/>
  <c r="AZ104" i="28" s="1"/>
  <c r="CA131" i="5"/>
  <c r="CA297" i="5"/>
  <c r="CA296" i="5"/>
  <c r="CA295" i="5"/>
  <c r="CA294" i="5"/>
  <c r="CA291" i="5"/>
  <c r="CA286" i="5"/>
  <c r="CA277" i="5"/>
  <c r="CA272" i="5"/>
  <c r="CA271" i="5"/>
  <c r="AZ92" i="28" s="1"/>
  <c r="CA270" i="5"/>
  <c r="AZ91" i="28" s="1"/>
  <c r="CA269" i="5"/>
  <c r="CA263" i="5"/>
  <c r="CA37" i="5"/>
  <c r="FE37" i="5" s="1"/>
  <c r="CA54" i="5"/>
  <c r="CA36" i="5"/>
  <c r="FE36" i="5" s="1"/>
  <c r="CA19" i="5"/>
  <c r="CA256" i="5"/>
  <c r="CA209" i="5"/>
  <c r="CA211" i="5" s="1"/>
  <c r="CA206" i="5"/>
  <c r="CA201" i="5"/>
  <c r="U142" i="27"/>
  <c r="U144" i="27" s="1"/>
  <c r="V140" i="27" s="1"/>
  <c r="U136" i="27"/>
  <c r="U152" i="27"/>
  <c r="U148" i="27"/>
  <c r="U109" i="27"/>
  <c r="U159" i="27" s="1"/>
  <c r="U101" i="27"/>
  <c r="U100" i="27"/>
  <c r="U97" i="27"/>
  <c r="U96" i="27"/>
  <c r="U64" i="27"/>
  <c r="U55" i="27"/>
  <c r="U54" i="27"/>
  <c r="U40" i="27"/>
  <c r="Y44" i="27" s="1"/>
  <c r="U39" i="27"/>
  <c r="Y43" i="27" s="1"/>
  <c r="U38" i="27"/>
  <c r="Y42" i="27" s="1"/>
  <c r="U10" i="27"/>
  <c r="U9" i="27"/>
  <c r="C3463" i="16" l="1"/>
  <c r="CD3342" i="16" s="1"/>
  <c r="BS3301" i="16"/>
  <c r="C3330" i="16"/>
  <c r="C3333" i="16"/>
  <c r="CF137" i="5"/>
  <c r="FE131" i="5"/>
  <c r="CA21" i="5"/>
  <c r="CA71" i="5" s="1"/>
  <c r="FE19" i="5"/>
  <c r="CA265" i="5"/>
  <c r="CB273" i="5"/>
  <c r="BA93" i="28" s="1"/>
  <c r="U154" i="27"/>
  <c r="V136" i="27"/>
  <c r="V154" i="27" s="1"/>
  <c r="CA43" i="5"/>
  <c r="CA185" i="5"/>
  <c r="X17" i="30"/>
  <c r="X18" i="30" s="1"/>
  <c r="AE302" i="1"/>
  <c r="T27" i="30"/>
  <c r="V26" i="30"/>
  <c r="CA274" i="5"/>
  <c r="AZ90" i="28"/>
  <c r="CA70" i="5"/>
  <c r="CA118" i="5"/>
  <c r="CA132" i="5"/>
  <c r="CA40" i="5"/>
  <c r="CA38" i="5"/>
  <c r="U56" i="27"/>
  <c r="N54" i="29"/>
  <c r="U112" i="10"/>
  <c r="W54" i="13"/>
  <c r="U7" i="29"/>
  <c r="U6" i="29"/>
  <c r="CE187" i="5" l="1"/>
  <c r="FE38" i="5"/>
  <c r="CA51" i="5"/>
  <c r="FE40" i="5"/>
  <c r="X4" i="30"/>
  <c r="FE21" i="5"/>
  <c r="X54" i="13"/>
  <c r="I186" i="25"/>
  <c r="X5" i="30"/>
  <c r="X7" i="30" s="1"/>
  <c r="CB42" i="5"/>
  <c r="CB278" i="5"/>
  <c r="CB279" i="5" s="1"/>
  <c r="CB266" i="5"/>
  <c r="AF302" i="1"/>
  <c r="U27" i="30"/>
  <c r="X22" i="30"/>
  <c r="W26" i="30"/>
  <c r="CA122" i="5"/>
  <c r="CA72" i="5"/>
  <c r="CA188" i="5"/>
  <c r="CA84" i="5"/>
  <c r="U206" i="10"/>
  <c r="EY129" i="5"/>
  <c r="BZ169" i="5"/>
  <c r="CA169" i="5" s="1"/>
  <c r="BZ165" i="5"/>
  <c r="M3143" i="16"/>
  <c r="L3131" i="16"/>
  <c r="BZ170" i="5"/>
  <c r="BZ80" i="5"/>
  <c r="BZ37" i="5"/>
  <c r="AC3133" i="16"/>
  <c r="M3126" i="16"/>
  <c r="M3124" i="16"/>
  <c r="M3123" i="16" s="1"/>
  <c r="N3128" i="16" s="1"/>
  <c r="N3129" i="16" s="1"/>
  <c r="N3130" i="16" s="1"/>
  <c r="M3121" i="16"/>
  <c r="M3117" i="16"/>
  <c r="N3118" i="16" s="1"/>
  <c r="AG3113" i="16" s="1"/>
  <c r="BK18" i="28"/>
  <c r="BK8" i="28"/>
  <c r="BK7" i="28"/>
  <c r="AY102" i="28"/>
  <c r="AY109" i="28" s="1"/>
  <c r="BW31" i="28"/>
  <c r="BW30" i="28"/>
  <c r="BW26" i="28"/>
  <c r="BW22" i="28"/>
  <c r="BW16" i="28"/>
  <c r="BW8" i="28"/>
  <c r="BW7" i="28"/>
  <c r="AE27" i="27"/>
  <c r="AE26" i="27"/>
  <c r="AE25" i="27"/>
  <c r="AE23" i="27"/>
  <c r="AE22" i="27"/>
  <c r="AE21" i="27"/>
  <c r="AF27" i="27"/>
  <c r="AF26" i="27"/>
  <c r="AF25" i="27"/>
  <c r="AF23" i="27"/>
  <c r="AF22" i="27"/>
  <c r="AF21" i="27"/>
  <c r="AG27" i="27"/>
  <c r="AG26" i="27"/>
  <c r="AG25" i="27"/>
  <c r="AG23" i="27"/>
  <c r="AG22" i="27"/>
  <c r="AG21" i="27"/>
  <c r="AH27" i="27"/>
  <c r="AH26" i="27"/>
  <c r="AH25" i="27"/>
  <c r="AH23" i="27"/>
  <c r="AH22" i="27"/>
  <c r="AH21" i="27"/>
  <c r="S55" i="27"/>
  <c r="W59" i="27" s="1"/>
  <c r="R55" i="27"/>
  <c r="V59" i="27" s="1"/>
  <c r="Q55" i="27"/>
  <c r="U59" i="27" s="1"/>
  <c r="U62" i="27" s="1"/>
  <c r="P55" i="27"/>
  <c r="O55" i="27"/>
  <c r="N55" i="27"/>
  <c r="M55" i="27"/>
  <c r="L55" i="27"/>
  <c r="K55" i="27"/>
  <c r="J55" i="27"/>
  <c r="I55" i="27"/>
  <c r="H55" i="27"/>
  <c r="G55" i="27"/>
  <c r="F55" i="27"/>
  <c r="E55" i="27"/>
  <c r="D55" i="27"/>
  <c r="C55" i="27"/>
  <c r="S54" i="27"/>
  <c r="W58" i="27" s="1"/>
  <c r="R54" i="27"/>
  <c r="V58" i="27" s="1"/>
  <c r="Q54" i="27"/>
  <c r="U58" i="27" s="1"/>
  <c r="P54" i="27"/>
  <c r="O54" i="27"/>
  <c r="N54" i="27"/>
  <c r="M54" i="27"/>
  <c r="L54" i="27"/>
  <c r="K54" i="27"/>
  <c r="J54" i="27"/>
  <c r="I54" i="27"/>
  <c r="H54" i="27"/>
  <c r="G54" i="27"/>
  <c r="F54" i="27"/>
  <c r="E54" i="27"/>
  <c r="D54" i="27"/>
  <c r="C54" i="27"/>
  <c r="T55" i="27"/>
  <c r="T54" i="27"/>
  <c r="T109" i="27"/>
  <c r="T159" i="27" s="1"/>
  <c r="T101" i="27"/>
  <c r="T100" i="27"/>
  <c r="T97" i="27"/>
  <c r="T96" i="27"/>
  <c r="T148" i="27"/>
  <c r="T147" i="27"/>
  <c r="T154" i="27"/>
  <c r="T142" i="27"/>
  <c r="T135" i="27"/>
  <c r="T151" i="27" s="1"/>
  <c r="BW17" i="28" l="1"/>
  <c r="FD37" i="5"/>
  <c r="AR207" i="28"/>
  <c r="CF124" i="5"/>
  <c r="U147" i="27"/>
  <c r="I172" i="25" s="1"/>
  <c r="AG302" i="1"/>
  <c r="V27" i="30"/>
  <c r="X26" i="30"/>
  <c r="CA123" i="5"/>
  <c r="AR208" i="28" s="1"/>
  <c r="CA165" i="5"/>
  <c r="CA167" i="5" s="1"/>
  <c r="N3115" i="16" s="1"/>
  <c r="M3131" i="16"/>
  <c r="CA170" i="5"/>
  <c r="N3131" i="16" s="1"/>
  <c r="N3134" i="16" s="1"/>
  <c r="CA87" i="5"/>
  <c r="CA91" i="5"/>
  <c r="M59" i="27"/>
  <c r="BZ5" i="28"/>
  <c r="CA5" i="28" s="1"/>
  <c r="T56" i="27"/>
  <c r="F56" i="27"/>
  <c r="N56" i="27"/>
  <c r="P59" i="27"/>
  <c r="D56" i="27"/>
  <c r="L56" i="27"/>
  <c r="C56" i="27"/>
  <c r="E56" i="27"/>
  <c r="I58" i="27"/>
  <c r="Q58" i="27"/>
  <c r="H59" i="27"/>
  <c r="H58" i="27"/>
  <c r="P58" i="27"/>
  <c r="G59" i="27"/>
  <c r="O59" i="27"/>
  <c r="J59" i="27"/>
  <c r="R59" i="27"/>
  <c r="G56" i="27"/>
  <c r="M56" i="27"/>
  <c r="O56" i="27"/>
  <c r="H56" i="27"/>
  <c r="T59" i="27"/>
  <c r="J58" i="27"/>
  <c r="R58" i="27"/>
  <c r="I59" i="27"/>
  <c r="Q59" i="27"/>
  <c r="I56" i="27"/>
  <c r="Q56" i="27"/>
  <c r="U60" i="27" s="1"/>
  <c r="P56" i="27"/>
  <c r="J56" i="27"/>
  <c r="R56" i="27"/>
  <c r="V60" i="27" s="1"/>
  <c r="S59" i="27"/>
  <c r="S56" i="27"/>
  <c r="W60" i="27" s="1"/>
  <c r="K59" i="27"/>
  <c r="K56" i="27"/>
  <c r="L59" i="27"/>
  <c r="T58" i="27"/>
  <c r="L58" i="27"/>
  <c r="N58" i="27"/>
  <c r="M58" i="27"/>
  <c r="G58" i="27"/>
  <c r="O58" i="27"/>
  <c r="N59" i="27"/>
  <c r="S58" i="27"/>
  <c r="K58" i="27"/>
  <c r="T134" i="27"/>
  <c r="T40" i="27"/>
  <c r="X44" i="27" s="1"/>
  <c r="T39" i="27"/>
  <c r="X43" i="27" s="1"/>
  <c r="T38" i="27"/>
  <c r="X42" i="27" s="1"/>
  <c r="T10" i="27"/>
  <c r="T9" i="27"/>
  <c r="AD3134" i="16" l="1"/>
  <c r="O3135" i="16"/>
  <c r="U134" i="27"/>
  <c r="V134" i="27" s="1"/>
  <c r="AH302" i="1"/>
  <c r="X27" i="30" s="1"/>
  <c r="W27" i="30"/>
  <c r="CA92" i="5"/>
  <c r="CA93" i="5"/>
  <c r="BZ14" i="28"/>
  <c r="J60" i="27"/>
  <c r="H60" i="27"/>
  <c r="N60" i="27"/>
  <c r="I60" i="27"/>
  <c r="G60" i="27"/>
  <c r="R60" i="27"/>
  <c r="P60" i="27"/>
  <c r="Q60" i="27"/>
  <c r="O60" i="27"/>
  <c r="K60" i="27"/>
  <c r="M60" i="27"/>
  <c r="S60" i="27"/>
  <c r="L60" i="27"/>
  <c r="T60" i="27"/>
  <c r="T61" i="27" s="1"/>
  <c r="AH4" i="27"/>
  <c r="AH3" i="27"/>
  <c r="V3259" i="16"/>
  <c r="V3258" i="16"/>
  <c r="V3257" i="16"/>
  <c r="V3256" i="16"/>
  <c r="V3253" i="16"/>
  <c r="V3255" i="16"/>
  <c r="V3254" i="16"/>
  <c r="U3253" i="16"/>
  <c r="R3265" i="16"/>
  <c r="D3265" i="16"/>
  <c r="J3253" i="16"/>
  <c r="J3276" i="16"/>
  <c r="J3273" i="16"/>
  <c r="J3272" i="16"/>
  <c r="J3270" i="16"/>
  <c r="J3267" i="16"/>
  <c r="J3264" i="16"/>
  <c r="J3259" i="16"/>
  <c r="J3256" i="16"/>
  <c r="J3254" i="16"/>
  <c r="I3253" i="16"/>
  <c r="AE3" i="27"/>
  <c r="T64" i="27"/>
  <c r="V18" i="27"/>
  <c r="U18" i="27"/>
  <c r="T18" i="27"/>
  <c r="BW10" i="28"/>
  <c r="BK16" i="28"/>
  <c r="BL17" i="28" s="1"/>
  <c r="I205" i="25" l="1"/>
  <c r="V90" i="27"/>
  <c r="V132" i="27"/>
  <c r="V37" i="27"/>
  <c r="U122" i="27"/>
  <c r="U31" i="27"/>
  <c r="U30" i="27"/>
  <c r="U161" i="27"/>
  <c r="Y162" i="27" s="1"/>
  <c r="U133" i="27"/>
  <c r="U150" i="27"/>
  <c r="U90" i="27"/>
  <c r="U37" i="27"/>
  <c r="U132" i="27"/>
  <c r="BK11" i="28"/>
  <c r="BW6" i="28"/>
  <c r="T161" i="27"/>
  <c r="T150" i="27"/>
  <c r="T90" i="27"/>
  <c r="T37" i="27"/>
  <c r="T122" i="27"/>
  <c r="T30" i="27"/>
  <c r="T31" i="27"/>
  <c r="AE33" i="27"/>
  <c r="T133" i="27"/>
  <c r="T132" i="27"/>
  <c r="W3256" i="16"/>
  <c r="AH7" i="27"/>
  <c r="W3259" i="16"/>
  <c r="W3257" i="16"/>
  <c r="W3258" i="16"/>
  <c r="W3253" i="16"/>
  <c r="X3253" i="16" s="1"/>
  <c r="W3255" i="16"/>
  <c r="W3254" i="16"/>
  <c r="U3254" i="16"/>
  <c r="K3270" i="16"/>
  <c r="K3267" i="16"/>
  <c r="K3256" i="16"/>
  <c r="K3259" i="16"/>
  <c r="K3264" i="16"/>
  <c r="K3253" i="16"/>
  <c r="I3254" i="16"/>
  <c r="I3255" i="16" s="1"/>
  <c r="I3256" i="16" s="1"/>
  <c r="I3257" i="16" s="1"/>
  <c r="I3258" i="16" s="1"/>
  <c r="I3259" i="16" s="1"/>
  <c r="I3260" i="16" s="1"/>
  <c r="I3261" i="16" s="1"/>
  <c r="I3262" i="16" s="1"/>
  <c r="I3263" i="16" s="1"/>
  <c r="I3264" i="16" s="1"/>
  <c r="I3265" i="16" s="1"/>
  <c r="I3266" i="16" s="1"/>
  <c r="I3267" i="16" s="1"/>
  <c r="I3268" i="16" s="1"/>
  <c r="I3269" i="16" s="1"/>
  <c r="I3270" i="16" s="1"/>
  <c r="K3276" i="16"/>
  <c r="K3272" i="16"/>
  <c r="K3273" i="16"/>
  <c r="K3254" i="16"/>
  <c r="U34" i="27"/>
  <c r="U160" i="27" s="1"/>
  <c r="T34" i="27"/>
  <c r="T160" i="27" s="1"/>
  <c r="AC58" i="14"/>
  <c r="AB58" i="14"/>
  <c r="AA58" i="14"/>
  <c r="Z58" i="14"/>
  <c r="Y58" i="14"/>
  <c r="AH629" i="1"/>
  <c r="AG629" i="1"/>
  <c r="AF629" i="1"/>
  <c r="AH618" i="1"/>
  <c r="AG618" i="1"/>
  <c r="AF618" i="1"/>
  <c r="AH496" i="1"/>
  <c r="AH219" i="1" s="1"/>
  <c r="AN114" i="18" s="1"/>
  <c r="AG496" i="1"/>
  <c r="AG219" i="1" s="1"/>
  <c r="AM114" i="18" s="1"/>
  <c r="AF496" i="1"/>
  <c r="AF219" i="1" s="1"/>
  <c r="AL114" i="18" s="1"/>
  <c r="AH399" i="1"/>
  <c r="AG399" i="1"/>
  <c r="AF399" i="1"/>
  <c r="AH395" i="1"/>
  <c r="AG395" i="1"/>
  <c r="AF395" i="1"/>
  <c r="AH262" i="1"/>
  <c r="AG262" i="1"/>
  <c r="AF262" i="1"/>
  <c r="AH214" i="1"/>
  <c r="AG214" i="1"/>
  <c r="AF214" i="1"/>
  <c r="AH211" i="1"/>
  <c r="AG211" i="1"/>
  <c r="AF211" i="1"/>
  <c r="AH113" i="1"/>
  <c r="AG113" i="1"/>
  <c r="AF113" i="1"/>
  <c r="AE61" i="7"/>
  <c r="AD61" i="7"/>
  <c r="AC61" i="7"/>
  <c r="AB61" i="7"/>
  <c r="M9" i="26" s="1"/>
  <c r="AA61" i="7"/>
  <c r="L9" i="26" s="1"/>
  <c r="AE629" i="1"/>
  <c r="AE618" i="1"/>
  <c r="AE496" i="1"/>
  <c r="AE219" i="1" s="1"/>
  <c r="AK114" i="18" s="1"/>
  <c r="AE399" i="1"/>
  <c r="AE395" i="1"/>
  <c r="AE262" i="1"/>
  <c r="AE214" i="1"/>
  <c r="AE211" i="1"/>
  <c r="AE113" i="1"/>
  <c r="AD629" i="1"/>
  <c r="AD618" i="1"/>
  <c r="AD496" i="1"/>
  <c r="AD219" i="1" s="1"/>
  <c r="AJ114" i="18" s="1"/>
  <c r="AD399" i="1"/>
  <c r="AD395" i="1"/>
  <c r="AD262" i="1"/>
  <c r="AD214" i="1"/>
  <c r="AD211" i="1"/>
  <c r="AD113" i="1"/>
  <c r="AD334" i="10"/>
  <c r="AD268" i="10"/>
  <c r="AD201" i="10"/>
  <c r="AD174" i="10"/>
  <c r="AD102" i="10"/>
  <c r="AD79" i="10"/>
  <c r="AD78" i="10"/>
  <c r="AD65" i="10"/>
  <c r="AC334" i="10"/>
  <c r="AC268" i="10"/>
  <c r="AC201" i="10"/>
  <c r="AC174" i="10"/>
  <c r="AC102" i="10"/>
  <c r="AC79" i="10"/>
  <c r="AC78" i="10"/>
  <c r="AC65" i="10"/>
  <c r="AB334" i="10"/>
  <c r="AB268" i="10"/>
  <c r="AB201" i="10"/>
  <c r="AB174" i="10"/>
  <c r="AB102" i="10"/>
  <c r="AB79" i="10"/>
  <c r="AB78" i="10"/>
  <c r="AB65" i="10"/>
  <c r="AA334" i="10"/>
  <c r="AA268" i="10"/>
  <c r="AA201" i="10"/>
  <c r="AA174" i="10"/>
  <c r="AA102" i="10"/>
  <c r="AA79" i="10"/>
  <c r="AA78" i="10"/>
  <c r="AA65" i="10"/>
  <c r="Z334" i="10"/>
  <c r="Z268" i="10"/>
  <c r="Z201" i="10"/>
  <c r="Z174" i="10"/>
  <c r="Z102" i="10"/>
  <c r="Z79" i="10"/>
  <c r="Z78" i="10"/>
  <c r="Z65" i="10"/>
  <c r="AF116" i="13"/>
  <c r="AF112" i="13" s="1"/>
  <c r="AF48" i="13"/>
  <c r="AF76" i="13" s="1"/>
  <c r="AF98" i="13" s="1"/>
  <c r="AE116" i="13"/>
  <c r="AE48" i="13"/>
  <c r="AE76" i="13" s="1"/>
  <c r="AE98" i="13" s="1"/>
  <c r="AD116" i="13"/>
  <c r="AD48" i="13"/>
  <c r="AD76" i="13" s="1"/>
  <c r="AD98" i="13" s="1"/>
  <c r="AC116" i="13"/>
  <c r="AC48" i="13"/>
  <c r="AC76" i="13" s="1"/>
  <c r="AC98" i="13" s="1"/>
  <c r="AB116" i="13"/>
  <c r="AB112" i="13" s="1"/>
  <c r="AB48" i="13"/>
  <c r="AB76" i="13" s="1"/>
  <c r="AB98" i="13" s="1"/>
  <c r="Z5" i="21"/>
  <c r="Y5" i="21"/>
  <c r="X5" i="21"/>
  <c r="W5" i="21"/>
  <c r="V5" i="21"/>
  <c r="U5" i="21"/>
  <c r="T5" i="21"/>
  <c r="S5" i="21"/>
  <c r="R5" i="21"/>
  <c r="Q5" i="21"/>
  <c r="Z68" i="29"/>
  <c r="Z65" i="29"/>
  <c r="V39" i="29"/>
  <c r="U39" i="29"/>
  <c r="V40" i="29"/>
  <c r="U40" i="29"/>
  <c r="T40" i="29"/>
  <c r="R40" i="29"/>
  <c r="Q40" i="29"/>
  <c r="P40" i="29"/>
  <c r="O40" i="29"/>
  <c r="T39" i="29"/>
  <c r="R39" i="29"/>
  <c r="Q39" i="29"/>
  <c r="P39" i="29"/>
  <c r="O39" i="29"/>
  <c r="T16" i="29"/>
  <c r="R16" i="29"/>
  <c r="O16" i="29"/>
  <c r="P16" i="29"/>
  <c r="Q16" i="29"/>
  <c r="Z9" i="29"/>
  <c r="Z20" i="29"/>
  <c r="W68" i="29"/>
  <c r="W65" i="29"/>
  <c r="W62" i="29"/>
  <c r="W59" i="29"/>
  <c r="W20" i="29"/>
  <c r="W19" i="29"/>
  <c r="W18" i="29"/>
  <c r="W17" i="29"/>
  <c r="W16" i="29"/>
  <c r="V68" i="29"/>
  <c r="V65" i="29"/>
  <c r="V62" i="29"/>
  <c r="V59" i="29"/>
  <c r="V51" i="29"/>
  <c r="V48" i="29"/>
  <c r="V27" i="29"/>
  <c r="V26" i="29"/>
  <c r="V25" i="29"/>
  <c r="V20" i="29"/>
  <c r="V19" i="29"/>
  <c r="V18" i="29"/>
  <c r="V17" i="29"/>
  <c r="V16" i="29"/>
  <c r="V11" i="29"/>
  <c r="V9" i="29"/>
  <c r="V8" i="29"/>
  <c r="U68" i="29"/>
  <c r="U65" i="29"/>
  <c r="U62" i="29"/>
  <c r="U59" i="29"/>
  <c r="U48" i="29"/>
  <c r="U31" i="29"/>
  <c r="U27" i="29"/>
  <c r="U26" i="29"/>
  <c r="U25" i="29"/>
  <c r="U20" i="29"/>
  <c r="U19" i="29"/>
  <c r="U18" i="29"/>
  <c r="U17" i="29"/>
  <c r="U16" i="29"/>
  <c r="U11" i="29"/>
  <c r="U9" i="29"/>
  <c r="U8" i="29"/>
  <c r="T68" i="29"/>
  <c r="T65" i="29"/>
  <c r="T62" i="29"/>
  <c r="T59" i="29"/>
  <c r="T54" i="29"/>
  <c r="T51" i="29"/>
  <c r="T48" i="29"/>
  <c r="T45" i="29"/>
  <c r="T31" i="29"/>
  <c r="T26" i="29"/>
  <c r="T25" i="29"/>
  <c r="T22" i="29"/>
  <c r="T20" i="29"/>
  <c r="T19" i="29"/>
  <c r="T18" i="29"/>
  <c r="T17" i="29"/>
  <c r="T11" i="29"/>
  <c r="T9" i="29"/>
  <c r="T8" i="29"/>
  <c r="T7" i="29"/>
  <c r="T6" i="29"/>
  <c r="T5" i="29"/>
  <c r="AC174" i="13" a="1"/>
  <c r="AB137" i="13" a="1"/>
  <c r="AD137" i="13" a="1"/>
  <c r="AE137" i="13" a="1"/>
  <c r="AE174" i="13" a="1"/>
  <c r="AF137" i="13" a="1"/>
  <c r="AB174" i="13" a="1"/>
  <c r="AC137" i="13" a="1"/>
  <c r="AF174" i="13" a="1"/>
  <c r="AD174" i="13" a="1"/>
  <c r="Y163" i="27" l="1"/>
  <c r="X162" i="27"/>
  <c r="T153" i="27"/>
  <c r="T155" i="27" s="1"/>
  <c r="BL13" i="28"/>
  <c r="BL12" i="28"/>
  <c r="BW5" i="28"/>
  <c r="L3270" i="16"/>
  <c r="L3253" i="16"/>
  <c r="K3278" i="16"/>
  <c r="L3264" i="16"/>
  <c r="L3254" i="16"/>
  <c r="U3255" i="16"/>
  <c r="U3256" i="16" s="1"/>
  <c r="X3256" i="16" s="1"/>
  <c r="X3254" i="16"/>
  <c r="L3267" i="16"/>
  <c r="I3271" i="16"/>
  <c r="I3272" i="16" s="1"/>
  <c r="L3272" i="16" s="1"/>
  <c r="L3259" i="16"/>
  <c r="L3256" i="16"/>
  <c r="Q7" i="21"/>
  <c r="S7" i="21"/>
  <c r="AF114" i="13"/>
  <c r="AE112" i="13"/>
  <c r="AE114" i="13" s="1"/>
  <c r="AD112" i="13"/>
  <c r="AD114" i="13" s="1"/>
  <c r="AC112" i="13"/>
  <c r="AB114" i="13"/>
  <c r="R7" i="21"/>
  <c r="U49" i="29"/>
  <c r="T13" i="29"/>
  <c r="V49" i="29"/>
  <c r="V3238" i="16"/>
  <c r="V3236" i="16"/>
  <c r="V3237" i="16"/>
  <c r="BW14" i="28" l="1"/>
  <c r="I3273" i="16"/>
  <c r="I3274" i="16" s="1"/>
  <c r="I3275" i="16" s="1"/>
  <c r="I3276" i="16" s="1"/>
  <c r="L3276" i="16" s="1"/>
  <c r="X3255" i="16"/>
  <c r="U3257" i="16"/>
  <c r="AE188" i="13"/>
  <c r="AF188" i="13"/>
  <c r="AF184" i="13"/>
  <c r="AF115" i="13"/>
  <c r="AE115" i="13"/>
  <c r="AE184" i="13"/>
  <c r="AD184" i="13"/>
  <c r="AD115" i="13"/>
  <c r="AC184" i="13"/>
  <c r="AC114" i="13"/>
  <c r="AC188" i="13" s="1"/>
  <c r="AB115" i="13"/>
  <c r="W445" i="1"/>
  <c r="H448" i="1"/>
  <c r="I448" i="1" s="1"/>
  <c r="J448" i="1" s="1"/>
  <c r="X2888" i="16"/>
  <c r="V2893" i="16"/>
  <c r="T60" i="13"/>
  <c r="U60" i="13"/>
  <c r="O172" i="13"/>
  <c r="P172" i="13"/>
  <c r="P28" i="13" s="1"/>
  <c r="Q172" i="13"/>
  <c r="Q28" i="13" s="1"/>
  <c r="R172" i="13"/>
  <c r="R28" i="13" s="1"/>
  <c r="S172" i="13"/>
  <c r="S28" i="13" s="1"/>
  <c r="T172" i="13"/>
  <c r="T28" i="13" s="1"/>
  <c r="U172" i="13"/>
  <c r="U28" i="13" s="1"/>
  <c r="R457" i="1"/>
  <c r="Q457" i="1"/>
  <c r="W3" i="26"/>
  <c r="P3202" i="16"/>
  <c r="Q3202" i="16"/>
  <c r="R3202" i="16"/>
  <c r="S3202" i="16"/>
  <c r="P3203" i="16"/>
  <c r="Q3203" i="16"/>
  <c r="R3203" i="16"/>
  <c r="S3203" i="16"/>
  <c r="Q3200" i="16"/>
  <c r="R3200" i="16"/>
  <c r="S3200" i="16"/>
  <c r="P3200" i="16"/>
  <c r="Q3199" i="16"/>
  <c r="R3199" i="16"/>
  <c r="S3199" i="16"/>
  <c r="P3199" i="16"/>
  <c r="Y137" i="13" a="1"/>
  <c r="V174" i="13" a="1"/>
  <c r="AA137" i="13" a="1"/>
  <c r="Z174" i="13" a="1"/>
  <c r="W174" i="13" a="1"/>
  <c r="X137" i="13" a="1"/>
  <c r="Y174" i="13" a="1"/>
  <c r="X174" i="13" a="1"/>
  <c r="Z137" i="13" a="1"/>
  <c r="AA174" i="13" a="1"/>
  <c r="W137" i="13" a="1"/>
  <c r="R29" i="13" l="1"/>
  <c r="Q29" i="13"/>
  <c r="S29" i="13"/>
  <c r="U29" i="13"/>
  <c r="T29" i="13"/>
  <c r="L3273" i="16"/>
  <c r="L3278" i="16" s="1"/>
  <c r="U3258" i="16"/>
  <c r="X3257" i="16"/>
  <c r="V198" i="10"/>
  <c r="AD188" i="13"/>
  <c r="T7" i="21"/>
  <c r="U9" i="21"/>
  <c r="AC115" i="13"/>
  <c r="X282" i="10"/>
  <c r="Y282" i="10" s="1"/>
  <c r="Z282" i="10" s="1"/>
  <c r="AA282" i="10" s="1"/>
  <c r="W357" i="1"/>
  <c r="W210" i="1" s="1"/>
  <c r="AC112" i="18" s="1"/>
  <c r="CC80" i="5"/>
  <c r="V312" i="1"/>
  <c r="V316" i="1" s="1"/>
  <c r="W243" i="1"/>
  <c r="BY190" i="5"/>
  <c r="W187" i="1"/>
  <c r="EQ130" i="5"/>
  <c r="EP130" i="5"/>
  <c r="EO130" i="5"/>
  <c r="EN130" i="5"/>
  <c r="EQ129" i="5"/>
  <c r="EP129" i="5"/>
  <c r="EO129" i="5"/>
  <c r="EN129" i="5"/>
  <c r="EX130" i="5"/>
  <c r="EV130" i="5"/>
  <c r="EU130" i="5"/>
  <c r="ET130" i="5"/>
  <c r="ES130" i="5"/>
  <c r="EX129" i="5"/>
  <c r="EV129" i="5"/>
  <c r="EU129" i="5"/>
  <c r="ET129" i="5"/>
  <c r="ES129" i="5"/>
  <c r="W316" i="1"/>
  <c r="I650" i="1"/>
  <c r="H650" i="1"/>
  <c r="G650" i="1"/>
  <c r="F650" i="1"/>
  <c r="E650" i="1"/>
  <c r="D650" i="1"/>
  <c r="I649" i="1"/>
  <c r="H649" i="1"/>
  <c r="G649" i="1"/>
  <c r="F649" i="1"/>
  <c r="I648" i="1"/>
  <c r="H648" i="1"/>
  <c r="G648" i="1"/>
  <c r="F648" i="1"/>
  <c r="I647" i="1"/>
  <c r="I646" i="1"/>
  <c r="H646" i="1"/>
  <c r="G646" i="1"/>
  <c r="F646" i="1"/>
  <c r="I645" i="1"/>
  <c r="H645" i="1"/>
  <c r="G645" i="1"/>
  <c r="F645" i="1"/>
  <c r="I644" i="1"/>
  <c r="H644" i="1"/>
  <c r="G644" i="1"/>
  <c r="F644" i="1"/>
  <c r="I643" i="1"/>
  <c r="H643" i="1"/>
  <c r="G643" i="1"/>
  <c r="F643" i="1"/>
  <c r="I642" i="1"/>
  <c r="H642" i="1"/>
  <c r="G642" i="1"/>
  <c r="F642" i="1"/>
  <c r="B640" i="1"/>
  <c r="AC629" i="1"/>
  <c r="AB629" i="1"/>
  <c r="AA629" i="1"/>
  <c r="Z629" i="1"/>
  <c r="Y629" i="1"/>
  <c r="X629" i="1"/>
  <c r="W629" i="1"/>
  <c r="V629" i="1"/>
  <c r="U629" i="1"/>
  <c r="T629" i="1"/>
  <c r="S629" i="1"/>
  <c r="R629" i="1"/>
  <c r="Q629" i="1"/>
  <c r="P629" i="1"/>
  <c r="O629" i="1"/>
  <c r="N629" i="1"/>
  <c r="M629" i="1"/>
  <c r="L629" i="1"/>
  <c r="K629" i="1"/>
  <c r="J629" i="1"/>
  <c r="I629" i="1"/>
  <c r="H629" i="1"/>
  <c r="G629" i="1"/>
  <c r="F629" i="1"/>
  <c r="AC618" i="1"/>
  <c r="AB618" i="1"/>
  <c r="AA618" i="1"/>
  <c r="Z618" i="1"/>
  <c r="Y618" i="1"/>
  <c r="X618" i="1"/>
  <c r="W618" i="1"/>
  <c r="V618" i="1"/>
  <c r="U618" i="1"/>
  <c r="T618" i="1"/>
  <c r="S618" i="1"/>
  <c r="R618" i="1"/>
  <c r="Q618" i="1"/>
  <c r="P618" i="1"/>
  <c r="O618" i="1"/>
  <c r="N618" i="1"/>
  <c r="M618" i="1"/>
  <c r="L618" i="1"/>
  <c r="K618" i="1"/>
  <c r="J618" i="1"/>
  <c r="I618" i="1"/>
  <c r="H618" i="1"/>
  <c r="E618" i="1"/>
  <c r="D618" i="1"/>
  <c r="B617" i="1"/>
  <c r="B628" i="1" s="1"/>
  <c r="B639" i="1" s="1"/>
  <c r="B649" i="1" s="1"/>
  <c r="B616" i="1"/>
  <c r="B627" i="1" s="1"/>
  <c r="B638" i="1" s="1"/>
  <c r="B648" i="1" s="1"/>
  <c r="G615" i="1"/>
  <c r="F615" i="1"/>
  <c r="B615" i="1"/>
  <c r="B647" i="1" s="1"/>
  <c r="G614" i="1"/>
  <c r="F614" i="1"/>
  <c r="B614" i="1"/>
  <c r="B646" i="1" s="1"/>
  <c r="G613" i="1"/>
  <c r="F613" i="1"/>
  <c r="B613" i="1"/>
  <c r="B645" i="1" s="1"/>
  <c r="G612" i="1"/>
  <c r="F612" i="1"/>
  <c r="B612" i="1"/>
  <c r="B623" i="1" s="1"/>
  <c r="B634" i="1" s="1"/>
  <c r="G611" i="1"/>
  <c r="F611" i="1"/>
  <c r="B611" i="1"/>
  <c r="B643" i="1" s="1"/>
  <c r="G610" i="1"/>
  <c r="F610" i="1"/>
  <c r="B610" i="1"/>
  <c r="B642" i="1" s="1"/>
  <c r="I607" i="1"/>
  <c r="H607" i="1"/>
  <c r="G607" i="1"/>
  <c r="F607" i="1"/>
  <c r="E607" i="1"/>
  <c r="J606" i="1"/>
  <c r="J605" i="1"/>
  <c r="K605" i="1" s="1"/>
  <c r="J604" i="1"/>
  <c r="K604" i="1" s="1"/>
  <c r="J603" i="1"/>
  <c r="J646" i="1" s="1"/>
  <c r="J602" i="1"/>
  <c r="J601" i="1"/>
  <c r="K601" i="1" s="1"/>
  <c r="J600" i="1"/>
  <c r="J599" i="1"/>
  <c r="K599" i="1" s="1"/>
  <c r="L599" i="1" s="1"/>
  <c r="Q597" i="1"/>
  <c r="P597" i="1"/>
  <c r="O597" i="1"/>
  <c r="N597" i="1"/>
  <c r="M597" i="1"/>
  <c r="L597" i="1"/>
  <c r="K597" i="1"/>
  <c r="J597" i="1"/>
  <c r="I597" i="1"/>
  <c r="H597" i="1"/>
  <c r="G597" i="1"/>
  <c r="F597" i="1"/>
  <c r="E597" i="1"/>
  <c r="D597" i="1"/>
  <c r="R580" i="1"/>
  <c r="Q580" i="1"/>
  <c r="P580" i="1"/>
  <c r="O580" i="1"/>
  <c r="W579" i="1"/>
  <c r="V579" i="1"/>
  <c r="V166" i="1" s="1"/>
  <c r="AB13" i="18" s="1"/>
  <c r="U579" i="1"/>
  <c r="T579" i="1"/>
  <c r="T166" i="1" s="1"/>
  <c r="Z13" i="18" s="1"/>
  <c r="G579" i="1"/>
  <c r="G580" i="1" s="1"/>
  <c r="Q569" i="1"/>
  <c r="N569" i="1"/>
  <c r="J569" i="1"/>
  <c r="R567" i="1"/>
  <c r="R569" i="1" s="1"/>
  <c r="O567" i="1"/>
  <c r="O569" i="1" s="1"/>
  <c r="K567" i="1"/>
  <c r="K569" i="1" s="1"/>
  <c r="Q565" i="1"/>
  <c r="N565" i="1"/>
  <c r="J565" i="1"/>
  <c r="Q564" i="1"/>
  <c r="N564" i="1"/>
  <c r="J564" i="1"/>
  <c r="Q563" i="1"/>
  <c r="N563" i="1"/>
  <c r="J563" i="1"/>
  <c r="Q562" i="1"/>
  <c r="N562" i="1"/>
  <c r="J562" i="1"/>
  <c r="Q558" i="1"/>
  <c r="N558" i="1"/>
  <c r="M558" i="1"/>
  <c r="L558" i="1"/>
  <c r="K558" i="1"/>
  <c r="J558" i="1"/>
  <c r="I556" i="1"/>
  <c r="I573" i="1" s="1"/>
  <c r="I575" i="1" s="1"/>
  <c r="H556" i="1"/>
  <c r="H584" i="1" s="1"/>
  <c r="H212" i="1" s="1"/>
  <c r="G556" i="1"/>
  <c r="F556" i="1"/>
  <c r="F584" i="1" s="1"/>
  <c r="E556" i="1"/>
  <c r="E584" i="1" s="1"/>
  <c r="F554" i="1"/>
  <c r="E554" i="1"/>
  <c r="Q546" i="1"/>
  <c r="Q556" i="1" s="1"/>
  <c r="Q573" i="1" s="1"/>
  <c r="N546" i="1"/>
  <c r="N556" i="1" s="1"/>
  <c r="N573" i="1" s="1"/>
  <c r="M546" i="1"/>
  <c r="L546" i="1"/>
  <c r="K546" i="1"/>
  <c r="K556" i="1" s="1"/>
  <c r="K573" i="1" s="1"/>
  <c r="J546" i="1"/>
  <c r="J556" i="1" s="1"/>
  <c r="J573" i="1" s="1"/>
  <c r="Q538" i="1"/>
  <c r="N538" i="1"/>
  <c r="J538" i="1"/>
  <c r="Q537" i="1"/>
  <c r="N537" i="1"/>
  <c r="J537" i="1"/>
  <c r="R536" i="1"/>
  <c r="O536" i="1"/>
  <c r="K536" i="1"/>
  <c r="L536" i="1" s="1"/>
  <c r="N535" i="1"/>
  <c r="M535" i="1"/>
  <c r="L535" i="1"/>
  <c r="K535" i="1"/>
  <c r="J535" i="1"/>
  <c r="N534" i="1"/>
  <c r="M534" i="1"/>
  <c r="L534" i="1"/>
  <c r="K534" i="1"/>
  <c r="J534" i="1"/>
  <c r="R533" i="1"/>
  <c r="O533" i="1"/>
  <c r="O535" i="1" s="1"/>
  <c r="Q531" i="1"/>
  <c r="N531" i="1"/>
  <c r="J531" i="1"/>
  <c r="Q530" i="1"/>
  <c r="N530" i="1"/>
  <c r="J530" i="1"/>
  <c r="R529" i="1"/>
  <c r="S529" i="1" s="1"/>
  <c r="T529" i="1" s="1"/>
  <c r="U529" i="1" s="1"/>
  <c r="O529" i="1"/>
  <c r="P529" i="1" s="1"/>
  <c r="K529" i="1"/>
  <c r="L529" i="1" s="1"/>
  <c r="N528" i="1"/>
  <c r="M528" i="1"/>
  <c r="L528" i="1"/>
  <c r="K528" i="1"/>
  <c r="J528" i="1"/>
  <c r="N527" i="1"/>
  <c r="M527" i="1"/>
  <c r="L527" i="1"/>
  <c r="K527" i="1"/>
  <c r="J527" i="1"/>
  <c r="R526" i="1"/>
  <c r="R528" i="1" s="1"/>
  <c r="O526" i="1"/>
  <c r="Q524" i="1"/>
  <c r="N524" i="1"/>
  <c r="J524" i="1"/>
  <c r="Q523" i="1"/>
  <c r="N523" i="1"/>
  <c r="J523" i="1"/>
  <c r="R522" i="1"/>
  <c r="S522" i="1" s="1"/>
  <c r="T522" i="1" s="1"/>
  <c r="U522" i="1" s="1"/>
  <c r="O522" i="1"/>
  <c r="P522" i="1" s="1"/>
  <c r="K522" i="1"/>
  <c r="K524" i="1" s="1"/>
  <c r="N521" i="1"/>
  <c r="M521" i="1"/>
  <c r="L521" i="1"/>
  <c r="K521" i="1"/>
  <c r="J521" i="1"/>
  <c r="N520" i="1"/>
  <c r="M520" i="1"/>
  <c r="L520" i="1"/>
  <c r="K520" i="1"/>
  <c r="J520" i="1"/>
  <c r="R519" i="1"/>
  <c r="R521" i="1" s="1"/>
  <c r="O519" i="1"/>
  <c r="Q517" i="1"/>
  <c r="N517" i="1"/>
  <c r="J517" i="1"/>
  <c r="Q516" i="1"/>
  <c r="N516" i="1"/>
  <c r="J516" i="1"/>
  <c r="R515" i="1"/>
  <c r="S515" i="1" s="1"/>
  <c r="T515" i="1" s="1"/>
  <c r="O515" i="1"/>
  <c r="P515" i="1" s="1"/>
  <c r="K515" i="1"/>
  <c r="K517" i="1" s="1"/>
  <c r="N514" i="1"/>
  <c r="M514" i="1"/>
  <c r="L514" i="1"/>
  <c r="K514" i="1"/>
  <c r="J514" i="1"/>
  <c r="N513" i="1"/>
  <c r="M513" i="1"/>
  <c r="L513" i="1"/>
  <c r="K513" i="1"/>
  <c r="R512" i="1"/>
  <c r="S512" i="1" s="1"/>
  <c r="O512" i="1"/>
  <c r="M505" i="1"/>
  <c r="G505" i="1"/>
  <c r="F505" i="1"/>
  <c r="E505" i="1"/>
  <c r="D505" i="1"/>
  <c r="D500" i="1"/>
  <c r="E500" i="1" s="1"/>
  <c r="F500" i="1" s="1"/>
  <c r="G500" i="1" s="1"/>
  <c r="H500" i="1" s="1"/>
  <c r="I500" i="1" s="1"/>
  <c r="J500" i="1" s="1"/>
  <c r="K500" i="1" s="1"/>
  <c r="L500" i="1" s="1"/>
  <c r="M500" i="1" s="1"/>
  <c r="N500" i="1" s="1"/>
  <c r="O500" i="1" s="1"/>
  <c r="P500" i="1" s="1"/>
  <c r="Q500" i="1" s="1"/>
  <c r="R500" i="1" s="1"/>
  <c r="S500" i="1" s="1"/>
  <c r="T500" i="1" s="1"/>
  <c r="U500" i="1" s="1"/>
  <c r="V500" i="1" s="1"/>
  <c r="W500" i="1" s="1"/>
  <c r="X500" i="1" s="1"/>
  <c r="Y500" i="1" s="1"/>
  <c r="Z500" i="1" s="1"/>
  <c r="AA500" i="1" s="1"/>
  <c r="AB500" i="1" s="1"/>
  <c r="AC500" i="1" s="1"/>
  <c r="AD500" i="1" s="1"/>
  <c r="AE500" i="1" s="1"/>
  <c r="AF500" i="1" s="1"/>
  <c r="AG500" i="1" s="1"/>
  <c r="AH500" i="1" s="1"/>
  <c r="AC496" i="1"/>
  <c r="AC219" i="1" s="1"/>
  <c r="AI114" i="18" s="1"/>
  <c r="AB496" i="1"/>
  <c r="AB219" i="1" s="1"/>
  <c r="AH114" i="18" s="1"/>
  <c r="Y496" i="1"/>
  <c r="Y219" i="1" s="1"/>
  <c r="AE114" i="18" s="1"/>
  <c r="X496" i="1"/>
  <c r="V496" i="1"/>
  <c r="T496" i="1"/>
  <c r="T219" i="1" s="1"/>
  <c r="Z114" i="18" s="1"/>
  <c r="S496" i="1"/>
  <c r="S219" i="1" s="1"/>
  <c r="R496" i="1"/>
  <c r="R219" i="1" s="1"/>
  <c r="P496" i="1"/>
  <c r="P219" i="1" s="1"/>
  <c r="K496" i="1"/>
  <c r="K219" i="1" s="1"/>
  <c r="J496" i="1"/>
  <c r="J219" i="1" s="1"/>
  <c r="I496" i="1"/>
  <c r="I219" i="1" s="1"/>
  <c r="H496" i="1"/>
  <c r="H219" i="1" s="1"/>
  <c r="G496" i="1"/>
  <c r="F496" i="1"/>
  <c r="E496" i="1"/>
  <c r="D496" i="1"/>
  <c r="U495" i="1"/>
  <c r="U496" i="1" s="1"/>
  <c r="U219" i="1" s="1"/>
  <c r="AA114" i="18" s="1"/>
  <c r="Q492" i="1"/>
  <c r="Q496" i="1" s="1"/>
  <c r="Q219" i="1" s="1"/>
  <c r="N490" i="1"/>
  <c r="L488" i="1"/>
  <c r="L496" i="1" s="1"/>
  <c r="L219" i="1" s="1"/>
  <c r="W496" i="1"/>
  <c r="O487" i="1"/>
  <c r="O496" i="1" s="1"/>
  <c r="O219" i="1" s="1"/>
  <c r="N487" i="1"/>
  <c r="M487" i="1"/>
  <c r="M496" i="1" s="1"/>
  <c r="M219" i="1" s="1"/>
  <c r="D481" i="1"/>
  <c r="E481" i="1" s="1"/>
  <c r="F481" i="1" s="1"/>
  <c r="G481" i="1" s="1"/>
  <c r="H481" i="1" s="1"/>
  <c r="I481" i="1" s="1"/>
  <c r="J481" i="1" s="1"/>
  <c r="K481" i="1" s="1"/>
  <c r="L481" i="1" s="1"/>
  <c r="M481" i="1" s="1"/>
  <c r="N481" i="1" s="1"/>
  <c r="O481" i="1" s="1"/>
  <c r="P481" i="1" s="1"/>
  <c r="Q481" i="1" s="1"/>
  <c r="R481" i="1" s="1"/>
  <c r="S481" i="1" s="1"/>
  <c r="T481" i="1" s="1"/>
  <c r="U481" i="1" s="1"/>
  <c r="V481" i="1" s="1"/>
  <c r="W481" i="1" s="1"/>
  <c r="X481" i="1" s="1"/>
  <c r="Y481" i="1" s="1"/>
  <c r="Z481" i="1" s="1"/>
  <c r="AA481" i="1" s="1"/>
  <c r="AB481" i="1" s="1"/>
  <c r="AC481" i="1" s="1"/>
  <c r="AD481" i="1" s="1"/>
  <c r="AE481" i="1" s="1"/>
  <c r="AF481" i="1" s="1"/>
  <c r="AG481" i="1" s="1"/>
  <c r="AH481" i="1" s="1"/>
  <c r="D474" i="1"/>
  <c r="E474" i="1" s="1"/>
  <c r="F474" i="1" s="1"/>
  <c r="G474" i="1" s="1"/>
  <c r="H474" i="1" s="1"/>
  <c r="I474" i="1" s="1"/>
  <c r="J474" i="1" s="1"/>
  <c r="K474" i="1" s="1"/>
  <c r="L474" i="1" s="1"/>
  <c r="M474" i="1" s="1"/>
  <c r="N474" i="1" s="1"/>
  <c r="O474" i="1" s="1"/>
  <c r="P474" i="1" s="1"/>
  <c r="Q474" i="1" s="1"/>
  <c r="R474" i="1" s="1"/>
  <c r="S474" i="1" s="1"/>
  <c r="T474" i="1" s="1"/>
  <c r="U474" i="1" s="1"/>
  <c r="V474" i="1" s="1"/>
  <c r="W474" i="1" s="1"/>
  <c r="X474" i="1" s="1"/>
  <c r="Y474" i="1" s="1"/>
  <c r="Z474" i="1" s="1"/>
  <c r="AA474" i="1" s="1"/>
  <c r="AB474" i="1" s="1"/>
  <c r="AC474" i="1" s="1"/>
  <c r="AD474" i="1" s="1"/>
  <c r="AE474" i="1" s="1"/>
  <c r="AF474" i="1" s="1"/>
  <c r="AG474" i="1" s="1"/>
  <c r="AH474" i="1" s="1"/>
  <c r="S469" i="1"/>
  <c r="S214" i="1" s="1"/>
  <c r="R469" i="1"/>
  <c r="R214" i="1" s="1"/>
  <c r="T468" i="1"/>
  <c r="U468" i="1" s="1"/>
  <c r="V468" i="1" s="1"/>
  <c r="W468" i="1" s="1"/>
  <c r="X468" i="1" s="1"/>
  <c r="Y468" i="1" s="1"/>
  <c r="Z468" i="1" s="1"/>
  <c r="AA468" i="1" s="1"/>
  <c r="AB468" i="1" s="1"/>
  <c r="AC468" i="1" s="1"/>
  <c r="AD468" i="1" s="1"/>
  <c r="AE468" i="1" s="1"/>
  <c r="AF468" i="1" s="1"/>
  <c r="AG468" i="1" s="1"/>
  <c r="AH468" i="1" s="1"/>
  <c r="U466" i="1"/>
  <c r="T466" i="1"/>
  <c r="N466" i="1"/>
  <c r="M466" i="1"/>
  <c r="L466" i="1"/>
  <c r="K466" i="1"/>
  <c r="G465" i="1"/>
  <c r="F465" i="1"/>
  <c r="E465" i="1"/>
  <c r="D465" i="1"/>
  <c r="D463" i="1"/>
  <c r="E463" i="1" s="1"/>
  <c r="F463" i="1" s="1"/>
  <c r="G463" i="1" s="1"/>
  <c r="H463" i="1" s="1"/>
  <c r="I463" i="1" s="1"/>
  <c r="J463" i="1" s="1"/>
  <c r="K463" i="1" s="1"/>
  <c r="L463" i="1" s="1"/>
  <c r="M463" i="1" s="1"/>
  <c r="N463" i="1" s="1"/>
  <c r="O463" i="1" s="1"/>
  <c r="P463" i="1" s="1"/>
  <c r="Q463" i="1" s="1"/>
  <c r="R463" i="1" s="1"/>
  <c r="S463" i="1" s="1"/>
  <c r="T463" i="1" s="1"/>
  <c r="U463" i="1" s="1"/>
  <c r="V463" i="1" s="1"/>
  <c r="W463" i="1" s="1"/>
  <c r="X463" i="1" s="1"/>
  <c r="Y463" i="1" s="1"/>
  <c r="Z463" i="1" s="1"/>
  <c r="AA463" i="1" s="1"/>
  <c r="AB463" i="1" s="1"/>
  <c r="AC463" i="1" s="1"/>
  <c r="AD463" i="1" s="1"/>
  <c r="AE463" i="1" s="1"/>
  <c r="AF463" i="1" s="1"/>
  <c r="AG463" i="1" s="1"/>
  <c r="AH463" i="1" s="1"/>
  <c r="V457" i="1"/>
  <c r="U457" i="1"/>
  <c r="T457" i="1"/>
  <c r="S457" i="1"/>
  <c r="X453" i="1"/>
  <c r="Y453" i="1" s="1"/>
  <c r="Z453" i="1" s="1"/>
  <c r="AA453" i="1" s="1"/>
  <c r="AB453" i="1" s="1"/>
  <c r="AC453" i="1" s="1"/>
  <c r="AD453" i="1" s="1"/>
  <c r="AE453" i="1" s="1"/>
  <c r="AF453" i="1" s="1"/>
  <c r="U451" i="1"/>
  <c r="V451" i="1" s="1"/>
  <c r="W451" i="1" s="1"/>
  <c r="X451" i="1" s="1"/>
  <c r="Y451" i="1" s="1"/>
  <c r="Z451" i="1" s="1"/>
  <c r="AA451" i="1" s="1"/>
  <c r="AB451" i="1" s="1"/>
  <c r="AC451" i="1" s="1"/>
  <c r="AD451" i="1" s="1"/>
  <c r="AE451" i="1" s="1"/>
  <c r="AF451" i="1" s="1"/>
  <c r="AG451" i="1" s="1"/>
  <c r="AH451" i="1" s="1"/>
  <c r="K448" i="1"/>
  <c r="L448" i="1" s="1"/>
  <c r="X447" i="1"/>
  <c r="Y447" i="1" s="1"/>
  <c r="Z447" i="1" s="1"/>
  <c r="U447" i="1"/>
  <c r="V447" i="1" s="1"/>
  <c r="T447" i="1"/>
  <c r="V445" i="1"/>
  <c r="V507" i="1" s="1"/>
  <c r="U445" i="1"/>
  <c r="U507" i="1" s="1"/>
  <c r="T445" i="1"/>
  <c r="T507" i="1" s="1"/>
  <c r="S445" i="1"/>
  <c r="R445" i="1"/>
  <c r="Q445" i="1"/>
  <c r="Q507" i="1" s="1"/>
  <c r="P445" i="1"/>
  <c r="P507" i="1" s="1"/>
  <c r="O445" i="1"/>
  <c r="O507" i="1" s="1"/>
  <c r="N445" i="1"/>
  <c r="N507" i="1" s="1"/>
  <c r="M445" i="1"/>
  <c r="M507" i="1" s="1"/>
  <c r="L445" i="1"/>
  <c r="L507" i="1" s="1"/>
  <c r="K445" i="1"/>
  <c r="J445" i="1"/>
  <c r="J507" i="1" s="1"/>
  <c r="I445" i="1"/>
  <c r="I507" i="1" s="1"/>
  <c r="H445" i="1"/>
  <c r="H507" i="1" s="1"/>
  <c r="G445" i="1"/>
  <c r="G507" i="1" s="1"/>
  <c r="F445" i="1"/>
  <c r="F507" i="1" s="1"/>
  <c r="E445" i="1"/>
  <c r="E507" i="1" s="1"/>
  <c r="D445" i="1"/>
  <c r="D507" i="1" s="1"/>
  <c r="D442" i="1"/>
  <c r="E442" i="1" s="1"/>
  <c r="F442" i="1" s="1"/>
  <c r="G442" i="1" s="1"/>
  <c r="H442" i="1" s="1"/>
  <c r="I442" i="1" s="1"/>
  <c r="J442" i="1" s="1"/>
  <c r="K442" i="1" s="1"/>
  <c r="L442" i="1" s="1"/>
  <c r="M442" i="1" s="1"/>
  <c r="N442" i="1" s="1"/>
  <c r="O442" i="1" s="1"/>
  <c r="P442" i="1" s="1"/>
  <c r="Q442" i="1" s="1"/>
  <c r="R442" i="1" s="1"/>
  <c r="S442" i="1" s="1"/>
  <c r="T442" i="1" s="1"/>
  <c r="U442" i="1" s="1"/>
  <c r="V442" i="1" s="1"/>
  <c r="W442" i="1" s="1"/>
  <c r="X442" i="1" s="1"/>
  <c r="Y442" i="1" s="1"/>
  <c r="Z442" i="1" s="1"/>
  <c r="AA442" i="1" s="1"/>
  <c r="AB442" i="1" s="1"/>
  <c r="AC442" i="1" s="1"/>
  <c r="AD442" i="1" s="1"/>
  <c r="AE442" i="1" s="1"/>
  <c r="AF442" i="1" s="1"/>
  <c r="AG442" i="1" s="1"/>
  <c r="AH442" i="1" s="1"/>
  <c r="W434" i="1"/>
  <c r="W505" i="1" s="1"/>
  <c r="V434" i="1"/>
  <c r="V505" i="1" s="1"/>
  <c r="U434" i="1"/>
  <c r="U505" i="1" s="1"/>
  <c r="T434" i="1"/>
  <c r="T505" i="1" s="1"/>
  <c r="S434" i="1"/>
  <c r="S505" i="1" s="1"/>
  <c r="R434" i="1"/>
  <c r="R505" i="1" s="1"/>
  <c r="Q434" i="1"/>
  <c r="Q505" i="1" s="1"/>
  <c r="P434" i="1"/>
  <c r="P505" i="1" s="1"/>
  <c r="O434" i="1"/>
  <c r="O505" i="1" s="1"/>
  <c r="N434" i="1"/>
  <c r="N505" i="1" s="1"/>
  <c r="L434" i="1"/>
  <c r="L505" i="1" s="1"/>
  <c r="K434" i="1"/>
  <c r="K505" i="1" s="1"/>
  <c r="J434" i="1"/>
  <c r="J505" i="1" s="1"/>
  <c r="I434" i="1"/>
  <c r="I505" i="1" s="1"/>
  <c r="H434" i="1"/>
  <c r="H505" i="1" s="1"/>
  <c r="M433" i="1"/>
  <c r="M432" i="1" s="1"/>
  <c r="M152" i="1" s="1"/>
  <c r="M385" i="1" s="1"/>
  <c r="L413" i="1"/>
  <c r="M413" i="1" s="1"/>
  <c r="N413" i="1" s="1"/>
  <c r="O413" i="1" s="1"/>
  <c r="P413" i="1" s="1"/>
  <c r="Q413" i="1" s="1"/>
  <c r="R413" i="1" s="1"/>
  <c r="S413" i="1" s="1"/>
  <c r="T413" i="1" s="1"/>
  <c r="U413" i="1" s="1"/>
  <c r="V413" i="1" s="1"/>
  <c r="W413" i="1" s="1"/>
  <c r="X413" i="1" s="1"/>
  <c r="Y413" i="1" s="1"/>
  <c r="Z413" i="1" s="1"/>
  <c r="AA413" i="1" s="1"/>
  <c r="AB413" i="1" s="1"/>
  <c r="AC413" i="1" s="1"/>
  <c r="AD413" i="1" s="1"/>
  <c r="AE413" i="1" s="1"/>
  <c r="AF413" i="1" s="1"/>
  <c r="AG413" i="1" s="1"/>
  <c r="AH413" i="1" s="1"/>
  <c r="D411" i="1"/>
  <c r="E411" i="1" s="1"/>
  <c r="F411" i="1" s="1"/>
  <c r="G411" i="1" s="1"/>
  <c r="H411" i="1" s="1"/>
  <c r="I411" i="1" s="1"/>
  <c r="J411" i="1" s="1"/>
  <c r="K411" i="1" s="1"/>
  <c r="L411" i="1" s="1"/>
  <c r="M411" i="1" s="1"/>
  <c r="N411" i="1" s="1"/>
  <c r="O411" i="1" s="1"/>
  <c r="P411" i="1" s="1"/>
  <c r="Q411" i="1" s="1"/>
  <c r="R411" i="1" s="1"/>
  <c r="S411" i="1" s="1"/>
  <c r="T411" i="1" s="1"/>
  <c r="U411" i="1" s="1"/>
  <c r="V411" i="1" s="1"/>
  <c r="W411" i="1" s="1"/>
  <c r="X411" i="1" s="1"/>
  <c r="Y411" i="1" s="1"/>
  <c r="Z411" i="1" s="1"/>
  <c r="AA411" i="1" s="1"/>
  <c r="AB411" i="1" s="1"/>
  <c r="AC411" i="1" s="1"/>
  <c r="AD411" i="1" s="1"/>
  <c r="AE411" i="1" s="1"/>
  <c r="AF411" i="1" s="1"/>
  <c r="AG411" i="1" s="1"/>
  <c r="AH411" i="1" s="1"/>
  <c r="AC399" i="1"/>
  <c r="AB399" i="1"/>
  <c r="AA399" i="1"/>
  <c r="Z399" i="1"/>
  <c r="Y399" i="1"/>
  <c r="X399" i="1"/>
  <c r="W399" i="1"/>
  <c r="V399" i="1"/>
  <c r="U399" i="1"/>
  <c r="T399" i="1"/>
  <c r="S399" i="1"/>
  <c r="R399" i="1"/>
  <c r="Q399" i="1"/>
  <c r="P399" i="1"/>
  <c r="O399" i="1"/>
  <c r="N399" i="1"/>
  <c r="M399" i="1"/>
  <c r="L399" i="1"/>
  <c r="K399" i="1"/>
  <c r="J399" i="1"/>
  <c r="I399" i="1"/>
  <c r="H399" i="1"/>
  <c r="G399" i="1"/>
  <c r="F399" i="1"/>
  <c r="E399" i="1"/>
  <c r="D399" i="1"/>
  <c r="AC395" i="1"/>
  <c r="AB395" i="1"/>
  <c r="AA395" i="1"/>
  <c r="Z395" i="1"/>
  <c r="Y395" i="1"/>
  <c r="X395" i="1"/>
  <c r="W395" i="1"/>
  <c r="V395" i="1"/>
  <c r="U395" i="1"/>
  <c r="T395" i="1"/>
  <c r="S395" i="1"/>
  <c r="R395" i="1"/>
  <c r="Q395" i="1"/>
  <c r="P395" i="1"/>
  <c r="O395" i="1"/>
  <c r="N395" i="1"/>
  <c r="M395" i="1"/>
  <c r="L395" i="1"/>
  <c r="K395" i="1"/>
  <c r="J395" i="1"/>
  <c r="I395" i="1"/>
  <c r="H395" i="1"/>
  <c r="G395" i="1"/>
  <c r="F395" i="1"/>
  <c r="E395" i="1"/>
  <c r="W389" i="1"/>
  <c r="W506" i="1" s="1"/>
  <c r="V389" i="1"/>
  <c r="V506" i="1" s="1"/>
  <c r="U389" i="1"/>
  <c r="U506" i="1" s="1"/>
  <c r="T389" i="1"/>
  <c r="T506" i="1" s="1"/>
  <c r="S389" i="1"/>
  <c r="S506" i="1" s="1"/>
  <c r="R389" i="1"/>
  <c r="R506" i="1" s="1"/>
  <c r="Q389" i="1"/>
  <c r="Q506" i="1" s="1"/>
  <c r="P389" i="1"/>
  <c r="P506" i="1" s="1"/>
  <c r="O389" i="1"/>
  <c r="O506" i="1" s="1"/>
  <c r="N389" i="1"/>
  <c r="N506" i="1" s="1"/>
  <c r="M389" i="1"/>
  <c r="M506" i="1" s="1"/>
  <c r="L389" i="1"/>
  <c r="L506" i="1" s="1"/>
  <c r="K389" i="1"/>
  <c r="K506" i="1" s="1"/>
  <c r="J389" i="1"/>
  <c r="J506" i="1" s="1"/>
  <c r="I389" i="1"/>
  <c r="I506" i="1" s="1"/>
  <c r="H389" i="1"/>
  <c r="H506" i="1" s="1"/>
  <c r="AJ387" i="1"/>
  <c r="J386" i="1"/>
  <c r="T379" i="1"/>
  <c r="R379" i="1"/>
  <c r="Q379" i="1"/>
  <c r="P379" i="1"/>
  <c r="O379" i="1"/>
  <c r="M379" i="1"/>
  <c r="L379" i="1"/>
  <c r="K379" i="1"/>
  <c r="J379" i="1"/>
  <c r="I379" i="1"/>
  <c r="H379" i="1"/>
  <c r="G379" i="1"/>
  <c r="F379" i="1"/>
  <c r="E379" i="1"/>
  <c r="D379" i="1"/>
  <c r="S378" i="1"/>
  <c r="S379" i="1" s="1"/>
  <c r="D376" i="1"/>
  <c r="E376" i="1" s="1"/>
  <c r="F376" i="1" s="1"/>
  <c r="G376" i="1" s="1"/>
  <c r="H376" i="1" s="1"/>
  <c r="I376" i="1" s="1"/>
  <c r="J376" i="1" s="1"/>
  <c r="K376" i="1" s="1"/>
  <c r="L376" i="1" s="1"/>
  <c r="M376" i="1" s="1"/>
  <c r="N376" i="1" s="1"/>
  <c r="O376" i="1" s="1"/>
  <c r="P376" i="1" s="1"/>
  <c r="Q376" i="1" s="1"/>
  <c r="R376" i="1" s="1"/>
  <c r="S376" i="1" s="1"/>
  <c r="T376" i="1" s="1"/>
  <c r="U376" i="1" s="1"/>
  <c r="V376" i="1" s="1"/>
  <c r="W376" i="1" s="1"/>
  <c r="X376" i="1" s="1"/>
  <c r="Y376" i="1" s="1"/>
  <c r="Z376" i="1" s="1"/>
  <c r="AA376" i="1" s="1"/>
  <c r="AB376" i="1" s="1"/>
  <c r="AC376" i="1" s="1"/>
  <c r="AD376" i="1" s="1"/>
  <c r="AE376" i="1" s="1"/>
  <c r="AF376" i="1" s="1"/>
  <c r="AG376" i="1" s="1"/>
  <c r="AH376" i="1" s="1"/>
  <c r="W362" i="1"/>
  <c r="X363" i="1" s="1"/>
  <c r="V362" i="1"/>
  <c r="U362" i="1"/>
  <c r="T362" i="1"/>
  <c r="S362" i="1"/>
  <c r="R362" i="1"/>
  <c r="Q362" i="1"/>
  <c r="P362" i="1"/>
  <c r="O362" i="1"/>
  <c r="N362" i="1"/>
  <c r="M362" i="1"/>
  <c r="L362" i="1"/>
  <c r="K362" i="1"/>
  <c r="J362" i="1"/>
  <c r="I362" i="1"/>
  <c r="H362" i="1"/>
  <c r="G362" i="1"/>
  <c r="F362" i="1"/>
  <c r="E362" i="1"/>
  <c r="D362" i="1"/>
  <c r="D361" i="1"/>
  <c r="E361" i="1" s="1"/>
  <c r="F361" i="1" s="1"/>
  <c r="G361" i="1" s="1"/>
  <c r="H361" i="1" s="1"/>
  <c r="I361" i="1" s="1"/>
  <c r="J361" i="1" s="1"/>
  <c r="K361" i="1" s="1"/>
  <c r="L361" i="1" s="1"/>
  <c r="M361" i="1" s="1"/>
  <c r="N361" i="1" s="1"/>
  <c r="O361" i="1" s="1"/>
  <c r="P361" i="1" s="1"/>
  <c r="Q361" i="1" s="1"/>
  <c r="R361" i="1" s="1"/>
  <c r="S361" i="1" s="1"/>
  <c r="T361" i="1" s="1"/>
  <c r="U361" i="1" s="1"/>
  <c r="V361" i="1" s="1"/>
  <c r="W361" i="1" s="1"/>
  <c r="X361" i="1" s="1"/>
  <c r="Y361" i="1" s="1"/>
  <c r="Z361" i="1" s="1"/>
  <c r="AA361" i="1" s="1"/>
  <c r="AB361" i="1" s="1"/>
  <c r="AC361" i="1" s="1"/>
  <c r="AD361" i="1" s="1"/>
  <c r="AE361" i="1" s="1"/>
  <c r="AF361" i="1" s="1"/>
  <c r="AG361" i="1" s="1"/>
  <c r="AH361" i="1" s="1"/>
  <c r="V357" i="1"/>
  <c r="V210" i="1" s="1"/>
  <c r="AB112" i="18" s="1"/>
  <c r="U357" i="1"/>
  <c r="U210" i="1" s="1"/>
  <c r="T357" i="1"/>
  <c r="T210" i="1" s="1"/>
  <c r="H355" i="1"/>
  <c r="G355" i="1"/>
  <c r="F355" i="1"/>
  <c r="E355" i="1"/>
  <c r="D355" i="1"/>
  <c r="W352" i="1"/>
  <c r="V352" i="1"/>
  <c r="U352" i="1"/>
  <c r="T352" i="1"/>
  <c r="S352" i="1"/>
  <c r="R352" i="1"/>
  <c r="Q352" i="1"/>
  <c r="P352" i="1"/>
  <c r="O352" i="1"/>
  <c r="N352" i="1"/>
  <c r="M352" i="1"/>
  <c r="L352" i="1"/>
  <c r="K352" i="1"/>
  <c r="J352" i="1"/>
  <c r="I352" i="1"/>
  <c r="H352" i="1"/>
  <c r="G352" i="1"/>
  <c r="F352" i="1"/>
  <c r="E352" i="1"/>
  <c r="D352" i="1"/>
  <c r="H348" i="1"/>
  <c r="G348" i="1"/>
  <c r="F348" i="1"/>
  <c r="E348" i="1"/>
  <c r="D348" i="1"/>
  <c r="Q345" i="1"/>
  <c r="P345" i="1"/>
  <c r="O345" i="1"/>
  <c r="N345" i="1"/>
  <c r="M345" i="1"/>
  <c r="L345" i="1"/>
  <c r="K345" i="1"/>
  <c r="J345" i="1"/>
  <c r="I345" i="1"/>
  <c r="H345" i="1"/>
  <c r="G345" i="1"/>
  <c r="F345" i="1"/>
  <c r="E345" i="1"/>
  <c r="D345" i="1"/>
  <c r="W343" i="1"/>
  <c r="W175" i="1" s="1"/>
  <c r="V343" i="1"/>
  <c r="U343" i="1"/>
  <c r="T343" i="1"/>
  <c r="T175" i="1" s="1"/>
  <c r="S343" i="1"/>
  <c r="S175" i="1" s="1"/>
  <c r="R343" i="1"/>
  <c r="R345" i="1" s="1"/>
  <c r="W342" i="1"/>
  <c r="V342" i="1"/>
  <c r="U342" i="1"/>
  <c r="T342" i="1"/>
  <c r="S342" i="1"/>
  <c r="R342" i="1"/>
  <c r="Q342" i="1"/>
  <c r="P342" i="1"/>
  <c r="O342" i="1"/>
  <c r="N342" i="1"/>
  <c r="M342" i="1"/>
  <c r="L342" i="1"/>
  <c r="K342" i="1"/>
  <c r="J342" i="1"/>
  <c r="I342" i="1"/>
  <c r="H342" i="1"/>
  <c r="G342" i="1"/>
  <c r="F342" i="1"/>
  <c r="E342" i="1"/>
  <c r="D342" i="1"/>
  <c r="D339" i="1"/>
  <c r="E339" i="1" s="1"/>
  <c r="F339" i="1" s="1"/>
  <c r="G339" i="1" s="1"/>
  <c r="H339" i="1" s="1"/>
  <c r="I339" i="1" s="1"/>
  <c r="J339" i="1" s="1"/>
  <c r="K339" i="1" s="1"/>
  <c r="L339" i="1" s="1"/>
  <c r="M339" i="1" s="1"/>
  <c r="N339" i="1" s="1"/>
  <c r="O339" i="1" s="1"/>
  <c r="P339" i="1" s="1"/>
  <c r="Q339" i="1" s="1"/>
  <c r="R339" i="1" s="1"/>
  <c r="S339" i="1" s="1"/>
  <c r="T339" i="1" s="1"/>
  <c r="U339" i="1" s="1"/>
  <c r="V339" i="1" s="1"/>
  <c r="W339" i="1" s="1"/>
  <c r="X339" i="1" s="1"/>
  <c r="Y339" i="1" s="1"/>
  <c r="Z339" i="1" s="1"/>
  <c r="AA339" i="1" s="1"/>
  <c r="AB339" i="1" s="1"/>
  <c r="AC339" i="1" s="1"/>
  <c r="AD339" i="1" s="1"/>
  <c r="AE339" i="1" s="1"/>
  <c r="AF339" i="1" s="1"/>
  <c r="AG339" i="1" s="1"/>
  <c r="AH339" i="1" s="1"/>
  <c r="H330" i="1"/>
  <c r="H181" i="1" s="1"/>
  <c r="G330" i="1"/>
  <c r="G181" i="1" s="1"/>
  <c r="F330" i="1"/>
  <c r="F181" i="1" s="1"/>
  <c r="E330" i="1"/>
  <c r="E181" i="1" s="1"/>
  <c r="D330" i="1"/>
  <c r="D181" i="1" s="1"/>
  <c r="Q325" i="1"/>
  <c r="Q307" i="1" s="1"/>
  <c r="P325" i="1"/>
  <c r="O325" i="1"/>
  <c r="O307" i="1" s="1"/>
  <c r="M325" i="1"/>
  <c r="M173" i="1" s="1"/>
  <c r="L325" i="1"/>
  <c r="L307" i="1" s="1"/>
  <c r="K325" i="1"/>
  <c r="K307" i="1" s="1"/>
  <c r="J325" i="1"/>
  <c r="J173" i="1" s="1"/>
  <c r="I325" i="1"/>
  <c r="I307" i="1" s="1"/>
  <c r="H325" i="1"/>
  <c r="H173" i="1" s="1"/>
  <c r="Y323" i="1"/>
  <c r="W319" i="1"/>
  <c r="W321" i="1" s="1"/>
  <c r="W217" i="1" s="1"/>
  <c r="V319" i="1"/>
  <c r="V321" i="1" s="1"/>
  <c r="V217" i="1" s="1"/>
  <c r="W318" i="1"/>
  <c r="Y318" i="1" s="1"/>
  <c r="Z318" i="1" s="1"/>
  <c r="V318" i="1"/>
  <c r="U318" i="1"/>
  <c r="S316" i="1"/>
  <c r="T316" i="1" s="1"/>
  <c r="Q315" i="1"/>
  <c r="U316" i="1"/>
  <c r="T173" i="1"/>
  <c r="R312" i="1"/>
  <c r="R307" i="1" s="1"/>
  <c r="Q312" i="1"/>
  <c r="Q306" i="1" s="1"/>
  <c r="P312" i="1"/>
  <c r="P306" i="1" s="1"/>
  <c r="N312" i="1"/>
  <c r="N306" i="1" s="1"/>
  <c r="V187" i="1"/>
  <c r="O311" i="1"/>
  <c r="O187" i="1" s="1"/>
  <c r="W307" i="1"/>
  <c r="F46" i="30" s="1"/>
  <c r="V307" i="1"/>
  <c r="E46" i="30" s="1"/>
  <c r="U307" i="1"/>
  <c r="D46" i="30" s="1"/>
  <c r="G307" i="1"/>
  <c r="F307" i="1"/>
  <c r="E307" i="1"/>
  <c r="D307" i="1"/>
  <c r="M306" i="1"/>
  <c r="L306" i="1"/>
  <c r="K306" i="1"/>
  <c r="J306" i="1"/>
  <c r="I306" i="1"/>
  <c r="H306" i="1"/>
  <c r="G306" i="1"/>
  <c r="F306" i="1"/>
  <c r="E306" i="1"/>
  <c r="D306" i="1"/>
  <c r="D294" i="1" s="1"/>
  <c r="W293" i="1"/>
  <c r="W284" i="1" s="1"/>
  <c r="V293" i="1"/>
  <c r="V284" i="1" s="1"/>
  <c r="V282" i="1" s="1"/>
  <c r="V148" i="1" s="1"/>
  <c r="AB28" i="18" s="1"/>
  <c r="U293" i="1"/>
  <c r="U284" i="1" s="1"/>
  <c r="U282" i="1" s="1"/>
  <c r="T293" i="1"/>
  <c r="T284" i="1" s="1"/>
  <c r="W289" i="1"/>
  <c r="V289" i="1"/>
  <c r="G289" i="1"/>
  <c r="F289" i="1"/>
  <c r="E289" i="1"/>
  <c r="D289" i="1"/>
  <c r="D290" i="1" s="1"/>
  <c r="S288" i="1"/>
  <c r="S284" i="1" s="1"/>
  <c r="R284" i="1"/>
  <c r="Q284" i="1"/>
  <c r="P284" i="1"/>
  <c r="P282" i="1" s="1"/>
  <c r="O284" i="1"/>
  <c r="N284" i="1"/>
  <c r="M284" i="1"/>
  <c r="M282" i="1" s="1"/>
  <c r="L284" i="1"/>
  <c r="K284" i="1"/>
  <c r="J284" i="1"/>
  <c r="I284" i="1"/>
  <c r="H284" i="1"/>
  <c r="H282" i="1" s="1"/>
  <c r="Q283" i="1"/>
  <c r="O283" i="1"/>
  <c r="N283" i="1"/>
  <c r="N378" i="1" s="1"/>
  <c r="N379" i="1" s="1"/>
  <c r="K283" i="1"/>
  <c r="G283" i="1"/>
  <c r="F283" i="1"/>
  <c r="E283" i="1"/>
  <c r="D283" i="1"/>
  <c r="G282" i="1"/>
  <c r="G148" i="1" s="1"/>
  <c r="F282" i="1"/>
  <c r="F148" i="1" s="1"/>
  <c r="E282" i="1"/>
  <c r="E148" i="1" s="1"/>
  <c r="D282" i="1"/>
  <c r="D281" i="1"/>
  <c r="E281" i="1" s="1"/>
  <c r="F281" i="1" s="1"/>
  <c r="G281" i="1" s="1"/>
  <c r="H281" i="1" s="1"/>
  <c r="I281" i="1" s="1"/>
  <c r="J281" i="1" s="1"/>
  <c r="K281" i="1" s="1"/>
  <c r="L281" i="1" s="1"/>
  <c r="M281" i="1" s="1"/>
  <c r="N281" i="1" s="1"/>
  <c r="O281" i="1" s="1"/>
  <c r="P281" i="1" s="1"/>
  <c r="Q281" i="1" s="1"/>
  <c r="R281" i="1" s="1"/>
  <c r="S281" i="1" s="1"/>
  <c r="T281" i="1" s="1"/>
  <c r="U281" i="1" s="1"/>
  <c r="V281" i="1" s="1"/>
  <c r="W281" i="1" s="1"/>
  <c r="X281" i="1" s="1"/>
  <c r="Y281" i="1" s="1"/>
  <c r="Z281" i="1" s="1"/>
  <c r="AA281" i="1" s="1"/>
  <c r="AB281" i="1" s="1"/>
  <c r="AC281" i="1" s="1"/>
  <c r="AD281" i="1" s="1"/>
  <c r="AE281" i="1" s="1"/>
  <c r="AF281" i="1" s="1"/>
  <c r="AG281" i="1" s="1"/>
  <c r="AH281" i="1" s="1"/>
  <c r="W276" i="1"/>
  <c r="V276" i="1"/>
  <c r="U276" i="1"/>
  <c r="T276" i="1"/>
  <c r="S276" i="1"/>
  <c r="R276" i="1"/>
  <c r="Q276" i="1"/>
  <c r="P276" i="1"/>
  <c r="O276" i="1"/>
  <c r="N276" i="1"/>
  <c r="M276" i="1"/>
  <c r="L276" i="1"/>
  <c r="K276" i="1"/>
  <c r="J276" i="1"/>
  <c r="I276" i="1"/>
  <c r="H276" i="1"/>
  <c r="G276" i="1"/>
  <c r="F276" i="1"/>
  <c r="E276" i="1"/>
  <c r="D276" i="1"/>
  <c r="C276" i="1"/>
  <c r="W275" i="1"/>
  <c r="V275" i="1"/>
  <c r="U275" i="1"/>
  <c r="T275" i="1"/>
  <c r="S275" i="1"/>
  <c r="R275" i="1"/>
  <c r="Q275" i="1"/>
  <c r="P275" i="1"/>
  <c r="O275" i="1"/>
  <c r="N275" i="1"/>
  <c r="M275" i="1"/>
  <c r="L275" i="1"/>
  <c r="K275" i="1"/>
  <c r="J275" i="1"/>
  <c r="I275" i="1"/>
  <c r="H275" i="1"/>
  <c r="G275" i="1"/>
  <c r="F275" i="1"/>
  <c r="E275" i="1"/>
  <c r="D275" i="1"/>
  <c r="C275" i="1"/>
  <c r="K268" i="1"/>
  <c r="L268" i="1" s="1"/>
  <c r="M268" i="1" s="1"/>
  <c r="N268" i="1" s="1"/>
  <c r="O268" i="1" s="1"/>
  <c r="P268" i="1" s="1"/>
  <c r="Q268" i="1" s="1"/>
  <c r="R268" i="1" s="1"/>
  <c r="S268" i="1" s="1"/>
  <c r="T268" i="1" s="1"/>
  <c r="U268" i="1" s="1"/>
  <c r="V268" i="1" s="1"/>
  <c r="W268" i="1" s="1"/>
  <c r="X268" i="1" s="1"/>
  <c r="Y268" i="1" s="1"/>
  <c r="Z268" i="1" s="1"/>
  <c r="AA268" i="1" s="1"/>
  <c r="AB268" i="1" s="1"/>
  <c r="AC268" i="1" s="1"/>
  <c r="AD268" i="1" s="1"/>
  <c r="AE268" i="1" s="1"/>
  <c r="AF268" i="1" s="1"/>
  <c r="AG268" i="1" s="1"/>
  <c r="AH268" i="1" s="1"/>
  <c r="H267" i="1"/>
  <c r="I267" i="1" s="1"/>
  <c r="J267" i="1" s="1"/>
  <c r="K267" i="1" s="1"/>
  <c r="G267" i="1"/>
  <c r="F267" i="1"/>
  <c r="E267" i="1"/>
  <c r="D267" i="1"/>
  <c r="C267" i="1"/>
  <c r="V264" i="1"/>
  <c r="U264" i="1"/>
  <c r="T264" i="1"/>
  <c r="S264" i="1"/>
  <c r="R264" i="1"/>
  <c r="AC262" i="1"/>
  <c r="AB262" i="1"/>
  <c r="AA262" i="1"/>
  <c r="Z262" i="1"/>
  <c r="Y262" i="1"/>
  <c r="X262" i="1"/>
  <c r="V262" i="1"/>
  <c r="U262" i="1"/>
  <c r="T262" i="1"/>
  <c r="S262" i="1"/>
  <c r="R262" i="1"/>
  <c r="Q262" i="1"/>
  <c r="P262" i="1"/>
  <c r="O262" i="1"/>
  <c r="N262" i="1"/>
  <c r="M262" i="1"/>
  <c r="X215" i="1"/>
  <c r="W264" i="1"/>
  <c r="M261" i="1"/>
  <c r="M264" i="1" s="1"/>
  <c r="L261" i="1"/>
  <c r="L264" i="1" s="1"/>
  <c r="K261" i="1"/>
  <c r="J261" i="1"/>
  <c r="J264" i="1" s="1"/>
  <c r="I261" i="1"/>
  <c r="I264" i="1" s="1"/>
  <c r="V258" i="1"/>
  <c r="U258" i="1"/>
  <c r="J257" i="1"/>
  <c r="I257" i="1"/>
  <c r="G257" i="1"/>
  <c r="F257" i="1"/>
  <c r="E257" i="1"/>
  <c r="D257" i="1"/>
  <c r="C257" i="1"/>
  <c r="X503" i="1"/>
  <c r="X591" i="1" s="1"/>
  <c r="G254" i="1"/>
  <c r="G255" i="1" s="1"/>
  <c r="F254" i="1"/>
  <c r="E254" i="1"/>
  <c r="D254" i="1"/>
  <c r="D255" i="1" s="1"/>
  <c r="W252" i="1"/>
  <c r="V252" i="1"/>
  <c r="J252" i="1"/>
  <c r="J254" i="1" s="1"/>
  <c r="I252" i="1"/>
  <c r="I254" i="1" s="1"/>
  <c r="I255" i="1" s="1"/>
  <c r="H252" i="1"/>
  <c r="H254" i="1" s="1"/>
  <c r="D251" i="1"/>
  <c r="E251" i="1" s="1"/>
  <c r="F251" i="1" s="1"/>
  <c r="G251" i="1" s="1"/>
  <c r="H251" i="1" s="1"/>
  <c r="I251" i="1" s="1"/>
  <c r="J251" i="1" s="1"/>
  <c r="K251" i="1" s="1"/>
  <c r="L251" i="1" s="1"/>
  <c r="M251" i="1" s="1"/>
  <c r="N251" i="1" s="1"/>
  <c r="O251" i="1" s="1"/>
  <c r="P251" i="1" s="1"/>
  <c r="Q251" i="1" s="1"/>
  <c r="R251" i="1" s="1"/>
  <c r="S251" i="1" s="1"/>
  <c r="T251" i="1" s="1"/>
  <c r="U251" i="1" s="1"/>
  <c r="V251" i="1" s="1"/>
  <c r="W251" i="1" s="1"/>
  <c r="X251" i="1" s="1"/>
  <c r="Y251" i="1" s="1"/>
  <c r="Z251" i="1" s="1"/>
  <c r="AA251" i="1" s="1"/>
  <c r="AB251" i="1" s="1"/>
  <c r="AC251" i="1" s="1"/>
  <c r="AD251" i="1" s="1"/>
  <c r="AE251" i="1" s="1"/>
  <c r="AF251" i="1" s="1"/>
  <c r="AG251" i="1" s="1"/>
  <c r="AH251" i="1" s="1"/>
  <c r="V247" i="1"/>
  <c r="V246" i="1" s="1"/>
  <c r="V216" i="1" s="1"/>
  <c r="AB113" i="18" s="1"/>
  <c r="U247" i="1"/>
  <c r="U246" i="1" s="1"/>
  <c r="U216" i="1" s="1"/>
  <c r="AA113" i="18" s="1"/>
  <c r="T247" i="1"/>
  <c r="T246" i="1" s="1"/>
  <c r="T216" i="1" s="1"/>
  <c r="Z113" i="18" s="1"/>
  <c r="S247" i="1"/>
  <c r="S246" i="1" s="1"/>
  <c r="S216" i="1" s="1"/>
  <c r="W246" i="1"/>
  <c r="X216" i="1" s="1"/>
  <c r="AD113" i="18" s="1"/>
  <c r="R246" i="1"/>
  <c r="R216" i="1" s="1"/>
  <c r="Y245" i="1"/>
  <c r="Z245" i="1" s="1"/>
  <c r="V243" i="1"/>
  <c r="U243" i="1"/>
  <c r="T243" i="1"/>
  <c r="R243" i="1"/>
  <c r="S243" i="1" s="1"/>
  <c r="W239" i="1"/>
  <c r="V239" i="1"/>
  <c r="U239" i="1"/>
  <c r="T239" i="1"/>
  <c r="S239" i="1"/>
  <c r="R239" i="1"/>
  <c r="Q239" i="1"/>
  <c r="P239" i="1"/>
  <c r="O239" i="1"/>
  <c r="N239" i="1"/>
  <c r="M239" i="1"/>
  <c r="L239" i="1"/>
  <c r="K239" i="1"/>
  <c r="J239" i="1"/>
  <c r="I239" i="1"/>
  <c r="H239" i="1"/>
  <c r="G239" i="1"/>
  <c r="F239" i="1"/>
  <c r="E239" i="1"/>
  <c r="D239" i="1"/>
  <c r="W237" i="1"/>
  <c r="V237" i="1"/>
  <c r="U237" i="1"/>
  <c r="J237" i="1"/>
  <c r="I237" i="1"/>
  <c r="G236" i="1"/>
  <c r="F236" i="1"/>
  <c r="E236" i="1"/>
  <c r="D236" i="1"/>
  <c r="C236" i="1"/>
  <c r="W232" i="1"/>
  <c r="V232" i="1"/>
  <c r="J232" i="1"/>
  <c r="J233" i="1" s="1"/>
  <c r="K233" i="1" s="1"/>
  <c r="I232" i="1"/>
  <c r="H232" i="1"/>
  <c r="G232" i="1"/>
  <c r="G502" i="1" s="1"/>
  <c r="F232" i="1"/>
  <c r="E232" i="1"/>
  <c r="D232" i="1"/>
  <c r="D233" i="1" s="1"/>
  <c r="D234" i="1" s="1"/>
  <c r="W230" i="1"/>
  <c r="V230" i="1"/>
  <c r="J230" i="1"/>
  <c r="I230" i="1"/>
  <c r="H230" i="1"/>
  <c r="G230" i="1"/>
  <c r="F230" i="1"/>
  <c r="E230" i="1"/>
  <c r="D230" i="1"/>
  <c r="W229" i="1"/>
  <c r="J229" i="1"/>
  <c r="I229" i="1"/>
  <c r="H229" i="1"/>
  <c r="G229" i="1"/>
  <c r="F229" i="1"/>
  <c r="E229" i="1"/>
  <c r="D229" i="1"/>
  <c r="D227" i="1"/>
  <c r="E227" i="1" s="1"/>
  <c r="F227" i="1" s="1"/>
  <c r="G227" i="1" s="1"/>
  <c r="H227" i="1" s="1"/>
  <c r="I227" i="1" s="1"/>
  <c r="J227" i="1" s="1"/>
  <c r="K227" i="1" s="1"/>
  <c r="L227" i="1" s="1"/>
  <c r="M227" i="1" s="1"/>
  <c r="N227" i="1" s="1"/>
  <c r="O227" i="1" s="1"/>
  <c r="P227" i="1" s="1"/>
  <c r="Q227" i="1" s="1"/>
  <c r="R227" i="1" s="1"/>
  <c r="S227" i="1" s="1"/>
  <c r="T227" i="1" s="1"/>
  <c r="U227" i="1" s="1"/>
  <c r="V227" i="1" s="1"/>
  <c r="W227" i="1" s="1"/>
  <c r="X227" i="1" s="1"/>
  <c r="Y227" i="1" s="1"/>
  <c r="Z227" i="1" s="1"/>
  <c r="AA227" i="1" s="1"/>
  <c r="AB227" i="1" s="1"/>
  <c r="AC227" i="1" s="1"/>
  <c r="AD227" i="1" s="1"/>
  <c r="AE227" i="1" s="1"/>
  <c r="AF227" i="1" s="1"/>
  <c r="AG227" i="1" s="1"/>
  <c r="AH227" i="1" s="1"/>
  <c r="G220" i="1"/>
  <c r="F220" i="1"/>
  <c r="E220" i="1"/>
  <c r="D220" i="1"/>
  <c r="V218" i="1"/>
  <c r="U218" i="1"/>
  <c r="W215" i="1"/>
  <c r="V215" i="1"/>
  <c r="U215" i="1"/>
  <c r="T215" i="1"/>
  <c r="S215" i="1"/>
  <c r="R215" i="1"/>
  <c r="AC214" i="1"/>
  <c r="AB214" i="1"/>
  <c r="AA214" i="1"/>
  <c r="Z214" i="1"/>
  <c r="Y214" i="1"/>
  <c r="X214" i="1"/>
  <c r="W214" i="1"/>
  <c r="V214" i="1"/>
  <c r="U214" i="1"/>
  <c r="T214" i="1"/>
  <c r="Q214" i="1"/>
  <c r="P214" i="1"/>
  <c r="O214" i="1"/>
  <c r="N214" i="1"/>
  <c r="M214" i="1"/>
  <c r="L214" i="1"/>
  <c r="K214" i="1"/>
  <c r="J214" i="1"/>
  <c r="I214" i="1"/>
  <c r="H214" i="1"/>
  <c r="V213" i="1"/>
  <c r="AB116" i="18" s="1"/>
  <c r="U213" i="1"/>
  <c r="AA116" i="18" s="1"/>
  <c r="T213" i="1"/>
  <c r="Z116" i="18" s="1"/>
  <c r="S213" i="1"/>
  <c r="R213" i="1"/>
  <c r="Q213" i="1"/>
  <c r="P213" i="1"/>
  <c r="O213" i="1"/>
  <c r="N213" i="1"/>
  <c r="M213" i="1"/>
  <c r="L213" i="1"/>
  <c r="K213" i="1"/>
  <c r="J213" i="1"/>
  <c r="I213" i="1"/>
  <c r="H213" i="1"/>
  <c r="W212" i="1"/>
  <c r="AC115" i="18" s="1"/>
  <c r="V212" i="1"/>
  <c r="AB115" i="18" s="1"/>
  <c r="U212" i="1"/>
  <c r="AA115" i="18" s="1"/>
  <c r="T212" i="1"/>
  <c r="Z115" i="18" s="1"/>
  <c r="AC211" i="1"/>
  <c r="AB211" i="1"/>
  <c r="AA211" i="1"/>
  <c r="Z211" i="1"/>
  <c r="Y211" i="1"/>
  <c r="X211" i="1"/>
  <c r="W211" i="1"/>
  <c r="V211" i="1"/>
  <c r="U211" i="1"/>
  <c r="T211" i="1"/>
  <c r="S211" i="1"/>
  <c r="R211" i="1"/>
  <c r="Q211" i="1"/>
  <c r="P211" i="1"/>
  <c r="O211" i="1"/>
  <c r="N211" i="1"/>
  <c r="M211" i="1"/>
  <c r="L211" i="1"/>
  <c r="K211" i="1"/>
  <c r="J211" i="1"/>
  <c r="I211" i="1"/>
  <c r="W209" i="1"/>
  <c r="V209" i="1"/>
  <c r="U209" i="1"/>
  <c r="T209" i="1"/>
  <c r="S209" i="1"/>
  <c r="B41" i="30" s="1"/>
  <c r="B12" i="30" s="1"/>
  <c r="C12" i="30" s="1"/>
  <c r="D12" i="30" s="1"/>
  <c r="E12" i="30" s="1"/>
  <c r="Q209" i="1"/>
  <c r="P209" i="1"/>
  <c r="O209" i="1"/>
  <c r="D206" i="1"/>
  <c r="E206" i="1" s="1"/>
  <c r="F206" i="1" s="1"/>
  <c r="G206" i="1" s="1"/>
  <c r="H206" i="1" s="1"/>
  <c r="I206" i="1" s="1"/>
  <c r="J206" i="1" s="1"/>
  <c r="K206" i="1" s="1"/>
  <c r="L206" i="1" s="1"/>
  <c r="M206" i="1" s="1"/>
  <c r="N206" i="1" s="1"/>
  <c r="O206" i="1" s="1"/>
  <c r="P206" i="1" s="1"/>
  <c r="Q206" i="1" s="1"/>
  <c r="R206" i="1" s="1"/>
  <c r="S206" i="1" s="1"/>
  <c r="T206" i="1" s="1"/>
  <c r="U206" i="1" s="1"/>
  <c r="V206" i="1" s="1"/>
  <c r="W206" i="1" s="1"/>
  <c r="X206" i="1" s="1"/>
  <c r="Y206" i="1" s="1"/>
  <c r="Z206" i="1" s="1"/>
  <c r="AA206" i="1" s="1"/>
  <c r="AB206" i="1" s="1"/>
  <c r="AC206" i="1" s="1"/>
  <c r="AD206" i="1" s="1"/>
  <c r="AE206" i="1" s="1"/>
  <c r="AF206" i="1" s="1"/>
  <c r="AG206" i="1" s="1"/>
  <c r="AH206" i="1" s="1"/>
  <c r="W194" i="1"/>
  <c r="V194" i="1"/>
  <c r="U194" i="1"/>
  <c r="T194" i="1"/>
  <c r="S194" i="1"/>
  <c r="R194" i="1"/>
  <c r="Q194" i="1"/>
  <c r="P194" i="1"/>
  <c r="O194" i="1"/>
  <c r="N194" i="1"/>
  <c r="M194" i="1"/>
  <c r="L194" i="1"/>
  <c r="K194" i="1"/>
  <c r="J194" i="1"/>
  <c r="I194" i="1"/>
  <c r="H194" i="1"/>
  <c r="G194" i="1"/>
  <c r="F194" i="1"/>
  <c r="E194" i="1"/>
  <c r="D194" i="1"/>
  <c r="W193" i="1"/>
  <c r="V193" i="1"/>
  <c r="U193" i="1"/>
  <c r="T193" i="1"/>
  <c r="S193" i="1"/>
  <c r="R193" i="1"/>
  <c r="Q193" i="1"/>
  <c r="P193" i="1"/>
  <c r="O193" i="1"/>
  <c r="N193" i="1"/>
  <c r="M193" i="1"/>
  <c r="L193" i="1"/>
  <c r="K193" i="1"/>
  <c r="J193" i="1"/>
  <c r="I193" i="1"/>
  <c r="H193" i="1"/>
  <c r="G193" i="1"/>
  <c r="F193" i="1"/>
  <c r="E193" i="1"/>
  <c r="D193" i="1"/>
  <c r="H191" i="1"/>
  <c r="G191" i="1"/>
  <c r="F191" i="1"/>
  <c r="E191" i="1"/>
  <c r="D191" i="1"/>
  <c r="M190" i="1"/>
  <c r="L190" i="1"/>
  <c r="K190" i="1"/>
  <c r="J190" i="1"/>
  <c r="I190" i="1"/>
  <c r="H190" i="1"/>
  <c r="G190" i="1"/>
  <c r="F190" i="1"/>
  <c r="E190" i="1"/>
  <c r="D190" i="1"/>
  <c r="U187" i="1"/>
  <c r="T187" i="1"/>
  <c r="S187" i="1"/>
  <c r="R187" i="1"/>
  <c r="Q187" i="1"/>
  <c r="P187" i="1"/>
  <c r="N187" i="1"/>
  <c r="M187" i="1"/>
  <c r="L187" i="1"/>
  <c r="K187" i="1"/>
  <c r="J187" i="1"/>
  <c r="I187" i="1"/>
  <c r="H187" i="1"/>
  <c r="G187" i="1"/>
  <c r="F187" i="1"/>
  <c r="E187" i="1"/>
  <c r="D187" i="1"/>
  <c r="W186" i="1"/>
  <c r="V186" i="1"/>
  <c r="U186" i="1"/>
  <c r="T186" i="1"/>
  <c r="S186" i="1"/>
  <c r="R186" i="1"/>
  <c r="Q186" i="1"/>
  <c r="P186" i="1"/>
  <c r="O186" i="1"/>
  <c r="N186" i="1"/>
  <c r="M186" i="1"/>
  <c r="L186" i="1"/>
  <c r="K186" i="1"/>
  <c r="J186" i="1"/>
  <c r="I186" i="1"/>
  <c r="H186" i="1"/>
  <c r="G186" i="1"/>
  <c r="F186" i="1"/>
  <c r="E186" i="1"/>
  <c r="D186" i="1"/>
  <c r="H185" i="1"/>
  <c r="G185" i="1"/>
  <c r="F185" i="1"/>
  <c r="E185" i="1"/>
  <c r="D185" i="1"/>
  <c r="J180" i="1"/>
  <c r="I180" i="1"/>
  <c r="H180" i="1"/>
  <c r="G180" i="1"/>
  <c r="F180" i="1"/>
  <c r="E180" i="1"/>
  <c r="D180" i="1"/>
  <c r="W179" i="1"/>
  <c r="AC33" i="18" s="1"/>
  <c r="V179" i="1"/>
  <c r="AB33" i="18" s="1"/>
  <c r="U179" i="1"/>
  <c r="AA33" i="18" s="1"/>
  <c r="T179" i="1"/>
  <c r="Z33" i="18" s="1"/>
  <c r="S179" i="1"/>
  <c r="R179" i="1"/>
  <c r="Q179" i="1"/>
  <c r="P179" i="1"/>
  <c r="O179" i="1"/>
  <c r="N179" i="1"/>
  <c r="M179" i="1"/>
  <c r="L179" i="1"/>
  <c r="K179" i="1"/>
  <c r="J179" i="1"/>
  <c r="I179" i="1"/>
  <c r="H179" i="1"/>
  <c r="G179" i="1"/>
  <c r="F179" i="1"/>
  <c r="E179" i="1"/>
  <c r="D179" i="1"/>
  <c r="H176" i="1"/>
  <c r="G176" i="1"/>
  <c r="F176" i="1"/>
  <c r="E176" i="1"/>
  <c r="D176" i="1"/>
  <c r="Q175" i="1"/>
  <c r="P175" i="1"/>
  <c r="O175" i="1"/>
  <c r="N175" i="1"/>
  <c r="M175" i="1"/>
  <c r="L175" i="1"/>
  <c r="K175" i="1"/>
  <c r="J175" i="1"/>
  <c r="I175" i="1"/>
  <c r="H175" i="1"/>
  <c r="G175" i="1"/>
  <c r="F175" i="1"/>
  <c r="E175" i="1"/>
  <c r="D175" i="1"/>
  <c r="W174" i="1"/>
  <c r="V174" i="1"/>
  <c r="U174" i="1"/>
  <c r="T174" i="1"/>
  <c r="S174" i="1"/>
  <c r="R174" i="1"/>
  <c r="Q174" i="1"/>
  <c r="P174" i="1"/>
  <c r="O174" i="1"/>
  <c r="N174" i="1"/>
  <c r="M174" i="1"/>
  <c r="L174" i="1"/>
  <c r="K174" i="1"/>
  <c r="J174" i="1"/>
  <c r="I174" i="1"/>
  <c r="H174" i="1"/>
  <c r="G174" i="1"/>
  <c r="F174" i="1"/>
  <c r="E174" i="1"/>
  <c r="D174" i="1"/>
  <c r="W173" i="1"/>
  <c r="V173" i="1"/>
  <c r="U173" i="1"/>
  <c r="G173" i="1"/>
  <c r="F173" i="1"/>
  <c r="E173" i="1"/>
  <c r="D173" i="1"/>
  <c r="D171" i="1"/>
  <c r="E171" i="1" s="1"/>
  <c r="F171" i="1" s="1"/>
  <c r="G171" i="1" s="1"/>
  <c r="H171" i="1" s="1"/>
  <c r="I171" i="1" s="1"/>
  <c r="J171" i="1" s="1"/>
  <c r="K171" i="1" s="1"/>
  <c r="L171" i="1" s="1"/>
  <c r="M171" i="1" s="1"/>
  <c r="N171" i="1" s="1"/>
  <c r="O171" i="1" s="1"/>
  <c r="P171" i="1" s="1"/>
  <c r="Q171" i="1" s="1"/>
  <c r="R171" i="1" s="1"/>
  <c r="S171" i="1" s="1"/>
  <c r="T171" i="1" s="1"/>
  <c r="U171" i="1" s="1"/>
  <c r="V171" i="1" s="1"/>
  <c r="W171" i="1" s="1"/>
  <c r="X171" i="1" s="1"/>
  <c r="Y171" i="1" s="1"/>
  <c r="Z171" i="1" s="1"/>
  <c r="AA171" i="1" s="1"/>
  <c r="AB171" i="1" s="1"/>
  <c r="AC171" i="1" s="1"/>
  <c r="AD171" i="1" s="1"/>
  <c r="AE171" i="1" s="1"/>
  <c r="AF171" i="1" s="1"/>
  <c r="AG171" i="1" s="1"/>
  <c r="AH171" i="1" s="1"/>
  <c r="B125" i="1"/>
  <c r="P116" i="1"/>
  <c r="O116" i="1"/>
  <c r="AC113" i="1"/>
  <c r="AB113" i="1"/>
  <c r="AA113" i="1"/>
  <c r="Z113" i="1"/>
  <c r="Y113" i="1"/>
  <c r="X113" i="1"/>
  <c r="W113" i="1"/>
  <c r="B103" i="1"/>
  <c r="M96" i="1"/>
  <c r="L96" i="1"/>
  <c r="K96" i="1"/>
  <c r="J96" i="1"/>
  <c r="I96" i="1"/>
  <c r="H96" i="1"/>
  <c r="G96" i="1"/>
  <c r="W94" i="1"/>
  <c r="W96" i="1" s="1"/>
  <c r="V94" i="1"/>
  <c r="V96" i="1" s="1"/>
  <c r="U94" i="1"/>
  <c r="U96" i="1" s="1"/>
  <c r="T94" i="1"/>
  <c r="T96" i="1" s="1"/>
  <c r="S94" i="1"/>
  <c r="S96" i="1" s="1"/>
  <c r="R94" i="1"/>
  <c r="R96" i="1" s="1"/>
  <c r="Q92" i="1"/>
  <c r="Q94" i="1" s="1"/>
  <c r="Q96" i="1" s="1"/>
  <c r="J91" i="1"/>
  <c r="J90" i="1" s="1"/>
  <c r="J82" i="1" s="1"/>
  <c r="I91" i="1"/>
  <c r="I90" i="1" s="1"/>
  <c r="I82" i="1" s="1"/>
  <c r="M90" i="1"/>
  <c r="M82" i="1" s="1"/>
  <c r="L90" i="1"/>
  <c r="L82" i="1" s="1"/>
  <c r="K90" i="1"/>
  <c r="K82" i="1" s="1"/>
  <c r="H90" i="1"/>
  <c r="H82" i="1" s="1"/>
  <c r="M87" i="1"/>
  <c r="L87" i="1"/>
  <c r="K87" i="1"/>
  <c r="J87" i="1"/>
  <c r="I87" i="1"/>
  <c r="H87" i="1"/>
  <c r="W86" i="1"/>
  <c r="X86" i="1" s="1"/>
  <c r="W85" i="1"/>
  <c r="W84" i="1"/>
  <c r="S45" i="10" s="1"/>
  <c r="V84" i="1"/>
  <c r="R45" i="10" s="1"/>
  <c r="U84" i="1"/>
  <c r="Q45" i="10" s="1"/>
  <c r="T84" i="1"/>
  <c r="P45" i="10" s="1"/>
  <c r="S84" i="1"/>
  <c r="R84" i="1"/>
  <c r="R115" i="1" s="1"/>
  <c r="R124" i="1" s="1"/>
  <c r="M84" i="1"/>
  <c r="L84" i="1"/>
  <c r="K84" i="1"/>
  <c r="J84" i="1"/>
  <c r="J115" i="1" s="1"/>
  <c r="I84" i="1"/>
  <c r="I115" i="1" s="1"/>
  <c r="H84" i="1"/>
  <c r="H115" i="1" s="1"/>
  <c r="W83" i="1"/>
  <c r="V83" i="1"/>
  <c r="U83" i="1"/>
  <c r="T83" i="1"/>
  <c r="S83" i="1"/>
  <c r="S104" i="1" s="1"/>
  <c r="R83" i="1"/>
  <c r="R104" i="1" s="1"/>
  <c r="Q83" i="1"/>
  <c r="Q114" i="1" s="1"/>
  <c r="Q123" i="1" s="1"/>
  <c r="M83" i="1"/>
  <c r="L83" i="1"/>
  <c r="K83" i="1"/>
  <c r="H83" i="1"/>
  <c r="H114" i="1" s="1"/>
  <c r="V82" i="1"/>
  <c r="AB146" i="18" s="1"/>
  <c r="U82" i="1"/>
  <c r="T82" i="1"/>
  <c r="Z146" i="18" s="1"/>
  <c r="S82" i="1"/>
  <c r="S113" i="1" s="1"/>
  <c r="R82" i="1"/>
  <c r="Q82" i="1"/>
  <c r="B82" i="1"/>
  <c r="B113" i="1" s="1"/>
  <c r="B122" i="1" s="1"/>
  <c r="Q81" i="1"/>
  <c r="P81" i="1"/>
  <c r="O81" i="1"/>
  <c r="N81" i="1"/>
  <c r="M81" i="1"/>
  <c r="L81" i="1"/>
  <c r="K81" i="1"/>
  <c r="J81" i="1"/>
  <c r="I81" i="1"/>
  <c r="H81" i="1"/>
  <c r="G81" i="1"/>
  <c r="F81" i="1"/>
  <c r="E81" i="1"/>
  <c r="D81" i="1"/>
  <c r="V75" i="1"/>
  <c r="U75" i="1"/>
  <c r="T75" i="1"/>
  <c r="S75" i="1"/>
  <c r="R75" i="1"/>
  <c r="Q75" i="1"/>
  <c r="P75" i="1"/>
  <c r="O75" i="1"/>
  <c r="N75" i="1"/>
  <c r="B75" i="1"/>
  <c r="W74" i="1"/>
  <c r="V74" i="1"/>
  <c r="U74" i="1"/>
  <c r="T74" i="1"/>
  <c r="S74" i="1"/>
  <c r="R74" i="1"/>
  <c r="Q74" i="1"/>
  <c r="P74" i="1"/>
  <c r="O74" i="1"/>
  <c r="N74" i="1"/>
  <c r="B74" i="1"/>
  <c r="B92" i="1" s="1"/>
  <c r="W73" i="1"/>
  <c r="V73" i="1"/>
  <c r="U73" i="1"/>
  <c r="T73" i="1"/>
  <c r="S73" i="1"/>
  <c r="R73" i="1"/>
  <c r="Q73" i="1"/>
  <c r="P73" i="1"/>
  <c r="O73" i="1"/>
  <c r="N73" i="1"/>
  <c r="B73" i="1"/>
  <c r="B91" i="1" s="1"/>
  <c r="B83" i="1" s="1"/>
  <c r="B114" i="1" s="1"/>
  <c r="B123" i="1" s="1"/>
  <c r="B72" i="1"/>
  <c r="B71" i="1"/>
  <c r="I63" i="1"/>
  <c r="I140" i="1" s="1"/>
  <c r="I501" i="1" s="1"/>
  <c r="H63" i="1"/>
  <c r="H68" i="1" s="1"/>
  <c r="W62" i="1"/>
  <c r="V62" i="1"/>
  <c r="U62" i="1"/>
  <c r="T62" i="1"/>
  <c r="S62" i="1"/>
  <c r="S116" i="1" s="1"/>
  <c r="R62" i="1"/>
  <c r="R116" i="1" s="1"/>
  <c r="Q62" i="1"/>
  <c r="Q116" i="1" s="1"/>
  <c r="N62" i="1"/>
  <c r="N116" i="1" s="1"/>
  <c r="W58" i="1"/>
  <c r="V58" i="1"/>
  <c r="V135" i="1" s="1"/>
  <c r="V381" i="1" s="1"/>
  <c r="U58" i="1"/>
  <c r="U135" i="1" s="1"/>
  <c r="U381" i="1" s="1"/>
  <c r="T58" i="1"/>
  <c r="T135" i="1" s="1"/>
  <c r="T381" i="1" s="1"/>
  <c r="S58" i="1"/>
  <c r="R58" i="1"/>
  <c r="R135" i="1" s="1"/>
  <c r="R381" i="1" s="1"/>
  <c r="Q58" i="1"/>
  <c r="Q135" i="1" s="1"/>
  <c r="Q381" i="1" s="1"/>
  <c r="P58" i="1"/>
  <c r="P135" i="1" s="1"/>
  <c r="P381" i="1" s="1"/>
  <c r="O58" i="1"/>
  <c r="O76" i="1" s="1"/>
  <c r="N58" i="1"/>
  <c r="N76" i="1" s="1"/>
  <c r="I57" i="1"/>
  <c r="I116" i="1" s="1"/>
  <c r="H57" i="1"/>
  <c r="Q52" i="1"/>
  <c r="P52" i="1"/>
  <c r="O52" i="1"/>
  <c r="N52" i="1"/>
  <c r="M52" i="1"/>
  <c r="L52" i="1"/>
  <c r="K52" i="1"/>
  <c r="J52" i="1"/>
  <c r="I52" i="1"/>
  <c r="H52" i="1"/>
  <c r="G52" i="1"/>
  <c r="F52" i="1"/>
  <c r="E52" i="1"/>
  <c r="D52" i="1"/>
  <c r="B47" i="1"/>
  <c r="B46" i="1"/>
  <c r="W41" i="1"/>
  <c r="V41" i="1"/>
  <c r="U41" i="1"/>
  <c r="T41" i="1"/>
  <c r="S41" i="1"/>
  <c r="R41" i="1"/>
  <c r="Q41" i="1"/>
  <c r="P41" i="1"/>
  <c r="O41" i="1"/>
  <c r="N41" i="1"/>
  <c r="W40" i="1"/>
  <c r="V40" i="1"/>
  <c r="U40" i="1"/>
  <c r="T40" i="1"/>
  <c r="S40" i="1"/>
  <c r="R40" i="1"/>
  <c r="Q40" i="1"/>
  <c r="P40" i="1"/>
  <c r="O40" i="1"/>
  <c r="N40" i="1"/>
  <c r="O35" i="1"/>
  <c r="N35" i="1"/>
  <c r="O29" i="1"/>
  <c r="I28" i="1"/>
  <c r="I76" i="1" s="1"/>
  <c r="H28" i="1"/>
  <c r="H76" i="1" s="1"/>
  <c r="I27" i="1"/>
  <c r="H27" i="1"/>
  <c r="I25" i="1"/>
  <c r="H25" i="1"/>
  <c r="I21" i="1"/>
  <c r="I74" i="1" s="1"/>
  <c r="H21" i="1"/>
  <c r="H74" i="1" s="1"/>
  <c r="I23" i="1"/>
  <c r="I73" i="1" s="1"/>
  <c r="H23" i="1"/>
  <c r="H73" i="1" s="1"/>
  <c r="I20" i="1"/>
  <c r="I72" i="1" s="1"/>
  <c r="H20" i="1"/>
  <c r="H72" i="1" s="1"/>
  <c r="T17" i="1"/>
  <c r="S17" i="1"/>
  <c r="S71" i="1" s="1"/>
  <c r="R17" i="1"/>
  <c r="R71" i="1" s="1"/>
  <c r="Q17" i="1"/>
  <c r="Q71" i="1" s="1"/>
  <c r="P17" i="1"/>
  <c r="P71" i="1" s="1"/>
  <c r="O17" i="1"/>
  <c r="O71" i="1" s="1"/>
  <c r="N17" i="1"/>
  <c r="N71" i="1" s="1"/>
  <c r="I17" i="1"/>
  <c r="I71" i="1" s="1"/>
  <c r="H17" i="1"/>
  <c r="H71" i="1" s="1"/>
  <c r="X16" i="1"/>
  <c r="X17" i="1" s="1"/>
  <c r="W16" i="1"/>
  <c r="W17" i="1" s="1"/>
  <c r="AC131" i="18" s="1"/>
  <c r="V16" i="1"/>
  <c r="V17" i="1" s="1"/>
  <c r="U16" i="1"/>
  <c r="U17" i="1" s="1"/>
  <c r="AA131" i="18" s="1"/>
  <c r="Q11" i="1"/>
  <c r="P11" i="1"/>
  <c r="O11" i="1"/>
  <c r="N11" i="1"/>
  <c r="M11" i="1"/>
  <c r="L11" i="1"/>
  <c r="K11" i="1"/>
  <c r="J11" i="1"/>
  <c r="I11" i="1"/>
  <c r="H11" i="1"/>
  <c r="G11" i="1"/>
  <c r="F11" i="1"/>
  <c r="E11" i="1"/>
  <c r="D11" i="1"/>
  <c r="I167" i="1"/>
  <c r="H167" i="1"/>
  <c r="S166" i="1"/>
  <c r="R166" i="1"/>
  <c r="Q166" i="1"/>
  <c r="P166" i="1"/>
  <c r="O166" i="1"/>
  <c r="N166" i="1"/>
  <c r="M166" i="1"/>
  <c r="L166" i="1"/>
  <c r="K166" i="1"/>
  <c r="J166" i="1"/>
  <c r="I166" i="1"/>
  <c r="H166" i="1"/>
  <c r="W160" i="1"/>
  <c r="V160" i="1"/>
  <c r="U160" i="1"/>
  <c r="T160" i="1"/>
  <c r="S160" i="1"/>
  <c r="R160" i="1"/>
  <c r="Q160" i="1"/>
  <c r="P160" i="1"/>
  <c r="O160" i="1"/>
  <c r="N160" i="1"/>
  <c r="M160" i="1"/>
  <c r="L160" i="1"/>
  <c r="K160" i="1"/>
  <c r="J160" i="1"/>
  <c r="I160" i="1"/>
  <c r="H160" i="1"/>
  <c r="X156" i="1"/>
  <c r="W156" i="1"/>
  <c r="V156" i="1"/>
  <c r="U156" i="1"/>
  <c r="T156" i="1"/>
  <c r="S156" i="1"/>
  <c r="R156" i="1"/>
  <c r="Q156" i="1"/>
  <c r="P156" i="1"/>
  <c r="O156" i="1"/>
  <c r="N156" i="1"/>
  <c r="M156" i="1"/>
  <c r="L156" i="1"/>
  <c r="K156" i="1"/>
  <c r="J156" i="1"/>
  <c r="I156" i="1"/>
  <c r="H156" i="1"/>
  <c r="W152" i="1"/>
  <c r="W385" i="1" s="1"/>
  <c r="V152" i="1"/>
  <c r="V385" i="1" s="1"/>
  <c r="U152" i="1"/>
  <c r="U385" i="1" s="1"/>
  <c r="T152" i="1"/>
  <c r="T385" i="1" s="1"/>
  <c r="S152" i="1"/>
  <c r="S385" i="1" s="1"/>
  <c r="R152" i="1"/>
  <c r="R385" i="1" s="1"/>
  <c r="Q152" i="1"/>
  <c r="Q385" i="1" s="1"/>
  <c r="P152" i="1"/>
  <c r="P385" i="1" s="1"/>
  <c r="O152" i="1"/>
  <c r="O385" i="1" s="1"/>
  <c r="N152" i="1"/>
  <c r="N385" i="1" s="1"/>
  <c r="L152" i="1"/>
  <c r="L385" i="1" s="1"/>
  <c r="K152" i="1"/>
  <c r="K385" i="1" s="1"/>
  <c r="J152" i="1"/>
  <c r="J385" i="1" s="1"/>
  <c r="I152" i="1"/>
  <c r="I385" i="1" s="1"/>
  <c r="H152" i="1"/>
  <c r="G152" i="1"/>
  <c r="F152" i="1"/>
  <c r="E152" i="1"/>
  <c r="L151" i="1"/>
  <c r="L262" i="1" s="1"/>
  <c r="G143" i="1"/>
  <c r="F143" i="1"/>
  <c r="E143" i="1"/>
  <c r="W142" i="1"/>
  <c r="V142" i="1"/>
  <c r="J142" i="1"/>
  <c r="I142" i="1"/>
  <c r="H142" i="1"/>
  <c r="G142" i="1"/>
  <c r="F142" i="1"/>
  <c r="E142" i="1"/>
  <c r="X139" i="1"/>
  <c r="P139" i="1"/>
  <c r="O139" i="1"/>
  <c r="J139" i="1"/>
  <c r="J151" i="1" s="1"/>
  <c r="J262" i="1" s="1"/>
  <c r="I138" i="1"/>
  <c r="H138" i="1"/>
  <c r="G138" i="1"/>
  <c r="F138" i="1"/>
  <c r="E138" i="1"/>
  <c r="I135" i="1"/>
  <c r="I381" i="1" s="1"/>
  <c r="H135" i="1"/>
  <c r="G135" i="1"/>
  <c r="F135" i="1"/>
  <c r="E135" i="1"/>
  <c r="D135" i="1"/>
  <c r="O132" i="1"/>
  <c r="N132" i="1"/>
  <c r="I132" i="1"/>
  <c r="H132" i="1"/>
  <c r="G132" i="1"/>
  <c r="G477" i="1" s="1"/>
  <c r="F132" i="1"/>
  <c r="F477" i="1" s="1"/>
  <c r="E132" i="1"/>
  <c r="E477" i="1" s="1"/>
  <c r="D132" i="1"/>
  <c r="D477" i="1" s="1"/>
  <c r="Q131" i="1"/>
  <c r="P131" i="1"/>
  <c r="O131" i="1"/>
  <c r="N131" i="1"/>
  <c r="M131" i="1"/>
  <c r="L131" i="1"/>
  <c r="K131" i="1"/>
  <c r="J131" i="1"/>
  <c r="I131" i="1"/>
  <c r="H131" i="1"/>
  <c r="G131" i="1"/>
  <c r="F131" i="1"/>
  <c r="E131" i="1"/>
  <c r="D131" i="1"/>
  <c r="R2" i="1"/>
  <c r="R131" i="1" s="1"/>
  <c r="H180" i="25"/>
  <c r="H177" i="25"/>
  <c r="BX89" i="5"/>
  <c r="BX83" i="5"/>
  <c r="BX86" i="5"/>
  <c r="CC89" i="5"/>
  <c r="BY80" i="5"/>
  <c r="CB80" i="5" s="1"/>
  <c r="CB81" i="5" s="1"/>
  <c r="CB84" i="5" s="1"/>
  <c r="BX23" i="28" s="1"/>
  <c r="U22" i="29"/>
  <c r="U5" i="29"/>
  <c r="FB4" i="5"/>
  <c r="CC288" i="5"/>
  <c r="EZ39" i="5"/>
  <c r="EY39" i="5"/>
  <c r="EZ35" i="5"/>
  <c r="EY35" i="5"/>
  <c r="EZ20" i="5"/>
  <c r="EY20" i="5"/>
  <c r="EZ16" i="5"/>
  <c r="EY16" i="5"/>
  <c r="EZ4" i="5"/>
  <c r="EY4" i="5"/>
  <c r="EX4" i="5"/>
  <c r="S112" i="10"/>
  <c r="T124" i="10" s="1"/>
  <c r="U169" i="10"/>
  <c r="S157" i="10"/>
  <c r="U51" i="29"/>
  <c r="W3217" i="16"/>
  <c r="V3217" i="16"/>
  <c r="U3217" i="16"/>
  <c r="T3217" i="16"/>
  <c r="W3218" i="16"/>
  <c r="V3218" i="16"/>
  <c r="U3218" i="16"/>
  <c r="T3218" i="16"/>
  <c r="U3215" i="16"/>
  <c r="V3215" i="16"/>
  <c r="W3215" i="16"/>
  <c r="T3215" i="16"/>
  <c r="I3198" i="16"/>
  <c r="Q3192" i="16"/>
  <c r="R3192" i="16"/>
  <c r="S3192" i="16"/>
  <c r="Q3191" i="16"/>
  <c r="R3191" i="16"/>
  <c r="S3191" i="16"/>
  <c r="Q3194" i="16"/>
  <c r="R3194" i="16"/>
  <c r="S3194" i="16"/>
  <c r="P3192" i="16"/>
  <c r="P3191" i="16"/>
  <c r="P3194" i="16"/>
  <c r="P3190" i="16"/>
  <c r="O3194" i="16"/>
  <c r="O3191" i="16"/>
  <c r="O3192" i="16"/>
  <c r="O3193" i="16"/>
  <c r="Q46" i="10" l="1"/>
  <c r="R46" i="10"/>
  <c r="S105" i="1"/>
  <c r="O45" i="10"/>
  <c r="P46" i="10" s="1"/>
  <c r="S47" i="10"/>
  <c r="S46" i="10"/>
  <c r="T116" i="1"/>
  <c r="Z139" i="18"/>
  <c r="Z152" i="18" s="1"/>
  <c r="T105" i="1"/>
  <c r="Z148" i="18"/>
  <c r="Z154" i="18" s="1"/>
  <c r="W254" i="1"/>
  <c r="W503" i="1" s="1"/>
  <c r="W591" i="1" s="1"/>
  <c r="AC21" i="18"/>
  <c r="V26" i="1"/>
  <c r="V28" i="1" s="1"/>
  <c r="AB134" i="18" s="1"/>
  <c r="AB131" i="18"/>
  <c r="U116" i="1"/>
  <c r="AA139" i="18"/>
  <c r="U115" i="1"/>
  <c r="U124" i="1" s="1"/>
  <c r="AA148" i="18"/>
  <c r="AA154" i="18" s="1"/>
  <c r="V116" i="1"/>
  <c r="AB139" i="18"/>
  <c r="AB152" i="18" s="1"/>
  <c r="V115" i="1"/>
  <c r="V124" i="1" s="1"/>
  <c r="AB148" i="18"/>
  <c r="AB154" i="18" s="1"/>
  <c r="W139" i="1"/>
  <c r="AC139" i="18"/>
  <c r="AC152" i="18" s="1"/>
  <c r="U113" i="1"/>
  <c r="AA146" i="18"/>
  <c r="W115" i="1"/>
  <c r="W124" i="1" s="1"/>
  <c r="AC148" i="18"/>
  <c r="AC154" i="18" s="1"/>
  <c r="C41" i="30"/>
  <c r="F12" i="30" s="1"/>
  <c r="G12" i="30" s="1"/>
  <c r="H12" i="30" s="1"/>
  <c r="I12" i="30" s="1"/>
  <c r="Z111" i="18"/>
  <c r="T71" i="1"/>
  <c r="Z131" i="18"/>
  <c r="T104" i="1"/>
  <c r="Z147" i="18"/>
  <c r="Z153" i="18" s="1"/>
  <c r="D41" i="30"/>
  <c r="J12" i="30" s="1"/>
  <c r="K12" i="30" s="1"/>
  <c r="L12" i="30" s="1"/>
  <c r="M12" i="30" s="1"/>
  <c r="AA111" i="18"/>
  <c r="U114" i="1"/>
  <c r="U123" i="1" s="1"/>
  <c r="AA147" i="18"/>
  <c r="AA153" i="18" s="1"/>
  <c r="E41" i="30"/>
  <c r="N12" i="30" s="1"/>
  <c r="O12" i="30" s="1"/>
  <c r="P12" i="30" s="1"/>
  <c r="Q12" i="30" s="1"/>
  <c r="AB111" i="18"/>
  <c r="C42" i="30"/>
  <c r="F13" i="30" s="1"/>
  <c r="G13" i="30" s="1"/>
  <c r="H13" i="30" s="1"/>
  <c r="I13" i="30" s="1"/>
  <c r="Z112" i="18"/>
  <c r="F41" i="30"/>
  <c r="R12" i="30" s="1"/>
  <c r="S12" i="30" s="1"/>
  <c r="T12" i="30" s="1"/>
  <c r="U12" i="30" s="1"/>
  <c r="AC111" i="18"/>
  <c r="D42" i="30"/>
  <c r="J13" i="30" s="1"/>
  <c r="K13" i="30" s="1"/>
  <c r="L13" i="30" s="1"/>
  <c r="M13" i="30" s="1"/>
  <c r="AA112" i="18"/>
  <c r="V114" i="1"/>
  <c r="V123" i="1" s="1"/>
  <c r="AB147" i="18"/>
  <c r="AB153" i="18" s="1"/>
  <c r="W114" i="1"/>
  <c r="W123" i="1" s="1"/>
  <c r="AC147" i="18"/>
  <c r="AC153" i="18" s="1"/>
  <c r="V254" i="1"/>
  <c r="V503" i="1" s="1"/>
  <c r="V591" i="1" s="1"/>
  <c r="AB21" i="18"/>
  <c r="E3364" i="16"/>
  <c r="BD3364" i="16" s="1"/>
  <c r="W135" i="1"/>
  <c r="W381" i="1" s="1"/>
  <c r="BX34" i="5"/>
  <c r="Z323" i="1"/>
  <c r="AA323" i="1" s="1"/>
  <c r="AB323" i="1" s="1"/>
  <c r="AC323" i="1" s="1"/>
  <c r="AD323" i="1" s="1"/>
  <c r="AE323" i="1" s="1"/>
  <c r="AF323" i="1" s="1"/>
  <c r="AG323" i="1" s="1"/>
  <c r="AH323" i="1" s="1"/>
  <c r="CH182" i="5"/>
  <c r="CG182" i="5" s="1"/>
  <c r="F42" i="30"/>
  <c r="R13" i="30" s="1"/>
  <c r="S13" i="30" s="1"/>
  <c r="T13" i="30" s="1"/>
  <c r="U13" i="30" s="1"/>
  <c r="E42" i="30"/>
  <c r="N13" i="30" s="1"/>
  <c r="O13" i="30" s="1"/>
  <c r="P13" i="30" s="1"/>
  <c r="Q13" i="30" s="1"/>
  <c r="W166" i="1"/>
  <c r="AC13" i="18" s="1"/>
  <c r="X580" i="1"/>
  <c r="CB91" i="5"/>
  <c r="BX24" i="28" s="1"/>
  <c r="CB87" i="5"/>
  <c r="Y243" i="1"/>
  <c r="Z243" i="1" s="1"/>
  <c r="AA243" i="1" s="1"/>
  <c r="AB243" i="1" s="1"/>
  <c r="AC243" i="1" s="1"/>
  <c r="AD243" i="1" s="1"/>
  <c r="AE243" i="1" s="1"/>
  <c r="AF243" i="1" s="1"/>
  <c r="AG243" i="1" s="1"/>
  <c r="AH243" i="1" s="1"/>
  <c r="U3259" i="16"/>
  <c r="X3258" i="16"/>
  <c r="Z205" i="10"/>
  <c r="AA198" i="10"/>
  <c r="AA169" i="10"/>
  <c r="AA77" i="10"/>
  <c r="AA205" i="10"/>
  <c r="Z77" i="10"/>
  <c r="Z198" i="10"/>
  <c r="Z169" i="10"/>
  <c r="AG453" i="1"/>
  <c r="AB282" i="10"/>
  <c r="AB198" i="10"/>
  <c r="AB205" i="10"/>
  <c r="AB77" i="10"/>
  <c r="AB169" i="10"/>
  <c r="V9" i="21"/>
  <c r="U7" i="21"/>
  <c r="L173" i="1"/>
  <c r="L346" i="1" s="1"/>
  <c r="U52" i="29"/>
  <c r="V52" i="29"/>
  <c r="EZ14" i="5"/>
  <c r="V5" i="29"/>
  <c r="V13" i="29" s="1"/>
  <c r="U13" i="29"/>
  <c r="V45" i="29"/>
  <c r="U45" i="29"/>
  <c r="U46" i="29" s="1"/>
  <c r="EZ34" i="5"/>
  <c r="AZ110" i="28" s="1"/>
  <c r="V22" i="29"/>
  <c r="V54" i="29"/>
  <c r="U54" i="29"/>
  <c r="U55" i="29" s="1"/>
  <c r="K173" i="1"/>
  <c r="K346" i="1" s="1"/>
  <c r="O135" i="1"/>
  <c r="O381" i="1" s="1"/>
  <c r="R175" i="1"/>
  <c r="L289" i="1"/>
  <c r="R190" i="1"/>
  <c r="W143" i="1"/>
  <c r="R173" i="1"/>
  <c r="E363" i="1"/>
  <c r="M363" i="1"/>
  <c r="U363" i="1"/>
  <c r="S63" i="1"/>
  <c r="U139" i="1"/>
  <c r="N135" i="1"/>
  <c r="N381" i="1" s="1"/>
  <c r="M289" i="1"/>
  <c r="I83" i="1"/>
  <c r="I114" i="1" s="1"/>
  <c r="I123" i="1" s="1"/>
  <c r="Q190" i="1"/>
  <c r="H143" i="1"/>
  <c r="I173" i="1"/>
  <c r="I346" i="1" s="1"/>
  <c r="N353" i="1"/>
  <c r="N185" i="1" s="1"/>
  <c r="N188" i="1" s="1"/>
  <c r="V190" i="1"/>
  <c r="M307" i="1"/>
  <c r="M308" i="1" s="1"/>
  <c r="V353" i="1"/>
  <c r="V185" i="1" s="1"/>
  <c r="V188" i="1" s="1"/>
  <c r="F308" i="1"/>
  <c r="F221" i="1" s="1"/>
  <c r="F199" i="1" s="1"/>
  <c r="Q42" i="1"/>
  <c r="X85" i="1"/>
  <c r="Y85" i="1" s="1"/>
  <c r="G363" i="1"/>
  <c r="O363" i="1"/>
  <c r="R289" i="1"/>
  <c r="Q308" i="1"/>
  <c r="H133" i="1"/>
  <c r="E294" i="1"/>
  <c r="E295" i="1" s="1"/>
  <c r="H136" i="1"/>
  <c r="V47" i="1"/>
  <c r="L353" i="1"/>
  <c r="L185" i="1" s="1"/>
  <c r="L188" i="1" s="1"/>
  <c r="L372" i="1" s="1"/>
  <c r="L191" i="1" s="1"/>
  <c r="L196" i="1" s="1"/>
  <c r="P190" i="1"/>
  <c r="G277" i="1"/>
  <c r="O277" i="1"/>
  <c r="W277" i="1"/>
  <c r="F363" i="1"/>
  <c r="K565" i="1"/>
  <c r="Q139" i="1"/>
  <c r="K563" i="1"/>
  <c r="V306" i="1"/>
  <c r="T353" i="1"/>
  <c r="T185" i="1" s="1"/>
  <c r="T188" i="1" s="1"/>
  <c r="D277" i="1"/>
  <c r="L277" i="1"/>
  <c r="D284" i="1"/>
  <c r="D384" i="1" s="1"/>
  <c r="J285" i="1"/>
  <c r="L308" i="1"/>
  <c r="L221" i="1" s="1"/>
  <c r="L199" i="1" s="1"/>
  <c r="Q289" i="1"/>
  <c r="W345" i="1"/>
  <c r="J363" i="1"/>
  <c r="R363" i="1"/>
  <c r="BZ190" i="5"/>
  <c r="R537" i="1"/>
  <c r="Q84" i="1"/>
  <c r="Q115" i="1" s="1"/>
  <c r="Q124" i="1" s="1"/>
  <c r="G584" i="1"/>
  <c r="H289" i="1"/>
  <c r="H290" i="1" s="1"/>
  <c r="J143" i="1"/>
  <c r="Q173" i="1"/>
  <c r="Q346" i="1" s="1"/>
  <c r="I289" i="1"/>
  <c r="K562" i="1"/>
  <c r="K564" i="1"/>
  <c r="J83" i="1"/>
  <c r="T139" i="1"/>
  <c r="F177" i="1"/>
  <c r="F183" i="1" s="1"/>
  <c r="F277" i="1"/>
  <c r="N277" i="1"/>
  <c r="V277" i="1"/>
  <c r="J289" i="1"/>
  <c r="W346" i="1"/>
  <c r="W176" i="1" s="1"/>
  <c r="W177" i="1" s="1"/>
  <c r="V87" i="1"/>
  <c r="T346" i="1"/>
  <c r="T176" i="1" s="1"/>
  <c r="T177" i="1" s="1"/>
  <c r="G188" i="1"/>
  <c r="G196" i="1" s="1"/>
  <c r="J353" i="1"/>
  <c r="J185" i="1" s="1"/>
  <c r="J188" i="1" s="1"/>
  <c r="J372" i="1" s="1"/>
  <c r="J191" i="1" s="1"/>
  <c r="J196" i="1" s="1"/>
  <c r="E284" i="1"/>
  <c r="E504" i="1" s="1"/>
  <c r="H307" i="1"/>
  <c r="H308" i="1" s="1"/>
  <c r="H221" i="1" s="1"/>
  <c r="H199" i="1" s="1"/>
  <c r="J540" i="1"/>
  <c r="J554" i="1" s="1"/>
  <c r="P42" i="1"/>
  <c r="N139" i="1"/>
  <c r="O46" i="1"/>
  <c r="W46" i="1"/>
  <c r="K289" i="1"/>
  <c r="J307" i="1"/>
  <c r="J308" i="1" s="1"/>
  <c r="J221" i="1" s="1"/>
  <c r="J199" i="1" s="1"/>
  <c r="Q316" i="1"/>
  <c r="E188" i="1"/>
  <c r="E196" i="1" s="1"/>
  <c r="U190" i="1"/>
  <c r="J277" i="1"/>
  <c r="R277" i="1"/>
  <c r="N282" i="1"/>
  <c r="N148" i="1" s="1"/>
  <c r="R306" i="1"/>
  <c r="R318" i="1"/>
  <c r="N559" i="1"/>
  <c r="U306" i="1"/>
  <c r="O517" i="1"/>
  <c r="H573" i="1"/>
  <c r="I143" i="1"/>
  <c r="I145" i="1" s="1"/>
  <c r="W190" i="1"/>
  <c r="V345" i="1"/>
  <c r="Q47" i="1"/>
  <c r="R353" i="1"/>
  <c r="R185" i="1" s="1"/>
  <c r="R188" i="1" s="1"/>
  <c r="L294" i="1"/>
  <c r="R516" i="1"/>
  <c r="L567" i="1"/>
  <c r="M567" i="1" s="1"/>
  <c r="M563" i="1" s="1"/>
  <c r="W216" i="1"/>
  <c r="AC113" i="18" s="1"/>
  <c r="R285" i="1"/>
  <c r="M294" i="1"/>
  <c r="X319" i="1"/>
  <c r="X321" i="1" s="1"/>
  <c r="X217" i="1" s="1"/>
  <c r="K363" i="1"/>
  <c r="S363" i="1"/>
  <c r="H188" i="1"/>
  <c r="H196" i="1" s="1"/>
  <c r="P148" i="1"/>
  <c r="P208" i="1"/>
  <c r="R46" i="1"/>
  <c r="D177" i="1"/>
  <c r="D183" i="1" s="1"/>
  <c r="V175" i="1"/>
  <c r="V346" i="1" s="1"/>
  <c r="X143" i="1"/>
  <c r="I285" i="1"/>
  <c r="Q285" i="1"/>
  <c r="W290" i="1"/>
  <c r="T306" i="1"/>
  <c r="N363" i="1"/>
  <c r="L515" i="1"/>
  <c r="M515" i="1" s="1"/>
  <c r="N540" i="1"/>
  <c r="N554" i="1" s="1"/>
  <c r="O531" i="1"/>
  <c r="M559" i="1"/>
  <c r="AA314" i="1"/>
  <c r="E177" i="1"/>
  <c r="E183" i="1" s="1"/>
  <c r="M346" i="1"/>
  <c r="M176" i="1" s="1"/>
  <c r="M177" i="1" s="1"/>
  <c r="O353" i="1"/>
  <c r="V208" i="1"/>
  <c r="AB110" i="18" s="1"/>
  <c r="L363" i="1"/>
  <c r="T363" i="1"/>
  <c r="H640" i="1"/>
  <c r="S135" i="1"/>
  <c r="S381" i="1" s="1"/>
  <c r="R139" i="1"/>
  <c r="T46" i="1"/>
  <c r="R47" i="1"/>
  <c r="O173" i="1"/>
  <c r="O346" i="1" s="1"/>
  <c r="O176" i="1" s="1"/>
  <c r="I277" i="1"/>
  <c r="Q277" i="1"/>
  <c r="F284" i="1"/>
  <c r="P289" i="1"/>
  <c r="Q294" i="1"/>
  <c r="P307" i="1"/>
  <c r="P308" i="1" s="1"/>
  <c r="O312" i="1"/>
  <c r="G357" i="1"/>
  <c r="N496" i="1"/>
  <c r="N219" i="1" s="1"/>
  <c r="N566" i="1"/>
  <c r="U175" i="1"/>
  <c r="R531" i="1"/>
  <c r="G136" i="1"/>
  <c r="G140" i="1" s="1"/>
  <c r="G145" i="1" s="1"/>
  <c r="S139" i="1"/>
  <c r="I18" i="1"/>
  <c r="U46" i="1"/>
  <c r="G177" i="1"/>
  <c r="G183" i="1" s="1"/>
  <c r="P173" i="1"/>
  <c r="P346" i="1" s="1"/>
  <c r="I353" i="1"/>
  <c r="I354" i="1" s="1"/>
  <c r="Q353" i="1"/>
  <c r="Q185" i="1" s="1"/>
  <c r="Q188" i="1" s="1"/>
  <c r="T190" i="1"/>
  <c r="G290" i="1"/>
  <c r="D308" i="1"/>
  <c r="K559" i="1"/>
  <c r="H647" i="1"/>
  <c r="N42" i="1"/>
  <c r="H103" i="1"/>
  <c r="C277" i="1"/>
  <c r="K277" i="1"/>
  <c r="S277" i="1"/>
  <c r="W363" i="1"/>
  <c r="V143" i="1"/>
  <c r="I64" i="1"/>
  <c r="K353" i="1"/>
  <c r="K185" i="1" s="1"/>
  <c r="K188" i="1" s="1"/>
  <c r="K372" i="1" s="1"/>
  <c r="K191" i="1" s="1"/>
  <c r="S353" i="1"/>
  <c r="S185" i="1" s="1"/>
  <c r="S188" i="1" s="1"/>
  <c r="Y261" i="1"/>
  <c r="Z261" i="1" s="1"/>
  <c r="AA261" i="1" s="1"/>
  <c r="U345" i="1"/>
  <c r="K232" i="1"/>
  <c r="K228" i="1" s="1"/>
  <c r="K241" i="1" s="1"/>
  <c r="L233" i="1"/>
  <c r="M233" i="1" s="1"/>
  <c r="H148" i="1"/>
  <c r="H208" i="1"/>
  <c r="M148" i="1"/>
  <c r="M208" i="1"/>
  <c r="U208" i="1"/>
  <c r="AA110" i="18" s="1"/>
  <c r="U148" i="1"/>
  <c r="AA28" i="18" s="1"/>
  <c r="I133" i="1"/>
  <c r="U136" i="1"/>
  <c r="Q18" i="1"/>
  <c r="R63" i="1"/>
  <c r="R140" i="1" s="1"/>
  <c r="R501" i="1" s="1"/>
  <c r="F294" i="1"/>
  <c r="H357" i="1"/>
  <c r="H210" i="1" s="1"/>
  <c r="F357" i="1"/>
  <c r="K523" i="1"/>
  <c r="S536" i="1"/>
  <c r="T536" i="1" s="1"/>
  <c r="U536" i="1" s="1"/>
  <c r="Q559" i="1"/>
  <c r="F618" i="1"/>
  <c r="R11" i="1"/>
  <c r="R18" i="1"/>
  <c r="N63" i="1"/>
  <c r="N77" i="1" s="1"/>
  <c r="W104" i="1"/>
  <c r="F188" i="1"/>
  <c r="F196" i="1" s="1"/>
  <c r="F290" i="1"/>
  <c r="G294" i="1"/>
  <c r="Q540" i="1"/>
  <c r="Q572" i="1" s="1"/>
  <c r="K538" i="1"/>
  <c r="J566" i="1"/>
  <c r="O563" i="1"/>
  <c r="G618" i="1"/>
  <c r="N325" i="1"/>
  <c r="N173" i="1" s="1"/>
  <c r="N346" i="1" s="1"/>
  <c r="Q19" i="1"/>
  <c r="O47" i="1"/>
  <c r="W47" i="1"/>
  <c r="H113" i="1"/>
  <c r="H117" i="1" s="1"/>
  <c r="T114" i="1"/>
  <c r="T123" i="1" s="1"/>
  <c r="D188" i="1"/>
  <c r="D196" i="1" s="1"/>
  <c r="E277" i="1"/>
  <c r="M277" i="1"/>
  <c r="U277" i="1"/>
  <c r="K294" i="1"/>
  <c r="Q314" i="1"/>
  <c r="O523" i="1"/>
  <c r="N547" i="1"/>
  <c r="M556" i="1"/>
  <c r="M573" i="1" s="1"/>
  <c r="N576" i="1" s="1"/>
  <c r="R19" i="1"/>
  <c r="V46" i="1"/>
  <c r="P353" i="1"/>
  <c r="P185" i="1" s="1"/>
  <c r="P188" i="1" s="1"/>
  <c r="N190" i="1"/>
  <c r="G233" i="1"/>
  <c r="U379" i="1"/>
  <c r="P519" i="1"/>
  <c r="P523" i="1" s="1"/>
  <c r="L522" i="1"/>
  <c r="L524" i="1" s="1"/>
  <c r="R530" i="1"/>
  <c r="J559" i="1"/>
  <c r="O565" i="1"/>
  <c r="G640" i="1"/>
  <c r="B624" i="1"/>
  <c r="B635" i="1" s="1"/>
  <c r="J647" i="1"/>
  <c r="H177" i="1"/>
  <c r="H183" i="1" s="1"/>
  <c r="D357" i="1"/>
  <c r="S345" i="1"/>
  <c r="V363" i="1"/>
  <c r="V379" i="1"/>
  <c r="K537" i="1"/>
  <c r="O562" i="1"/>
  <c r="E136" i="1"/>
  <c r="E140" i="1" s="1"/>
  <c r="E145" i="1" s="1"/>
  <c r="H277" i="1"/>
  <c r="P277" i="1"/>
  <c r="N294" i="1"/>
  <c r="E308" i="1"/>
  <c r="H363" i="1"/>
  <c r="P363" i="1"/>
  <c r="W379" i="1"/>
  <c r="S519" i="1"/>
  <c r="Q566" i="1"/>
  <c r="I640" i="1"/>
  <c r="B644" i="1"/>
  <c r="F136" i="1"/>
  <c r="F140" i="1" s="1"/>
  <c r="F145" i="1" s="1"/>
  <c r="H140" i="1"/>
  <c r="H501" i="1" s="1"/>
  <c r="U166" i="1"/>
  <c r="AA13" i="18" s="1"/>
  <c r="S47" i="1"/>
  <c r="P46" i="1"/>
  <c r="H106" i="1"/>
  <c r="T277" i="1"/>
  <c r="G284" i="1"/>
  <c r="G504" i="1" s="1"/>
  <c r="X383" i="1"/>
  <c r="O564" i="1"/>
  <c r="G647" i="1"/>
  <c r="H447" i="1"/>
  <c r="W306" i="1"/>
  <c r="X264" i="1"/>
  <c r="W353" i="1"/>
  <c r="W185" i="1" s="1"/>
  <c r="W188" i="1" s="1"/>
  <c r="U26" i="1"/>
  <c r="U28" i="1" s="1"/>
  <c r="AA134" i="18" s="1"/>
  <c r="U18" i="1"/>
  <c r="I136" i="1"/>
  <c r="O26" i="1"/>
  <c r="O59" i="1" s="1"/>
  <c r="S2" i="1"/>
  <c r="O351" i="1"/>
  <c r="O341" i="1"/>
  <c r="O344" i="1"/>
  <c r="O309" i="1"/>
  <c r="F133" i="1"/>
  <c r="V139" i="1"/>
  <c r="T18" i="1"/>
  <c r="I26" i="1"/>
  <c r="I59" i="1" s="1"/>
  <c r="Q26" i="1"/>
  <c r="Q28" i="1" s="1"/>
  <c r="Q76" i="1" s="1"/>
  <c r="I41" i="1"/>
  <c r="O42" i="1"/>
  <c r="W42" i="1"/>
  <c r="H123" i="1"/>
  <c r="S306" i="1"/>
  <c r="S190" i="1"/>
  <c r="Y366" i="1"/>
  <c r="I40" i="1"/>
  <c r="H341" i="1"/>
  <c r="H344" i="1"/>
  <c r="H347" i="1"/>
  <c r="H351" i="1"/>
  <c r="H354" i="1"/>
  <c r="G133" i="1"/>
  <c r="O133" i="1"/>
  <c r="R26" i="1"/>
  <c r="R28" i="1" s="1"/>
  <c r="R103" i="1" s="1"/>
  <c r="H40" i="1"/>
  <c r="I77" i="1"/>
  <c r="Y317" i="1"/>
  <c r="Y315" i="1" s="1"/>
  <c r="B84" i="1"/>
  <c r="B115" i="1" s="1"/>
  <c r="B124" i="1" s="1"/>
  <c r="B105" i="1"/>
  <c r="D199" i="1"/>
  <c r="D200" i="1" s="1"/>
  <c r="D222" i="1" s="1"/>
  <c r="O18" i="1"/>
  <c r="T26" i="1"/>
  <c r="T28" i="1" s="1"/>
  <c r="T47" i="1"/>
  <c r="R42" i="1"/>
  <c r="Q46" i="1"/>
  <c r="V63" i="1"/>
  <c r="E3365" i="16" s="1"/>
  <c r="BD3365" i="16" s="1"/>
  <c r="I103" i="1"/>
  <c r="B104" i="1"/>
  <c r="V136" i="1"/>
  <c r="P18" i="1"/>
  <c r="I35" i="1"/>
  <c r="S46" i="1"/>
  <c r="U47" i="1"/>
  <c r="S42" i="1"/>
  <c r="F503" i="1"/>
  <c r="F591" i="1" s="1"/>
  <c r="F383" i="1"/>
  <c r="F255" i="1"/>
  <c r="S26" i="1"/>
  <c r="N26" i="1"/>
  <c r="N59" i="1" s="1"/>
  <c r="I29" i="1"/>
  <c r="T42" i="1"/>
  <c r="T87" i="1"/>
  <c r="Z149" i="18" s="1"/>
  <c r="T113" i="1"/>
  <c r="H124" i="1"/>
  <c r="Y86" i="1"/>
  <c r="X90" i="1"/>
  <c r="L267" i="1"/>
  <c r="K269" i="1"/>
  <c r="K180" i="1" s="1"/>
  <c r="I344" i="1"/>
  <c r="I351" i="1"/>
  <c r="I341" i="1"/>
  <c r="U105" i="1"/>
  <c r="U87" i="1"/>
  <c r="AA149" i="18" s="1"/>
  <c r="U42" i="1"/>
  <c r="Q63" i="1"/>
  <c r="I124" i="1"/>
  <c r="H105" i="1"/>
  <c r="J383" i="1"/>
  <c r="J503" i="1"/>
  <c r="J591" i="1" s="1"/>
  <c r="J255" i="1"/>
  <c r="Q136" i="1"/>
  <c r="R597" i="1"/>
  <c r="R81" i="1"/>
  <c r="R52" i="1"/>
  <c r="N351" i="1"/>
  <c r="N344" i="1"/>
  <c r="N341" i="1"/>
  <c r="E133" i="1"/>
  <c r="R136" i="1"/>
  <c r="S18" i="1"/>
  <c r="H26" i="1"/>
  <c r="H59" i="1" s="1"/>
  <c r="P26" i="1"/>
  <c r="P28" i="1" s="1"/>
  <c r="H41" i="1"/>
  <c r="P47" i="1"/>
  <c r="V42" i="1"/>
  <c r="W116" i="1"/>
  <c r="I592" i="1"/>
  <c r="I475" i="1"/>
  <c r="I241" i="1"/>
  <c r="I106" i="1"/>
  <c r="T63" i="1"/>
  <c r="C3365" i="16" s="1"/>
  <c r="BB3365" i="16" s="1"/>
  <c r="I68" i="1"/>
  <c r="H75" i="1"/>
  <c r="U104" i="1"/>
  <c r="V105" i="1"/>
  <c r="I113" i="1"/>
  <c r="Q113" i="1"/>
  <c r="R114" i="1"/>
  <c r="R123" i="1" s="1"/>
  <c r="S115" i="1"/>
  <c r="S124" i="1" s="1"/>
  <c r="J346" i="1"/>
  <c r="I502" i="1"/>
  <c r="I590" i="1" s="1"/>
  <c r="I382" i="1"/>
  <c r="I233" i="1"/>
  <c r="H503" i="1"/>
  <c r="H591" i="1" s="1"/>
  <c r="H383" i="1"/>
  <c r="H255" i="1"/>
  <c r="D295" i="1"/>
  <c r="U63" i="1"/>
  <c r="D3365" i="16" s="1"/>
  <c r="BC3365" i="16" s="1"/>
  <c r="I75" i="1"/>
  <c r="H592" i="1"/>
  <c r="H475" i="1"/>
  <c r="H477" i="1" s="1"/>
  <c r="V104" i="1"/>
  <c r="W105" i="1"/>
  <c r="J113" i="1"/>
  <c r="R113" i="1"/>
  <c r="S114" i="1"/>
  <c r="S123" i="1" s="1"/>
  <c r="T115" i="1"/>
  <c r="T124" i="1" s="1"/>
  <c r="Y246" i="1"/>
  <c r="Y247" i="1" s="1"/>
  <c r="E503" i="1"/>
  <c r="E591" i="1" s="1"/>
  <c r="E383" i="1"/>
  <c r="E255" i="1"/>
  <c r="O63" i="1"/>
  <c r="W63" i="1"/>
  <c r="J592" i="1"/>
  <c r="J475" i="1"/>
  <c r="J241" i="1"/>
  <c r="R87" i="1"/>
  <c r="H104" i="1"/>
  <c r="I105" i="1"/>
  <c r="AA245" i="1"/>
  <c r="K504" i="1"/>
  <c r="K384" i="1"/>
  <c r="K285" i="1"/>
  <c r="K282" i="1"/>
  <c r="S504" i="1"/>
  <c r="S285" i="1"/>
  <c r="S282" i="1"/>
  <c r="I308" i="1"/>
  <c r="J294" i="1"/>
  <c r="I294" i="1"/>
  <c r="T307" i="1"/>
  <c r="C46" i="30" s="1"/>
  <c r="U289" i="1"/>
  <c r="V290" i="1" s="1"/>
  <c r="P63" i="1"/>
  <c r="K592" i="1"/>
  <c r="K475" i="1"/>
  <c r="K236" i="1"/>
  <c r="S87" i="1"/>
  <c r="B35" i="30" s="1"/>
  <c r="Q104" i="1"/>
  <c r="R105" i="1"/>
  <c r="E502" i="1"/>
  <c r="E382" i="1"/>
  <c r="E233" i="1"/>
  <c r="E234" i="1" s="1"/>
  <c r="L504" i="1"/>
  <c r="L384" i="1"/>
  <c r="M285" i="1"/>
  <c r="L285" i="1"/>
  <c r="L282" i="1"/>
  <c r="T504" i="1"/>
  <c r="T384" i="1"/>
  <c r="U285" i="1"/>
  <c r="T285" i="1"/>
  <c r="T282" i="1"/>
  <c r="S384" i="1"/>
  <c r="H77" i="1"/>
  <c r="L592" i="1"/>
  <c r="L475" i="1"/>
  <c r="V113" i="1"/>
  <c r="F502" i="1"/>
  <c r="F382" i="1"/>
  <c r="F233" i="1"/>
  <c r="W59" i="1"/>
  <c r="S283" i="10" s="1"/>
  <c r="M592" i="1"/>
  <c r="M475" i="1"/>
  <c r="V502" i="1"/>
  <c r="V590" i="1" s="1"/>
  <c r="V382" i="1"/>
  <c r="W255" i="1"/>
  <c r="K264" i="1"/>
  <c r="W504" i="1"/>
  <c r="W384" i="1"/>
  <c r="W282" i="1"/>
  <c r="W285" i="1"/>
  <c r="I504" i="1"/>
  <c r="I384" i="1"/>
  <c r="Q504" i="1"/>
  <c r="Q384" i="1"/>
  <c r="O285" i="1"/>
  <c r="E290" i="1"/>
  <c r="G308" i="1"/>
  <c r="G382" i="1"/>
  <c r="D382" i="1"/>
  <c r="D502" i="1"/>
  <c r="D503" i="1"/>
  <c r="D591" i="1" s="1"/>
  <c r="D383" i="1"/>
  <c r="J504" i="1"/>
  <c r="J384" i="1"/>
  <c r="R504" i="1"/>
  <c r="R384" i="1"/>
  <c r="P285" i="1"/>
  <c r="K308" i="1"/>
  <c r="G590" i="1"/>
  <c r="W502" i="1"/>
  <c r="W590" i="1" s="1"/>
  <c r="W382" i="1"/>
  <c r="G503" i="1"/>
  <c r="G591" i="1" s="1"/>
  <c r="G383" i="1"/>
  <c r="O282" i="1"/>
  <c r="M504" i="1"/>
  <c r="M384" i="1"/>
  <c r="U504" i="1"/>
  <c r="U384" i="1"/>
  <c r="H502" i="1"/>
  <c r="H590" i="1" s="1"/>
  <c r="H382" i="1"/>
  <c r="N504" i="1"/>
  <c r="N384" i="1"/>
  <c r="V504" i="1"/>
  <c r="V384" i="1"/>
  <c r="T345" i="1"/>
  <c r="I503" i="1"/>
  <c r="I591" i="1" s="1"/>
  <c r="I383" i="1"/>
  <c r="I282" i="1"/>
  <c r="Q282" i="1"/>
  <c r="O504" i="1"/>
  <c r="O384" i="1"/>
  <c r="AA318" i="1"/>
  <c r="M353" i="1"/>
  <c r="U353" i="1"/>
  <c r="J502" i="1"/>
  <c r="J590" i="1" s="1"/>
  <c r="J382" i="1"/>
  <c r="H233" i="1"/>
  <c r="J282" i="1"/>
  <c r="R282" i="1"/>
  <c r="H504" i="1"/>
  <c r="H384" i="1"/>
  <c r="P504" i="1"/>
  <c r="P384" i="1"/>
  <c r="N285" i="1"/>
  <c r="V285" i="1"/>
  <c r="H294" i="1"/>
  <c r="E357" i="1"/>
  <c r="M448" i="1"/>
  <c r="I363" i="1"/>
  <c r="Q363" i="1"/>
  <c r="AA447" i="1"/>
  <c r="D363" i="1"/>
  <c r="K576" i="1"/>
  <c r="K507" i="1"/>
  <c r="U515" i="1"/>
  <c r="O530" i="1"/>
  <c r="J576" i="1"/>
  <c r="J575" i="1"/>
  <c r="K575" i="1"/>
  <c r="R507" i="1"/>
  <c r="S516" i="1"/>
  <c r="R523" i="1"/>
  <c r="S507" i="1"/>
  <c r="O558" i="1"/>
  <c r="O546" i="1"/>
  <c r="O547" i="1" s="1"/>
  <c r="P512" i="1"/>
  <c r="P514" i="1" s="1"/>
  <c r="O516" i="1"/>
  <c r="O514" i="1"/>
  <c r="O524" i="1"/>
  <c r="R517" i="1"/>
  <c r="P526" i="1"/>
  <c r="P530" i="1" s="1"/>
  <c r="K531" i="1"/>
  <c r="K530" i="1"/>
  <c r="S517" i="1"/>
  <c r="T512" i="1"/>
  <c r="T514" i="1" s="1"/>
  <c r="S514" i="1"/>
  <c r="O521" i="1"/>
  <c r="R524" i="1"/>
  <c r="O528" i="1"/>
  <c r="L531" i="1"/>
  <c r="L530" i="1"/>
  <c r="L538" i="1"/>
  <c r="M536" i="1"/>
  <c r="L537" i="1"/>
  <c r="K516" i="1"/>
  <c r="M529" i="1"/>
  <c r="O537" i="1"/>
  <c r="P536" i="1"/>
  <c r="M599" i="1"/>
  <c r="M642" i="1" s="1"/>
  <c r="O538" i="1"/>
  <c r="L556" i="1"/>
  <c r="L573" i="1" s="1"/>
  <c r="L575" i="1" s="1"/>
  <c r="M547" i="1"/>
  <c r="L547" i="1"/>
  <c r="F640" i="1"/>
  <c r="F647" i="1"/>
  <c r="P533" i="1"/>
  <c r="P535" i="1" s="1"/>
  <c r="R558" i="1"/>
  <c r="R546" i="1"/>
  <c r="R514" i="1"/>
  <c r="S526" i="1"/>
  <c r="R538" i="1"/>
  <c r="R535" i="1"/>
  <c r="S533" i="1"/>
  <c r="S535" i="1" s="1"/>
  <c r="L559" i="1"/>
  <c r="R565" i="1"/>
  <c r="R563" i="1"/>
  <c r="S567" i="1"/>
  <c r="R564" i="1"/>
  <c r="R562" i="1"/>
  <c r="P567" i="1"/>
  <c r="L642" i="1"/>
  <c r="L601" i="1"/>
  <c r="L644" i="1" s="1"/>
  <c r="L604" i="1"/>
  <c r="L647" i="1" s="1"/>
  <c r="J547" i="1"/>
  <c r="T580" i="1"/>
  <c r="K547" i="1"/>
  <c r="U580" i="1"/>
  <c r="V580" i="1"/>
  <c r="W580" i="1"/>
  <c r="L605" i="1"/>
  <c r="L648" i="1" s="1"/>
  <c r="B625" i="1"/>
  <c r="B636" i="1" s="1"/>
  <c r="K647" i="1"/>
  <c r="J648" i="1"/>
  <c r="B626" i="1"/>
  <c r="B637" i="1" s="1"/>
  <c r="K648" i="1"/>
  <c r="J649" i="1"/>
  <c r="K600" i="1"/>
  <c r="K602" i="1"/>
  <c r="K645" i="1" s="1"/>
  <c r="K606" i="1"/>
  <c r="K649" i="1" s="1"/>
  <c r="J607" i="1"/>
  <c r="J642" i="1"/>
  <c r="K642" i="1"/>
  <c r="J643" i="1"/>
  <c r="B621" i="1"/>
  <c r="B632" i="1" s="1"/>
  <c r="J644" i="1"/>
  <c r="B622" i="1"/>
  <c r="B633" i="1" s="1"/>
  <c r="K644" i="1"/>
  <c r="J645" i="1"/>
  <c r="K603" i="1"/>
  <c r="EY34" i="5"/>
  <c r="AY110" i="28" s="1"/>
  <c r="V112" i="10"/>
  <c r="W112" i="10" s="1"/>
  <c r="EY14" i="5"/>
  <c r="AY103" i="28" s="1"/>
  <c r="T169" i="10"/>
  <c r="S94" i="10"/>
  <c r="B3202" i="16"/>
  <c r="O3203" i="16" s="1"/>
  <c r="B3201" i="16"/>
  <c r="O3202" i="16" s="1"/>
  <c r="B3200" i="16"/>
  <c r="O3201" i="16" s="1"/>
  <c r="B3199" i="16"/>
  <c r="O3200" i="16" s="1"/>
  <c r="BT144" i="5"/>
  <c r="W117" i="1" l="1"/>
  <c r="AC142" i="18"/>
  <c r="AC155" i="18" s="1"/>
  <c r="F3365" i="16"/>
  <c r="BE3365" i="16" s="1"/>
  <c r="U117" i="1"/>
  <c r="AA23" i="18" s="1"/>
  <c r="V59" i="1"/>
  <c r="W383" i="1"/>
  <c r="W387" i="1" s="1"/>
  <c r="W390" i="1" s="1"/>
  <c r="V255" i="1"/>
  <c r="V383" i="1"/>
  <c r="V387" i="1" s="1"/>
  <c r="V388" i="1" s="1"/>
  <c r="V103" i="1"/>
  <c r="AA152" i="18"/>
  <c r="V76" i="1"/>
  <c r="C34" i="30"/>
  <c r="C38" i="30" s="1"/>
  <c r="F9" i="30" s="1"/>
  <c r="G9" i="30" s="1"/>
  <c r="H9" i="30" s="1"/>
  <c r="I9" i="30" s="1"/>
  <c r="Z142" i="18"/>
  <c r="Z155" i="18" s="1"/>
  <c r="E34" i="30"/>
  <c r="E38" i="30" s="1"/>
  <c r="N9" i="30" s="1"/>
  <c r="O9" i="30" s="1"/>
  <c r="P9" i="30" s="1"/>
  <c r="Q9" i="30" s="1"/>
  <c r="AB142" i="18"/>
  <c r="V35" i="1"/>
  <c r="V132" i="1"/>
  <c r="AB18" i="18" s="1"/>
  <c r="D34" i="30"/>
  <c r="D38" i="30" s="1"/>
  <c r="J9" i="30" s="1"/>
  <c r="K9" i="30" s="1"/>
  <c r="L9" i="30" s="1"/>
  <c r="M9" i="30" s="1"/>
  <c r="AA142" i="18"/>
  <c r="AA155" i="18" s="1"/>
  <c r="E3366" i="16"/>
  <c r="BD3366" i="16" s="1"/>
  <c r="AB149" i="18"/>
  <c r="W207" i="1"/>
  <c r="AC109" i="18" s="1"/>
  <c r="AC23" i="18"/>
  <c r="C3364" i="16"/>
  <c r="BB3364" i="16" s="1"/>
  <c r="Z134" i="18"/>
  <c r="E33" i="30"/>
  <c r="C35" i="30"/>
  <c r="C3366" i="16"/>
  <c r="BB3366" i="16" s="1"/>
  <c r="D33" i="30"/>
  <c r="D3364" i="16"/>
  <c r="BC3364" i="16" s="1"/>
  <c r="D35" i="30"/>
  <c r="D3366" i="16"/>
  <c r="BC3366" i="16" s="1"/>
  <c r="W136" i="1"/>
  <c r="CB93" i="5"/>
  <c r="CB92" i="5"/>
  <c r="BX25" i="28" s="1"/>
  <c r="Z487" i="1"/>
  <c r="Z496" i="1" s="1"/>
  <c r="Z219" i="1" s="1"/>
  <c r="AF114" i="18" s="1"/>
  <c r="W224" i="1"/>
  <c r="F34" i="30"/>
  <c r="F38" i="30" s="1"/>
  <c r="R9" i="30" s="1"/>
  <c r="S9" i="30" s="1"/>
  <c r="T9" i="30" s="1"/>
  <c r="U9" i="30" s="1"/>
  <c r="T26" i="7"/>
  <c r="AC184" i="18" s="1"/>
  <c r="F35" i="30"/>
  <c r="V106" i="1"/>
  <c r="E35" i="30"/>
  <c r="D45" i="30"/>
  <c r="D47" i="30" s="1"/>
  <c r="D50" i="30"/>
  <c r="D51" i="30" s="1"/>
  <c r="B45" i="30"/>
  <c r="B50" i="30"/>
  <c r="T103" i="1"/>
  <c r="C33" i="30"/>
  <c r="F50" i="30"/>
  <c r="F51" i="30" s="1"/>
  <c r="F45" i="30"/>
  <c r="F47" i="30" s="1"/>
  <c r="W132" i="1"/>
  <c r="AC18" i="18" s="1"/>
  <c r="F33" i="30"/>
  <c r="E50" i="30"/>
  <c r="E51" i="30" s="1"/>
  <c r="E45" i="30"/>
  <c r="E47" i="30" s="1"/>
  <c r="C45" i="30"/>
  <c r="C47" i="30" s="1"/>
  <c r="C50" i="30"/>
  <c r="C51" i="30" s="1"/>
  <c r="S140" i="1"/>
  <c r="S501" i="1" s="1"/>
  <c r="B34" i="30"/>
  <c r="CA138" i="5"/>
  <c r="AZ103" i="28"/>
  <c r="AB199" i="10"/>
  <c r="AA199" i="10"/>
  <c r="X3259" i="16"/>
  <c r="X3265" i="16" s="1"/>
  <c r="X3269" i="16" s="1"/>
  <c r="X3270" i="16" s="1"/>
  <c r="U3260" i="16"/>
  <c r="U3261" i="16" s="1"/>
  <c r="U3262" i="16" s="1"/>
  <c r="U3263" i="16" s="1"/>
  <c r="U3264" i="16" s="1"/>
  <c r="Q221" i="1"/>
  <c r="Q199" i="1" s="1"/>
  <c r="R308" i="1"/>
  <c r="R300" i="1" s="1"/>
  <c r="R298" i="1" s="1"/>
  <c r="R335" i="1"/>
  <c r="V308" i="1"/>
  <c r="P221" i="1"/>
  <c r="P223" i="1" s="1"/>
  <c r="W308" i="1"/>
  <c r="AH453" i="1"/>
  <c r="AC205" i="10"/>
  <c r="AC198" i="10"/>
  <c r="AC199" i="10" s="1"/>
  <c r="AC169" i="10"/>
  <c r="AC77" i="10"/>
  <c r="AC282" i="10"/>
  <c r="V13" i="21"/>
  <c r="W9" i="21"/>
  <c r="V7" i="21"/>
  <c r="S68" i="1"/>
  <c r="V6" i="29"/>
  <c r="V46" i="29"/>
  <c r="V55" i="29"/>
  <c r="P136" i="1"/>
  <c r="O347" i="1"/>
  <c r="R346" i="1"/>
  <c r="R348" i="1" s="1"/>
  <c r="L232" i="1"/>
  <c r="L382" i="1" s="1"/>
  <c r="L290" i="1"/>
  <c r="M290" i="1"/>
  <c r="R372" i="1"/>
  <c r="R191" i="1" s="1"/>
  <c r="R196" i="1" s="1"/>
  <c r="L516" i="1"/>
  <c r="T372" i="1"/>
  <c r="T191" i="1" s="1"/>
  <c r="T196" i="1" s="1"/>
  <c r="N575" i="1"/>
  <c r="N68" i="1"/>
  <c r="D504" i="1"/>
  <c r="V241" i="1"/>
  <c r="L565" i="1"/>
  <c r="M569" i="1"/>
  <c r="M562" i="1"/>
  <c r="M565" i="1"/>
  <c r="G300" i="1"/>
  <c r="G298" i="1" s="1"/>
  <c r="V372" i="1"/>
  <c r="V191" i="1" s="1"/>
  <c r="V196" i="1" s="1"/>
  <c r="L569" i="1"/>
  <c r="J541" i="1"/>
  <c r="Q105" i="1"/>
  <c r="X93" i="1"/>
  <c r="Q43" i="1"/>
  <c r="J572" i="1"/>
  <c r="X116" i="1"/>
  <c r="G234" i="1"/>
  <c r="H234" i="1"/>
  <c r="H197" i="1"/>
  <c r="M564" i="1"/>
  <c r="I104" i="1"/>
  <c r="V88" i="1"/>
  <c r="Q48" i="1"/>
  <c r="L563" i="1"/>
  <c r="L564" i="1"/>
  <c r="V475" i="1"/>
  <c r="O136" i="1"/>
  <c r="L562" i="1"/>
  <c r="N354" i="1"/>
  <c r="V592" i="1"/>
  <c r="O289" i="1"/>
  <c r="D285" i="1"/>
  <c r="O355" i="1"/>
  <c r="M221" i="1"/>
  <c r="M199" i="1" s="1"/>
  <c r="M200" i="1" s="1"/>
  <c r="M300" i="1"/>
  <c r="M298" i="1" s="1"/>
  <c r="K502" i="1"/>
  <c r="K590" i="1" s="1"/>
  <c r="N208" i="1"/>
  <c r="J568" i="1"/>
  <c r="F295" i="1"/>
  <c r="P59" i="1"/>
  <c r="N289" i="1"/>
  <c r="N290" i="1" s="1"/>
  <c r="N307" i="1"/>
  <c r="N309" i="1" s="1"/>
  <c r="K382" i="1"/>
  <c r="Q521" i="1"/>
  <c r="G197" i="1"/>
  <c r="R290" i="1"/>
  <c r="P524" i="1"/>
  <c r="P521" i="1"/>
  <c r="N140" i="1"/>
  <c r="P372" i="1"/>
  <c r="P191" i="1" s="1"/>
  <c r="P196" i="1" s="1"/>
  <c r="H122" i="1"/>
  <c r="Q290" i="1"/>
  <c r="V294" i="1"/>
  <c r="I290" i="1"/>
  <c r="Y169" i="10"/>
  <c r="X112" i="10"/>
  <c r="P348" i="1"/>
  <c r="K566" i="1"/>
  <c r="S537" i="1"/>
  <c r="Q87" i="1"/>
  <c r="Q88" i="1" s="1"/>
  <c r="K540" i="1"/>
  <c r="K541" i="1" s="1"/>
  <c r="L517" i="1"/>
  <c r="L540" i="1" s="1"/>
  <c r="R294" i="1"/>
  <c r="R295" i="1" s="1"/>
  <c r="T355" i="1"/>
  <c r="O185" i="1"/>
  <c r="O188" i="1" s="1"/>
  <c r="O354" i="1"/>
  <c r="R68" i="1"/>
  <c r="O177" i="1"/>
  <c r="G384" i="1"/>
  <c r="G387" i="1" s="1"/>
  <c r="S372" i="1"/>
  <c r="S191" i="1" s="1"/>
  <c r="S196" i="1" s="1"/>
  <c r="Q300" i="1"/>
  <c r="Q298" i="1" s="1"/>
  <c r="D197" i="1"/>
  <c r="F285" i="1"/>
  <c r="K290" i="1"/>
  <c r="N568" i="1"/>
  <c r="R64" i="1"/>
  <c r="H381" i="1"/>
  <c r="H387" i="1" s="1"/>
  <c r="H145" i="1"/>
  <c r="H154" i="1" s="1"/>
  <c r="H161" i="1" s="1"/>
  <c r="H465" i="1" s="1"/>
  <c r="F197" i="1"/>
  <c r="L523" i="1"/>
  <c r="R314" i="1"/>
  <c r="S314" i="1" s="1"/>
  <c r="T314" i="1" s="1"/>
  <c r="R355" i="1"/>
  <c r="E285" i="1"/>
  <c r="E384" i="1"/>
  <c r="E387" i="1" s="1"/>
  <c r="E300" i="1"/>
  <c r="E298" i="1" s="1"/>
  <c r="M348" i="1"/>
  <c r="S355" i="1"/>
  <c r="S64" i="1"/>
  <c r="N295" i="1"/>
  <c r="R319" i="1"/>
  <c r="R321" i="1" s="1"/>
  <c r="R217" i="1" s="1"/>
  <c r="M295" i="1"/>
  <c r="E197" i="1"/>
  <c r="J290" i="1"/>
  <c r="T136" i="1"/>
  <c r="F384" i="1"/>
  <c r="F387" i="1" s="1"/>
  <c r="N348" i="1"/>
  <c r="U308" i="1"/>
  <c r="Q103" i="1"/>
  <c r="G285" i="1"/>
  <c r="F504" i="1"/>
  <c r="K607" i="1"/>
  <c r="S136" i="1"/>
  <c r="R540" i="1"/>
  <c r="R554" i="1" s="1"/>
  <c r="T516" i="1"/>
  <c r="Q59" i="1"/>
  <c r="Y215" i="1"/>
  <c r="Z215" i="1"/>
  <c r="K295" i="1"/>
  <c r="U294" i="1"/>
  <c r="Z264" i="1"/>
  <c r="L176" i="1"/>
  <c r="L177" i="1" s="1"/>
  <c r="J355" i="1"/>
  <c r="G295" i="1"/>
  <c r="U346" i="1"/>
  <c r="V348" i="1" s="1"/>
  <c r="K355" i="1"/>
  <c r="R76" i="1"/>
  <c r="H285" i="1"/>
  <c r="Y257" i="1"/>
  <c r="Z257" i="1" s="1"/>
  <c r="AA257" i="1" s="1"/>
  <c r="X276" i="1"/>
  <c r="P528" i="1"/>
  <c r="H295" i="1"/>
  <c r="K300" i="1"/>
  <c r="K298" i="1" s="1"/>
  <c r="I355" i="1"/>
  <c r="L295" i="1"/>
  <c r="I185" i="1"/>
  <c r="I188" i="1" s="1"/>
  <c r="I372" i="1" s="1"/>
  <c r="I191" i="1" s="1"/>
  <c r="I196" i="1" s="1"/>
  <c r="D300" i="1"/>
  <c r="D298" i="1" s="1"/>
  <c r="D299" i="1" s="1"/>
  <c r="D221" i="1"/>
  <c r="Q554" i="1"/>
  <c r="Q555" i="1" s="1"/>
  <c r="M522" i="1"/>
  <c r="M523" i="1" s="1"/>
  <c r="O559" i="1"/>
  <c r="N572" i="1"/>
  <c r="L355" i="1"/>
  <c r="R59" i="1"/>
  <c r="Q568" i="1"/>
  <c r="T59" i="1"/>
  <c r="R77" i="1"/>
  <c r="K196" i="1"/>
  <c r="T76" i="1"/>
  <c r="O306" i="1"/>
  <c r="O190" i="1"/>
  <c r="Y264" i="1"/>
  <c r="S546" i="1"/>
  <c r="S556" i="1" s="1"/>
  <c r="S573" i="1" s="1"/>
  <c r="S524" i="1"/>
  <c r="T519" i="1"/>
  <c r="J295" i="1"/>
  <c r="M576" i="1"/>
  <c r="M577" i="1" s="1"/>
  <c r="S523" i="1"/>
  <c r="S521" i="1"/>
  <c r="O540" i="1"/>
  <c r="O541" i="1" s="1"/>
  <c r="P355" i="1"/>
  <c r="E221" i="1"/>
  <c r="E199" i="1" s="1"/>
  <c r="F300" i="1"/>
  <c r="F298" i="1" s="1"/>
  <c r="O566" i="1"/>
  <c r="I387" i="1"/>
  <c r="I392" i="1" s="1"/>
  <c r="I396" i="1" s="1"/>
  <c r="Q355" i="1"/>
  <c r="R138" i="1"/>
  <c r="W355" i="1"/>
  <c r="Y311" i="1"/>
  <c r="Y312" i="1" s="1"/>
  <c r="X187" i="1"/>
  <c r="W294" i="1"/>
  <c r="W119" i="1"/>
  <c r="W125" i="1"/>
  <c r="Y319" i="1"/>
  <c r="Y321" i="1" s="1"/>
  <c r="Y217" i="1" s="1"/>
  <c r="R556" i="1"/>
  <c r="R573" i="1" s="1"/>
  <c r="R547" i="1"/>
  <c r="AB447" i="1"/>
  <c r="O208" i="1"/>
  <c r="O148" i="1"/>
  <c r="K646" i="1"/>
  <c r="L603" i="1"/>
  <c r="M601" i="1"/>
  <c r="M644" i="1" s="1"/>
  <c r="R566" i="1"/>
  <c r="R559" i="1"/>
  <c r="P558" i="1"/>
  <c r="P546" i="1"/>
  <c r="P547" i="1" s="1"/>
  <c r="P517" i="1"/>
  <c r="Q514" i="1"/>
  <c r="P516" i="1"/>
  <c r="N448" i="1"/>
  <c r="I208" i="1"/>
  <c r="I148" i="1"/>
  <c r="I154" i="1" s="1"/>
  <c r="I161" i="1" s="1"/>
  <c r="Q176" i="1"/>
  <c r="Q177" i="1" s="1"/>
  <c r="AB314" i="1"/>
  <c r="L236" i="1"/>
  <c r="K237" i="1"/>
  <c r="S208" i="1"/>
  <c r="B11" i="30" s="1"/>
  <c r="C11" i="30" s="1"/>
  <c r="D11" i="30" s="1"/>
  <c r="E11" i="30" s="1"/>
  <c r="S148" i="1"/>
  <c r="R122" i="1"/>
  <c r="R117" i="1"/>
  <c r="S307" i="1"/>
  <c r="T289" i="1"/>
  <c r="U290" i="1" s="1"/>
  <c r="S289" i="1"/>
  <c r="S290" i="1" s="1"/>
  <c r="S173" i="1"/>
  <c r="O48" i="1"/>
  <c r="O43" i="1"/>
  <c r="S565" i="1"/>
  <c r="S563" i="1"/>
  <c r="T567" i="1"/>
  <c r="S569" i="1"/>
  <c r="S562" i="1"/>
  <c r="S564" i="1"/>
  <c r="J234" i="1"/>
  <c r="I234" i="1"/>
  <c r="U29" i="1"/>
  <c r="U35" i="1"/>
  <c r="U132" i="1"/>
  <c r="M531" i="1"/>
  <c r="M530" i="1"/>
  <c r="M516" i="1"/>
  <c r="M517" i="1"/>
  <c r="W208" i="1"/>
  <c r="AC110" i="18" s="1"/>
  <c r="W148" i="1"/>
  <c r="AC28" i="18" s="1"/>
  <c r="J650" i="1"/>
  <c r="J640" i="1" s="1"/>
  <c r="S531" i="1"/>
  <c r="T526" i="1"/>
  <c r="T528" i="1" s="1"/>
  <c r="S530" i="1"/>
  <c r="S528" i="1"/>
  <c r="S558" i="1"/>
  <c r="O556" i="1"/>
  <c r="O573" i="1" s="1"/>
  <c r="K577" i="1"/>
  <c r="V355" i="1"/>
  <c r="U185" i="1"/>
  <c r="U188" i="1" s="1"/>
  <c r="I347" i="1"/>
  <c r="J348" i="1"/>
  <c r="I348" i="1"/>
  <c r="I176" i="1"/>
  <c r="I177" i="1" s="1"/>
  <c r="Y93" i="1"/>
  <c r="Z85" i="1"/>
  <c r="N372" i="1"/>
  <c r="N191" i="1" s="1"/>
  <c r="N196" i="1" s="1"/>
  <c r="L348" i="1"/>
  <c r="K176" i="1"/>
  <c r="K177" i="1" s="1"/>
  <c r="U64" i="1"/>
  <c r="U68" i="1"/>
  <c r="U77" i="1"/>
  <c r="U140" i="1"/>
  <c r="AA19" i="18" s="1"/>
  <c r="K348" i="1"/>
  <c r="J176" i="1"/>
  <c r="J177" i="1" s="1"/>
  <c r="P29" i="1"/>
  <c r="P35" i="1"/>
  <c r="P132" i="1"/>
  <c r="P347" i="1" s="1"/>
  <c r="U43" i="1"/>
  <c r="U48" i="1"/>
  <c r="P76" i="1"/>
  <c r="T35" i="1"/>
  <c r="T132" i="1"/>
  <c r="Z18" i="18" s="1"/>
  <c r="T294" i="1"/>
  <c r="S294" i="1"/>
  <c r="U122" i="1"/>
  <c r="S48" i="1"/>
  <c r="S43" i="1"/>
  <c r="L300" i="1"/>
  <c r="L298" i="1" s="1"/>
  <c r="K221" i="1"/>
  <c r="K199" i="1" s="1"/>
  <c r="V117" i="1"/>
  <c r="V122" i="1"/>
  <c r="AB261" i="1"/>
  <c r="AA264" i="1"/>
  <c r="AA215" i="1"/>
  <c r="T64" i="1"/>
  <c r="T68" i="1"/>
  <c r="T77" i="1"/>
  <c r="T140" i="1"/>
  <c r="Z19" i="18" s="1"/>
  <c r="T592" i="1"/>
  <c r="T475" i="1"/>
  <c r="Z22" i="18" s="1"/>
  <c r="T88" i="1"/>
  <c r="T106" i="1"/>
  <c r="Z366" i="1"/>
  <c r="Y362" i="1"/>
  <c r="Y363" i="1" s="1"/>
  <c r="L208" i="1"/>
  <c r="L148" i="1"/>
  <c r="K476" i="1"/>
  <c r="Y216" i="1"/>
  <c r="AE113" i="18" s="1"/>
  <c r="Z246" i="1"/>
  <c r="W35" i="1"/>
  <c r="W29" i="1"/>
  <c r="M605" i="1"/>
  <c r="X166" i="1"/>
  <c r="AD13" i="18" s="1"/>
  <c r="L600" i="1"/>
  <c r="L643" i="1" s="1"/>
  <c r="K643" i="1"/>
  <c r="P564" i="1"/>
  <c r="P562" i="1"/>
  <c r="P565" i="1"/>
  <c r="P563" i="1"/>
  <c r="P569" i="1"/>
  <c r="R208" i="1"/>
  <c r="R148" i="1"/>
  <c r="J584" i="1"/>
  <c r="J555" i="1"/>
  <c r="I555" i="1" s="1"/>
  <c r="J571" i="1"/>
  <c r="H300" i="1"/>
  <c r="H298" i="1" s="1"/>
  <c r="G221" i="1"/>
  <c r="G199" i="1" s="1"/>
  <c r="T208" i="1"/>
  <c r="Z110" i="18" s="1"/>
  <c r="T148" i="1"/>
  <c r="Z28" i="18" s="1"/>
  <c r="E590" i="1"/>
  <c r="W348" i="1"/>
  <c r="V176" i="1"/>
  <c r="V177" i="1" s="1"/>
  <c r="P68" i="1"/>
  <c r="P77" i="1"/>
  <c r="P64" i="1"/>
  <c r="P140" i="1"/>
  <c r="P335" i="1" s="1"/>
  <c r="T308" i="1"/>
  <c r="K208" i="1"/>
  <c r="K148" i="1"/>
  <c r="W68" i="1"/>
  <c r="W77" i="1"/>
  <c r="W64" i="1"/>
  <c r="W140" i="1"/>
  <c r="AC19" i="18" s="1"/>
  <c r="U103" i="1"/>
  <c r="W122" i="1"/>
  <c r="U592" i="1"/>
  <c r="U475" i="1"/>
  <c r="AA22" i="18" s="1"/>
  <c r="U88" i="1"/>
  <c r="U106" i="1"/>
  <c r="M267" i="1"/>
  <c r="L269" i="1"/>
  <c r="L180" i="1" s="1"/>
  <c r="W76" i="1"/>
  <c r="R48" i="1"/>
  <c r="R43" i="1"/>
  <c r="Q132" i="1"/>
  <c r="Q29" i="1"/>
  <c r="Q35" i="1"/>
  <c r="P43" i="1"/>
  <c r="N599" i="1"/>
  <c r="N642" i="1" s="1"/>
  <c r="K252" i="1"/>
  <c r="K229" i="1"/>
  <c r="K230" i="1"/>
  <c r="K142" i="1"/>
  <c r="L602" i="1"/>
  <c r="L645" i="1" s="1"/>
  <c r="M538" i="1"/>
  <c r="M537" i="1"/>
  <c r="M604" i="1"/>
  <c r="M647" i="1" s="1"/>
  <c r="S538" i="1"/>
  <c r="T533" i="1"/>
  <c r="L576" i="1"/>
  <c r="L577" i="1" s="1"/>
  <c r="M575" i="1"/>
  <c r="N577" i="1" s="1"/>
  <c r="P537" i="1"/>
  <c r="T517" i="1"/>
  <c r="U512" i="1"/>
  <c r="U514" i="1" s="1"/>
  <c r="Q528" i="1"/>
  <c r="P531" i="1"/>
  <c r="J208" i="1"/>
  <c r="J148" i="1"/>
  <c r="D590" i="1"/>
  <c r="Q372" i="1"/>
  <c r="Q191" i="1" s="1"/>
  <c r="Q196" i="1" s="1"/>
  <c r="F234" i="1"/>
  <c r="W372" i="1"/>
  <c r="O348" i="1"/>
  <c r="N347" i="1"/>
  <c r="N176" i="1"/>
  <c r="N177" i="1" s="1"/>
  <c r="U59" i="1"/>
  <c r="I295" i="1"/>
  <c r="AB245" i="1"/>
  <c r="R592" i="1"/>
  <c r="R475" i="1"/>
  <c r="R88" i="1"/>
  <c r="R106" i="1"/>
  <c r="O68" i="1"/>
  <c r="O77" i="1"/>
  <c r="O64" i="1"/>
  <c r="O140" i="1"/>
  <c r="Q77" i="1"/>
  <c r="Q68" i="1"/>
  <c r="Q64" i="1"/>
  <c r="Q140" i="1"/>
  <c r="Q335" i="1" s="1"/>
  <c r="S117" i="1"/>
  <c r="H207" i="1"/>
  <c r="H119" i="1"/>
  <c r="H125" i="1"/>
  <c r="H508" i="1"/>
  <c r="S597" i="1"/>
  <c r="S52" i="1"/>
  <c r="S81" i="1"/>
  <c r="S11" i="1"/>
  <c r="S131" i="1"/>
  <c r="T2" i="1"/>
  <c r="P48" i="1"/>
  <c r="L606" i="1"/>
  <c r="L649" i="1" s="1"/>
  <c r="AB318" i="1"/>
  <c r="D387" i="1"/>
  <c r="N233" i="1"/>
  <c r="M232" i="1"/>
  <c r="Q348" i="1"/>
  <c r="P176" i="1"/>
  <c r="P177" i="1" s="1"/>
  <c r="U355" i="1"/>
  <c r="Q122" i="1"/>
  <c r="Q117" i="1"/>
  <c r="W592" i="1"/>
  <c r="W475" i="1"/>
  <c r="AC22" i="18" s="1"/>
  <c r="W106" i="1"/>
  <c r="W241" i="1"/>
  <c r="W88" i="1"/>
  <c r="V43" i="1"/>
  <c r="V48" i="1"/>
  <c r="U76" i="1"/>
  <c r="S59" i="1"/>
  <c r="S28" i="1"/>
  <c r="V64" i="1"/>
  <c r="V68" i="1"/>
  <c r="V77" i="1"/>
  <c r="V140" i="1"/>
  <c r="AB19" i="18" s="1"/>
  <c r="R35" i="1"/>
  <c r="R132" i="1"/>
  <c r="R29" i="1"/>
  <c r="N355" i="1"/>
  <c r="M185" i="1"/>
  <c r="M188" i="1" s="1"/>
  <c r="T117" i="1"/>
  <c r="Z23" i="18" s="1"/>
  <c r="T122" i="1"/>
  <c r="V29" i="1"/>
  <c r="P538" i="1"/>
  <c r="Q535" i="1"/>
  <c r="N584" i="1"/>
  <c r="N571" i="1"/>
  <c r="N555" i="1"/>
  <c r="Q208" i="1"/>
  <c r="Q148" i="1"/>
  <c r="M476" i="1"/>
  <c r="F590" i="1"/>
  <c r="L476" i="1"/>
  <c r="S592" i="1"/>
  <c r="S475" i="1"/>
  <c r="J300" i="1"/>
  <c r="J298" i="1" s="1"/>
  <c r="I221" i="1"/>
  <c r="I199" i="1" s="1"/>
  <c r="I200" i="1" s="1"/>
  <c r="I300" i="1"/>
  <c r="I298" i="1" s="1"/>
  <c r="J476" i="1"/>
  <c r="M355" i="1"/>
  <c r="I122" i="1"/>
  <c r="I117" i="1"/>
  <c r="I476" i="1"/>
  <c r="I477" i="1"/>
  <c r="Z86" i="1"/>
  <c r="Y90" i="1"/>
  <c r="CH104" i="5" s="1"/>
  <c r="T48" i="1"/>
  <c r="T43" i="1"/>
  <c r="I508" i="1"/>
  <c r="Z317" i="1"/>
  <c r="Z315" i="1" s="1"/>
  <c r="AA487" i="1"/>
  <c r="W48" i="1"/>
  <c r="W43" i="1"/>
  <c r="W169" i="10"/>
  <c r="U124" i="10"/>
  <c r="V124" i="10"/>
  <c r="W124" i="10"/>
  <c r="V169" i="10"/>
  <c r="Q3190" i="16"/>
  <c r="AB3133" i="16"/>
  <c r="L3117" i="16"/>
  <c r="M3118" i="16" s="1"/>
  <c r="AF3113" i="16" s="1"/>
  <c r="L3143" i="16"/>
  <c r="L3126" i="16"/>
  <c r="L3124" i="16"/>
  <c r="L3123" i="16" s="1"/>
  <c r="M3128" i="16" s="1"/>
  <c r="M3129" i="16" s="1"/>
  <c r="M3130" i="16" s="1"/>
  <c r="M3134" i="16" s="1"/>
  <c r="L3121" i="16"/>
  <c r="AX102" i="28"/>
  <c r="AX109" i="28" s="1"/>
  <c r="AX100" i="28"/>
  <c r="BY168" i="5"/>
  <c r="EK110" i="5"/>
  <c r="EK114" i="5" s="1"/>
  <c r="EK115" i="5" s="1"/>
  <c r="EK99" i="5"/>
  <c r="EK103" i="5" s="1"/>
  <c r="U207" i="1" l="1"/>
  <c r="AA109" i="18" s="1"/>
  <c r="U119" i="1"/>
  <c r="U125" i="1"/>
  <c r="C39" i="30"/>
  <c r="C43" i="30" s="1"/>
  <c r="V309" i="1"/>
  <c r="I358" i="1"/>
  <c r="V341" i="1"/>
  <c r="V347" i="1"/>
  <c r="C36" i="30"/>
  <c r="D39" i="30"/>
  <c r="D43" i="30" s="1"/>
  <c r="Z7" i="18"/>
  <c r="Z25" i="18" s="1"/>
  <c r="Z119" i="18"/>
  <c r="V351" i="1"/>
  <c r="AA119" i="18"/>
  <c r="AA7" i="18"/>
  <c r="AA25" i="18" s="1"/>
  <c r="V133" i="1"/>
  <c r="AA18" i="18"/>
  <c r="X124" i="10"/>
  <c r="V477" i="1"/>
  <c r="AB22" i="18"/>
  <c r="W221" i="1"/>
  <c r="F3368" i="16" s="1"/>
  <c r="BE3368" i="16" s="1"/>
  <c r="BE3369" i="16" s="1"/>
  <c r="AC119" i="18"/>
  <c r="AC7" i="18"/>
  <c r="AC25" i="18" s="1"/>
  <c r="AB155" i="18"/>
  <c r="AB7" i="18"/>
  <c r="AB25" i="18" s="1"/>
  <c r="AB119" i="18"/>
  <c r="V344" i="1"/>
  <c r="V207" i="1"/>
  <c r="AB109" i="18" s="1"/>
  <c r="AB23" i="18"/>
  <c r="AB24" i="18" s="1"/>
  <c r="V354" i="1"/>
  <c r="E39" i="30"/>
  <c r="E43" i="30" s="1"/>
  <c r="D36" i="30"/>
  <c r="Q358" i="1"/>
  <c r="U335" i="1"/>
  <c r="V335" i="1"/>
  <c r="W335" i="1"/>
  <c r="T335" i="1"/>
  <c r="W358" i="1"/>
  <c r="O358" i="1"/>
  <c r="J358" i="1"/>
  <c r="K358" i="1"/>
  <c r="V358" i="1"/>
  <c r="L358" i="1"/>
  <c r="M358" i="1"/>
  <c r="R358" i="1"/>
  <c r="P358" i="1"/>
  <c r="Y316" i="1"/>
  <c r="Y306" i="1"/>
  <c r="CH181" i="5" s="1"/>
  <c r="CG181" i="5" s="1"/>
  <c r="N358" i="1"/>
  <c r="N3135" i="16"/>
  <c r="P3136" i="16"/>
  <c r="V7" i="29"/>
  <c r="AA496" i="1"/>
  <c r="AA219" i="1" s="1"/>
  <c r="AG114" i="18" s="1"/>
  <c r="F39" i="30"/>
  <c r="F43" i="30" s="1"/>
  <c r="B36" i="30"/>
  <c r="B38" i="30"/>
  <c r="E48" i="30"/>
  <c r="E52" i="30"/>
  <c r="F48" i="30"/>
  <c r="F52" i="30"/>
  <c r="D52" i="30"/>
  <c r="D48" i="30"/>
  <c r="S335" i="1"/>
  <c r="S138" i="1"/>
  <c r="F36" i="30"/>
  <c r="E36" i="30"/>
  <c r="S88" i="1"/>
  <c r="B33" i="30"/>
  <c r="S308" i="1"/>
  <c r="S334" i="1" s="1"/>
  <c r="B46" i="30"/>
  <c r="B51" i="30" s="1"/>
  <c r="C52" i="30" s="1"/>
  <c r="BZ168" i="5"/>
  <c r="P199" i="1"/>
  <c r="Q200" i="1" s="1"/>
  <c r="AC3134" i="16"/>
  <c r="Q223" i="1"/>
  <c r="T334" i="1"/>
  <c r="O335" i="1"/>
  <c r="P334" i="1"/>
  <c r="N138" i="1"/>
  <c r="N335" i="1"/>
  <c r="V221" i="1"/>
  <c r="E3368" i="16" s="1"/>
  <c r="BD3368" i="16" s="1"/>
  <c r="BD3369" i="16" s="1"/>
  <c r="V334" i="1"/>
  <c r="R221" i="1"/>
  <c r="R334" i="1"/>
  <c r="W334" i="1"/>
  <c r="Q334" i="1"/>
  <c r="U221" i="1"/>
  <c r="U334" i="1"/>
  <c r="AD282" i="10"/>
  <c r="AD198" i="10"/>
  <c r="AD199" i="10" s="1"/>
  <c r="AD205" i="10"/>
  <c r="AD77" i="10"/>
  <c r="AD169" i="10"/>
  <c r="L502" i="1"/>
  <c r="L590" i="1" s="1"/>
  <c r="W13" i="21"/>
  <c r="X9" i="21"/>
  <c r="W7" i="21"/>
  <c r="R176" i="1"/>
  <c r="R177" i="1" s="1"/>
  <c r="R347" i="1"/>
  <c r="Y254" i="1"/>
  <c r="Y503" i="1" s="1"/>
  <c r="Y591" i="1" s="1"/>
  <c r="L228" i="1"/>
  <c r="L230" i="1" s="1"/>
  <c r="O357" i="1"/>
  <c r="O210" i="1" s="1"/>
  <c r="R572" i="1"/>
  <c r="P357" i="1"/>
  <c r="P210" i="1" s="1"/>
  <c r="O372" i="1"/>
  <c r="O191" i="1" s="1"/>
  <c r="O196" i="1" s="1"/>
  <c r="O290" i="1"/>
  <c r="P290" i="1"/>
  <c r="L566" i="1"/>
  <c r="L568" i="1" s="1"/>
  <c r="M566" i="1"/>
  <c r="H164" i="1"/>
  <c r="Q357" i="1"/>
  <c r="Q210" i="1" s="1"/>
  <c r="V476" i="1"/>
  <c r="L332" i="1"/>
  <c r="L330" i="1" s="1"/>
  <c r="L181" i="1" s="1"/>
  <c r="L183" i="1" s="1"/>
  <c r="L197" i="1" s="1"/>
  <c r="V300" i="1"/>
  <c r="V298" i="1" s="1"/>
  <c r="G299" i="1"/>
  <c r="H299" i="1"/>
  <c r="N308" i="1"/>
  <c r="N501" i="1"/>
  <c r="R299" i="1"/>
  <c r="Y112" i="10"/>
  <c r="K650" i="1"/>
  <c r="K640" i="1" s="1"/>
  <c r="S295" i="1"/>
  <c r="U295" i="1"/>
  <c r="R357" i="1"/>
  <c r="R210" i="1" s="1"/>
  <c r="Q571" i="1"/>
  <c r="Q475" i="1"/>
  <c r="Q477" i="1" s="1"/>
  <c r="K568" i="1"/>
  <c r="Q584" i="1"/>
  <c r="Q212" i="1" s="1"/>
  <c r="M524" i="1"/>
  <c r="M540" i="1" s="1"/>
  <c r="M541" i="1" s="1"/>
  <c r="K572" i="1"/>
  <c r="V295" i="1"/>
  <c r="I390" i="1"/>
  <c r="I398" i="1" s="1"/>
  <c r="I404" i="1" s="1"/>
  <c r="I405" i="1" s="1"/>
  <c r="I209" i="1" s="1"/>
  <c r="L357" i="1"/>
  <c r="L210" i="1" s="1"/>
  <c r="G390" i="1"/>
  <c r="G389" i="1"/>
  <c r="G506" i="1" s="1"/>
  <c r="G508" i="1" s="1"/>
  <c r="G589" i="1" s="1"/>
  <c r="G392" i="1"/>
  <c r="G396" i="1" s="1"/>
  <c r="Q592" i="1"/>
  <c r="Q106" i="1"/>
  <c r="S106" i="1"/>
  <c r="O568" i="1"/>
  <c r="L299" i="1"/>
  <c r="I357" i="1"/>
  <c r="I210" i="1" s="1"/>
  <c r="M357" i="1"/>
  <c r="M210" i="1" s="1"/>
  <c r="K554" i="1"/>
  <c r="K584" i="1" s="1"/>
  <c r="V390" i="1"/>
  <c r="K357" i="1"/>
  <c r="K210" i="1" s="1"/>
  <c r="L541" i="1"/>
  <c r="O554" i="1"/>
  <c r="O584" i="1" s="1"/>
  <c r="O572" i="1"/>
  <c r="R541" i="1"/>
  <c r="N357" i="1"/>
  <c r="N210" i="1" s="1"/>
  <c r="J357" i="1"/>
  <c r="J210" i="1" s="1"/>
  <c r="R568" i="1"/>
  <c r="S559" i="1"/>
  <c r="S547" i="1"/>
  <c r="P294" i="1"/>
  <c r="Q295" i="1" s="1"/>
  <c r="O294" i="1"/>
  <c r="O308" i="1"/>
  <c r="O334" i="1" s="1"/>
  <c r="F299" i="1"/>
  <c r="U516" i="1"/>
  <c r="V392" i="1"/>
  <c r="V396" i="1" s="1"/>
  <c r="E299" i="1"/>
  <c r="U176" i="1"/>
  <c r="U177" i="1" s="1"/>
  <c r="U348" i="1"/>
  <c r="U358" i="1" s="1"/>
  <c r="J299" i="1"/>
  <c r="T524" i="1"/>
  <c r="T521" i="1"/>
  <c r="U519" i="1"/>
  <c r="T523" i="1"/>
  <c r="S540" i="1"/>
  <c r="S554" i="1" s="1"/>
  <c r="W388" i="1"/>
  <c r="AC24" i="18" s="1"/>
  <c r="W392" i="1"/>
  <c r="W396" i="1" s="1"/>
  <c r="W398" i="1" s="1"/>
  <c r="F200" i="1"/>
  <c r="F222" i="1" s="1"/>
  <c r="E200" i="1"/>
  <c r="E222" i="1" s="1"/>
  <c r="W300" i="1"/>
  <c r="W298" i="1" s="1"/>
  <c r="W295" i="1"/>
  <c r="X306" i="1"/>
  <c r="X316" i="1"/>
  <c r="X190" i="1"/>
  <c r="Z311" i="1"/>
  <c r="Z312" i="1" s="1"/>
  <c r="Z316" i="1" s="1"/>
  <c r="Y187" i="1"/>
  <c r="T538" i="1"/>
  <c r="T537" i="1"/>
  <c r="U533" i="1"/>
  <c r="U535" i="1" s="1"/>
  <c r="P501" i="1"/>
  <c r="P138" i="1"/>
  <c r="N605" i="1"/>
  <c r="N648" i="1" s="1"/>
  <c r="O576" i="1"/>
  <c r="O577" i="1" s="1"/>
  <c r="O575" i="1"/>
  <c r="S576" i="1"/>
  <c r="AA317" i="1"/>
  <c r="AA315" i="1" s="1"/>
  <c r="I299" i="1"/>
  <c r="M372" i="1"/>
  <c r="M191" i="1" s="1"/>
  <c r="M196" i="1" s="1"/>
  <c r="D392" i="1"/>
  <c r="D396" i="1" s="1"/>
  <c r="D389" i="1"/>
  <c r="D506" i="1" s="1"/>
  <c r="D508" i="1" s="1"/>
  <c r="D589" i="1" s="1"/>
  <c r="D390" i="1"/>
  <c r="R477" i="1"/>
  <c r="U477" i="1"/>
  <c r="U476" i="1"/>
  <c r="I554" i="1"/>
  <c r="H555" i="1"/>
  <c r="P566" i="1"/>
  <c r="M648" i="1"/>
  <c r="P540" i="1"/>
  <c r="N601" i="1"/>
  <c r="N644" i="1" s="1"/>
  <c r="J212" i="1"/>
  <c r="W351" i="1"/>
  <c r="W341" i="1"/>
  <c r="Y353" i="1"/>
  <c r="W344" i="1"/>
  <c r="W133" i="1"/>
  <c r="W354" i="1"/>
  <c r="W347" i="1"/>
  <c r="W309" i="1"/>
  <c r="AC261" i="1"/>
  <c r="AD261" i="1" s="1"/>
  <c r="AB264" i="1"/>
  <c r="AB215" i="1"/>
  <c r="K200" i="1"/>
  <c r="L200" i="1"/>
  <c r="K332" i="1"/>
  <c r="K330" i="1" s="1"/>
  <c r="K181" i="1" s="1"/>
  <c r="K183" i="1" s="1"/>
  <c r="K197" i="1" s="1"/>
  <c r="J200" i="1"/>
  <c r="U372" i="1"/>
  <c r="U191" i="1" s="1"/>
  <c r="U196" i="1" s="1"/>
  <c r="U341" i="1"/>
  <c r="U344" i="1"/>
  <c r="U351" i="1"/>
  <c r="U133" i="1"/>
  <c r="U309" i="1"/>
  <c r="U347" i="1"/>
  <c r="M299" i="1"/>
  <c r="P556" i="1"/>
  <c r="P573" i="1" s="1"/>
  <c r="Q547" i="1"/>
  <c r="M603" i="1"/>
  <c r="M646" i="1" s="1"/>
  <c r="Q207" i="1"/>
  <c r="Q119" i="1"/>
  <c r="Q125" i="1"/>
  <c r="F389" i="1"/>
  <c r="F506" i="1" s="1"/>
  <c r="F508" i="1" s="1"/>
  <c r="F589" i="1" s="1"/>
  <c r="F392" i="1"/>
  <c r="F396" i="1" s="1"/>
  <c r="F390" i="1"/>
  <c r="R584" i="1"/>
  <c r="R555" i="1"/>
  <c r="R571" i="1"/>
  <c r="K254" i="1"/>
  <c r="K143" i="1"/>
  <c r="AA86" i="1"/>
  <c r="Z90" i="1"/>
  <c r="N212" i="1"/>
  <c r="S29" i="1"/>
  <c r="S76" i="1"/>
  <c r="S132" i="1"/>
  <c r="T133" i="1" s="1"/>
  <c r="S35" i="1"/>
  <c r="S77" i="1"/>
  <c r="S122" i="1"/>
  <c r="S103" i="1"/>
  <c r="N604" i="1"/>
  <c r="N647" i="1" s="1"/>
  <c r="O599" i="1"/>
  <c r="O642" i="1" s="1"/>
  <c r="Q344" i="1"/>
  <c r="Q351" i="1"/>
  <c r="Q341" i="1"/>
  <c r="Q309" i="1"/>
  <c r="Q133" i="1"/>
  <c r="Q354" i="1"/>
  <c r="T29" i="1"/>
  <c r="J332" i="1"/>
  <c r="J330" i="1" s="1"/>
  <c r="J181" i="1" s="1"/>
  <c r="J183" i="1" s="1"/>
  <c r="J197" i="1" s="1"/>
  <c r="R207" i="1"/>
  <c r="R125" i="1"/>
  <c r="R119" i="1"/>
  <c r="AC314" i="1"/>
  <c r="AD314" i="1" s="1"/>
  <c r="P559" i="1"/>
  <c r="R351" i="1"/>
  <c r="R341" i="1"/>
  <c r="R344" i="1"/>
  <c r="R133" i="1"/>
  <c r="R309" i="1"/>
  <c r="R354" i="1"/>
  <c r="O501" i="1"/>
  <c r="O138" i="1"/>
  <c r="T558" i="1"/>
  <c r="M602" i="1"/>
  <c r="M645" i="1" s="1"/>
  <c r="Z319" i="1"/>
  <c r="Z321" i="1" s="1"/>
  <c r="Z217" i="1" s="1"/>
  <c r="S476" i="1"/>
  <c r="I207" i="1"/>
  <c r="I119" i="1"/>
  <c r="I125" i="1"/>
  <c r="S207" i="1"/>
  <c r="S125" i="1"/>
  <c r="S119" i="1"/>
  <c r="I465" i="1"/>
  <c r="I164" i="1"/>
  <c r="M600" i="1"/>
  <c r="L607" i="1"/>
  <c r="Y166" i="1"/>
  <c r="AE13" i="18" s="1"/>
  <c r="T501" i="1"/>
  <c r="T138" i="1"/>
  <c r="T351" i="1"/>
  <c r="T341" i="1"/>
  <c r="T354" i="1"/>
  <c r="T344" i="1"/>
  <c r="T347" i="1"/>
  <c r="U354" i="1"/>
  <c r="S566" i="1"/>
  <c r="S346" i="1"/>
  <c r="L646" i="1"/>
  <c r="L650" i="1" s="1"/>
  <c r="R576" i="1"/>
  <c r="S575" i="1"/>
  <c r="R575" i="1"/>
  <c r="M606" i="1"/>
  <c r="M649" i="1" s="1"/>
  <c r="V119" i="1"/>
  <c r="V125" i="1"/>
  <c r="T597" i="1"/>
  <c r="T81" i="1"/>
  <c r="T131" i="1"/>
  <c r="U2" i="1"/>
  <c r="T52" i="1"/>
  <c r="T11" i="1"/>
  <c r="AC245" i="1"/>
  <c r="AD245" i="1" s="1"/>
  <c r="W191" i="1"/>
  <c r="W196" i="1" s="1"/>
  <c r="M269" i="1"/>
  <c r="M180" i="1" s="1"/>
  <c r="N267" i="1"/>
  <c r="Z93" i="1"/>
  <c r="AA85" i="1"/>
  <c r="AB257" i="1"/>
  <c r="M236" i="1"/>
  <c r="L237" i="1"/>
  <c r="O448" i="1"/>
  <c r="K299" i="1"/>
  <c r="Y190" i="1"/>
  <c r="I589" i="1"/>
  <c r="I593" i="1" s="1"/>
  <c r="I509" i="1"/>
  <c r="I165" i="1"/>
  <c r="V501" i="1"/>
  <c r="V508" i="1" s="1"/>
  <c r="V145" i="1"/>
  <c r="V154" i="1" s="1"/>
  <c r="V158" i="1" s="1"/>
  <c r="V161" i="1" s="1"/>
  <c r="V163" i="1" s="1"/>
  <c r="V138" i="1"/>
  <c r="L554" i="1"/>
  <c r="L572" i="1"/>
  <c r="M502" i="1"/>
  <c r="M590" i="1" s="1"/>
  <c r="M382" i="1"/>
  <c r="M228" i="1"/>
  <c r="AC318" i="1"/>
  <c r="AD318" i="1" s="1"/>
  <c r="Q501" i="1"/>
  <c r="Q138" i="1"/>
  <c r="T546" i="1"/>
  <c r="W501" i="1"/>
  <c r="W145" i="1"/>
  <c r="W154" i="1" s="1"/>
  <c r="W158" i="1" s="1"/>
  <c r="W161" i="1" s="1"/>
  <c r="W138" i="1"/>
  <c r="G200" i="1"/>
  <c r="G222" i="1" s="1"/>
  <c r="H200" i="1"/>
  <c r="Z216" i="1"/>
  <c r="AF113" i="18" s="1"/>
  <c r="AA246" i="1"/>
  <c r="Z247" i="1"/>
  <c r="T477" i="1"/>
  <c r="T476" i="1"/>
  <c r="E389" i="1"/>
  <c r="E506" i="1" s="1"/>
  <c r="E508" i="1" s="1"/>
  <c r="E589" i="1" s="1"/>
  <c r="E392" i="1"/>
  <c r="E396" i="1" s="1"/>
  <c r="E390" i="1"/>
  <c r="T295" i="1"/>
  <c r="U501" i="1"/>
  <c r="U138" i="1"/>
  <c r="T309" i="1"/>
  <c r="I332" i="1"/>
  <c r="I330" i="1" s="1"/>
  <c r="I181" i="1" s="1"/>
  <c r="I183" i="1" s="1"/>
  <c r="I197" i="1" s="1"/>
  <c r="T531" i="1"/>
  <c r="U526" i="1"/>
  <c r="U528" i="1" s="1"/>
  <c r="T530" i="1"/>
  <c r="T565" i="1"/>
  <c r="T563" i="1"/>
  <c r="U567" i="1"/>
  <c r="T569" i="1"/>
  <c r="T564" i="1"/>
  <c r="T562" i="1"/>
  <c r="T290" i="1"/>
  <c r="Q347" i="1"/>
  <c r="W477" i="1"/>
  <c r="W476" i="1"/>
  <c r="T207" i="1"/>
  <c r="Z109" i="18" s="1"/>
  <c r="T125" i="1"/>
  <c r="T119" i="1"/>
  <c r="O233" i="1"/>
  <c r="N232" i="1"/>
  <c r="H589" i="1"/>
  <c r="H593" i="1" s="1"/>
  <c r="H587" i="1" s="1"/>
  <c r="H509" i="1"/>
  <c r="H165" i="1"/>
  <c r="H585" i="1"/>
  <c r="U517" i="1"/>
  <c r="T535" i="1"/>
  <c r="H392" i="1"/>
  <c r="H396" i="1" s="1"/>
  <c r="H390" i="1"/>
  <c r="U300" i="1"/>
  <c r="U298" i="1" s="1"/>
  <c r="T221" i="1"/>
  <c r="C3368" i="16" s="1"/>
  <c r="BB3368" i="16" s="1"/>
  <c r="BB3369" i="16" s="1"/>
  <c r="AA366" i="1"/>
  <c r="Z362" i="1"/>
  <c r="Z363" i="1" s="1"/>
  <c r="P351" i="1"/>
  <c r="P341" i="1"/>
  <c r="P344" i="1"/>
  <c r="P133" i="1"/>
  <c r="P354" i="1"/>
  <c r="P309" i="1"/>
  <c r="AC447" i="1"/>
  <c r="AD447" i="1" s="1"/>
  <c r="X169" i="10"/>
  <c r="R3190" i="16"/>
  <c r="BJ18" i="28"/>
  <c r="BJ16" i="28"/>
  <c r="BK17" i="28" s="1"/>
  <c r="BJ11" i="28"/>
  <c r="BJ8" i="28"/>
  <c r="BJ7" i="28"/>
  <c r="BY272" i="5"/>
  <c r="BY271" i="5"/>
  <c r="AX92" i="28" s="1"/>
  <c r="BY270" i="5"/>
  <c r="BY269" i="5"/>
  <c r="HH81" i="5"/>
  <c r="HH19" i="5"/>
  <c r="HH70" i="5" s="1"/>
  <c r="HH36" i="5"/>
  <c r="HH38" i="5" s="1"/>
  <c r="HH72" i="5" s="1"/>
  <c r="BV26" i="28"/>
  <c r="BV22" i="28"/>
  <c r="BV16" i="28"/>
  <c r="BV10" i="28"/>
  <c r="BV8" i="28"/>
  <c r="BV7" i="28"/>
  <c r="BV6" i="28"/>
  <c r="BV31" i="28"/>
  <c r="BV30" i="28"/>
  <c r="BY277" i="5"/>
  <c r="W199" i="1" l="1"/>
  <c r="AA118" i="18"/>
  <c r="AA117" i="18" s="1"/>
  <c r="F3369" i="16"/>
  <c r="AB118" i="18"/>
  <c r="AC118" i="18"/>
  <c r="C3369" i="16"/>
  <c r="E3369" i="16"/>
  <c r="U223" i="1"/>
  <c r="D3368" i="16"/>
  <c r="W163" i="1"/>
  <c r="X308" i="1"/>
  <c r="X294" i="1"/>
  <c r="X295" i="1" s="1"/>
  <c r="B9" i="30"/>
  <c r="C9" i="30" s="1"/>
  <c r="D9" i="30" s="1"/>
  <c r="E9" i="30" s="1"/>
  <c r="B39" i="30"/>
  <c r="S221" i="1"/>
  <c r="S199" i="1" s="1"/>
  <c r="T300" i="1"/>
  <c r="T298" i="1" s="1"/>
  <c r="U299" i="1" s="1"/>
  <c r="B47" i="30"/>
  <c r="C48" i="30" s="1"/>
  <c r="S300" i="1"/>
  <c r="S298" i="1" s="1"/>
  <c r="S299" i="1" s="1"/>
  <c r="G50" i="30"/>
  <c r="U59" i="30" s="1"/>
  <c r="G45" i="30"/>
  <c r="H50" i="30"/>
  <c r="H45" i="30"/>
  <c r="L640" i="1"/>
  <c r="CA168" i="5"/>
  <c r="CA173" i="5" s="1"/>
  <c r="CA174" i="5" s="1"/>
  <c r="CA175" i="5" s="1"/>
  <c r="BK13" i="28"/>
  <c r="BK12" i="28"/>
  <c r="U199" i="1"/>
  <c r="R199" i="1"/>
  <c r="R200" i="1" s="1"/>
  <c r="R223" i="1"/>
  <c r="V199" i="1"/>
  <c r="V223" i="1"/>
  <c r="N300" i="1"/>
  <c r="N298" i="1" s="1"/>
  <c r="N299" i="1" s="1"/>
  <c r="N334" i="1"/>
  <c r="AE261" i="1"/>
  <c r="AF261" i="1" s="1"/>
  <c r="AD264" i="1"/>
  <c r="AD215" i="1"/>
  <c r="AE318" i="1"/>
  <c r="AF318" i="1" s="1"/>
  <c r="AE314" i="1"/>
  <c r="AF314" i="1" s="1"/>
  <c r="AE447" i="1"/>
  <c r="AF447" i="1" s="1"/>
  <c r="AG447" i="1" s="1"/>
  <c r="AH447" i="1" s="1"/>
  <c r="AE245" i="1"/>
  <c r="AF245" i="1" s="1"/>
  <c r="AG245" i="1" s="1"/>
  <c r="Y124" i="10"/>
  <c r="Z112" i="10"/>
  <c r="AA112" i="10" s="1"/>
  <c r="X13" i="21"/>
  <c r="X7" i="21"/>
  <c r="Y9" i="21"/>
  <c r="L252" i="1"/>
  <c r="L254" i="1" s="1"/>
  <c r="W223" i="1"/>
  <c r="Y383" i="1"/>
  <c r="L229" i="1"/>
  <c r="Y252" i="1"/>
  <c r="L241" i="1"/>
  <c r="L142" i="1"/>
  <c r="G398" i="1"/>
  <c r="G404" i="1" s="1"/>
  <c r="G405" i="1" s="1"/>
  <c r="R476" i="1"/>
  <c r="W299" i="1"/>
  <c r="O555" i="1"/>
  <c r="N221" i="1"/>
  <c r="N223" i="1" s="1"/>
  <c r="O300" i="1"/>
  <c r="O298" i="1" s="1"/>
  <c r="K555" i="1"/>
  <c r="S568" i="1"/>
  <c r="I400" i="1"/>
  <c r="V398" i="1"/>
  <c r="V404" i="1" s="1"/>
  <c r="S309" i="1"/>
  <c r="O571" i="1"/>
  <c r="K571" i="1"/>
  <c r="AX90" i="28"/>
  <c r="AX91" i="28"/>
  <c r="T199" i="1"/>
  <c r="T223" i="1"/>
  <c r="H398" i="1"/>
  <c r="H404" i="1" s="1"/>
  <c r="H405" i="1" s="1"/>
  <c r="H209" i="1" s="1"/>
  <c r="H220" i="1" s="1"/>
  <c r="H222" i="1" s="1"/>
  <c r="S477" i="1"/>
  <c r="W400" i="1"/>
  <c r="S572" i="1"/>
  <c r="O221" i="1"/>
  <c r="P300" i="1"/>
  <c r="P298" i="1" s="1"/>
  <c r="T540" i="1"/>
  <c r="T572" i="1" s="1"/>
  <c r="P295" i="1"/>
  <c r="O295" i="1"/>
  <c r="U523" i="1"/>
  <c r="U524" i="1"/>
  <c r="U546" i="1"/>
  <c r="U547" i="1" s="1"/>
  <c r="U558" i="1"/>
  <c r="S541" i="1"/>
  <c r="U521" i="1"/>
  <c r="Z187" i="1"/>
  <c r="AA311" i="1"/>
  <c r="AA312" i="1" s="1"/>
  <c r="W514" i="1"/>
  <c r="AB86" i="1"/>
  <c r="AA90" i="1"/>
  <c r="P448" i="1"/>
  <c r="N600" i="1"/>
  <c r="N643" i="1" s="1"/>
  <c r="M607" i="1"/>
  <c r="AA319" i="1"/>
  <c r="AA321" i="1" s="1"/>
  <c r="AA217" i="1" s="1"/>
  <c r="S584" i="1"/>
  <c r="S555" i="1"/>
  <c r="S571" i="1"/>
  <c r="U597" i="1"/>
  <c r="U81" i="1"/>
  <c r="U52" i="1"/>
  <c r="U131" i="1"/>
  <c r="V2" i="1"/>
  <c r="U11" i="1"/>
  <c r="AB366" i="1"/>
  <c r="AA362" i="1"/>
  <c r="AA363" i="1" s="1"/>
  <c r="V567" i="1"/>
  <c r="U569" i="1"/>
  <c r="U564" i="1"/>
  <c r="U562" i="1"/>
  <c r="U565" i="1"/>
  <c r="U563" i="1"/>
  <c r="E398" i="1"/>
  <c r="AB246" i="1"/>
  <c r="AA216" i="1"/>
  <c r="AG113" i="18" s="1"/>
  <c r="AA247" i="1"/>
  <c r="M572" i="1"/>
  <c r="M568" i="1"/>
  <c r="M554" i="1"/>
  <c r="N541" i="1"/>
  <c r="M643" i="1"/>
  <c r="M650" i="1" s="1"/>
  <c r="K503" i="1"/>
  <c r="K383" i="1"/>
  <c r="K255" i="1"/>
  <c r="F398" i="1"/>
  <c r="P576" i="1"/>
  <c r="P577" i="1" s="1"/>
  <c r="Q575" i="1"/>
  <c r="R577" i="1" s="1"/>
  <c r="Q576" i="1"/>
  <c r="D398" i="1"/>
  <c r="U538" i="1"/>
  <c r="U537" i="1"/>
  <c r="K212" i="1"/>
  <c r="V514" i="1"/>
  <c r="O604" i="1"/>
  <c r="O647" i="1" s="1"/>
  <c r="Y185" i="1"/>
  <c r="V516" i="1"/>
  <c r="V465" i="1"/>
  <c r="O601" i="1"/>
  <c r="O644" i="1" s="1"/>
  <c r="N502" i="1"/>
  <c r="N382" i="1"/>
  <c r="N228" i="1"/>
  <c r="U531" i="1"/>
  <c r="V528" i="1"/>
  <c r="U530" i="1"/>
  <c r="M252" i="1"/>
  <c r="M230" i="1"/>
  <c r="M229" i="1"/>
  <c r="M142" i="1"/>
  <c r="M241" i="1"/>
  <c r="V589" i="1"/>
  <c r="V585" i="1"/>
  <c r="I586" i="1"/>
  <c r="I510" i="1"/>
  <c r="AA93" i="1"/>
  <c r="AB85" i="1"/>
  <c r="N606" i="1"/>
  <c r="V299" i="1"/>
  <c r="Z306" i="1"/>
  <c r="Z190" i="1"/>
  <c r="N602" i="1"/>
  <c r="N645" i="1" s="1"/>
  <c r="P572" i="1"/>
  <c r="P568" i="1"/>
  <c r="P554" i="1"/>
  <c r="Q541" i="1"/>
  <c r="P541" i="1"/>
  <c r="S577" i="1"/>
  <c r="O605" i="1"/>
  <c r="P233" i="1"/>
  <c r="O232" i="1"/>
  <c r="T566" i="1"/>
  <c r="T556" i="1"/>
  <c r="T573" i="1" s="1"/>
  <c r="T547" i="1"/>
  <c r="N269" i="1"/>
  <c r="N180" i="1" s="1"/>
  <c r="O267" i="1"/>
  <c r="T348" i="1"/>
  <c r="T358" i="1" s="1"/>
  <c r="S347" i="1"/>
  <c r="S176" i="1"/>
  <c r="S177" i="1" s="1"/>
  <c r="S348" i="1"/>
  <c r="Z166" i="1"/>
  <c r="AF13" i="18" s="1"/>
  <c r="T559" i="1"/>
  <c r="P599" i="1"/>
  <c r="O212" i="1"/>
  <c r="AC264" i="1"/>
  <c r="AC215" i="1"/>
  <c r="P575" i="1"/>
  <c r="W465" i="1"/>
  <c r="M237" i="1"/>
  <c r="M332" i="1"/>
  <c r="M330" i="1" s="1"/>
  <c r="M181" i="1" s="1"/>
  <c r="M183" i="1" s="1"/>
  <c r="M197" i="1" s="1"/>
  <c r="R212" i="1"/>
  <c r="N603" i="1"/>
  <c r="H554" i="1"/>
  <c r="H571" i="1" s="1"/>
  <c r="H572" i="1" s="1"/>
  <c r="G555" i="1"/>
  <c r="G554" i="1" s="1"/>
  <c r="L584" i="1"/>
  <c r="L555" i="1"/>
  <c r="L571" i="1"/>
  <c r="AC257" i="1"/>
  <c r="AD257" i="1" s="1"/>
  <c r="S351" i="1"/>
  <c r="S341" i="1"/>
  <c r="S133" i="1"/>
  <c r="S354" i="1"/>
  <c r="S344" i="1"/>
  <c r="I571" i="1"/>
  <c r="I572" i="1" s="1"/>
  <c r="I584" i="1"/>
  <c r="AB317" i="1"/>
  <c r="AB315" i="1" s="1"/>
  <c r="S3190" i="16"/>
  <c r="HH71" i="5"/>
  <c r="HH40" i="5"/>
  <c r="HH84" i="5" s="1"/>
  <c r="BV5" i="28"/>
  <c r="BY37" i="5"/>
  <c r="S64" i="27"/>
  <c r="EX39" i="5"/>
  <c r="EX35" i="5"/>
  <c r="EX20" i="5"/>
  <c r="EX14" i="5"/>
  <c r="EX16" i="5"/>
  <c r="CB300" i="5"/>
  <c r="CA300" i="5"/>
  <c r="BZ300" i="5"/>
  <c r="BY300" i="5"/>
  <c r="BZ297" i="5"/>
  <c r="BY297" i="5"/>
  <c r="BZ296" i="5"/>
  <c r="BY296" i="5"/>
  <c r="BZ295" i="5"/>
  <c r="BY295" i="5"/>
  <c r="BZ294" i="5"/>
  <c r="BY294" i="5"/>
  <c r="BZ291" i="5"/>
  <c r="BY291" i="5"/>
  <c r="BZ286" i="5"/>
  <c r="BY286" i="5"/>
  <c r="BZ277" i="5"/>
  <c r="BZ272" i="5"/>
  <c r="BZ271" i="5"/>
  <c r="BZ270" i="5"/>
  <c r="BZ269" i="5"/>
  <c r="BZ263" i="5"/>
  <c r="BY263" i="5"/>
  <c r="BY265" i="5" s="1"/>
  <c r="BZ256" i="5"/>
  <c r="BY256" i="5"/>
  <c r="BZ209" i="5"/>
  <c r="BZ211" i="5" s="1"/>
  <c r="BY209" i="5"/>
  <c r="BY211" i="5" s="1"/>
  <c r="BZ206" i="5"/>
  <c r="BY206" i="5"/>
  <c r="CB201" i="5"/>
  <c r="BZ201" i="5"/>
  <c r="BY201" i="5"/>
  <c r="BZ184" i="5"/>
  <c r="BY184" i="5"/>
  <c r="BZ179" i="5"/>
  <c r="BY179" i="5"/>
  <c r="BZ138" i="5"/>
  <c r="BZ136" i="5"/>
  <c r="BY136" i="5"/>
  <c r="BZ135" i="5"/>
  <c r="AY104" i="28" s="1"/>
  <c r="BY135" i="5"/>
  <c r="AX104" i="28" s="1"/>
  <c r="BY131" i="5"/>
  <c r="BZ115" i="5"/>
  <c r="BY115" i="5"/>
  <c r="BZ114" i="5"/>
  <c r="BY114" i="5"/>
  <c r="BZ108" i="5"/>
  <c r="BY108" i="5"/>
  <c r="V32" i="29"/>
  <c r="BZ107" i="5"/>
  <c r="BY107" i="5"/>
  <c r="V33" i="29"/>
  <c r="BZ81" i="5"/>
  <c r="U33" i="29" s="1"/>
  <c r="BY81" i="5"/>
  <c r="T33" i="29" s="1"/>
  <c r="BY68" i="5"/>
  <c r="BY67" i="5"/>
  <c r="BZ54" i="5"/>
  <c r="BY54" i="5"/>
  <c r="BZ40" i="5"/>
  <c r="BZ36" i="5"/>
  <c r="FD36" i="5" s="1"/>
  <c r="BY36" i="5"/>
  <c r="BZ19" i="5"/>
  <c r="FD19" i="5" s="1"/>
  <c r="CC291" i="5"/>
  <c r="CC259" i="5"/>
  <c r="CC115" i="5"/>
  <c r="CC37" i="5"/>
  <c r="CC35" i="5"/>
  <c r="FA35" i="5" s="1"/>
  <c r="CC18" i="5"/>
  <c r="W9" i="29" s="1"/>
  <c r="S148" i="27"/>
  <c r="S142" i="27"/>
  <c r="S144" i="27" s="1"/>
  <c r="S137" i="27"/>
  <c r="S135" i="27"/>
  <c r="S154" i="27"/>
  <c r="S109" i="27"/>
  <c r="S159" i="27" s="1"/>
  <c r="S101" i="27"/>
  <c r="S100" i="27"/>
  <c r="S97" i="27"/>
  <c r="S96" i="27"/>
  <c r="S40" i="27"/>
  <c r="AS40" i="27" s="1"/>
  <c r="S39" i="27"/>
  <c r="AS39" i="27" s="1"/>
  <c r="S38" i="27"/>
  <c r="AS38" i="27" s="1"/>
  <c r="S18" i="27"/>
  <c r="S132" i="27" s="1"/>
  <c r="S10" i="27"/>
  <c r="S9" i="27"/>
  <c r="O8" i="21"/>
  <c r="S244" i="10"/>
  <c r="K149" i="25"/>
  <c r="J148" i="25"/>
  <c r="J147" i="25"/>
  <c r="J142" i="25"/>
  <c r="J143" i="25"/>
  <c r="F154" i="25"/>
  <c r="G154" i="25"/>
  <c r="H154" i="25"/>
  <c r="F155" i="25"/>
  <c r="G155" i="25"/>
  <c r="H155" i="25"/>
  <c r="F158" i="25"/>
  <c r="G158" i="25"/>
  <c r="H158" i="25"/>
  <c r="F159" i="25"/>
  <c r="G159" i="25"/>
  <c r="H159" i="25"/>
  <c r="F160" i="25"/>
  <c r="G160" i="25"/>
  <c r="H160" i="25"/>
  <c r="G153" i="25"/>
  <c r="F153" i="25"/>
  <c r="H153" i="25"/>
  <c r="E150" i="25"/>
  <c r="E145" i="25"/>
  <c r="F150" i="25"/>
  <c r="F145" i="25"/>
  <c r="I155" i="25"/>
  <c r="H150" i="25"/>
  <c r="G150" i="25"/>
  <c r="G145" i="25"/>
  <c r="H145" i="25"/>
  <c r="V3" i="26"/>
  <c r="U3" i="26"/>
  <c r="U185" i="18"/>
  <c r="V185" i="18"/>
  <c r="W185" i="18"/>
  <c r="X185" i="18"/>
  <c r="U191" i="18"/>
  <c r="V191" i="18"/>
  <c r="W191" i="18"/>
  <c r="Z185" i="18"/>
  <c r="Y185" i="18"/>
  <c r="D3369" i="16" l="1"/>
  <c r="BC3368" i="16"/>
  <c r="BC3369" i="16" s="1"/>
  <c r="C3371" i="16"/>
  <c r="Z3" i="18"/>
  <c r="V593" i="1"/>
  <c r="V587" i="1" s="1"/>
  <c r="AB30" i="18"/>
  <c r="X221" i="1"/>
  <c r="G3368" i="16" s="1"/>
  <c r="BF3368" i="16" s="1"/>
  <c r="AD119" i="18"/>
  <c r="AD118" i="18" s="1"/>
  <c r="AD7" i="18"/>
  <c r="AD25" i="18" s="1"/>
  <c r="Y143" i="1"/>
  <c r="AE21" i="18"/>
  <c r="L149" i="25"/>
  <c r="M149" i="25" s="1"/>
  <c r="N149" i="25" s="1"/>
  <c r="O149" i="25" s="1"/>
  <c r="P149" i="25" s="1"/>
  <c r="AB27" i="27"/>
  <c r="S357" i="1"/>
  <c r="S210" i="1" s="1"/>
  <c r="B42" i="30" s="1"/>
  <c r="B13" i="30" s="1"/>
  <c r="C13" i="30" s="1"/>
  <c r="D13" i="30" s="1"/>
  <c r="E13" i="30" s="1"/>
  <c r="S358" i="1"/>
  <c r="K143" i="25"/>
  <c r="AA22" i="27"/>
  <c r="Z22" i="27" s="1"/>
  <c r="AV22" i="27" s="1"/>
  <c r="BW21" i="28"/>
  <c r="FD40" i="5"/>
  <c r="K147" i="25"/>
  <c r="AA25" i="27"/>
  <c r="Z25" i="27" s="1"/>
  <c r="K142" i="25"/>
  <c r="AA21" i="27"/>
  <c r="Z21" i="27" s="1"/>
  <c r="AV21" i="27" s="1"/>
  <c r="K148" i="25"/>
  <c r="AA26" i="27"/>
  <c r="Z26" i="27" s="1"/>
  <c r="AV26" i="27" s="1"/>
  <c r="T245" i="10"/>
  <c r="O9" i="21"/>
  <c r="P9" i="21"/>
  <c r="CD137" i="5"/>
  <c r="FC131" i="5"/>
  <c r="T27" i="29"/>
  <c r="FC37" i="5"/>
  <c r="CD45" i="5"/>
  <c r="FC36" i="5"/>
  <c r="AY91" i="28"/>
  <c r="AY92" i="28"/>
  <c r="AY90" i="28"/>
  <c r="W70" i="27"/>
  <c r="W76" i="27" s="1"/>
  <c r="W69" i="27"/>
  <c r="W75" i="27" s="1"/>
  <c r="W105" i="27" s="1"/>
  <c r="W68" i="27"/>
  <c r="W74" i="27" s="1"/>
  <c r="W104" i="27" s="1"/>
  <c r="W110" i="27" s="1"/>
  <c r="W67" i="27"/>
  <c r="W42" i="27"/>
  <c r="W43" i="27"/>
  <c r="W44" i="27"/>
  <c r="Y294" i="1"/>
  <c r="Y292" i="1" s="1"/>
  <c r="S133" i="27"/>
  <c r="BY43" i="5"/>
  <c r="CD44" i="5" s="1"/>
  <c r="BZ43" i="5"/>
  <c r="BY185" i="5"/>
  <c r="V17" i="30"/>
  <c r="V18" i="30" s="1"/>
  <c r="BZ185" i="5"/>
  <c r="W17" i="30"/>
  <c r="W18" i="30" s="1"/>
  <c r="S223" i="1"/>
  <c r="T299" i="1"/>
  <c r="U32" i="29"/>
  <c r="W6" i="30"/>
  <c r="T32" i="29"/>
  <c r="V6" i="30"/>
  <c r="I45" i="30"/>
  <c r="I50" i="30"/>
  <c r="S200" i="1"/>
  <c r="W200" i="1"/>
  <c r="N3145" i="16"/>
  <c r="CA140" i="5"/>
  <c r="CA273" i="5"/>
  <c r="AZ93" i="28" s="1"/>
  <c r="S151" i="27"/>
  <c r="U135" i="27"/>
  <c r="U151" i="27" s="1"/>
  <c r="U153" i="27" s="1"/>
  <c r="U155" i="27" s="1"/>
  <c r="T137" i="27"/>
  <c r="U137" i="27" s="1"/>
  <c r="U200" i="1"/>
  <c r="V200" i="1"/>
  <c r="V219" i="1" s="1"/>
  <c r="O299" i="1"/>
  <c r="AH245" i="1"/>
  <c r="AG314" i="1"/>
  <c r="AG318" i="1"/>
  <c r="AH318" i="1" s="1"/>
  <c r="AF264" i="1"/>
  <c r="AF215" i="1"/>
  <c r="AG261" i="1"/>
  <c r="AA204" i="10"/>
  <c r="AB112" i="10"/>
  <c r="AA124" i="10"/>
  <c r="AA149" i="10"/>
  <c r="AE257" i="1"/>
  <c r="AF257" i="1" s="1"/>
  <c r="AE264" i="1"/>
  <c r="AE215" i="1"/>
  <c r="AC317" i="1"/>
  <c r="AC315" i="1" s="1"/>
  <c r="AC319" i="1" s="1"/>
  <c r="AC321" i="1" s="1"/>
  <c r="AC217" i="1" s="1"/>
  <c r="Z204" i="10"/>
  <c r="Z124" i="10"/>
  <c r="Z149" i="10"/>
  <c r="Z9" i="21"/>
  <c r="Y7" i="21"/>
  <c r="Y13" i="21"/>
  <c r="O160" i="25"/>
  <c r="L143" i="1"/>
  <c r="CC269" i="5"/>
  <c r="W45" i="29"/>
  <c r="W46" i="29" s="1"/>
  <c r="W25" i="29"/>
  <c r="M640" i="1"/>
  <c r="Y258" i="1"/>
  <c r="Y259" i="1" s="1"/>
  <c r="G400" i="1"/>
  <c r="G401" i="1" s="1"/>
  <c r="N199" i="1"/>
  <c r="N200" i="1" s="1"/>
  <c r="V400" i="1"/>
  <c r="H400" i="1"/>
  <c r="T200" i="1"/>
  <c r="O199" i="1"/>
  <c r="P200" i="1" s="1"/>
  <c r="O223" i="1"/>
  <c r="U559" i="1"/>
  <c r="T554" i="1"/>
  <c r="T555" i="1" s="1"/>
  <c r="Q577" i="1"/>
  <c r="Q299" i="1"/>
  <c r="P299" i="1"/>
  <c r="T568" i="1"/>
  <c r="W516" i="1"/>
  <c r="T541" i="1"/>
  <c r="U540" i="1"/>
  <c r="U572" i="1" s="1"/>
  <c r="U556" i="1"/>
  <c r="U573" i="1" s="1"/>
  <c r="AA3" i="18" s="1"/>
  <c r="V523" i="1"/>
  <c r="W521" i="1"/>
  <c r="V521" i="1"/>
  <c r="AB311" i="1"/>
  <c r="AB312" i="1" s="1"/>
  <c r="AB316" i="1" s="1"/>
  <c r="AA187" i="1"/>
  <c r="P605" i="1"/>
  <c r="AB319" i="1"/>
  <c r="AB321" i="1" s="1"/>
  <c r="AB217" i="1" s="1"/>
  <c r="L212" i="1"/>
  <c r="O648" i="1"/>
  <c r="X342" i="1"/>
  <c r="X174" i="1"/>
  <c r="W528" i="1"/>
  <c r="V530" i="1"/>
  <c r="P601" i="1"/>
  <c r="P644" i="1" s="1"/>
  <c r="AB216" i="1"/>
  <c r="AH113" i="18" s="1"/>
  <c r="AC246" i="1"/>
  <c r="AD246" i="1" s="1"/>
  <c r="AB247" i="1"/>
  <c r="U566" i="1"/>
  <c r="Q599" i="1"/>
  <c r="Q642" i="1" s="1"/>
  <c r="K591" i="1"/>
  <c r="Q448" i="1"/>
  <c r="AB93" i="1"/>
  <c r="AC85" i="1"/>
  <c r="AD85" i="1" s="1"/>
  <c r="I587" i="1"/>
  <c r="I585" i="1"/>
  <c r="I212" i="1"/>
  <c r="I220" i="1" s="1"/>
  <c r="I222" i="1" s="1"/>
  <c r="X352" i="1"/>
  <c r="X186" i="1"/>
  <c r="O606" i="1"/>
  <c r="P604" i="1"/>
  <c r="P647" i="1" s="1"/>
  <c r="M555" i="1"/>
  <c r="M584" i="1"/>
  <c r="M571" i="1"/>
  <c r="E404" i="1"/>
  <c r="E405" i="1" s="1"/>
  <c r="E400" i="1"/>
  <c r="E401" i="1" s="1"/>
  <c r="V558" i="1"/>
  <c r="N649" i="1"/>
  <c r="N229" i="1"/>
  <c r="N252" i="1"/>
  <c r="N230" i="1"/>
  <c r="N142" i="1"/>
  <c r="W535" i="1"/>
  <c r="V537" i="1"/>
  <c r="X345" i="1"/>
  <c r="X175" i="1"/>
  <c r="O600" i="1"/>
  <c r="O643" i="1" s="1"/>
  <c r="N607" i="1"/>
  <c r="S212" i="1"/>
  <c r="T576" i="1"/>
  <c r="T577" i="1" s="1"/>
  <c r="T575" i="1"/>
  <c r="V535" i="1"/>
  <c r="F404" i="1"/>
  <c r="F405" i="1" s="1"/>
  <c r="F400" i="1"/>
  <c r="F401" i="1" s="1"/>
  <c r="W567" i="1"/>
  <c r="V569" i="1"/>
  <c r="V564" i="1"/>
  <c r="V562" i="1"/>
  <c r="V565" i="1"/>
  <c r="V563" i="1"/>
  <c r="Y515" i="1"/>
  <c r="AA306" i="1"/>
  <c r="AA190" i="1"/>
  <c r="L503" i="1"/>
  <c r="L383" i="1"/>
  <c r="L255" i="1"/>
  <c r="P232" i="1"/>
  <c r="Q233" i="1"/>
  <c r="O603" i="1"/>
  <c r="M254" i="1"/>
  <c r="M143" i="1"/>
  <c r="N590" i="1"/>
  <c r="O269" i="1"/>
  <c r="O180" i="1" s="1"/>
  <c r="P267" i="1"/>
  <c r="P571" i="1"/>
  <c r="P584" i="1"/>
  <c r="P555" i="1"/>
  <c r="O602" i="1"/>
  <c r="O645" i="1" s="1"/>
  <c r="N646" i="1"/>
  <c r="P642" i="1"/>
  <c r="AB579" i="1"/>
  <c r="AA166" i="1"/>
  <c r="AG13" i="18" s="1"/>
  <c r="N332" i="1"/>
  <c r="N330" i="1" s="1"/>
  <c r="N181" i="1" s="1"/>
  <c r="N183" i="1" s="1"/>
  <c r="N197" i="1" s="1"/>
  <c r="O502" i="1"/>
  <c r="O382" i="1"/>
  <c r="O228" i="1"/>
  <c r="D404" i="1"/>
  <c r="D405" i="1" s="1"/>
  <c r="D400" i="1"/>
  <c r="D401" i="1" s="1"/>
  <c r="AB362" i="1"/>
  <c r="AB363" i="1" s="1"/>
  <c r="AC366" i="1"/>
  <c r="V597" i="1"/>
  <c r="V81" i="1"/>
  <c r="V52" i="1"/>
  <c r="W2" i="1"/>
  <c r="V131" i="1"/>
  <c r="V11" i="1"/>
  <c r="AA316" i="1"/>
  <c r="AB90" i="1"/>
  <c r="AC86" i="1"/>
  <c r="AD86" i="1" s="1"/>
  <c r="CC199" i="5"/>
  <c r="BZ70" i="5"/>
  <c r="BY138" i="5"/>
  <c r="AX103" i="28"/>
  <c r="HH51" i="5"/>
  <c r="HH91" i="5"/>
  <c r="BY40" i="5"/>
  <c r="FC40" i="5" s="1"/>
  <c r="BV17" i="28"/>
  <c r="BV14" i="28"/>
  <c r="BY70" i="5"/>
  <c r="FC70" i="5" s="1"/>
  <c r="BY38" i="5"/>
  <c r="FC38" i="5" s="1"/>
  <c r="BZ274" i="5"/>
  <c r="S289" i="10"/>
  <c r="S299" i="10" s="1"/>
  <c r="S30" i="27"/>
  <c r="CC182" i="5"/>
  <c r="BY118" i="5"/>
  <c r="S161" i="27"/>
  <c r="S150" i="27"/>
  <c r="BZ140" i="5"/>
  <c r="BZ118" i="5"/>
  <c r="BZ84" i="5"/>
  <c r="BY132" i="5"/>
  <c r="CC262" i="5"/>
  <c r="BZ265" i="5"/>
  <c r="BZ273" i="5"/>
  <c r="AY93" i="28" s="1"/>
  <c r="BY21" i="5"/>
  <c r="FC21" i="5" s="1"/>
  <c r="BZ21" i="5"/>
  <c r="BZ38" i="5"/>
  <c r="BZ51" i="5"/>
  <c r="S31" i="27"/>
  <c r="S34" i="27"/>
  <c r="S160" i="27" s="1"/>
  <c r="S37" i="27"/>
  <c r="S122" i="27"/>
  <c r="W125" i="27" s="1"/>
  <c r="S90" i="27"/>
  <c r="H161" i="25"/>
  <c r="CC104" i="5"/>
  <c r="F161" i="25"/>
  <c r="I160" i="25"/>
  <c r="H156" i="25"/>
  <c r="G161" i="25"/>
  <c r="F156" i="25"/>
  <c r="I150" i="25"/>
  <c r="I161" i="25" s="1"/>
  <c r="G156" i="25"/>
  <c r="I145" i="25"/>
  <c r="J160" i="25"/>
  <c r="W180" i="18"/>
  <c r="V180" i="18"/>
  <c r="U180" i="18"/>
  <c r="T180" i="18"/>
  <c r="S180" i="18"/>
  <c r="R180" i="18"/>
  <c r="Q180" i="18"/>
  <c r="P180" i="18"/>
  <c r="O180" i="18"/>
  <c r="N180" i="18"/>
  <c r="M180" i="18"/>
  <c r="L180" i="18"/>
  <c r="K180" i="18"/>
  <c r="J180" i="18"/>
  <c r="I180" i="18"/>
  <c r="H180" i="18"/>
  <c r="G180" i="18"/>
  <c r="F180" i="18"/>
  <c r="E180" i="18"/>
  <c r="D180" i="18"/>
  <c r="C180" i="18"/>
  <c r="C3375" i="16" l="1"/>
  <c r="BB3371" i="16"/>
  <c r="Z100" i="27"/>
  <c r="AV25" i="27"/>
  <c r="V220" i="1"/>
  <c r="V222" i="1" s="1"/>
  <c r="AB114" i="18"/>
  <c r="AB117" i="18" s="1"/>
  <c r="AA4" i="18"/>
  <c r="U575" i="1"/>
  <c r="D3371" i="16"/>
  <c r="B43" i="30"/>
  <c r="Z24" i="27"/>
  <c r="AV24" i="27" s="1"/>
  <c r="Z101" i="27"/>
  <c r="Z97" i="27"/>
  <c r="Z39" i="27"/>
  <c r="Z43" i="27" s="1"/>
  <c r="W162" i="27"/>
  <c r="X163" i="27"/>
  <c r="L148" i="25"/>
  <c r="M148" i="25" s="1"/>
  <c r="N148" i="25" s="1"/>
  <c r="O148" i="25" s="1"/>
  <c r="P148" i="25" s="1"/>
  <c r="Q148" i="25" s="1"/>
  <c r="R148" i="25" s="1"/>
  <c r="S148" i="25" s="1"/>
  <c r="AB26" i="27"/>
  <c r="L143" i="25"/>
  <c r="M143" i="25" s="1"/>
  <c r="N143" i="25" s="1"/>
  <c r="O143" i="25" s="1"/>
  <c r="P143" i="25" s="1"/>
  <c r="Q143" i="25" s="1"/>
  <c r="R143" i="25" s="1"/>
  <c r="S143" i="25" s="1"/>
  <c r="AB22" i="27"/>
  <c r="Z38" i="27"/>
  <c r="Z42" i="27" s="1"/>
  <c r="Z96" i="27"/>
  <c r="CD187" i="5"/>
  <c r="FD38" i="5"/>
  <c r="L142" i="25"/>
  <c r="M142" i="25" s="1"/>
  <c r="N142" i="25" s="1"/>
  <c r="O142" i="25" s="1"/>
  <c r="P142" i="25" s="1"/>
  <c r="Q142" i="25" s="1"/>
  <c r="AB21" i="27"/>
  <c r="X353" i="1"/>
  <c r="J145" i="25"/>
  <c r="AA20" i="27" s="1"/>
  <c r="AA23" i="27"/>
  <c r="Z23" i="27" s="1"/>
  <c r="L147" i="25"/>
  <c r="M147" i="25" s="1"/>
  <c r="N147" i="25" s="1"/>
  <c r="O147" i="25" s="1"/>
  <c r="AB25" i="27"/>
  <c r="W4" i="30"/>
  <c r="FD21" i="5"/>
  <c r="Y303" i="1"/>
  <c r="CH78" i="5"/>
  <c r="CG78" i="5" s="1"/>
  <c r="V4" i="30"/>
  <c r="W123" i="27"/>
  <c r="W79" i="27"/>
  <c r="W73" i="27"/>
  <c r="W103" i="27" s="1"/>
  <c r="Z294" i="1"/>
  <c r="Z292" i="1" s="1"/>
  <c r="Z303" i="1" s="1"/>
  <c r="W5" i="30"/>
  <c r="W7" i="30" s="1"/>
  <c r="BZ42" i="5"/>
  <c r="CA42" i="5"/>
  <c r="V5" i="30"/>
  <c r="V7" i="30" s="1"/>
  <c r="CB187" i="5"/>
  <c r="V137" i="27"/>
  <c r="I212" i="25" s="1"/>
  <c r="V135" i="27"/>
  <c r="V151" i="27" s="1"/>
  <c r="W27" i="29"/>
  <c r="W22" i="30"/>
  <c r="W19" i="30"/>
  <c r="X19" i="30"/>
  <c r="V22" i="30"/>
  <c r="J45" i="30"/>
  <c r="J50" i="30"/>
  <c r="S153" i="27"/>
  <c r="S155" i="27" s="1"/>
  <c r="CA141" i="5"/>
  <c r="CA266" i="5"/>
  <c r="CA278" i="5"/>
  <c r="CA279" i="5" s="1"/>
  <c r="V29" i="29"/>
  <c r="V31" i="29"/>
  <c r="BZ167" i="5"/>
  <c r="BZ173" i="5" s="1"/>
  <c r="BZ174" i="5" s="1"/>
  <c r="T29" i="29"/>
  <c r="T35" i="29" s="1"/>
  <c r="BY167" i="5"/>
  <c r="BW23" i="28"/>
  <c r="U29" i="29"/>
  <c r="U35" i="29" s="1"/>
  <c r="BW18" i="28"/>
  <c r="AH314" i="1"/>
  <c r="AG264" i="1"/>
  <c r="AH261" i="1"/>
  <c r="AG215" i="1"/>
  <c r="AG257" i="1"/>
  <c r="AE85" i="1"/>
  <c r="AD317" i="1"/>
  <c r="AD315" i="1" s="1"/>
  <c r="AD216" i="1"/>
  <c r="AJ113" i="18" s="1"/>
  <c r="AE246" i="1"/>
  <c r="AF246" i="1" s="1"/>
  <c r="AD247" i="1"/>
  <c r="AC362" i="1"/>
  <c r="AC363" i="1" s="1"/>
  <c r="AD366" i="1"/>
  <c r="AE86" i="1"/>
  <c r="AF86" i="1" s="1"/>
  <c r="AA150" i="10"/>
  <c r="AB124" i="10"/>
  <c r="AB204" i="10"/>
  <c r="AC112" i="10"/>
  <c r="AB149" i="10"/>
  <c r="AD90" i="1"/>
  <c r="Z13" i="21"/>
  <c r="Z7" i="21"/>
  <c r="Q149" i="25"/>
  <c r="P160" i="25"/>
  <c r="CC272" i="5"/>
  <c r="W54" i="29"/>
  <c r="W55" i="29" s="1"/>
  <c r="W29" i="26"/>
  <c r="Z54" i="29"/>
  <c r="O200" i="1"/>
  <c r="V559" i="1"/>
  <c r="AC90" i="1"/>
  <c r="U554" i="1"/>
  <c r="U555" i="1" s="1"/>
  <c r="N650" i="1"/>
  <c r="N640" i="1" s="1"/>
  <c r="T571" i="1"/>
  <c r="U576" i="1"/>
  <c r="U577" i="1" s="1"/>
  <c r="W558" i="1"/>
  <c r="W523" i="1"/>
  <c r="U541" i="1"/>
  <c r="U568" i="1"/>
  <c r="Z290" i="1"/>
  <c r="AC311" i="1"/>
  <c r="AD311" i="1" s="1"/>
  <c r="AB187" i="1"/>
  <c r="Y512" i="1"/>
  <c r="O590" i="1"/>
  <c r="X514" i="1"/>
  <c r="W597" i="1"/>
  <c r="W81" i="1"/>
  <c r="W52" i="1"/>
  <c r="W131" i="1"/>
  <c r="X2" i="1"/>
  <c r="W11" i="1"/>
  <c r="O332" i="1"/>
  <c r="O330" i="1" s="1"/>
  <c r="O181" i="1" s="1"/>
  <c r="O183" i="1" s="1"/>
  <c r="O197" i="1" s="1"/>
  <c r="R233" i="1"/>
  <c r="Q232" i="1"/>
  <c r="R448" i="1"/>
  <c r="V573" i="1"/>
  <c r="V547" i="1"/>
  <c r="Q605" i="1"/>
  <c r="Q648" i="1" s="1"/>
  <c r="P269" i="1"/>
  <c r="P180" i="1" s="1"/>
  <c r="Q267" i="1"/>
  <c r="P502" i="1"/>
  <c r="P382" i="1"/>
  <c r="P228" i="1"/>
  <c r="Q601" i="1"/>
  <c r="Q644" i="1" s="1"/>
  <c r="X210" i="1"/>
  <c r="AB306" i="1"/>
  <c r="AB190" i="1"/>
  <c r="P648" i="1"/>
  <c r="P602" i="1"/>
  <c r="M212" i="1"/>
  <c r="P606" i="1"/>
  <c r="P649" i="1" s="1"/>
  <c r="AC216" i="1"/>
  <c r="AI113" i="18" s="1"/>
  <c r="AC247" i="1"/>
  <c r="M503" i="1"/>
  <c r="M383" i="1"/>
  <c r="M255" i="1"/>
  <c r="AC579" i="1"/>
  <c r="AD579" i="1" s="1"/>
  <c r="AB166" i="1"/>
  <c r="P603" i="1"/>
  <c r="P646" i="1" s="1"/>
  <c r="L591" i="1"/>
  <c r="O649" i="1"/>
  <c r="W530" i="1"/>
  <c r="AC93" i="1"/>
  <c r="O230" i="1"/>
  <c r="O229" i="1"/>
  <c r="O252" i="1"/>
  <c r="O142" i="1"/>
  <c r="P212" i="1"/>
  <c r="O646" i="1"/>
  <c r="X516" i="1"/>
  <c r="Q604" i="1"/>
  <c r="Y276" i="1"/>
  <c r="Z254" i="1"/>
  <c r="R599" i="1"/>
  <c r="R642" i="1" s="1"/>
  <c r="V566" i="1"/>
  <c r="Z515" i="1"/>
  <c r="W569" i="1"/>
  <c r="W564" i="1"/>
  <c r="W562" i="1"/>
  <c r="X567" i="1"/>
  <c r="W565" i="1"/>
  <c r="W563" i="1"/>
  <c r="P600" i="1"/>
  <c r="P643" i="1" s="1"/>
  <c r="O607" i="1"/>
  <c r="W537" i="1"/>
  <c r="N254" i="1"/>
  <c r="N143" i="1"/>
  <c r="N145" i="1" s="1"/>
  <c r="N154" i="1" s="1"/>
  <c r="N158" i="1" s="1"/>
  <c r="N161" i="1" s="1"/>
  <c r="CB206" i="5"/>
  <c r="CB209" i="5"/>
  <c r="CB211" i="5" s="1"/>
  <c r="BZ71" i="5"/>
  <c r="BV18" i="28"/>
  <c r="BV19" i="28" s="1"/>
  <c r="BY188" i="5"/>
  <c r="BY122" i="5"/>
  <c r="CD124" i="5" s="1"/>
  <c r="BZ141" i="5"/>
  <c r="BY72" i="5"/>
  <c r="FC72" i="5" s="1"/>
  <c r="BY51" i="5"/>
  <c r="BY84" i="5" s="1"/>
  <c r="BY87" i="5" s="1"/>
  <c r="BV21" i="28"/>
  <c r="BY71" i="5"/>
  <c r="FC71" i="5" s="1"/>
  <c r="BZ87" i="5"/>
  <c r="BZ278" i="5"/>
  <c r="BZ279" i="5" s="1"/>
  <c r="BZ266" i="5"/>
  <c r="BZ122" i="5"/>
  <c r="BZ72" i="5"/>
  <c r="BZ188" i="5"/>
  <c r="I156" i="25"/>
  <c r="I138" i="25"/>
  <c r="K144" i="25"/>
  <c r="AB23" i="27" s="1"/>
  <c r="J155" i="25"/>
  <c r="K160" i="25"/>
  <c r="J150" i="25"/>
  <c r="BW37" i="5"/>
  <c r="FA37" i="5" s="1"/>
  <c r="AA3133" i="16"/>
  <c r="K3143" i="16"/>
  <c r="K3126" i="16"/>
  <c r="K3124" i="16"/>
  <c r="K3123" i="16" s="1"/>
  <c r="L3128" i="16" s="1"/>
  <c r="L3129" i="16" s="1"/>
  <c r="L3130" i="16" s="1"/>
  <c r="L3134" i="16" s="1"/>
  <c r="O3136" i="16" s="1"/>
  <c r="K3121" i="16"/>
  <c r="K3117" i="16"/>
  <c r="L3118" i="16" s="1"/>
  <c r="AE3113" i="16" s="1"/>
  <c r="BI18" i="28"/>
  <c r="BI16" i="28"/>
  <c r="BJ17" i="28" s="1"/>
  <c r="BI11" i="28"/>
  <c r="BI8" i="28"/>
  <c r="BI7" i="28"/>
  <c r="BW136" i="5"/>
  <c r="BW135" i="5"/>
  <c r="AW104" i="28" s="1"/>
  <c r="AW110" i="28"/>
  <c r="AW102" i="28"/>
  <c r="AW109" i="28" s="1"/>
  <c r="AW100" i="28"/>
  <c r="D3375" i="16" l="1"/>
  <c r="BC3371" i="16"/>
  <c r="AF85" i="1"/>
  <c r="Z40" i="27"/>
  <c r="Z44" i="27" s="1"/>
  <c r="AV23" i="27"/>
  <c r="E3371" i="16"/>
  <c r="AB3" i="18"/>
  <c r="J21" i="26"/>
  <c r="AH13" i="18"/>
  <c r="AD112" i="18"/>
  <c r="J156" i="25"/>
  <c r="Y514" i="1"/>
  <c r="Y517" i="1"/>
  <c r="O150" i="25"/>
  <c r="P147" i="25"/>
  <c r="Z20" i="27"/>
  <c r="AQ207" i="28"/>
  <c r="CE124" i="5"/>
  <c r="J138" i="25"/>
  <c r="W6" i="27" s="1"/>
  <c r="AA24" i="27"/>
  <c r="X185" i="1"/>
  <c r="X188" i="1" s="1"/>
  <c r="X372" i="1" s="1"/>
  <c r="Y372" i="1" s="1"/>
  <c r="Z372" i="1" s="1"/>
  <c r="AA372" i="1" s="1"/>
  <c r="AB372" i="1" s="1"/>
  <c r="X355" i="1"/>
  <c r="Y355" i="1"/>
  <c r="Z99" i="27"/>
  <c r="Z5" i="27"/>
  <c r="AV5" i="27" s="1"/>
  <c r="AA294" i="1"/>
  <c r="AA292" i="1" s="1"/>
  <c r="AA303" i="1" s="1"/>
  <c r="W80" i="27"/>
  <c r="W93" i="27" s="1"/>
  <c r="W111" i="27" s="1"/>
  <c r="W126" i="27"/>
  <c r="W127" i="27" s="1"/>
  <c r="G42" i="30"/>
  <c r="V13" i="30" s="1"/>
  <c r="W13" i="30" s="1"/>
  <c r="X13" i="30" s="1"/>
  <c r="I175" i="25"/>
  <c r="I206" i="25"/>
  <c r="W23" i="30"/>
  <c r="X23" i="30"/>
  <c r="K45" i="30"/>
  <c r="K50" i="30"/>
  <c r="V35" i="29"/>
  <c r="T6" i="27"/>
  <c r="U6" i="27"/>
  <c r="BY173" i="5"/>
  <c r="BY174" i="5" s="1"/>
  <c r="M3115" i="16"/>
  <c r="AB3134" i="16"/>
  <c r="M3135" i="16"/>
  <c r="BW19" i="28"/>
  <c r="AF247" i="1"/>
  <c r="AG246" i="1"/>
  <c r="AF216" i="1"/>
  <c r="AL113" i="18" s="1"/>
  <c r="AH215" i="1"/>
  <c r="AH264" i="1"/>
  <c r="AG86" i="1"/>
  <c r="Y45" i="14"/>
  <c r="AA19" i="7"/>
  <c r="Z50" i="26" s="1"/>
  <c r="AG85" i="1"/>
  <c r="AH257" i="1"/>
  <c r="AE317" i="1"/>
  <c r="AE315" i="1" s="1"/>
  <c r="AD166" i="1"/>
  <c r="AE579" i="1"/>
  <c r="AF579" i="1" s="1"/>
  <c r="AE216" i="1"/>
  <c r="AK113" i="18" s="1"/>
  <c r="AE247" i="1"/>
  <c r="AB150" i="10"/>
  <c r="Z45" i="14"/>
  <c r="AE311" i="1"/>
  <c r="AF311" i="1" s="1"/>
  <c r="AD187" i="1"/>
  <c r="AC204" i="10"/>
  <c r="AC149" i="10"/>
  <c r="AD112" i="10"/>
  <c r="AC124" i="10"/>
  <c r="AD319" i="1"/>
  <c r="AD321" i="1" s="1"/>
  <c r="AD217" i="1" s="1"/>
  <c r="AD312" i="1"/>
  <c r="AD362" i="1"/>
  <c r="AD363" i="1" s="1"/>
  <c r="AE366" i="1"/>
  <c r="AF366" i="1" s="1"/>
  <c r="AD93" i="1"/>
  <c r="R142" i="25"/>
  <c r="Q160" i="25"/>
  <c r="R149" i="25"/>
  <c r="S6" i="27"/>
  <c r="BU3" i="27"/>
  <c r="U571" i="1"/>
  <c r="V568" i="1"/>
  <c r="Y516" i="1"/>
  <c r="W572" i="1"/>
  <c r="V572" i="1"/>
  <c r="V541" i="1"/>
  <c r="O650" i="1"/>
  <c r="O640" i="1" s="1"/>
  <c r="X523" i="1"/>
  <c r="Y519" i="1"/>
  <c r="Y524" i="1" s="1"/>
  <c r="X521" i="1"/>
  <c r="W566" i="1"/>
  <c r="AC187" i="1"/>
  <c r="AC312" i="1"/>
  <c r="AA290" i="1"/>
  <c r="S448" i="1"/>
  <c r="S599" i="1"/>
  <c r="S642" i="1" s="1"/>
  <c r="O254" i="1"/>
  <c r="O143" i="1"/>
  <c r="O145" i="1" s="1"/>
  <c r="O154" i="1" s="1"/>
  <c r="O158" i="1" s="1"/>
  <c r="O161" i="1" s="1"/>
  <c r="Q602" i="1"/>
  <c r="Q645" i="1" s="1"/>
  <c r="R605" i="1"/>
  <c r="Y533" i="1"/>
  <c r="X537" i="1"/>
  <c r="N465" i="1"/>
  <c r="N164" i="1"/>
  <c r="AA515" i="1"/>
  <c r="P645" i="1"/>
  <c r="P650" i="1" s="1"/>
  <c r="P229" i="1"/>
  <c r="P230" i="1"/>
  <c r="P252" i="1"/>
  <c r="P142" i="1"/>
  <c r="Q502" i="1"/>
  <c r="Q382" i="1"/>
  <c r="Q228" i="1"/>
  <c r="X597" i="1"/>
  <c r="X81" i="1"/>
  <c r="X52" i="1"/>
  <c r="X131" i="1"/>
  <c r="Y2" i="1"/>
  <c r="X11" i="1"/>
  <c r="Z512" i="1"/>
  <c r="W573" i="1"/>
  <c r="Q606" i="1"/>
  <c r="Z383" i="1"/>
  <c r="Z503" i="1"/>
  <c r="Z591" i="1" s="1"/>
  <c r="Z252" i="1"/>
  <c r="AF21" i="18" s="1"/>
  <c r="Q603" i="1"/>
  <c r="Q646" i="1" s="1"/>
  <c r="M591" i="1"/>
  <c r="R601" i="1"/>
  <c r="R232" i="1"/>
  <c r="S233" i="1"/>
  <c r="X535" i="1"/>
  <c r="W559" i="1"/>
  <c r="AC166" i="1"/>
  <c r="P590" i="1"/>
  <c r="R267" i="1"/>
  <c r="Q269" i="1"/>
  <c r="Q180" i="1" s="1"/>
  <c r="W547" i="1"/>
  <c r="N503" i="1"/>
  <c r="N383" i="1"/>
  <c r="N387" i="1" s="1"/>
  <c r="N255" i="1"/>
  <c r="V576" i="1"/>
  <c r="V577" i="1" s="1"/>
  <c r="V164" i="1"/>
  <c r="AB14" i="18" s="1"/>
  <c r="V509" i="1"/>
  <c r="V165" i="1"/>
  <c r="AB15" i="18" s="1"/>
  <c r="V594" i="1"/>
  <c r="V575" i="1"/>
  <c r="R604" i="1"/>
  <c r="Y526" i="1"/>
  <c r="X530" i="1"/>
  <c r="P332" i="1"/>
  <c r="P330" i="1" s="1"/>
  <c r="P181" i="1" s="1"/>
  <c r="P183" i="1" s="1"/>
  <c r="P197" i="1" s="1"/>
  <c r="V571" i="1"/>
  <c r="Q600" i="1"/>
  <c r="Q643" i="1" s="1"/>
  <c r="P607" i="1"/>
  <c r="X564" i="1"/>
  <c r="X562" i="1"/>
  <c r="X565" i="1"/>
  <c r="X563" i="1"/>
  <c r="Y567" i="1"/>
  <c r="X569" i="1"/>
  <c r="Q647" i="1"/>
  <c r="X528" i="1"/>
  <c r="X558" i="1"/>
  <c r="BY123" i="5"/>
  <c r="AP208" i="28" s="1"/>
  <c r="AP207" i="28"/>
  <c r="L3115" i="16"/>
  <c r="BJ12" i="28"/>
  <c r="BJ13" i="28"/>
  <c r="BN14" i="28" s="1"/>
  <c r="BY91" i="5"/>
  <c r="BV23" i="28"/>
  <c r="BZ123" i="5"/>
  <c r="AQ208" i="28" s="1"/>
  <c r="CC181" i="5"/>
  <c r="J161" i="25"/>
  <c r="L144" i="25"/>
  <c r="K155" i="25"/>
  <c r="K145" i="25"/>
  <c r="AB20" i="27" s="1"/>
  <c r="L160" i="25"/>
  <c r="K150" i="25"/>
  <c r="AB24" i="27" s="1"/>
  <c r="BW172" i="5"/>
  <c r="BW104" i="5"/>
  <c r="BW103" i="5"/>
  <c r="BW97" i="5"/>
  <c r="BW184" i="5"/>
  <c r="U17" i="30" s="1"/>
  <c r="U18" i="30" s="1"/>
  <c r="Y66" i="1" a="1"/>
  <c r="E3375" i="16" l="1"/>
  <c r="BD3371" i="16"/>
  <c r="AJ13" i="18"/>
  <c r="L21" i="26"/>
  <c r="Z19" i="27"/>
  <c r="Z30" i="27" s="1"/>
  <c r="AV20" i="27"/>
  <c r="K21" i="26"/>
  <c r="AI13" i="18"/>
  <c r="AB4" i="18"/>
  <c r="F3371" i="16"/>
  <c r="AC3" i="18"/>
  <c r="AJ198" i="18"/>
  <c r="AD582" i="1"/>
  <c r="AA42" i="7" s="1"/>
  <c r="AA50" i="7" s="1"/>
  <c r="W575" i="1"/>
  <c r="W164" i="1"/>
  <c r="AC14" i="18" s="1"/>
  <c r="Z517" i="1"/>
  <c r="Y528" i="1"/>
  <c r="Y531" i="1"/>
  <c r="Y535" i="1"/>
  <c r="Y538" i="1"/>
  <c r="Y540" i="1"/>
  <c r="Y6" i="27"/>
  <c r="X6" i="27"/>
  <c r="Z4" i="27"/>
  <c r="AV4" i="27" s="1"/>
  <c r="Z95" i="27"/>
  <c r="P150" i="25"/>
  <c r="P161" i="25" s="1"/>
  <c r="Q147" i="25"/>
  <c r="AA3" i="27"/>
  <c r="AA19" i="27"/>
  <c r="AB294" i="1"/>
  <c r="AB292" i="1" s="1"/>
  <c r="AB303" i="1" s="1"/>
  <c r="U22" i="30"/>
  <c r="V19" i="30"/>
  <c r="V6" i="27"/>
  <c r="BY175" i="5"/>
  <c r="L3145" i="16"/>
  <c r="BZ175" i="5"/>
  <c r="M3145" i="16"/>
  <c r="W39" i="29"/>
  <c r="AF317" i="1"/>
  <c r="AF315" i="1" s="1"/>
  <c r="AF319" i="1" s="1"/>
  <c r="AF321" i="1" s="1"/>
  <c r="AF217" i="1" s="1"/>
  <c r="AH85" i="1"/>
  <c r="AA28" i="7"/>
  <c r="AJ191" i="18" s="1"/>
  <c r="V50" i="9"/>
  <c r="AA30" i="7"/>
  <c r="AJ194" i="18" s="1"/>
  <c r="AG311" i="1"/>
  <c r="AF187" i="1"/>
  <c r="AH86" i="1"/>
  <c r="AH246" i="1"/>
  <c r="AG216" i="1"/>
  <c r="AM113" i="18" s="1"/>
  <c r="AG247" i="1"/>
  <c r="AE93" i="1"/>
  <c r="AB19" i="7"/>
  <c r="AA50" i="26" s="1"/>
  <c r="AF166" i="1"/>
  <c r="AL13" i="18" s="1"/>
  <c r="AG579" i="1"/>
  <c r="AF362" i="1"/>
  <c r="AG366" i="1"/>
  <c r="AE319" i="1"/>
  <c r="AE321" i="1" s="1"/>
  <c r="AE217" i="1" s="1"/>
  <c r="AE312" i="1"/>
  <c r="AE306" i="1" s="1"/>
  <c r="AE187" i="1"/>
  <c r="AE362" i="1"/>
  <c r="AD124" i="10"/>
  <c r="AD204" i="10"/>
  <c r="AD149" i="10"/>
  <c r="AD316" i="1"/>
  <c r="AD190" i="1"/>
  <c r="AD306" i="1"/>
  <c r="AC150" i="10"/>
  <c r="AE166" i="1"/>
  <c r="AE90" i="1"/>
  <c r="S149" i="25"/>
  <c r="S160" i="25" s="1"/>
  <c r="R160" i="25"/>
  <c r="S142" i="25"/>
  <c r="W541" i="1"/>
  <c r="W568" i="1"/>
  <c r="P640" i="1"/>
  <c r="Y558" i="1"/>
  <c r="Y523" i="1"/>
  <c r="Z519" i="1"/>
  <c r="Z524" i="1" s="1"/>
  <c r="Y521" i="1"/>
  <c r="AB290" i="1"/>
  <c r="AC316" i="1"/>
  <c r="AC190" i="1"/>
  <c r="AC306" i="1"/>
  <c r="S605" i="1"/>
  <c r="S648" i="1" s="1"/>
  <c r="N392" i="1"/>
  <c r="N396" i="1" s="1"/>
  <c r="N390" i="1"/>
  <c r="V167" i="1"/>
  <c r="N591" i="1"/>
  <c r="N508" i="1"/>
  <c r="O503" i="1"/>
  <c r="O383" i="1"/>
  <c r="O387" i="1" s="1"/>
  <c r="O255" i="1"/>
  <c r="X566" i="1"/>
  <c r="R600" i="1"/>
  <c r="Q607" i="1"/>
  <c r="R603" i="1"/>
  <c r="AA512" i="1"/>
  <c r="P254" i="1"/>
  <c r="P143" i="1"/>
  <c r="P145" i="1" s="1"/>
  <c r="P154" i="1" s="1"/>
  <c r="P158" i="1" s="1"/>
  <c r="P161" i="1" s="1"/>
  <c r="Z533" i="1"/>
  <c r="Y537" i="1"/>
  <c r="R602" i="1"/>
  <c r="R645" i="1" s="1"/>
  <c r="S604" i="1"/>
  <c r="S647" i="1" s="1"/>
  <c r="O465" i="1"/>
  <c r="O164" i="1"/>
  <c r="Q590" i="1"/>
  <c r="Y597" i="1"/>
  <c r="Y52" i="1"/>
  <c r="Y81" i="1"/>
  <c r="Z2" i="1"/>
  <c r="Y11" i="1"/>
  <c r="Y131" i="1"/>
  <c r="V586" i="1"/>
  <c r="S232" i="1"/>
  <c r="T233" i="1"/>
  <c r="W576" i="1"/>
  <c r="W577" i="1" s="1"/>
  <c r="Z514" i="1"/>
  <c r="Q252" i="1"/>
  <c r="Q230" i="1"/>
  <c r="Q229" i="1"/>
  <c r="Q142" i="1"/>
  <c r="Q241" i="1"/>
  <c r="Z526" i="1"/>
  <c r="Z531" i="1" s="1"/>
  <c r="Y530" i="1"/>
  <c r="S601" i="1"/>
  <c r="S644" i="1" s="1"/>
  <c r="AB515" i="1"/>
  <c r="Y565" i="1"/>
  <c r="Y563" i="1"/>
  <c r="Y569" i="1"/>
  <c r="Y564" i="1"/>
  <c r="Y562" i="1"/>
  <c r="Z567" i="1"/>
  <c r="R647" i="1"/>
  <c r="R502" i="1"/>
  <c r="R382" i="1"/>
  <c r="R228" i="1"/>
  <c r="T599" i="1"/>
  <c r="T642" i="1" s="1"/>
  <c r="T448" i="1"/>
  <c r="U448" i="1" s="1"/>
  <c r="V448" i="1" s="1"/>
  <c r="W448" i="1" s="1"/>
  <c r="X448" i="1" s="1"/>
  <c r="Y448" i="1" s="1"/>
  <c r="Z448" i="1" s="1"/>
  <c r="AA448" i="1" s="1"/>
  <c r="AB448" i="1" s="1"/>
  <c r="AC448" i="1" s="1"/>
  <c r="AD448" i="1" s="1"/>
  <c r="AE448" i="1" s="1"/>
  <c r="AF448" i="1" s="1"/>
  <c r="AG448" i="1" s="1"/>
  <c r="AH448" i="1" s="1"/>
  <c r="Q332" i="1"/>
  <c r="Q330" i="1" s="1"/>
  <c r="Q181" i="1" s="1"/>
  <c r="Q183" i="1" s="1"/>
  <c r="Q197" i="1" s="1"/>
  <c r="R606" i="1"/>
  <c r="R649" i="1" s="1"/>
  <c r="S267" i="1"/>
  <c r="R269" i="1"/>
  <c r="R180" i="1" s="1"/>
  <c r="R644" i="1"/>
  <c r="Z143" i="1"/>
  <c r="Z258" i="1"/>
  <c r="Q649" i="1"/>
  <c r="Q650" i="1" s="1"/>
  <c r="Z516" i="1"/>
  <c r="R648" i="1"/>
  <c r="AC372" i="1"/>
  <c r="AD372" i="1" s="1"/>
  <c r="AE372" i="1" s="1"/>
  <c r="AF372" i="1" s="1"/>
  <c r="AG372" i="1" s="1"/>
  <c r="AH372" i="1" s="1"/>
  <c r="BV24" i="28"/>
  <c r="BY93" i="5"/>
  <c r="BY92" i="5"/>
  <c r="BV25" i="28" s="1"/>
  <c r="K156" i="25"/>
  <c r="K138" i="25"/>
  <c r="AB19" i="27" s="1"/>
  <c r="CC78" i="5"/>
  <c r="K161" i="25"/>
  <c r="M144" i="25"/>
  <c r="L155" i="25"/>
  <c r="L145" i="25"/>
  <c r="L150" i="25"/>
  <c r="M160" i="25"/>
  <c r="BW96" i="5"/>
  <c r="BW79" i="5"/>
  <c r="BW78" i="5"/>
  <c r="BX78" i="5" s="1"/>
  <c r="BW297" i="5"/>
  <c r="BW296" i="5"/>
  <c r="BW295" i="5"/>
  <c r="BW294" i="5"/>
  <c r="BU31" i="28"/>
  <c r="BU30" i="28"/>
  <c r="Q152" i="27"/>
  <c r="R148" i="27"/>
  <c r="Q148" i="27"/>
  <c r="R142" i="27"/>
  <c r="R144" i="27" s="1"/>
  <c r="S140" i="27" s="1"/>
  <c r="S139" i="27" s="1"/>
  <c r="K137" i="27"/>
  <c r="O137" i="27"/>
  <c r="R64" i="27"/>
  <c r="R109" i="27"/>
  <c r="R159" i="27" s="1"/>
  <c r="R101" i="27"/>
  <c r="R100" i="27"/>
  <c r="R97" i="27"/>
  <c r="R96" i="27"/>
  <c r="R40" i="27"/>
  <c r="R39" i="27"/>
  <c r="R38" i="27"/>
  <c r="R33" i="27"/>
  <c r="R24" i="27"/>
  <c r="R20" i="27"/>
  <c r="R19" i="27"/>
  <c r="R18" i="27"/>
  <c r="R37" i="27" s="1"/>
  <c r="R10" i="27"/>
  <c r="R9" i="27"/>
  <c r="AI134" i="27"/>
  <c r="AI133" i="27"/>
  <c r="AI132" i="27"/>
  <c r="AL132" i="27" s="1"/>
  <c r="AK133" i="27" s="1"/>
  <c r="Y68" i="29"/>
  <c r="Y65" i="29"/>
  <c r="Y20" i="29"/>
  <c r="Q22" i="29"/>
  <c r="P22" i="29"/>
  <c r="Y9" i="29"/>
  <c r="C3152" i="16"/>
  <c r="C3154" i="16" s="1"/>
  <c r="C3177" i="16" s="1"/>
  <c r="G3168" i="16"/>
  <c r="F3168" i="16"/>
  <c r="E3168" i="16"/>
  <c r="D3168" i="16"/>
  <c r="C3168" i="16"/>
  <c r="C3157" i="16"/>
  <c r="C3158" i="16" s="1"/>
  <c r="C3164" i="16" s="1"/>
  <c r="G3163" i="16"/>
  <c r="F3163" i="16"/>
  <c r="E3163" i="16"/>
  <c r="D3163" i="16"/>
  <c r="C3163" i="16"/>
  <c r="Z108" i="1" a="1"/>
  <c r="Y108" i="1" a="1"/>
  <c r="CM5" i="28" a="1"/>
  <c r="CM8" i="28" a="1"/>
  <c r="Y33" i="1" a="1"/>
  <c r="F3375" i="16" l="1"/>
  <c r="BE3371" i="16"/>
  <c r="AK13" i="18"/>
  <c r="M21" i="26"/>
  <c r="Z31" i="27"/>
  <c r="AV19" i="27"/>
  <c r="Z3" i="27"/>
  <c r="Z10" i="27" s="1"/>
  <c r="Z92" i="27"/>
  <c r="AC4" i="18"/>
  <c r="AK198" i="18"/>
  <c r="Y544" i="1"/>
  <c r="Y554" i="1"/>
  <c r="Y546" i="1"/>
  <c r="Z535" i="1"/>
  <c r="Z538" i="1"/>
  <c r="Z546" i="1" s="1"/>
  <c r="AA514" i="1"/>
  <c r="AA517" i="1"/>
  <c r="Z540" i="1"/>
  <c r="Q150" i="25"/>
  <c r="Q161" i="25" s="1"/>
  <c r="R147" i="25"/>
  <c r="AC294" i="1"/>
  <c r="AD294" i="1" s="1"/>
  <c r="AD292" i="1" s="1"/>
  <c r="AD303" i="1" s="1"/>
  <c r="AR19" i="27"/>
  <c r="V95" i="27"/>
  <c r="AR20" i="27"/>
  <c r="V99" i="27"/>
  <c r="AR24" i="27"/>
  <c r="U145" i="27"/>
  <c r="AR33" i="27"/>
  <c r="V43" i="27"/>
  <c r="AR39" i="27"/>
  <c r="V42" i="27"/>
  <c r="AR38" i="27"/>
  <c r="V44" i="27"/>
  <c r="AR40" i="27"/>
  <c r="R70" i="27"/>
  <c r="R76" i="27" s="1"/>
  <c r="V70" i="27"/>
  <c r="V76" i="27" s="1"/>
  <c r="V69" i="27"/>
  <c r="V75" i="27" s="1"/>
  <c r="V105" i="27" s="1"/>
  <c r="V68" i="27"/>
  <c r="V74" i="27" s="1"/>
  <c r="V104" i="27" s="1"/>
  <c r="V110" i="27" s="1"/>
  <c r="V67" i="27"/>
  <c r="V73" i="27" s="1"/>
  <c r="V103" i="27" s="1"/>
  <c r="V30" i="27"/>
  <c r="V31" i="27"/>
  <c r="Z39" i="29"/>
  <c r="AB3" i="27"/>
  <c r="V23" i="30"/>
  <c r="L45" i="30"/>
  <c r="L50" i="30"/>
  <c r="M50" i="30"/>
  <c r="M45" i="30"/>
  <c r="N45" i="30"/>
  <c r="N50" i="30"/>
  <c r="V92" i="27"/>
  <c r="V138" i="25" s="1"/>
  <c r="AG90" i="1"/>
  <c r="AG93" i="1"/>
  <c r="AE582" i="1"/>
  <c r="AB42" i="7" s="1"/>
  <c r="AB50" i="7" s="1"/>
  <c r="W50" i="9"/>
  <c r="AA45" i="14"/>
  <c r="AC19" i="7"/>
  <c r="AF93" i="1"/>
  <c r="AF90" i="1"/>
  <c r="AH317" i="1"/>
  <c r="AH315" i="1" s="1"/>
  <c r="AG317" i="1"/>
  <c r="AG315" i="1" s="1"/>
  <c r="AH311" i="1"/>
  <c r="AH187" i="1" s="1"/>
  <c r="AG187" i="1"/>
  <c r="AF363" i="1"/>
  <c r="AF312" i="1"/>
  <c r="AF316" i="1" s="1"/>
  <c r="AB45" i="14"/>
  <c r="AD19" i="7"/>
  <c r="AH216" i="1"/>
  <c r="AN113" i="18" s="1"/>
  <c r="AH247" i="1"/>
  <c r="AE190" i="1"/>
  <c r="AE363" i="1"/>
  <c r="AG362" i="1"/>
  <c r="AG363" i="1" s="1"/>
  <c r="AH366" i="1"/>
  <c r="AH362" i="1" s="1"/>
  <c r="AB28" i="7"/>
  <c r="AK191" i="18" s="1"/>
  <c r="AB30" i="7"/>
  <c r="AK194" i="18" s="1"/>
  <c r="AH579" i="1"/>
  <c r="AG166" i="1"/>
  <c r="AM13" i="18" s="1"/>
  <c r="AE316" i="1"/>
  <c r="AD150" i="10"/>
  <c r="X541" i="1"/>
  <c r="Q640" i="1"/>
  <c r="W571" i="1"/>
  <c r="X568" i="1"/>
  <c r="Z558" i="1"/>
  <c r="Y541" i="1"/>
  <c r="AA516" i="1"/>
  <c r="Z523" i="1"/>
  <c r="AA519" i="1"/>
  <c r="Z521" i="1"/>
  <c r="N398" i="1"/>
  <c r="N404" i="1" s="1"/>
  <c r="N405" i="1" s="1"/>
  <c r="N209" i="1" s="1"/>
  <c r="Y566" i="1"/>
  <c r="AC290" i="1"/>
  <c r="P465" i="1"/>
  <c r="P164" i="1"/>
  <c r="Z565" i="1"/>
  <c r="Z563" i="1"/>
  <c r="AA567" i="1"/>
  <c r="Z564" i="1"/>
  <c r="Z562" i="1"/>
  <c r="Z569" i="1"/>
  <c r="N589" i="1"/>
  <c r="N509" i="1"/>
  <c r="N165" i="1"/>
  <c r="N585" i="1"/>
  <c r="Q254" i="1"/>
  <c r="Q143" i="1"/>
  <c r="Q145" i="1" s="1"/>
  <c r="Q154" i="1" s="1"/>
  <c r="Q158" i="1" s="1"/>
  <c r="Q161" i="1" s="1"/>
  <c r="T267" i="1"/>
  <c r="S269" i="1"/>
  <c r="S180" i="1" s="1"/>
  <c r="R252" i="1"/>
  <c r="R230" i="1"/>
  <c r="R229" i="1"/>
  <c r="R142" i="1"/>
  <c r="R241" i="1"/>
  <c r="AA526" i="1"/>
  <c r="Z530" i="1"/>
  <c r="U233" i="1"/>
  <c r="T232" i="1"/>
  <c r="Z597" i="1"/>
  <c r="Z81" i="1"/>
  <c r="Z52" i="1"/>
  <c r="Z11" i="1"/>
  <c r="Z131" i="1"/>
  <c r="AA2" i="1"/>
  <c r="S600" i="1"/>
  <c r="R607" i="1"/>
  <c r="T605" i="1"/>
  <c r="U599" i="1"/>
  <c r="Z528" i="1"/>
  <c r="S502" i="1"/>
  <c r="S382" i="1"/>
  <c r="S228" i="1"/>
  <c r="T604" i="1"/>
  <c r="T647" i="1" s="1"/>
  <c r="P503" i="1"/>
  <c r="P383" i="1"/>
  <c r="P387" i="1" s="1"/>
  <c r="P255" i="1"/>
  <c r="S603" i="1"/>
  <c r="R643" i="1"/>
  <c r="O591" i="1"/>
  <c r="O508" i="1"/>
  <c r="Z259" i="1"/>
  <c r="R590" i="1"/>
  <c r="AC515" i="1"/>
  <c r="AD515" i="1" s="1"/>
  <c r="S602" i="1"/>
  <c r="S645" i="1" s="1"/>
  <c r="R646" i="1"/>
  <c r="R332" i="1"/>
  <c r="R330" i="1" s="1"/>
  <c r="R181" i="1" s="1"/>
  <c r="R183" i="1" s="1"/>
  <c r="R197" i="1" s="1"/>
  <c r="S606" i="1"/>
  <c r="S649" i="1" s="1"/>
  <c r="AB512" i="1"/>
  <c r="AA533" i="1"/>
  <c r="AA538" i="1" s="1"/>
  <c r="Z537" i="1"/>
  <c r="O392" i="1"/>
  <c r="O396" i="1" s="1"/>
  <c r="O390" i="1"/>
  <c r="T601" i="1"/>
  <c r="T644" i="1" s="1"/>
  <c r="H215" i="25"/>
  <c r="I181" i="25" s="1"/>
  <c r="L156" i="25"/>
  <c r="L138" i="25"/>
  <c r="L161" i="25"/>
  <c r="N144" i="25"/>
  <c r="O144" i="25" s="1"/>
  <c r="M155" i="25"/>
  <c r="M145" i="25"/>
  <c r="M150" i="25"/>
  <c r="R30" i="27"/>
  <c r="AL133" i="27"/>
  <c r="AK134" i="27" s="1"/>
  <c r="R150" i="27"/>
  <c r="R161" i="27"/>
  <c r="R31" i="27"/>
  <c r="R68" i="27"/>
  <c r="R74" i="27" s="1"/>
  <c r="R104" i="27" s="1"/>
  <c r="R110" i="27" s="1"/>
  <c r="R69" i="27"/>
  <c r="R75" i="27" s="1"/>
  <c r="R105" i="27" s="1"/>
  <c r="P137" i="27"/>
  <c r="R67" i="27"/>
  <c r="R132" i="27"/>
  <c r="R133" i="27"/>
  <c r="R90" i="27"/>
  <c r="R122" i="27"/>
  <c r="R34" i="27"/>
  <c r="R160" i="27" s="1"/>
  <c r="C3178" i="16"/>
  <c r="D3157" i="16"/>
  <c r="C3175" i="16"/>
  <c r="C3176" i="16"/>
  <c r="C3169" i="16"/>
  <c r="C3171" i="16" s="1"/>
  <c r="AA66" i="1" a="1"/>
  <c r="Z33" i="1" a="1"/>
  <c r="Z66" i="1" a="1"/>
  <c r="Z9" i="27" l="1"/>
  <c r="Z6" i="27"/>
  <c r="AV3" i="27"/>
  <c r="AL198" i="18"/>
  <c r="AM198" i="18"/>
  <c r="AG582" i="1"/>
  <c r="AD42" i="7" s="1"/>
  <c r="AD50" i="7" s="1"/>
  <c r="Z550" i="1"/>
  <c r="Z556" i="1"/>
  <c r="Z573" i="1" s="1"/>
  <c r="AF3" i="18" s="1"/>
  <c r="Y550" i="1"/>
  <c r="Y556" i="1"/>
  <c r="Y573" i="1" s="1"/>
  <c r="Z544" i="1"/>
  <c r="Z554" i="1"/>
  <c r="Y547" i="1"/>
  <c r="Y559" i="1"/>
  <c r="AA528" i="1"/>
  <c r="AA531" i="1"/>
  <c r="AA521" i="1"/>
  <c r="AA524" i="1"/>
  <c r="AA540" i="1"/>
  <c r="AB516" i="1"/>
  <c r="AB517" i="1"/>
  <c r="X550" i="1"/>
  <c r="X559" i="1"/>
  <c r="X547" i="1"/>
  <c r="S147" i="25"/>
  <c r="S150" i="25" s="1"/>
  <c r="R150" i="25"/>
  <c r="R161" i="25" s="1"/>
  <c r="AE294" i="1"/>
  <c r="AF294" i="1" s="1"/>
  <c r="AG294" i="1" s="1"/>
  <c r="AC292" i="1"/>
  <c r="AC303" i="1" s="1"/>
  <c r="U129" i="27"/>
  <c r="V79" i="27"/>
  <c r="V80" i="27" s="1"/>
  <c r="V93" i="27" s="1"/>
  <c r="V111" i="27" s="1"/>
  <c r="AH93" i="1"/>
  <c r="X50" i="9"/>
  <c r="AC30" i="7"/>
  <c r="AL194" i="18" s="1"/>
  <c r="AC28" i="7"/>
  <c r="AL191" i="18" s="1"/>
  <c r="AF582" i="1"/>
  <c r="AC42" i="7" s="1"/>
  <c r="AC50" i="7" s="1"/>
  <c r="Y50" i="9"/>
  <c r="AD30" i="7"/>
  <c r="AM194" i="18" s="1"/>
  <c r="AD28" i="7"/>
  <c r="AM191" i="18" s="1"/>
  <c r="AG319" i="1"/>
  <c r="AG321" i="1" s="1"/>
  <c r="AG217" i="1" s="1"/>
  <c r="AG312" i="1"/>
  <c r="AG316" i="1" s="1"/>
  <c r="AH319" i="1"/>
  <c r="AH321" i="1" s="1"/>
  <c r="AH217" i="1" s="1"/>
  <c r="AH312" i="1"/>
  <c r="AH316" i="1" s="1"/>
  <c r="AF306" i="1"/>
  <c r="AF190" i="1"/>
  <c r="AH363" i="1"/>
  <c r="AH166" i="1"/>
  <c r="AN13" i="18" s="1"/>
  <c r="AD290" i="1"/>
  <c r="AE290" i="1"/>
  <c r="AE515" i="1"/>
  <c r="AF515" i="1" s="1"/>
  <c r="AG515" i="1" s="1"/>
  <c r="AH515" i="1" s="1"/>
  <c r="O155" i="25"/>
  <c r="P144" i="25"/>
  <c r="O145" i="25"/>
  <c r="Y466" i="1"/>
  <c r="Y571" i="1"/>
  <c r="Z559" i="1"/>
  <c r="Y568" i="1"/>
  <c r="Y572" i="1"/>
  <c r="Z541" i="1"/>
  <c r="N400" i="1"/>
  <c r="AB514" i="1"/>
  <c r="AA523" i="1"/>
  <c r="AB519" i="1"/>
  <c r="AB524" i="1" s="1"/>
  <c r="AA558" i="1"/>
  <c r="N586" i="1"/>
  <c r="AB533" i="1"/>
  <c r="AB538" i="1" s="1"/>
  <c r="AA537" i="1"/>
  <c r="O589" i="1"/>
  <c r="O509" i="1"/>
  <c r="O165" i="1"/>
  <c r="O585" i="1"/>
  <c r="P591" i="1"/>
  <c r="P508" i="1"/>
  <c r="T600" i="1"/>
  <c r="T643" i="1" s="1"/>
  <c r="S607" i="1"/>
  <c r="Z547" i="1"/>
  <c r="O398" i="1"/>
  <c r="S643" i="1"/>
  <c r="V233" i="1"/>
  <c r="W233" i="1" s="1"/>
  <c r="X233" i="1" s="1"/>
  <c r="U232" i="1"/>
  <c r="Z566" i="1"/>
  <c r="U267" i="1"/>
  <c r="T269" i="1"/>
  <c r="T180" i="1" s="1"/>
  <c r="AA535" i="1"/>
  <c r="T606" i="1"/>
  <c r="V599" i="1"/>
  <c r="V642" i="1" s="1"/>
  <c r="T382" i="1"/>
  <c r="T502" i="1"/>
  <c r="T228" i="1"/>
  <c r="Z20" i="18" s="1"/>
  <c r="AC512" i="1"/>
  <c r="U604" i="1"/>
  <c r="U647" i="1" s="1"/>
  <c r="U642" i="1"/>
  <c r="AA597" i="1"/>
  <c r="AA52" i="1"/>
  <c r="AA11" i="1"/>
  <c r="AA131" i="1"/>
  <c r="AB2" i="1"/>
  <c r="AA81" i="1"/>
  <c r="T603" i="1"/>
  <c r="S332" i="1"/>
  <c r="S330" i="1" s="1"/>
  <c r="S181" i="1" s="1"/>
  <c r="S183" i="1" s="1"/>
  <c r="S197" i="1" s="1"/>
  <c r="T602" i="1"/>
  <c r="T645" i="1" s="1"/>
  <c r="R650" i="1"/>
  <c r="R640" i="1" s="1"/>
  <c r="U605" i="1"/>
  <c r="U648" i="1" s="1"/>
  <c r="Q503" i="1"/>
  <c r="Q383" i="1"/>
  <c r="Q387" i="1" s="1"/>
  <c r="Q255" i="1"/>
  <c r="AA565" i="1"/>
  <c r="AA563" i="1"/>
  <c r="AB567" i="1"/>
  <c r="AA569" i="1"/>
  <c r="AA562" i="1"/>
  <c r="AA564" i="1"/>
  <c r="Z276" i="1"/>
  <c r="AA254" i="1"/>
  <c r="Q465" i="1"/>
  <c r="Q164" i="1"/>
  <c r="S252" i="1"/>
  <c r="S229" i="1"/>
  <c r="S230" i="1"/>
  <c r="S142" i="1"/>
  <c r="S241" i="1"/>
  <c r="U601" i="1"/>
  <c r="U644" i="1" s="1"/>
  <c r="S646" i="1"/>
  <c r="T648" i="1"/>
  <c r="R254" i="1"/>
  <c r="R143" i="1"/>
  <c r="R145" i="1" s="1"/>
  <c r="R154" i="1" s="1"/>
  <c r="R158" i="1" s="1"/>
  <c r="R161" i="1" s="1"/>
  <c r="S590" i="1"/>
  <c r="AB526" i="1"/>
  <c r="AB531" i="1" s="1"/>
  <c r="AA530" i="1"/>
  <c r="P390" i="1"/>
  <c r="P388" i="1"/>
  <c r="P392" i="1"/>
  <c r="P396" i="1" s="1"/>
  <c r="M156" i="25"/>
  <c r="M138" i="25"/>
  <c r="M161" i="25"/>
  <c r="N150" i="25"/>
  <c r="O161" i="25" s="1"/>
  <c r="N160" i="25"/>
  <c r="N145" i="25"/>
  <c r="N155" i="25"/>
  <c r="Q137" i="27"/>
  <c r="R137" i="27" s="1"/>
  <c r="R79" i="27"/>
  <c r="C3179" i="16"/>
  <c r="C3180" i="16" s="1"/>
  <c r="E3157" i="16"/>
  <c r="D3158" i="16"/>
  <c r="AA108" i="1" a="1"/>
  <c r="AA33" i="1" a="1"/>
  <c r="AB66" i="1" a="1"/>
  <c r="H3371" i="16" l="1"/>
  <c r="AE3" i="18"/>
  <c r="AF4" i="18" s="1"/>
  <c r="I3371" i="16"/>
  <c r="G33" i="9"/>
  <c r="C3481" i="16"/>
  <c r="C3484" i="16" s="1"/>
  <c r="C3485" i="16" s="1"/>
  <c r="Z557" i="1" s="1"/>
  <c r="Z555" i="1"/>
  <c r="Y555" i="1"/>
  <c r="Z575" i="1"/>
  <c r="AA544" i="1"/>
  <c r="AA554" i="1"/>
  <c r="AA546" i="1"/>
  <c r="AB546" i="1"/>
  <c r="AC517" i="1"/>
  <c r="AB540" i="1"/>
  <c r="X573" i="1"/>
  <c r="AD3" i="18" s="1"/>
  <c r="X571" i="1"/>
  <c r="S161" i="25"/>
  <c r="AE292" i="1"/>
  <c r="AE303" i="1" s="1"/>
  <c r="H212" i="25"/>
  <c r="AF292" i="1"/>
  <c r="AF303" i="1" s="1"/>
  <c r="O50" i="30"/>
  <c r="O45" i="30"/>
  <c r="AE19" i="7"/>
  <c r="AC45" i="14"/>
  <c r="AH90" i="1"/>
  <c r="AG306" i="1"/>
  <c r="AG190" i="1"/>
  <c r="AH190" i="1"/>
  <c r="AH306" i="1"/>
  <c r="AF290" i="1"/>
  <c r="AH294" i="1"/>
  <c r="AD512" i="1"/>
  <c r="O138" i="25"/>
  <c r="O156" i="25"/>
  <c r="P155" i="25"/>
  <c r="Q144" i="25"/>
  <c r="P145" i="25"/>
  <c r="Z572" i="1"/>
  <c r="Y584" i="1"/>
  <c r="Z466" i="1" s="1"/>
  <c r="X212" i="1"/>
  <c r="AD115" i="18" s="1"/>
  <c r="AB558" i="1"/>
  <c r="Z568" i="1"/>
  <c r="AA541" i="1"/>
  <c r="AB523" i="1"/>
  <c r="AB521" i="1"/>
  <c r="AC519" i="1"/>
  <c r="AC524" i="1" s="1"/>
  <c r="R465" i="1"/>
  <c r="R164" i="1"/>
  <c r="S254" i="1"/>
  <c r="S143" i="1"/>
  <c r="S145" i="1" s="1"/>
  <c r="S154" i="1" s="1"/>
  <c r="S158" i="1" s="1"/>
  <c r="S161" i="1" s="1"/>
  <c r="V604" i="1"/>
  <c r="V647" i="1" s="1"/>
  <c r="T590" i="1"/>
  <c r="U603" i="1"/>
  <c r="U646" i="1" s="1"/>
  <c r="AC526" i="1"/>
  <c r="AC531" i="1" s="1"/>
  <c r="AB530" i="1"/>
  <c r="U602" i="1"/>
  <c r="U645" i="1" s="1"/>
  <c r="AB528" i="1"/>
  <c r="V601" i="1"/>
  <c r="V644" i="1" s="1"/>
  <c r="Q392" i="1"/>
  <c r="Q396" i="1" s="1"/>
  <c r="Q390" i="1"/>
  <c r="Q388" i="1"/>
  <c r="AB597" i="1"/>
  <c r="AB81" i="1"/>
  <c r="AB52" i="1"/>
  <c r="AB131" i="1"/>
  <c r="AB11" i="1"/>
  <c r="AC2" i="1"/>
  <c r="AD2" i="1" s="1"/>
  <c r="T332" i="1"/>
  <c r="T330" i="1" s="1"/>
  <c r="T181" i="1" s="1"/>
  <c r="T183" i="1" s="1"/>
  <c r="T197" i="1" s="1"/>
  <c r="U502" i="1"/>
  <c r="U382" i="1"/>
  <c r="U228" i="1"/>
  <c r="AA20" i="18" s="1"/>
  <c r="U600" i="1"/>
  <c r="T607" i="1"/>
  <c r="T252" i="1"/>
  <c r="Z21" i="18" s="1"/>
  <c r="T230" i="1"/>
  <c r="T229" i="1"/>
  <c r="T142" i="1"/>
  <c r="T241" i="1"/>
  <c r="O586" i="1"/>
  <c r="O510" i="1"/>
  <c r="P398" i="1"/>
  <c r="Q591" i="1"/>
  <c r="Q508" i="1"/>
  <c r="W599" i="1"/>
  <c r="W642" i="1" s="1"/>
  <c r="U269" i="1"/>
  <c r="U180" i="1" s="1"/>
  <c r="V267" i="1"/>
  <c r="Y233" i="1"/>
  <c r="Z233" i="1" s="1"/>
  <c r="AA233" i="1" s="1"/>
  <c r="AB233" i="1" s="1"/>
  <c r="AC233" i="1" s="1"/>
  <c r="AD233" i="1" s="1"/>
  <c r="AC533" i="1"/>
  <c r="AC538" i="1" s="1"/>
  <c r="AB537" i="1"/>
  <c r="U606" i="1"/>
  <c r="U649" i="1" s="1"/>
  <c r="O404" i="1"/>
  <c r="O400" i="1"/>
  <c r="R503" i="1"/>
  <c r="R383" i="1"/>
  <c r="R387" i="1" s="1"/>
  <c r="R255" i="1"/>
  <c r="T646" i="1"/>
  <c r="T649" i="1"/>
  <c r="AA566" i="1"/>
  <c r="V605" i="1"/>
  <c r="AC514" i="1"/>
  <c r="S650" i="1"/>
  <c r="S640" i="1" s="1"/>
  <c r="P589" i="1"/>
  <c r="P509" i="1"/>
  <c r="P165" i="1"/>
  <c r="P585" i="1"/>
  <c r="AB535" i="1"/>
  <c r="Z576" i="1"/>
  <c r="AA503" i="1"/>
  <c r="AA591" i="1" s="1"/>
  <c r="AA383" i="1"/>
  <c r="AA252" i="1"/>
  <c r="AG21" i="18" s="1"/>
  <c r="AB565" i="1"/>
  <c r="AB563" i="1"/>
  <c r="AC567" i="1"/>
  <c r="AD567" i="1" s="1"/>
  <c r="AB569" i="1"/>
  <c r="AB564" i="1"/>
  <c r="AB562" i="1"/>
  <c r="AC516" i="1"/>
  <c r="N156" i="25"/>
  <c r="N138" i="25"/>
  <c r="N161" i="25"/>
  <c r="D3164" i="16"/>
  <c r="D3169" i="16"/>
  <c r="D3176" i="16"/>
  <c r="D3178" i="16"/>
  <c r="D3175" i="16"/>
  <c r="F3157" i="16"/>
  <c r="E3158" i="16"/>
  <c r="AB108" i="1" a="1"/>
  <c r="AB33" i="1" a="1"/>
  <c r="BH3371" i="16" l="1"/>
  <c r="H3375" i="16"/>
  <c r="BG3371" i="16"/>
  <c r="AE4" i="18"/>
  <c r="AD4" i="18"/>
  <c r="I3375" i="16"/>
  <c r="AN198" i="18"/>
  <c r="X576" i="1"/>
  <c r="X577" i="1" s="1"/>
  <c r="G3371" i="16"/>
  <c r="I3494" i="16"/>
  <c r="AH582" i="1"/>
  <c r="AE42" i="7" s="1"/>
  <c r="AE50" i="7" s="1"/>
  <c r="AA547" i="1"/>
  <c r="AA556" i="1"/>
  <c r="AB550" i="1"/>
  <c r="AB556" i="1"/>
  <c r="AB573" i="1" s="1"/>
  <c r="AB544" i="1"/>
  <c r="AB554" i="1"/>
  <c r="AA550" i="1"/>
  <c r="AA559" i="1"/>
  <c r="AC540" i="1"/>
  <c r="AD514" i="1"/>
  <c r="AD517" i="1"/>
  <c r="AC546" i="1"/>
  <c r="X572" i="1"/>
  <c r="X555" i="1"/>
  <c r="X575" i="1"/>
  <c r="Y575" i="1"/>
  <c r="Z577" i="1" s="1"/>
  <c r="Y576" i="1"/>
  <c r="AG292" i="1"/>
  <c r="AG303" i="1" s="1"/>
  <c r="P50" i="30"/>
  <c r="P45" i="30"/>
  <c r="Q50" i="30"/>
  <c r="Q45" i="30"/>
  <c r="AE30" i="7"/>
  <c r="AN194" i="18" s="1"/>
  <c r="AE28" i="7"/>
  <c r="AN191" i="18" s="1"/>
  <c r="Z50" i="9"/>
  <c r="AG290" i="1"/>
  <c r="AH292" i="1"/>
  <c r="AH303" i="1" s="1"/>
  <c r="AD562" i="1"/>
  <c r="AD563" i="1"/>
  <c r="AD565" i="1"/>
  <c r="AE567" i="1"/>
  <c r="AF567" i="1" s="1"/>
  <c r="AD569" i="1"/>
  <c r="AD564" i="1"/>
  <c r="AD526" i="1"/>
  <c r="AD519" i="1"/>
  <c r="AD524" i="1" s="1"/>
  <c r="AC535" i="1"/>
  <c r="AD533" i="1"/>
  <c r="AD538" i="1" s="1"/>
  <c r="AD131" i="1"/>
  <c r="AE2" i="1"/>
  <c r="AF2" i="1" s="1"/>
  <c r="AD52" i="1"/>
  <c r="AD597" i="1"/>
  <c r="AD81" i="1"/>
  <c r="AD11" i="1"/>
  <c r="Z1" i="10" s="1"/>
  <c r="AE233" i="1"/>
  <c r="AF233" i="1" s="1"/>
  <c r="AG233" i="1" s="1"/>
  <c r="AH233" i="1" s="1"/>
  <c r="AE512" i="1"/>
  <c r="AD516" i="1"/>
  <c r="P138" i="25"/>
  <c r="P156" i="25"/>
  <c r="Q155" i="25"/>
  <c r="R144" i="25"/>
  <c r="Q145" i="25"/>
  <c r="O243" i="25"/>
  <c r="O139" i="25"/>
  <c r="O244" i="25" s="1"/>
  <c r="O174" i="25"/>
  <c r="Y212" i="1"/>
  <c r="AE115" i="18" s="1"/>
  <c r="Z584" i="1"/>
  <c r="AA466" i="1" s="1"/>
  <c r="Z571" i="1"/>
  <c r="AB559" i="1"/>
  <c r="AA571" i="1"/>
  <c r="AA572" i="1"/>
  <c r="AA568" i="1"/>
  <c r="AB541" i="1"/>
  <c r="T650" i="1"/>
  <c r="T640" i="1" s="1"/>
  <c r="AC523" i="1"/>
  <c r="AC521" i="1"/>
  <c r="AB547" i="1"/>
  <c r="S465" i="1"/>
  <c r="S164" i="1"/>
  <c r="U332" i="1"/>
  <c r="U330" i="1" s="1"/>
  <c r="U181" i="1" s="1"/>
  <c r="U183" i="1" s="1"/>
  <c r="U197" i="1" s="1"/>
  <c r="Q398" i="1"/>
  <c r="R392" i="1"/>
  <c r="R396" i="1" s="1"/>
  <c r="R390" i="1"/>
  <c r="R388" i="1"/>
  <c r="V606" i="1"/>
  <c r="P404" i="1"/>
  <c r="P400" i="1"/>
  <c r="U590" i="1"/>
  <c r="AC530" i="1"/>
  <c r="AC569" i="1"/>
  <c r="AC564" i="1"/>
  <c r="AC562" i="1"/>
  <c r="AC565" i="1"/>
  <c r="AC563" i="1"/>
  <c r="T254" i="1"/>
  <c r="T143" i="1"/>
  <c r="T145" i="1" s="1"/>
  <c r="T154" i="1" s="1"/>
  <c r="T158" i="1" s="1"/>
  <c r="T161" i="1" s="1"/>
  <c r="W605" i="1"/>
  <c r="W648" i="1" s="1"/>
  <c r="R591" i="1"/>
  <c r="R508" i="1"/>
  <c r="AC537" i="1"/>
  <c r="X599" i="1"/>
  <c r="X642" i="1" s="1"/>
  <c r="AC528" i="1"/>
  <c r="W604" i="1"/>
  <c r="V229" i="1"/>
  <c r="U252" i="1"/>
  <c r="AA21" i="18" s="1"/>
  <c r="U230" i="1"/>
  <c r="U229" i="1"/>
  <c r="U142" i="1"/>
  <c r="U241" i="1"/>
  <c r="AA143" i="1"/>
  <c r="AA258" i="1"/>
  <c r="V648" i="1"/>
  <c r="W601" i="1"/>
  <c r="V603" i="1"/>
  <c r="Q589" i="1"/>
  <c r="Q593" i="1" s="1"/>
  <c r="Q509" i="1"/>
  <c r="Q165" i="1"/>
  <c r="Q585" i="1"/>
  <c r="AB566" i="1"/>
  <c r="V600" i="1"/>
  <c r="V643" i="1" s="1"/>
  <c r="U607" i="1"/>
  <c r="AC597" i="1"/>
  <c r="AC81" i="1"/>
  <c r="AC52" i="1"/>
  <c r="AC131" i="1"/>
  <c r="AC11" i="1"/>
  <c r="S503" i="1"/>
  <c r="S383" i="1"/>
  <c r="S387" i="1" s="1"/>
  <c r="S255" i="1"/>
  <c r="V269" i="1"/>
  <c r="V180" i="1" s="1"/>
  <c r="W267" i="1"/>
  <c r="P586" i="1"/>
  <c r="P510" i="1"/>
  <c r="X502" i="1"/>
  <c r="X382" i="1"/>
  <c r="X142" i="1"/>
  <c r="AC558" i="1"/>
  <c r="U643" i="1"/>
  <c r="U650" i="1" s="1"/>
  <c r="V602" i="1"/>
  <c r="D3171" i="16"/>
  <c r="E3169" i="16"/>
  <c r="E3178" i="16"/>
  <c r="E3176" i="16"/>
  <c r="E3175" i="16"/>
  <c r="E3164" i="16"/>
  <c r="F3158" i="16"/>
  <c r="G3157" i="16"/>
  <c r="G3158" i="16" s="1"/>
  <c r="D3179" i="16"/>
  <c r="D3180" i="16" s="1"/>
  <c r="Y3133" i="16"/>
  <c r="Z3133" i="16"/>
  <c r="X3133" i="16"/>
  <c r="J3143" i="16"/>
  <c r="J3126" i="16"/>
  <c r="AC66" i="1" a="1"/>
  <c r="AC33" i="1" a="1"/>
  <c r="AC108" i="1" a="1"/>
  <c r="Z247" i="10" a="1"/>
  <c r="G3375" i="16" l="1"/>
  <c r="BF3371" i="16"/>
  <c r="K3371" i="16"/>
  <c r="BJ3371" i="16" s="1"/>
  <c r="AH3" i="18"/>
  <c r="AA555" i="1"/>
  <c r="AB555" i="1"/>
  <c r="AC550" i="1"/>
  <c r="AC556" i="1"/>
  <c r="AC573" i="1" s="1"/>
  <c r="AI3" i="18" s="1"/>
  <c r="AC544" i="1"/>
  <c r="AC554" i="1"/>
  <c r="AA573" i="1"/>
  <c r="AG3" i="18" s="1"/>
  <c r="AE514" i="1"/>
  <c r="AE517" i="1"/>
  <c r="AD528" i="1"/>
  <c r="AD531" i="1"/>
  <c r="AD546" i="1" s="1"/>
  <c r="AD540" i="1"/>
  <c r="Y577" i="1"/>
  <c r="AF597" i="1"/>
  <c r="AF11" i="1"/>
  <c r="AB1" i="10" s="1"/>
  <c r="AG2" i="1"/>
  <c r="AF131" i="1"/>
  <c r="AF81" i="1"/>
  <c r="AF52" i="1"/>
  <c r="AG567" i="1"/>
  <c r="AF565" i="1"/>
  <c r="AF564" i="1"/>
  <c r="AF563" i="1"/>
  <c r="AF562" i="1"/>
  <c r="AF569" i="1"/>
  <c r="AF512" i="1"/>
  <c r="AH290" i="1"/>
  <c r="AD537" i="1"/>
  <c r="AE533" i="1"/>
  <c r="AE538" i="1" s="1"/>
  <c r="AD535" i="1"/>
  <c r="AE562" i="1"/>
  <c r="AE563" i="1"/>
  <c r="AE565" i="1"/>
  <c r="AE569" i="1"/>
  <c r="AE564" i="1"/>
  <c r="Z261" i="10"/>
  <c r="Z274" i="10" s="1"/>
  <c r="Z107" i="10"/>
  <c r="Z225" i="10"/>
  <c r="AE519" i="1"/>
  <c r="AE524" i="1" s="1"/>
  <c r="AD523" i="1"/>
  <c r="AD558" i="1"/>
  <c r="AD521" i="1"/>
  <c r="AE516" i="1"/>
  <c r="AE131" i="1"/>
  <c r="AE52" i="1"/>
  <c r="AE597" i="1"/>
  <c r="AE11" i="1"/>
  <c r="AA1" i="10" s="1"/>
  <c r="AE81" i="1"/>
  <c r="AE526" i="1"/>
  <c r="AE531" i="1" s="1"/>
  <c r="AD530" i="1"/>
  <c r="AD566" i="1"/>
  <c r="Q138" i="25"/>
  <c r="Q156" i="25"/>
  <c r="R155" i="25"/>
  <c r="S144" i="25"/>
  <c r="R145" i="25"/>
  <c r="P174" i="25"/>
  <c r="P139" i="25"/>
  <c r="P244" i="25" s="1"/>
  <c r="P243" i="25"/>
  <c r="Z212" i="1"/>
  <c r="AF115" i="18" s="1"/>
  <c r="AA584" i="1"/>
  <c r="AB466" i="1" s="1"/>
  <c r="AB568" i="1"/>
  <c r="AB572" i="1"/>
  <c r="R398" i="1"/>
  <c r="R404" i="1" s="1"/>
  <c r="R405" i="1" s="1"/>
  <c r="R209" i="1" s="1"/>
  <c r="R220" i="1" s="1"/>
  <c r="R222" i="1" s="1"/>
  <c r="U640" i="1"/>
  <c r="X605" i="1"/>
  <c r="AC559" i="1"/>
  <c r="W269" i="1"/>
  <c r="W180" i="1" s="1"/>
  <c r="X267" i="1"/>
  <c r="Q404" i="1"/>
  <c r="Q400" i="1"/>
  <c r="X604" i="1"/>
  <c r="V332" i="1"/>
  <c r="V330" i="1" s="1"/>
  <c r="V181" i="1" s="1"/>
  <c r="V183" i="1" s="1"/>
  <c r="V197" i="1" s="1"/>
  <c r="Q586" i="1"/>
  <c r="Q510" i="1"/>
  <c r="W602" i="1"/>
  <c r="W645" i="1" s="1"/>
  <c r="X601" i="1"/>
  <c r="X644" i="1" s="1"/>
  <c r="Q594" i="1"/>
  <c r="Q587" i="1"/>
  <c r="Y599" i="1"/>
  <c r="Y642" i="1" s="1"/>
  <c r="T503" i="1"/>
  <c r="T383" i="1"/>
  <c r="T387" i="1" s="1"/>
  <c r="T255" i="1"/>
  <c r="W606" i="1"/>
  <c r="X590" i="1"/>
  <c r="S392" i="1"/>
  <c r="S396" i="1" s="1"/>
  <c r="S390" i="1"/>
  <c r="S388" i="1"/>
  <c r="W603" i="1"/>
  <c r="W646" i="1" s="1"/>
  <c r="V649" i="1"/>
  <c r="X229" i="1"/>
  <c r="S591" i="1"/>
  <c r="S508" i="1"/>
  <c r="W600" i="1"/>
  <c r="W643" i="1" s="1"/>
  <c r="V607" i="1"/>
  <c r="V646" i="1"/>
  <c r="U254" i="1"/>
  <c r="U143" i="1"/>
  <c r="U145" i="1" s="1"/>
  <c r="U154" i="1" s="1"/>
  <c r="U158" i="1" s="1"/>
  <c r="U161" i="1" s="1"/>
  <c r="V645" i="1"/>
  <c r="T465" i="1"/>
  <c r="T164" i="1"/>
  <c r="Z14" i="18" s="1"/>
  <c r="AC547" i="1"/>
  <c r="W644" i="1"/>
  <c r="AA259" i="1"/>
  <c r="W647" i="1"/>
  <c r="R589" i="1"/>
  <c r="R593" i="1" s="1"/>
  <c r="R509" i="1"/>
  <c r="R165" i="1"/>
  <c r="R585" i="1"/>
  <c r="AC566" i="1"/>
  <c r="E3171" i="16"/>
  <c r="E3179" i="16"/>
  <c r="E3180" i="16" s="1"/>
  <c r="G3169" i="16"/>
  <c r="G3164" i="16"/>
  <c r="G3175" i="16"/>
  <c r="G3178" i="16"/>
  <c r="G3176" i="16"/>
  <c r="F3169" i="16"/>
  <c r="F3175" i="16"/>
  <c r="F3178" i="16"/>
  <c r="F3176" i="16"/>
  <c r="F3164" i="16"/>
  <c r="J3124" i="16"/>
  <c r="J3123" i="16" s="1"/>
  <c r="K3128" i="16" s="1"/>
  <c r="K3129" i="16" s="1"/>
  <c r="K3130" i="16" s="1"/>
  <c r="J3121" i="16"/>
  <c r="J3117" i="16"/>
  <c r="K3118" i="16" s="1"/>
  <c r="AD3113" i="16" s="1"/>
  <c r="K3375" i="16" l="1"/>
  <c r="AI4" i="18"/>
  <c r="AH4" i="18"/>
  <c r="AG4" i="18"/>
  <c r="AA575" i="1"/>
  <c r="J3371" i="16"/>
  <c r="BI3371" i="16" s="1"/>
  <c r="AC575" i="1"/>
  <c r="L3371" i="16"/>
  <c r="BK3371" i="16" s="1"/>
  <c r="AD544" i="1"/>
  <c r="AD554" i="1"/>
  <c r="AD550" i="1"/>
  <c r="AD556" i="1"/>
  <c r="AD573" i="1" s="1"/>
  <c r="AC555" i="1"/>
  <c r="AB575" i="1"/>
  <c r="AB576" i="1"/>
  <c r="AA576" i="1"/>
  <c r="AA577" i="1" s="1"/>
  <c r="AF514" i="1"/>
  <c r="AF517" i="1"/>
  <c r="AE540" i="1"/>
  <c r="AE546" i="1"/>
  <c r="AF566" i="1"/>
  <c r="AG597" i="1"/>
  <c r="AG81" i="1"/>
  <c r="AG52" i="1"/>
  <c r="AH2" i="1"/>
  <c r="AG11" i="1"/>
  <c r="AC1" i="10" s="1"/>
  <c r="AC261" i="10" s="1"/>
  <c r="AC274" i="10" s="1"/>
  <c r="AG131" i="1"/>
  <c r="AG565" i="1"/>
  <c r="AG562" i="1"/>
  <c r="AH567" i="1"/>
  <c r="AG564" i="1"/>
  <c r="AG569" i="1"/>
  <c r="AG563" i="1"/>
  <c r="AF533" i="1"/>
  <c r="AF538" i="1" s="1"/>
  <c r="AE566" i="1"/>
  <c r="AF519" i="1"/>
  <c r="AF526" i="1"/>
  <c r="AD559" i="1"/>
  <c r="AF516" i="1"/>
  <c r="AG512" i="1"/>
  <c r="AC576" i="1"/>
  <c r="AD568" i="1"/>
  <c r="AB107" i="10"/>
  <c r="AB225" i="10"/>
  <c r="AB261" i="10"/>
  <c r="AB274" i="10" s="1"/>
  <c r="AE558" i="1"/>
  <c r="AE535" i="1"/>
  <c r="AE523" i="1"/>
  <c r="AE537" i="1"/>
  <c r="AE528" i="1"/>
  <c r="AE530" i="1"/>
  <c r="AE521" i="1"/>
  <c r="AC541" i="1"/>
  <c r="AA261" i="10"/>
  <c r="AA274" i="10" s="1"/>
  <c r="AA225" i="10"/>
  <c r="AA107" i="10"/>
  <c r="Z153" i="10"/>
  <c r="Z53" i="10"/>
  <c r="AD547" i="1"/>
  <c r="R138" i="25"/>
  <c r="R156" i="25"/>
  <c r="S155" i="25"/>
  <c r="S145" i="25"/>
  <c r="Q174" i="25"/>
  <c r="Q139" i="25"/>
  <c r="Q244" i="25" s="1"/>
  <c r="Q243" i="25"/>
  <c r="AA212" i="1"/>
  <c r="AG115" i="18" s="1"/>
  <c r="R400" i="1"/>
  <c r="AB584" i="1"/>
  <c r="AB212" i="1" s="1"/>
  <c r="AH115" i="18" s="1"/>
  <c r="AC568" i="1"/>
  <c r="AB571" i="1"/>
  <c r="AC572" i="1"/>
  <c r="V650" i="1"/>
  <c r="V640" i="1" s="1"/>
  <c r="U465" i="1"/>
  <c r="U164" i="1"/>
  <c r="AA14" i="18" s="1"/>
  <c r="Y604" i="1"/>
  <c r="Y647" i="1" s="1"/>
  <c r="X606" i="1"/>
  <c r="Y601" i="1"/>
  <c r="Y644" i="1" s="1"/>
  <c r="X647" i="1"/>
  <c r="X269" i="1"/>
  <c r="X180" i="1" s="1"/>
  <c r="Y267" i="1"/>
  <c r="Z599" i="1"/>
  <c r="Z642" i="1" s="1"/>
  <c r="W649" i="1"/>
  <c r="W650" i="1" s="1"/>
  <c r="Q167" i="1"/>
  <c r="W332" i="1"/>
  <c r="R594" i="1"/>
  <c r="R587" i="1"/>
  <c r="AA276" i="1"/>
  <c r="AB254" i="1"/>
  <c r="X600" i="1"/>
  <c r="X643" i="1" s="1"/>
  <c r="W607" i="1"/>
  <c r="X602" i="1"/>
  <c r="R586" i="1"/>
  <c r="R510" i="1"/>
  <c r="X603" i="1"/>
  <c r="S589" i="1"/>
  <c r="S593" i="1" s="1"/>
  <c r="S509" i="1"/>
  <c r="S165" i="1"/>
  <c r="S585" i="1"/>
  <c r="T390" i="1"/>
  <c r="T388" i="1"/>
  <c r="Z24" i="18" s="1"/>
  <c r="T392" i="1"/>
  <c r="T396" i="1" s="1"/>
  <c r="T591" i="1"/>
  <c r="T508" i="1"/>
  <c r="Y605" i="1"/>
  <c r="Y648" i="1" s="1"/>
  <c r="U503" i="1"/>
  <c r="U383" i="1"/>
  <c r="U387" i="1" s="1"/>
  <c r="U255" i="1"/>
  <c r="S398" i="1"/>
  <c r="X648" i="1"/>
  <c r="G3171" i="16"/>
  <c r="F3179" i="16"/>
  <c r="F3180" i="16" s="1"/>
  <c r="G3179" i="16"/>
  <c r="G3180" i="16" s="1"/>
  <c r="F3171" i="16"/>
  <c r="BG18" i="28"/>
  <c r="BF18" i="28"/>
  <c r="BH18" i="28"/>
  <c r="BG16" i="28"/>
  <c r="BF16" i="28"/>
  <c r="BH16" i="28"/>
  <c r="BI17" i="28" s="1"/>
  <c r="BG11" i="28"/>
  <c r="BF11" i="28"/>
  <c r="BH11" i="28"/>
  <c r="BH8" i="28"/>
  <c r="BH7" i="28"/>
  <c r="BL9" i="28" s="1"/>
  <c r="M3371" i="16" l="1"/>
  <c r="AJ3" i="18"/>
  <c r="AB577" i="1"/>
  <c r="L3375" i="16"/>
  <c r="J3375" i="16"/>
  <c r="AD555" i="1"/>
  <c r="AE544" i="1"/>
  <c r="AE554" i="1"/>
  <c r="AE550" i="1"/>
  <c r="AE556" i="1"/>
  <c r="AC577" i="1"/>
  <c r="AF528" i="1"/>
  <c r="AF531" i="1"/>
  <c r="AF521" i="1"/>
  <c r="AF524" i="1"/>
  <c r="AF540" i="1"/>
  <c r="AG514" i="1"/>
  <c r="AG517" i="1"/>
  <c r="AC107" i="10"/>
  <c r="AC153" i="10" s="1"/>
  <c r="AC225" i="10"/>
  <c r="AH563" i="1"/>
  <c r="AH565" i="1"/>
  <c r="AH569" i="1"/>
  <c r="AH562" i="1"/>
  <c r="AH564" i="1"/>
  <c r="AG566" i="1"/>
  <c r="AH131" i="1"/>
  <c r="AH11" i="1"/>
  <c r="AD1" i="10" s="1"/>
  <c r="AD261" i="10" s="1"/>
  <c r="AD274" i="10" s="1"/>
  <c r="AH597" i="1"/>
  <c r="AH52" i="1"/>
  <c r="AH81" i="1"/>
  <c r="AG533" i="1"/>
  <c r="AG538" i="1" s="1"/>
  <c r="AF537" i="1"/>
  <c r="AG526" i="1"/>
  <c r="AF530" i="1"/>
  <c r="AD584" i="1"/>
  <c r="AF558" i="1"/>
  <c r="AE547" i="1"/>
  <c r="AD572" i="1"/>
  <c r="AD575" i="1"/>
  <c r="AA7" i="7"/>
  <c r="AG519" i="1"/>
  <c r="AF523" i="1"/>
  <c r="AF535" i="1"/>
  <c r="AH512" i="1"/>
  <c r="AG516" i="1"/>
  <c r="AD541" i="1"/>
  <c r="AB153" i="10"/>
  <c r="AB53" i="10"/>
  <c r="AD576" i="1"/>
  <c r="AD577" i="1" s="1"/>
  <c r="AA153" i="10"/>
  <c r="AA53" i="10"/>
  <c r="Z67" i="10"/>
  <c r="Z85" i="10"/>
  <c r="AE559" i="1"/>
  <c r="S138" i="25"/>
  <c r="S156" i="25"/>
  <c r="R174" i="25"/>
  <c r="R243" i="25"/>
  <c r="R139" i="25"/>
  <c r="R244" i="25" s="1"/>
  <c r="AC584" i="1"/>
  <c r="AC571" i="1"/>
  <c r="AC466" i="1"/>
  <c r="W640" i="1"/>
  <c r="S594" i="1"/>
  <c r="S587" i="1"/>
  <c r="Y603" i="1"/>
  <c r="Y646" i="1" s="1"/>
  <c r="Z601" i="1"/>
  <c r="Z644" i="1" s="1"/>
  <c r="X646" i="1"/>
  <c r="Y606" i="1"/>
  <c r="Y649" i="1" s="1"/>
  <c r="AB503" i="1"/>
  <c r="AB591" i="1" s="1"/>
  <c r="AB383" i="1"/>
  <c r="AB252" i="1"/>
  <c r="AH21" i="18" s="1"/>
  <c r="AA599" i="1"/>
  <c r="AA642" i="1" s="1"/>
  <c r="X649" i="1"/>
  <c r="W330" i="1"/>
  <c r="W181" i="1" s="1"/>
  <c r="W183" i="1" s="1"/>
  <c r="W197" i="1" s="1"/>
  <c r="U390" i="1"/>
  <c r="U392" i="1"/>
  <c r="U396" i="1" s="1"/>
  <c r="U388" i="1"/>
  <c r="AA24" i="18" s="1"/>
  <c r="U591" i="1"/>
  <c r="U508" i="1"/>
  <c r="Z605" i="1"/>
  <c r="Z648" i="1" s="1"/>
  <c r="Z604" i="1"/>
  <c r="Z647" i="1" s="1"/>
  <c r="S404" i="1"/>
  <c r="S400" i="1"/>
  <c r="S586" i="1"/>
  <c r="S510" i="1"/>
  <c r="Y600" i="1"/>
  <c r="X607" i="1"/>
  <c r="T585" i="1"/>
  <c r="T589" i="1"/>
  <c r="T509" i="1"/>
  <c r="T165" i="1"/>
  <c r="Z15" i="18" s="1"/>
  <c r="T398" i="1"/>
  <c r="Y602" i="1"/>
  <c r="Z267" i="1"/>
  <c r="Y269" i="1"/>
  <c r="Y180" i="1" s="1"/>
  <c r="X645" i="1"/>
  <c r="R595" i="1"/>
  <c r="R167" i="1"/>
  <c r="BI12" i="28"/>
  <c r="BI13" i="28"/>
  <c r="BM14" i="28" s="1"/>
  <c r="C3172" i="16"/>
  <c r="C3181" i="16"/>
  <c r="BH17" i="28"/>
  <c r="BH12" i="28"/>
  <c r="BH13" i="28"/>
  <c r="BL14" i="28" s="1"/>
  <c r="AV110" i="28"/>
  <c r="AV102" i="28"/>
  <c r="AV109" i="28" s="1"/>
  <c r="AV100" i="28"/>
  <c r="BV144" i="5"/>
  <c r="M3375" i="16" l="1"/>
  <c r="BL3371" i="16"/>
  <c r="AA10" i="7"/>
  <c r="L5" i="26"/>
  <c r="T593" i="1"/>
  <c r="T587" i="1" s="1"/>
  <c r="Z30" i="18"/>
  <c r="AJ4" i="18"/>
  <c r="AE555" i="1"/>
  <c r="AE573" i="1"/>
  <c r="AK3" i="18" s="1"/>
  <c r="AK4" i="18" s="1"/>
  <c r="AF546" i="1"/>
  <c r="AF572" i="1" s="1"/>
  <c r="AF544" i="1"/>
  <c r="AF554" i="1"/>
  <c r="AG540" i="1"/>
  <c r="AH514" i="1"/>
  <c r="AH517" i="1"/>
  <c r="AG521" i="1"/>
  <c r="AG524" i="1"/>
  <c r="AG528" i="1"/>
  <c r="AG531" i="1"/>
  <c r="AC53" i="10"/>
  <c r="AC85" i="10" s="1"/>
  <c r="AA51" i="7"/>
  <c r="AD571" i="1"/>
  <c r="AH566" i="1"/>
  <c r="AD107" i="10"/>
  <c r="AD153" i="10" s="1"/>
  <c r="AD225" i="10"/>
  <c r="AH526" i="1"/>
  <c r="AH531" i="1" s="1"/>
  <c r="AG530" i="1"/>
  <c r="AE541" i="1"/>
  <c r="AH516" i="1"/>
  <c r="AH533" i="1"/>
  <c r="AG537" i="1"/>
  <c r="AE568" i="1"/>
  <c r="AG558" i="1"/>
  <c r="AH519" i="1"/>
  <c r="AG523" i="1"/>
  <c r="AG535" i="1"/>
  <c r="AE572" i="1"/>
  <c r="AB67" i="10"/>
  <c r="AB85" i="10"/>
  <c r="AC212" i="1"/>
  <c r="AI115" i="18" s="1"/>
  <c r="AD466" i="1"/>
  <c r="Z92" i="10"/>
  <c r="Z99" i="10" s="1"/>
  <c r="Z75" i="10"/>
  <c r="AE466" i="1"/>
  <c r="AD212" i="1"/>
  <c r="AA85" i="10"/>
  <c r="AA67" i="10"/>
  <c r="AE571" i="1"/>
  <c r="AE584" i="1"/>
  <c r="AF466" i="1" s="1"/>
  <c r="S243" i="25"/>
  <c r="S174" i="25"/>
  <c r="S139" i="25"/>
  <c r="S244" i="25" s="1"/>
  <c r="U398" i="1"/>
  <c r="U404" i="1" s="1"/>
  <c r="X650" i="1"/>
  <c r="X640" i="1" s="1"/>
  <c r="AB599" i="1"/>
  <c r="AA601" i="1"/>
  <c r="AA644" i="1" s="1"/>
  <c r="T510" i="1"/>
  <c r="T586" i="1"/>
  <c r="AB143" i="1"/>
  <c r="AB258" i="1"/>
  <c r="Z603" i="1"/>
  <c r="Z606" i="1"/>
  <c r="S595" i="1"/>
  <c r="S167" i="1"/>
  <c r="U585" i="1"/>
  <c r="U589" i="1"/>
  <c r="U509" i="1"/>
  <c r="U165" i="1"/>
  <c r="AA15" i="18" s="1"/>
  <c r="T404" i="1"/>
  <c r="T400" i="1"/>
  <c r="AA605" i="1"/>
  <c r="AA648" i="1" s="1"/>
  <c r="AA267" i="1"/>
  <c r="Z269" i="1"/>
  <c r="Z180" i="1" s="1"/>
  <c r="AA604" i="1"/>
  <c r="Z602" i="1"/>
  <c r="Z645" i="1" s="1"/>
  <c r="Z600" i="1"/>
  <c r="Y607" i="1"/>
  <c r="Y645" i="1"/>
  <c r="Y643" i="1"/>
  <c r="BV37" i="5"/>
  <c r="EZ37" i="5" s="1"/>
  <c r="AA36" i="7" l="1"/>
  <c r="BL3375" i="16"/>
  <c r="AA20" i="7"/>
  <c r="AA58" i="7"/>
  <c r="T594" i="1"/>
  <c r="T595" i="1" s="1"/>
  <c r="AJ115" i="18"/>
  <c r="AJ197" i="18"/>
  <c r="U593" i="1"/>
  <c r="U587" i="1" s="1"/>
  <c r="AA30" i="18"/>
  <c r="AE576" i="1"/>
  <c r="AE577" i="1" s="1"/>
  <c r="N3371" i="16"/>
  <c r="BM3371" i="16" s="1"/>
  <c r="AF547" i="1"/>
  <c r="AE575" i="1"/>
  <c r="AB7" i="7"/>
  <c r="AF556" i="1"/>
  <c r="AF550" i="1"/>
  <c r="AF559" i="1"/>
  <c r="AG544" i="1"/>
  <c r="AG554" i="1"/>
  <c r="AG546" i="1"/>
  <c r="AG559" i="1" s="1"/>
  <c r="AH521" i="1"/>
  <c r="AH524" i="1"/>
  <c r="AH540" i="1"/>
  <c r="AH535" i="1"/>
  <c r="AH538" i="1"/>
  <c r="AC67" i="10"/>
  <c r="AC75" i="10" s="1"/>
  <c r="AB51" i="7"/>
  <c r="AD53" i="10"/>
  <c r="AD85" i="10" s="1"/>
  <c r="AF541" i="1"/>
  <c r="AF571" i="1"/>
  <c r="AF568" i="1"/>
  <c r="AH523" i="1"/>
  <c r="AH558" i="1"/>
  <c r="AH530" i="1"/>
  <c r="AH537" i="1"/>
  <c r="AH528" i="1"/>
  <c r="AE212" i="1"/>
  <c r="AB75" i="10"/>
  <c r="AB92" i="10"/>
  <c r="AB99" i="10" s="1"/>
  <c r="AA75" i="10"/>
  <c r="AA92" i="10"/>
  <c r="AA99" i="10" s="1"/>
  <c r="U400" i="1"/>
  <c r="Y650" i="1"/>
  <c r="Y640" i="1" s="1"/>
  <c r="U510" i="1"/>
  <c r="U586" i="1"/>
  <c r="V510" i="1"/>
  <c r="AB604" i="1"/>
  <c r="AA600" i="1"/>
  <c r="Z607" i="1"/>
  <c r="Z643" i="1"/>
  <c r="AB605" i="1"/>
  <c r="AB648" i="1" s="1"/>
  <c r="AB601" i="1"/>
  <c r="AB644" i="1" s="1"/>
  <c r="AA603" i="1"/>
  <c r="AA646" i="1" s="1"/>
  <c r="AC599" i="1"/>
  <c r="AA606" i="1"/>
  <c r="AA649" i="1" s="1"/>
  <c r="Z646" i="1"/>
  <c r="AB267" i="1"/>
  <c r="AA269" i="1"/>
  <c r="AA180" i="1" s="1"/>
  <c r="AA602" i="1"/>
  <c r="AA647" i="1"/>
  <c r="Z649" i="1"/>
  <c r="AB259" i="1"/>
  <c r="AB642" i="1"/>
  <c r="BV184" i="5"/>
  <c r="T17" i="30" s="1"/>
  <c r="T18" i="30" s="1"/>
  <c r="BV80" i="5"/>
  <c r="BV297" i="5"/>
  <c r="BV296" i="5"/>
  <c r="BV295" i="5"/>
  <c r="BV294" i="5"/>
  <c r="AB10" i="7" l="1"/>
  <c r="M5" i="26"/>
  <c r="U594" i="1"/>
  <c r="V595" i="1" s="1"/>
  <c r="T167" i="1"/>
  <c r="AK115" i="18"/>
  <c r="AK197" i="18"/>
  <c r="N3375" i="16"/>
  <c r="AF555" i="1"/>
  <c r="AC51" i="7" s="1"/>
  <c r="AF573" i="1"/>
  <c r="AH544" i="1"/>
  <c r="AH554" i="1"/>
  <c r="AG550" i="1"/>
  <c r="AG556" i="1"/>
  <c r="AG573" i="1" s="1"/>
  <c r="AM3" i="18" s="1"/>
  <c r="AG547" i="1"/>
  <c r="AH546" i="1"/>
  <c r="T22" i="30"/>
  <c r="U19" i="30"/>
  <c r="AC92" i="10"/>
  <c r="AC99" i="10" s="1"/>
  <c r="AF584" i="1"/>
  <c r="AF212" i="1" s="1"/>
  <c r="AD67" i="10"/>
  <c r="AD75" i="10" s="1"/>
  <c r="AG572" i="1"/>
  <c r="AG541" i="1"/>
  <c r="AG568" i="1"/>
  <c r="AG571" i="1"/>
  <c r="AG584" i="1"/>
  <c r="AC642" i="1"/>
  <c r="AD599" i="1"/>
  <c r="AB602" i="1"/>
  <c r="AB645" i="1" s="1"/>
  <c r="AA645" i="1"/>
  <c r="AC605" i="1"/>
  <c r="AB276" i="1"/>
  <c r="AC254" i="1"/>
  <c r="AC267" i="1"/>
  <c r="AB269" i="1"/>
  <c r="AB180" i="1" s="1"/>
  <c r="Z650" i="1"/>
  <c r="Z640" i="1" s="1"/>
  <c r="AB606" i="1"/>
  <c r="AC604" i="1"/>
  <c r="AB600" i="1"/>
  <c r="AB643" i="1" s="1"/>
  <c r="AA607" i="1"/>
  <c r="AB603" i="1"/>
  <c r="AA643" i="1"/>
  <c r="AC601" i="1"/>
  <c r="AB647" i="1"/>
  <c r="BT31" i="28"/>
  <c r="BT30" i="28"/>
  <c r="BT22" i="28"/>
  <c r="BT17" i="28"/>
  <c r="BT16" i="28"/>
  <c r="BT10" i="28"/>
  <c r="BT7" i="28"/>
  <c r="BT6" i="28"/>
  <c r="AB58" i="7" l="1"/>
  <c r="BM3375" i="16"/>
  <c r="AB36" i="7"/>
  <c r="AB20" i="7"/>
  <c r="U167" i="1"/>
  <c r="U595" i="1"/>
  <c r="AL115" i="18"/>
  <c r="AL197" i="18"/>
  <c r="O3371" i="16"/>
  <c r="AL3" i="18"/>
  <c r="AG575" i="1"/>
  <c r="P3371" i="16"/>
  <c r="BO3371" i="16" s="1"/>
  <c r="AF575" i="1"/>
  <c r="AF576" i="1"/>
  <c r="AF577" i="1" s="1"/>
  <c r="AC7" i="7"/>
  <c r="AC10" i="7" s="1"/>
  <c r="BN3375" i="16" s="1"/>
  <c r="AH550" i="1"/>
  <c r="AH556" i="1"/>
  <c r="AH573" i="1" s="1"/>
  <c r="AN3" i="18" s="1"/>
  <c r="AN4" i="18" s="1"/>
  <c r="AG555" i="1"/>
  <c r="AD51" i="7" s="1"/>
  <c r="AG576" i="1"/>
  <c r="AD7" i="7"/>
  <c r="AD10" i="7" s="1"/>
  <c r="AH559" i="1"/>
  <c r="AH572" i="1"/>
  <c r="AH547" i="1"/>
  <c r="U23" i="30"/>
  <c r="AG466" i="1"/>
  <c r="AH571" i="1"/>
  <c r="AD92" i="10"/>
  <c r="AD99" i="10" s="1"/>
  <c r="AH541" i="1"/>
  <c r="AH568" i="1"/>
  <c r="AH466" i="1"/>
  <c r="AG212" i="1"/>
  <c r="AC647" i="1"/>
  <c r="AD604" i="1"/>
  <c r="AC644" i="1"/>
  <c r="AD601" i="1"/>
  <c r="AD642" i="1"/>
  <c r="AE599" i="1"/>
  <c r="AC269" i="1"/>
  <c r="AD267" i="1"/>
  <c r="AC648" i="1"/>
  <c r="AD605" i="1"/>
  <c r="AC600" i="1"/>
  <c r="AB607" i="1"/>
  <c r="AA650" i="1"/>
  <c r="AA640" i="1" s="1"/>
  <c r="AC603" i="1"/>
  <c r="AC606" i="1"/>
  <c r="AC503" i="1"/>
  <c r="AC591" i="1" s="1"/>
  <c r="AC383" i="1"/>
  <c r="AC252" i="1"/>
  <c r="AI21" i="18" s="1"/>
  <c r="AB646" i="1"/>
  <c r="AB649" i="1"/>
  <c r="AC602" i="1"/>
  <c r="BT5" i="28"/>
  <c r="BT14" i="28" s="1"/>
  <c r="AD36" i="7" l="1"/>
  <c r="BO3375" i="16"/>
  <c r="O3375" i="16"/>
  <c r="BN3371" i="16"/>
  <c r="AM115" i="18"/>
  <c r="AM197" i="18"/>
  <c r="AM4" i="18"/>
  <c r="AL4" i="18"/>
  <c r="AE7" i="7"/>
  <c r="AE10" i="7" s="1"/>
  <c r="Q3371" i="16"/>
  <c r="BP3371" i="16" s="1"/>
  <c r="P3375" i="16"/>
  <c r="AG577" i="1"/>
  <c r="AC36" i="7"/>
  <c r="AC58" i="7"/>
  <c r="AC20" i="7"/>
  <c r="AH575" i="1"/>
  <c r="AH576" i="1"/>
  <c r="AH577" i="1" s="1"/>
  <c r="AH555" i="1"/>
  <c r="AE51" i="7" s="1"/>
  <c r="AD20" i="7"/>
  <c r="AD58" i="7"/>
  <c r="AH584" i="1"/>
  <c r="AH212" i="1" s="1"/>
  <c r="AF599" i="1"/>
  <c r="AF642" i="1" s="1"/>
  <c r="AE642" i="1"/>
  <c r="AD648" i="1"/>
  <c r="AE605" i="1"/>
  <c r="AC649" i="1"/>
  <c r="AD606" i="1"/>
  <c r="AC646" i="1"/>
  <c r="AD603" i="1"/>
  <c r="AC645" i="1"/>
  <c r="AD602" i="1"/>
  <c r="AD645" i="1" s="1"/>
  <c r="AC643" i="1"/>
  <c r="AD600" i="1"/>
  <c r="AD644" i="1"/>
  <c r="AE601" i="1"/>
  <c r="AD647" i="1"/>
  <c r="AE604" i="1"/>
  <c r="AE267" i="1"/>
  <c r="AF267" i="1" s="1"/>
  <c r="AD269" i="1"/>
  <c r="AB650" i="1"/>
  <c r="AB640" i="1" s="1"/>
  <c r="AC143" i="1"/>
  <c r="AC258" i="1"/>
  <c r="AC607" i="1"/>
  <c r="Q147" i="27"/>
  <c r="Q142" i="27"/>
  <c r="Q144" i="27" s="1"/>
  <c r="R140" i="27" s="1"/>
  <c r="Q136" i="27"/>
  <c r="Q109" i="27"/>
  <c r="Q159" i="27" s="1"/>
  <c r="Q101" i="27"/>
  <c r="Q100" i="27"/>
  <c r="Q97" i="27"/>
  <c r="Q96" i="27"/>
  <c r="Q64" i="27"/>
  <c r="Q40" i="27"/>
  <c r="Q39" i="27"/>
  <c r="Q38" i="27"/>
  <c r="Q33" i="27"/>
  <c r="Q24" i="27"/>
  <c r="Q20" i="27"/>
  <c r="Q19" i="27"/>
  <c r="Q18" i="27"/>
  <c r="Q90" i="27" s="1"/>
  <c r="Q10" i="27"/>
  <c r="Q9" i="27"/>
  <c r="BS31" i="28"/>
  <c r="BS30" i="28"/>
  <c r="BR31" i="28"/>
  <c r="BR30" i="28"/>
  <c r="CM21" i="28" a="1"/>
  <c r="AE58" i="7" l="1"/>
  <c r="BP3375" i="16"/>
  <c r="AN115" i="18"/>
  <c r="AN197" i="18"/>
  <c r="AE36" i="7"/>
  <c r="Q3375" i="16"/>
  <c r="AE20" i="7"/>
  <c r="AQ19" i="27"/>
  <c r="U99" i="27"/>
  <c r="AQ24" i="27"/>
  <c r="U118" i="27"/>
  <c r="AQ33" i="27"/>
  <c r="U95" i="27"/>
  <c r="AQ20" i="27"/>
  <c r="U42" i="27"/>
  <c r="AQ38" i="27"/>
  <c r="U44" i="27"/>
  <c r="AQ40" i="27"/>
  <c r="U43" i="27"/>
  <c r="AQ39" i="27"/>
  <c r="U92" i="27"/>
  <c r="AB33" i="27"/>
  <c r="U70" i="27"/>
  <c r="U76" i="27" s="1"/>
  <c r="U69" i="27"/>
  <c r="U75" i="27" s="1"/>
  <c r="U105" i="27" s="1"/>
  <c r="U68" i="27"/>
  <c r="U74" i="27" s="1"/>
  <c r="U104" i="27" s="1"/>
  <c r="U110" i="27" s="1"/>
  <c r="U67" i="27"/>
  <c r="Q69" i="27"/>
  <c r="Q75" i="27" s="1"/>
  <c r="Q105" i="27" s="1"/>
  <c r="AF605" i="1"/>
  <c r="AF648" i="1" s="1"/>
  <c r="AG267" i="1"/>
  <c r="AF269" i="1"/>
  <c r="AF604" i="1"/>
  <c r="AF647" i="1" s="1"/>
  <c r="AF601" i="1"/>
  <c r="AG599" i="1"/>
  <c r="AG642" i="1" s="1"/>
  <c r="AE644" i="1"/>
  <c r="AE647" i="1"/>
  <c r="AE269" i="1"/>
  <c r="AC650" i="1"/>
  <c r="AC640" i="1" s="1"/>
  <c r="AE648" i="1"/>
  <c r="AC259" i="1"/>
  <c r="AD254" i="1" s="1"/>
  <c r="AD649" i="1"/>
  <c r="AE606" i="1"/>
  <c r="AD643" i="1"/>
  <c r="AE600" i="1"/>
  <c r="AD607" i="1"/>
  <c r="AE602" i="1"/>
  <c r="AD646" i="1"/>
  <c r="AE603" i="1"/>
  <c r="R136" i="27"/>
  <c r="Q154" i="27"/>
  <c r="Q70" i="27"/>
  <c r="Q76" i="27" s="1"/>
  <c r="Q150" i="27"/>
  <c r="Q133" i="27"/>
  <c r="Q161" i="27"/>
  <c r="U162" i="27" s="1"/>
  <c r="Q122" i="27"/>
  <c r="Q132" i="27"/>
  <c r="Q31" i="27"/>
  <c r="Q67" i="27"/>
  <c r="Q30" i="27"/>
  <c r="Q68" i="27"/>
  <c r="Q74" i="27" s="1"/>
  <c r="Q104" i="27" s="1"/>
  <c r="Q110" i="27" s="1"/>
  <c r="Q37" i="27"/>
  <c r="Q34" i="27"/>
  <c r="Q160" i="27" s="1"/>
  <c r="T129" i="27" l="1"/>
  <c r="U123" i="27"/>
  <c r="AL150" i="27"/>
  <c r="U73" i="27"/>
  <c r="U103" i="27" s="1"/>
  <c r="U79" i="27"/>
  <c r="U80" i="27" s="1"/>
  <c r="U93" i="27" s="1"/>
  <c r="U111" i="27" s="1"/>
  <c r="AC180" i="1"/>
  <c r="AF602" i="1"/>
  <c r="AG601" i="1"/>
  <c r="AG604" i="1"/>
  <c r="AG647" i="1" s="1"/>
  <c r="AH267" i="1"/>
  <c r="AH269" i="1" s="1"/>
  <c r="AG269" i="1"/>
  <c r="AH599" i="1"/>
  <c r="AG605" i="1"/>
  <c r="AG648" i="1" s="1"/>
  <c r="AE643" i="1"/>
  <c r="AF600" i="1"/>
  <c r="AF643" i="1" s="1"/>
  <c r="AF606" i="1"/>
  <c r="AF649" i="1" s="1"/>
  <c r="AF603" i="1"/>
  <c r="AF644" i="1"/>
  <c r="AC276" i="1"/>
  <c r="AD650" i="1"/>
  <c r="AD640" i="1" s="1"/>
  <c r="AE649" i="1"/>
  <c r="AE646" i="1"/>
  <c r="AE645" i="1"/>
  <c r="AE607" i="1"/>
  <c r="AD383" i="1"/>
  <c r="AD503" i="1"/>
  <c r="AD591" i="1" s="1"/>
  <c r="AD252" i="1"/>
  <c r="AJ21" i="18" s="1"/>
  <c r="R154" i="27"/>
  <c r="Q79" i="27"/>
  <c r="AH604" i="1" l="1"/>
  <c r="AH647" i="1" s="1"/>
  <c r="AG603" i="1"/>
  <c r="AG646" i="1" s="1"/>
  <c r="AH605" i="1"/>
  <c r="AH648" i="1" s="1"/>
  <c r="AH601" i="1"/>
  <c r="AH644" i="1" s="1"/>
  <c r="AG644" i="1"/>
  <c r="AG600" i="1"/>
  <c r="AG643" i="1" s="1"/>
  <c r="AF607" i="1"/>
  <c r="AF646" i="1"/>
  <c r="AG606" i="1"/>
  <c r="AG649" i="1" s="1"/>
  <c r="AG602" i="1"/>
  <c r="AE650" i="1"/>
  <c r="AE640" i="1" s="1"/>
  <c r="AH642" i="1"/>
  <c r="AF645" i="1"/>
  <c r="AD143" i="1"/>
  <c r="AD258" i="1"/>
  <c r="BR297" i="5"/>
  <c r="BR296" i="5"/>
  <c r="BR295" i="5"/>
  <c r="BR294" i="5"/>
  <c r="BQ297" i="5"/>
  <c r="BQ296" i="5"/>
  <c r="BQ295" i="5"/>
  <c r="BQ294" i="5"/>
  <c r="BO297" i="5"/>
  <c r="BO296" i="5"/>
  <c r="BO295" i="5"/>
  <c r="BO294" i="5"/>
  <c r="BN290" i="5"/>
  <c r="BN289" i="5"/>
  <c r="BN288" i="5"/>
  <c r="BN287" i="5"/>
  <c r="BM291" i="5"/>
  <c r="BN291" i="5" s="1"/>
  <c r="BT297" i="5"/>
  <c r="BT296" i="5"/>
  <c r="BT295" i="5"/>
  <c r="BT294" i="5"/>
  <c r="BW291" i="5"/>
  <c r="BX291" i="5" s="1"/>
  <c r="BV291" i="5"/>
  <c r="BR291" i="5"/>
  <c r="BS291" i="5" s="1"/>
  <c r="BQ291" i="5"/>
  <c r="BP297" i="5"/>
  <c r="BP296" i="5"/>
  <c r="BP295" i="5"/>
  <c r="BP294" i="5"/>
  <c r="BU297" i="5"/>
  <c r="BU296" i="5"/>
  <c r="BU295" i="5"/>
  <c r="BU294" i="5"/>
  <c r="BO291" i="5"/>
  <c r="BT291" i="5"/>
  <c r="BP291" i="5"/>
  <c r="BU291" i="5"/>
  <c r="BF286" i="5"/>
  <c r="BG286" i="5"/>
  <c r="BH286" i="5"/>
  <c r="BJ286" i="5"/>
  <c r="BK286" i="5"/>
  <c r="BL286" i="5"/>
  <c r="BM286" i="5"/>
  <c r="BO286" i="5"/>
  <c r="BP286" i="5"/>
  <c r="BQ286" i="5"/>
  <c r="BR286" i="5"/>
  <c r="BT286" i="5"/>
  <c r="BU286" i="5"/>
  <c r="BV286" i="5"/>
  <c r="BW286" i="5"/>
  <c r="BE286" i="5"/>
  <c r="BF256" i="5"/>
  <c r="BG256" i="5"/>
  <c r="BH256" i="5"/>
  <c r="BJ256" i="5"/>
  <c r="BK256" i="5"/>
  <c r="BL256" i="5"/>
  <c r="BM256" i="5"/>
  <c r="BO256" i="5"/>
  <c r="BP256" i="5"/>
  <c r="BQ256" i="5"/>
  <c r="BR256" i="5"/>
  <c r="BT256" i="5"/>
  <c r="BU256" i="5"/>
  <c r="BV256" i="5"/>
  <c r="BW256" i="5"/>
  <c r="BE256" i="5"/>
  <c r="AF650" i="1" l="1"/>
  <c r="AF640" i="1" s="1"/>
  <c r="AH606" i="1"/>
  <c r="AH649" i="1" s="1"/>
  <c r="AH600" i="1"/>
  <c r="AH643" i="1" s="1"/>
  <c r="AG607" i="1"/>
  <c r="AH603" i="1"/>
  <c r="AH646" i="1" s="1"/>
  <c r="AH602" i="1"/>
  <c r="AH645" i="1" s="1"/>
  <c r="AG645" i="1"/>
  <c r="AG650" i="1" s="1"/>
  <c r="AD259" i="1"/>
  <c r="CC39" i="5"/>
  <c r="D57" i="9"/>
  <c r="E57" i="9" s="1"/>
  <c r="F57" i="9" s="1"/>
  <c r="G57" i="9" s="1"/>
  <c r="H57" i="9" s="1"/>
  <c r="I57" i="9" s="1"/>
  <c r="J57" i="9" s="1"/>
  <c r="K57" i="9" s="1"/>
  <c r="L57" i="9" s="1"/>
  <c r="M57" i="9" s="1"/>
  <c r="N57" i="9" s="1"/>
  <c r="O57" i="9" s="1"/>
  <c r="P57" i="9" s="1"/>
  <c r="Q57" i="9" s="1"/>
  <c r="R57" i="9" s="1"/>
  <c r="S57" i="9" s="1"/>
  <c r="T57" i="9" s="1"/>
  <c r="U57" i="9" s="1"/>
  <c r="V57" i="9" s="1"/>
  <c r="W57" i="9" s="1"/>
  <c r="X57" i="9" s="1"/>
  <c r="Y57" i="9" s="1"/>
  <c r="Z57" i="9" s="1"/>
  <c r="FA39" i="5" l="1"/>
  <c r="AH650" i="1"/>
  <c r="AG640" i="1"/>
  <c r="AH607" i="1"/>
  <c r="AE254" i="1"/>
  <c r="AD276" i="1"/>
  <c r="AD180" i="1"/>
  <c r="W26" i="29"/>
  <c r="BW190" i="5"/>
  <c r="BV19" i="5"/>
  <c r="EZ19" i="5" s="1"/>
  <c r="BU19" i="5"/>
  <c r="EY19" i="5" s="1"/>
  <c r="BT19" i="5"/>
  <c r="EX19" i="5" s="1"/>
  <c r="B3100" i="16"/>
  <c r="B3099" i="16"/>
  <c r="B3098" i="16"/>
  <c r="E3090" i="16"/>
  <c r="F3090" i="16" s="1"/>
  <c r="AH640" i="1" l="1"/>
  <c r="AE383" i="1"/>
  <c r="AE252" i="1"/>
  <c r="AK21" i="18" s="1"/>
  <c r="AE503" i="1"/>
  <c r="AE591" i="1" s="1"/>
  <c r="O22" i="29"/>
  <c r="EX34" i="5"/>
  <c r="AX110" i="28" s="1"/>
  <c r="C3131" i="16"/>
  <c r="C3134" i="16" s="1"/>
  <c r="D3131" i="16"/>
  <c r="H3131" i="16"/>
  <c r="H3124" i="16"/>
  <c r="H3123" i="16" s="1"/>
  <c r="I3128" i="16" s="1"/>
  <c r="D3126" i="16"/>
  <c r="E3126" i="16"/>
  <c r="F3126" i="16"/>
  <c r="G3126" i="16"/>
  <c r="H3126" i="16"/>
  <c r="I3126" i="16"/>
  <c r="I3143" i="16"/>
  <c r="H3143" i="16"/>
  <c r="G3143" i="16"/>
  <c r="F3143" i="16"/>
  <c r="E3143" i="16"/>
  <c r="D3143" i="16"/>
  <c r="H3121" i="16"/>
  <c r="G3121" i="16"/>
  <c r="F3121" i="16"/>
  <c r="E3121" i="16"/>
  <c r="D3121" i="16"/>
  <c r="I3121" i="16"/>
  <c r="I3124" i="16"/>
  <c r="I3123" i="16" s="1"/>
  <c r="J3128" i="16" s="1"/>
  <c r="J3129" i="16" s="1"/>
  <c r="J3130" i="16" s="1"/>
  <c r="G3124" i="16"/>
  <c r="G3123" i="16" s="1"/>
  <c r="H3128" i="16" s="1"/>
  <c r="H3129" i="16" s="1"/>
  <c r="F3124" i="16"/>
  <c r="F3123" i="16" s="1"/>
  <c r="G3128" i="16" s="1"/>
  <c r="G3129" i="16" s="1"/>
  <c r="E3124" i="16"/>
  <c r="E3123" i="16" s="1"/>
  <c r="F3128" i="16" s="1"/>
  <c r="F3129" i="16" s="1"/>
  <c r="D3124" i="16"/>
  <c r="D3123" i="16" s="1"/>
  <c r="E3128" i="16" s="1"/>
  <c r="E3129" i="16" s="1"/>
  <c r="C3124" i="16"/>
  <c r="C3123" i="16" s="1"/>
  <c r="D3128" i="16" s="1"/>
  <c r="D3129" i="16" s="1"/>
  <c r="C3117" i="16"/>
  <c r="I3117" i="16"/>
  <c r="J3118" i="16" s="1"/>
  <c r="AC3113" i="16" s="1"/>
  <c r="H3117" i="16"/>
  <c r="G3117" i="16"/>
  <c r="F3117" i="16"/>
  <c r="E3117" i="16"/>
  <c r="D3117" i="16"/>
  <c r="BU171" i="5"/>
  <c r="BU170" i="5"/>
  <c r="BU169" i="5"/>
  <c r="BV169" i="5" s="1"/>
  <c r="BU165" i="5"/>
  <c r="BU144" i="5"/>
  <c r="AE143" i="1" l="1"/>
  <c r="AE258" i="1"/>
  <c r="BV165" i="5"/>
  <c r="BW165" i="5" s="1"/>
  <c r="BV171" i="5"/>
  <c r="BW171" i="5" s="1"/>
  <c r="I3131" i="16"/>
  <c r="BV170" i="5"/>
  <c r="J3131" i="16" s="1"/>
  <c r="J3134" i="16" s="1"/>
  <c r="E3130" i="16"/>
  <c r="H3130" i="16"/>
  <c r="H3134" i="16" s="1"/>
  <c r="D3130" i="16"/>
  <c r="D3134" i="16" s="1"/>
  <c r="F3130" i="16"/>
  <c r="G3130" i="16"/>
  <c r="G3118" i="16"/>
  <c r="Z3113" i="16" s="1"/>
  <c r="I3129" i="16"/>
  <c r="I3130" i="16" s="1"/>
  <c r="F3118" i="16"/>
  <c r="Y3113" i="16" s="1"/>
  <c r="H3118" i="16"/>
  <c r="AA3113" i="16" s="1"/>
  <c r="D3118" i="16"/>
  <c r="W3113" i="16" s="1"/>
  <c r="I3118" i="16"/>
  <c r="AB3113" i="16" s="1"/>
  <c r="E3118" i="16"/>
  <c r="X3113" i="16" s="1"/>
  <c r="D3001" i="16"/>
  <c r="AT110" i="28"/>
  <c r="AU110" i="28"/>
  <c r="Z3134" i="16" l="1"/>
  <c r="AE259" i="1"/>
  <c r="AF254" i="1" s="1"/>
  <c r="X3134" i="16"/>
  <c r="BW170" i="5"/>
  <c r="K3131" i="16" s="1"/>
  <c r="K3134" i="16" s="1"/>
  <c r="I3134" i="16"/>
  <c r="BQ17" i="28"/>
  <c r="BR26" i="28"/>
  <c r="BR22" i="28"/>
  <c r="BR16" i="28"/>
  <c r="BR7" i="28"/>
  <c r="BR6" i="28"/>
  <c r="BS16" i="28"/>
  <c r="BQ16" i="28"/>
  <c r="BU263" i="5"/>
  <c r="BU184" i="5"/>
  <c r="BU80" i="5"/>
  <c r="BS10" i="28"/>
  <c r="BU37" i="5"/>
  <c r="BS22" i="28"/>
  <c r="BS7" i="28"/>
  <c r="BS6" i="28"/>
  <c r="AU102" i="28"/>
  <c r="AU109" i="28" s="1"/>
  <c r="AU138" i="28" s="1"/>
  <c r="AU100" i="28"/>
  <c r="BG17" i="28"/>
  <c r="BG12" i="28"/>
  <c r="BG7" i="28"/>
  <c r="CM22" i="28" a="1"/>
  <c r="CM12" i="28" a="1"/>
  <c r="CM7" i="28" a="1"/>
  <c r="CM6" i="28" a="1"/>
  <c r="CM24" i="28" a="1"/>
  <c r="CM18" i="28" a="1"/>
  <c r="CM23" i="28" a="1"/>
  <c r="CM11" i="28" a="1"/>
  <c r="BU185" i="5" l="1"/>
  <c r="S17" i="30"/>
  <c r="S18" i="30" s="1"/>
  <c r="L3135" i="16"/>
  <c r="N3136" i="16"/>
  <c r="K3136" i="16"/>
  <c r="M3136" i="16"/>
  <c r="BK9" i="28"/>
  <c r="J3135" i="16"/>
  <c r="L3136" i="16"/>
  <c r="K3135" i="16"/>
  <c r="AE180" i="1"/>
  <c r="AE276" i="1"/>
  <c r="AF383" i="1"/>
  <c r="AF252" i="1"/>
  <c r="AL21" i="18" s="1"/>
  <c r="AF503" i="1"/>
  <c r="AF591" i="1" s="1"/>
  <c r="BS17" i="28"/>
  <c r="EY37" i="5"/>
  <c r="AA3134" i="16"/>
  <c r="BG13" i="28"/>
  <c r="BK14" i="28" s="1"/>
  <c r="Y3134" i="16"/>
  <c r="I3135" i="16"/>
  <c r="BR5" i="28"/>
  <c r="P148" i="27"/>
  <c r="S22" i="30" l="1"/>
  <c r="T19" i="30"/>
  <c r="AF143" i="1"/>
  <c r="AF258" i="1"/>
  <c r="P64" i="27"/>
  <c r="P142" i="27"/>
  <c r="P144" i="27" s="1"/>
  <c r="Q140" i="27" s="1"/>
  <c r="P154" i="27"/>
  <c r="P135" i="27"/>
  <c r="P134" i="27"/>
  <c r="P109" i="27"/>
  <c r="P159" i="27" s="1"/>
  <c r="P101" i="27"/>
  <c r="P100" i="27"/>
  <c r="P97" i="27"/>
  <c r="P96" i="27"/>
  <c r="P40" i="27"/>
  <c r="P39" i="27"/>
  <c r="P38" i="27"/>
  <c r="P33" i="27"/>
  <c r="P24" i="27"/>
  <c r="P20" i="27"/>
  <c r="P19" i="27"/>
  <c r="P18" i="27"/>
  <c r="P90" i="27" s="1"/>
  <c r="P10" i="27"/>
  <c r="P9" i="27"/>
  <c r="AP19" i="27" l="1"/>
  <c r="AP20" i="27"/>
  <c r="T42" i="27"/>
  <c r="AP38" i="27"/>
  <c r="AP24" i="27"/>
  <c r="AH6" i="27"/>
  <c r="AP33" i="27"/>
  <c r="T43" i="27"/>
  <c r="AP39" i="27"/>
  <c r="T44" i="27"/>
  <c r="AP40" i="27"/>
  <c r="T23" i="30"/>
  <c r="T95" i="27"/>
  <c r="AH20" i="27"/>
  <c r="T99" i="27"/>
  <c r="AH24" i="27"/>
  <c r="T92" i="27"/>
  <c r="T69" i="27"/>
  <c r="T75" i="27" s="1"/>
  <c r="T105" i="27" s="1"/>
  <c r="T70" i="27"/>
  <c r="T76" i="27" s="1"/>
  <c r="T67" i="27"/>
  <c r="T73" i="27" s="1"/>
  <c r="P68" i="27"/>
  <c r="P74" i="27" s="1"/>
  <c r="P104" i="27" s="1"/>
  <c r="P110" i="27" s="1"/>
  <c r="T68" i="27"/>
  <c r="T74" i="27" s="1"/>
  <c r="T104" i="27" s="1"/>
  <c r="T110" i="27" s="1"/>
  <c r="S145" i="27"/>
  <c r="T118" i="27"/>
  <c r="U166" i="25" s="1"/>
  <c r="AF259" i="1"/>
  <c r="P151" i="27"/>
  <c r="Q134" i="27"/>
  <c r="R134" i="27" s="1"/>
  <c r="P67" i="27"/>
  <c r="P122" i="27"/>
  <c r="BG8" i="28"/>
  <c r="P70" i="27"/>
  <c r="P76" i="27" s="1"/>
  <c r="P69" i="27"/>
  <c r="P75" i="27" s="1"/>
  <c r="P105" i="27" s="1"/>
  <c r="P133" i="27"/>
  <c r="P150" i="27"/>
  <c r="P161" i="27"/>
  <c r="P30" i="27"/>
  <c r="P132" i="27"/>
  <c r="P31" i="27"/>
  <c r="P37" i="27"/>
  <c r="P34" i="27"/>
  <c r="P160" i="27" s="1"/>
  <c r="D3083" i="16"/>
  <c r="AJ146" i="27"/>
  <c r="AI145" i="27"/>
  <c r="AJ145" i="27" s="1"/>
  <c r="AG140" i="27"/>
  <c r="AH140" i="27" s="1"/>
  <c r="AI140" i="27" s="1"/>
  <c r="AJ140" i="27" s="1"/>
  <c r="AH144" i="27"/>
  <c r="AI144" i="27" s="1"/>
  <c r="AG143" i="27"/>
  <c r="AH143" i="27" s="1"/>
  <c r="AI143" i="27" s="1"/>
  <c r="AF142" i="27"/>
  <c r="AG142" i="27" s="1"/>
  <c r="AH142" i="27" s="1"/>
  <c r="G3073" i="16"/>
  <c r="D3073" i="16"/>
  <c r="S129" i="27" l="1"/>
  <c r="T123" i="27"/>
  <c r="AK150" i="27"/>
  <c r="T162" i="27"/>
  <c r="U163" i="27"/>
  <c r="T103" i="27"/>
  <c r="T79" i="27"/>
  <c r="T80" i="27" s="1"/>
  <c r="T93" i="27" s="1"/>
  <c r="T111" i="27" s="1"/>
  <c r="AF276" i="1"/>
  <c r="AG254" i="1"/>
  <c r="AF180" i="1"/>
  <c r="P153" i="27"/>
  <c r="P155" i="27" s="1"/>
  <c r="P79" i="27"/>
  <c r="AF147" i="27"/>
  <c r="AG147" i="27"/>
  <c r="AJ144" i="27"/>
  <c r="AJ147" i="27" s="1"/>
  <c r="AI147" i="27"/>
  <c r="AH147" i="27"/>
  <c r="B3069" i="16"/>
  <c r="B3068" i="16"/>
  <c r="B3067" i="16"/>
  <c r="E3059" i="16"/>
  <c r="I3035" i="16"/>
  <c r="D3054" i="16"/>
  <c r="B3052" i="16"/>
  <c r="B3051" i="16"/>
  <c r="E3043" i="16"/>
  <c r="D3042" i="16"/>
  <c r="D3032" i="16"/>
  <c r="D3039" i="16"/>
  <c r="AG503" i="1" l="1"/>
  <c r="AG591" i="1" s="1"/>
  <c r="AG383" i="1"/>
  <c r="AG252" i="1"/>
  <c r="AM21" i="18" s="1"/>
  <c r="F3059" i="16"/>
  <c r="F3073" i="16" s="1"/>
  <c r="E3073" i="16"/>
  <c r="BO168" i="5"/>
  <c r="BT168" i="5"/>
  <c r="AG143" i="1" l="1"/>
  <c r="AG258" i="1"/>
  <c r="BU168" i="5"/>
  <c r="BV168" i="5" s="1"/>
  <c r="E3042" i="16"/>
  <c r="U119" i="13"/>
  <c r="V119" i="13" s="1"/>
  <c r="W119" i="13" s="1"/>
  <c r="X119" i="13" s="1"/>
  <c r="Y119" i="13" s="1"/>
  <c r="Z119" i="13" s="1"/>
  <c r="AG259" i="1" l="1"/>
  <c r="BW168" i="5"/>
  <c r="AA119" i="13"/>
  <c r="AB119" i="13" s="1"/>
  <c r="AG276" i="1" l="1"/>
  <c r="AH254" i="1"/>
  <c r="AG180" i="1"/>
  <c r="AC119" i="13"/>
  <c r="U116" i="13"/>
  <c r="AH383" i="1" l="1"/>
  <c r="AH252" i="1"/>
  <c r="AN21" i="18" s="1"/>
  <c r="AH503" i="1"/>
  <c r="AH591" i="1" s="1"/>
  <c r="AD119" i="13"/>
  <c r="S174" i="10"/>
  <c r="AH143" i="1" l="1"/>
  <c r="AH258" i="1"/>
  <c r="AH259" i="1" s="1"/>
  <c r="AE119" i="13"/>
  <c r="C3016" i="16"/>
  <c r="C2981" i="16"/>
  <c r="C2980" i="16"/>
  <c r="B2981" i="16"/>
  <c r="B2990" i="16" s="1"/>
  <c r="B2994" i="16" s="1"/>
  <c r="B2980" i="16"/>
  <c r="B2989" i="16" s="1"/>
  <c r="B2993" i="16" s="1"/>
  <c r="C2977" i="16"/>
  <c r="C2976" i="16"/>
  <c r="D2975" i="16"/>
  <c r="AH180" i="1" l="1"/>
  <c r="AH276" i="1"/>
  <c r="AF119" i="13"/>
  <c r="D3003" i="16"/>
  <c r="D3005" i="16" s="1"/>
  <c r="D3014" i="16" s="1"/>
  <c r="D3040" i="16"/>
  <c r="E3040" i="16"/>
  <c r="E2975" i="16"/>
  <c r="D3028" i="16"/>
  <c r="D3035" i="16" s="1"/>
  <c r="C2986" i="16"/>
  <c r="C2985" i="16"/>
  <c r="C2982" i="16"/>
  <c r="B2986" i="16"/>
  <c r="C2978" i="16"/>
  <c r="B2985" i="16"/>
  <c r="F3040" i="16" l="1"/>
  <c r="F2975" i="16"/>
  <c r="E3028" i="16"/>
  <c r="E3035" i="16" s="1"/>
  <c r="C2983" i="16"/>
  <c r="C2987" i="16"/>
  <c r="H3040" i="16" l="1"/>
  <c r="G3040" i="16"/>
  <c r="G2975" i="16"/>
  <c r="F3028" i="16"/>
  <c r="F3035" i="16" s="1"/>
  <c r="BM277" i="5"/>
  <c r="BL277" i="5"/>
  <c r="BK277" i="5"/>
  <c r="BJ277" i="5"/>
  <c r="BO277" i="5"/>
  <c r="BP277" i="5"/>
  <c r="BT277" i="5"/>
  <c r="BQ277" i="5"/>
  <c r="BR277" i="5"/>
  <c r="BQ35" i="28"/>
  <c r="H2975" i="16" l="1"/>
  <c r="H3028" i="16" s="1"/>
  <c r="H3035" i="16" s="1"/>
  <c r="G3028" i="16"/>
  <c r="G3035" i="16" s="1"/>
  <c r="BQ37" i="28"/>
  <c r="BQ36" i="28"/>
  <c r="BT80" i="5"/>
  <c r="BT145" i="5"/>
  <c r="BT37" i="5"/>
  <c r="AT102" i="28"/>
  <c r="AT109" i="28" s="1"/>
  <c r="AT138" i="28" s="1"/>
  <c r="AT100" i="28"/>
  <c r="BF17" i="28"/>
  <c r="BF12" i="28"/>
  <c r="BF8" i="28"/>
  <c r="BF7" i="28"/>
  <c r="CF7" i="28"/>
  <c r="CI7" i="28"/>
  <c r="CG7" i="28"/>
  <c r="F37" i="27"/>
  <c r="E37" i="27"/>
  <c r="D37" i="27"/>
  <c r="C37" i="27"/>
  <c r="H40" i="27"/>
  <c r="G40" i="27"/>
  <c r="F40" i="27"/>
  <c r="E40" i="27"/>
  <c r="D40" i="27"/>
  <c r="C40" i="27"/>
  <c r="H39" i="27"/>
  <c r="G39" i="27"/>
  <c r="F39" i="27"/>
  <c r="E39" i="27"/>
  <c r="D39" i="27"/>
  <c r="C39" i="27"/>
  <c r="H38" i="27"/>
  <c r="G38" i="27"/>
  <c r="F38" i="27"/>
  <c r="E38" i="27"/>
  <c r="D38" i="27"/>
  <c r="C38" i="27"/>
  <c r="N40" i="27"/>
  <c r="M40" i="27"/>
  <c r="L40" i="27"/>
  <c r="K40" i="27"/>
  <c r="J40" i="27"/>
  <c r="I40" i="27"/>
  <c r="N39" i="27"/>
  <c r="M39" i="27"/>
  <c r="L39" i="27"/>
  <c r="K39" i="27"/>
  <c r="J39" i="27"/>
  <c r="I39" i="27"/>
  <c r="N38" i="27"/>
  <c r="M38" i="27"/>
  <c r="L38" i="27"/>
  <c r="K38" i="27"/>
  <c r="J38" i="27"/>
  <c r="I38" i="27"/>
  <c r="O40" i="27"/>
  <c r="O39" i="27"/>
  <c r="O38" i="27"/>
  <c r="B44" i="27"/>
  <c r="B43" i="27"/>
  <c r="B42" i="27"/>
  <c r="O64" i="27"/>
  <c r="K148" i="27"/>
  <c r="O148" i="27"/>
  <c r="O142" i="27"/>
  <c r="O144" i="27" s="1"/>
  <c r="P140" i="27" s="1"/>
  <c r="O138" i="27"/>
  <c r="K135" i="27"/>
  <c r="O135" i="27"/>
  <c r="Q135" i="27" s="1"/>
  <c r="O24" i="27"/>
  <c r="O109" i="27"/>
  <c r="O159" i="27" s="1"/>
  <c r="O101" i="27"/>
  <c r="O100" i="27"/>
  <c r="O97" i="27"/>
  <c r="O96" i="27"/>
  <c r="O154" i="27"/>
  <c r="O33" i="27"/>
  <c r="O20" i="27"/>
  <c r="O19" i="27"/>
  <c r="O18" i="27"/>
  <c r="O90" i="27" s="1"/>
  <c r="O10" i="27"/>
  <c r="O9" i="27"/>
  <c r="R68" i="29"/>
  <c r="R65" i="29"/>
  <c r="R62" i="29"/>
  <c r="R59" i="29"/>
  <c r="Q68" i="29"/>
  <c r="Q65" i="29"/>
  <c r="Q62" i="29"/>
  <c r="Q59" i="29"/>
  <c r="P68" i="29"/>
  <c r="P65" i="29"/>
  <c r="P62" i="29"/>
  <c r="P59" i="29"/>
  <c r="O68" i="29"/>
  <c r="O65" i="29"/>
  <c r="O62" i="29"/>
  <c r="O59" i="29"/>
  <c r="R17" i="29"/>
  <c r="Q31" i="29"/>
  <c r="Q27" i="29"/>
  <c r="Q26" i="29"/>
  <c r="Q20" i="29"/>
  <c r="Q17" i="29"/>
  <c r="P31" i="29"/>
  <c r="P27" i="29"/>
  <c r="P26" i="29"/>
  <c r="P20" i="29"/>
  <c r="P17" i="29"/>
  <c r="O31" i="29"/>
  <c r="O26" i="29"/>
  <c r="O20" i="29"/>
  <c r="Q9" i="29"/>
  <c r="P9" i="29"/>
  <c r="Q8" i="29"/>
  <c r="P8" i="29"/>
  <c r="O9" i="29"/>
  <c r="O8" i="29"/>
  <c r="O6" i="29"/>
  <c r="Q5" i="29"/>
  <c r="P5" i="29"/>
  <c r="O5" i="29"/>
  <c r="Q43" i="27" l="1"/>
  <c r="AM39" i="27"/>
  <c r="AO24" i="27"/>
  <c r="R43" i="27"/>
  <c r="AN39" i="27"/>
  <c r="AO20" i="27"/>
  <c r="Q42" i="27"/>
  <c r="AM38" i="27"/>
  <c r="S42" i="27"/>
  <c r="AK38" i="27"/>
  <c r="AO38" i="27"/>
  <c r="S43" i="27"/>
  <c r="AK39" i="27"/>
  <c r="AO39" i="27"/>
  <c r="AO33" i="27"/>
  <c r="P42" i="27"/>
  <c r="AL38" i="27"/>
  <c r="S44" i="27"/>
  <c r="AK40" i="27"/>
  <c r="AO40" i="27"/>
  <c r="P44" i="27"/>
  <c r="AL40" i="27"/>
  <c r="Q44" i="27"/>
  <c r="AM40" i="27"/>
  <c r="R42" i="27"/>
  <c r="AN38" i="27"/>
  <c r="S92" i="27"/>
  <c r="AO19" i="27"/>
  <c r="P43" i="27"/>
  <c r="AL39" i="27"/>
  <c r="R44" i="27"/>
  <c r="AN40" i="27"/>
  <c r="BJ9" i="28"/>
  <c r="S95" i="27"/>
  <c r="AG20" i="27"/>
  <c r="S99" i="27"/>
  <c r="AG24" i="27"/>
  <c r="BW80" i="5"/>
  <c r="BX80" i="5" s="1"/>
  <c r="EX37" i="5"/>
  <c r="BX37" i="5"/>
  <c r="R145" i="27"/>
  <c r="S118" i="27"/>
  <c r="R135" i="27"/>
  <c r="R151" i="27" s="1"/>
  <c r="R153" i="27" s="1"/>
  <c r="R155" i="27" s="1"/>
  <c r="O70" i="27"/>
  <c r="O76" i="27" s="1"/>
  <c r="S69" i="27"/>
  <c r="S75" i="27" s="1"/>
  <c r="S105" i="27" s="1"/>
  <c r="S68" i="27"/>
  <c r="S74" i="27" s="1"/>
  <c r="S70" i="27"/>
  <c r="S76" i="27" s="1"/>
  <c r="S67" i="27"/>
  <c r="S73" i="27" s="1"/>
  <c r="BF13" i="28"/>
  <c r="BJ14" i="28" s="1"/>
  <c r="P138" i="27"/>
  <c r="O151" i="27"/>
  <c r="O27" i="29"/>
  <c r="BR17" i="28"/>
  <c r="I42" i="27"/>
  <c r="K43" i="27"/>
  <c r="M44" i="27"/>
  <c r="G43" i="27"/>
  <c r="K42" i="27"/>
  <c r="M43" i="27"/>
  <c r="G42" i="27"/>
  <c r="G44" i="27"/>
  <c r="O44" i="27"/>
  <c r="BS5" i="28"/>
  <c r="BS14" i="28" s="1"/>
  <c r="O17" i="29"/>
  <c r="O37" i="27"/>
  <c r="O42" i="27"/>
  <c r="J44" i="27"/>
  <c r="L43" i="27"/>
  <c r="J43" i="27"/>
  <c r="L44" i="27"/>
  <c r="H42" i="27"/>
  <c r="H44" i="27"/>
  <c r="J42" i="27"/>
  <c r="N44" i="27"/>
  <c r="H43" i="27"/>
  <c r="I44" i="27"/>
  <c r="I43" i="27"/>
  <c r="K44" i="27"/>
  <c r="N42" i="27"/>
  <c r="L42" i="27"/>
  <c r="M42" i="27"/>
  <c r="N43" i="27"/>
  <c r="O68" i="27"/>
  <c r="O69" i="27"/>
  <c r="O67" i="27"/>
  <c r="O43" i="27"/>
  <c r="O34" i="27"/>
  <c r="O160" i="27" s="1"/>
  <c r="O30" i="27"/>
  <c r="O132" i="27"/>
  <c r="O161" i="27"/>
  <c r="O122" i="27"/>
  <c r="O150" i="27"/>
  <c r="O133" i="27"/>
  <c r="O31" i="27"/>
  <c r="R129" i="27" l="1"/>
  <c r="S123" i="27"/>
  <c r="AJ150" i="27"/>
  <c r="S162" i="27"/>
  <c r="T163" i="27"/>
  <c r="S104" i="27"/>
  <c r="S110" i="27" s="1"/>
  <c r="S103" i="27"/>
  <c r="S79" i="27"/>
  <c r="S80" i="27" s="1"/>
  <c r="S93" i="27" s="1"/>
  <c r="S111" i="27" s="1"/>
  <c r="Q138" i="27"/>
  <c r="R138" i="27" s="1"/>
  <c r="O153" i="27"/>
  <c r="O155" i="27" s="1"/>
  <c r="P139" i="27"/>
  <c r="Q151" i="27"/>
  <c r="Q153" i="27" s="1"/>
  <c r="Q155" i="27" s="1"/>
  <c r="O79" i="27"/>
  <c r="O75" i="27"/>
  <c r="O105" i="27" s="1"/>
  <c r="O74" i="27"/>
  <c r="O104" i="27" s="1"/>
  <c r="O110" i="27" s="1"/>
  <c r="R174" i="10"/>
  <c r="Q174" i="10"/>
  <c r="P174" i="10"/>
  <c r="O174" i="10"/>
  <c r="T116" i="13"/>
  <c r="Q139" i="27" l="1"/>
  <c r="R139" i="27"/>
  <c r="T174" i="10"/>
  <c r="U174" i="10" l="1"/>
  <c r="BM165" i="5"/>
  <c r="D3043" i="16" l="1"/>
  <c r="V174" i="10"/>
  <c r="BS78" i="5"/>
  <c r="O25" i="29"/>
  <c r="Q19" i="29"/>
  <c r="O19" i="29"/>
  <c r="P19" i="29"/>
  <c r="Q18" i="29"/>
  <c r="P18" i="29"/>
  <c r="O18" i="29"/>
  <c r="Q7" i="29"/>
  <c r="P7" i="29"/>
  <c r="O7" i="29"/>
  <c r="P48" i="29"/>
  <c r="O48" i="29"/>
  <c r="P45" i="29"/>
  <c r="O51" i="29"/>
  <c r="O54" i="29"/>
  <c r="O55" i="29" s="1"/>
  <c r="O45" i="29"/>
  <c r="P46" i="29" l="1"/>
  <c r="P49" i="29"/>
  <c r="P54" i="29"/>
  <c r="P55" i="29" s="1"/>
  <c r="Q54" i="29"/>
  <c r="W174" i="10"/>
  <c r="P6" i="29"/>
  <c r="BU277" i="5"/>
  <c r="Q6" i="29"/>
  <c r="BV277" i="5"/>
  <c r="Q48" i="29"/>
  <c r="Q49" i="29" s="1"/>
  <c r="Q45" i="29"/>
  <c r="Q46" i="29" s="1"/>
  <c r="BX259" i="5"/>
  <c r="BX104" i="5"/>
  <c r="BW115" i="5" s="1"/>
  <c r="BX35" i="5"/>
  <c r="BX18" i="5"/>
  <c r="EU39" i="5"/>
  <c r="ET39" i="5"/>
  <c r="ES39" i="5"/>
  <c r="ES35" i="5"/>
  <c r="AT111" i="28"/>
  <c r="ES31" i="5"/>
  <c r="EU14" i="5"/>
  <c r="ET14" i="5"/>
  <c r="ES14" i="5"/>
  <c r="EU16" i="5"/>
  <c r="ET16" i="5"/>
  <c r="ES16" i="5"/>
  <c r="BW300" i="5"/>
  <c r="BV300" i="5"/>
  <c r="BU300" i="5"/>
  <c r="BT300" i="5"/>
  <c r="BU272" i="5"/>
  <c r="BV270" i="5"/>
  <c r="AV91" i="28" s="1"/>
  <c r="BU270" i="5"/>
  <c r="BU269" i="5"/>
  <c r="BT263" i="5"/>
  <c r="BT265" i="5" s="1"/>
  <c r="BW209" i="5"/>
  <c r="BW211" i="5" s="1"/>
  <c r="BV209" i="5"/>
  <c r="BV211" i="5" s="1"/>
  <c r="BU209" i="5"/>
  <c r="BU211" i="5" s="1"/>
  <c r="BT209" i="5"/>
  <c r="BT211" i="5" s="1"/>
  <c r="BW206" i="5"/>
  <c r="BV206" i="5"/>
  <c r="BU206" i="5"/>
  <c r="BT206" i="5"/>
  <c r="BW201" i="5"/>
  <c r="BV201" i="5"/>
  <c r="BU201" i="5"/>
  <c r="BT201" i="5"/>
  <c r="BT184" i="5"/>
  <c r="BT179" i="5"/>
  <c r="BT161" i="5"/>
  <c r="BT160" i="5"/>
  <c r="BT156" i="5"/>
  <c r="BT155" i="5"/>
  <c r="BT151" i="5"/>
  <c r="BT150" i="5"/>
  <c r="AT112" i="28" s="1"/>
  <c r="BV136" i="5"/>
  <c r="BU136" i="5"/>
  <c r="AU140" i="28" s="1"/>
  <c r="BT136" i="5"/>
  <c r="AT140" i="28" s="1"/>
  <c r="BV135" i="5"/>
  <c r="AV104" i="28" s="1"/>
  <c r="BU135" i="5"/>
  <c r="BT135" i="5"/>
  <c r="BV131" i="5"/>
  <c r="CA137" i="5" s="1"/>
  <c r="BU131" i="5"/>
  <c r="BT131" i="5"/>
  <c r="BV115" i="5"/>
  <c r="BU115" i="5"/>
  <c r="BT115" i="5"/>
  <c r="BV114" i="5"/>
  <c r="BU114" i="5"/>
  <c r="BT114" i="5"/>
  <c r="BV108" i="5"/>
  <c r="BV119" i="5" s="1"/>
  <c r="BU108" i="5"/>
  <c r="BU119" i="5" s="1"/>
  <c r="BT108" i="5"/>
  <c r="BT119" i="5" s="1"/>
  <c r="BV96" i="5"/>
  <c r="BV107" i="5" s="1"/>
  <c r="BU96" i="5"/>
  <c r="BU107" i="5" s="1"/>
  <c r="BT96" i="5"/>
  <c r="BT107" i="5" s="1"/>
  <c r="BV81" i="5"/>
  <c r="Q33" i="29" s="1"/>
  <c r="BU81" i="5"/>
  <c r="P33" i="29" s="1"/>
  <c r="BT81" i="5"/>
  <c r="BT68" i="5"/>
  <c r="BT67" i="5"/>
  <c r="BV54" i="5"/>
  <c r="BU54" i="5"/>
  <c r="BT54" i="5"/>
  <c r="BR10" i="28"/>
  <c r="BR14" i="28" s="1"/>
  <c r="AA48" i="13"/>
  <c r="Z48" i="13"/>
  <c r="Y48" i="13"/>
  <c r="X48" i="13"/>
  <c r="W48" i="13"/>
  <c r="V48" i="13"/>
  <c r="U48" i="13"/>
  <c r="T48" i="13"/>
  <c r="S48" i="13"/>
  <c r="R48" i="13"/>
  <c r="Q48" i="13"/>
  <c r="P48" i="13"/>
  <c r="O48" i="13"/>
  <c r="N48" i="13"/>
  <c r="M48" i="13"/>
  <c r="L48" i="13"/>
  <c r="K48" i="13"/>
  <c r="J48" i="13"/>
  <c r="I48" i="13"/>
  <c r="H48" i="13"/>
  <c r="G48" i="13"/>
  <c r="F48" i="13"/>
  <c r="E48" i="13"/>
  <c r="D48" i="13"/>
  <c r="C48" i="13"/>
  <c r="P194" i="10"/>
  <c r="Q147" i="10"/>
  <c r="P147" i="10"/>
  <c r="Q135" i="10"/>
  <c r="P135" i="10"/>
  <c r="R112" i="10"/>
  <c r="G212" i="25"/>
  <c r="G177" i="25"/>
  <c r="G178" i="25" s="1"/>
  <c r="G180" i="25"/>
  <c r="C2990" i="16"/>
  <c r="C2994" i="16" s="1"/>
  <c r="C2989" i="16"/>
  <c r="T140" i="13"/>
  <c r="S140" i="13"/>
  <c r="R157" i="10"/>
  <c r="BS80" i="5"/>
  <c r="R61" i="10"/>
  <c r="BT185" i="5" l="1"/>
  <c r="R17" i="30"/>
  <c r="R18" i="30" s="1"/>
  <c r="O32" i="29"/>
  <c r="R6" i="30"/>
  <c r="R10" i="30" s="1"/>
  <c r="R14" i="30" s="1"/>
  <c r="Q32" i="29"/>
  <c r="T6" i="30"/>
  <c r="T10" i="30" s="1"/>
  <c r="T14" i="30" s="1"/>
  <c r="P32" i="29"/>
  <c r="S6" i="30"/>
  <c r="S10" i="30" s="1"/>
  <c r="S14" i="30" s="1"/>
  <c r="G184" i="25"/>
  <c r="O33" i="29"/>
  <c r="BZ137" i="5"/>
  <c r="BY137" i="5"/>
  <c r="EX131" i="5"/>
  <c r="S124" i="10"/>
  <c r="S169" i="10"/>
  <c r="AU90" i="28"/>
  <c r="AU91" i="28"/>
  <c r="Q55" i="29"/>
  <c r="BV138" i="5"/>
  <c r="AV103" i="28"/>
  <c r="AU139" i="28"/>
  <c r="AU104" i="28"/>
  <c r="BU138" i="5"/>
  <c r="AU103" i="28"/>
  <c r="C2991" i="16"/>
  <c r="C2995" i="16" s="1"/>
  <c r="C2996" i="16" s="1"/>
  <c r="E3002" i="16"/>
  <c r="E3054" i="16" s="1"/>
  <c r="C2993" i="16"/>
  <c r="BU265" i="5"/>
  <c r="Y174" i="10"/>
  <c r="X174" i="10"/>
  <c r="BV269" i="5"/>
  <c r="AV90" i="28" s="1"/>
  <c r="AT104" i="28"/>
  <c r="AT139" i="28"/>
  <c r="BU271" i="5"/>
  <c r="BV272" i="5"/>
  <c r="BT138" i="5"/>
  <c r="AT103" i="28"/>
  <c r="BW269" i="5"/>
  <c r="AW90" i="28" s="1"/>
  <c r="R45" i="29"/>
  <c r="R46" i="29" s="1"/>
  <c r="P51" i="29"/>
  <c r="P52" i="29" s="1"/>
  <c r="BU17" i="28"/>
  <c r="BT157" i="5"/>
  <c r="BU70" i="5"/>
  <c r="BV70" i="5"/>
  <c r="EZ70" i="5" s="1"/>
  <c r="BV118" i="5"/>
  <c r="BT118" i="5"/>
  <c r="BT70" i="5"/>
  <c r="BU118" i="5"/>
  <c r="BT36" i="5"/>
  <c r="BT40" i="5"/>
  <c r="BT132" i="5"/>
  <c r="BT147" i="5"/>
  <c r="BT162" i="5"/>
  <c r="BU132" i="5"/>
  <c r="BV132" i="5"/>
  <c r="EX36" i="5" l="1"/>
  <c r="BT43" i="5"/>
  <c r="BY45" i="5"/>
  <c r="R22" i="30"/>
  <c r="S19" i="30"/>
  <c r="EX70" i="5"/>
  <c r="EY70" i="5"/>
  <c r="EY131" i="5"/>
  <c r="BZ132" i="5"/>
  <c r="EZ131" i="5"/>
  <c r="BR21" i="28"/>
  <c r="EX40" i="5"/>
  <c r="BU274" i="5"/>
  <c r="AU92" i="28"/>
  <c r="BU36" i="5"/>
  <c r="BU40" i="5"/>
  <c r="EY40" i="5" s="1"/>
  <c r="ET35" i="5"/>
  <c r="P25" i="29"/>
  <c r="BV36" i="5"/>
  <c r="BV40" i="5"/>
  <c r="BU273" i="5"/>
  <c r="AU93" i="28" s="1"/>
  <c r="BU140" i="5"/>
  <c r="EY140" i="5" s="1"/>
  <c r="Q25" i="29"/>
  <c r="EU35" i="5"/>
  <c r="BU16" i="28"/>
  <c r="F3002" i="16"/>
  <c r="F3054" i="16" s="1"/>
  <c r="E3003" i="16"/>
  <c r="E3005" i="16" s="1"/>
  <c r="E3014" i="16" s="1"/>
  <c r="R27" i="29"/>
  <c r="BU141" i="5"/>
  <c r="EY141" i="5" s="1"/>
  <c r="BU278" i="5"/>
  <c r="BU279" i="5" s="1"/>
  <c r="R9" i="29"/>
  <c r="R20" i="29"/>
  <c r="Q51" i="29"/>
  <c r="Q52" i="29" s="1"/>
  <c r="BV271" i="5"/>
  <c r="BV263" i="5"/>
  <c r="BT51" i="5"/>
  <c r="BU266" i="5"/>
  <c r="BT38" i="5"/>
  <c r="R5" i="30" s="1"/>
  <c r="R7" i="30" s="1"/>
  <c r="BU43" i="5" l="1"/>
  <c r="BZ45" i="5"/>
  <c r="BV43" i="5"/>
  <c r="CA45" i="5"/>
  <c r="S23" i="30"/>
  <c r="BT167" i="5"/>
  <c r="H3115" i="16" s="1"/>
  <c r="EX38" i="5"/>
  <c r="BU38" i="5"/>
  <c r="S5" i="30" s="1"/>
  <c r="S7" i="30" s="1"/>
  <c r="EY36" i="5"/>
  <c r="BT21" i="28"/>
  <c r="BT36" i="28" s="1"/>
  <c r="EZ40" i="5"/>
  <c r="BV38" i="5"/>
  <c r="EZ36" i="5"/>
  <c r="BT122" i="5"/>
  <c r="O29" i="29"/>
  <c r="O35" i="29" s="1"/>
  <c r="BV274" i="5"/>
  <c r="AV92" i="28"/>
  <c r="BV84" i="5"/>
  <c r="BR18" i="28"/>
  <c r="BR19" i="28" s="1"/>
  <c r="BU51" i="5"/>
  <c r="BS21" i="28"/>
  <c r="BU84" i="5"/>
  <c r="BV51" i="5"/>
  <c r="R25" i="29"/>
  <c r="EV35" i="5"/>
  <c r="G3002" i="16"/>
  <c r="G3054" i="16" s="1"/>
  <c r="F3003" i="16"/>
  <c r="F3005" i="16" s="1"/>
  <c r="F3014" i="16" s="1"/>
  <c r="BV140" i="5"/>
  <c r="EZ140" i="5" s="1"/>
  <c r="BV273" i="5"/>
  <c r="AV93" i="28" s="1"/>
  <c r="BV265" i="5"/>
  <c r="BV278" i="5" s="1"/>
  <c r="BV279" i="5" s="1"/>
  <c r="BT84" i="5"/>
  <c r="BR23" i="28" s="1"/>
  <c r="BT188" i="5"/>
  <c r="EZ38" i="5" l="1"/>
  <c r="T5" i="30"/>
  <c r="T7" i="30" s="1"/>
  <c r="BV167" i="5"/>
  <c r="J3115" i="16" s="1"/>
  <c r="BU167" i="5"/>
  <c r="I3115" i="16" s="1"/>
  <c r="EY38" i="5"/>
  <c r="BT173" i="5"/>
  <c r="BT174" i="5" s="1"/>
  <c r="BS18" i="28"/>
  <c r="BS19" i="28" s="1"/>
  <c r="P29" i="29"/>
  <c r="P35" i="29" s="1"/>
  <c r="BU122" i="5"/>
  <c r="BZ124" i="5" s="1"/>
  <c r="BV122" i="5"/>
  <c r="CA124" i="5" s="1"/>
  <c r="BT18" i="28"/>
  <c r="BT35" i="28" s="1"/>
  <c r="Q29" i="29"/>
  <c r="Q35" i="29" s="1"/>
  <c r="AL207" i="28"/>
  <c r="BY124" i="5"/>
  <c r="BV87" i="5"/>
  <c r="BT23" i="28"/>
  <c r="BV91" i="5"/>
  <c r="BT24" i="28" s="1"/>
  <c r="BU87" i="5"/>
  <c r="BS23" i="28"/>
  <c r="BS36" i="28"/>
  <c r="BS26" i="28"/>
  <c r="BU91" i="5"/>
  <c r="BU179" i="5"/>
  <c r="BU188" i="5"/>
  <c r="H3002" i="16"/>
  <c r="G3003" i="16"/>
  <c r="G3005" i="16" s="1"/>
  <c r="G3014" i="16" s="1"/>
  <c r="BT87" i="5"/>
  <c r="BV266" i="5"/>
  <c r="BV141" i="5"/>
  <c r="EZ141" i="5" s="1"/>
  <c r="BT91" i="5"/>
  <c r="BU173" i="5" l="1"/>
  <c r="BU174" i="5" s="1"/>
  <c r="BU175" i="5" s="1"/>
  <c r="BS35" i="28"/>
  <c r="BR24" i="28"/>
  <c r="AM207" i="28"/>
  <c r="AN207" i="28"/>
  <c r="BT19" i="28"/>
  <c r="BV93" i="5"/>
  <c r="BV92" i="5"/>
  <c r="BT25" i="28" s="1"/>
  <c r="BT37" i="28" s="1"/>
  <c r="BU93" i="5"/>
  <c r="BS24" i="28"/>
  <c r="BU92" i="5"/>
  <c r="BS25" i="28" s="1"/>
  <c r="H3003" i="16"/>
  <c r="H3005" i="16" s="1"/>
  <c r="H3014" i="16" s="1"/>
  <c r="C3017" i="16" s="1"/>
  <c r="C3018" i="16" s="1"/>
  <c r="H3054" i="16"/>
  <c r="BV185" i="5"/>
  <c r="BT92" i="5"/>
  <c r="BR25" i="28" s="1"/>
  <c r="BT93" i="5"/>
  <c r="R62" i="10"/>
  <c r="R63" i="10"/>
  <c r="I3145" i="16" l="1"/>
  <c r="H3145" i="16"/>
  <c r="BT175" i="5"/>
  <c r="C3015" i="16"/>
  <c r="C3019" i="16" s="1"/>
  <c r="C3021" i="16" s="1"/>
  <c r="BS37" i="28"/>
  <c r="R64" i="10"/>
  <c r="AR100" i="28" l="1"/>
  <c r="AS100" i="28"/>
  <c r="AS102" i="28" l="1"/>
  <c r="AS109" i="28" s="1"/>
  <c r="AS138" i="28" s="1"/>
  <c r="AR102" i="28"/>
  <c r="AR109" i="28" s="1"/>
  <c r="AR138" i="28" s="1"/>
  <c r="BE17" i="28"/>
  <c r="BE12" i="28"/>
  <c r="BE8" i="28"/>
  <c r="BE7" i="28"/>
  <c r="BI9" i="28" s="1"/>
  <c r="BR90" i="5"/>
  <c r="BR79" i="5"/>
  <c r="BR78" i="5"/>
  <c r="BL184" i="5"/>
  <c r="BM184" i="5"/>
  <c r="BR184" i="5"/>
  <c r="BP184" i="5"/>
  <c r="BO184" i="5"/>
  <c r="BR37" i="5"/>
  <c r="EV37" i="5" s="1"/>
  <c r="BQ37" i="5"/>
  <c r="EU37" i="5" s="1"/>
  <c r="BP37" i="5"/>
  <c r="ET37" i="5" s="1"/>
  <c r="BO37" i="5"/>
  <c r="ES37" i="5" s="1"/>
  <c r="BM37" i="5"/>
  <c r="BL37" i="5"/>
  <c r="BK37" i="5"/>
  <c r="BJ37" i="5"/>
  <c r="BO185" i="5" l="1"/>
  <c r="N17" i="30"/>
  <c r="N18" i="30" s="1"/>
  <c r="N22" i="30" s="1"/>
  <c r="BP185" i="5"/>
  <c r="O17" i="30"/>
  <c r="O18" i="30" s="1"/>
  <c r="BR185" i="5"/>
  <c r="Q17" i="30"/>
  <c r="Q18" i="30" s="1"/>
  <c r="BM185" i="5"/>
  <c r="M17" i="30"/>
  <c r="M18" i="30" s="1"/>
  <c r="BL185" i="5"/>
  <c r="L17" i="30"/>
  <c r="L18" i="30" s="1"/>
  <c r="BE13" i="28"/>
  <c r="BI14" i="28" s="1"/>
  <c r="BR161" i="5"/>
  <c r="BR160" i="5"/>
  <c r="BR136" i="5"/>
  <c r="AS140" i="28" s="1"/>
  <c r="BR135" i="5"/>
  <c r="BR104" i="5"/>
  <c r="BR115" i="5" s="1"/>
  <c r="BR103" i="5"/>
  <c r="BR114" i="5" s="1"/>
  <c r="BR97" i="5"/>
  <c r="BR108" i="5" s="1"/>
  <c r="Q22" i="30" l="1"/>
  <c r="R19" i="30"/>
  <c r="O22" i="30"/>
  <c r="O23" i="30" s="1"/>
  <c r="O19" i="30"/>
  <c r="L22" i="30"/>
  <c r="L23" i="30" s="1"/>
  <c r="L19" i="30"/>
  <c r="M22" i="30"/>
  <c r="M19" i="30"/>
  <c r="N19" i="30"/>
  <c r="AS139" i="28"/>
  <c r="AS104" i="28"/>
  <c r="BR96" i="5"/>
  <c r="BR107" i="5" s="1"/>
  <c r="Q6" i="30" s="1"/>
  <c r="Q10" i="30" s="1"/>
  <c r="Q14" i="30" s="1"/>
  <c r="C2963" i="16"/>
  <c r="D2962" i="16"/>
  <c r="D2961" i="16"/>
  <c r="D2955" i="16"/>
  <c r="D2952" i="16"/>
  <c r="C2951" i="16"/>
  <c r="C2953" i="16" s="1"/>
  <c r="D2949" i="16"/>
  <c r="D2948" i="16"/>
  <c r="C2946" i="16"/>
  <c r="D2944" i="16"/>
  <c r="C2942" i="16"/>
  <c r="D2942" i="16" s="1"/>
  <c r="D2941" i="16"/>
  <c r="BN149" i="27"/>
  <c r="BN143" i="27"/>
  <c r="N109" i="27"/>
  <c r="N159" i="27" s="1"/>
  <c r="N101" i="27"/>
  <c r="N100" i="27"/>
  <c r="N97" i="27"/>
  <c r="N96" i="27"/>
  <c r="N70" i="27"/>
  <c r="N76" i="27" s="1"/>
  <c r="N69" i="27"/>
  <c r="N75" i="27" s="1"/>
  <c r="N105" i="27" s="1"/>
  <c r="N68" i="27"/>
  <c r="N74" i="27" s="1"/>
  <c r="N104" i="27" s="1"/>
  <c r="N110" i="27" s="1"/>
  <c r="N148" i="27"/>
  <c r="BN148" i="27" s="1"/>
  <c r="M148" i="27"/>
  <c r="N142" i="27"/>
  <c r="N144" i="27" s="1"/>
  <c r="O140" i="27" s="1"/>
  <c r="O139" i="27" s="1"/>
  <c r="N20" i="27"/>
  <c r="N24" i="27"/>
  <c r="AN24" i="27" s="1"/>
  <c r="BN12" i="27"/>
  <c r="BN3" i="27"/>
  <c r="N13" i="27"/>
  <c r="N10" i="27"/>
  <c r="N9" i="27"/>
  <c r="AF20" i="27" l="1"/>
  <c r="AN20" i="27"/>
  <c r="R23" i="30"/>
  <c r="N23" i="30"/>
  <c r="M23" i="30"/>
  <c r="R73" i="27"/>
  <c r="R103" i="27" s="1"/>
  <c r="AF24" i="27"/>
  <c r="R99" i="27"/>
  <c r="BN20" i="27"/>
  <c r="R95" i="27"/>
  <c r="BN24" i="27"/>
  <c r="N67" i="27"/>
  <c r="BN142" i="27"/>
  <c r="BN144" i="27"/>
  <c r="G215" i="25"/>
  <c r="H181" i="25" s="1"/>
  <c r="D2945" i="16"/>
  <c r="D2956" i="16"/>
  <c r="D2966" i="16"/>
  <c r="D2943" i="16"/>
  <c r="D2958" i="16"/>
  <c r="D2960" i="16" s="1"/>
  <c r="D2963" i="16" s="1"/>
  <c r="C2943" i="16"/>
  <c r="C2956" i="16"/>
  <c r="E6235" i="3"/>
  <c r="D2946" i="16" l="1"/>
  <c r="D2951" i="16"/>
  <c r="D2953" i="16" s="1"/>
  <c r="D2967" i="16"/>
  <c r="D2968" i="16"/>
  <c r="J72" i="9"/>
  <c r="E72" i="9"/>
  <c r="G72" i="9" s="1"/>
  <c r="G2915" i="16"/>
  <c r="G2925" i="16"/>
  <c r="B2935" i="16"/>
  <c r="B2934" i="16"/>
  <c r="B2933" i="16"/>
  <c r="B2932" i="16"/>
  <c r="B2931" i="16"/>
  <c r="B2930" i="16"/>
  <c r="B2928" i="16"/>
  <c r="B2927" i="16"/>
  <c r="B2926" i="16"/>
  <c r="B2924" i="16"/>
  <c r="B2923" i="16"/>
  <c r="B2921" i="16"/>
  <c r="B2919" i="16"/>
  <c r="B2917" i="16"/>
  <c r="C2915" i="16"/>
  <c r="B2915" i="16"/>
  <c r="C2914" i="16"/>
  <c r="B2914" i="16"/>
  <c r="G2913" i="16"/>
  <c r="F2913" i="16"/>
  <c r="E2913" i="16"/>
  <c r="B2913" i="16"/>
  <c r="F2911" i="16"/>
  <c r="C2911" i="16"/>
  <c r="B2911" i="16"/>
  <c r="C2910" i="16"/>
  <c r="G2909" i="16"/>
  <c r="F2909" i="16"/>
  <c r="E2909" i="16"/>
  <c r="D2909" i="16"/>
  <c r="C2909" i="16"/>
  <c r="B2909" i="16"/>
  <c r="D2970" i="16" l="1"/>
  <c r="D2969" i="16"/>
  <c r="L72" i="9"/>
  <c r="H5792" i="3"/>
  <c r="M13" i="27" l="1"/>
  <c r="BD17" i="28" l="1"/>
  <c r="BD12" i="28"/>
  <c r="BD8" i="28"/>
  <c r="BD7" i="28"/>
  <c r="BH9" i="28" s="1"/>
  <c r="BQ80" i="5"/>
  <c r="BQ161" i="5"/>
  <c r="BQ160" i="5"/>
  <c r="BQ136" i="5"/>
  <c r="AR140" i="28" s="1"/>
  <c r="BQ135" i="5"/>
  <c r="BQ300" i="5"/>
  <c r="BQ271" i="5"/>
  <c r="AR92" i="28" s="1"/>
  <c r="BQ272" i="5"/>
  <c r="BQ270" i="5"/>
  <c r="AR91" i="28" s="1"/>
  <c r="BQ269" i="5"/>
  <c r="AR90" i="28" s="1"/>
  <c r="BQ263" i="5"/>
  <c r="M109" i="27"/>
  <c r="M159" i="27" s="1"/>
  <c r="M101" i="27"/>
  <c r="M100" i="27"/>
  <c r="M97" i="27"/>
  <c r="M96" i="27"/>
  <c r="M70" i="27"/>
  <c r="M76" i="27" s="1"/>
  <c r="M69" i="27"/>
  <c r="M75" i="27" s="1"/>
  <c r="M105" i="27" s="1"/>
  <c r="M68" i="27"/>
  <c r="M74" i="27" s="1"/>
  <c r="M104" i="27" s="1"/>
  <c r="M110" i="27" s="1"/>
  <c r="M142" i="27"/>
  <c r="M144" i="27" s="1"/>
  <c r="M33" i="27"/>
  <c r="M24" i="27"/>
  <c r="M20" i="27"/>
  <c r="AM20" i="27" s="1"/>
  <c r="M19" i="27"/>
  <c r="AM19" i="27" s="1"/>
  <c r="M10" i="27"/>
  <c r="M9" i="27"/>
  <c r="K31" i="29"/>
  <c r="AE24" i="27" l="1"/>
  <c r="AM24" i="27"/>
  <c r="Q118" i="27"/>
  <c r="AM33" i="27"/>
  <c r="Q95" i="27"/>
  <c r="AE20" i="27"/>
  <c r="Q92" i="27"/>
  <c r="Q80" i="27"/>
  <c r="Q93" i="27" s="1"/>
  <c r="Q111" i="27" s="1"/>
  <c r="Q99" i="27"/>
  <c r="Q73" i="27"/>
  <c r="Q103" i="27" s="1"/>
  <c r="BD13" i="28"/>
  <c r="BH14" i="28" s="1"/>
  <c r="M161" i="27"/>
  <c r="AR139" i="28"/>
  <c r="AR104" i="28"/>
  <c r="M133" i="27"/>
  <c r="M122" i="27"/>
  <c r="Q123" i="27" s="1"/>
  <c r="BQ274" i="5"/>
  <c r="BQ265" i="5"/>
  <c r="M30" i="27"/>
  <c r="M31" i="27"/>
  <c r="M34" i="27"/>
  <c r="M160" i="27" s="1"/>
  <c r="Q162" i="27" l="1"/>
  <c r="CI17" i="28"/>
  <c r="CI16" i="28"/>
  <c r="CI15" i="28"/>
  <c r="CF26" i="28"/>
  <c r="CF17" i="28"/>
  <c r="CF16" i="28"/>
  <c r="CF15" i="28"/>
  <c r="CF12" i="28"/>
  <c r="CF11" i="28"/>
  <c r="CF10" i="28"/>
  <c r="CG16" i="28"/>
  <c r="CG15" i="28"/>
  <c r="CG14" i="28"/>
  <c r="CG11" i="28"/>
  <c r="CG10" i="28"/>
  <c r="CH15" i="28" l="1"/>
  <c r="CH10" i="28"/>
  <c r="CJ17" i="28"/>
  <c r="CH16" i="28"/>
  <c r="CH11" i="28"/>
  <c r="CK15" i="28"/>
  <c r="CG17" i="28"/>
  <c r="CJ16" i="28"/>
  <c r="CJ15" i="28"/>
  <c r="CK16" i="28"/>
  <c r="CH17" i="28" l="1"/>
  <c r="CK17" i="28"/>
  <c r="AH18" i="9" l="1"/>
  <c r="BQ54" i="5" l="1"/>
  <c r="BP54" i="5"/>
  <c r="BM54" i="5"/>
  <c r="BL54" i="5"/>
  <c r="BK54" i="5"/>
  <c r="BJ54" i="5"/>
  <c r="BO54" i="5"/>
  <c r="BP168" i="5" l="1"/>
  <c r="BJ168" i="5"/>
  <c r="E6026" i="3"/>
  <c r="BQ168" i="5" l="1"/>
  <c r="BR168" i="5" s="1"/>
  <c r="H170" i="25"/>
  <c r="I170" i="25" s="1"/>
  <c r="J170" i="25" s="1"/>
  <c r="F174" i="25"/>
  <c r="F178" i="25" s="1"/>
  <c r="F184" i="25" s="1"/>
  <c r="J172" i="25"/>
  <c r="K172" i="25" s="1"/>
  <c r="L172" i="25" s="1"/>
  <c r="M172" i="25" s="1"/>
  <c r="N172" i="25" s="1"/>
  <c r="O172" i="25" s="1"/>
  <c r="P172" i="25" s="1"/>
  <c r="Q172" i="25" s="1"/>
  <c r="R172" i="25" s="1"/>
  <c r="S172" i="25" s="1"/>
  <c r="L135" i="27"/>
  <c r="L148" i="27"/>
  <c r="K147" i="27"/>
  <c r="K154" i="27"/>
  <c r="AQ102" i="28"/>
  <c r="AQ109" i="28" s="1"/>
  <c r="AQ138" i="28" s="1"/>
  <c r="AQ100" i="28"/>
  <c r="M147" i="27" l="1"/>
  <c r="N147" i="27" s="1"/>
  <c r="BN147" i="27" s="1"/>
  <c r="M135" i="27"/>
  <c r="BC17" i="28"/>
  <c r="BC12" i="28"/>
  <c r="BC8" i="28"/>
  <c r="BC7" i="28"/>
  <c r="BG9" i="28" s="1"/>
  <c r="BK170" i="5"/>
  <c r="BP170" i="5"/>
  <c r="BK171" i="5"/>
  <c r="BP171" i="5"/>
  <c r="BP169" i="5"/>
  <c r="BQ169" i="5" s="1"/>
  <c r="BP165" i="5"/>
  <c r="BP271" i="5"/>
  <c r="AQ92" i="28" s="1"/>
  <c r="BP272" i="5"/>
  <c r="BP270" i="5"/>
  <c r="BP269" i="5"/>
  <c r="AQ90" i="28" s="1"/>
  <c r="BP80" i="5"/>
  <c r="BP161" i="5"/>
  <c r="BP160" i="5"/>
  <c r="BP136" i="5"/>
  <c r="AQ140" i="28" s="1"/>
  <c r="BP135" i="5"/>
  <c r="K170" i="25" l="1"/>
  <c r="BQ171" i="5"/>
  <c r="BR171" i="5" s="1"/>
  <c r="M151" i="27"/>
  <c r="N135" i="27"/>
  <c r="N151" i="27" s="1"/>
  <c r="BN151" i="27" s="1"/>
  <c r="BQ165" i="5"/>
  <c r="BR165" i="5" s="1"/>
  <c r="E3131" i="16"/>
  <c r="E3134" i="16" s="1"/>
  <c r="BQ170" i="5"/>
  <c r="F3131" i="16" s="1"/>
  <c r="F3134" i="16" s="1"/>
  <c r="BC13" i="28"/>
  <c r="BG14" i="28" s="1"/>
  <c r="AQ104" i="28"/>
  <c r="AQ139" i="28"/>
  <c r="BP274" i="5"/>
  <c r="AQ91" i="28"/>
  <c r="L13" i="27"/>
  <c r="M67" i="27"/>
  <c r="H14" i="9"/>
  <c r="N18" i="27"/>
  <c r="N37" i="27" s="1"/>
  <c r="M18" i="27"/>
  <c r="M37" i="27" s="1"/>
  <c r="L18" i="27"/>
  <c r="L37" i="27" s="1"/>
  <c r="K18" i="27"/>
  <c r="K37" i="27" s="1"/>
  <c r="J18" i="27"/>
  <c r="J37" i="27" s="1"/>
  <c r="I18" i="27"/>
  <c r="I37" i="27" s="1"/>
  <c r="H18" i="27"/>
  <c r="H37" i="27" s="1"/>
  <c r="G18" i="27"/>
  <c r="G37" i="27" s="1"/>
  <c r="N33" i="27"/>
  <c r="L170" i="25" l="1"/>
  <c r="M170" i="25" s="1"/>
  <c r="N170" i="25" s="1"/>
  <c r="O170" i="25" s="1"/>
  <c r="P170" i="25" s="1"/>
  <c r="Q170" i="25" s="1"/>
  <c r="R170" i="25" s="1"/>
  <c r="S170" i="25" s="1"/>
  <c r="R118" i="27"/>
  <c r="AN33" i="27"/>
  <c r="BR170" i="5"/>
  <c r="P145" i="27"/>
  <c r="Q145" i="27"/>
  <c r="BN135" i="27"/>
  <c r="BN33" i="27"/>
  <c r="N161" i="27"/>
  <c r="S163" i="27" s="1"/>
  <c r="N132" i="27"/>
  <c r="N90" i="27"/>
  <c r="M79" i="27"/>
  <c r="M132" i="27"/>
  <c r="M90" i="27"/>
  <c r="M150" i="27"/>
  <c r="N133" i="27"/>
  <c r="BN133" i="27" s="1"/>
  <c r="H93" i="25"/>
  <c r="I93" i="25" s="1"/>
  <c r="J93" i="25" s="1"/>
  <c r="K93" i="25" s="1"/>
  <c r="L93" i="25" s="1"/>
  <c r="M93" i="25" s="1"/>
  <c r="N93" i="25" s="1"/>
  <c r="O93" i="25" s="1"/>
  <c r="G138" i="27"/>
  <c r="H138" i="27" s="1"/>
  <c r="L138" i="27"/>
  <c r="G137" i="27"/>
  <c r="H137" i="27" s="1"/>
  <c r="B132" i="27"/>
  <c r="L132" i="27"/>
  <c r="K132" i="27"/>
  <c r="J132" i="27"/>
  <c r="I132" i="27"/>
  <c r="H132" i="27"/>
  <c r="G132" i="27"/>
  <c r="G142" i="27"/>
  <c r="G144" i="27" s="1"/>
  <c r="G135" i="27"/>
  <c r="H135" i="27" s="1"/>
  <c r="I135" i="27" s="1"/>
  <c r="J135" i="27" s="1"/>
  <c r="H142" i="27"/>
  <c r="H144" i="27" s="1"/>
  <c r="H136" i="27"/>
  <c r="H134" i="27"/>
  <c r="I134" i="27" s="1"/>
  <c r="J134" i="27" s="1"/>
  <c r="I142" i="27"/>
  <c r="I144" i="27" s="1"/>
  <c r="C161" i="27"/>
  <c r="M153" i="27" l="1"/>
  <c r="AH150" i="27"/>
  <c r="P93" i="25"/>
  <c r="R162" i="27"/>
  <c r="R163" i="27"/>
  <c r="M138" i="27"/>
  <c r="N138" i="27" s="1"/>
  <c r="L137" i="27"/>
  <c r="M137" i="27" s="1"/>
  <c r="I138" i="27"/>
  <c r="I137" i="27"/>
  <c r="J137" i="27" s="1"/>
  <c r="H140" i="27"/>
  <c r="I136" i="27"/>
  <c r="J136" i="27" s="1"/>
  <c r="I140" i="27"/>
  <c r="B100" i="27"/>
  <c r="G101" i="27"/>
  <c r="G100" i="27"/>
  <c r="G97" i="27"/>
  <c r="G96" i="27"/>
  <c r="H101" i="27"/>
  <c r="H100" i="27"/>
  <c r="H97" i="27"/>
  <c r="H96" i="27"/>
  <c r="I101" i="27"/>
  <c r="I100" i="27"/>
  <c r="I97" i="27"/>
  <c r="I96" i="27"/>
  <c r="J101" i="27"/>
  <c r="J100" i="27"/>
  <c r="J97" i="27"/>
  <c r="J96" i="27"/>
  <c r="K101" i="27"/>
  <c r="K100" i="27"/>
  <c r="K97" i="27"/>
  <c r="K96" i="27"/>
  <c r="L101" i="27"/>
  <c r="L100" i="27"/>
  <c r="L97" i="27"/>
  <c r="L96" i="27"/>
  <c r="B101" i="27"/>
  <c r="L90" i="27"/>
  <c r="K90" i="27"/>
  <c r="J90" i="27"/>
  <c r="I90" i="27"/>
  <c r="H90" i="27"/>
  <c r="G90" i="27"/>
  <c r="B92" i="27"/>
  <c r="B79" i="27"/>
  <c r="L70" i="27"/>
  <c r="L76" i="27" s="1"/>
  <c r="K70" i="27"/>
  <c r="K76" i="27" s="1"/>
  <c r="J70" i="27"/>
  <c r="J76" i="27" s="1"/>
  <c r="I70" i="27"/>
  <c r="I76" i="27" s="1"/>
  <c r="H70" i="27"/>
  <c r="H76" i="27" s="1"/>
  <c r="G70" i="27"/>
  <c r="G76" i="27" s="1"/>
  <c r="L69" i="27"/>
  <c r="K69" i="27"/>
  <c r="K75" i="27" s="1"/>
  <c r="K105" i="27" s="1"/>
  <c r="J69" i="27"/>
  <c r="J75" i="27" s="1"/>
  <c r="J105" i="27" s="1"/>
  <c r="I69" i="27"/>
  <c r="I75" i="27" s="1"/>
  <c r="I105" i="27" s="1"/>
  <c r="H69" i="27"/>
  <c r="H75" i="27" s="1"/>
  <c r="H105" i="27" s="1"/>
  <c r="G69" i="27"/>
  <c r="G75" i="27" s="1"/>
  <c r="G105" i="27" s="1"/>
  <c r="L68" i="27"/>
  <c r="L74" i="27" s="1"/>
  <c r="L104" i="27" s="1"/>
  <c r="L110" i="27" s="1"/>
  <c r="K68" i="27"/>
  <c r="K74" i="27" s="1"/>
  <c r="K104" i="27" s="1"/>
  <c r="K110" i="27" s="1"/>
  <c r="J68" i="27"/>
  <c r="J74" i="27" s="1"/>
  <c r="J104" i="27" s="1"/>
  <c r="J110" i="27" s="1"/>
  <c r="I68" i="27"/>
  <c r="I74" i="27" s="1"/>
  <c r="I104" i="27" s="1"/>
  <c r="I110" i="27" s="1"/>
  <c r="H68" i="27"/>
  <c r="H74" i="27" s="1"/>
  <c r="H104" i="27" s="1"/>
  <c r="H110" i="27" s="1"/>
  <c r="G68" i="27"/>
  <c r="G74" i="27" s="1"/>
  <c r="G104" i="27" s="1"/>
  <c r="G110" i="27" s="1"/>
  <c r="B70" i="27"/>
  <c r="B76" i="27" s="1"/>
  <c r="B69" i="27"/>
  <c r="B75" i="27" s="1"/>
  <c r="B68" i="27"/>
  <c r="B74" i="27" s="1"/>
  <c r="L136" i="27"/>
  <c r="K151" i="27"/>
  <c r="L134" i="27"/>
  <c r="K142" i="27"/>
  <c r="K144" i="27" s="1"/>
  <c r="J142" i="27"/>
  <c r="J144" i="27" s="1"/>
  <c r="F215" i="25" s="1"/>
  <c r="L142" i="27"/>
  <c r="L109" i="27"/>
  <c r="L159" i="27" s="1"/>
  <c r="L33" i="27"/>
  <c r="AL33" i="27" s="1"/>
  <c r="L24" i="27"/>
  <c r="AL24" i="27" s="1"/>
  <c r="L20" i="27"/>
  <c r="L19" i="27"/>
  <c r="AL19" i="27" s="1"/>
  <c r="L10" i="27"/>
  <c r="L9" i="27"/>
  <c r="P95" i="27" l="1"/>
  <c r="AL20" i="27"/>
  <c r="Q93" i="25"/>
  <c r="P99" i="27"/>
  <c r="P73" i="27"/>
  <c r="P103" i="27" s="1"/>
  <c r="O145" i="27"/>
  <c r="P118" i="27"/>
  <c r="P92" i="27"/>
  <c r="P80" i="27"/>
  <c r="P93" i="27" s="1"/>
  <c r="P111" i="27" s="1"/>
  <c r="N137" i="27"/>
  <c r="L150" i="27"/>
  <c r="AG150" i="27" s="1"/>
  <c r="M134" i="27"/>
  <c r="N134" i="27" s="1"/>
  <c r="BN134" i="27" s="1"/>
  <c r="L154" i="27"/>
  <c r="M136" i="27"/>
  <c r="M154" i="27" s="1"/>
  <c r="M155" i="27" s="1"/>
  <c r="L144" i="27"/>
  <c r="M140" i="27" s="1"/>
  <c r="L151" i="27"/>
  <c r="J138" i="27"/>
  <c r="L122" i="27"/>
  <c r="P123" i="27" s="1"/>
  <c r="J140" i="27"/>
  <c r="L161" i="27"/>
  <c r="L133" i="27"/>
  <c r="L75" i="27"/>
  <c r="L105" i="27" s="1"/>
  <c r="L67" i="27"/>
  <c r="L79" i="27" s="1"/>
  <c r="K140" i="27"/>
  <c r="L30" i="27"/>
  <c r="L31" i="27"/>
  <c r="L34" i="27"/>
  <c r="L160" i="27" s="1"/>
  <c r="J75" i="9"/>
  <c r="E75" i="9"/>
  <c r="G75" i="9" s="1"/>
  <c r="V187" i="10"/>
  <c r="D5941" i="3"/>
  <c r="G5936" i="3"/>
  <c r="F5934" i="3"/>
  <c r="H5936" i="3" s="1"/>
  <c r="D5928" i="3"/>
  <c r="R93" i="25" l="1"/>
  <c r="P162" i="27"/>
  <c r="Q163" i="27"/>
  <c r="L153" i="27"/>
  <c r="L155" i="27" s="1"/>
  <c r="N136" i="27"/>
  <c r="BN136" i="27" s="1"/>
  <c r="M139" i="27"/>
  <c r="L140" i="27"/>
  <c r="L139" i="27" s="1"/>
  <c r="L75" i="9"/>
  <c r="M68" i="29"/>
  <c r="M65" i="29"/>
  <c r="M62" i="29"/>
  <c r="M59" i="29"/>
  <c r="M40" i="29"/>
  <c r="L68" i="29"/>
  <c r="L65" i="29"/>
  <c r="L62" i="29"/>
  <c r="L59" i="29"/>
  <c r="L40" i="29"/>
  <c r="L39" i="29"/>
  <c r="L27" i="29"/>
  <c r="L26" i="29"/>
  <c r="L25" i="29"/>
  <c r="L20" i="29"/>
  <c r="L19" i="29"/>
  <c r="L16" i="29"/>
  <c r="L11" i="29"/>
  <c r="L9" i="29"/>
  <c r="L8" i="29"/>
  <c r="K40" i="29"/>
  <c r="K39" i="29"/>
  <c r="K27" i="29"/>
  <c r="K26" i="29"/>
  <c r="K25" i="29"/>
  <c r="K20" i="29"/>
  <c r="K19" i="29"/>
  <c r="K16" i="29"/>
  <c r="K11" i="29"/>
  <c r="K9" i="29"/>
  <c r="K8" i="29"/>
  <c r="I67" i="29"/>
  <c r="I68" i="29" s="1"/>
  <c r="I64" i="29"/>
  <c r="I65" i="29" s="1"/>
  <c r="I61" i="29"/>
  <c r="I62" i="29" s="1"/>
  <c r="I58" i="29"/>
  <c r="I59" i="29" s="1"/>
  <c r="I54" i="29"/>
  <c r="I51" i="29"/>
  <c r="I48" i="29"/>
  <c r="I45" i="29"/>
  <c r="I40" i="29"/>
  <c r="I39" i="29"/>
  <c r="H33" i="29"/>
  <c r="H32" i="29"/>
  <c r="H31" i="29"/>
  <c r="J29" i="29"/>
  <c r="J35" i="29" s="1"/>
  <c r="I29" i="29"/>
  <c r="I35" i="29" s="1"/>
  <c r="H29" i="29"/>
  <c r="F29" i="29"/>
  <c r="F35" i="29" s="1"/>
  <c r="G27" i="29"/>
  <c r="G29" i="29" s="1"/>
  <c r="G35" i="29" s="1"/>
  <c r="J22" i="29"/>
  <c r="I22" i="29"/>
  <c r="H22" i="29"/>
  <c r="G22" i="29"/>
  <c r="F22" i="29"/>
  <c r="J13" i="29"/>
  <c r="I13" i="29"/>
  <c r="H13" i="29"/>
  <c r="G13" i="29"/>
  <c r="F13" i="29"/>
  <c r="L7" i="29"/>
  <c r="C3451" i="16" l="1"/>
  <c r="D75" i="30"/>
  <c r="D77" i="30" s="1"/>
  <c r="S93" i="25"/>
  <c r="I49" i="29"/>
  <c r="I52" i="29"/>
  <c r="I46" i="29"/>
  <c r="I55" i="29"/>
  <c r="N154" i="27"/>
  <c r="BN154" i="27" s="1"/>
  <c r="L22" i="29"/>
  <c r="L29" i="29"/>
  <c r="H35" i="29"/>
  <c r="CD3330" i="16" l="1"/>
  <c r="BM3330" i="16"/>
  <c r="BR300" i="5"/>
  <c r="BP300" i="5"/>
  <c r="BO300" i="5"/>
  <c r="BM300" i="5"/>
  <c r="BL300" i="5"/>
  <c r="BK300" i="5"/>
  <c r="BJ300" i="5"/>
  <c r="BH300" i="5"/>
  <c r="BG300" i="5"/>
  <c r="BF300" i="5"/>
  <c r="BE300" i="5"/>
  <c r="CC91" i="28"/>
  <c r="BO263" i="5" l="1"/>
  <c r="BO179" i="5"/>
  <c r="BO161" i="5"/>
  <c r="BO160" i="5"/>
  <c r="BO156" i="5"/>
  <c r="BO155" i="5"/>
  <c r="BO151" i="5"/>
  <c r="BO150" i="5"/>
  <c r="BO146" i="5"/>
  <c r="BO136" i="5"/>
  <c r="AP140" i="28" s="1"/>
  <c r="BO135" i="5"/>
  <c r="BO131" i="5"/>
  <c r="BO80" i="5"/>
  <c r="BO19" i="5"/>
  <c r="O11" i="29" s="1"/>
  <c r="O13" i="29" s="1"/>
  <c r="BB8" i="28"/>
  <c r="BF10" i="28" s="1"/>
  <c r="BB7" i="28"/>
  <c r="BF9" i="28" s="1"/>
  <c r="BB17" i="28"/>
  <c r="CC92" i="28" s="1"/>
  <c r="BB12" i="28"/>
  <c r="AP102" i="28"/>
  <c r="AP109" i="28" s="1"/>
  <c r="AP138" i="28" s="1"/>
  <c r="AP100" i="28"/>
  <c r="K109" i="27"/>
  <c r="K159" i="27" s="1"/>
  <c r="K33" i="27"/>
  <c r="K24" i="27"/>
  <c r="K13" i="27"/>
  <c r="K20" i="27"/>
  <c r="K19" i="27"/>
  <c r="AK19" i="27" s="1"/>
  <c r="O95" i="27" l="1"/>
  <c r="AK20" i="27"/>
  <c r="O118" i="27"/>
  <c r="AK33" i="27"/>
  <c r="O73" i="27"/>
  <c r="O103" i="27" s="1"/>
  <c r="AK24" i="27"/>
  <c r="ES131" i="5"/>
  <c r="BB13" i="28"/>
  <c r="BF14" i="28" s="1"/>
  <c r="O92" i="27"/>
  <c r="O80" i="27"/>
  <c r="O93" i="27" s="1"/>
  <c r="O111" i="27" s="1"/>
  <c r="O99" i="27"/>
  <c r="ES20" i="5"/>
  <c r="BT21" i="5"/>
  <c r="R4" i="30" s="1"/>
  <c r="BO21" i="5"/>
  <c r="N4" i="30" s="1"/>
  <c r="BO132" i="5"/>
  <c r="BT137" i="5"/>
  <c r="AT141" i="28" s="1"/>
  <c r="BT152" i="5"/>
  <c r="BT148" i="5"/>
  <c r="AP104" i="28"/>
  <c r="AP139" i="28"/>
  <c r="BO81" i="5"/>
  <c r="BR80" i="5"/>
  <c r="BR81" i="5" s="1"/>
  <c r="K150" i="27"/>
  <c r="K139" i="27"/>
  <c r="K133" i="27"/>
  <c r="K122" i="27"/>
  <c r="O123" i="27" s="1"/>
  <c r="K161" i="27"/>
  <c r="K67" i="27"/>
  <c r="K79" i="27" s="1"/>
  <c r="BO162" i="5"/>
  <c r="BO265" i="5"/>
  <c r="BO147" i="5"/>
  <c r="BO157" i="5"/>
  <c r="U139" i="10"/>
  <c r="V139" i="10" s="1"/>
  <c r="W139" i="10" s="1"/>
  <c r="X139" i="10" s="1"/>
  <c r="Y139" i="10" s="1"/>
  <c r="Z139" i="10" s="1"/>
  <c r="Q122" i="10"/>
  <c r="K153" i="27" l="1"/>
  <c r="K155" i="27" s="1"/>
  <c r="AF150" i="27"/>
  <c r="Z151" i="10"/>
  <c r="AA139" i="10"/>
  <c r="BT123" i="5"/>
  <c r="AL208" i="28" s="1"/>
  <c r="EX21" i="5"/>
  <c r="O162" i="27"/>
  <c r="P163" i="27"/>
  <c r="BT71" i="5"/>
  <c r="BT72" i="5"/>
  <c r="K34" i="27"/>
  <c r="K160" i="27" s="1"/>
  <c r="K31" i="27"/>
  <c r="K30" i="27"/>
  <c r="EX71" i="5" l="1"/>
  <c r="EX72" i="5"/>
  <c r="AA151" i="10"/>
  <c r="AB139" i="10"/>
  <c r="AB151" i="10" l="1"/>
  <c r="AC139" i="10"/>
  <c r="EL39" i="5"/>
  <c r="EL35" i="5"/>
  <c r="EL33" i="5"/>
  <c r="EL32" i="5"/>
  <c r="EL31" i="5"/>
  <c r="EL20" i="5"/>
  <c r="EL18" i="5"/>
  <c r="EL14" i="5"/>
  <c r="EL16" i="5"/>
  <c r="D2901" i="16"/>
  <c r="E2901" i="16" s="1"/>
  <c r="F2901" i="16" s="1"/>
  <c r="G2901" i="16" s="1"/>
  <c r="H2901" i="16" s="1"/>
  <c r="I2901" i="16" s="1"/>
  <c r="J2901" i="16" s="1"/>
  <c r="D2893" i="16"/>
  <c r="E2893" i="16" s="1"/>
  <c r="F2893" i="16" s="1"/>
  <c r="G2893" i="16" s="1"/>
  <c r="H2893" i="16" s="1"/>
  <c r="I2893" i="16" s="1"/>
  <c r="J2893" i="16" s="1"/>
  <c r="D2885" i="16"/>
  <c r="E2885" i="16" s="1"/>
  <c r="F2885" i="16" s="1"/>
  <c r="G2885" i="16" s="1"/>
  <c r="H2885" i="16" s="1"/>
  <c r="I2885" i="16" s="1"/>
  <c r="J2885" i="16" s="1"/>
  <c r="AC151" i="10" l="1"/>
  <c r="AD139" i="10"/>
  <c r="AD151" i="10" s="1"/>
  <c r="L45" i="29"/>
  <c r="K45" i="29"/>
  <c r="L54" i="29"/>
  <c r="L55" i="29" s="1"/>
  <c r="K54" i="29"/>
  <c r="L51" i="29"/>
  <c r="L52" i="29" s="1"/>
  <c r="K51" i="29"/>
  <c r="L48" i="29"/>
  <c r="L49" i="29" s="1"/>
  <c r="K48" i="29"/>
  <c r="Q112" i="10"/>
  <c r="P78" i="10"/>
  <c r="S56" i="10"/>
  <c r="T56" i="10" s="1"/>
  <c r="U56" i="10" s="1"/>
  <c r="V56" i="10" s="1"/>
  <c r="W56" i="10" s="1"/>
  <c r="X56" i="10" s="1"/>
  <c r="Y56" i="10" s="1"/>
  <c r="Z56" i="10" s="1"/>
  <c r="Z88" i="10" l="1"/>
  <c r="AA56" i="10"/>
  <c r="Q139" i="10"/>
  <c r="R124" i="10"/>
  <c r="L46" i="29"/>
  <c r="P186" i="10"/>
  <c r="P184" i="10"/>
  <c r="P126" i="10"/>
  <c r="Q64" i="10"/>
  <c r="Q63" i="10"/>
  <c r="Q62" i="10"/>
  <c r="Q61" i="10"/>
  <c r="AB56" i="10" l="1"/>
  <c r="AA88" i="10"/>
  <c r="Q65" i="10"/>
  <c r="M7" i="29"/>
  <c r="Q289" i="10"/>
  <c r="S177" i="13"/>
  <c r="P122" i="10"/>
  <c r="Q157" i="10"/>
  <c r="Q271" i="10"/>
  <c r="Q244" i="10"/>
  <c r="S60" i="13"/>
  <c r="Q60" i="13"/>
  <c r="S181" i="13" l="1"/>
  <c r="AB88" i="10"/>
  <c r="AC56" i="10"/>
  <c r="R169" i="10"/>
  <c r="M6" i="29"/>
  <c r="Q282" i="10"/>
  <c r="Q299" i="10"/>
  <c r="BR131" i="5"/>
  <c r="AD56" i="10" l="1"/>
  <c r="AD88" i="10" s="1"/>
  <c r="AC88" i="10"/>
  <c r="BM171" i="5"/>
  <c r="CB91" i="28"/>
  <c r="AO102" i="28" l="1"/>
  <c r="AO109" i="28" s="1"/>
  <c r="AO138" i="28" s="1"/>
  <c r="AO100" i="28"/>
  <c r="BM83" i="5" l="1"/>
  <c r="CF22" i="28" s="1"/>
  <c r="BM79" i="5"/>
  <c r="BM78" i="5"/>
  <c r="BA17" i="28"/>
  <c r="CB92" i="28" s="1"/>
  <c r="BA12" i="28"/>
  <c r="BA8" i="28"/>
  <c r="BE10" i="28" s="1"/>
  <c r="BA7" i="28"/>
  <c r="BE9" i="28" s="1"/>
  <c r="BM206" i="5"/>
  <c r="BM97" i="5"/>
  <c r="BM103" i="5"/>
  <c r="BM271" i="5"/>
  <c r="AO92" i="28" s="1"/>
  <c r="BM272" i="5"/>
  <c r="BM270" i="5"/>
  <c r="AO91" i="28" s="1"/>
  <c r="CB90" i="28" s="1"/>
  <c r="BM269" i="5"/>
  <c r="AO90" i="28" s="1"/>
  <c r="BM263" i="5"/>
  <c r="BM201" i="5"/>
  <c r="BM179" i="5"/>
  <c r="BM161" i="5"/>
  <c r="BM160" i="5"/>
  <c r="BM156" i="5"/>
  <c r="BM155" i="5"/>
  <c r="BM151" i="5"/>
  <c r="BM150" i="5"/>
  <c r="AO112" i="28" s="1"/>
  <c r="BM146" i="5"/>
  <c r="BM136" i="5"/>
  <c r="AO140" i="28" s="1"/>
  <c r="BM135" i="5"/>
  <c r="BM131" i="5"/>
  <c r="BM69" i="5"/>
  <c r="BM68" i="5"/>
  <c r="BM67" i="5"/>
  <c r="BM19" i="5"/>
  <c r="BM21" i="5" s="1"/>
  <c r="M4" i="30" s="1"/>
  <c r="BR137" i="5" l="1"/>
  <c r="AS141" i="28" s="1"/>
  <c r="EQ131" i="5"/>
  <c r="BA13" i="28"/>
  <c r="BE14" i="28" s="1"/>
  <c r="AO139" i="28"/>
  <c r="AO104" i="28"/>
  <c r="BM209" i="5"/>
  <c r="BM211" i="5" s="1"/>
  <c r="BM108" i="5"/>
  <c r="BM147" i="5"/>
  <c r="BM114" i="5"/>
  <c r="BM274" i="5"/>
  <c r="BM157" i="5"/>
  <c r="BM132" i="5"/>
  <c r="BM162" i="5"/>
  <c r="CF9" i="28" l="1"/>
  <c r="BM119" i="5"/>
  <c r="F33" i="27" l="1"/>
  <c r="F24" i="27"/>
  <c r="F20" i="27"/>
  <c r="F19" i="27"/>
  <c r="J33" i="27"/>
  <c r="J24" i="27"/>
  <c r="J20" i="27"/>
  <c r="J19" i="27"/>
  <c r="J13" i="27"/>
  <c r="J10" i="27"/>
  <c r="J9" i="27"/>
  <c r="N99" i="27" l="1"/>
  <c r="M145" i="27"/>
  <c r="J118" i="27"/>
  <c r="N118" i="27"/>
  <c r="J95" i="27"/>
  <c r="N95" i="27"/>
  <c r="J139" i="27"/>
  <c r="J122" i="27"/>
  <c r="M129" i="27" s="1"/>
  <c r="S130" i="27" s="1"/>
  <c r="F122" i="27"/>
  <c r="J161" i="27"/>
  <c r="N162" i="27" s="1"/>
  <c r="J133" i="27"/>
  <c r="F161" i="27"/>
  <c r="J67" i="27"/>
  <c r="J79" i="27" s="1"/>
  <c r="J80" i="27" s="1"/>
  <c r="J93" i="27" s="1"/>
  <c r="J111" i="27" s="1"/>
  <c r="J99" i="27"/>
  <c r="J92" i="27"/>
  <c r="F30" i="27"/>
  <c r="J31" i="27"/>
  <c r="F31" i="27"/>
  <c r="F34" i="27"/>
  <c r="F160" i="27" s="1"/>
  <c r="J30" i="27"/>
  <c r="J34" i="27"/>
  <c r="J160" i="27" s="1"/>
  <c r="J162" i="27" l="1"/>
  <c r="J73" i="27"/>
  <c r="J103" i="27" s="1"/>
  <c r="EP39" i="5" l="1"/>
  <c r="EO39" i="5"/>
  <c r="EN39" i="5"/>
  <c r="EN37" i="5"/>
  <c r="EP35" i="5"/>
  <c r="EO35" i="5"/>
  <c r="EP33" i="5"/>
  <c r="EO33" i="5"/>
  <c r="EN33" i="5"/>
  <c r="EP32" i="5"/>
  <c r="AR111" i="28" s="1"/>
  <c r="EO32" i="5"/>
  <c r="AQ111" i="28" s="1"/>
  <c r="EN32" i="5"/>
  <c r="AP111" i="28" s="1"/>
  <c r="EP31" i="5"/>
  <c r="EO31" i="5"/>
  <c r="EN31" i="5"/>
  <c r="EP20" i="5"/>
  <c r="EO20" i="5"/>
  <c r="EN20" i="5"/>
  <c r="EP18" i="5"/>
  <c r="EO18" i="5"/>
  <c r="EN18" i="5"/>
  <c r="EP16" i="5"/>
  <c r="EO16" i="5"/>
  <c r="EN16" i="5"/>
  <c r="BP263" i="5"/>
  <c r="BQ209" i="5"/>
  <c r="BQ211" i="5" s="1"/>
  <c r="BP209" i="5"/>
  <c r="BP211" i="5" s="1"/>
  <c r="BO209" i="5"/>
  <c r="BO211" i="5" s="1"/>
  <c r="BQ206" i="5"/>
  <c r="BP206" i="5"/>
  <c r="BO206" i="5"/>
  <c r="BQ201" i="5"/>
  <c r="BP201" i="5"/>
  <c r="BO201" i="5"/>
  <c r="BQ115" i="5"/>
  <c r="BP115" i="5"/>
  <c r="BO115" i="5"/>
  <c r="BQ114" i="5"/>
  <c r="BP114" i="5"/>
  <c r="BO114" i="5"/>
  <c r="BQ108" i="5"/>
  <c r="BP108" i="5"/>
  <c r="BO108" i="5"/>
  <c r="BM111" i="5" s="1"/>
  <c r="BQ96" i="5"/>
  <c r="BQ107" i="5" s="1"/>
  <c r="P6" i="30" s="1"/>
  <c r="BP96" i="5"/>
  <c r="BP107" i="5" s="1"/>
  <c r="O6" i="30" s="1"/>
  <c r="O10" i="30" s="1"/>
  <c r="O14" i="30" s="1"/>
  <c r="BO96" i="5"/>
  <c r="BO107" i="5" s="1"/>
  <c r="BP81" i="5"/>
  <c r="K33" i="29" s="1"/>
  <c r="BQ81" i="5"/>
  <c r="L33" i="29" s="1"/>
  <c r="BQ69" i="5"/>
  <c r="BP69" i="5"/>
  <c r="BO69" i="5"/>
  <c r="BQ67" i="5"/>
  <c r="BP67" i="5"/>
  <c r="BO67" i="5"/>
  <c r="BR209" i="5"/>
  <c r="BR211" i="5" s="1"/>
  <c r="BR206" i="5"/>
  <c r="BR201" i="5"/>
  <c r="BS115" i="5"/>
  <c r="BS104" i="5"/>
  <c r="BS37" i="5"/>
  <c r="BS18" i="5"/>
  <c r="C2868" i="16"/>
  <c r="E2868" i="16"/>
  <c r="F2868" i="16" s="1"/>
  <c r="G2868" i="16" s="1"/>
  <c r="BN32" i="5"/>
  <c r="B2830" i="16"/>
  <c r="B2829" i="16"/>
  <c r="C2819" i="16"/>
  <c r="D5687" i="3"/>
  <c r="F5712" i="3"/>
  <c r="N6" i="30" l="1"/>
  <c r="P10" i="30"/>
  <c r="P14" i="30" s="1"/>
  <c r="BO118" i="5"/>
  <c r="L32" i="29"/>
  <c r="BP273" i="5"/>
  <c r="AQ93" i="28" s="1"/>
  <c r="BQ140" i="5"/>
  <c r="BQ273" i="5"/>
  <c r="AR93" i="28" s="1"/>
  <c r="K32" i="29"/>
  <c r="EQ18" i="5"/>
  <c r="EQ37" i="5"/>
  <c r="M27" i="29"/>
  <c r="BP265" i="5"/>
  <c r="EN35" i="5"/>
  <c r="C2815" i="16"/>
  <c r="N10" i="30" l="1"/>
  <c r="N14" i="30" s="1"/>
  <c r="EU140" i="5"/>
  <c r="BQ278" i="5"/>
  <c r="BQ279" i="5" s="1"/>
  <c r="BP278" i="5"/>
  <c r="BP279" i="5" s="1"/>
  <c r="BQ141" i="5"/>
  <c r="BP266" i="5"/>
  <c r="BQ266" i="5"/>
  <c r="M9" i="29"/>
  <c r="BP141" i="5"/>
  <c r="BL179" i="5"/>
  <c r="BK179" i="5"/>
  <c r="BL80" i="5"/>
  <c r="BL81" i="5" s="1"/>
  <c r="AZ12" i="28"/>
  <c r="EP37" i="5"/>
  <c r="CA89" i="28"/>
  <c r="CA91" i="28"/>
  <c r="EK39" i="5"/>
  <c r="EK35" i="5"/>
  <c r="EK33" i="5"/>
  <c r="EK32" i="5"/>
  <c r="AN111" i="28" s="1"/>
  <c r="EK31" i="5"/>
  <c r="EK20" i="5"/>
  <c r="EK18" i="5"/>
  <c r="EK14" i="5"/>
  <c r="EK16" i="5"/>
  <c r="E33" i="27"/>
  <c r="E24" i="27"/>
  <c r="E20" i="27"/>
  <c r="E19" i="27"/>
  <c r="I24" i="27"/>
  <c r="I33" i="27"/>
  <c r="I20" i="27"/>
  <c r="M95" i="27" s="1"/>
  <c r="I19" i="27"/>
  <c r="M92" i="27" s="1"/>
  <c r="F10" i="27"/>
  <c r="F9" i="27"/>
  <c r="E10" i="27"/>
  <c r="E9" i="27"/>
  <c r="D10" i="27"/>
  <c r="D9" i="27"/>
  <c r="I13" i="27"/>
  <c r="I10" i="27"/>
  <c r="I9" i="27"/>
  <c r="I109" i="27"/>
  <c r="I159" i="27" s="1"/>
  <c r="BZ89" i="28"/>
  <c r="AN102" i="28"/>
  <c r="AN109" i="28" s="1"/>
  <c r="AN138" i="28" s="1"/>
  <c r="AN100" i="28"/>
  <c r="AZ17" i="28"/>
  <c r="CA92" i="28" s="1"/>
  <c r="AZ8" i="28"/>
  <c r="BD10" i="28" s="1"/>
  <c r="AZ7" i="28"/>
  <c r="BL271" i="5"/>
  <c r="AN92" i="28" s="1"/>
  <c r="BL272" i="5"/>
  <c r="BL270" i="5"/>
  <c r="AN91" i="28" s="1"/>
  <c r="CA90" i="28" s="1"/>
  <c r="BL269" i="5"/>
  <c r="BL263" i="5"/>
  <c r="BL209" i="5"/>
  <c r="BL211" i="5" s="1"/>
  <c r="BL206" i="5"/>
  <c r="BL201" i="5"/>
  <c r="BL161" i="5"/>
  <c r="BL160" i="5"/>
  <c r="BL156" i="5"/>
  <c r="BL155" i="5"/>
  <c r="BL151" i="5"/>
  <c r="BL150" i="5"/>
  <c r="AN112" i="28" s="1"/>
  <c r="BL146" i="5"/>
  <c r="BL136" i="5"/>
  <c r="AN140" i="28" s="1"/>
  <c r="BL135" i="5"/>
  <c r="AN104" i="28" s="1"/>
  <c r="BL131" i="5"/>
  <c r="BL132" i="5" s="1"/>
  <c r="BL115" i="5"/>
  <c r="BL114" i="5"/>
  <c r="BL108" i="5"/>
  <c r="BL119" i="5" s="1"/>
  <c r="BL96" i="5"/>
  <c r="BL107" i="5" s="1"/>
  <c r="L6" i="30" s="1"/>
  <c r="L10" i="30" s="1"/>
  <c r="L14" i="30" s="1"/>
  <c r="BL69" i="5"/>
  <c r="BL68" i="5"/>
  <c r="BL67" i="5"/>
  <c r="BL19" i="5"/>
  <c r="BL21" i="5" s="1"/>
  <c r="L4" i="30" s="1"/>
  <c r="W2808" i="16"/>
  <c r="V2808" i="16"/>
  <c r="U2808" i="16"/>
  <c r="W2807" i="16"/>
  <c r="V2807" i="16"/>
  <c r="U2807" i="16"/>
  <c r="W2806" i="16"/>
  <c r="V2806" i="16"/>
  <c r="U2806" i="16"/>
  <c r="W2805" i="16"/>
  <c r="V2805" i="16"/>
  <c r="U2805" i="16"/>
  <c r="CF14" i="28" l="1"/>
  <c r="CH14" i="28" s="1"/>
  <c r="EU141" i="5"/>
  <c r="ET141" i="5"/>
  <c r="I139" i="27"/>
  <c r="I118" i="27"/>
  <c r="M118" i="27"/>
  <c r="BL118" i="5"/>
  <c r="AZ13" i="28"/>
  <c r="BD14" i="28" s="1"/>
  <c r="BD9" i="28"/>
  <c r="M99" i="27"/>
  <c r="M73" i="27"/>
  <c r="M103" i="27" s="1"/>
  <c r="M80" i="27"/>
  <c r="M93" i="27" s="1"/>
  <c r="M111" i="27" s="1"/>
  <c r="I95" i="27"/>
  <c r="I122" i="27"/>
  <c r="L129" i="27" s="1"/>
  <c r="R130" i="27" s="1"/>
  <c r="E122" i="27"/>
  <c r="I133" i="27"/>
  <c r="E161" i="27"/>
  <c r="L145" i="27"/>
  <c r="I161" i="27"/>
  <c r="O163" i="27" s="1"/>
  <c r="I67" i="27"/>
  <c r="I73" i="27" s="1"/>
  <c r="I103" i="27" s="1"/>
  <c r="I99" i="27"/>
  <c r="I92" i="27"/>
  <c r="BM140" i="5"/>
  <c r="BM273" i="5"/>
  <c r="AO93" i="28" s="1"/>
  <c r="AN103" i="28"/>
  <c r="BL138" i="5"/>
  <c r="BL162" i="5"/>
  <c r="CA93" i="28"/>
  <c r="AN139" i="28"/>
  <c r="BL274" i="5"/>
  <c r="AN90" i="28"/>
  <c r="E30" i="27"/>
  <c r="E31" i="27"/>
  <c r="E34" i="27"/>
  <c r="E160" i="27" s="1"/>
  <c r="I31" i="27"/>
  <c r="I30" i="27"/>
  <c r="I34" i="27"/>
  <c r="I160" i="27" s="1"/>
  <c r="BL157" i="5"/>
  <c r="BL147" i="5"/>
  <c r="G2800" i="16"/>
  <c r="F2800" i="16"/>
  <c r="M2785" i="16"/>
  <c r="L2785" i="16"/>
  <c r="G2785" i="16"/>
  <c r="F2785" i="16"/>
  <c r="L31" i="29" l="1"/>
  <c r="L35" i="29" s="1"/>
  <c r="I162" i="27"/>
  <c r="M162" i="27"/>
  <c r="CF21" i="28"/>
  <c r="BP179" i="5"/>
  <c r="I79" i="27"/>
  <c r="I80" i="27" s="1"/>
  <c r="I93" i="27" s="1"/>
  <c r="I111" i="27" s="1"/>
  <c r="BK169" i="5"/>
  <c r="D5493" i="3"/>
  <c r="D5494" i="3" s="1"/>
  <c r="BJ92" i="28"/>
  <c r="BI92" i="28"/>
  <c r="BH92" i="28"/>
  <c r="AM100" i="28"/>
  <c r="BX91" i="28"/>
  <c r="BW91" i="28"/>
  <c r="BV91" i="28"/>
  <c r="BU91" i="28"/>
  <c r="BT91" i="28"/>
  <c r="BS91" i="28"/>
  <c r="BR91" i="28"/>
  <c r="BQ91" i="28"/>
  <c r="BP91" i="28"/>
  <c r="BO91" i="28"/>
  <c r="BN91" i="28"/>
  <c r="BM91" i="28"/>
  <c r="BL91" i="28"/>
  <c r="BK91" i="28"/>
  <c r="BJ91" i="28"/>
  <c r="BI91" i="28"/>
  <c r="BH91" i="28"/>
  <c r="BZ91" i="28"/>
  <c r="AL100" i="28"/>
  <c r="CF19" i="28" l="1"/>
  <c r="BQ184" i="5"/>
  <c r="BQ179" i="5"/>
  <c r="BM169" i="5"/>
  <c r="BK80" i="5"/>
  <c r="B97" i="27"/>
  <c r="B96" i="27"/>
  <c r="AY17" i="28"/>
  <c r="BZ92" i="28" s="1"/>
  <c r="AY12" i="28"/>
  <c r="AY8" i="28"/>
  <c r="BC10" i="28" s="1"/>
  <c r="AY7" i="28"/>
  <c r="BC9" i="28" s="1"/>
  <c r="EJ39" i="5"/>
  <c r="EJ35" i="5"/>
  <c r="EJ33" i="5"/>
  <c r="EJ32" i="5"/>
  <c r="AM111" i="28" s="1"/>
  <c r="EJ31" i="5"/>
  <c r="EJ20" i="5"/>
  <c r="AE41" i="28" s="1"/>
  <c r="EJ18" i="5"/>
  <c r="AE39" i="28" s="1"/>
  <c r="EJ14" i="5"/>
  <c r="AE38" i="28" s="1"/>
  <c r="EJ16" i="5"/>
  <c r="AE37" i="28" s="1"/>
  <c r="D33" i="27"/>
  <c r="C19" i="27"/>
  <c r="D24" i="27"/>
  <c r="D20" i="27"/>
  <c r="D19" i="27"/>
  <c r="G33" i="27"/>
  <c r="H33" i="27"/>
  <c r="G19" i="27"/>
  <c r="K92" i="27" s="1"/>
  <c r="H24" i="27"/>
  <c r="H20" i="27"/>
  <c r="H19" i="27"/>
  <c r="L92" i="27" s="1"/>
  <c r="BQ185" i="5" l="1"/>
  <c r="P17" i="30"/>
  <c r="P18" i="30" s="1"/>
  <c r="G118" i="27"/>
  <c r="K118" i="27"/>
  <c r="H139" i="27"/>
  <c r="H118" i="27"/>
  <c r="L118" i="27"/>
  <c r="D122" i="27"/>
  <c r="H122" i="27"/>
  <c r="K129" i="27" s="1"/>
  <c r="C34" i="27"/>
  <c r="C160" i="27" s="1"/>
  <c r="C122" i="27"/>
  <c r="G122" i="27"/>
  <c r="H161" i="27"/>
  <c r="N163" i="27" s="1"/>
  <c r="H133" i="27"/>
  <c r="G161" i="27"/>
  <c r="G133" i="27"/>
  <c r="I145" i="27"/>
  <c r="H145" i="27"/>
  <c r="D161" i="27"/>
  <c r="G145" i="27"/>
  <c r="L95" i="27"/>
  <c r="H95" i="27"/>
  <c r="L99" i="27"/>
  <c r="H99" i="27"/>
  <c r="L80" i="27"/>
  <c r="L93" i="27" s="1"/>
  <c r="L111" i="27" s="1"/>
  <c r="H92" i="27"/>
  <c r="K80" i="27"/>
  <c r="K93" i="27" s="1"/>
  <c r="G92" i="27"/>
  <c r="H67" i="27"/>
  <c r="H73" i="27" s="1"/>
  <c r="H103" i="27" s="1"/>
  <c r="L73" i="27"/>
  <c r="L103" i="27" s="1"/>
  <c r="K145" i="27"/>
  <c r="J145" i="27"/>
  <c r="BL265" i="5"/>
  <c r="BM265" i="5"/>
  <c r="EO37" i="5"/>
  <c r="H31" i="27"/>
  <c r="D31" i="27"/>
  <c r="AM103" i="28"/>
  <c r="BK138" i="5"/>
  <c r="D30" i="27"/>
  <c r="D34" i="27"/>
  <c r="D160" i="27" s="1"/>
  <c r="H34" i="27"/>
  <c r="H160" i="27" s="1"/>
  <c r="AY13" i="28"/>
  <c r="BC14" i="28" s="1"/>
  <c r="G34" i="27"/>
  <c r="G160" i="27" s="1"/>
  <c r="H30" i="27"/>
  <c r="BK271" i="5"/>
  <c r="BK272" i="5"/>
  <c r="BK270" i="5"/>
  <c r="BK269" i="5"/>
  <c r="BK263" i="5"/>
  <c r="BK209" i="5"/>
  <c r="BK211" i="5" s="1"/>
  <c r="BK206" i="5"/>
  <c r="BK201" i="5"/>
  <c r="BK161" i="5"/>
  <c r="BK160" i="5"/>
  <c r="BK156" i="5"/>
  <c r="BK155" i="5"/>
  <c r="BK151" i="5"/>
  <c r="BK150" i="5"/>
  <c r="AM112" i="28" s="1"/>
  <c r="BK146" i="5"/>
  <c r="BK136" i="5"/>
  <c r="AM140" i="28" s="1"/>
  <c r="BK135" i="5"/>
  <c r="BK131" i="5"/>
  <c r="BK114" i="5"/>
  <c r="BK108" i="5"/>
  <c r="BK115" i="5"/>
  <c r="BK96" i="5"/>
  <c r="BK107" i="5" s="1"/>
  <c r="K6" i="30" s="1"/>
  <c r="K10" i="30" s="1"/>
  <c r="K14" i="30" s="1"/>
  <c r="BK81" i="5"/>
  <c r="BK69" i="5"/>
  <c r="BK68" i="5"/>
  <c r="BK67" i="5"/>
  <c r="BK19" i="5"/>
  <c r="BK21" i="5" s="1"/>
  <c r="K4" i="30" s="1"/>
  <c r="J109" i="27"/>
  <c r="J159" i="27" s="1"/>
  <c r="H109" i="27"/>
  <c r="H159" i="27" s="1"/>
  <c r="G109" i="27"/>
  <c r="G159" i="27" s="1"/>
  <c r="F109" i="27"/>
  <c r="F159" i="27" s="1"/>
  <c r="E109" i="27"/>
  <c r="E159" i="27" s="1"/>
  <c r="D109" i="27"/>
  <c r="D159" i="27" s="1"/>
  <c r="C109" i="27"/>
  <c r="C159" i="27" s="1"/>
  <c r="H13" i="27"/>
  <c r="H10" i="27"/>
  <c r="H9" i="27"/>
  <c r="N58" i="29"/>
  <c r="P22" i="30" l="1"/>
  <c r="P19" i="30"/>
  <c r="Q19" i="30"/>
  <c r="BM278" i="5"/>
  <c r="BM279" i="5" s="1"/>
  <c r="BO278" i="5"/>
  <c r="BO279" i="5" s="1"/>
  <c r="K111" i="27"/>
  <c r="BO141" i="5"/>
  <c r="BM266" i="5"/>
  <c r="BO266" i="5"/>
  <c r="BK118" i="5"/>
  <c r="F129" i="27"/>
  <c r="L130" i="27" s="1"/>
  <c r="BM141" i="5"/>
  <c r="M163" i="27"/>
  <c r="G162" i="27"/>
  <c r="K162" i="27"/>
  <c r="H162" i="27"/>
  <c r="L162" i="27"/>
  <c r="J129" i="27"/>
  <c r="I129" i="27"/>
  <c r="H129" i="27"/>
  <c r="M130" i="27" s="1"/>
  <c r="L163" i="27"/>
  <c r="G129" i="27"/>
  <c r="H79" i="27"/>
  <c r="H80" i="27" s="1"/>
  <c r="H93" i="27" s="1"/>
  <c r="H111" i="27" s="1"/>
  <c r="BK119" i="5"/>
  <c r="BM110" i="5"/>
  <c r="AM91" i="28"/>
  <c r="BZ90" i="28" s="1"/>
  <c r="AM92" i="28"/>
  <c r="BK265" i="5"/>
  <c r="BL140" i="5"/>
  <c r="EP140" i="5" s="1"/>
  <c r="BL273" i="5"/>
  <c r="AN93" i="28" s="1"/>
  <c r="BK162" i="5"/>
  <c r="BK274" i="5"/>
  <c r="AM90" i="28"/>
  <c r="AM139" i="28"/>
  <c r="AM104" i="28"/>
  <c r="BK147" i="5"/>
  <c r="BK157" i="5"/>
  <c r="BK132" i="5"/>
  <c r="AD40" i="29"/>
  <c r="X27" i="29"/>
  <c r="S27" i="29"/>
  <c r="N27" i="29"/>
  <c r="AD27" i="29"/>
  <c r="AD25" i="29"/>
  <c r="AD20" i="29"/>
  <c r="N9" i="29"/>
  <c r="AD11" i="29"/>
  <c r="AD9" i="29"/>
  <c r="X68" i="29"/>
  <c r="S68" i="29"/>
  <c r="N68" i="29"/>
  <c r="AD68" i="29"/>
  <c r="K68" i="29"/>
  <c r="X65" i="29"/>
  <c r="S65" i="29"/>
  <c r="N65" i="29"/>
  <c r="AD65" i="29"/>
  <c r="K65" i="29"/>
  <c r="K62" i="29"/>
  <c r="K59" i="29"/>
  <c r="E29" i="29"/>
  <c r="E35" i="29" s="1"/>
  <c r="D29" i="29"/>
  <c r="D35" i="29" s="1"/>
  <c r="E22" i="29"/>
  <c r="D22" i="29"/>
  <c r="E13" i="29"/>
  <c r="D13" i="29"/>
  <c r="CG62" i="28"/>
  <c r="CI54" i="28"/>
  <c r="CH54" i="28"/>
  <c r="P23" i="30" l="1"/>
  <c r="Q23" i="30"/>
  <c r="BL278" i="5"/>
  <c r="BL279" i="5" s="1"/>
  <c r="BL141" i="5"/>
  <c r="EP141" i="5" s="1"/>
  <c r="BL266" i="5"/>
  <c r="CI68" i="28"/>
  <c r="CI77" i="28"/>
  <c r="CI76" i="28"/>
  <c r="CH71" i="28"/>
  <c r="CF71" i="28"/>
  <c r="CI69" i="28"/>
  <c r="CE71" i="28"/>
  <c r="CF59" i="28"/>
  <c r="CF58" i="28"/>
  <c r="CF57" i="28"/>
  <c r="AX8" i="28"/>
  <c r="BB10" i="28" s="1"/>
  <c r="AW8" i="28"/>
  <c r="BA10" i="28" s="1"/>
  <c r="AV8" i="28"/>
  <c r="AZ10" i="28" s="1"/>
  <c r="AU8" i="28"/>
  <c r="AY10" i="28" s="1"/>
  <c r="AT8" i="28"/>
  <c r="AR8" i="28"/>
  <c r="AQ8" i="28"/>
  <c r="AP8" i="28"/>
  <c r="AO8" i="28"/>
  <c r="AN8" i="28"/>
  <c r="AM8" i="28"/>
  <c r="AL8" i="28"/>
  <c r="AJ8" i="28"/>
  <c r="AI8" i="28"/>
  <c r="AH8" i="28"/>
  <c r="AG8" i="28"/>
  <c r="AF8" i="28"/>
  <c r="AE8" i="28"/>
  <c r="AD8" i="28"/>
  <c r="CH53" i="28"/>
  <c r="E116" i="25"/>
  <c r="E115" i="25"/>
  <c r="C2853" i="16"/>
  <c r="C2855" i="16" s="1"/>
  <c r="G13" i="27"/>
  <c r="K52" i="29" l="1"/>
  <c r="K46" i="29"/>
  <c r="K49" i="29"/>
  <c r="K55" i="29"/>
  <c r="AN10" i="28"/>
  <c r="AI10" i="28"/>
  <c r="AM10" i="28"/>
  <c r="AU10" i="28"/>
  <c r="AV10" i="28"/>
  <c r="AH10" i="28"/>
  <c r="AP10" i="28"/>
  <c r="AX10" i="28"/>
  <c r="AQ10" i="28"/>
  <c r="AJ10" i="28"/>
  <c r="AR10" i="28"/>
  <c r="AT10" i="28"/>
  <c r="AL10" i="28"/>
  <c r="CF27" i="28" l="1"/>
  <c r="FT365" i="5" l="1"/>
  <c r="BM168" i="5" l="1"/>
  <c r="U121" i="28"/>
  <c r="T121" i="28"/>
  <c r="S121" i="28"/>
  <c r="R121" i="28"/>
  <c r="Q121" i="28"/>
  <c r="P121" i="28"/>
  <c r="O121" i="28"/>
  <c r="N121" i="28"/>
  <c r="M121" i="28"/>
  <c r="L121" i="28"/>
  <c r="K121" i="28"/>
  <c r="J121" i="28"/>
  <c r="I121" i="28"/>
  <c r="H121" i="28"/>
  <c r="G121" i="28"/>
  <c r="F121" i="28"/>
  <c r="E121" i="28"/>
  <c r="D121" i="28"/>
  <c r="C121" i="28"/>
  <c r="B121" i="28"/>
  <c r="U119" i="28"/>
  <c r="T119" i="28"/>
  <c r="S119" i="28"/>
  <c r="R119" i="28"/>
  <c r="Q119" i="28"/>
  <c r="P119" i="28"/>
  <c r="O119" i="28"/>
  <c r="N119" i="28"/>
  <c r="M119" i="28"/>
  <c r="L119" i="28"/>
  <c r="K119" i="28"/>
  <c r="J119" i="28"/>
  <c r="I119" i="28"/>
  <c r="H119" i="28"/>
  <c r="G119" i="28"/>
  <c r="F119" i="28"/>
  <c r="D119" i="28"/>
  <c r="C119" i="28"/>
  <c r="B119" i="28"/>
  <c r="AM102" i="28"/>
  <c r="AM109" i="28" s="1"/>
  <c r="AM138" i="28" s="1"/>
  <c r="AL102" i="28"/>
  <c r="AL109" i="28" s="1"/>
  <c r="AL138" i="28" s="1"/>
  <c r="AK102" i="28"/>
  <c r="AK109" i="28" s="1"/>
  <c r="AK138" i="28" s="1"/>
  <c r="AJ102" i="28"/>
  <c r="AJ109" i="28" s="1"/>
  <c r="AJ138" i="28" s="1"/>
  <c r="AI102" i="28"/>
  <c r="AI109" i="28" s="1"/>
  <c r="AI138" i="28" s="1"/>
  <c r="AH102" i="28"/>
  <c r="AH109" i="28" s="1"/>
  <c r="AH138" i="28" s="1"/>
  <c r="AG102" i="28"/>
  <c r="AG109" i="28" s="1"/>
  <c r="AG138" i="28" s="1"/>
  <c r="AF102" i="28"/>
  <c r="AF109" i="28" s="1"/>
  <c r="AF138" i="28" s="1"/>
  <c r="AE102" i="28"/>
  <c r="AE109" i="28" s="1"/>
  <c r="AE138" i="28" s="1"/>
  <c r="AD102" i="28"/>
  <c r="AD109" i="28" s="1"/>
  <c r="AD138" i="28" s="1"/>
  <c r="AC102" i="28"/>
  <c r="AC109" i="28" s="1"/>
  <c r="AB102" i="28"/>
  <c r="AB109" i="28" s="1"/>
  <c r="AA102" i="28"/>
  <c r="AA109" i="28" s="1"/>
  <c r="Z102" i="28"/>
  <c r="Z109" i="28" s="1"/>
  <c r="Y102" i="28"/>
  <c r="X102" i="28"/>
  <c r="W102" i="28"/>
  <c r="V102" i="28"/>
  <c r="U102" i="28"/>
  <c r="T102" i="28"/>
  <c r="S102" i="28"/>
  <c r="R102" i="28"/>
  <c r="Q102" i="28"/>
  <c r="P102" i="28"/>
  <c r="O102" i="28"/>
  <c r="N102" i="28"/>
  <c r="AK100" i="28"/>
  <c r="AJ100" i="28"/>
  <c r="AI100" i="28"/>
  <c r="AH100" i="28"/>
  <c r="AG100" i="28"/>
  <c r="AF100" i="28"/>
  <c r="AE100" i="28"/>
  <c r="AD100" i="28"/>
  <c r="AC100" i="28"/>
  <c r="AB100" i="28"/>
  <c r="AA100" i="28"/>
  <c r="Z100" i="28"/>
  <c r="Y100" i="28"/>
  <c r="X100" i="28"/>
  <c r="W100" i="28"/>
  <c r="V100" i="28"/>
  <c r="U100" i="28"/>
  <c r="T100" i="28"/>
  <c r="S100" i="28"/>
  <c r="R100" i="28"/>
  <c r="Q100" i="28"/>
  <c r="P100" i="28"/>
  <c r="O100" i="28"/>
  <c r="N100" i="28"/>
  <c r="A93" i="28"/>
  <c r="A100" i="28" s="1"/>
  <c r="R92" i="28"/>
  <c r="S120" i="28"/>
  <c r="R91" i="28"/>
  <c r="R90" i="28"/>
  <c r="CC89" i="28"/>
  <c r="CB89" i="28"/>
  <c r="BX89" i="28"/>
  <c r="BW89" i="28"/>
  <c r="BV89" i="28"/>
  <c r="BU89" i="28"/>
  <c r="BT89" i="28"/>
  <c r="BS89" i="28"/>
  <c r="BR89" i="28"/>
  <c r="BQ89" i="28"/>
  <c r="BP89" i="28"/>
  <c r="BO89" i="28"/>
  <c r="BN89" i="28"/>
  <c r="BM89" i="28"/>
  <c r="BL89" i="28"/>
  <c r="A67" i="28"/>
  <c r="A64" i="28"/>
  <c r="A54" i="28" s="1"/>
  <c r="A63" i="28"/>
  <c r="A53" i="28" s="1"/>
  <c r="A62" i="28"/>
  <c r="A52" i="28" s="1"/>
  <c r="AG61" i="28"/>
  <c r="AF61" i="28"/>
  <c r="AE61" i="28"/>
  <c r="A61" i="28"/>
  <c r="A51" i="28" s="1"/>
  <c r="AG60" i="28"/>
  <c r="AG50" i="28" s="1"/>
  <c r="AF60" i="28"/>
  <c r="AF50" i="28" s="1"/>
  <c r="AE60" i="28"/>
  <c r="AE50" i="28" s="1"/>
  <c r="AD60" i="28"/>
  <c r="AD50" i="28" s="1"/>
  <c r="AC60" i="28"/>
  <c r="AC50" i="28" s="1"/>
  <c r="AB60" i="28"/>
  <c r="AB50" i="28" s="1"/>
  <c r="AA60" i="28"/>
  <c r="AA50" i="28" s="1"/>
  <c r="Z60" i="28"/>
  <c r="Z50" i="28" s="1"/>
  <c r="Y60" i="28"/>
  <c r="Y50" i="28" s="1"/>
  <c r="X60" i="28"/>
  <c r="X50" i="28" s="1"/>
  <c r="W60" i="28"/>
  <c r="W50" i="28" s="1"/>
  <c r="V60" i="28"/>
  <c r="V50" i="28" s="1"/>
  <c r="U60" i="28"/>
  <c r="U50" i="28" s="1"/>
  <c r="T60" i="28"/>
  <c r="T50" i="28" s="1"/>
  <c r="S60" i="28"/>
  <c r="S50" i="28" s="1"/>
  <c r="R60" i="28"/>
  <c r="R50" i="28" s="1"/>
  <c r="AF57" i="28"/>
  <c r="AD57" i="28"/>
  <c r="U57" i="28"/>
  <c r="S57" i="28"/>
  <c r="P57" i="28"/>
  <c r="N57" i="28"/>
  <c r="L57" i="28"/>
  <c r="K57" i="28"/>
  <c r="J57" i="28"/>
  <c r="I57" i="28"/>
  <c r="H57" i="28"/>
  <c r="F57" i="28"/>
  <c r="D57" i="28"/>
  <c r="C57" i="28"/>
  <c r="A57" i="28"/>
  <c r="AD56" i="28"/>
  <c r="AC56" i="28"/>
  <c r="AB56" i="28"/>
  <c r="AA56" i="28"/>
  <c r="Z56" i="28"/>
  <c r="X56" i="28"/>
  <c r="W56" i="28"/>
  <c r="V56" i="28"/>
  <c r="U56" i="28"/>
  <c r="T56" i="28"/>
  <c r="S56" i="28"/>
  <c r="R56" i="28"/>
  <c r="P56" i="28"/>
  <c r="O56" i="28"/>
  <c r="N56" i="28"/>
  <c r="L56" i="28"/>
  <c r="K56" i="28"/>
  <c r="J56" i="28"/>
  <c r="H56" i="28"/>
  <c r="G56" i="28"/>
  <c r="F56" i="28"/>
  <c r="D56" i="28"/>
  <c r="C56" i="28"/>
  <c r="B56" i="28"/>
  <c r="A56" i="28"/>
  <c r="A55" i="28"/>
  <c r="AD54" i="28"/>
  <c r="AC54" i="28"/>
  <c r="AB54" i="28"/>
  <c r="AA54" i="28"/>
  <c r="Z54" i="28"/>
  <c r="X54" i="28"/>
  <c r="W54" i="28"/>
  <c r="V54" i="28"/>
  <c r="T54" i="28"/>
  <c r="S54" i="28"/>
  <c r="R54" i="28"/>
  <c r="P54" i="28"/>
  <c r="O54" i="28"/>
  <c r="N54" i="28"/>
  <c r="M54" i="28"/>
  <c r="L54" i="28"/>
  <c r="K54" i="28"/>
  <c r="J54" i="28"/>
  <c r="I54" i="28"/>
  <c r="H54" i="28"/>
  <c r="G54" i="28"/>
  <c r="F54" i="28"/>
  <c r="D54" i="28"/>
  <c r="C54" i="28"/>
  <c r="B54" i="28"/>
  <c r="AD53" i="28"/>
  <c r="AC53" i="28"/>
  <c r="AB53" i="28"/>
  <c r="AA53" i="28"/>
  <c r="Z53" i="28"/>
  <c r="X53" i="28"/>
  <c r="W53" i="28"/>
  <c r="V53" i="28"/>
  <c r="U53" i="28"/>
  <c r="T53" i="28"/>
  <c r="S53" i="28"/>
  <c r="R53" i="28"/>
  <c r="P53" i="28"/>
  <c r="O53" i="28"/>
  <c r="N53" i="28"/>
  <c r="M53" i="28"/>
  <c r="L53" i="28"/>
  <c r="K53" i="28"/>
  <c r="J53" i="28"/>
  <c r="I53" i="28"/>
  <c r="H53" i="28"/>
  <c r="G53" i="28"/>
  <c r="F53" i="28"/>
  <c r="D53" i="28"/>
  <c r="C53" i="28"/>
  <c r="B53" i="28"/>
  <c r="AD52" i="28"/>
  <c r="AC52" i="28"/>
  <c r="AB52" i="28"/>
  <c r="AA52" i="28"/>
  <c r="Z52" i="28"/>
  <c r="X52" i="28"/>
  <c r="W52" i="28"/>
  <c r="V52" i="28"/>
  <c r="U52" i="28"/>
  <c r="T52" i="28"/>
  <c r="S52" i="28"/>
  <c r="R52" i="28"/>
  <c r="P52" i="28"/>
  <c r="O52" i="28"/>
  <c r="N52" i="28"/>
  <c r="M52" i="28"/>
  <c r="L52" i="28"/>
  <c r="K52" i="28"/>
  <c r="J52" i="28"/>
  <c r="I52" i="28"/>
  <c r="H52" i="28"/>
  <c r="G52" i="28"/>
  <c r="F52" i="28"/>
  <c r="D52" i="28"/>
  <c r="C52" i="28"/>
  <c r="B52" i="28"/>
  <c r="AG51" i="28"/>
  <c r="AF51" i="28"/>
  <c r="AE51" i="28"/>
  <c r="AC51" i="28"/>
  <c r="AB51" i="28"/>
  <c r="AA51" i="28"/>
  <c r="Z51" i="28"/>
  <c r="X51" i="28"/>
  <c r="W51" i="28"/>
  <c r="V51" i="28"/>
  <c r="U51" i="28"/>
  <c r="T51" i="28"/>
  <c r="S51" i="28"/>
  <c r="R51" i="28"/>
  <c r="N51" i="28"/>
  <c r="M51" i="28"/>
  <c r="K51" i="28"/>
  <c r="J51" i="28"/>
  <c r="I51" i="28"/>
  <c r="H51" i="28"/>
  <c r="G51" i="28"/>
  <c r="F51" i="28"/>
  <c r="D51" i="28"/>
  <c r="C51" i="28"/>
  <c r="B51" i="28"/>
  <c r="Q50" i="28"/>
  <c r="P50" i="28"/>
  <c r="O50" i="28"/>
  <c r="N50" i="28"/>
  <c r="M50" i="28"/>
  <c r="L50" i="28"/>
  <c r="K50" i="28"/>
  <c r="J50" i="28"/>
  <c r="I50" i="28"/>
  <c r="H50" i="28"/>
  <c r="G50" i="28"/>
  <c r="F50" i="28"/>
  <c r="E50" i="28"/>
  <c r="D50" i="28"/>
  <c r="C50" i="28"/>
  <c r="B50" i="28"/>
  <c r="A42" i="28"/>
  <c r="AF41" i="28"/>
  <c r="A41" i="28"/>
  <c r="A40" i="28"/>
  <c r="A39" i="28"/>
  <c r="AF38" i="28"/>
  <c r="A38" i="28"/>
  <c r="AF37" i="28"/>
  <c r="A37" i="28"/>
  <c r="AD35" i="28"/>
  <c r="A35" i="28"/>
  <c r="AD34" i="28"/>
  <c r="AD33" i="28"/>
  <c r="A33" i="28"/>
  <c r="AD31" i="28"/>
  <c r="A31" i="28"/>
  <c r="BQ23" i="28"/>
  <c r="AU22" i="28"/>
  <c r="AU23" i="28" s="1"/>
  <c r="AT22" i="28"/>
  <c r="AT23" i="28" s="1"/>
  <c r="AS22" i="28"/>
  <c r="AS23" i="28" s="1"/>
  <c r="AR22" i="28"/>
  <c r="AR23" i="28" s="1"/>
  <c r="AQ22" i="28"/>
  <c r="AQ23" i="28" s="1"/>
  <c r="AP22" i="28"/>
  <c r="AP23" i="28" s="1"/>
  <c r="AO22" i="28"/>
  <c r="AO23" i="28" s="1"/>
  <c r="AN22" i="28"/>
  <c r="AN23" i="28" s="1"/>
  <c r="AN24" i="28" s="1"/>
  <c r="AM22" i="28"/>
  <c r="AM23" i="28" s="1"/>
  <c r="AL22" i="28"/>
  <c r="AK22" i="28"/>
  <c r="AV18" i="28"/>
  <c r="AX17" i="28"/>
  <c r="BX92" i="28" s="1"/>
  <c r="AU17" i="28"/>
  <c r="BU92" i="28" s="1"/>
  <c r="AT17" i="28"/>
  <c r="BT92" i="28" s="1"/>
  <c r="AS17" i="28"/>
  <c r="BS92" i="28" s="1"/>
  <c r="AR17" i="28"/>
  <c r="BR92" i="28" s="1"/>
  <c r="AQ17" i="28"/>
  <c r="BQ92" i="28" s="1"/>
  <c r="AP17" i="28"/>
  <c r="BP92" i="28" s="1"/>
  <c r="AO17" i="28"/>
  <c r="BO92" i="28" s="1"/>
  <c r="AN17" i="28"/>
  <c r="BN92" i="28" s="1"/>
  <c r="AM17" i="28"/>
  <c r="BM92" i="28" s="1"/>
  <c r="AV16" i="28"/>
  <c r="AK16" i="28"/>
  <c r="AX12" i="28"/>
  <c r="AU12" i="28"/>
  <c r="AT12" i="28"/>
  <c r="AS12" i="28"/>
  <c r="AR12" i="28"/>
  <c r="AQ12" i="28"/>
  <c r="AP12" i="28"/>
  <c r="AO12" i="28"/>
  <c r="AJ12" i="28"/>
  <c r="AI12" i="28"/>
  <c r="AH12" i="28"/>
  <c r="AG12" i="28"/>
  <c r="AF12" i="28"/>
  <c r="AE12" i="28"/>
  <c r="AB12" i="28"/>
  <c r="AA12" i="28"/>
  <c r="Z12" i="28"/>
  <c r="Y12" i="28"/>
  <c r="X12" i="28"/>
  <c r="W12" i="28"/>
  <c r="V12" i="28"/>
  <c r="U12" i="28"/>
  <c r="T12" i="28"/>
  <c r="S12" i="28"/>
  <c r="R12" i="28"/>
  <c r="Q12" i="28"/>
  <c r="P12" i="28"/>
  <c r="O12" i="28"/>
  <c r="N12" i="28"/>
  <c r="M12" i="28"/>
  <c r="L12" i="28"/>
  <c r="K12" i="28"/>
  <c r="J12" i="28"/>
  <c r="I12" i="28"/>
  <c r="H12" i="28"/>
  <c r="G12" i="28"/>
  <c r="F12" i="28"/>
  <c r="E12" i="28"/>
  <c r="D12" i="28"/>
  <c r="C12" i="28"/>
  <c r="AV11" i="28"/>
  <c r="AM11" i="28"/>
  <c r="AL11" i="28"/>
  <c r="AK11" i="28"/>
  <c r="AK12" i="28" s="1"/>
  <c r="AC11" i="28"/>
  <c r="AD12" i="28" s="1"/>
  <c r="AX7" i="28"/>
  <c r="BB9" i="28" s="1"/>
  <c r="AW7" i="28"/>
  <c r="BA9" i="28" s="1"/>
  <c r="AV7" i="28"/>
  <c r="AZ9" i="28" s="1"/>
  <c r="AU7" i="28"/>
  <c r="AY9" i="28" s="1"/>
  <c r="AT7" i="28"/>
  <c r="AR7" i="28"/>
  <c r="AR13" i="28" s="1"/>
  <c r="AQ7" i="28"/>
  <c r="AQ13" i="28" s="1"/>
  <c r="AP7" i="28"/>
  <c r="AP13" i="28" s="1"/>
  <c r="AO7" i="28"/>
  <c r="AN7" i="28"/>
  <c r="AM7" i="28"/>
  <c r="AL7" i="28"/>
  <c r="AK7" i="28"/>
  <c r="AJ7" i="28"/>
  <c r="AJ13" i="28" s="1"/>
  <c r="AI7" i="28"/>
  <c r="AI13" i="28" s="1"/>
  <c r="AH7" i="28"/>
  <c r="AH13" i="28" s="1"/>
  <c r="AG7" i="28"/>
  <c r="AF7" i="28"/>
  <c r="AF13" i="28" s="1"/>
  <c r="AE7" i="28"/>
  <c r="AE13" i="28" s="1"/>
  <c r="AD7" i="28"/>
  <c r="AC7" i="28"/>
  <c r="AB7" i="28"/>
  <c r="AB13" i="28" s="1"/>
  <c r="AA7" i="28"/>
  <c r="AA13" i="28" s="1"/>
  <c r="Z7" i="28"/>
  <c r="Z13" i="28" s="1"/>
  <c r="X7" i="28"/>
  <c r="X13" i="28" s="1"/>
  <c r="W7" i="28"/>
  <c r="W13" i="28" s="1"/>
  <c r="V7" i="28"/>
  <c r="V13" i="28" s="1"/>
  <c r="U7" i="28"/>
  <c r="U13" i="28" s="1"/>
  <c r="T7" i="28"/>
  <c r="T13" i="28" s="1"/>
  <c r="S7" i="28"/>
  <c r="S13" i="28" s="1"/>
  <c r="R7" i="28"/>
  <c r="R13" i="28" s="1"/>
  <c r="P7" i="28"/>
  <c r="P13" i="28" s="1"/>
  <c r="O7" i="28"/>
  <c r="O13" i="28" s="1"/>
  <c r="N7" i="28"/>
  <c r="N13" i="28" s="1"/>
  <c r="M7" i="28"/>
  <c r="M13" i="28" s="1"/>
  <c r="L7" i="28"/>
  <c r="L13" i="28" s="1"/>
  <c r="K7" i="28"/>
  <c r="K13" i="28" s="1"/>
  <c r="J7" i="28"/>
  <c r="J13" i="28" s="1"/>
  <c r="I7" i="28"/>
  <c r="H7" i="28"/>
  <c r="G7" i="28"/>
  <c r="G13" i="28" s="1"/>
  <c r="F7" i="28"/>
  <c r="F13" i="28" s="1"/>
  <c r="E7" i="28"/>
  <c r="E13" i="28" s="1"/>
  <c r="D7" i="28"/>
  <c r="D13" i="28" s="1"/>
  <c r="C7" i="28"/>
  <c r="C13" i="28" s="1"/>
  <c r="B7" i="28"/>
  <c r="AC3" i="28"/>
  <c r="AB3" i="28"/>
  <c r="AA3" i="28"/>
  <c r="Z3" i="28"/>
  <c r="Y3" i="28"/>
  <c r="X3" i="28"/>
  <c r="W3" i="28"/>
  <c r="V3" i="28"/>
  <c r="BJ67" i="5"/>
  <c r="AD62" i="28" s="1"/>
  <c r="EI39" i="5"/>
  <c r="EI35" i="5"/>
  <c r="EI33" i="5"/>
  <c r="EI32" i="5"/>
  <c r="AL111" i="28" s="1"/>
  <c r="EI31" i="5"/>
  <c r="FT475" i="5" s="1"/>
  <c r="BJ104" i="5"/>
  <c r="BM104" i="5" s="1"/>
  <c r="BJ179" i="5"/>
  <c r="BJ80" i="5"/>
  <c r="BM80" i="5" s="1"/>
  <c r="BM81" i="5" s="1"/>
  <c r="E215" i="25"/>
  <c r="E216" i="25" s="1"/>
  <c r="CF23" i="28" l="1"/>
  <c r="AL17" i="28"/>
  <c r="BL92" i="28" s="1"/>
  <c r="AK17" i="28"/>
  <c r="BK92" i="28" s="1"/>
  <c r="K9" i="27"/>
  <c r="G20" i="27"/>
  <c r="BM96" i="5"/>
  <c r="BM107" i="5" s="1"/>
  <c r="M6" i="30" s="1"/>
  <c r="BM115" i="5"/>
  <c r="C9" i="27"/>
  <c r="C20" i="27"/>
  <c r="C30" i="27" s="1"/>
  <c r="G9" i="27"/>
  <c r="AN13" i="28"/>
  <c r="AR14" i="28" s="1"/>
  <c r="AG9" i="28"/>
  <c r="AO9" i="28"/>
  <c r="AX9" i="28"/>
  <c r="AW13" i="28"/>
  <c r="BA14" i="28" s="1"/>
  <c r="AQ9" i="28"/>
  <c r="K55" i="28"/>
  <c r="K58" i="28" s="1"/>
  <c r="AK9" i="28"/>
  <c r="M55" i="28"/>
  <c r="D55" i="28"/>
  <c r="D58" i="28" s="1"/>
  <c r="Z55" i="28"/>
  <c r="AA55" i="28"/>
  <c r="AC55" i="28"/>
  <c r="AD9" i="28"/>
  <c r="AL9" i="28"/>
  <c r="G55" i="28"/>
  <c r="S55" i="28"/>
  <c r="S58" i="28" s="1"/>
  <c r="I55" i="28"/>
  <c r="AB55" i="28"/>
  <c r="AI9" i="28"/>
  <c r="AX13" i="28"/>
  <c r="BB14" i="28" s="1"/>
  <c r="W55" i="28"/>
  <c r="C55" i="28"/>
  <c r="C58" i="28" s="1"/>
  <c r="X55" i="28"/>
  <c r="T55" i="28"/>
  <c r="AN12" i="28"/>
  <c r="AM12" i="28"/>
  <c r="V55" i="28"/>
  <c r="AW12" i="28"/>
  <c r="AV12" i="28"/>
  <c r="F55" i="28"/>
  <c r="F58" i="28" s="1"/>
  <c r="N55" i="28"/>
  <c r="N58" i="28" s="1"/>
  <c r="AV17" i="28"/>
  <c r="BV92" i="28" s="1"/>
  <c r="AW17" i="28"/>
  <c r="BW92" i="28" s="1"/>
  <c r="AU13" i="28"/>
  <c r="AU9" i="28"/>
  <c r="I13" i="28"/>
  <c r="R55" i="28"/>
  <c r="AM13" i="28"/>
  <c r="AM14" i="28" s="1"/>
  <c r="AV9" i="28"/>
  <c r="AC12" i="28"/>
  <c r="J55" i="28"/>
  <c r="J58" i="28" s="1"/>
  <c r="AF9" i="28"/>
  <c r="AN9" i="28"/>
  <c r="AO13" i="28"/>
  <c r="AU24" i="28"/>
  <c r="AU25" i="28" s="1"/>
  <c r="B55" i="28"/>
  <c r="AN25" i="28"/>
  <c r="AH9" i="28"/>
  <c r="AP9" i="28"/>
  <c r="AE9" i="28"/>
  <c r="AL12" i="28"/>
  <c r="AV13" i="28"/>
  <c r="AC13" i="28"/>
  <c r="AK13" i="28"/>
  <c r="AT9" i="28"/>
  <c r="AM9" i="28"/>
  <c r="H13" i="28"/>
  <c r="AG13" i="28"/>
  <c r="H55" i="28"/>
  <c r="H58" i="28" s="1"/>
  <c r="BZ93" i="28"/>
  <c r="AI14" i="28"/>
  <c r="AT24" i="28"/>
  <c r="AT25" i="28" s="1"/>
  <c r="AR24" i="28"/>
  <c r="AR25" i="28" s="1"/>
  <c r="AS24" i="28"/>
  <c r="AS25" i="28" s="1"/>
  <c r="AJ14" i="28"/>
  <c r="AQ24" i="28"/>
  <c r="AQ25" i="28" s="1"/>
  <c r="AD13" i="28"/>
  <c r="AL13" i="28"/>
  <c r="AL14" i="28" s="1"/>
  <c r="AT13" i="28"/>
  <c r="AT14" i="28" s="1"/>
  <c r="AJ9" i="28"/>
  <c r="AR9" i="28"/>
  <c r="AK23" i="28"/>
  <c r="AO24" i="28" s="1"/>
  <c r="AO25" i="28" s="1"/>
  <c r="AL23" i="28"/>
  <c r="AP24" i="28" s="1"/>
  <c r="AP25" i="28" s="1"/>
  <c r="K10" i="27"/>
  <c r="M10" i="30" l="1"/>
  <c r="M14" i="30" s="1"/>
  <c r="BM118" i="5"/>
  <c r="G95" i="27"/>
  <c r="K95" i="27"/>
  <c r="G30" i="27"/>
  <c r="G24" i="27"/>
  <c r="G10" i="27"/>
  <c r="AV14" i="28"/>
  <c r="AZ14" i="28"/>
  <c r="AU14" i="28"/>
  <c r="AY14" i="28"/>
  <c r="C10" i="27"/>
  <c r="C24" i="27"/>
  <c r="C31" i="27" s="1"/>
  <c r="AN14" i="28"/>
  <c r="AO14" i="28"/>
  <c r="AQ14" i="28"/>
  <c r="AX14" i="28"/>
  <c r="AK14" i="28"/>
  <c r="AH14" i="28"/>
  <c r="AP14" i="28"/>
  <c r="BJ263" i="5"/>
  <c r="BJ209" i="5"/>
  <c r="BJ211" i="5" s="1"/>
  <c r="BJ206" i="5"/>
  <c r="BJ201" i="5"/>
  <c r="BJ161" i="5"/>
  <c r="BJ160" i="5"/>
  <c r="BJ156" i="5"/>
  <c r="BJ155" i="5"/>
  <c r="BJ151" i="5"/>
  <c r="BJ150" i="5"/>
  <c r="AL112" i="28" s="1"/>
  <c r="BJ146" i="5"/>
  <c r="BJ136" i="5"/>
  <c r="AL140" i="28" s="1"/>
  <c r="BJ135" i="5"/>
  <c r="BJ131" i="5"/>
  <c r="EN131" i="5" s="1"/>
  <c r="BJ115" i="5"/>
  <c r="BJ114" i="5"/>
  <c r="BJ96" i="5"/>
  <c r="BJ107" i="5" s="1"/>
  <c r="J6" i="30" s="1"/>
  <c r="J10" i="30" s="1"/>
  <c r="J14" i="30" s="1"/>
  <c r="BJ81" i="5"/>
  <c r="BJ69" i="5"/>
  <c r="AD64" i="28" s="1"/>
  <c r="BJ68" i="5"/>
  <c r="AD63" i="28" s="1"/>
  <c r="AD61" i="28"/>
  <c r="BJ19" i="5"/>
  <c r="BJ21" i="5" s="1"/>
  <c r="J4" i="30" s="1"/>
  <c r="EI20" i="5"/>
  <c r="AD41" i="28" s="1"/>
  <c r="EI18" i="5"/>
  <c r="AD39" i="28" s="1"/>
  <c r="EI14" i="5"/>
  <c r="EI16" i="5"/>
  <c r="AD37" i="28" s="1"/>
  <c r="BJ118" i="5" l="1"/>
  <c r="G99" i="27"/>
  <c r="K99" i="27"/>
  <c r="G67" i="27"/>
  <c r="G73" i="27" s="1"/>
  <c r="G103" i="27" s="1"/>
  <c r="K73" i="27"/>
  <c r="K103" i="27" s="1"/>
  <c r="G31" i="27"/>
  <c r="BJ132" i="5"/>
  <c r="BO137" i="5"/>
  <c r="AP141" i="28" s="1"/>
  <c r="BO152" i="5"/>
  <c r="BO148" i="5"/>
  <c r="EN21" i="5"/>
  <c r="C2816" i="16"/>
  <c r="BJ265" i="5"/>
  <c r="BK273" i="5"/>
  <c r="AM93" i="28" s="1"/>
  <c r="BK140" i="5"/>
  <c r="AL104" i="28"/>
  <c r="AL139" i="28"/>
  <c r="BJ138" i="5"/>
  <c r="AL103" i="28"/>
  <c r="AD38" i="28"/>
  <c r="FT474" i="5"/>
  <c r="BJ147" i="5"/>
  <c r="BJ162" i="5"/>
  <c r="BJ157" i="5"/>
  <c r="BJ108" i="5"/>
  <c r="BM109" i="5" s="1"/>
  <c r="E167" i="25"/>
  <c r="F23" i="19"/>
  <c r="L18" i="19"/>
  <c r="K18" i="19"/>
  <c r="J18" i="19"/>
  <c r="I18" i="19"/>
  <c r="H18" i="19"/>
  <c r="G18" i="19"/>
  <c r="I17" i="19"/>
  <c r="H17" i="19"/>
  <c r="G17" i="19"/>
  <c r="F17" i="19"/>
  <c r="E17" i="19"/>
  <c r="D17" i="19"/>
  <c r="C17" i="19"/>
  <c r="J15" i="19"/>
  <c r="I15" i="19"/>
  <c r="H15" i="19"/>
  <c r="G15" i="19"/>
  <c r="F15" i="19"/>
  <c r="E15" i="19"/>
  <c r="D15" i="19"/>
  <c r="C15" i="19"/>
  <c r="D3" i="19"/>
  <c r="E3" i="19" s="1"/>
  <c r="F3" i="19" s="1"/>
  <c r="G3" i="19" s="1"/>
  <c r="H3" i="19" s="1"/>
  <c r="I3" i="19" s="1"/>
  <c r="J3" i="19" s="1"/>
  <c r="K3" i="19" s="1"/>
  <c r="L3" i="19" s="1"/>
  <c r="M3" i="19" s="1"/>
  <c r="N3" i="19" s="1"/>
  <c r="C11" i="2"/>
  <c r="I5" i="2"/>
  <c r="G5" i="2"/>
  <c r="E5" i="2"/>
  <c r="C5" i="2"/>
  <c r="K3" i="2"/>
  <c r="Z40" i="4"/>
  <c r="X40" i="4"/>
  <c r="W40" i="4"/>
  <c r="U40" i="4"/>
  <c r="T40" i="4"/>
  <c r="S40" i="4"/>
  <c r="R40" i="4"/>
  <c r="P40" i="4"/>
  <c r="O40" i="4"/>
  <c r="N40" i="4"/>
  <c r="M40" i="4"/>
  <c r="Z39" i="4"/>
  <c r="Y39" i="4"/>
  <c r="X39" i="4"/>
  <c r="W39" i="4"/>
  <c r="U39" i="4"/>
  <c r="T39" i="4"/>
  <c r="S39" i="4"/>
  <c r="R39" i="4"/>
  <c r="P39" i="4"/>
  <c r="O39" i="4"/>
  <c r="N39" i="4"/>
  <c r="M39" i="4"/>
  <c r="Z38" i="4"/>
  <c r="Y38" i="4"/>
  <c r="X38" i="4"/>
  <c r="W38" i="4"/>
  <c r="U38" i="4"/>
  <c r="T38" i="4"/>
  <c r="S38" i="4"/>
  <c r="R38" i="4"/>
  <c r="P38" i="4"/>
  <c r="O38" i="4"/>
  <c r="N38" i="4"/>
  <c r="M38" i="4"/>
  <c r="Z37" i="4"/>
  <c r="Y37" i="4"/>
  <c r="X37" i="4"/>
  <c r="W37" i="4"/>
  <c r="U37" i="4"/>
  <c r="T37" i="4"/>
  <c r="S37" i="4"/>
  <c r="R37" i="4"/>
  <c r="P37" i="4"/>
  <c r="O37" i="4"/>
  <c r="N37" i="4"/>
  <c r="M37" i="4"/>
  <c r="Z36" i="4"/>
  <c r="Y36" i="4"/>
  <c r="X36" i="4"/>
  <c r="W36" i="4"/>
  <c r="U36" i="4"/>
  <c r="T36" i="4"/>
  <c r="S36" i="4"/>
  <c r="R36" i="4"/>
  <c r="P36" i="4"/>
  <c r="O36" i="4"/>
  <c r="N36" i="4"/>
  <c r="M36" i="4"/>
  <c r="Z35" i="4"/>
  <c r="Y35" i="4"/>
  <c r="X35" i="4"/>
  <c r="W35" i="4"/>
  <c r="U35" i="4"/>
  <c r="T35" i="4"/>
  <c r="S35" i="4"/>
  <c r="R35" i="4"/>
  <c r="P35" i="4"/>
  <c r="O35" i="4"/>
  <c r="N35" i="4"/>
  <c r="M35" i="4"/>
  <c r="BG31" i="4"/>
  <c r="BF31" i="4"/>
  <c r="BE31" i="4"/>
  <c r="BC31" i="4"/>
  <c r="BB31" i="4"/>
  <c r="BA31" i="4"/>
  <c r="AZ31" i="4"/>
  <c r="AY31" i="4"/>
  <c r="AX31" i="4"/>
  <c r="AW31" i="4"/>
  <c r="AV31" i="4"/>
  <c r="AU31" i="4"/>
  <c r="AT31" i="4"/>
  <c r="AS31" i="4"/>
  <c r="AR31" i="4"/>
  <c r="AQ31" i="4"/>
  <c r="AP31" i="4"/>
  <c r="AO31" i="4"/>
  <c r="AN31" i="4"/>
  <c r="AM31" i="4"/>
  <c r="AL31" i="4"/>
  <c r="BJ30" i="4"/>
  <c r="BI30" i="4"/>
  <c r="BH30" i="4"/>
  <c r="BG30" i="4"/>
  <c r="BF30" i="4"/>
  <c r="BE30" i="4"/>
  <c r="BD30" i="4"/>
  <c r="BC30" i="4"/>
  <c r="BB30" i="4"/>
  <c r="BA30" i="4"/>
  <c r="AZ30" i="4"/>
  <c r="AY30" i="4"/>
  <c r="AX30" i="4"/>
  <c r="AW30" i="4"/>
  <c r="AV30" i="4"/>
  <c r="AU30" i="4"/>
  <c r="AT30" i="4"/>
  <c r="AS30" i="4"/>
  <c r="AR30" i="4"/>
  <c r="AQ30" i="4"/>
  <c r="AP30" i="4"/>
  <c r="AO30" i="4"/>
  <c r="AN30" i="4"/>
  <c r="AM30" i="4"/>
  <c r="AL30" i="4"/>
  <c r="AF30" i="4"/>
  <c r="BK30" i="4" s="1"/>
  <c r="BJ28" i="4"/>
  <c r="BI28" i="4"/>
  <c r="BH28" i="4"/>
  <c r="BG28" i="4"/>
  <c r="BF28" i="4"/>
  <c r="BE28" i="4"/>
  <c r="BD28" i="4"/>
  <c r="BC28" i="4"/>
  <c r="BB28" i="4"/>
  <c r="BA28" i="4"/>
  <c r="AZ28" i="4"/>
  <c r="AY28" i="4"/>
  <c r="AX28" i="4"/>
  <c r="AW28" i="4"/>
  <c r="AV28" i="4"/>
  <c r="AU28" i="4"/>
  <c r="AT28" i="4"/>
  <c r="AS28" i="4"/>
  <c r="AR28" i="4"/>
  <c r="AQ28" i="4"/>
  <c r="AP28" i="4"/>
  <c r="AO28" i="4"/>
  <c r="AN28" i="4"/>
  <c r="AM28" i="4"/>
  <c r="AL28" i="4"/>
  <c r="AF28" i="4"/>
  <c r="BK28" i="4" s="1"/>
  <c r="BG27" i="4"/>
  <c r="BF27" i="4"/>
  <c r="BE27" i="4"/>
  <c r="BC27" i="4"/>
  <c r="BB27" i="4"/>
  <c r="BA27" i="4"/>
  <c r="AZ27" i="4"/>
  <c r="AY27" i="4"/>
  <c r="AX27" i="4"/>
  <c r="AW27" i="4"/>
  <c r="AV27" i="4"/>
  <c r="AU27" i="4"/>
  <c r="AT27" i="4"/>
  <c r="AS27" i="4"/>
  <c r="AR27" i="4"/>
  <c r="AQ27" i="4"/>
  <c r="AP27" i="4"/>
  <c r="AO27" i="4"/>
  <c r="AN27" i="4"/>
  <c r="AM27" i="4"/>
  <c r="AL27" i="4"/>
  <c r="AE27" i="4"/>
  <c r="BJ27" i="4" s="1"/>
  <c r="AD27" i="4"/>
  <c r="AD31" i="4" s="1"/>
  <c r="AC27" i="4"/>
  <c r="AC31" i="4" s="1"/>
  <c r="BH31" i="4" s="1"/>
  <c r="Y27" i="4"/>
  <c r="BJ26" i="4"/>
  <c r="BI26" i="4"/>
  <c r="BH26" i="4"/>
  <c r="BG26" i="4"/>
  <c r="BF26" i="4"/>
  <c r="BE26" i="4"/>
  <c r="BD26" i="4"/>
  <c r="BC26" i="4"/>
  <c r="BB26" i="4"/>
  <c r="BA26" i="4"/>
  <c r="AZ26" i="4"/>
  <c r="AY26" i="4"/>
  <c r="AX26" i="4"/>
  <c r="AW26" i="4"/>
  <c r="AV26" i="4"/>
  <c r="AU26" i="4"/>
  <c r="AT26" i="4"/>
  <c r="AS26" i="4"/>
  <c r="AR26" i="4"/>
  <c r="AQ26" i="4"/>
  <c r="AP26" i="4"/>
  <c r="AO26" i="4"/>
  <c r="AN26" i="4"/>
  <c r="AM26" i="4"/>
  <c r="AL26" i="4"/>
  <c r="AF26" i="4"/>
  <c r="BJ25" i="4"/>
  <c r="BI25" i="4"/>
  <c r="BH25" i="4"/>
  <c r="BG25" i="4"/>
  <c r="BF25" i="4"/>
  <c r="BE25" i="4"/>
  <c r="BD25" i="4"/>
  <c r="BC25" i="4"/>
  <c r="BB25" i="4"/>
  <c r="BA25" i="4"/>
  <c r="AZ25" i="4"/>
  <c r="AY25" i="4"/>
  <c r="AX25" i="4"/>
  <c r="AW25" i="4"/>
  <c r="AV25" i="4"/>
  <c r="AU25" i="4"/>
  <c r="AT25" i="4"/>
  <c r="AS25" i="4"/>
  <c r="AR25" i="4"/>
  <c r="AQ25" i="4"/>
  <c r="AP25" i="4"/>
  <c r="AO25" i="4"/>
  <c r="AN25" i="4"/>
  <c r="AM25" i="4"/>
  <c r="AL25" i="4"/>
  <c r="AF25" i="4"/>
  <c r="BK25" i="4" s="1"/>
  <c r="BJ24" i="4"/>
  <c r="BI24" i="4"/>
  <c r="BH24" i="4"/>
  <c r="BG24" i="4"/>
  <c r="BF24" i="4"/>
  <c r="BE24" i="4"/>
  <c r="BD24" i="4"/>
  <c r="BC24" i="4"/>
  <c r="BB24" i="4"/>
  <c r="BA24" i="4"/>
  <c r="AZ24" i="4"/>
  <c r="AY24" i="4"/>
  <c r="AX24" i="4"/>
  <c r="AW24" i="4"/>
  <c r="AV24" i="4"/>
  <c r="AU24" i="4"/>
  <c r="AT24" i="4"/>
  <c r="AS24" i="4"/>
  <c r="AR24" i="4"/>
  <c r="AQ24" i="4"/>
  <c r="AP24" i="4"/>
  <c r="AO24" i="4"/>
  <c r="AN24" i="4"/>
  <c r="AM24" i="4"/>
  <c r="AL24" i="4"/>
  <c r="AF24" i="4"/>
  <c r="AB37" i="4" s="1"/>
  <c r="BJ23" i="4"/>
  <c r="BI23" i="4"/>
  <c r="BH23" i="4"/>
  <c r="BG23" i="4"/>
  <c r="BF23" i="4"/>
  <c r="BE23" i="4"/>
  <c r="BD23" i="4"/>
  <c r="BC23" i="4"/>
  <c r="BB23" i="4"/>
  <c r="BA23" i="4"/>
  <c r="AZ23" i="4"/>
  <c r="AY23" i="4"/>
  <c r="AX23" i="4"/>
  <c r="AW23" i="4"/>
  <c r="AV23" i="4"/>
  <c r="AU23" i="4"/>
  <c r="AT23" i="4"/>
  <c r="AS23" i="4"/>
  <c r="AR23" i="4"/>
  <c r="AQ23" i="4"/>
  <c r="AP23" i="4"/>
  <c r="AO23" i="4"/>
  <c r="AN23" i="4"/>
  <c r="AM23" i="4"/>
  <c r="AL23" i="4"/>
  <c r="AF23" i="4"/>
  <c r="BJ22" i="4"/>
  <c r="BI22" i="4"/>
  <c r="BH22" i="4"/>
  <c r="BG22" i="4"/>
  <c r="BF22" i="4"/>
  <c r="BE22" i="4"/>
  <c r="BD22" i="4"/>
  <c r="BC22" i="4"/>
  <c r="BB22" i="4"/>
  <c r="BA22" i="4"/>
  <c r="AZ22" i="4"/>
  <c r="AY22" i="4"/>
  <c r="AX22" i="4"/>
  <c r="AW22" i="4"/>
  <c r="AV22" i="4"/>
  <c r="AU22" i="4"/>
  <c r="AT22" i="4"/>
  <c r="AS22" i="4"/>
  <c r="AR22" i="4"/>
  <c r="AQ22" i="4"/>
  <c r="AP22" i="4"/>
  <c r="AO22" i="4"/>
  <c r="AN22" i="4"/>
  <c r="AM22" i="4"/>
  <c r="AL22" i="4"/>
  <c r="AF22" i="4"/>
  <c r="AD35" i="4" s="1"/>
  <c r="BJ21" i="4"/>
  <c r="BI21" i="4"/>
  <c r="BH21" i="4"/>
  <c r="BG21" i="4"/>
  <c r="BF21" i="4"/>
  <c r="BE21" i="4"/>
  <c r="BD21" i="4"/>
  <c r="BC21" i="4"/>
  <c r="BB21" i="4"/>
  <c r="BA21" i="4"/>
  <c r="AZ21" i="4"/>
  <c r="AY21" i="4"/>
  <c r="AX21" i="4"/>
  <c r="AW21" i="4"/>
  <c r="AV21" i="4"/>
  <c r="AU21" i="4"/>
  <c r="AT21" i="4"/>
  <c r="AS21" i="4"/>
  <c r="AR21" i="4"/>
  <c r="AQ21" i="4"/>
  <c r="AP21" i="4"/>
  <c r="AO21" i="4"/>
  <c r="AN21" i="4"/>
  <c r="AM21" i="4"/>
  <c r="AL21" i="4"/>
  <c r="AF21" i="4"/>
  <c r="BK21" i="4" s="1"/>
  <c r="BJ20" i="4"/>
  <c r="BI20" i="4"/>
  <c r="BH20" i="4"/>
  <c r="BG20" i="4"/>
  <c r="BF20" i="4"/>
  <c r="BE20" i="4"/>
  <c r="BD20" i="4"/>
  <c r="BC20" i="4"/>
  <c r="BB20" i="4"/>
  <c r="BA20" i="4"/>
  <c r="AZ20" i="4"/>
  <c r="AY20" i="4"/>
  <c r="AX20" i="4"/>
  <c r="AW20" i="4"/>
  <c r="AV20" i="4"/>
  <c r="AU20" i="4"/>
  <c r="AT20" i="4"/>
  <c r="AS20" i="4"/>
  <c r="AR20" i="4"/>
  <c r="AQ20" i="4"/>
  <c r="AP20" i="4"/>
  <c r="AO20" i="4"/>
  <c r="AN20" i="4"/>
  <c r="AM20" i="4"/>
  <c r="AL20" i="4"/>
  <c r="AF20" i="4"/>
  <c r="BG17" i="4"/>
  <c r="BF17" i="4"/>
  <c r="BE17" i="4"/>
  <c r="BC17" i="4"/>
  <c r="BB17" i="4"/>
  <c r="BA17" i="4"/>
  <c r="AZ17" i="4"/>
  <c r="AY17" i="4"/>
  <c r="AX17" i="4"/>
  <c r="AW17" i="4"/>
  <c r="AV17" i="4"/>
  <c r="AU17" i="4"/>
  <c r="AT17" i="4"/>
  <c r="AS17" i="4"/>
  <c r="AR17" i="4"/>
  <c r="AQ17" i="4"/>
  <c r="AP17" i="4"/>
  <c r="AO17" i="4"/>
  <c r="AN17" i="4"/>
  <c r="AM17" i="4"/>
  <c r="AL17" i="4"/>
  <c r="AF15" i="4"/>
  <c r="BG14" i="4"/>
  <c r="BF14" i="4"/>
  <c r="BE14" i="4"/>
  <c r="BC14" i="4"/>
  <c r="BB14" i="4"/>
  <c r="BA14" i="4"/>
  <c r="AZ14" i="4"/>
  <c r="AY14" i="4"/>
  <c r="AX14" i="4"/>
  <c r="AW14" i="4"/>
  <c r="AV14" i="4"/>
  <c r="AU14" i="4"/>
  <c r="AT14" i="4"/>
  <c r="AS14" i="4"/>
  <c r="AR14" i="4"/>
  <c r="AQ14" i="4"/>
  <c r="AP14" i="4"/>
  <c r="AO14" i="4"/>
  <c r="AN14" i="4"/>
  <c r="AM14" i="4"/>
  <c r="AL14" i="4"/>
  <c r="AE14" i="4"/>
  <c r="AD14" i="4"/>
  <c r="AD17" i="4" s="1"/>
  <c r="AC14" i="4"/>
  <c r="Y14" i="4"/>
  <c r="Y17" i="4" s="1"/>
  <c r="BD17" i="4" s="1"/>
  <c r="BJ13" i="4"/>
  <c r="BI13" i="4"/>
  <c r="BH13" i="4"/>
  <c r="BG13" i="4"/>
  <c r="BF13" i="4"/>
  <c r="BE13" i="4"/>
  <c r="BD13" i="4"/>
  <c r="BC13" i="4"/>
  <c r="BB13" i="4"/>
  <c r="BA13" i="4"/>
  <c r="AZ13" i="4"/>
  <c r="AY13" i="4"/>
  <c r="AX13" i="4"/>
  <c r="AW13" i="4"/>
  <c r="AV13" i="4"/>
  <c r="AU13" i="4"/>
  <c r="AT13" i="4"/>
  <c r="AS13" i="4"/>
  <c r="AR13" i="4"/>
  <c r="AQ13" i="4"/>
  <c r="AP13" i="4"/>
  <c r="AO13" i="4"/>
  <c r="AN13" i="4"/>
  <c r="AM13" i="4"/>
  <c r="AL13" i="4"/>
  <c r="AF13" i="4"/>
  <c r="BK13" i="4" s="1"/>
  <c r="BJ12" i="4"/>
  <c r="BI12" i="4"/>
  <c r="BH12" i="4"/>
  <c r="BG12" i="4"/>
  <c r="BF12" i="4"/>
  <c r="BE12" i="4"/>
  <c r="BD12" i="4"/>
  <c r="BC12" i="4"/>
  <c r="BB12" i="4"/>
  <c r="BA12" i="4"/>
  <c r="AZ12" i="4"/>
  <c r="AY12" i="4"/>
  <c r="AX12" i="4"/>
  <c r="AW12" i="4"/>
  <c r="AV12" i="4"/>
  <c r="AU12" i="4"/>
  <c r="AT12" i="4"/>
  <c r="AS12" i="4"/>
  <c r="AR12" i="4"/>
  <c r="AQ12" i="4"/>
  <c r="AP12" i="4"/>
  <c r="AO12" i="4"/>
  <c r="AN12" i="4"/>
  <c r="AM12" i="4"/>
  <c r="AL12" i="4"/>
  <c r="AF12" i="4"/>
  <c r="BK12" i="4" s="1"/>
  <c r="BJ11" i="4"/>
  <c r="BI11" i="4"/>
  <c r="BH11" i="4"/>
  <c r="BG11" i="4"/>
  <c r="BF11" i="4"/>
  <c r="BE11" i="4"/>
  <c r="BD11" i="4"/>
  <c r="BC11" i="4"/>
  <c r="BB11" i="4"/>
  <c r="BA11" i="4"/>
  <c r="AZ11" i="4"/>
  <c r="AY11" i="4"/>
  <c r="AX11" i="4"/>
  <c r="AW11" i="4"/>
  <c r="AV11" i="4"/>
  <c r="AU11" i="4"/>
  <c r="AT11" i="4"/>
  <c r="AS11" i="4"/>
  <c r="AR11" i="4"/>
  <c r="AQ11" i="4"/>
  <c r="AP11" i="4"/>
  <c r="AO11" i="4"/>
  <c r="AN11" i="4"/>
  <c r="AM11" i="4"/>
  <c r="AL11" i="4"/>
  <c r="AF11" i="4"/>
  <c r="BK11" i="4" s="1"/>
  <c r="BJ10" i="4"/>
  <c r="BI10" i="4"/>
  <c r="BH10" i="4"/>
  <c r="BG10" i="4"/>
  <c r="BF10" i="4"/>
  <c r="BE10" i="4"/>
  <c r="BD10" i="4"/>
  <c r="BC10" i="4"/>
  <c r="BB10" i="4"/>
  <c r="BA10" i="4"/>
  <c r="AZ10" i="4"/>
  <c r="AY10" i="4"/>
  <c r="AX10" i="4"/>
  <c r="AW10" i="4"/>
  <c r="AV10" i="4"/>
  <c r="AU10" i="4"/>
  <c r="AT10" i="4"/>
  <c r="AS10" i="4"/>
  <c r="AR10" i="4"/>
  <c r="AQ10" i="4"/>
  <c r="AP10" i="4"/>
  <c r="AO10" i="4"/>
  <c r="AN10" i="4"/>
  <c r="AM10" i="4"/>
  <c r="AL10" i="4"/>
  <c r="AF10" i="4"/>
  <c r="BK10" i="4" s="1"/>
  <c r="BJ9" i="4"/>
  <c r="BI9" i="4"/>
  <c r="BH9" i="4"/>
  <c r="BG9" i="4"/>
  <c r="BF9" i="4"/>
  <c r="BE9" i="4"/>
  <c r="BD9" i="4"/>
  <c r="BC9" i="4"/>
  <c r="BB9" i="4"/>
  <c r="BA9" i="4"/>
  <c r="AZ9" i="4"/>
  <c r="AY9" i="4"/>
  <c r="AX9" i="4"/>
  <c r="AW9" i="4"/>
  <c r="AV9" i="4"/>
  <c r="AU9" i="4"/>
  <c r="AT9" i="4"/>
  <c r="AS9" i="4"/>
  <c r="AR9" i="4"/>
  <c r="AQ9" i="4"/>
  <c r="AP9" i="4"/>
  <c r="AO9" i="4"/>
  <c r="AN9" i="4"/>
  <c r="AM9" i="4"/>
  <c r="AL9" i="4"/>
  <c r="AF9" i="4"/>
  <c r="BK9" i="4" s="1"/>
  <c r="BJ8" i="4"/>
  <c r="BI8" i="4"/>
  <c r="BH8" i="4"/>
  <c r="BG8" i="4"/>
  <c r="BF8" i="4"/>
  <c r="BE8" i="4"/>
  <c r="BD8" i="4"/>
  <c r="BC8" i="4"/>
  <c r="BB8" i="4"/>
  <c r="BA8" i="4"/>
  <c r="AZ8" i="4"/>
  <c r="AY8" i="4"/>
  <c r="AX8" i="4"/>
  <c r="AW8" i="4"/>
  <c r="AV8" i="4"/>
  <c r="AU8" i="4"/>
  <c r="AT8" i="4"/>
  <c r="AS8" i="4"/>
  <c r="AR8" i="4"/>
  <c r="AQ8" i="4"/>
  <c r="AP8" i="4"/>
  <c r="AO8" i="4"/>
  <c r="AN8" i="4"/>
  <c r="AM8" i="4"/>
  <c r="AL8" i="4"/>
  <c r="AF8" i="4"/>
  <c r="BJ7" i="4"/>
  <c r="BI7" i="4"/>
  <c r="BH7" i="4"/>
  <c r="BG7" i="4"/>
  <c r="BF7" i="4"/>
  <c r="BE7" i="4"/>
  <c r="BD7" i="4"/>
  <c r="BC7" i="4"/>
  <c r="BB7" i="4"/>
  <c r="BA7" i="4"/>
  <c r="AZ7" i="4"/>
  <c r="AY7" i="4"/>
  <c r="AX7" i="4"/>
  <c r="AW7" i="4"/>
  <c r="AV7" i="4"/>
  <c r="AU7" i="4"/>
  <c r="AT7" i="4"/>
  <c r="AS7" i="4"/>
  <c r="AR7" i="4"/>
  <c r="AQ7" i="4"/>
  <c r="AP7" i="4"/>
  <c r="AO7" i="4"/>
  <c r="AN7" i="4"/>
  <c r="AM7" i="4"/>
  <c r="AL7" i="4"/>
  <c r="AF7" i="4"/>
  <c r="BK7" i="4" s="1"/>
  <c r="W281" i="12"/>
  <c r="V281" i="12"/>
  <c r="U281" i="12"/>
  <c r="T281" i="12"/>
  <c r="S281" i="12"/>
  <c r="R281" i="12"/>
  <c r="Q281" i="12"/>
  <c r="P281" i="12"/>
  <c r="O281" i="12"/>
  <c r="N281" i="12"/>
  <c r="M281" i="12"/>
  <c r="L281" i="12"/>
  <c r="K281" i="12"/>
  <c r="J281" i="12"/>
  <c r="I281" i="12"/>
  <c r="H281" i="12"/>
  <c r="G281" i="12"/>
  <c r="V278" i="12"/>
  <c r="V277" i="12"/>
  <c r="B274" i="12"/>
  <c r="B278" i="12" s="1"/>
  <c r="B273" i="12"/>
  <c r="B272" i="12"/>
  <c r="B277" i="12" s="1"/>
  <c r="W265" i="12"/>
  <c r="V265" i="12"/>
  <c r="U265" i="12"/>
  <c r="T265" i="12"/>
  <c r="S265" i="12"/>
  <c r="R265" i="12"/>
  <c r="Q265" i="12"/>
  <c r="P265" i="12"/>
  <c r="O265" i="12"/>
  <c r="N265" i="12"/>
  <c r="M265" i="12"/>
  <c r="L265" i="12"/>
  <c r="K265" i="12"/>
  <c r="J265" i="12"/>
  <c r="I265" i="12"/>
  <c r="H265" i="12"/>
  <c r="G265" i="12"/>
  <c r="AO258" i="12"/>
  <c r="AN258" i="12"/>
  <c r="AM258" i="12"/>
  <c r="AL258" i="12"/>
  <c r="AK258" i="12"/>
  <c r="AJ258" i="12"/>
  <c r="AI258" i="12"/>
  <c r="AH258" i="12"/>
  <c r="AG258" i="12"/>
  <c r="AF258" i="12"/>
  <c r="AE258" i="12"/>
  <c r="AD258" i="12"/>
  <c r="AC258" i="12"/>
  <c r="AB258" i="12"/>
  <c r="AO257" i="12"/>
  <c r="AO259" i="12" s="1"/>
  <c r="AN257" i="12"/>
  <c r="AN259" i="12" s="1"/>
  <c r="AM257" i="12"/>
  <c r="AM259" i="12" s="1"/>
  <c r="AL257" i="12"/>
  <c r="AL259" i="12" s="1"/>
  <c r="AK257" i="12"/>
  <c r="AK259" i="12" s="1"/>
  <c r="AJ257" i="12"/>
  <c r="AJ259" i="12" s="1"/>
  <c r="AI257" i="12"/>
  <c r="AI259" i="12" s="1"/>
  <c r="AH257" i="12"/>
  <c r="AH259" i="12" s="1"/>
  <c r="AG257" i="12"/>
  <c r="AF257" i="12"/>
  <c r="AE257" i="12"/>
  <c r="AE259" i="12" s="1"/>
  <c r="AD257" i="12"/>
  <c r="AD259" i="12" s="1"/>
  <c r="AA257" i="12"/>
  <c r="Z257" i="12"/>
  <c r="X257" i="12"/>
  <c r="W257" i="12"/>
  <c r="V257" i="12"/>
  <c r="U257" i="12"/>
  <c r="T257" i="12"/>
  <c r="S257" i="12"/>
  <c r="R257" i="12"/>
  <c r="Q257" i="12"/>
  <c r="P257" i="12"/>
  <c r="O257" i="12"/>
  <c r="N257" i="12"/>
  <c r="M257" i="12"/>
  <c r="L257" i="12"/>
  <c r="K257" i="12"/>
  <c r="J257" i="12"/>
  <c r="I257" i="12"/>
  <c r="H257" i="12"/>
  <c r="G257" i="12"/>
  <c r="F257" i="12"/>
  <c r="AC254" i="12"/>
  <c r="AC257" i="12" s="1"/>
  <c r="AC259" i="12" s="1"/>
  <c r="AB254" i="12"/>
  <c r="AB257" i="12" s="1"/>
  <c r="AB259" i="12" s="1"/>
  <c r="AB248" i="12"/>
  <c r="BR237" i="12" s="1"/>
  <c r="AA248" i="12"/>
  <c r="BQ237" i="12" s="1"/>
  <c r="AC247" i="12"/>
  <c r="BY245" i="12"/>
  <c r="BX245" i="12"/>
  <c r="BW245" i="12"/>
  <c r="BV245" i="12"/>
  <c r="CA244" i="12"/>
  <c r="CA245" i="12" s="1"/>
  <c r="BZ244" i="12"/>
  <c r="BZ245" i="12" s="1"/>
  <c r="BY244" i="12"/>
  <c r="BX244" i="12"/>
  <c r="BW244" i="12"/>
  <c r="BV244" i="12"/>
  <c r="V243" i="12"/>
  <c r="S243" i="12"/>
  <c r="B243" i="12"/>
  <c r="BU242" i="12"/>
  <c r="BT242" i="12"/>
  <c r="BS242" i="12"/>
  <c r="BR242" i="12"/>
  <c r="BQ242" i="12"/>
  <c r="Z242" i="12"/>
  <c r="Y242" i="12"/>
  <c r="V242" i="12"/>
  <c r="U242" i="12"/>
  <c r="O242" i="12"/>
  <c r="Q242" i="12" s="1"/>
  <c r="K242" i="12"/>
  <c r="B242" i="12"/>
  <c r="Z241" i="12"/>
  <c r="Y241" i="12"/>
  <c r="V241" i="12"/>
  <c r="U241" i="12"/>
  <c r="Q241" i="12"/>
  <c r="K241" i="12"/>
  <c r="B241" i="12"/>
  <c r="Z240" i="12"/>
  <c r="Y240" i="12"/>
  <c r="V240" i="12"/>
  <c r="U240" i="12"/>
  <c r="Q240" i="12"/>
  <c r="K240" i="12"/>
  <c r="B240" i="12"/>
  <c r="AO238" i="12"/>
  <c r="AN238" i="12"/>
  <c r="AM238" i="12"/>
  <c r="AL238" i="12"/>
  <c r="AK238" i="12"/>
  <c r="AJ238" i="12"/>
  <c r="AI238" i="12"/>
  <c r="AH238" i="12"/>
  <c r="AG238" i="12"/>
  <c r="AF238" i="12"/>
  <c r="AE238" i="12"/>
  <c r="AD238" i="12"/>
  <c r="AC238" i="12"/>
  <c r="AB238" i="12"/>
  <c r="AA238" i="12"/>
  <c r="Z238" i="12"/>
  <c r="Y238" i="12"/>
  <c r="W238" i="12"/>
  <c r="BS237" i="12"/>
  <c r="BP237" i="12"/>
  <c r="BO237" i="12"/>
  <c r="BN237" i="12"/>
  <c r="BM237" i="12"/>
  <c r="AG236" i="12"/>
  <c r="AF236" i="12"/>
  <c r="AE236" i="12"/>
  <c r="AD236" i="12"/>
  <c r="AC236" i="12"/>
  <c r="AB236" i="12"/>
  <c r="AA236" i="12"/>
  <c r="Z236" i="12"/>
  <c r="Y236" i="12"/>
  <c r="X235" i="12"/>
  <c r="AA258" i="12" s="1"/>
  <c r="V235" i="12"/>
  <c r="U235" i="12"/>
  <c r="T235" i="12"/>
  <c r="T244" i="12" s="1"/>
  <c r="S235" i="12"/>
  <c r="R235" i="12"/>
  <c r="R244" i="12" s="1"/>
  <c r="Q235" i="12"/>
  <c r="P235" i="12"/>
  <c r="O235" i="12"/>
  <c r="N235" i="12"/>
  <c r="N244" i="12" s="1"/>
  <c r="M235" i="12"/>
  <c r="M244" i="12" s="1"/>
  <c r="L235" i="12"/>
  <c r="L244" i="12" s="1"/>
  <c r="K235" i="12"/>
  <c r="J235" i="12"/>
  <c r="I235" i="12"/>
  <c r="H235" i="12"/>
  <c r="G235" i="12"/>
  <c r="F235" i="12"/>
  <c r="E235" i="12"/>
  <c r="D235" i="12"/>
  <c r="C235" i="12"/>
  <c r="BJ234" i="12"/>
  <c r="BI234" i="12"/>
  <c r="BH234" i="12"/>
  <c r="BG234" i="12"/>
  <c r="BF234" i="12"/>
  <c r="BE234" i="12"/>
  <c r="BD234" i="12"/>
  <c r="BC234" i="12"/>
  <c r="BB234" i="12"/>
  <c r="BA234" i="12"/>
  <c r="AZ234" i="12"/>
  <c r="AY234" i="12"/>
  <c r="AX234" i="12"/>
  <c r="AW234" i="12"/>
  <c r="AV234" i="12"/>
  <c r="AU234" i="12"/>
  <c r="AT234" i="12"/>
  <c r="AS234" i="12"/>
  <c r="B234" i="12"/>
  <c r="AR234" i="12" s="1"/>
  <c r="BJ233" i="12"/>
  <c r="BI233" i="12"/>
  <c r="BH233" i="12"/>
  <c r="BG233" i="12"/>
  <c r="BF233" i="12"/>
  <c r="BE233" i="12"/>
  <c r="BD233" i="12"/>
  <c r="BC233" i="12"/>
  <c r="BB233" i="12"/>
  <c r="BA233" i="12"/>
  <c r="AZ233" i="12"/>
  <c r="AY233" i="12"/>
  <c r="AX233" i="12"/>
  <c r="AW233" i="12"/>
  <c r="AV233" i="12"/>
  <c r="AU233" i="12"/>
  <c r="AT233" i="12"/>
  <c r="AS233" i="12"/>
  <c r="B233" i="12"/>
  <c r="AR233" i="12" s="1"/>
  <c r="BJ232" i="12"/>
  <c r="BH232" i="12"/>
  <c r="BG232" i="12"/>
  <c r="BF232" i="12"/>
  <c r="BE232" i="12"/>
  <c r="BD232" i="12"/>
  <c r="BC232" i="12"/>
  <c r="BB232" i="12"/>
  <c r="BA232" i="12"/>
  <c r="AZ232" i="12"/>
  <c r="AY232" i="12"/>
  <c r="AX232" i="12"/>
  <c r="AW232" i="12"/>
  <c r="AV232" i="12"/>
  <c r="AU232" i="12"/>
  <c r="AT232" i="12"/>
  <c r="AS232" i="12"/>
  <c r="W232" i="12"/>
  <c r="BI232" i="12" s="1"/>
  <c r="B232" i="12"/>
  <c r="AR232" i="12" s="1"/>
  <c r="AG230" i="12"/>
  <c r="AE227" i="12"/>
  <c r="AB227" i="12"/>
  <c r="AA227" i="12"/>
  <c r="W224" i="12"/>
  <c r="Z223" i="12"/>
  <c r="Z224" i="12" s="1"/>
  <c r="Y223" i="12"/>
  <c r="U223" i="12"/>
  <c r="U243" i="12" s="1"/>
  <c r="S223" i="12"/>
  <c r="Q223" i="12"/>
  <c r="Q243" i="12" s="1"/>
  <c r="P243" i="12" s="1"/>
  <c r="O222" i="12"/>
  <c r="Q222" i="12" s="1"/>
  <c r="K222" i="12"/>
  <c r="Q221" i="12"/>
  <c r="K221" i="12"/>
  <c r="S220" i="12"/>
  <c r="Q220" i="12"/>
  <c r="K220" i="12"/>
  <c r="BZ218" i="12"/>
  <c r="BY218" i="12"/>
  <c r="BY242" i="12" s="1"/>
  <c r="BX218" i="12"/>
  <c r="BX242" i="12" s="1"/>
  <c r="BW218" i="12"/>
  <c r="BW242" i="12" s="1"/>
  <c r="BV218" i="12"/>
  <c r="BV242" i="12" s="1"/>
  <c r="BP218" i="12"/>
  <c r="BP242" i="12" s="1"/>
  <c r="BO218" i="12"/>
  <c r="BO242" i="12" s="1"/>
  <c r="BN218" i="12"/>
  <c r="BN242" i="12" s="1"/>
  <c r="BM218" i="12"/>
  <c r="BM242" i="12" s="1"/>
  <c r="BL218" i="12"/>
  <c r="BL242" i="12" s="1"/>
  <c r="BK218" i="12"/>
  <c r="BK242" i="12" s="1"/>
  <c r="AR218" i="12"/>
  <c r="AP218" i="12"/>
  <c r="AP225" i="12" s="1"/>
  <c r="CB218" i="12" s="1"/>
  <c r="X218" i="12"/>
  <c r="X238" i="12" s="1"/>
  <c r="V218" i="12"/>
  <c r="V224" i="12" s="1"/>
  <c r="U218" i="12"/>
  <c r="T218" i="12"/>
  <c r="S218" i="12"/>
  <c r="V216" i="5" s="1"/>
  <c r="R218" i="12"/>
  <c r="R224" i="12" s="1"/>
  <c r="Q218" i="12"/>
  <c r="S216" i="5" s="1"/>
  <c r="P218" i="12"/>
  <c r="O218" i="12"/>
  <c r="Q216" i="5" s="1"/>
  <c r="N218" i="12"/>
  <c r="N224" i="12" s="1"/>
  <c r="M218" i="12"/>
  <c r="M224" i="12" s="1"/>
  <c r="L218" i="12"/>
  <c r="L224" i="12" s="1"/>
  <c r="K218" i="12"/>
  <c r="L216" i="5" s="1"/>
  <c r="J218" i="12"/>
  <c r="J216" i="5" s="1"/>
  <c r="I218" i="12"/>
  <c r="I216" i="5" s="1"/>
  <c r="H218" i="12"/>
  <c r="G218" i="12"/>
  <c r="G216" i="5" s="1"/>
  <c r="F218" i="12"/>
  <c r="E218" i="12"/>
  <c r="D218" i="12"/>
  <c r="C218" i="12"/>
  <c r="BJ217" i="12"/>
  <c r="BI217" i="12"/>
  <c r="BH217" i="12"/>
  <c r="BG217" i="12"/>
  <c r="BF217" i="12"/>
  <c r="BE217" i="12"/>
  <c r="BD217" i="12"/>
  <c r="BC217" i="12"/>
  <c r="BB217" i="12"/>
  <c r="BA217" i="12"/>
  <c r="AZ217" i="12"/>
  <c r="AY217" i="12"/>
  <c r="AX217" i="12"/>
  <c r="AW217" i="12"/>
  <c r="AV217" i="12"/>
  <c r="AU217" i="12"/>
  <c r="AT217" i="12"/>
  <c r="AS217" i="12"/>
  <c r="AR217" i="12"/>
  <c r="BJ216" i="12"/>
  <c r="BI216" i="12"/>
  <c r="BH216" i="12"/>
  <c r="BG216" i="12"/>
  <c r="BF216" i="12"/>
  <c r="BE216" i="12"/>
  <c r="BD216" i="12"/>
  <c r="BC216" i="12"/>
  <c r="BB216" i="12"/>
  <c r="BA216" i="12"/>
  <c r="AZ216" i="12"/>
  <c r="AY216" i="12"/>
  <c r="AX216" i="12"/>
  <c r="AW216" i="12"/>
  <c r="AV216" i="12"/>
  <c r="AU216" i="12"/>
  <c r="AT216" i="12"/>
  <c r="AS216" i="12"/>
  <c r="AR216" i="12"/>
  <c r="Z216" i="12"/>
  <c r="Y216" i="12"/>
  <c r="BJ215" i="12"/>
  <c r="BH215" i="12"/>
  <c r="BG215" i="12"/>
  <c r="BF215" i="12"/>
  <c r="BE215" i="12"/>
  <c r="BD215" i="12"/>
  <c r="BC215" i="12"/>
  <c r="BB215" i="12"/>
  <c r="BA215" i="12"/>
  <c r="AZ215" i="12"/>
  <c r="AY215" i="12"/>
  <c r="AX215" i="12"/>
  <c r="AW215" i="12"/>
  <c r="AV215" i="12"/>
  <c r="AU215" i="12"/>
  <c r="AT215" i="12"/>
  <c r="AS215" i="12"/>
  <c r="AR215" i="12"/>
  <c r="W215" i="12"/>
  <c r="BI215" i="12" s="1"/>
  <c r="CB214" i="12"/>
  <c r="CB241" i="12" s="1"/>
  <c r="CA214" i="12"/>
  <c r="CA241" i="12" s="1"/>
  <c r="BZ214" i="12"/>
  <c r="BZ241" i="12" s="1"/>
  <c r="BY214" i="12"/>
  <c r="BY241" i="12" s="1"/>
  <c r="BX214" i="12"/>
  <c r="BX241" i="12" s="1"/>
  <c r="BW214" i="12"/>
  <c r="BW241" i="12" s="1"/>
  <c r="BV214" i="12"/>
  <c r="BV241" i="12" s="1"/>
  <c r="BU214" i="12"/>
  <c r="BU241" i="12" s="1"/>
  <c r="BT214" i="12"/>
  <c r="BT241" i="12" s="1"/>
  <c r="BS214" i="12"/>
  <c r="BS241" i="12" s="1"/>
  <c r="BR214" i="12"/>
  <c r="BR241" i="12" s="1"/>
  <c r="BQ214" i="12"/>
  <c r="BQ241" i="12" s="1"/>
  <c r="BP214" i="12"/>
  <c r="BP241" i="12" s="1"/>
  <c r="BO214" i="12"/>
  <c r="BO241" i="12" s="1"/>
  <c r="BN214" i="12"/>
  <c r="BN241" i="12" s="1"/>
  <c r="BM214" i="12"/>
  <c r="BM241" i="12" s="1"/>
  <c r="BL214" i="12"/>
  <c r="BL241" i="12" s="1"/>
  <c r="BK214" i="12"/>
  <c r="BK241" i="12" s="1"/>
  <c r="BJ214" i="12"/>
  <c r="BJ241" i="12" s="1"/>
  <c r="BI214" i="12"/>
  <c r="BI241" i="12" s="1"/>
  <c r="BH214" i="12"/>
  <c r="BH241" i="12" s="1"/>
  <c r="BG214" i="12"/>
  <c r="BG241" i="12" s="1"/>
  <c r="BF214" i="12"/>
  <c r="BF241" i="12" s="1"/>
  <c r="BE214" i="12"/>
  <c r="BE241" i="12" s="1"/>
  <c r="BD214" i="12"/>
  <c r="BD241" i="12" s="1"/>
  <c r="BC214" i="12"/>
  <c r="BC241" i="12" s="1"/>
  <c r="BB214" i="12"/>
  <c r="BB241" i="12" s="1"/>
  <c r="BA214" i="12"/>
  <c r="BA241" i="12" s="1"/>
  <c r="AZ214" i="12"/>
  <c r="AY214" i="12"/>
  <c r="AX214" i="12"/>
  <c r="AW214" i="12"/>
  <c r="AV214" i="12"/>
  <c r="AU214" i="12"/>
  <c r="AT214" i="12"/>
  <c r="AS214" i="12"/>
  <c r="H174" i="12"/>
  <c r="G174" i="12"/>
  <c r="H168" i="12"/>
  <c r="G168" i="12"/>
  <c r="G169" i="12" s="1"/>
  <c r="R159" i="12"/>
  <c r="Q159" i="12"/>
  <c r="P159" i="12"/>
  <c r="O159" i="12"/>
  <c r="N159" i="12"/>
  <c r="M159" i="12"/>
  <c r="L159" i="12"/>
  <c r="K159" i="12"/>
  <c r="J159" i="12"/>
  <c r="I159" i="12"/>
  <c r="H159" i="12"/>
  <c r="C159" i="12"/>
  <c r="K146" i="12"/>
  <c r="AT210" i="5" s="1"/>
  <c r="D3209" i="3" s="1"/>
  <c r="J146" i="12"/>
  <c r="I146" i="12"/>
  <c r="AJ210" i="5" s="1"/>
  <c r="H146" i="12"/>
  <c r="AE210" i="5" s="1"/>
  <c r="G146" i="12"/>
  <c r="Z210" i="5" s="1"/>
  <c r="F146" i="12"/>
  <c r="E146" i="12"/>
  <c r="E143" i="12"/>
  <c r="F143" i="12" s="1"/>
  <c r="G143" i="12" s="1"/>
  <c r="H143" i="12" s="1"/>
  <c r="C141" i="12"/>
  <c r="D136" i="12"/>
  <c r="C136" i="12"/>
  <c r="E133" i="12"/>
  <c r="F133" i="12" s="1"/>
  <c r="G133" i="12" s="1"/>
  <c r="H133" i="12" s="1"/>
  <c r="B129" i="12"/>
  <c r="C118" i="12"/>
  <c r="C106" i="12"/>
  <c r="D99" i="12"/>
  <c r="D132" i="12" s="1"/>
  <c r="C99" i="12"/>
  <c r="C132" i="12" s="1"/>
  <c r="G95" i="12"/>
  <c r="F95" i="12"/>
  <c r="E95" i="12"/>
  <c r="D95" i="12"/>
  <c r="C95" i="12"/>
  <c r="G93" i="12"/>
  <c r="F93" i="12"/>
  <c r="E93" i="12"/>
  <c r="D93" i="12"/>
  <c r="A91" i="12"/>
  <c r="G91" i="12" s="1"/>
  <c r="A90" i="12"/>
  <c r="R90" i="12" s="1"/>
  <c r="A89" i="12"/>
  <c r="R89" i="12" s="1"/>
  <c r="A88" i="12"/>
  <c r="G88" i="12" s="1"/>
  <c r="A87" i="12"/>
  <c r="F87" i="12" s="1"/>
  <c r="A86" i="12"/>
  <c r="F86" i="12" s="1"/>
  <c r="A85" i="12"/>
  <c r="M85" i="12" s="1"/>
  <c r="A84" i="12"/>
  <c r="D84" i="12" s="1"/>
  <c r="A83" i="12"/>
  <c r="A82" i="12"/>
  <c r="K82" i="12" s="1"/>
  <c r="A81" i="12"/>
  <c r="P81" i="12" s="1"/>
  <c r="A80" i="12"/>
  <c r="D80" i="12" s="1"/>
  <c r="I74" i="12"/>
  <c r="J74" i="12" s="1"/>
  <c r="I73" i="12"/>
  <c r="H72" i="12"/>
  <c r="I72" i="12" s="1"/>
  <c r="H71" i="12"/>
  <c r="H70" i="12"/>
  <c r="I70" i="12" s="1"/>
  <c r="C70" i="12"/>
  <c r="H69" i="12"/>
  <c r="C69" i="12"/>
  <c r="H68" i="12"/>
  <c r="H67" i="12"/>
  <c r="H66" i="12"/>
  <c r="I66" i="12" s="1"/>
  <c r="C66" i="12"/>
  <c r="C65" i="12"/>
  <c r="H64" i="12"/>
  <c r="C64" i="12"/>
  <c r="H63" i="12"/>
  <c r="I63" i="12" s="1"/>
  <c r="E63" i="12"/>
  <c r="K61" i="12"/>
  <c r="J61" i="12"/>
  <c r="I61" i="12"/>
  <c r="H61" i="12"/>
  <c r="G61" i="12"/>
  <c r="F61" i="12"/>
  <c r="E61" i="12"/>
  <c r="D61" i="12"/>
  <c r="C61" i="12"/>
  <c r="D60" i="12"/>
  <c r="C60" i="12"/>
  <c r="I55" i="12"/>
  <c r="I100" i="12" s="1"/>
  <c r="H55" i="12"/>
  <c r="H100" i="12" s="1"/>
  <c r="I53" i="12"/>
  <c r="J53" i="12" s="1"/>
  <c r="J52" i="12" s="1"/>
  <c r="J55" i="12" s="1"/>
  <c r="J56" i="12" s="1"/>
  <c r="H53" i="12"/>
  <c r="G53" i="12"/>
  <c r="F53" i="12"/>
  <c r="E53" i="12"/>
  <c r="I48" i="12"/>
  <c r="H48" i="12"/>
  <c r="G48" i="12"/>
  <c r="F48" i="12"/>
  <c r="E48" i="12"/>
  <c r="D48" i="12"/>
  <c r="C48" i="12"/>
  <c r="I43" i="12"/>
  <c r="I47" i="12" s="1"/>
  <c r="G43" i="12"/>
  <c r="G47" i="12" s="1"/>
  <c r="F43" i="12"/>
  <c r="F47" i="12" s="1"/>
  <c r="E43" i="12"/>
  <c r="E47" i="12" s="1"/>
  <c r="D43" i="12"/>
  <c r="D47" i="12" s="1"/>
  <c r="C43" i="12"/>
  <c r="C47" i="12" s="1"/>
  <c r="K37" i="12"/>
  <c r="J37" i="12"/>
  <c r="H35" i="12"/>
  <c r="I32" i="12"/>
  <c r="H32" i="12"/>
  <c r="G29" i="12"/>
  <c r="K21" i="12"/>
  <c r="J21" i="12"/>
  <c r="I21" i="12"/>
  <c r="H21" i="12"/>
  <c r="G21" i="12"/>
  <c r="O19" i="12"/>
  <c r="P19" i="12" s="1"/>
  <c r="K19" i="12"/>
  <c r="J19" i="12"/>
  <c r="I19" i="12"/>
  <c r="H19" i="12"/>
  <c r="G19" i="12"/>
  <c r="K18" i="12"/>
  <c r="J18" i="12"/>
  <c r="I18" i="12"/>
  <c r="H18" i="12"/>
  <c r="M17" i="12"/>
  <c r="M21" i="12" s="1"/>
  <c r="L17" i="12"/>
  <c r="K16" i="12"/>
  <c r="J16" i="12"/>
  <c r="I16" i="12"/>
  <c r="H16" i="12"/>
  <c r="AX14" i="12"/>
  <c r="AW14" i="12"/>
  <c r="AV14" i="12"/>
  <c r="AU14" i="12"/>
  <c r="AT14" i="12"/>
  <c r="AS14" i="12"/>
  <c r="AR14" i="12"/>
  <c r="G8" i="12"/>
  <c r="H8" i="12" s="1"/>
  <c r="AR7" i="12"/>
  <c r="M6" i="12"/>
  <c r="AX7" i="12" s="1"/>
  <c r="L6" i="12"/>
  <c r="AW7" i="12" s="1"/>
  <c r="K6" i="12"/>
  <c r="AV7" i="12" s="1"/>
  <c r="J6" i="12"/>
  <c r="AU7" i="12" s="1"/>
  <c r="I6" i="12"/>
  <c r="AT7" i="12" s="1"/>
  <c r="H6" i="12"/>
  <c r="AS7" i="12" s="1"/>
  <c r="G6" i="12"/>
  <c r="AS6" i="12" s="1"/>
  <c r="F6" i="12"/>
  <c r="AR5" i="12"/>
  <c r="AS5" i="12" s="1"/>
  <c r="AT5" i="12" s="1"/>
  <c r="AU5" i="12" s="1"/>
  <c r="AV5" i="12" s="1"/>
  <c r="AW5" i="12" s="1"/>
  <c r="AX5" i="12" s="1"/>
  <c r="S5" i="12"/>
  <c r="N5" i="12"/>
  <c r="O5" i="12" s="1"/>
  <c r="P5" i="12" s="1"/>
  <c r="Q5" i="12" s="1"/>
  <c r="E4" i="12"/>
  <c r="C186" i="16"/>
  <c r="F495" i="16"/>
  <c r="D185" i="16"/>
  <c r="E181" i="16"/>
  <c r="L412" i="1"/>
  <c r="K412" i="1"/>
  <c r="E138" i="16"/>
  <c r="C44" i="21"/>
  <c r="E36" i="21"/>
  <c r="K28" i="21"/>
  <c r="J28" i="21"/>
  <c r="I28" i="21"/>
  <c r="H28" i="21"/>
  <c r="G28" i="21"/>
  <c r="F28" i="21"/>
  <c r="E28" i="21"/>
  <c r="D28" i="21"/>
  <c r="L22" i="21"/>
  <c r="M22" i="21" s="1"/>
  <c r="M28" i="21" s="1"/>
  <c r="K17" i="21"/>
  <c r="J18" i="21"/>
  <c r="I18" i="21"/>
  <c r="H18" i="21"/>
  <c r="G18" i="21"/>
  <c r="F18" i="21"/>
  <c r="E18" i="21"/>
  <c r="D18" i="21"/>
  <c r="C18" i="21"/>
  <c r="L8" i="21"/>
  <c r="K7" i="21"/>
  <c r="P5" i="21"/>
  <c r="O5" i="21"/>
  <c r="N5" i="21"/>
  <c r="M5" i="21"/>
  <c r="L5" i="21"/>
  <c r="K5" i="21"/>
  <c r="J5" i="21"/>
  <c r="I5" i="21"/>
  <c r="H5" i="21"/>
  <c r="G5" i="21"/>
  <c r="F5" i="21"/>
  <c r="E5" i="21"/>
  <c r="D5" i="21"/>
  <c r="C5" i="21"/>
  <c r="F2" i="21"/>
  <c r="F36" i="21" s="1"/>
  <c r="D2" i="21"/>
  <c r="D137" i="17"/>
  <c r="D133" i="17"/>
  <c r="D131" i="17"/>
  <c r="D135" i="17" s="1"/>
  <c r="D129" i="17"/>
  <c r="E102" i="17"/>
  <c r="D102" i="17"/>
  <c r="E91" i="17"/>
  <c r="E90" i="17"/>
  <c r="H89" i="17"/>
  <c r="E89" i="17"/>
  <c r="H86" i="17"/>
  <c r="E86" i="17"/>
  <c r="E71" i="17"/>
  <c r="D71" i="17"/>
  <c r="C71" i="17"/>
  <c r="A71" i="17"/>
  <c r="A69" i="17" s="1"/>
  <c r="A70" i="17" s="1"/>
  <c r="E69" i="17"/>
  <c r="D69" i="17"/>
  <c r="C69" i="17"/>
  <c r="E67" i="17"/>
  <c r="D67" i="17"/>
  <c r="C67" i="17"/>
  <c r="D64" i="17"/>
  <c r="C64" i="17"/>
  <c r="E63" i="17"/>
  <c r="D63" i="17"/>
  <c r="C63" i="17"/>
  <c r="B63" i="17"/>
  <c r="E62" i="17"/>
  <c r="D62" i="17"/>
  <c r="C62" i="17"/>
  <c r="B62" i="17"/>
  <c r="E61" i="17"/>
  <c r="D61" i="17"/>
  <c r="C61" i="17"/>
  <c r="B61" i="17"/>
  <c r="I56" i="17"/>
  <c r="H56" i="17"/>
  <c r="F56" i="17"/>
  <c r="I55" i="17"/>
  <c r="H55" i="17"/>
  <c r="F55" i="17"/>
  <c r="E54" i="17"/>
  <c r="C54" i="17"/>
  <c r="E53" i="17"/>
  <c r="C53" i="17"/>
  <c r="G52" i="17"/>
  <c r="G51" i="17"/>
  <c r="E51" i="17"/>
  <c r="D51" i="17"/>
  <c r="G50" i="17"/>
  <c r="F50" i="17"/>
  <c r="D50" i="17"/>
  <c r="G49" i="17"/>
  <c r="F49" i="17"/>
  <c r="D49" i="17"/>
  <c r="R39" i="17"/>
  <c r="B71" i="17" s="1"/>
  <c r="Q39" i="17"/>
  <c r="P39" i="17"/>
  <c r="O39" i="17"/>
  <c r="N39" i="17"/>
  <c r="N45" i="17" s="1"/>
  <c r="R38" i="17"/>
  <c r="B69" i="17" s="1"/>
  <c r="Q38" i="17"/>
  <c r="P38" i="17"/>
  <c r="O38" i="17"/>
  <c r="N38" i="17"/>
  <c r="N44" i="17" s="1"/>
  <c r="R37" i="17"/>
  <c r="R43" i="17" s="1"/>
  <c r="Q37" i="17"/>
  <c r="P37" i="17"/>
  <c r="O37" i="17"/>
  <c r="N37" i="17"/>
  <c r="N43" i="17" s="1"/>
  <c r="Q36" i="17"/>
  <c r="F58" i="17" s="1"/>
  <c r="P36" i="17"/>
  <c r="E58" i="17" s="1"/>
  <c r="O36" i="17"/>
  <c r="D58" i="17" s="1"/>
  <c r="N36" i="17"/>
  <c r="N42" i="17" s="1"/>
  <c r="Q35" i="17"/>
  <c r="F57" i="17" s="1"/>
  <c r="P35" i="17"/>
  <c r="E57" i="17" s="1"/>
  <c r="O35" i="17"/>
  <c r="D57" i="17" s="1"/>
  <c r="N35" i="17"/>
  <c r="AA26" i="17"/>
  <c r="N26" i="17"/>
  <c r="N33" i="17" s="1"/>
  <c r="AA25" i="17"/>
  <c r="N25" i="17"/>
  <c r="N32" i="17" s="1"/>
  <c r="U24" i="17"/>
  <c r="T24" i="17"/>
  <c r="S24" i="17"/>
  <c r="N24" i="17"/>
  <c r="N31" i="17" s="1"/>
  <c r="P23" i="17"/>
  <c r="E52" i="17" s="1"/>
  <c r="O23" i="17"/>
  <c r="D52" i="17" s="1"/>
  <c r="N23" i="17"/>
  <c r="N30" i="17" s="1"/>
  <c r="U22" i="17"/>
  <c r="T22" i="17"/>
  <c r="S22" i="17"/>
  <c r="R19" i="17"/>
  <c r="R26" i="17" s="1"/>
  <c r="R18" i="17"/>
  <c r="R25" i="17" s="1"/>
  <c r="R17" i="17"/>
  <c r="R24" i="17" s="1"/>
  <c r="R15" i="17"/>
  <c r="V5" i="17"/>
  <c r="R5" i="17"/>
  <c r="N5" i="17"/>
  <c r="H253" i="8"/>
  <c r="H252" i="8"/>
  <c r="K243" i="8"/>
  <c r="K242" i="8"/>
  <c r="B149" i="18"/>
  <c r="B148" i="18"/>
  <c r="B147" i="18"/>
  <c r="Y141" i="18"/>
  <c r="X141" i="18"/>
  <c r="E173" i="18" s="1"/>
  <c r="W141" i="18"/>
  <c r="V141" i="18"/>
  <c r="C173" i="18" s="1"/>
  <c r="U141" i="18"/>
  <c r="T141" i="18"/>
  <c r="P141" i="18"/>
  <c r="O141" i="18"/>
  <c r="N141" i="18"/>
  <c r="Y140" i="18"/>
  <c r="X140" i="18"/>
  <c r="E172" i="18" s="1"/>
  <c r="W140" i="18"/>
  <c r="D172" i="18" s="1"/>
  <c r="V140" i="18"/>
  <c r="C172" i="18" s="1"/>
  <c r="U140" i="18"/>
  <c r="T140" i="18"/>
  <c r="O140" i="18"/>
  <c r="N140" i="18"/>
  <c r="V139" i="18"/>
  <c r="C171" i="18" s="1"/>
  <c r="U139" i="18"/>
  <c r="B139" i="18"/>
  <c r="B146" i="18" s="1"/>
  <c r="U134" i="18"/>
  <c r="T134" i="18"/>
  <c r="Y133" i="18"/>
  <c r="X133" i="18"/>
  <c r="W133" i="18"/>
  <c r="V133" i="18"/>
  <c r="U133" i="18"/>
  <c r="T133" i="18"/>
  <c r="Y132" i="18"/>
  <c r="X132" i="18"/>
  <c r="W132" i="18"/>
  <c r="V132" i="18"/>
  <c r="U132" i="18"/>
  <c r="T132" i="18"/>
  <c r="X129" i="18"/>
  <c r="Y129" i="18" s="1"/>
  <c r="Z129" i="18" s="1"/>
  <c r="AA129" i="18" s="1"/>
  <c r="AB129" i="18" s="1"/>
  <c r="AC129" i="18" s="1"/>
  <c r="AD129" i="18" s="1"/>
  <c r="AE129" i="18" s="1"/>
  <c r="AF129" i="18" s="1"/>
  <c r="AG129" i="18" s="1"/>
  <c r="AH129" i="18" s="1"/>
  <c r="AI129" i="18" s="1"/>
  <c r="AJ129" i="18" s="1"/>
  <c r="AK129" i="18" s="1"/>
  <c r="AL129" i="18" s="1"/>
  <c r="AM129" i="18" s="1"/>
  <c r="AN129" i="18" s="1"/>
  <c r="X121" i="18"/>
  <c r="Y121" i="18" s="1"/>
  <c r="Z121" i="18" s="1"/>
  <c r="AA121" i="18" s="1"/>
  <c r="AB121" i="18" s="1"/>
  <c r="AC121" i="18" s="1"/>
  <c r="AD121" i="18" s="1"/>
  <c r="AE121" i="18" s="1"/>
  <c r="AF121" i="18" s="1"/>
  <c r="AG121" i="18" s="1"/>
  <c r="AH121" i="18" s="1"/>
  <c r="AI121" i="18" s="1"/>
  <c r="AJ121" i="18" s="1"/>
  <c r="AK121" i="18" s="1"/>
  <c r="AL121" i="18" s="1"/>
  <c r="AM121" i="18" s="1"/>
  <c r="AN121" i="18" s="1"/>
  <c r="X108" i="18"/>
  <c r="Y108" i="18" s="1"/>
  <c r="Z108" i="18" s="1"/>
  <c r="AA108" i="18" s="1"/>
  <c r="AB108" i="18" s="1"/>
  <c r="AC108" i="18" s="1"/>
  <c r="AD108" i="18" s="1"/>
  <c r="AE108" i="18" s="1"/>
  <c r="AF108" i="18" s="1"/>
  <c r="AG108" i="18" s="1"/>
  <c r="AH108" i="18" s="1"/>
  <c r="AI108" i="18" s="1"/>
  <c r="AJ108" i="18" s="1"/>
  <c r="AK108" i="18" s="1"/>
  <c r="AL108" i="18" s="1"/>
  <c r="AM108" i="18" s="1"/>
  <c r="AN108" i="18" s="1"/>
  <c r="X71" i="18"/>
  <c r="Y71" i="18" s="1"/>
  <c r="Z71" i="18" s="1"/>
  <c r="AA71" i="18" s="1"/>
  <c r="AB71" i="18" s="1"/>
  <c r="AC71" i="18" s="1"/>
  <c r="AD71" i="18" s="1"/>
  <c r="AE71" i="18" s="1"/>
  <c r="AF71" i="18" s="1"/>
  <c r="AG71" i="18" s="1"/>
  <c r="AH71" i="18" s="1"/>
  <c r="AI71" i="18" s="1"/>
  <c r="AJ71" i="18" s="1"/>
  <c r="AK71" i="18" s="1"/>
  <c r="AL71" i="18" s="1"/>
  <c r="AM71" i="18" s="1"/>
  <c r="AN71" i="18" s="1"/>
  <c r="Y27" i="18"/>
  <c r="X27" i="18"/>
  <c r="W27" i="18"/>
  <c r="V27" i="18"/>
  <c r="U27" i="18"/>
  <c r="T27" i="18"/>
  <c r="S27" i="18"/>
  <c r="R27" i="18"/>
  <c r="Q27" i="18"/>
  <c r="P27" i="18"/>
  <c r="O27" i="18"/>
  <c r="Y26" i="18"/>
  <c r="X26" i="18"/>
  <c r="W26" i="18"/>
  <c r="V26" i="18"/>
  <c r="U26" i="18"/>
  <c r="T26" i="18"/>
  <c r="S26" i="18"/>
  <c r="R26" i="18"/>
  <c r="Q26" i="18"/>
  <c r="P26" i="18"/>
  <c r="O26" i="18"/>
  <c r="P20" i="18"/>
  <c r="O20" i="18"/>
  <c r="N20" i="18"/>
  <c r="J19" i="18"/>
  <c r="X17" i="18"/>
  <c r="Y17" i="18" s="1"/>
  <c r="Z17" i="18" s="1"/>
  <c r="AA17" i="18" s="1"/>
  <c r="AB17" i="18" s="1"/>
  <c r="AC17" i="18" s="1"/>
  <c r="AD17" i="18" s="1"/>
  <c r="AE17" i="18" s="1"/>
  <c r="AF17" i="18" s="1"/>
  <c r="AG17" i="18" s="1"/>
  <c r="AH17" i="18" s="1"/>
  <c r="AI17" i="18" s="1"/>
  <c r="AJ17" i="18" s="1"/>
  <c r="AK17" i="18" s="1"/>
  <c r="AL17" i="18" s="1"/>
  <c r="AM17" i="18" s="1"/>
  <c r="AN17" i="18" s="1"/>
  <c r="Y11" i="18"/>
  <c r="X11" i="18"/>
  <c r="W11" i="18"/>
  <c r="V11" i="18"/>
  <c r="U11" i="18"/>
  <c r="T11" i="18"/>
  <c r="S11" i="18"/>
  <c r="X2" i="18"/>
  <c r="F306" i="13"/>
  <c r="E306" i="13"/>
  <c r="D306" i="13"/>
  <c r="C306" i="13"/>
  <c r="B306" i="13"/>
  <c r="B304" i="13"/>
  <c r="B303" i="13"/>
  <c r="F301" i="13"/>
  <c r="E301" i="13"/>
  <c r="D301" i="13"/>
  <c r="C301" i="13"/>
  <c r="B301" i="13"/>
  <c r="F300" i="13"/>
  <c r="E300" i="13"/>
  <c r="D300" i="13"/>
  <c r="C300" i="13"/>
  <c r="B300" i="13"/>
  <c r="E299" i="13"/>
  <c r="D299" i="13"/>
  <c r="C299" i="13"/>
  <c r="B299" i="13"/>
  <c r="E297" i="13"/>
  <c r="D297" i="13"/>
  <c r="C297" i="13"/>
  <c r="B297" i="13"/>
  <c r="E296" i="13"/>
  <c r="D296" i="13"/>
  <c r="C296" i="13"/>
  <c r="B296" i="13"/>
  <c r="E295" i="13"/>
  <c r="D295" i="13"/>
  <c r="C295" i="13"/>
  <c r="B295" i="13"/>
  <c r="F293" i="13"/>
  <c r="E293" i="13"/>
  <c r="D293" i="13"/>
  <c r="C293" i="13"/>
  <c r="B293" i="13"/>
  <c r="F292" i="13"/>
  <c r="E292" i="13"/>
  <c r="D292" i="13"/>
  <c r="C292" i="13"/>
  <c r="B292" i="13"/>
  <c r="F290" i="13"/>
  <c r="E290" i="13"/>
  <c r="D290" i="13"/>
  <c r="C290" i="13"/>
  <c r="B290" i="13"/>
  <c r="E289" i="13"/>
  <c r="D289" i="13"/>
  <c r="C289" i="13"/>
  <c r="B289" i="13"/>
  <c r="E287" i="13"/>
  <c r="D287" i="13"/>
  <c r="C287" i="13"/>
  <c r="B287" i="13"/>
  <c r="E286" i="13"/>
  <c r="D286" i="13"/>
  <c r="C286" i="13"/>
  <c r="B286" i="13"/>
  <c r="E285" i="13"/>
  <c r="D285" i="13"/>
  <c r="C285" i="13"/>
  <c r="B285" i="13"/>
  <c r="E284" i="13"/>
  <c r="D284" i="13"/>
  <c r="C284" i="13"/>
  <c r="B284" i="13"/>
  <c r="F283" i="13"/>
  <c r="E283" i="13"/>
  <c r="D283" i="13"/>
  <c r="C283" i="13"/>
  <c r="B283" i="13"/>
  <c r="F281" i="13"/>
  <c r="E281" i="13"/>
  <c r="D281" i="13"/>
  <c r="C281" i="13"/>
  <c r="B281" i="13"/>
  <c r="F280" i="13"/>
  <c r="E280" i="13"/>
  <c r="D280" i="13"/>
  <c r="C280" i="13"/>
  <c r="B280" i="13"/>
  <c r="F278" i="13"/>
  <c r="E278" i="13"/>
  <c r="D278" i="13"/>
  <c r="C278" i="13"/>
  <c r="B278" i="13"/>
  <c r="E276" i="13"/>
  <c r="D276" i="13"/>
  <c r="C276" i="13"/>
  <c r="B276" i="13"/>
  <c r="F275" i="13"/>
  <c r="E275" i="13"/>
  <c r="D275" i="13"/>
  <c r="C275" i="13"/>
  <c r="B275" i="13"/>
  <c r="E274" i="13"/>
  <c r="D274" i="13"/>
  <c r="C274" i="13"/>
  <c r="B274" i="13"/>
  <c r="F273" i="13"/>
  <c r="E273" i="13"/>
  <c r="D273" i="13"/>
  <c r="C273" i="13"/>
  <c r="B273" i="13"/>
  <c r="F271" i="13"/>
  <c r="E271" i="13"/>
  <c r="D271" i="13"/>
  <c r="C271" i="13"/>
  <c r="B271" i="13"/>
  <c r="E269" i="13"/>
  <c r="D269" i="13"/>
  <c r="C269" i="13"/>
  <c r="B269" i="13"/>
  <c r="F268" i="13"/>
  <c r="E268" i="13"/>
  <c r="D268" i="13"/>
  <c r="C268" i="13"/>
  <c r="B268" i="13"/>
  <c r="E267" i="13"/>
  <c r="D267" i="13"/>
  <c r="C267" i="13"/>
  <c r="B267" i="13"/>
  <c r="F266" i="13"/>
  <c r="E266" i="13"/>
  <c r="D266" i="13"/>
  <c r="C266" i="13"/>
  <c r="B266" i="13"/>
  <c r="F264" i="13"/>
  <c r="E264" i="13"/>
  <c r="D264" i="13"/>
  <c r="C264" i="13"/>
  <c r="B264" i="13"/>
  <c r="F263" i="13"/>
  <c r="E263" i="13"/>
  <c r="D263" i="13"/>
  <c r="C263" i="13"/>
  <c r="B263" i="13"/>
  <c r="F262" i="13"/>
  <c r="E262" i="13"/>
  <c r="D262" i="13"/>
  <c r="C262" i="13"/>
  <c r="B262" i="13"/>
  <c r="E261" i="13"/>
  <c r="D261" i="13"/>
  <c r="C261" i="13"/>
  <c r="E260" i="13"/>
  <c r="D260" i="13"/>
  <c r="C260" i="13"/>
  <c r="B260" i="13"/>
  <c r="E259" i="13"/>
  <c r="D259" i="13"/>
  <c r="C259" i="13"/>
  <c r="F258" i="13"/>
  <c r="E258" i="13"/>
  <c r="D258" i="13"/>
  <c r="C258" i="13"/>
  <c r="B258" i="13"/>
  <c r="F257" i="13"/>
  <c r="E257" i="13"/>
  <c r="D257" i="13"/>
  <c r="C257" i="13"/>
  <c r="B257" i="13"/>
  <c r="E256" i="13"/>
  <c r="D256" i="13"/>
  <c r="C256" i="13"/>
  <c r="B256" i="13"/>
  <c r="N252" i="13"/>
  <c r="M252" i="13"/>
  <c r="L252" i="13"/>
  <c r="K252" i="13"/>
  <c r="J252" i="13"/>
  <c r="I252" i="13"/>
  <c r="H252" i="13"/>
  <c r="G252" i="13"/>
  <c r="F252" i="13"/>
  <c r="J251" i="13"/>
  <c r="F248" i="13"/>
  <c r="E248" i="13"/>
  <c r="D248" i="13"/>
  <c r="C248" i="13"/>
  <c r="B248" i="13"/>
  <c r="F247" i="13"/>
  <c r="E247" i="13"/>
  <c r="D247" i="13"/>
  <c r="C247" i="13"/>
  <c r="B247" i="13"/>
  <c r="F246" i="13"/>
  <c r="E246" i="13"/>
  <c r="D246" i="13"/>
  <c r="C246" i="13"/>
  <c r="B246" i="13"/>
  <c r="F245" i="13"/>
  <c r="E245" i="13"/>
  <c r="D245" i="13"/>
  <c r="C245" i="13"/>
  <c r="G244" i="13"/>
  <c r="F244" i="13"/>
  <c r="E244" i="13"/>
  <c r="D244" i="13"/>
  <c r="C244" i="13"/>
  <c r="F243" i="13"/>
  <c r="E243" i="13"/>
  <c r="D243" i="13"/>
  <c r="C243" i="13"/>
  <c r="B243" i="13"/>
  <c r="N242" i="13"/>
  <c r="M242" i="13"/>
  <c r="L242" i="13"/>
  <c r="K242" i="13"/>
  <c r="J242" i="13"/>
  <c r="I242" i="13"/>
  <c r="H242" i="13"/>
  <c r="G242" i="13"/>
  <c r="F242" i="13"/>
  <c r="E242" i="13"/>
  <c r="D242" i="13"/>
  <c r="C242" i="13"/>
  <c r="F241" i="13"/>
  <c r="E241" i="13"/>
  <c r="D241" i="13"/>
  <c r="C241" i="13"/>
  <c r="B241" i="13"/>
  <c r="I238" i="13"/>
  <c r="G238" i="13"/>
  <c r="F238" i="13"/>
  <c r="J218" i="13"/>
  <c r="I209" i="13"/>
  <c r="J209" i="13" s="1"/>
  <c r="G209" i="13"/>
  <c r="H208" i="13"/>
  <c r="G208" i="13"/>
  <c r="G206" i="13" s="1"/>
  <c r="F208" i="13"/>
  <c r="F206" i="13" s="1"/>
  <c r="N187" i="13"/>
  <c r="N184" i="13"/>
  <c r="F296" i="13" s="1"/>
  <c r="N183" i="13"/>
  <c r="N162" i="13"/>
  <c r="F286" i="13" s="1"/>
  <c r="N161" i="13"/>
  <c r="O159" i="13"/>
  <c r="G283" i="13" s="1"/>
  <c r="O150" i="13"/>
  <c r="N145" i="13"/>
  <c r="O144" i="13"/>
  <c r="G266" i="13" s="1"/>
  <c r="R140" i="13"/>
  <c r="Q140" i="13"/>
  <c r="P140" i="13"/>
  <c r="O140" i="13"/>
  <c r="N140" i="13"/>
  <c r="K9" i="19" s="1"/>
  <c r="M140" i="13"/>
  <c r="J9" i="19" s="1"/>
  <c r="L140" i="13"/>
  <c r="G140" i="13"/>
  <c r="F140" i="13"/>
  <c r="O124" i="13"/>
  <c r="G258" i="13" s="1"/>
  <c r="N122" i="13"/>
  <c r="M247" i="13"/>
  <c r="L247" i="13"/>
  <c r="K247" i="13"/>
  <c r="J247" i="13"/>
  <c r="I247" i="13"/>
  <c r="G247" i="13"/>
  <c r="S116" i="13"/>
  <c r="AD61" i="29" s="1"/>
  <c r="AD62" i="29" s="1"/>
  <c r="R116" i="13"/>
  <c r="F1667" i="16" s="1"/>
  <c r="Q116" i="13"/>
  <c r="P116" i="13"/>
  <c r="D1667" i="16" s="1"/>
  <c r="O116" i="13"/>
  <c r="G245" i="13" s="1"/>
  <c r="E106" i="13"/>
  <c r="N105" i="13"/>
  <c r="M105" i="13"/>
  <c r="J7" i="19" s="1"/>
  <c r="L105" i="13"/>
  <c r="K102" i="13"/>
  <c r="I102" i="13"/>
  <c r="H102" i="13"/>
  <c r="H100" i="13" s="1"/>
  <c r="G102" i="13"/>
  <c r="G100" i="13" s="1"/>
  <c r="F102" i="13"/>
  <c r="C5" i="19" s="1"/>
  <c r="E102" i="13"/>
  <c r="D102" i="13"/>
  <c r="C102" i="13"/>
  <c r="O93" i="13"/>
  <c r="P93" i="13" s="1"/>
  <c r="Q93" i="13" s="1"/>
  <c r="N93" i="13"/>
  <c r="M93" i="13"/>
  <c r="L93" i="13"/>
  <c r="K93" i="13"/>
  <c r="J93" i="13"/>
  <c r="B93" i="13"/>
  <c r="B92" i="13"/>
  <c r="B90" i="13"/>
  <c r="O89" i="13"/>
  <c r="N89" i="13"/>
  <c r="M89" i="13"/>
  <c r="L89" i="13"/>
  <c r="O88" i="13"/>
  <c r="N88" i="13"/>
  <c r="M88" i="13"/>
  <c r="L88" i="13"/>
  <c r="K88" i="13"/>
  <c r="J88" i="13"/>
  <c r="B88" i="13"/>
  <c r="K87" i="13"/>
  <c r="B87" i="13"/>
  <c r="B85" i="13"/>
  <c r="N84" i="13"/>
  <c r="L84" i="13"/>
  <c r="K84" i="13"/>
  <c r="J84" i="13"/>
  <c r="B84" i="13"/>
  <c r="O83" i="13"/>
  <c r="N83" i="13"/>
  <c r="M83" i="13"/>
  <c r="AE12" i="14" s="1"/>
  <c r="L83" i="13"/>
  <c r="K83" i="13"/>
  <c r="J83" i="13"/>
  <c r="B83" i="13"/>
  <c r="O82" i="13"/>
  <c r="N82" i="13"/>
  <c r="M82" i="13"/>
  <c r="L82" i="13"/>
  <c r="B82" i="13"/>
  <c r="B81" i="13"/>
  <c r="K80" i="13"/>
  <c r="B80" i="13"/>
  <c r="K79" i="13"/>
  <c r="J79" i="13"/>
  <c r="B79" i="13"/>
  <c r="K78" i="13"/>
  <c r="J78" i="13"/>
  <c r="B78" i="13"/>
  <c r="K77" i="13"/>
  <c r="J77" i="13"/>
  <c r="B77" i="13"/>
  <c r="F76" i="13"/>
  <c r="F98" i="13" s="1"/>
  <c r="L73" i="13"/>
  <c r="I240" i="16" s="1"/>
  <c r="K73" i="13"/>
  <c r="J73" i="13"/>
  <c r="G240" i="16" s="1"/>
  <c r="M72" i="13"/>
  <c r="R69" i="13"/>
  <c r="S69" i="13" s="1"/>
  <c r="T69" i="13" s="1"/>
  <c r="U69" i="13" s="1"/>
  <c r="V69" i="13" s="1"/>
  <c r="W69" i="13" s="1"/>
  <c r="X69" i="13" s="1"/>
  <c r="Y69" i="13" s="1"/>
  <c r="Z69" i="13" s="1"/>
  <c r="AA69" i="13" s="1"/>
  <c r="AB69" i="13" s="1"/>
  <c r="AC69" i="13" s="1"/>
  <c r="AD69" i="13" s="1"/>
  <c r="AE69" i="13" s="1"/>
  <c r="AF69" i="13" s="1"/>
  <c r="Z64" i="13"/>
  <c r="AA64" i="13" s="1"/>
  <c r="AB64" i="13" s="1"/>
  <c r="AC64" i="13" s="1"/>
  <c r="AD64" i="13" s="1"/>
  <c r="AE64" i="13" s="1"/>
  <c r="AF64" i="13" s="1"/>
  <c r="K63" i="13"/>
  <c r="K64" i="13" s="1"/>
  <c r="I63" i="13"/>
  <c r="I64" i="13" s="1"/>
  <c r="H63" i="13"/>
  <c r="H64" i="13" s="1"/>
  <c r="G63" i="13"/>
  <c r="G67" i="13" s="1"/>
  <c r="G87" i="13" s="1"/>
  <c r="F63" i="13"/>
  <c r="F64" i="13" s="1"/>
  <c r="Q62" i="13"/>
  <c r="R62" i="13" s="1"/>
  <c r="R60" i="13"/>
  <c r="P60" i="13"/>
  <c r="O60" i="13"/>
  <c r="N60" i="13"/>
  <c r="M60" i="13"/>
  <c r="L60" i="13"/>
  <c r="L87" i="13" s="1"/>
  <c r="L96" i="13" s="1"/>
  <c r="J60" i="13"/>
  <c r="J102" i="13" s="1"/>
  <c r="N57" i="13"/>
  <c r="N58" i="13" s="1"/>
  <c r="L57" i="13"/>
  <c r="L58" i="13" s="1"/>
  <c r="O56" i="13"/>
  <c r="M56" i="13"/>
  <c r="M57" i="13" s="1"/>
  <c r="M58" i="13" s="1"/>
  <c r="J52" i="13"/>
  <c r="I52" i="13" s="1"/>
  <c r="H52" i="13" s="1"/>
  <c r="F217" i="10" s="1"/>
  <c r="F32" i="20"/>
  <c r="F27" i="20"/>
  <c r="F26" i="20"/>
  <c r="F25" i="20"/>
  <c r="F24" i="20"/>
  <c r="F22" i="20"/>
  <c r="F21" i="20"/>
  <c r="F20" i="20"/>
  <c r="F19" i="20"/>
  <c r="F18" i="20"/>
  <c r="F17" i="20"/>
  <c r="F16" i="20"/>
  <c r="F15" i="20"/>
  <c r="F14" i="20"/>
  <c r="F13" i="20"/>
  <c r="F12" i="20"/>
  <c r="F11" i="20"/>
  <c r="F10" i="20"/>
  <c r="F9" i="20"/>
  <c r="F8" i="20"/>
  <c r="J5118" i="3"/>
  <c r="D5108" i="3"/>
  <c r="C4839" i="3"/>
  <c r="C4840" i="3" s="1"/>
  <c r="C4834" i="3"/>
  <c r="E4827" i="3"/>
  <c r="E4828" i="3" s="1"/>
  <c r="E4829" i="3" s="1"/>
  <c r="E4830" i="3" s="1"/>
  <c r="H4819" i="3"/>
  <c r="H4820" i="3" s="1"/>
  <c r="H4821" i="3" s="1"/>
  <c r="H4808" i="3"/>
  <c r="H4810" i="3" s="1"/>
  <c r="H4811" i="3" s="1"/>
  <c r="H4812" i="3" s="1"/>
  <c r="H4813" i="3" s="1"/>
  <c r="H4814" i="3" s="1"/>
  <c r="H4815" i="3" s="1"/>
  <c r="H4806" i="3"/>
  <c r="G4806" i="3"/>
  <c r="F4806" i="3"/>
  <c r="D4805" i="3"/>
  <c r="E4794" i="3"/>
  <c r="D4794" i="3"/>
  <c r="D4787" i="3"/>
  <c r="D4789" i="3" s="1"/>
  <c r="D4790" i="3" s="1"/>
  <c r="D4791" i="3" s="1"/>
  <c r="C4586" i="3"/>
  <c r="C4555" i="3"/>
  <c r="E4497" i="3"/>
  <c r="E4496" i="3"/>
  <c r="C4494" i="3"/>
  <c r="E4439" i="3"/>
  <c r="D4410" i="3"/>
  <c r="C4409" i="3"/>
  <c r="C4224" i="3"/>
  <c r="C4225" i="3" s="1"/>
  <c r="D3881" i="3"/>
  <c r="D3884" i="3" s="1"/>
  <c r="H3767" i="3"/>
  <c r="H3768" i="3" s="1"/>
  <c r="H3769" i="3" s="1"/>
  <c r="E3747" i="3"/>
  <c r="E3746" i="3"/>
  <c r="F3746" i="3" s="1"/>
  <c r="G3746" i="3" s="1"/>
  <c r="G3745" i="3" s="1"/>
  <c r="E3745" i="3"/>
  <c r="F3745" i="3" s="1"/>
  <c r="C3559" i="3"/>
  <c r="C3560" i="3" s="1"/>
  <c r="C3561" i="3" s="1"/>
  <c r="C3502" i="3"/>
  <c r="C3501" i="3"/>
  <c r="E3209" i="3"/>
  <c r="G3132" i="3"/>
  <c r="F3132" i="3"/>
  <c r="E3132" i="3"/>
  <c r="D3132" i="3"/>
  <c r="C3132" i="3"/>
  <c r="G3129" i="3"/>
  <c r="G3128" i="3"/>
  <c r="B3125" i="3"/>
  <c r="E3120" i="3"/>
  <c r="E3129" i="3" s="1"/>
  <c r="D3120" i="3"/>
  <c r="D3129" i="3" s="1"/>
  <c r="C3120" i="3"/>
  <c r="C3129" i="3" s="1"/>
  <c r="G3118" i="3"/>
  <c r="F3118" i="3" s="1"/>
  <c r="G3114" i="3"/>
  <c r="B3114" i="3"/>
  <c r="B3119" i="3" s="1"/>
  <c r="B3124" i="3" s="1"/>
  <c r="E3113" i="3"/>
  <c r="E3123" i="3" s="1"/>
  <c r="D3113" i="3"/>
  <c r="D3123" i="3" s="1"/>
  <c r="C3113" i="3"/>
  <c r="C3123" i="3" s="1"/>
  <c r="B3113" i="3"/>
  <c r="B3118" i="3" s="1"/>
  <c r="B3123" i="3" s="1"/>
  <c r="F3110" i="3"/>
  <c r="F3109" i="3"/>
  <c r="F3113" i="3" s="1"/>
  <c r="G3044" i="3"/>
  <c r="H3044" i="3" s="1"/>
  <c r="I3044" i="3" s="1"/>
  <c r="I3045" i="3" s="1"/>
  <c r="H3034" i="3"/>
  <c r="D2874" i="3"/>
  <c r="D2712" i="3"/>
  <c r="B2324" i="3"/>
  <c r="D2218" i="3"/>
  <c r="G1463" i="3"/>
  <c r="I1263" i="3"/>
  <c r="I1262" i="3"/>
  <c r="D525" i="3"/>
  <c r="C177" i="3"/>
  <c r="O139" i="3"/>
  <c r="O137" i="3"/>
  <c r="Q135" i="3"/>
  <c r="P135" i="3"/>
  <c r="O135" i="3"/>
  <c r="R133" i="3"/>
  <c r="S133" i="3" s="1"/>
  <c r="S135" i="3" s="1"/>
  <c r="P132" i="3"/>
  <c r="P137" i="3" s="1"/>
  <c r="B126" i="3"/>
  <c r="C121" i="3"/>
  <c r="D121" i="3" s="1"/>
  <c r="B71" i="3"/>
  <c r="B70" i="3"/>
  <c r="B69" i="3"/>
  <c r="B66" i="3"/>
  <c r="B65" i="3"/>
  <c r="B64" i="3"/>
  <c r="K346" i="10"/>
  <c r="K341" i="10"/>
  <c r="Y334" i="10"/>
  <c r="X334" i="10"/>
  <c r="W334" i="10"/>
  <c r="V334" i="10"/>
  <c r="U334" i="10"/>
  <c r="T334" i="10"/>
  <c r="S334" i="10"/>
  <c r="R334" i="10"/>
  <c r="Q334" i="10"/>
  <c r="P334" i="10"/>
  <c r="O334" i="10"/>
  <c r="N334" i="10"/>
  <c r="M334" i="10"/>
  <c r="L334" i="10"/>
  <c r="K334" i="10"/>
  <c r="K337" i="10" s="1"/>
  <c r="U329" i="10"/>
  <c r="V329" i="10" s="1"/>
  <c r="W329" i="10" s="1"/>
  <c r="X329" i="10" s="1"/>
  <c r="Y329" i="10" s="1"/>
  <c r="Z329" i="10" s="1"/>
  <c r="AA329" i="10" s="1"/>
  <c r="AB329" i="10" s="1"/>
  <c r="AC329" i="10" s="1"/>
  <c r="AD329" i="10" s="1"/>
  <c r="I311" i="10"/>
  <c r="J311" i="10" s="1"/>
  <c r="G310" i="10"/>
  <c r="H310" i="10" s="1"/>
  <c r="I310" i="10" s="1"/>
  <c r="J310" i="10" s="1"/>
  <c r="K310" i="10" s="1"/>
  <c r="L310" i="10" s="1"/>
  <c r="M310" i="10" s="1"/>
  <c r="N310" i="10" s="1"/>
  <c r="O310" i="10" s="1"/>
  <c r="P310" i="10" s="1"/>
  <c r="Q310" i="10" s="1"/>
  <c r="R310" i="10" s="1"/>
  <c r="S310" i="10" s="1"/>
  <c r="T310" i="10" s="1"/>
  <c r="U310" i="10" s="1"/>
  <c r="V310" i="10" s="1"/>
  <c r="W310" i="10" s="1"/>
  <c r="X310" i="10" s="1"/>
  <c r="Y310" i="10" s="1"/>
  <c r="Z310" i="10" s="1"/>
  <c r="AA310" i="10" s="1"/>
  <c r="AB310" i="10" s="1"/>
  <c r="AC310" i="10" s="1"/>
  <c r="AD310" i="10" s="1"/>
  <c r="F308" i="10"/>
  <c r="G286" i="10"/>
  <c r="G285" i="10"/>
  <c r="G284" i="10"/>
  <c r="B282" i="10"/>
  <c r="P271" i="10"/>
  <c r="H22" i="22" s="1"/>
  <c r="O271" i="10"/>
  <c r="N271" i="10"/>
  <c r="M271" i="10"/>
  <c r="L271" i="10"/>
  <c r="D22" i="22" s="1"/>
  <c r="K271" i="10"/>
  <c r="C22" i="22" s="1"/>
  <c r="J271" i="10"/>
  <c r="F271" i="10"/>
  <c r="E271" i="10"/>
  <c r="D271" i="10"/>
  <c r="Y268" i="10"/>
  <c r="B267" i="10"/>
  <c r="B107" i="9" s="1"/>
  <c r="I266" i="10"/>
  <c r="Z344" i="5" s="1"/>
  <c r="B266" i="10"/>
  <c r="F265" i="10"/>
  <c r="F264" i="10"/>
  <c r="F263" i="10"/>
  <c r="F262" i="10"/>
  <c r="P244" i="10"/>
  <c r="Q245" i="10" s="1"/>
  <c r="I1607" i="16" s="1"/>
  <c r="O244" i="10"/>
  <c r="N244" i="10"/>
  <c r="M244" i="10"/>
  <c r="L244" i="10"/>
  <c r="K244" i="10"/>
  <c r="J244" i="10"/>
  <c r="J236" i="10"/>
  <c r="J280" i="10" s="1"/>
  <c r="J234" i="10"/>
  <c r="J266" i="10" s="1"/>
  <c r="C106" i="9" s="1"/>
  <c r="E106" i="9" s="1"/>
  <c r="F106" i="9" s="1"/>
  <c r="I234" i="10"/>
  <c r="Z305" i="5" s="1"/>
  <c r="F232" i="10"/>
  <c r="B232" i="10"/>
  <c r="B265" i="10" s="1"/>
  <c r="F230" i="10"/>
  <c r="B230" i="10"/>
  <c r="B264" i="10" s="1"/>
  <c r="F228" i="10"/>
  <c r="B228" i="10"/>
  <c r="B263" i="10" s="1"/>
  <c r="B276" i="10" s="1"/>
  <c r="B285" i="10" s="1"/>
  <c r="B295" i="10" s="1"/>
  <c r="F226" i="10"/>
  <c r="B226" i="10"/>
  <c r="B262" i="10" s="1"/>
  <c r="B217" i="10"/>
  <c r="H216" i="10"/>
  <c r="H215" i="10"/>
  <c r="B215" i="10"/>
  <c r="H214" i="10"/>
  <c r="B214" i="10"/>
  <c r="B213" i="10"/>
  <c r="P209" i="10"/>
  <c r="J209" i="10"/>
  <c r="K209" i="10" s="1"/>
  <c r="L209" i="10" s="1"/>
  <c r="M209" i="10" s="1"/>
  <c r="N209" i="10" s="1"/>
  <c r="Q206" i="10"/>
  <c r="I6" i="22" s="1"/>
  <c r="P206" i="10"/>
  <c r="H6" i="22" s="1"/>
  <c r="O206" i="10"/>
  <c r="G6" i="22" s="1"/>
  <c r="N206" i="10"/>
  <c r="F6" i="22" s="1"/>
  <c r="M206" i="10"/>
  <c r="E6" i="22" s="1"/>
  <c r="L206" i="10"/>
  <c r="D6" i="22" s="1"/>
  <c r="K206" i="10"/>
  <c r="C6" i="22" s="1"/>
  <c r="J206" i="10"/>
  <c r="H205" i="10"/>
  <c r="G205" i="10"/>
  <c r="F205" i="10"/>
  <c r="E205" i="10"/>
  <c r="D205" i="10"/>
  <c r="H204" i="10"/>
  <c r="G204" i="10"/>
  <c r="F204" i="10"/>
  <c r="E204" i="10"/>
  <c r="D204" i="10"/>
  <c r="O196" i="10"/>
  <c r="M196" i="10"/>
  <c r="L196" i="10"/>
  <c r="K196" i="10"/>
  <c r="J196" i="10"/>
  <c r="I196" i="10"/>
  <c r="B196" i="10"/>
  <c r="B195" i="10"/>
  <c r="O194" i="10"/>
  <c r="M194" i="10"/>
  <c r="L194" i="10"/>
  <c r="K194" i="10"/>
  <c r="J194" i="10"/>
  <c r="I194" i="10"/>
  <c r="O193" i="10"/>
  <c r="P193" i="10" s="1"/>
  <c r="Q193" i="10" s="1"/>
  <c r="R193" i="10" s="1"/>
  <c r="S193" i="10" s="1"/>
  <c r="M193" i="10"/>
  <c r="L193" i="10"/>
  <c r="K193" i="10"/>
  <c r="J193" i="10"/>
  <c r="I193" i="10"/>
  <c r="B193" i="10"/>
  <c r="P191" i="10"/>
  <c r="Q191" i="10" s="1"/>
  <c r="R191" i="10" s="1"/>
  <c r="I191" i="10"/>
  <c r="J191" i="10" s="1"/>
  <c r="K191" i="10" s="1"/>
  <c r="B191" i="10"/>
  <c r="P190" i="10"/>
  <c r="Q190" i="10" s="1"/>
  <c r="K190" i="10"/>
  <c r="L190" i="10" s="1"/>
  <c r="M190" i="10" s="1"/>
  <c r="I190" i="10"/>
  <c r="Q189" i="10"/>
  <c r="R189" i="10" s="1"/>
  <c r="S189" i="10" s="1"/>
  <c r="K189" i="10"/>
  <c r="K159" i="10" s="1"/>
  <c r="I189" i="10"/>
  <c r="B189" i="10"/>
  <c r="K188" i="10"/>
  <c r="K158" i="10" s="1"/>
  <c r="I188" i="10"/>
  <c r="B188" i="10"/>
  <c r="S201" i="10"/>
  <c r="O186" i="10"/>
  <c r="M186" i="10"/>
  <c r="L186" i="10"/>
  <c r="K186" i="10"/>
  <c r="J186" i="10"/>
  <c r="I186" i="10"/>
  <c r="B186" i="10"/>
  <c r="O185" i="10"/>
  <c r="P185" i="10" s="1"/>
  <c r="M185" i="10"/>
  <c r="L185" i="10"/>
  <c r="K185" i="10"/>
  <c r="J185" i="10"/>
  <c r="I185" i="10"/>
  <c r="B185" i="10"/>
  <c r="O184" i="10"/>
  <c r="I251" i="13" s="1"/>
  <c r="M184" i="10"/>
  <c r="G251" i="13" s="1"/>
  <c r="L184" i="10"/>
  <c r="F251" i="13" s="1"/>
  <c r="K184" i="10"/>
  <c r="J184" i="10"/>
  <c r="I184" i="10"/>
  <c r="B184" i="10"/>
  <c r="K180" i="10"/>
  <c r="J180" i="10"/>
  <c r="I180" i="10"/>
  <c r="K179" i="10"/>
  <c r="J179" i="10"/>
  <c r="I179" i="10"/>
  <c r="H179" i="10"/>
  <c r="G179" i="10"/>
  <c r="F179" i="10"/>
  <c r="E179" i="10"/>
  <c r="L178" i="10"/>
  <c r="M178" i="10" s="1"/>
  <c r="M167" i="10"/>
  <c r="L167" i="10"/>
  <c r="K167" i="10"/>
  <c r="J167" i="10"/>
  <c r="N166" i="10"/>
  <c r="I162" i="10"/>
  <c r="I198" i="10" s="1"/>
  <c r="O161" i="10"/>
  <c r="O160" i="10"/>
  <c r="J160" i="10"/>
  <c r="O159" i="10"/>
  <c r="M159" i="10"/>
  <c r="L159" i="10"/>
  <c r="J159" i="10"/>
  <c r="M158" i="10"/>
  <c r="L158" i="10"/>
  <c r="J158" i="10"/>
  <c r="P157" i="10"/>
  <c r="O157" i="10"/>
  <c r="N157" i="10"/>
  <c r="M157" i="10"/>
  <c r="L157" i="10"/>
  <c r="H157" i="10"/>
  <c r="G157" i="10"/>
  <c r="F157" i="10"/>
  <c r="E157" i="10"/>
  <c r="D157" i="10"/>
  <c r="D166" i="10" s="1"/>
  <c r="D190" i="10" s="1"/>
  <c r="R151" i="10"/>
  <c r="Q151" i="10"/>
  <c r="O147" i="10"/>
  <c r="M147" i="10"/>
  <c r="L147" i="10"/>
  <c r="K147" i="10"/>
  <c r="J147" i="10"/>
  <c r="I147" i="10"/>
  <c r="H147" i="10"/>
  <c r="G147" i="10"/>
  <c r="F147" i="10"/>
  <c r="E147" i="10"/>
  <c r="D147" i="10"/>
  <c r="B147" i="10"/>
  <c r="F146" i="10"/>
  <c r="E146" i="10"/>
  <c r="D146" i="10"/>
  <c r="B146" i="10"/>
  <c r="Q145" i="10"/>
  <c r="R145" i="10" s="1"/>
  <c r="S145" i="10" s="1"/>
  <c r="O145" i="10"/>
  <c r="O144" i="10"/>
  <c r="O117" i="10" s="1"/>
  <c r="B144" i="10"/>
  <c r="N143" i="10"/>
  <c r="L143" i="10"/>
  <c r="L116" i="10" s="1"/>
  <c r="I143" i="10"/>
  <c r="J143" i="10" s="1"/>
  <c r="J116" i="10" s="1"/>
  <c r="H143" i="10"/>
  <c r="B143" i="10"/>
  <c r="N142" i="10"/>
  <c r="K142" i="10"/>
  <c r="I142" i="10"/>
  <c r="H142" i="10"/>
  <c r="G142" i="10"/>
  <c r="F142" i="10"/>
  <c r="E142" i="10"/>
  <c r="D142" i="10"/>
  <c r="B142" i="10"/>
  <c r="B160" i="10" s="1"/>
  <c r="L141" i="10"/>
  <c r="L114" i="10" s="1"/>
  <c r="I141" i="10"/>
  <c r="H141" i="10"/>
  <c r="G141" i="10"/>
  <c r="F141" i="10"/>
  <c r="E141" i="10"/>
  <c r="D141" i="10"/>
  <c r="B141" i="10"/>
  <c r="K140" i="10"/>
  <c r="K113" i="10" s="1"/>
  <c r="I140" i="10"/>
  <c r="H140" i="10"/>
  <c r="G140" i="10"/>
  <c r="F140" i="10"/>
  <c r="E140" i="10"/>
  <c r="D140" i="10"/>
  <c r="B140" i="10"/>
  <c r="O138" i="10"/>
  <c r="M138" i="10"/>
  <c r="L138" i="10"/>
  <c r="K138" i="10"/>
  <c r="J138" i="10"/>
  <c r="I138" i="10"/>
  <c r="H138" i="10"/>
  <c r="G138" i="10"/>
  <c r="F138" i="10"/>
  <c r="E138" i="10"/>
  <c r="D138" i="10"/>
  <c r="B138" i="10"/>
  <c r="O137" i="10"/>
  <c r="P137" i="10" s="1"/>
  <c r="M137" i="10"/>
  <c r="L137" i="10"/>
  <c r="K137" i="10"/>
  <c r="J137" i="10"/>
  <c r="I137" i="10"/>
  <c r="H137" i="10"/>
  <c r="G137" i="10"/>
  <c r="F137" i="10"/>
  <c r="E137" i="10"/>
  <c r="D137" i="10"/>
  <c r="B137" i="10"/>
  <c r="M136" i="10"/>
  <c r="L136" i="10"/>
  <c r="K136" i="10"/>
  <c r="J136" i="10"/>
  <c r="I136" i="10"/>
  <c r="H136" i="10"/>
  <c r="G136" i="10"/>
  <c r="F136" i="10"/>
  <c r="E136" i="10"/>
  <c r="D136" i="10"/>
  <c r="B136" i="10"/>
  <c r="O135" i="10"/>
  <c r="M135" i="10"/>
  <c r="L135" i="10"/>
  <c r="K135" i="10"/>
  <c r="J135" i="10"/>
  <c r="I135" i="10"/>
  <c r="H135" i="10"/>
  <c r="G135" i="10"/>
  <c r="F135" i="10"/>
  <c r="E135" i="10"/>
  <c r="D135" i="10"/>
  <c r="B135" i="10"/>
  <c r="O132" i="10"/>
  <c r="E132" i="10"/>
  <c r="P131" i="10"/>
  <c r="Q131" i="10" s="1"/>
  <c r="R131" i="10" s="1"/>
  <c r="S131" i="10" s="1"/>
  <c r="T131" i="10" s="1"/>
  <c r="U131" i="10" s="1"/>
  <c r="V131" i="10" s="1"/>
  <c r="W131" i="10" s="1"/>
  <c r="X131" i="10" s="1"/>
  <c r="Y131" i="10" s="1"/>
  <c r="Z131" i="10" s="1"/>
  <c r="AA131" i="10" s="1"/>
  <c r="M131" i="10"/>
  <c r="L131" i="10" s="1"/>
  <c r="K131" i="10" s="1"/>
  <c r="J131" i="10" s="1"/>
  <c r="O128" i="10"/>
  <c r="H128" i="10"/>
  <c r="G128" i="10"/>
  <c r="F128" i="10"/>
  <c r="E128" i="10"/>
  <c r="H127" i="10"/>
  <c r="G127" i="10"/>
  <c r="F127" i="10"/>
  <c r="Q126" i="10"/>
  <c r="N126" i="10"/>
  <c r="N132" i="10" s="1"/>
  <c r="I126" i="10"/>
  <c r="J126" i="10" s="1"/>
  <c r="M122" i="10"/>
  <c r="L122" i="10"/>
  <c r="K122" i="10"/>
  <c r="J122" i="10"/>
  <c r="I122" i="10"/>
  <c r="H122" i="10"/>
  <c r="G122" i="10"/>
  <c r="F122" i="10"/>
  <c r="E122" i="10"/>
  <c r="P138" i="10"/>
  <c r="N120" i="10"/>
  <c r="N147" i="10" s="1"/>
  <c r="I117" i="10"/>
  <c r="M116" i="10"/>
  <c r="K116" i="10"/>
  <c r="O115" i="10"/>
  <c r="M115" i="10"/>
  <c r="J115" i="10"/>
  <c r="O114" i="10"/>
  <c r="M114" i="10"/>
  <c r="K114" i="10"/>
  <c r="J114" i="10"/>
  <c r="M113" i="10"/>
  <c r="J113" i="10"/>
  <c r="P112" i="10"/>
  <c r="O112" i="10"/>
  <c r="N112" i="10"/>
  <c r="M112" i="10"/>
  <c r="L112" i="10"/>
  <c r="H112" i="10"/>
  <c r="G112" i="10"/>
  <c r="F112" i="10"/>
  <c r="E112" i="10"/>
  <c r="D112" i="10"/>
  <c r="D149" i="10" s="1"/>
  <c r="N109" i="10"/>
  <c r="Q103" i="10"/>
  <c r="R103" i="10" s="1"/>
  <c r="S103" i="10" s="1"/>
  <c r="T103" i="10" s="1"/>
  <c r="U103" i="10" s="1"/>
  <c r="V103" i="10" s="1"/>
  <c r="W103" i="10" s="1"/>
  <c r="X103" i="10" s="1"/>
  <c r="Y103" i="10" s="1"/>
  <c r="Z103" i="10" s="1"/>
  <c r="AA103" i="10" s="1"/>
  <c r="AB103" i="10" s="1"/>
  <c r="AC103" i="10" s="1"/>
  <c r="AD103" i="10" s="1"/>
  <c r="Y102" i="10"/>
  <c r="X102" i="10"/>
  <c r="W102" i="10"/>
  <c r="V102" i="10"/>
  <c r="U102" i="10"/>
  <c r="T102" i="10"/>
  <c r="S102" i="10"/>
  <c r="R102" i="10"/>
  <c r="Q102" i="10"/>
  <c r="P102" i="10"/>
  <c r="O102" i="10"/>
  <c r="Q101" i="10"/>
  <c r="Q209" i="10" s="1"/>
  <c r="O101" i="10"/>
  <c r="O209" i="10" s="1"/>
  <c r="O96" i="10"/>
  <c r="O103" i="10" s="1"/>
  <c r="P93" i="10"/>
  <c r="P100" i="10" s="1"/>
  <c r="O93" i="10"/>
  <c r="O89" i="10"/>
  <c r="C2491" i="16" s="1"/>
  <c r="Y88" i="10"/>
  <c r="M2490" i="16" s="1"/>
  <c r="X88" i="10"/>
  <c r="L2490" i="16" s="1"/>
  <c r="W88" i="10"/>
  <c r="K2490" i="16" s="1"/>
  <c r="V88" i="10"/>
  <c r="J2490" i="16" s="1"/>
  <c r="U88" i="10"/>
  <c r="I2490" i="16" s="1"/>
  <c r="T88" i="10"/>
  <c r="H2490" i="16" s="1"/>
  <c r="S88" i="10"/>
  <c r="G2490" i="16" s="1"/>
  <c r="R88" i="10"/>
  <c r="F2490" i="16" s="1"/>
  <c r="Q88" i="10"/>
  <c r="E2490" i="16" s="1"/>
  <c r="P88" i="10"/>
  <c r="D2490" i="16" s="1"/>
  <c r="O88" i="10"/>
  <c r="C2490" i="16" s="1"/>
  <c r="T86" i="10"/>
  <c r="P86" i="10"/>
  <c r="O79" i="10"/>
  <c r="N79" i="10"/>
  <c r="Y78" i="10"/>
  <c r="L2496" i="16" s="1"/>
  <c r="X78" i="10"/>
  <c r="W78" i="10"/>
  <c r="V78" i="10"/>
  <c r="U78" i="10"/>
  <c r="T78" i="10"/>
  <c r="S78" i="10"/>
  <c r="R78" i="10"/>
  <c r="Q78" i="10"/>
  <c r="O78" i="10"/>
  <c r="N78" i="10"/>
  <c r="P76" i="10"/>
  <c r="E75" i="10"/>
  <c r="D75" i="10"/>
  <c r="O68" i="10"/>
  <c r="N68" i="10"/>
  <c r="N76" i="10" s="1"/>
  <c r="P64" i="10"/>
  <c r="Y65" i="10"/>
  <c r="X65" i="10"/>
  <c r="W65" i="10"/>
  <c r="V65" i="10"/>
  <c r="U65" i="10"/>
  <c r="T65" i="10"/>
  <c r="S65" i="10"/>
  <c r="R65" i="10"/>
  <c r="P63" i="10"/>
  <c r="P62" i="10"/>
  <c r="P61" i="10"/>
  <c r="P58" i="10"/>
  <c r="O58" i="10"/>
  <c r="C2500" i="16" s="1"/>
  <c r="S57" i="10"/>
  <c r="T57" i="10" s="1"/>
  <c r="U57" i="10" s="1"/>
  <c r="S55" i="10"/>
  <c r="T55" i="10" s="1"/>
  <c r="U55" i="10" s="1"/>
  <c r="Z1405" i="16"/>
  <c r="Z1407" i="16" s="1"/>
  <c r="Y1405" i="16"/>
  <c r="Y1407" i="16" s="1"/>
  <c r="W1405" i="16"/>
  <c r="W1407" i="16" s="1"/>
  <c r="U1405" i="16"/>
  <c r="U1407" i="16" s="1"/>
  <c r="T1405" i="16"/>
  <c r="T1407" i="16" s="1"/>
  <c r="S1405" i="16"/>
  <c r="S1407" i="16" s="1"/>
  <c r="Q1405" i="16"/>
  <c r="Q1407" i="16" s="1"/>
  <c r="P1405" i="16"/>
  <c r="P1407" i="16" s="1"/>
  <c r="O1405" i="16"/>
  <c r="O1407" i="16" s="1"/>
  <c r="M1405" i="16"/>
  <c r="M1407" i="16" s="1"/>
  <c r="K1405" i="16"/>
  <c r="K1407" i="16" s="1"/>
  <c r="J1405" i="16"/>
  <c r="J1407" i="16" s="1"/>
  <c r="I1405" i="16"/>
  <c r="I1407" i="16" s="1"/>
  <c r="H1405" i="16"/>
  <c r="H1407" i="16" s="1"/>
  <c r="G1405" i="16"/>
  <c r="G1407" i="16" s="1"/>
  <c r="E1405" i="16"/>
  <c r="E1407" i="16" s="1"/>
  <c r="D1405" i="16"/>
  <c r="D1407" i="16" s="1"/>
  <c r="C1405" i="16"/>
  <c r="C1407" i="16" s="1"/>
  <c r="X1404" i="16"/>
  <c r="L1404" i="16"/>
  <c r="K1404" i="16"/>
  <c r="F1404" i="16"/>
  <c r="E1404" i="16"/>
  <c r="D1404" i="16"/>
  <c r="A357" i="5"/>
  <c r="Y356" i="5"/>
  <c r="X356" i="5"/>
  <c r="X355" i="5"/>
  <c r="W355" i="5"/>
  <c r="V355" i="5"/>
  <c r="S355" i="5"/>
  <c r="R355" i="5"/>
  <c r="Q355" i="5"/>
  <c r="N355" i="5"/>
  <c r="M355" i="5"/>
  <c r="L355" i="5"/>
  <c r="K355" i="5"/>
  <c r="A355" i="5"/>
  <c r="X354" i="5"/>
  <c r="W354" i="5"/>
  <c r="V354" i="5"/>
  <c r="S354" i="5"/>
  <c r="R354" i="5"/>
  <c r="Q354" i="5"/>
  <c r="N354" i="5"/>
  <c r="M354" i="5"/>
  <c r="L354" i="5"/>
  <c r="K354" i="5"/>
  <c r="A354" i="5"/>
  <c r="X353" i="5"/>
  <c r="W353" i="5"/>
  <c r="V353" i="5"/>
  <c r="S353" i="5"/>
  <c r="R353" i="5"/>
  <c r="Q353" i="5"/>
  <c r="N353" i="5"/>
  <c r="M353" i="5"/>
  <c r="L353" i="5"/>
  <c r="K353" i="5"/>
  <c r="A353" i="5"/>
  <c r="X352" i="5"/>
  <c r="W352" i="5"/>
  <c r="V352" i="5"/>
  <c r="S352" i="5"/>
  <c r="R352" i="5"/>
  <c r="Q352" i="5"/>
  <c r="N352" i="5"/>
  <c r="M352" i="5"/>
  <c r="L352" i="5"/>
  <c r="K352" i="5"/>
  <c r="A352" i="5"/>
  <c r="X347" i="5"/>
  <c r="W347" i="5"/>
  <c r="W349" i="5" s="1"/>
  <c r="W359" i="5" s="1"/>
  <c r="V347" i="5"/>
  <c r="S347" i="5"/>
  <c r="S349" i="5" s="1"/>
  <c r="S359" i="5" s="1"/>
  <c r="R347" i="5"/>
  <c r="R349" i="5" s="1"/>
  <c r="R359" i="5" s="1"/>
  <c r="Q347" i="5"/>
  <c r="Q349" i="5" s="1"/>
  <c r="Q359" i="5" s="1"/>
  <c r="O347" i="5"/>
  <c r="N347" i="5"/>
  <c r="M347" i="5"/>
  <c r="L347" i="5"/>
  <c r="I347" i="5"/>
  <c r="X345" i="5"/>
  <c r="W345" i="5"/>
  <c r="V345" i="5"/>
  <c r="S345" i="5"/>
  <c r="R345" i="5"/>
  <c r="Q345" i="5"/>
  <c r="N345" i="5"/>
  <c r="M345" i="5"/>
  <c r="L345" i="5"/>
  <c r="K345" i="5"/>
  <c r="I345" i="5"/>
  <c r="T343" i="5"/>
  <c r="U343" i="5" s="1"/>
  <c r="O343" i="5"/>
  <c r="P343" i="5" s="1"/>
  <c r="T342" i="5"/>
  <c r="U342" i="5" s="1"/>
  <c r="O342" i="5"/>
  <c r="P342" i="5" s="1"/>
  <c r="T341" i="5"/>
  <c r="U341" i="5" s="1"/>
  <c r="H263" i="10" s="1"/>
  <c r="O341" i="5"/>
  <c r="T340" i="5"/>
  <c r="O340" i="5"/>
  <c r="P340" i="5" s="1"/>
  <c r="A336" i="5"/>
  <c r="A335" i="5"/>
  <c r="A334" i="5"/>
  <c r="A331" i="5"/>
  <c r="AH330" i="5"/>
  <c r="AG330" i="5"/>
  <c r="AF330" i="5"/>
  <c r="AC330" i="5"/>
  <c r="AB330" i="5"/>
  <c r="AA330" i="5"/>
  <c r="A330" i="5"/>
  <c r="A328" i="5"/>
  <c r="AH321" i="5"/>
  <c r="AG321" i="5"/>
  <c r="AF321" i="5"/>
  <c r="AE321" i="5"/>
  <c r="AC321" i="5"/>
  <c r="AB321" i="5"/>
  <c r="AA321" i="5"/>
  <c r="Z321" i="5"/>
  <c r="X321" i="5"/>
  <c r="AD320" i="5"/>
  <c r="Y320" i="5"/>
  <c r="AD319" i="5"/>
  <c r="Y319" i="5"/>
  <c r="AD318" i="5"/>
  <c r="Y318" i="5"/>
  <c r="AH316" i="5"/>
  <c r="AG316" i="5"/>
  <c r="AF316" i="5"/>
  <c r="AD316" i="5"/>
  <c r="AC316" i="5"/>
  <c r="AB316" i="5"/>
  <c r="AA316" i="5"/>
  <c r="Y316" i="5"/>
  <c r="X316" i="5"/>
  <c r="AH314" i="5"/>
  <c r="AG314" i="5"/>
  <c r="AF314" i="5"/>
  <c r="AD314" i="5"/>
  <c r="AC314" i="5"/>
  <c r="Y309" i="5"/>
  <c r="Z308" i="5"/>
  <c r="BB307" i="5"/>
  <c r="BA307" i="5"/>
  <c r="AZ307" i="5"/>
  <c r="AX307" i="5"/>
  <c r="AW307" i="5"/>
  <c r="AV307" i="5"/>
  <c r="AU307" i="5"/>
  <c r="AS307" i="5"/>
  <c r="AR307" i="5"/>
  <c r="AQ307" i="5"/>
  <c r="AP307" i="5"/>
  <c r="AN307" i="5"/>
  <c r="AM307" i="5"/>
  <c r="AL307" i="5"/>
  <c r="AK307" i="5"/>
  <c r="AI307" i="5"/>
  <c r="AH307" i="5"/>
  <c r="AH328" i="5" s="1"/>
  <c r="AG307" i="5"/>
  <c r="AG328" i="5" s="1"/>
  <c r="AF307" i="5"/>
  <c r="AC307" i="5"/>
  <c r="AB307" i="5"/>
  <c r="AA307" i="5"/>
  <c r="Y307" i="5"/>
  <c r="X307" i="5"/>
  <c r="X308" i="5" s="1"/>
  <c r="W307" i="5"/>
  <c r="V307" i="5"/>
  <c r="V308" i="5" s="1"/>
  <c r="V309" i="5" s="1"/>
  <c r="S307" i="5"/>
  <c r="R307" i="5"/>
  <c r="R310" i="5" s="1"/>
  <c r="Q307" i="5"/>
  <c r="Q310" i="5" s="1"/>
  <c r="N307" i="5"/>
  <c r="N310" i="5" s="1"/>
  <c r="M307" i="5"/>
  <c r="M310" i="5" s="1"/>
  <c r="L307" i="5"/>
  <c r="K307" i="5"/>
  <c r="CW304" i="5"/>
  <c r="CX304" i="5" s="1"/>
  <c r="CV304" i="5"/>
  <c r="CU304" i="5"/>
  <c r="CR304" i="5"/>
  <c r="CQ304" i="5"/>
  <c r="CP304" i="5"/>
  <c r="T304" i="5"/>
  <c r="U304" i="5" s="1"/>
  <c r="O304" i="5"/>
  <c r="P304" i="5" s="1"/>
  <c r="G232" i="10" s="1"/>
  <c r="I304" i="5"/>
  <c r="I355" i="5" s="1"/>
  <c r="H304" i="5"/>
  <c r="G304" i="5"/>
  <c r="CW303" i="5"/>
  <c r="CX303" i="5" s="1"/>
  <c r="CV303" i="5"/>
  <c r="CU303" i="5"/>
  <c r="CR303" i="5"/>
  <c r="CQ303" i="5"/>
  <c r="CP303" i="5"/>
  <c r="T303" i="5"/>
  <c r="O303" i="5"/>
  <c r="I303" i="5"/>
  <c r="I354" i="5" s="1"/>
  <c r="H303" i="5"/>
  <c r="G303" i="5"/>
  <c r="CW302" i="5"/>
  <c r="CX302" i="5" s="1"/>
  <c r="CV302" i="5"/>
  <c r="CU302" i="5"/>
  <c r="CR302" i="5"/>
  <c r="CQ302" i="5"/>
  <c r="CP302" i="5"/>
  <c r="T302" i="5"/>
  <c r="O302" i="5"/>
  <c r="P302" i="5" s="1"/>
  <c r="G228" i="10" s="1"/>
  <c r="I302" i="5"/>
  <c r="I353" i="5" s="1"/>
  <c r="H302" i="5"/>
  <c r="G302" i="5"/>
  <c r="CW301" i="5"/>
  <c r="CX301" i="5" s="1"/>
  <c r="CV301" i="5"/>
  <c r="CU301" i="5"/>
  <c r="CR301" i="5"/>
  <c r="CQ301" i="5"/>
  <c r="CP301" i="5"/>
  <c r="T301" i="5"/>
  <c r="O301" i="5"/>
  <c r="I301" i="5"/>
  <c r="I352" i="5" s="1"/>
  <c r="H301" i="5"/>
  <c r="G301" i="5"/>
  <c r="CS300" i="5"/>
  <c r="CR300" i="5"/>
  <c r="CQ300" i="5"/>
  <c r="CP300" i="5"/>
  <c r="CN300" i="5"/>
  <c r="CM300" i="5"/>
  <c r="CL300" i="5"/>
  <c r="CK300" i="5"/>
  <c r="BC300" i="5"/>
  <c r="BB300" i="5"/>
  <c r="BA300" i="5"/>
  <c r="AZ300" i="5"/>
  <c r="AX300" i="5"/>
  <c r="AW300" i="5"/>
  <c r="AV300" i="5"/>
  <c r="AU300" i="5"/>
  <c r="AS300" i="5"/>
  <c r="AR300" i="5"/>
  <c r="AQ300" i="5"/>
  <c r="AP300" i="5"/>
  <c r="AN300" i="5"/>
  <c r="AM300" i="5"/>
  <c r="AL300" i="5"/>
  <c r="AK300" i="5"/>
  <c r="AI300" i="5"/>
  <c r="AH300" i="5"/>
  <c r="AG300" i="5"/>
  <c r="AF300" i="5"/>
  <c r="AE300" i="5"/>
  <c r="AD300" i="5"/>
  <c r="AC300" i="5"/>
  <c r="AB300" i="5"/>
  <c r="AA300" i="5"/>
  <c r="Y300" i="5"/>
  <c r="X300" i="5"/>
  <c r="W300" i="5"/>
  <c r="V300" i="5"/>
  <c r="T300" i="5"/>
  <c r="S300" i="5"/>
  <c r="R300" i="5"/>
  <c r="Q300" i="5"/>
  <c r="P300" i="5"/>
  <c r="O300" i="5"/>
  <c r="N300" i="5"/>
  <c r="M300" i="5"/>
  <c r="L300" i="5"/>
  <c r="K300" i="5"/>
  <c r="J300" i="5"/>
  <c r="I300" i="5"/>
  <c r="H300" i="5"/>
  <c r="G300" i="5"/>
  <c r="AK273" i="5"/>
  <c r="R93" i="28" s="1"/>
  <c r="BH271" i="5"/>
  <c r="AK92" i="28" s="1"/>
  <c r="BG271" i="5"/>
  <c r="AJ92" i="28" s="1"/>
  <c r="BF271" i="5"/>
  <c r="BC271" i="5"/>
  <c r="AG92" i="28" s="1"/>
  <c r="BB271" i="5"/>
  <c r="AF92" i="28" s="1"/>
  <c r="BA271" i="5"/>
  <c r="AE92" i="28" s="1"/>
  <c r="AZ271" i="5"/>
  <c r="AD92" i="28" s="1"/>
  <c r="AX271" i="5"/>
  <c r="AC92" i="28" s="1"/>
  <c r="AW271" i="5"/>
  <c r="AB92" i="28" s="1"/>
  <c r="AV271" i="5"/>
  <c r="AA92" i="28" s="1"/>
  <c r="AS271" i="5"/>
  <c r="Y92" i="28" s="1"/>
  <c r="AR271" i="5"/>
  <c r="X92" i="28" s="1"/>
  <c r="AQ271" i="5"/>
  <c r="W92" i="28" s="1"/>
  <c r="AN271" i="5"/>
  <c r="U92" i="28" s="1"/>
  <c r="AM271" i="5"/>
  <c r="T92" i="28" s="1"/>
  <c r="AI271" i="5"/>
  <c r="Q92" i="28" s="1"/>
  <c r="AH271" i="5"/>
  <c r="P92" i="28" s="1"/>
  <c r="AG271" i="5"/>
  <c r="O92" i="28" s="1"/>
  <c r="AF271" i="5"/>
  <c r="N92" i="28" s="1"/>
  <c r="AD271" i="5"/>
  <c r="M92" i="28" s="1"/>
  <c r="AC271" i="5"/>
  <c r="L92" i="28" s="1"/>
  <c r="AB271" i="5"/>
  <c r="K92" i="28" s="1"/>
  <c r="BH272" i="5"/>
  <c r="BG272" i="5"/>
  <c r="BF272" i="5"/>
  <c r="BC272" i="5"/>
  <c r="BB272" i="5"/>
  <c r="A272" i="5"/>
  <c r="BH270" i="5"/>
  <c r="AK91" i="28" s="1"/>
  <c r="BG270" i="5"/>
  <c r="AJ91" i="28" s="1"/>
  <c r="BF270" i="5"/>
  <c r="BC270" i="5"/>
  <c r="AG91" i="28" s="1"/>
  <c r="BB270" i="5"/>
  <c r="AF91" i="28" s="1"/>
  <c r="BA270" i="5"/>
  <c r="AE91" i="28" s="1"/>
  <c r="AZ270" i="5"/>
  <c r="AD91" i="28" s="1"/>
  <c r="AX270" i="5"/>
  <c r="AC91" i="28" s="1"/>
  <c r="AW270" i="5"/>
  <c r="AB91" i="28" s="1"/>
  <c r="AV270" i="5"/>
  <c r="AA91" i="28" s="1"/>
  <c r="AS270" i="5"/>
  <c r="Y91" i="28" s="1"/>
  <c r="BK90" i="28" s="1"/>
  <c r="AR270" i="5"/>
  <c r="X91" i="28" s="1"/>
  <c r="AQ270" i="5"/>
  <c r="W91" i="28" s="1"/>
  <c r="AN270" i="5"/>
  <c r="U91" i="28" s="1"/>
  <c r="AM270" i="5"/>
  <c r="T91" i="28" s="1"/>
  <c r="AI270" i="5"/>
  <c r="Q91" i="28" s="1"/>
  <c r="AH270" i="5"/>
  <c r="P91" i="28" s="1"/>
  <c r="AG270" i="5"/>
  <c r="O91" i="28" s="1"/>
  <c r="AF270" i="5"/>
  <c r="N91" i="28" s="1"/>
  <c r="AD270" i="5"/>
  <c r="M91" i="28" s="1"/>
  <c r="AC270" i="5"/>
  <c r="L91" i="28" s="1"/>
  <c r="AB270" i="5"/>
  <c r="K91" i="28" s="1"/>
  <c r="BH269" i="5"/>
  <c r="BG269" i="5"/>
  <c r="BF269" i="5"/>
  <c r="BC269" i="5"/>
  <c r="BB269" i="5"/>
  <c r="BA269" i="5"/>
  <c r="AZ269" i="5"/>
  <c r="AX269" i="5"/>
  <c r="AC90" i="28" s="1"/>
  <c r="AW269" i="5"/>
  <c r="AB90" i="28" s="1"/>
  <c r="AV269" i="5"/>
  <c r="AA90" i="28" s="1"/>
  <c r="AS269" i="5"/>
  <c r="Y90" i="28" s="1"/>
  <c r="AR269" i="5"/>
  <c r="X90" i="28" s="1"/>
  <c r="AQ269" i="5"/>
  <c r="W90" i="28" s="1"/>
  <c r="AN269" i="5"/>
  <c r="U90" i="28" s="1"/>
  <c r="AM269" i="5"/>
  <c r="T90" i="28" s="1"/>
  <c r="AI269" i="5"/>
  <c r="Q90" i="28" s="1"/>
  <c r="AH269" i="5"/>
  <c r="P90" i="28" s="1"/>
  <c r="AG269" i="5"/>
  <c r="O90" i="28" s="1"/>
  <c r="AF269" i="5"/>
  <c r="N90" i="28" s="1"/>
  <c r="AD269" i="5"/>
  <c r="M90" i="28" s="1"/>
  <c r="AC269" i="5"/>
  <c r="L90" i="28" s="1"/>
  <c r="AB269" i="5"/>
  <c r="K90" i="28" s="1"/>
  <c r="AT264" i="5"/>
  <c r="AO264" i="5"/>
  <c r="BH263" i="5"/>
  <c r="BG263" i="5"/>
  <c r="BF263" i="5"/>
  <c r="BE263" i="5"/>
  <c r="BC263" i="5"/>
  <c r="BB263" i="5"/>
  <c r="BB265" i="5" s="1"/>
  <c r="BA263" i="5"/>
  <c r="BA265" i="5" s="1"/>
  <c r="AZ263" i="5"/>
  <c r="AX263" i="5"/>
  <c r="AW263" i="5"/>
  <c r="AW265" i="5" s="1"/>
  <c r="AV263" i="5"/>
  <c r="AU263" i="5"/>
  <c r="AS263" i="5"/>
  <c r="AS265" i="5" s="1"/>
  <c r="AR263" i="5"/>
  <c r="AR265" i="5" s="1"/>
  <c r="AQ263" i="5"/>
  <c r="AQ265" i="5" s="1"/>
  <c r="AP263" i="5"/>
  <c r="AN263" i="5"/>
  <c r="AM263" i="5"/>
  <c r="AM265" i="5" s="1"/>
  <c r="AL263" i="5"/>
  <c r="AI263" i="5"/>
  <c r="AH263" i="5"/>
  <c r="AG263" i="5"/>
  <c r="D867" i="16" s="1"/>
  <c r="AF263" i="5"/>
  <c r="AD263" i="5"/>
  <c r="AC263" i="5"/>
  <c r="AB263" i="5"/>
  <c r="AA263" i="5"/>
  <c r="AA266" i="5" s="1"/>
  <c r="Y263" i="5"/>
  <c r="DU261" i="5"/>
  <c r="AJ261" i="5"/>
  <c r="AK261" i="5" s="1"/>
  <c r="X261" i="5"/>
  <c r="Y271" i="5" s="1"/>
  <c r="W261" i="5"/>
  <c r="V261" i="5"/>
  <c r="T261" i="5"/>
  <c r="S261" i="5"/>
  <c r="R261" i="5"/>
  <c r="Q261" i="5"/>
  <c r="P261" i="5"/>
  <c r="O261" i="5"/>
  <c r="N261" i="5"/>
  <c r="M261" i="5"/>
  <c r="L261" i="5"/>
  <c r="J261" i="5"/>
  <c r="I261" i="5"/>
  <c r="H261" i="5"/>
  <c r="G261" i="5"/>
  <c r="E261" i="5"/>
  <c r="D261" i="5"/>
  <c r="C261" i="5"/>
  <c r="B261" i="5"/>
  <c r="A261" i="5"/>
  <c r="A271" i="5" s="1"/>
  <c r="BD262" i="5"/>
  <c r="BE272" i="5" s="1"/>
  <c r="DU260" i="5"/>
  <c r="AJ260" i="5"/>
  <c r="AK260" i="5" s="1"/>
  <c r="X260" i="5"/>
  <c r="W260" i="5"/>
  <c r="V260" i="5"/>
  <c r="T260" i="5"/>
  <c r="S260" i="5"/>
  <c r="R260" i="5"/>
  <c r="Q260" i="5"/>
  <c r="P260" i="5"/>
  <c r="O260" i="5"/>
  <c r="N260" i="5"/>
  <c r="M260" i="5"/>
  <c r="L260" i="5"/>
  <c r="J260" i="5"/>
  <c r="I260" i="5"/>
  <c r="H260" i="5"/>
  <c r="G260" i="5"/>
  <c r="E260" i="5"/>
  <c r="D260" i="5"/>
  <c r="C260" i="5"/>
  <c r="B260" i="5"/>
  <c r="A260" i="5"/>
  <c r="A270" i="5" s="1"/>
  <c r="DU259" i="5"/>
  <c r="BN259" i="5"/>
  <c r="BO269" i="5" s="1"/>
  <c r="BI259" i="5"/>
  <c r="BJ269" i="5" s="1"/>
  <c r="BD259" i="5"/>
  <c r="AT259" i="5"/>
  <c r="AU269" i="5" s="1"/>
  <c r="Z90" i="28" s="1"/>
  <c r="AO259" i="5"/>
  <c r="AJ259" i="5"/>
  <c r="AK259" i="5" s="1"/>
  <c r="X259" i="5"/>
  <c r="W259" i="5"/>
  <c r="V259" i="5"/>
  <c r="T259" i="5"/>
  <c r="S259" i="5"/>
  <c r="R259" i="5"/>
  <c r="Q259" i="5"/>
  <c r="O259" i="5"/>
  <c r="N259" i="5"/>
  <c r="M259" i="5"/>
  <c r="L259" i="5"/>
  <c r="J259" i="5"/>
  <c r="I259" i="5"/>
  <c r="H259" i="5"/>
  <c r="G259" i="5"/>
  <c r="E259" i="5"/>
  <c r="D259" i="5"/>
  <c r="C259" i="5"/>
  <c r="B259" i="5"/>
  <c r="A259" i="5"/>
  <c r="A269" i="5" s="1"/>
  <c r="A257" i="5"/>
  <c r="X253" i="5"/>
  <c r="X246" i="5"/>
  <c r="W246" i="5"/>
  <c r="V246" i="5"/>
  <c r="T246" i="5"/>
  <c r="S246" i="5"/>
  <c r="R246" i="5"/>
  <c r="Q246" i="5"/>
  <c r="O246" i="5"/>
  <c r="N246" i="5"/>
  <c r="M246" i="5"/>
  <c r="L246" i="5"/>
  <c r="J246" i="5"/>
  <c r="I246" i="5"/>
  <c r="H246" i="5"/>
  <c r="G246" i="5"/>
  <c r="E246" i="5"/>
  <c r="D246" i="5"/>
  <c r="C246" i="5"/>
  <c r="B246" i="5"/>
  <c r="X239" i="5"/>
  <c r="W239" i="5"/>
  <c r="V239" i="5"/>
  <c r="T239" i="5"/>
  <c r="S239" i="5"/>
  <c r="R239" i="5"/>
  <c r="Q239" i="5"/>
  <c r="O239" i="5"/>
  <c r="N239" i="5"/>
  <c r="M239" i="5"/>
  <c r="L239" i="5"/>
  <c r="J239" i="5"/>
  <c r="I239" i="5"/>
  <c r="H239" i="5"/>
  <c r="G239" i="5"/>
  <c r="E239" i="5"/>
  <c r="D239" i="5"/>
  <c r="C239" i="5"/>
  <c r="B239" i="5"/>
  <c r="X232" i="5"/>
  <c r="W232" i="5"/>
  <c r="V232" i="5"/>
  <c r="T232" i="5"/>
  <c r="S232" i="5"/>
  <c r="R232" i="5"/>
  <c r="Q232" i="5"/>
  <c r="O232" i="5"/>
  <c r="N232" i="5"/>
  <c r="M232" i="5"/>
  <c r="L232" i="5"/>
  <c r="J232" i="5"/>
  <c r="I232" i="5"/>
  <c r="H232" i="5"/>
  <c r="G232" i="5"/>
  <c r="E232" i="5"/>
  <c r="D232" i="5"/>
  <c r="C232" i="5"/>
  <c r="B232" i="5"/>
  <c r="A225" i="5"/>
  <c r="W216" i="5"/>
  <c r="AX214" i="5"/>
  <c r="AW214" i="5"/>
  <c r="AV214" i="5"/>
  <c r="AU214" i="5"/>
  <c r="DR212" i="5"/>
  <c r="DR213" i="5" s="1"/>
  <c r="EF210" i="5"/>
  <c r="EE210" i="5"/>
  <c r="ED210" i="5"/>
  <c r="EA210" i="5"/>
  <c r="DZ210" i="5"/>
  <c r="DY210" i="5"/>
  <c r="DU210" i="5"/>
  <c r="DT210" i="5"/>
  <c r="DR210" i="5"/>
  <c r="DQ210" i="5"/>
  <c r="DQ213" i="5" s="1"/>
  <c r="DP210" i="5"/>
  <c r="DP213" i="5" s="1"/>
  <c r="DO210" i="5"/>
  <c r="DO213" i="5" s="1"/>
  <c r="DM210" i="5"/>
  <c r="DL210" i="5"/>
  <c r="DK210" i="5"/>
  <c r="DJ210" i="5"/>
  <c r="DH210" i="5"/>
  <c r="DG210" i="5"/>
  <c r="DF210" i="5"/>
  <c r="DE210" i="5"/>
  <c r="CZ210" i="5"/>
  <c r="CU210" i="5"/>
  <c r="CR210" i="5"/>
  <c r="CQ210" i="5"/>
  <c r="CP210" i="5"/>
  <c r="CM210" i="5"/>
  <c r="CL210" i="5"/>
  <c r="CK210" i="5"/>
  <c r="X210" i="5"/>
  <c r="W210" i="5"/>
  <c r="CV210" i="5" s="1"/>
  <c r="O210" i="5"/>
  <c r="CS210" i="5" s="1"/>
  <c r="J210" i="5"/>
  <c r="BH209" i="5"/>
  <c r="BH211" i="5" s="1"/>
  <c r="BG209" i="5"/>
  <c r="BG211" i="5" s="1"/>
  <c r="BF209" i="5"/>
  <c r="BF211" i="5" s="1"/>
  <c r="BE209" i="5"/>
  <c r="BE211" i="5" s="1"/>
  <c r="BB209" i="5"/>
  <c r="BB211" i="5" s="1"/>
  <c r="BA209" i="5"/>
  <c r="BA211" i="5" s="1"/>
  <c r="AZ209" i="5"/>
  <c r="AZ211" i="5" s="1"/>
  <c r="AX209" i="5"/>
  <c r="AX211" i="5" s="1"/>
  <c r="AW209" i="5"/>
  <c r="AW211" i="5" s="1"/>
  <c r="AV209" i="5"/>
  <c r="AV211" i="5" s="1"/>
  <c r="AU209" i="5"/>
  <c r="AU211" i="5" s="1"/>
  <c r="AR209" i="5"/>
  <c r="AR211" i="5" s="1"/>
  <c r="AQ209" i="5"/>
  <c r="AQ211" i="5" s="1"/>
  <c r="AP209" i="5"/>
  <c r="AP211" i="5" s="1"/>
  <c r="AN209" i="5"/>
  <c r="AN211" i="5" s="1"/>
  <c r="AM209" i="5"/>
  <c r="AM211" i="5" s="1"/>
  <c r="AL209" i="5"/>
  <c r="AL211" i="5" s="1"/>
  <c r="AK209" i="5"/>
  <c r="AK211" i="5" s="1"/>
  <c r="AH209" i="5"/>
  <c r="AG209" i="5"/>
  <c r="AG211" i="5" s="1"/>
  <c r="AF209" i="5"/>
  <c r="AC209" i="5"/>
  <c r="AC211" i="5" s="1"/>
  <c r="AB209" i="5"/>
  <c r="AB211" i="5" s="1"/>
  <c r="AA209" i="5"/>
  <c r="V209" i="5"/>
  <c r="V211" i="5" s="1"/>
  <c r="S209" i="5"/>
  <c r="S211" i="5" s="1"/>
  <c r="R209" i="5"/>
  <c r="Q209" i="5"/>
  <c r="Q211" i="5" s="1"/>
  <c r="O209" i="5"/>
  <c r="N209" i="5"/>
  <c r="N211" i="5" s="1"/>
  <c r="M209" i="5"/>
  <c r="L209" i="5"/>
  <c r="L211" i="5" s="1"/>
  <c r="J209" i="5"/>
  <c r="I209" i="5"/>
  <c r="I211" i="5" s="1"/>
  <c r="H209" i="5"/>
  <c r="H211" i="5" s="1"/>
  <c r="G209" i="5"/>
  <c r="G211" i="5" s="1"/>
  <c r="A209" i="5"/>
  <c r="BH206" i="5"/>
  <c r="BG206" i="5"/>
  <c r="BF206" i="5"/>
  <c r="BE206" i="5"/>
  <c r="BB206" i="5"/>
  <c r="BB207" i="5" s="1"/>
  <c r="BA206" i="5"/>
  <c r="BA207" i="5" s="1"/>
  <c r="AZ206" i="5"/>
  <c r="AZ207" i="5" s="1"/>
  <c r="AX206" i="5"/>
  <c r="AW206" i="5"/>
  <c r="AV206" i="5"/>
  <c r="AU206" i="5"/>
  <c r="AR206" i="5"/>
  <c r="AQ206" i="5"/>
  <c r="AP206" i="5"/>
  <c r="AN206" i="5"/>
  <c r="AM206" i="5"/>
  <c r="AL206" i="5"/>
  <c r="AK206" i="5"/>
  <c r="AH206" i="5"/>
  <c r="AG206" i="5"/>
  <c r="AF206" i="5"/>
  <c r="AC206" i="5"/>
  <c r="AB206" i="5"/>
  <c r="AA206" i="5"/>
  <c r="X206" i="5"/>
  <c r="W206" i="5"/>
  <c r="V206" i="5"/>
  <c r="S206" i="5"/>
  <c r="R206" i="5"/>
  <c r="Q206" i="5"/>
  <c r="Q207" i="5" s="1"/>
  <c r="O206" i="5"/>
  <c r="N206" i="5"/>
  <c r="N207" i="5" s="1"/>
  <c r="M206" i="5"/>
  <c r="L206" i="5"/>
  <c r="J206" i="5"/>
  <c r="I206" i="5"/>
  <c r="H206" i="5"/>
  <c r="G206" i="5"/>
  <c r="A206" i="5"/>
  <c r="CZ199" i="5"/>
  <c r="CS199" i="5"/>
  <c r="CR199" i="5"/>
  <c r="CQ199" i="5"/>
  <c r="CP199" i="5"/>
  <c r="CN199" i="5"/>
  <c r="CM199" i="5"/>
  <c r="CL199" i="5"/>
  <c r="CK199" i="5"/>
  <c r="BH201" i="5"/>
  <c r="BF201" i="5"/>
  <c r="BE201" i="5"/>
  <c r="BC201" i="5"/>
  <c r="BB201" i="5"/>
  <c r="BA201" i="5"/>
  <c r="AZ201" i="5"/>
  <c r="AX201" i="5"/>
  <c r="AW201" i="5"/>
  <c r="AV201" i="5"/>
  <c r="AU201" i="5"/>
  <c r="AS201" i="5"/>
  <c r="AR201" i="5"/>
  <c r="AQ201" i="5"/>
  <c r="AP201" i="5"/>
  <c r="AN201" i="5"/>
  <c r="AM201" i="5"/>
  <c r="AL201" i="5"/>
  <c r="AK201" i="5"/>
  <c r="AI201" i="5"/>
  <c r="AH201" i="5"/>
  <c r="AG201" i="5"/>
  <c r="AF201" i="5"/>
  <c r="AD201" i="5"/>
  <c r="AC201" i="5"/>
  <c r="AB201" i="5"/>
  <c r="AA201" i="5"/>
  <c r="Y201" i="5"/>
  <c r="X201" i="5"/>
  <c r="W201" i="5"/>
  <c r="V201" i="5"/>
  <c r="T201" i="5"/>
  <c r="S201" i="5"/>
  <c r="R201" i="5"/>
  <c r="Q201" i="5"/>
  <c r="P201" i="5"/>
  <c r="O201" i="5"/>
  <c r="N201" i="5"/>
  <c r="M201" i="5"/>
  <c r="L201" i="5"/>
  <c r="K201" i="5"/>
  <c r="J201" i="5"/>
  <c r="I201" i="5"/>
  <c r="H201" i="5"/>
  <c r="G201" i="5"/>
  <c r="F201" i="5"/>
  <c r="E201" i="5"/>
  <c r="D201" i="5"/>
  <c r="C201" i="5"/>
  <c r="B201" i="5"/>
  <c r="AN194" i="5"/>
  <c r="AN193" i="5"/>
  <c r="AI193" i="5"/>
  <c r="AH193" i="5"/>
  <c r="AG193" i="5"/>
  <c r="AF193" i="5"/>
  <c r="AD193" i="5"/>
  <c r="AC193" i="5"/>
  <c r="AX184" i="5"/>
  <c r="AX185" i="5" s="1"/>
  <c r="AW184" i="5"/>
  <c r="AW185" i="5" s="1"/>
  <c r="AV184" i="5"/>
  <c r="AV185" i="5" s="1"/>
  <c r="AU184" i="5"/>
  <c r="AU185" i="5" s="1"/>
  <c r="AS184" i="5"/>
  <c r="AS185" i="5" s="1"/>
  <c r="AR184" i="5"/>
  <c r="AR185" i="5" s="1"/>
  <c r="AQ184" i="5"/>
  <c r="AQ185" i="5" s="1"/>
  <c r="AP184" i="5"/>
  <c r="AP185" i="5" s="1"/>
  <c r="AN184" i="5"/>
  <c r="AN185" i="5" s="1"/>
  <c r="AM184" i="5"/>
  <c r="AM185" i="5" s="1"/>
  <c r="AL184" i="5"/>
  <c r="AL185" i="5" s="1"/>
  <c r="AI184" i="5"/>
  <c r="AI185" i="5" s="1"/>
  <c r="AH184" i="5"/>
  <c r="AH185" i="5" s="1"/>
  <c r="AC184" i="5"/>
  <c r="AC185" i="5" s="1"/>
  <c r="AB184" i="5"/>
  <c r="AB185" i="5" s="1"/>
  <c r="AA184" i="5"/>
  <c r="AA185" i="5" s="1"/>
  <c r="Y184" i="5"/>
  <c r="X184" i="5"/>
  <c r="W184" i="5"/>
  <c r="W181" i="5" s="1"/>
  <c r="V184" i="5"/>
  <c r="V181" i="5" s="1"/>
  <c r="T184" i="5"/>
  <c r="BH179" i="5"/>
  <c r="BG179" i="5"/>
  <c r="BF179" i="5"/>
  <c r="BE179" i="5"/>
  <c r="AX179" i="5"/>
  <c r="AW179" i="5"/>
  <c r="AV179" i="5"/>
  <c r="AU179" i="5"/>
  <c r="AG178" i="5"/>
  <c r="AG184" i="5" s="1"/>
  <c r="AG185" i="5" s="1"/>
  <c r="AF178" i="5"/>
  <c r="AD178" i="5"/>
  <c r="AD184" i="5" s="1"/>
  <c r="AD185" i="5" s="1"/>
  <c r="AZ175" i="5"/>
  <c r="AX175" i="5"/>
  <c r="BG171" i="5"/>
  <c r="BH171" i="5" s="1"/>
  <c r="AV171" i="5"/>
  <c r="AV170" i="5"/>
  <c r="AW170" i="5" s="1"/>
  <c r="BF169" i="5"/>
  <c r="BG169" i="5" s="1"/>
  <c r="BH169" i="5" s="1"/>
  <c r="AW169" i="5"/>
  <c r="AX169" i="5" s="1"/>
  <c r="BF168" i="5"/>
  <c r="BF165" i="5"/>
  <c r="BG165" i="5" s="1"/>
  <c r="BH165" i="5" s="1"/>
  <c r="AW165" i="5"/>
  <c r="AX165" i="5" s="1"/>
  <c r="A162" i="5"/>
  <c r="BH161" i="5"/>
  <c r="BG161" i="5"/>
  <c r="BF161" i="5"/>
  <c r="BE161" i="5"/>
  <c r="BC161" i="5"/>
  <c r="BB161" i="5"/>
  <c r="BA161" i="5"/>
  <c r="AZ161" i="5"/>
  <c r="AX161" i="5"/>
  <c r="AW161" i="5"/>
  <c r="AV161" i="5"/>
  <c r="AU161" i="5"/>
  <c r="AR161" i="5"/>
  <c r="AQ161" i="5"/>
  <c r="AP161" i="5"/>
  <c r="AM161" i="5"/>
  <c r="AL161" i="5"/>
  <c r="AK161" i="5"/>
  <c r="AH161" i="5"/>
  <c r="AG161" i="5"/>
  <c r="AF161" i="5"/>
  <c r="AC161" i="5"/>
  <c r="AB161" i="5"/>
  <c r="AA161" i="5"/>
  <c r="A161" i="5"/>
  <c r="BH160" i="5"/>
  <c r="BG160" i="5"/>
  <c r="BF160" i="5"/>
  <c r="BE160" i="5"/>
  <c r="BC160" i="5"/>
  <c r="BB160" i="5"/>
  <c r="BA160" i="5"/>
  <c r="AZ160" i="5"/>
  <c r="AX160" i="5"/>
  <c r="AW160" i="5"/>
  <c r="AV160" i="5"/>
  <c r="AU160" i="5"/>
  <c r="AR160" i="5"/>
  <c r="AQ160" i="5"/>
  <c r="AP160" i="5"/>
  <c r="AM160" i="5"/>
  <c r="AL160" i="5"/>
  <c r="AK160" i="5"/>
  <c r="AH160" i="5"/>
  <c r="AG160" i="5"/>
  <c r="AF160" i="5"/>
  <c r="AC160" i="5"/>
  <c r="AB160" i="5"/>
  <c r="AA160" i="5"/>
  <c r="A160" i="5"/>
  <c r="A157" i="5"/>
  <c r="BH156" i="5"/>
  <c r="BG156" i="5"/>
  <c r="BF156" i="5"/>
  <c r="BE156" i="5"/>
  <c r="BC156" i="5"/>
  <c r="BB156" i="5"/>
  <c r="BA156" i="5"/>
  <c r="AZ156" i="5"/>
  <c r="AX156" i="5"/>
  <c r="AW156" i="5"/>
  <c r="AV156" i="5"/>
  <c r="AU156" i="5"/>
  <c r="AR156" i="5"/>
  <c r="AQ156" i="5"/>
  <c r="AP156" i="5"/>
  <c r="AM156" i="5"/>
  <c r="AL156" i="5"/>
  <c r="AK156" i="5"/>
  <c r="AH156" i="5"/>
  <c r="AG156" i="5"/>
  <c r="AF156" i="5"/>
  <c r="AC156" i="5"/>
  <c r="AB156" i="5"/>
  <c r="AA156" i="5"/>
  <c r="A156" i="5"/>
  <c r="BH155" i="5"/>
  <c r="BG155" i="5"/>
  <c r="BF155" i="5"/>
  <c r="BE155" i="5"/>
  <c r="BC155" i="5"/>
  <c r="BB155" i="5"/>
  <c r="BA155" i="5"/>
  <c r="AZ155" i="5"/>
  <c r="AX155" i="5"/>
  <c r="AW155" i="5"/>
  <c r="AV155" i="5"/>
  <c r="AU155" i="5"/>
  <c r="AR155" i="5"/>
  <c r="AQ155" i="5"/>
  <c r="AP155" i="5"/>
  <c r="AM155" i="5"/>
  <c r="AL155" i="5"/>
  <c r="AK155" i="5"/>
  <c r="AH155" i="5"/>
  <c r="AG155" i="5"/>
  <c r="AF155" i="5"/>
  <c r="AC155" i="5"/>
  <c r="AB155" i="5"/>
  <c r="AA155" i="5"/>
  <c r="A155" i="5"/>
  <c r="BH151" i="5"/>
  <c r="BG151" i="5"/>
  <c r="BF151" i="5"/>
  <c r="BE151" i="5"/>
  <c r="BC151" i="5"/>
  <c r="BB151" i="5"/>
  <c r="BA151" i="5"/>
  <c r="AZ151" i="5"/>
  <c r="AW151" i="5"/>
  <c r="AV151" i="5"/>
  <c r="AU151" i="5"/>
  <c r="AR151" i="5"/>
  <c r="AQ151" i="5"/>
  <c r="AP151" i="5"/>
  <c r="AM151" i="5"/>
  <c r="AL151" i="5"/>
  <c r="AK151" i="5"/>
  <c r="AH151" i="5"/>
  <c r="AG151" i="5"/>
  <c r="AF151" i="5"/>
  <c r="A151" i="5"/>
  <c r="BH150" i="5"/>
  <c r="AK112" i="28" s="1"/>
  <c r="BG150" i="5"/>
  <c r="AJ112" i="28" s="1"/>
  <c r="BF150" i="5"/>
  <c r="AI112" i="28" s="1"/>
  <c r="BE150" i="5"/>
  <c r="AH112" i="28" s="1"/>
  <c r="BC150" i="5"/>
  <c r="AG112" i="28" s="1"/>
  <c r="BB150" i="5"/>
  <c r="AF112" i="28" s="1"/>
  <c r="BA150" i="5"/>
  <c r="AE112" i="28" s="1"/>
  <c r="AZ150" i="5"/>
  <c r="AD112" i="28" s="1"/>
  <c r="AW150" i="5"/>
  <c r="AW149" i="5" s="1"/>
  <c r="AB112" i="28" s="1"/>
  <c r="AV150" i="5"/>
  <c r="AV149" i="5" s="1"/>
  <c r="AA112" i="28" s="1"/>
  <c r="AU150" i="5"/>
  <c r="AU149" i="5" s="1"/>
  <c r="Z112" i="28" s="1"/>
  <c r="AR150" i="5"/>
  <c r="X112" i="28" s="1"/>
  <c r="AQ150" i="5"/>
  <c r="W112" i="28" s="1"/>
  <c r="AP150" i="5"/>
  <c r="V112" i="28" s="1"/>
  <c r="AM150" i="5"/>
  <c r="T112" i="28" s="1"/>
  <c r="AL150" i="5"/>
  <c r="S112" i="28" s="1"/>
  <c r="AK150" i="5"/>
  <c r="R112" i="28" s="1"/>
  <c r="AH150" i="5"/>
  <c r="P112" i="28" s="1"/>
  <c r="AG150" i="5"/>
  <c r="O112" i="28" s="1"/>
  <c r="AF150" i="5"/>
  <c r="N112" i="28" s="1"/>
  <c r="A150" i="5"/>
  <c r="BH146" i="5"/>
  <c r="BG146" i="5"/>
  <c r="BF146" i="5"/>
  <c r="BE146" i="5"/>
  <c r="BJ152" i="5" s="1"/>
  <c r="BC146" i="5"/>
  <c r="BB146" i="5"/>
  <c r="BA146" i="5"/>
  <c r="BA147" i="5" s="1"/>
  <c r="AZ146" i="5"/>
  <c r="AZ147" i="5" s="1"/>
  <c r="AX146" i="5"/>
  <c r="AW146" i="5"/>
  <c r="AV146" i="5"/>
  <c r="AU146" i="5"/>
  <c r="AR146" i="5"/>
  <c r="AQ146" i="5"/>
  <c r="AP146" i="5"/>
  <c r="AM146" i="5"/>
  <c r="AL146" i="5"/>
  <c r="AK146" i="5"/>
  <c r="AH146" i="5"/>
  <c r="AG146" i="5"/>
  <c r="AF146" i="5"/>
  <c r="AC146" i="5"/>
  <c r="AB146" i="5"/>
  <c r="AA146" i="5"/>
  <c r="DV145" i="5"/>
  <c r="DU145" i="5"/>
  <c r="DT145" i="5"/>
  <c r="DQ145" i="5"/>
  <c r="DP145" i="5"/>
  <c r="DO145" i="5"/>
  <c r="DL145" i="5"/>
  <c r="DK145" i="5"/>
  <c r="DJ145" i="5"/>
  <c r="DG145" i="5"/>
  <c r="DF145" i="5"/>
  <c r="DE145" i="5"/>
  <c r="AS145" i="5"/>
  <c r="AN145" i="5"/>
  <c r="AI145" i="5"/>
  <c r="AD145" i="5"/>
  <c r="DV144" i="5"/>
  <c r="DU144" i="5"/>
  <c r="DT144" i="5"/>
  <c r="DQ144" i="5"/>
  <c r="DP144" i="5"/>
  <c r="DO144" i="5"/>
  <c r="DL144" i="5"/>
  <c r="DK144" i="5"/>
  <c r="DJ144" i="5"/>
  <c r="DG144" i="5"/>
  <c r="DF144" i="5"/>
  <c r="DE144" i="5"/>
  <c r="AS144" i="5"/>
  <c r="AN144" i="5"/>
  <c r="AI144" i="5"/>
  <c r="AD144" i="5"/>
  <c r="BH136" i="5"/>
  <c r="BG136" i="5"/>
  <c r="AJ140" i="28" s="1"/>
  <c r="BF136" i="5"/>
  <c r="BE136" i="5"/>
  <c r="BC136" i="5"/>
  <c r="BB136" i="5"/>
  <c r="BA136" i="5"/>
  <c r="AZ136" i="5"/>
  <c r="AW136" i="5"/>
  <c r="AV136" i="5"/>
  <c r="AU136" i="5"/>
  <c r="AR136" i="5"/>
  <c r="AQ136" i="5"/>
  <c r="AP136" i="5"/>
  <c r="AM136" i="5"/>
  <c r="AL136" i="5"/>
  <c r="AK136" i="5"/>
  <c r="AH136" i="5"/>
  <c r="AG136" i="5"/>
  <c r="AF136" i="5"/>
  <c r="A136" i="5"/>
  <c r="BH135" i="5"/>
  <c r="AK139" i="28" s="1"/>
  <c r="BG135" i="5"/>
  <c r="AJ139" i="28" s="1"/>
  <c r="BF135" i="5"/>
  <c r="AI139" i="28" s="1"/>
  <c r="BE135" i="5"/>
  <c r="BC135" i="5"/>
  <c r="BB135" i="5"/>
  <c r="BA135" i="5"/>
  <c r="AZ135" i="5"/>
  <c r="AW135" i="5"/>
  <c r="AV135" i="5"/>
  <c r="AU135" i="5"/>
  <c r="AR135" i="5"/>
  <c r="X104" i="28" s="1"/>
  <c r="AQ135" i="5"/>
  <c r="W104" i="28" s="1"/>
  <c r="AP135" i="5"/>
  <c r="V104" i="28" s="1"/>
  <c r="AM135" i="5"/>
  <c r="T104" i="28" s="1"/>
  <c r="AL135" i="5"/>
  <c r="S104" i="28" s="1"/>
  <c r="AK135" i="5"/>
  <c r="R104" i="28" s="1"/>
  <c r="AH135" i="5"/>
  <c r="P104" i="28" s="1"/>
  <c r="AG135" i="5"/>
  <c r="O104" i="28" s="1"/>
  <c r="AF135" i="5"/>
  <c r="N104" i="28" s="1"/>
  <c r="A135" i="5"/>
  <c r="AW134" i="5"/>
  <c r="AB104" i="28" s="1"/>
  <c r="AV134" i="5"/>
  <c r="AA104" i="28" s="1"/>
  <c r="AU134" i="5"/>
  <c r="Z104" i="28" s="1"/>
  <c r="BH131" i="5"/>
  <c r="BM137" i="5" s="1"/>
  <c r="AO141" i="28" s="1"/>
  <c r="BG131" i="5"/>
  <c r="BF131" i="5"/>
  <c r="BE131" i="5"/>
  <c r="BC131" i="5"/>
  <c r="BB131" i="5"/>
  <c r="BA131" i="5"/>
  <c r="AZ131" i="5"/>
  <c r="AX131" i="5"/>
  <c r="AW131" i="5"/>
  <c r="AW132" i="5" s="1"/>
  <c r="AV131" i="5"/>
  <c r="AV132" i="5" s="1"/>
  <c r="AU131" i="5"/>
  <c r="AR131" i="5"/>
  <c r="AQ131" i="5"/>
  <c r="AP131" i="5"/>
  <c r="AM131" i="5"/>
  <c r="AM132" i="5" s="1"/>
  <c r="AL131" i="5"/>
  <c r="AK131" i="5"/>
  <c r="AH131" i="5"/>
  <c r="AG131" i="5"/>
  <c r="AF131" i="5"/>
  <c r="AC131" i="5"/>
  <c r="AC132" i="5" s="1"/>
  <c r="AB131" i="5"/>
  <c r="AA131" i="5"/>
  <c r="AA132" i="5" s="1"/>
  <c r="EB130" i="5"/>
  <c r="EA130" i="5"/>
  <c r="DZ130" i="5"/>
  <c r="DY130" i="5"/>
  <c r="DV130" i="5"/>
  <c r="DU130" i="5"/>
  <c r="DT130" i="5"/>
  <c r="DQ130" i="5"/>
  <c r="DP130" i="5"/>
  <c r="DO130" i="5"/>
  <c r="DL130" i="5"/>
  <c r="DK130" i="5"/>
  <c r="DJ130" i="5"/>
  <c r="DG130" i="5"/>
  <c r="DF130" i="5"/>
  <c r="DE130" i="5"/>
  <c r="AS130" i="5"/>
  <c r="AN130" i="5"/>
  <c r="AO130" i="5" s="1"/>
  <c r="AI130" i="5"/>
  <c r="AJ130" i="5" s="1"/>
  <c r="AD130" i="5"/>
  <c r="AE130" i="5" s="1"/>
  <c r="EB129" i="5"/>
  <c r="EA129" i="5"/>
  <c r="DZ129" i="5"/>
  <c r="DY129" i="5"/>
  <c r="DV129" i="5"/>
  <c r="DU129" i="5"/>
  <c r="DT129" i="5"/>
  <c r="DQ129" i="5"/>
  <c r="DP129" i="5"/>
  <c r="DO129" i="5"/>
  <c r="DL129" i="5"/>
  <c r="DK129" i="5"/>
  <c r="DJ129" i="5"/>
  <c r="DG129" i="5"/>
  <c r="DF129" i="5"/>
  <c r="DE129" i="5"/>
  <c r="AS129" i="5"/>
  <c r="AN129" i="5"/>
  <c r="AI129" i="5"/>
  <c r="AJ129" i="5" s="1"/>
  <c r="AD129" i="5"/>
  <c r="AE129" i="5" s="1"/>
  <c r="BG115" i="5"/>
  <c r="BF115" i="5"/>
  <c r="BE115" i="5"/>
  <c r="BB115" i="5"/>
  <c r="BA115" i="5"/>
  <c r="AZ115" i="5"/>
  <c r="AW115" i="5"/>
  <c r="AV115" i="5"/>
  <c r="AU115" i="5"/>
  <c r="AR115" i="5"/>
  <c r="AQ115" i="5"/>
  <c r="AP115" i="5"/>
  <c r="AM115" i="5"/>
  <c r="AL115" i="5"/>
  <c r="AK115" i="5"/>
  <c r="AH115" i="5"/>
  <c r="AG115" i="5"/>
  <c r="AF115" i="5"/>
  <c r="AC115" i="5"/>
  <c r="AB115" i="5"/>
  <c r="AA115" i="5"/>
  <c r="X115" i="5"/>
  <c r="A115" i="5"/>
  <c r="BG114" i="5"/>
  <c r="BF114" i="5"/>
  <c r="BE114" i="5"/>
  <c r="BB114" i="5"/>
  <c r="BA114" i="5"/>
  <c r="AZ114" i="5"/>
  <c r="AW114" i="5"/>
  <c r="AV114" i="5"/>
  <c r="AU114" i="5"/>
  <c r="AR114" i="5"/>
  <c r="AQ114" i="5"/>
  <c r="AP114" i="5"/>
  <c r="AM114" i="5"/>
  <c r="AL114" i="5"/>
  <c r="AK114" i="5"/>
  <c r="AH114" i="5"/>
  <c r="AG114" i="5"/>
  <c r="AF114" i="5"/>
  <c r="AC114" i="5"/>
  <c r="AB114" i="5"/>
  <c r="AA114" i="5"/>
  <c r="X114" i="5"/>
  <c r="W114" i="5"/>
  <c r="V114" i="5"/>
  <c r="A114" i="5"/>
  <c r="AA113" i="5"/>
  <c r="X113" i="5"/>
  <c r="W113" i="5"/>
  <c r="V113" i="5"/>
  <c r="A113" i="5"/>
  <c r="AA112" i="5"/>
  <c r="X112" i="5"/>
  <c r="A112" i="5"/>
  <c r="AA111" i="5"/>
  <c r="X111" i="5"/>
  <c r="W111" i="5"/>
  <c r="V111" i="5"/>
  <c r="A111" i="5"/>
  <c r="AA110" i="5"/>
  <c r="X110" i="5"/>
  <c r="W110" i="5"/>
  <c r="V110" i="5"/>
  <c r="A110" i="5"/>
  <c r="AA109" i="5"/>
  <c r="X109" i="5"/>
  <c r="W109" i="5"/>
  <c r="V109" i="5"/>
  <c r="A109" i="5"/>
  <c r="BG108" i="5"/>
  <c r="BG119" i="5" s="1"/>
  <c r="BF108" i="5"/>
  <c r="BF119" i="5" s="1"/>
  <c r="BE108" i="5"/>
  <c r="BE119" i="5" s="1"/>
  <c r="BB108" i="5"/>
  <c r="BA108" i="5"/>
  <c r="AZ108" i="5"/>
  <c r="AW108" i="5"/>
  <c r="AV108" i="5"/>
  <c r="AU108" i="5"/>
  <c r="AR108" i="5"/>
  <c r="AQ108" i="5"/>
  <c r="AP108" i="5"/>
  <c r="AM108" i="5"/>
  <c r="AL108" i="5"/>
  <c r="AK108" i="5"/>
  <c r="AH108" i="5"/>
  <c r="AH164" i="5" s="1"/>
  <c r="AG108" i="5"/>
  <c r="AG164" i="5" s="1"/>
  <c r="AF108" i="5"/>
  <c r="AF164" i="5" s="1"/>
  <c r="AC108" i="5"/>
  <c r="AB108" i="5"/>
  <c r="AA108" i="5"/>
  <c r="X108" i="5"/>
  <c r="W108" i="5"/>
  <c r="V108" i="5"/>
  <c r="A108" i="5"/>
  <c r="AR107" i="5"/>
  <c r="AQ107" i="5"/>
  <c r="AP107" i="5"/>
  <c r="AM107" i="5"/>
  <c r="AL107" i="5"/>
  <c r="AK107" i="5"/>
  <c r="AH107" i="5"/>
  <c r="AG107" i="5"/>
  <c r="AF107" i="5"/>
  <c r="AC107" i="5"/>
  <c r="AB107" i="5"/>
  <c r="AA107" i="5"/>
  <c r="X107" i="5"/>
  <c r="W107" i="5"/>
  <c r="V107" i="5"/>
  <c r="BN104" i="5"/>
  <c r="BI104" i="5"/>
  <c r="BH104" i="5"/>
  <c r="BH115" i="5" s="1"/>
  <c r="BD104" i="5"/>
  <c r="BC104" i="5" s="1"/>
  <c r="BC115" i="5" s="1"/>
  <c r="AX104" i="5"/>
  <c r="AT104" i="5"/>
  <c r="AS104" i="5"/>
  <c r="AS115" i="5" s="1"/>
  <c r="AN104" i="5"/>
  <c r="P90" i="1" s="1"/>
  <c r="AI104" i="5"/>
  <c r="O90" i="1" s="1"/>
  <c r="AD104" i="5"/>
  <c r="N90" i="1" s="1"/>
  <c r="W104" i="5"/>
  <c r="W115" i="5" s="1"/>
  <c r="V104" i="5"/>
  <c r="V115" i="5" s="1"/>
  <c r="DB103" i="5"/>
  <c r="CZ103" i="5"/>
  <c r="BI103" i="5"/>
  <c r="BH103" i="5"/>
  <c r="BD103" i="5"/>
  <c r="BC103" i="5" s="1"/>
  <c r="BC114" i="5" s="1"/>
  <c r="AX103" i="5"/>
  <c r="AX114" i="5" s="1"/>
  <c r="AT103" i="5"/>
  <c r="AS103" i="5"/>
  <c r="AS114" i="5" s="1"/>
  <c r="AN103" i="5"/>
  <c r="P91" i="1" s="1"/>
  <c r="P83" i="1" s="1"/>
  <c r="AI103" i="5"/>
  <c r="O91" i="1" s="1"/>
  <c r="O83" i="1" s="1"/>
  <c r="AD103" i="5"/>
  <c r="N91" i="1" s="1"/>
  <c r="N83" i="1" s="1"/>
  <c r="Z103" i="5"/>
  <c r="Y103" i="5"/>
  <c r="Y114" i="5" s="1"/>
  <c r="DA102" i="5"/>
  <c r="DB102" i="5" s="1"/>
  <c r="Y102" i="5"/>
  <c r="Y113" i="5" s="1"/>
  <c r="W101" i="5"/>
  <c r="W112" i="5" s="1"/>
  <c r="V101" i="5"/>
  <c r="V112" i="5" s="1"/>
  <c r="Y100" i="5"/>
  <c r="Y111" i="5" s="1"/>
  <c r="Y99" i="5"/>
  <c r="Y110" i="5" s="1"/>
  <c r="Y98" i="5"/>
  <c r="Y109" i="5" s="1"/>
  <c r="BI97" i="5"/>
  <c r="BH97" i="5"/>
  <c r="BH108" i="5" s="1"/>
  <c r="BH119" i="5" s="1"/>
  <c r="BD97" i="5"/>
  <c r="BC97" i="5" s="1"/>
  <c r="BC108" i="5" s="1"/>
  <c r="AX97" i="5"/>
  <c r="AX108" i="5" s="1"/>
  <c r="AS97" i="5"/>
  <c r="AS108" i="5" s="1"/>
  <c r="AN97" i="5"/>
  <c r="P92" i="1" s="1"/>
  <c r="P84" i="1" s="1"/>
  <c r="AI97" i="5"/>
  <c r="O92" i="1" s="1"/>
  <c r="O84" i="1" s="1"/>
  <c r="AD97" i="5"/>
  <c r="N92" i="1" s="1"/>
  <c r="N84" i="1" s="1"/>
  <c r="Z97" i="5"/>
  <c r="Y97" i="5"/>
  <c r="Y108" i="5" s="1"/>
  <c r="BG96" i="5"/>
  <c r="BG107" i="5" s="1"/>
  <c r="H6" i="30" s="1"/>
  <c r="H10" i="30" s="1"/>
  <c r="H14" i="30" s="1"/>
  <c r="BF96" i="5"/>
  <c r="BF107" i="5" s="1"/>
  <c r="G6" i="30" s="1"/>
  <c r="G10" i="30" s="1"/>
  <c r="G14" i="30" s="1"/>
  <c r="BE96" i="5"/>
  <c r="BE107" i="5" s="1"/>
  <c r="F6" i="30" s="1"/>
  <c r="F10" i="30" s="1"/>
  <c r="F14" i="30" s="1"/>
  <c r="BB96" i="5"/>
  <c r="BB107" i="5" s="1"/>
  <c r="D6" i="30" s="1"/>
  <c r="D10" i="30" s="1"/>
  <c r="D14" i="30" s="1"/>
  <c r="BA96" i="5"/>
  <c r="BA107" i="5" s="1"/>
  <c r="C6" i="30" s="1"/>
  <c r="C10" i="30" s="1"/>
  <c r="C14" i="30" s="1"/>
  <c r="AZ96" i="5"/>
  <c r="AZ107" i="5" s="1"/>
  <c r="B6" i="30" s="1"/>
  <c r="B10" i="30" s="1"/>
  <c r="B14" i="30" s="1"/>
  <c r="AW96" i="5"/>
  <c r="AW107" i="5" s="1"/>
  <c r="AV96" i="5"/>
  <c r="AV107" i="5" s="1"/>
  <c r="AU96" i="5"/>
  <c r="AU107" i="5" s="1"/>
  <c r="AS96" i="5"/>
  <c r="AS107" i="5" s="1"/>
  <c r="AN96" i="5"/>
  <c r="AN107" i="5" s="1"/>
  <c r="AI96" i="5"/>
  <c r="AI107" i="5" s="1"/>
  <c r="AD96" i="5"/>
  <c r="AD107" i="5" s="1"/>
  <c r="BH90" i="5"/>
  <c r="L90" i="5"/>
  <c r="G90" i="5"/>
  <c r="L86" i="5"/>
  <c r="G86" i="5"/>
  <c r="BH83" i="5"/>
  <c r="X83" i="5"/>
  <c r="T83" i="5"/>
  <c r="L83" i="5"/>
  <c r="K83" i="5"/>
  <c r="G83" i="5"/>
  <c r="AX81" i="5"/>
  <c r="BN80" i="5"/>
  <c r="BG80" i="5"/>
  <c r="BF80" i="5"/>
  <c r="BF81" i="5" s="1"/>
  <c r="BE80" i="5"/>
  <c r="BE81" i="5" s="1"/>
  <c r="BB80" i="5"/>
  <c r="BB81" i="5" s="1"/>
  <c r="BA80" i="5"/>
  <c r="BA81" i="5" s="1"/>
  <c r="AZ80" i="5"/>
  <c r="AW80" i="5"/>
  <c r="AW81" i="5" s="1"/>
  <c r="AV80" i="5"/>
  <c r="AV81" i="5" s="1"/>
  <c r="AR80" i="5"/>
  <c r="AR81" i="5" s="1"/>
  <c r="AQ80" i="5"/>
  <c r="AQ81" i="5" s="1"/>
  <c r="AP80" i="5"/>
  <c r="AP81" i="5" s="1"/>
  <c r="AO80" i="5"/>
  <c r="AM80" i="5"/>
  <c r="AM81" i="5" s="1"/>
  <c r="AL80" i="5"/>
  <c r="AK80" i="5"/>
  <c r="AK81" i="5" s="1"/>
  <c r="AH80" i="5"/>
  <c r="AH81" i="5" s="1"/>
  <c r="AG80" i="5"/>
  <c r="AG81" i="5" s="1"/>
  <c r="AF80" i="5"/>
  <c r="AF81" i="5" s="1"/>
  <c r="AC80" i="5"/>
  <c r="AC81" i="5" s="1"/>
  <c r="AB80" i="5"/>
  <c r="AB81" i="5" s="1"/>
  <c r="AA80" i="5"/>
  <c r="X80" i="5"/>
  <c r="X81" i="5" s="1"/>
  <c r="W80" i="5"/>
  <c r="W81" i="5" s="1"/>
  <c r="V80" i="5"/>
  <c r="V81" i="5" s="1"/>
  <c r="S80" i="5"/>
  <c r="S81" i="5" s="1"/>
  <c r="R80" i="5"/>
  <c r="R81" i="5" s="1"/>
  <c r="Q80" i="5"/>
  <c r="Q81" i="5" s="1"/>
  <c r="O80" i="5"/>
  <c r="O81" i="5" s="1"/>
  <c r="N80" i="5"/>
  <c r="N81" i="5" s="1"/>
  <c r="M80" i="5"/>
  <c r="M81" i="5" s="1"/>
  <c r="J80" i="5"/>
  <c r="J81" i="5" s="1"/>
  <c r="I80" i="5"/>
  <c r="I81" i="5" s="1"/>
  <c r="H80" i="5"/>
  <c r="H81" i="5" s="1"/>
  <c r="BC79" i="5"/>
  <c r="AT79" i="5"/>
  <c r="AO79" i="5"/>
  <c r="AN79" i="5"/>
  <c r="AJ79" i="5"/>
  <c r="AI79" i="5"/>
  <c r="AE79" i="5"/>
  <c r="AD79" i="5"/>
  <c r="Y79" i="5"/>
  <c r="T79" i="5"/>
  <c r="P79" i="5"/>
  <c r="L79" i="5"/>
  <c r="G79" i="5"/>
  <c r="BC78" i="5"/>
  <c r="AT78" i="5"/>
  <c r="AO78" i="5"/>
  <c r="AN78" i="5"/>
  <c r="AJ78" i="5"/>
  <c r="AI78" i="5"/>
  <c r="AE78" i="5"/>
  <c r="AD78" i="5"/>
  <c r="Y78" i="5"/>
  <c r="T78" i="5"/>
  <c r="P78" i="5"/>
  <c r="L78" i="5"/>
  <c r="G78" i="5"/>
  <c r="A70" i="5"/>
  <c r="BH69" i="5"/>
  <c r="AC64" i="28" s="1"/>
  <c r="BG69" i="5"/>
  <c r="AB64" i="28" s="1"/>
  <c r="BF69" i="5"/>
  <c r="AA64" i="28" s="1"/>
  <c r="BE69" i="5"/>
  <c r="Z64" i="28" s="1"/>
  <c r="BB69" i="5"/>
  <c r="X64" i="28" s="1"/>
  <c r="BA69" i="5"/>
  <c r="W64" i="28" s="1"/>
  <c r="AW69" i="5"/>
  <c r="T64" i="28" s="1"/>
  <c r="AV69" i="5"/>
  <c r="S64" i="28" s="1"/>
  <c r="AU69" i="5"/>
  <c r="R64" i="28" s="1"/>
  <c r="AR69" i="5"/>
  <c r="P64" i="28" s="1"/>
  <c r="AQ69" i="5"/>
  <c r="O64" i="28" s="1"/>
  <c r="AP69" i="5"/>
  <c r="N64" i="28" s="1"/>
  <c r="AN69" i="5"/>
  <c r="M64" i="28" s="1"/>
  <c r="AM69" i="5"/>
  <c r="L64" i="28" s="1"/>
  <c r="AL69" i="5"/>
  <c r="K64" i="28" s="1"/>
  <c r="AK69" i="5"/>
  <c r="J64" i="28" s="1"/>
  <c r="AI69" i="5"/>
  <c r="I64" i="28" s="1"/>
  <c r="AH69" i="5"/>
  <c r="H64" i="28" s="1"/>
  <c r="AG69" i="5"/>
  <c r="G64" i="28" s="1"/>
  <c r="AF69" i="5"/>
  <c r="F64" i="28" s="1"/>
  <c r="AC69" i="5"/>
  <c r="D64" i="28" s="1"/>
  <c r="AB69" i="5"/>
  <c r="C64" i="28" s="1"/>
  <c r="AA69" i="5"/>
  <c r="B64" i="28" s="1"/>
  <c r="X69" i="5"/>
  <c r="W69" i="5"/>
  <c r="S69" i="5"/>
  <c r="R69" i="5"/>
  <c r="Q69" i="5"/>
  <c r="O69" i="5"/>
  <c r="N69" i="5"/>
  <c r="M69" i="5"/>
  <c r="L69" i="5"/>
  <c r="J69" i="5"/>
  <c r="I69" i="5"/>
  <c r="H69" i="5"/>
  <c r="G69" i="5"/>
  <c r="A69" i="5"/>
  <c r="BH68" i="5"/>
  <c r="AC63" i="28" s="1"/>
  <c r="BG68" i="5"/>
  <c r="AB63" i="28" s="1"/>
  <c r="BF68" i="5"/>
  <c r="AA63" i="28" s="1"/>
  <c r="BE68" i="5"/>
  <c r="Z63" i="28" s="1"/>
  <c r="BB68" i="5"/>
  <c r="X63" i="28" s="1"/>
  <c r="BA68" i="5"/>
  <c r="W63" i="28" s="1"/>
  <c r="AZ68" i="5"/>
  <c r="V63" i="28" s="1"/>
  <c r="AX68" i="5"/>
  <c r="U63" i="28" s="1"/>
  <c r="AW68" i="5"/>
  <c r="T63" i="28" s="1"/>
  <c r="AV68" i="5"/>
  <c r="S63" i="28" s="1"/>
  <c r="AU68" i="5"/>
  <c r="R63" i="28" s="1"/>
  <c r="AR68" i="5"/>
  <c r="P63" i="28" s="1"/>
  <c r="AQ68" i="5"/>
  <c r="O63" i="28" s="1"/>
  <c r="AP68" i="5"/>
  <c r="N63" i="28" s="1"/>
  <c r="AN68" i="5"/>
  <c r="M63" i="28" s="1"/>
  <c r="AM68" i="5"/>
  <c r="L63" i="28" s="1"/>
  <c r="AL68" i="5"/>
  <c r="K63" i="28" s="1"/>
  <c r="AK68" i="5"/>
  <c r="J63" i="28" s="1"/>
  <c r="AI68" i="5"/>
  <c r="I63" i="28" s="1"/>
  <c r="AH68" i="5"/>
  <c r="H63" i="28" s="1"/>
  <c r="AG68" i="5"/>
  <c r="G63" i="28" s="1"/>
  <c r="AF68" i="5"/>
  <c r="F63" i="28" s="1"/>
  <c r="AC68" i="5"/>
  <c r="D63" i="28" s="1"/>
  <c r="AB68" i="5"/>
  <c r="C63" i="28" s="1"/>
  <c r="AA68" i="5"/>
  <c r="B63" i="28" s="1"/>
  <c r="X68" i="5"/>
  <c r="E827" i="16" s="1"/>
  <c r="W68" i="5"/>
  <c r="D827" i="16" s="1"/>
  <c r="V68" i="5"/>
  <c r="C827" i="16" s="1"/>
  <c r="S68" i="5"/>
  <c r="R68" i="5"/>
  <c r="Q68" i="5"/>
  <c r="O68" i="5"/>
  <c r="N68" i="5"/>
  <c r="M68" i="5"/>
  <c r="L68" i="5"/>
  <c r="J68" i="5"/>
  <c r="I68" i="5"/>
  <c r="H68" i="5"/>
  <c r="G68" i="5"/>
  <c r="A68" i="5"/>
  <c r="BH67" i="5"/>
  <c r="AC62" i="28" s="1"/>
  <c r="BG67" i="5"/>
  <c r="AB62" i="28" s="1"/>
  <c r="BF67" i="5"/>
  <c r="AA62" i="28" s="1"/>
  <c r="BE67" i="5"/>
  <c r="Z62" i="28" s="1"/>
  <c r="BB67" i="5"/>
  <c r="X62" i="28" s="1"/>
  <c r="BA67" i="5"/>
  <c r="W62" i="28" s="1"/>
  <c r="AZ67" i="5"/>
  <c r="V62" i="28" s="1"/>
  <c r="AX67" i="5"/>
  <c r="U62" i="28" s="1"/>
  <c r="AW67" i="5"/>
  <c r="T62" i="28" s="1"/>
  <c r="AV67" i="5"/>
  <c r="S62" i="28" s="1"/>
  <c r="AU67" i="5"/>
  <c r="R62" i="28" s="1"/>
  <c r="AR67" i="5"/>
  <c r="P62" i="28" s="1"/>
  <c r="AQ67" i="5"/>
  <c r="O62" i="28" s="1"/>
  <c r="AP67" i="5"/>
  <c r="N62" i="28" s="1"/>
  <c r="AN67" i="5"/>
  <c r="M62" i="28" s="1"/>
  <c r="AM67" i="5"/>
  <c r="L62" i="28" s="1"/>
  <c r="AL67" i="5"/>
  <c r="K62" i="28" s="1"/>
  <c r="AK67" i="5"/>
  <c r="J62" i="28" s="1"/>
  <c r="AI67" i="5"/>
  <c r="I62" i="28" s="1"/>
  <c r="AH67" i="5"/>
  <c r="H62" i="28" s="1"/>
  <c r="AG67" i="5"/>
  <c r="G62" i="28" s="1"/>
  <c r="AF67" i="5"/>
  <c r="F62" i="28" s="1"/>
  <c r="AC67" i="5"/>
  <c r="D62" i="28" s="1"/>
  <c r="AB67" i="5"/>
  <c r="C62" i="28" s="1"/>
  <c r="AA67" i="5"/>
  <c r="B62" i="28" s="1"/>
  <c r="X67" i="5"/>
  <c r="W67" i="5"/>
  <c r="V67" i="5"/>
  <c r="S67" i="5"/>
  <c r="R67" i="5"/>
  <c r="Q67" i="5"/>
  <c r="O67" i="5"/>
  <c r="N67" i="5"/>
  <c r="M67" i="5"/>
  <c r="L67" i="5"/>
  <c r="J67" i="5"/>
  <c r="I67" i="5"/>
  <c r="H67" i="5"/>
  <c r="G67" i="5"/>
  <c r="A67" i="5"/>
  <c r="DG66" i="5"/>
  <c r="S66" i="5"/>
  <c r="R66" i="5"/>
  <c r="Q66" i="5"/>
  <c r="O66" i="5"/>
  <c r="N66" i="5"/>
  <c r="M66" i="5"/>
  <c r="L66" i="5"/>
  <c r="J66" i="5"/>
  <c r="I66" i="5"/>
  <c r="H66" i="5"/>
  <c r="G66" i="5"/>
  <c r="A66" i="5"/>
  <c r="DG65" i="5"/>
  <c r="BE65" i="5"/>
  <c r="Z61" i="28" s="1"/>
  <c r="AK65" i="5"/>
  <c r="J61" i="28" s="1"/>
  <c r="AB65" i="5"/>
  <c r="C61" i="28" s="1"/>
  <c r="AA65" i="5"/>
  <c r="B61" i="28" s="1"/>
  <c r="V65" i="5"/>
  <c r="S65" i="5"/>
  <c r="R65" i="5"/>
  <c r="Q65" i="5"/>
  <c r="O65" i="5"/>
  <c r="N65" i="5"/>
  <c r="M65" i="5"/>
  <c r="L65" i="5"/>
  <c r="A65" i="5"/>
  <c r="BE59" i="5"/>
  <c r="AK59" i="5"/>
  <c r="AK61" i="5" s="1"/>
  <c r="AB59" i="5"/>
  <c r="AB61" i="5" s="1"/>
  <c r="AA59" i="5"/>
  <c r="V59" i="5"/>
  <c r="V61" i="5" s="1"/>
  <c r="AN57" i="5"/>
  <c r="AL57" i="5"/>
  <c r="AK57" i="5"/>
  <c r="AR56" i="5"/>
  <c r="AQ56" i="5"/>
  <c r="AR55" i="5"/>
  <c r="AQ55" i="5"/>
  <c r="DV54" i="5"/>
  <c r="DU54" i="5"/>
  <c r="DT54" i="5"/>
  <c r="EG39" i="5"/>
  <c r="EE39" i="5"/>
  <c r="ED39" i="5"/>
  <c r="EB39" i="5"/>
  <c r="DZ39" i="5"/>
  <c r="DY39" i="5"/>
  <c r="DV39" i="5"/>
  <c r="DU39" i="5"/>
  <c r="DT39" i="5"/>
  <c r="DQ39" i="5"/>
  <c r="DP39" i="5"/>
  <c r="DO39" i="5"/>
  <c r="DL39" i="5"/>
  <c r="DK39" i="5"/>
  <c r="DJ39" i="5"/>
  <c r="DG39" i="5"/>
  <c r="DF39" i="5"/>
  <c r="DE39" i="5"/>
  <c r="DB39" i="5"/>
  <c r="DA39" i="5"/>
  <c r="CZ39" i="5"/>
  <c r="CW39" i="5"/>
  <c r="CV39" i="5"/>
  <c r="CU39" i="5"/>
  <c r="CR39" i="5"/>
  <c r="CQ39" i="5"/>
  <c r="CP39" i="5"/>
  <c r="CN39" i="5"/>
  <c r="CM39" i="5"/>
  <c r="CL39" i="5"/>
  <c r="CK39" i="5"/>
  <c r="BB39" i="5"/>
  <c r="EA39" i="5" s="1"/>
  <c r="AS39" i="5"/>
  <c r="AN39" i="5"/>
  <c r="DM39" i="5" s="1"/>
  <c r="AD39" i="5"/>
  <c r="DH39" i="5" s="1"/>
  <c r="Y39" i="5"/>
  <c r="T39" i="5"/>
  <c r="P39" i="5"/>
  <c r="K39" i="5"/>
  <c r="DQ37" i="5"/>
  <c r="DO37" i="5"/>
  <c r="H1652" i="16" s="1"/>
  <c r="DL37" i="5"/>
  <c r="DJ37" i="5"/>
  <c r="DG37" i="5"/>
  <c r="DA37" i="5"/>
  <c r="CV37" i="5"/>
  <c r="CR37" i="5"/>
  <c r="CQ37" i="5"/>
  <c r="CN37" i="5"/>
  <c r="CM37" i="5"/>
  <c r="CL37" i="5"/>
  <c r="CK37" i="5"/>
  <c r="BN37" i="5"/>
  <c r="BH37" i="5"/>
  <c r="BG37" i="5"/>
  <c r="BF37" i="5"/>
  <c r="BE37" i="5"/>
  <c r="Z57" i="28" s="1"/>
  <c r="Z58" i="28" s="1"/>
  <c r="BC37" i="5"/>
  <c r="Y57" i="28" s="1"/>
  <c r="BB37" i="5"/>
  <c r="X57" i="28" s="1"/>
  <c r="X58" i="28" s="1"/>
  <c r="BA37" i="5"/>
  <c r="W57" i="28" s="1"/>
  <c r="W58" i="28" s="1"/>
  <c r="AZ37" i="5"/>
  <c r="V57" i="28" s="1"/>
  <c r="V58" i="28" s="1"/>
  <c r="AW37" i="5"/>
  <c r="T57" i="28" s="1"/>
  <c r="T58" i="28" s="1"/>
  <c r="AU37" i="5"/>
  <c r="R57" i="28" s="1"/>
  <c r="R58" i="28" s="1"/>
  <c r="AQ37" i="5"/>
  <c r="AO37" i="5"/>
  <c r="AN37" i="5"/>
  <c r="M57" i="28" s="1"/>
  <c r="AJ37" i="5"/>
  <c r="AG37" i="5"/>
  <c r="G57" i="28" s="1"/>
  <c r="G58" i="28" s="1"/>
  <c r="AA37" i="5"/>
  <c r="B57" i="28" s="1"/>
  <c r="B58" i="28" s="1"/>
  <c r="X37" i="5"/>
  <c r="Q37" i="5"/>
  <c r="CU37" i="5" s="1"/>
  <c r="P37" i="5"/>
  <c r="K62" i="1" s="1"/>
  <c r="K139" i="1" s="1"/>
  <c r="K151" i="1" s="1"/>
  <c r="K262" i="1" s="1"/>
  <c r="K257" i="1" s="1"/>
  <c r="K37" i="5"/>
  <c r="EF35" i="5"/>
  <c r="EE35" i="5"/>
  <c r="ED35" i="5"/>
  <c r="EA35" i="5"/>
  <c r="DZ35" i="5"/>
  <c r="DY35" i="5"/>
  <c r="DV35" i="5"/>
  <c r="DU35" i="5"/>
  <c r="DT35" i="5"/>
  <c r="DQ35" i="5"/>
  <c r="DP35" i="5"/>
  <c r="I1650" i="16" s="1"/>
  <c r="DO35" i="5"/>
  <c r="H1650" i="16" s="1"/>
  <c r="DL35" i="5"/>
  <c r="DK35" i="5"/>
  <c r="DJ35" i="5"/>
  <c r="DG35" i="5"/>
  <c r="DF35" i="5"/>
  <c r="DE35" i="5"/>
  <c r="DB35" i="5"/>
  <c r="DA35" i="5"/>
  <c r="CZ35" i="5"/>
  <c r="CW35" i="5"/>
  <c r="CV35" i="5"/>
  <c r="CU35" i="5"/>
  <c r="CR35" i="5"/>
  <c r="CQ35" i="5"/>
  <c r="CP35" i="5"/>
  <c r="CN35" i="5"/>
  <c r="CM35" i="5"/>
  <c r="CL35" i="5"/>
  <c r="CK35" i="5"/>
  <c r="BI35" i="5"/>
  <c r="BD35" i="5"/>
  <c r="BC35" i="5" s="1"/>
  <c r="Y56" i="28" s="1"/>
  <c r="AY35" i="5"/>
  <c r="AT35" i="5"/>
  <c r="AS35" i="5"/>
  <c r="Q56" i="28" s="1"/>
  <c r="AO35" i="5"/>
  <c r="AN35" i="5"/>
  <c r="M56" i="28" s="1"/>
  <c r="AJ35" i="5"/>
  <c r="AI35" i="5"/>
  <c r="I56" i="28" s="1"/>
  <c r="I58" i="28" s="1"/>
  <c r="AE35" i="5"/>
  <c r="AD35" i="5"/>
  <c r="E56" i="28" s="1"/>
  <c r="Y35" i="5"/>
  <c r="T35" i="5"/>
  <c r="CS35" i="5" s="1"/>
  <c r="P35" i="5"/>
  <c r="K61" i="1" s="1"/>
  <c r="K35" i="5"/>
  <c r="J61" i="1" s="1"/>
  <c r="BH34" i="5"/>
  <c r="BG34" i="5"/>
  <c r="BF34" i="5"/>
  <c r="BE34" i="5"/>
  <c r="BB34" i="5"/>
  <c r="BA34" i="5"/>
  <c r="AZ34" i="5"/>
  <c r="AW34" i="5"/>
  <c r="AV34" i="5"/>
  <c r="AU34" i="5"/>
  <c r="AP34" i="5"/>
  <c r="AP40" i="5" s="1"/>
  <c r="AN34" i="5"/>
  <c r="AL34" i="5"/>
  <c r="AK34" i="5"/>
  <c r="AK40" i="5" s="1"/>
  <c r="AI34" i="5"/>
  <c r="AH34" i="5"/>
  <c r="AH40" i="5" s="1"/>
  <c r="AG34" i="5"/>
  <c r="AF34" i="5"/>
  <c r="AF40" i="5" s="1"/>
  <c r="AC34" i="5"/>
  <c r="AC40" i="5" s="1"/>
  <c r="AB34" i="5"/>
  <c r="AB40" i="5" s="1"/>
  <c r="AA34" i="5"/>
  <c r="AA36" i="5" s="1"/>
  <c r="X34" i="5"/>
  <c r="W34" i="5"/>
  <c r="V34" i="5"/>
  <c r="V36" i="5" s="1"/>
  <c r="S34" i="5"/>
  <c r="R34" i="5"/>
  <c r="R40" i="5" s="1"/>
  <c r="Q34" i="5"/>
  <c r="O34" i="5"/>
  <c r="N34" i="5"/>
  <c r="M34" i="5"/>
  <c r="M40" i="5" s="1"/>
  <c r="L34" i="5"/>
  <c r="L36" i="5" s="1"/>
  <c r="J34" i="5"/>
  <c r="J36" i="5" s="1"/>
  <c r="I34" i="5"/>
  <c r="I40" i="5" s="1"/>
  <c r="H34" i="5"/>
  <c r="H40" i="5" s="1"/>
  <c r="EF33" i="5"/>
  <c r="EE33" i="5"/>
  <c r="ED33" i="5"/>
  <c r="EA33" i="5"/>
  <c r="DZ33" i="5"/>
  <c r="DY33" i="5"/>
  <c r="DV33" i="5"/>
  <c r="DU33" i="5"/>
  <c r="DT33" i="5"/>
  <c r="DQ33" i="5"/>
  <c r="DP33" i="5"/>
  <c r="I1648" i="16" s="1"/>
  <c r="DO33" i="5"/>
  <c r="H1648" i="16" s="1"/>
  <c r="DM33" i="5"/>
  <c r="DL33" i="5"/>
  <c r="DK33" i="5"/>
  <c r="DJ33" i="5"/>
  <c r="DG33" i="5"/>
  <c r="DF33" i="5"/>
  <c r="DE33" i="5"/>
  <c r="DB33" i="5"/>
  <c r="DA33" i="5"/>
  <c r="CZ33" i="5"/>
  <c r="CW33" i="5"/>
  <c r="CV33" i="5"/>
  <c r="CU33" i="5"/>
  <c r="CR33" i="5"/>
  <c r="CQ33" i="5"/>
  <c r="CP33" i="5"/>
  <c r="CN33" i="5"/>
  <c r="CM33" i="5"/>
  <c r="CL33" i="5"/>
  <c r="CK33" i="5"/>
  <c r="BN33" i="5"/>
  <c r="BI33" i="5"/>
  <c r="BD33" i="5"/>
  <c r="BC33" i="5" s="1"/>
  <c r="Y54" i="28" s="1"/>
  <c r="AY33" i="5"/>
  <c r="AX33" i="5"/>
  <c r="U54" i="28" s="1"/>
  <c r="U55" i="28" s="1"/>
  <c r="U58" i="28" s="1"/>
  <c r="AT33" i="5"/>
  <c r="AS33" i="5"/>
  <c r="Q54" i="28" s="1"/>
  <c r="AO33" i="5"/>
  <c r="AJ33" i="5"/>
  <c r="AE33" i="5"/>
  <c r="AD33" i="5"/>
  <c r="E54" i="28" s="1"/>
  <c r="Y33" i="5"/>
  <c r="Z33" i="5" s="1"/>
  <c r="T33" i="5"/>
  <c r="CS33" i="5" s="1"/>
  <c r="P33" i="5"/>
  <c r="K33" i="5"/>
  <c r="EF32" i="5"/>
  <c r="EE32" i="5"/>
  <c r="ED32" i="5"/>
  <c r="AH111" i="28" s="1"/>
  <c r="EA32" i="5"/>
  <c r="DZ32" i="5"/>
  <c r="AE111" i="28" s="1"/>
  <c r="DY32" i="5"/>
  <c r="AD111" i="28" s="1"/>
  <c r="DV32" i="5"/>
  <c r="AB111" i="28" s="1"/>
  <c r="DU32" i="5"/>
  <c r="AA111" i="28" s="1"/>
  <c r="DT32" i="5"/>
  <c r="Z111" i="28" s="1"/>
  <c r="DQ32" i="5"/>
  <c r="X111" i="28" s="1"/>
  <c r="DP32" i="5"/>
  <c r="W111" i="28" s="1"/>
  <c r="DO32" i="5"/>
  <c r="DM32" i="5"/>
  <c r="U111" i="28" s="1"/>
  <c r="DL32" i="5"/>
  <c r="T111" i="28" s="1"/>
  <c r="DK32" i="5"/>
  <c r="S111" i="28" s="1"/>
  <c r="DJ32" i="5"/>
  <c r="R111" i="28" s="1"/>
  <c r="DG32" i="5"/>
  <c r="P111" i="28" s="1"/>
  <c r="DF32" i="5"/>
  <c r="O111" i="28" s="1"/>
  <c r="DE32" i="5"/>
  <c r="N111" i="28" s="1"/>
  <c r="DB32" i="5"/>
  <c r="DA32" i="5"/>
  <c r="CZ32" i="5"/>
  <c r="CW32" i="5"/>
  <c r="CV32" i="5"/>
  <c r="CU32" i="5"/>
  <c r="CR32" i="5"/>
  <c r="CQ32" i="5"/>
  <c r="CP32" i="5"/>
  <c r="CN32" i="5"/>
  <c r="CM32" i="5"/>
  <c r="CL32" i="5"/>
  <c r="CK32" i="5"/>
  <c r="BI32" i="5"/>
  <c r="BD32" i="5"/>
  <c r="AY32" i="5"/>
  <c r="AT32" i="5"/>
  <c r="AS32" i="5"/>
  <c r="Q53" i="28" s="1"/>
  <c r="AO32" i="5"/>
  <c r="AJ32" i="5"/>
  <c r="AE32" i="5"/>
  <c r="AD32" i="5"/>
  <c r="E53" i="28" s="1"/>
  <c r="Y32" i="5"/>
  <c r="T32" i="5"/>
  <c r="T347" i="5" s="1"/>
  <c r="P32" i="5"/>
  <c r="K56" i="1" s="1"/>
  <c r="K32" i="5"/>
  <c r="EF31" i="5"/>
  <c r="FR475" i="5" s="1"/>
  <c r="EE31" i="5"/>
  <c r="ED31" i="5"/>
  <c r="EA31" i="5"/>
  <c r="DZ31" i="5"/>
  <c r="DY31" i="5"/>
  <c r="DV31" i="5"/>
  <c r="DU31" i="5"/>
  <c r="DT31" i="5"/>
  <c r="DQ31" i="5"/>
  <c r="DP31" i="5"/>
  <c r="I1646" i="16" s="1"/>
  <c r="DO31" i="5"/>
  <c r="H1646" i="16" s="1"/>
  <c r="DM31" i="5"/>
  <c r="DL31" i="5"/>
  <c r="DK31" i="5"/>
  <c r="DJ31" i="5"/>
  <c r="DG31" i="5"/>
  <c r="DF31" i="5"/>
  <c r="DE31" i="5"/>
  <c r="DB31" i="5"/>
  <c r="DA31" i="5"/>
  <c r="CZ31" i="5"/>
  <c r="CW31" i="5"/>
  <c r="CV31" i="5"/>
  <c r="CU31" i="5"/>
  <c r="CR31" i="5"/>
  <c r="CQ31" i="5"/>
  <c r="CP31" i="5"/>
  <c r="CN31" i="5"/>
  <c r="CM31" i="5"/>
  <c r="CL31" i="5"/>
  <c r="CK31" i="5"/>
  <c r="BI31" i="5"/>
  <c r="BD31" i="5"/>
  <c r="BC31" i="5" s="1"/>
  <c r="AY31" i="5"/>
  <c r="AT31" i="5"/>
  <c r="AS31" i="5"/>
  <c r="AO31" i="5"/>
  <c r="AJ31" i="5"/>
  <c r="AE31" i="5"/>
  <c r="AD31" i="5"/>
  <c r="E52" i="28" s="1"/>
  <c r="Y31" i="5"/>
  <c r="T31" i="5"/>
  <c r="P31" i="5"/>
  <c r="K55" i="1" s="1"/>
  <c r="K31" i="5"/>
  <c r="J55" i="1" s="1"/>
  <c r="CW30" i="5"/>
  <c r="CV30" i="5"/>
  <c r="CU30" i="5"/>
  <c r="CR30" i="5"/>
  <c r="CQ30" i="5"/>
  <c r="CP30" i="5"/>
  <c r="CN30" i="5"/>
  <c r="CM30" i="5"/>
  <c r="CL30" i="5"/>
  <c r="CK30" i="5"/>
  <c r="T30" i="5"/>
  <c r="P30" i="5"/>
  <c r="K54" i="1" s="1"/>
  <c r="K30" i="5"/>
  <c r="J54" i="1" s="1"/>
  <c r="EF29" i="5"/>
  <c r="EE29" i="5"/>
  <c r="FQ395" i="5" s="1"/>
  <c r="ED29" i="5"/>
  <c r="FP395" i="5" s="1"/>
  <c r="EA29" i="5"/>
  <c r="FN395" i="5" s="1"/>
  <c r="DZ29" i="5"/>
  <c r="FM395" i="5" s="1"/>
  <c r="DY29" i="5"/>
  <c r="FL395" i="5" s="1"/>
  <c r="DT29" i="5"/>
  <c r="DO29" i="5"/>
  <c r="C1547" i="16" s="1"/>
  <c r="DM29" i="5"/>
  <c r="DK29" i="5"/>
  <c r="DJ29" i="5"/>
  <c r="DG29" i="5"/>
  <c r="DF29" i="5"/>
  <c r="DE29" i="5"/>
  <c r="DB29" i="5"/>
  <c r="DA29" i="5"/>
  <c r="CZ29" i="5"/>
  <c r="CW29" i="5"/>
  <c r="CV29" i="5"/>
  <c r="CU29" i="5"/>
  <c r="CR29" i="5"/>
  <c r="CQ29" i="5"/>
  <c r="CP29" i="5"/>
  <c r="CN29" i="5"/>
  <c r="CM29" i="5"/>
  <c r="CL29" i="5"/>
  <c r="CK29" i="5"/>
  <c r="BI29" i="5"/>
  <c r="BD29" i="5"/>
  <c r="AY29" i="5"/>
  <c r="AT29" i="5"/>
  <c r="AR29" i="5"/>
  <c r="P51" i="28" s="1"/>
  <c r="P55" i="28" s="1"/>
  <c r="P58" i="28" s="1"/>
  <c r="AQ29" i="5"/>
  <c r="O51" i="28" s="1"/>
  <c r="O55" i="28" s="1"/>
  <c r="AO29" i="5"/>
  <c r="AM29" i="5"/>
  <c r="L51" i="28" s="1"/>
  <c r="L55" i="28" s="1"/>
  <c r="L58" i="28" s="1"/>
  <c r="AJ29" i="5"/>
  <c r="AE29" i="5"/>
  <c r="AD29" i="5"/>
  <c r="E51" i="28" s="1"/>
  <c r="Y29" i="5"/>
  <c r="Z29" i="5" s="1"/>
  <c r="M53" i="1" s="1"/>
  <c r="T29" i="5"/>
  <c r="U29" i="5" s="1"/>
  <c r="L53" i="1" s="1"/>
  <c r="L113" i="1" s="1"/>
  <c r="P29" i="5"/>
  <c r="K53" i="1" s="1"/>
  <c r="K29" i="5"/>
  <c r="AB24" i="5"/>
  <c r="AA24" i="5"/>
  <c r="V24" i="5"/>
  <c r="S23" i="5"/>
  <c r="S24" i="5" s="1"/>
  <c r="R23" i="5"/>
  <c r="R24" i="5" s="1"/>
  <c r="Q23" i="5"/>
  <c r="Q24" i="5" s="1"/>
  <c r="EF20" i="5"/>
  <c r="AB41" i="28" s="1"/>
  <c r="EE20" i="5"/>
  <c r="AA41" i="28" s="1"/>
  <c r="ED20" i="5"/>
  <c r="Z41" i="28" s="1"/>
  <c r="EA20" i="5"/>
  <c r="X41" i="28" s="1"/>
  <c r="DZ20" i="5"/>
  <c r="W41" i="28" s="1"/>
  <c r="DY20" i="5"/>
  <c r="V41" i="28" s="1"/>
  <c r="DV20" i="5"/>
  <c r="T41" i="28" s="1"/>
  <c r="DU20" i="5"/>
  <c r="S41" i="28" s="1"/>
  <c r="DT20" i="5"/>
  <c r="R41" i="28" s="1"/>
  <c r="DQ20" i="5"/>
  <c r="P41" i="28" s="1"/>
  <c r="DP20" i="5"/>
  <c r="O41" i="28" s="1"/>
  <c r="DO20" i="5"/>
  <c r="N41" i="28" s="1"/>
  <c r="DL20" i="5"/>
  <c r="L41" i="28" s="1"/>
  <c r="DK20" i="5"/>
  <c r="K41" i="28" s="1"/>
  <c r="DJ20" i="5"/>
  <c r="J41" i="28" s="1"/>
  <c r="DG20" i="5"/>
  <c r="H41" i="28" s="1"/>
  <c r="DF20" i="5"/>
  <c r="G41" i="28" s="1"/>
  <c r="DB20" i="5"/>
  <c r="D41" i="28" s="1"/>
  <c r="DA20" i="5"/>
  <c r="C41" i="28" s="1"/>
  <c r="CV20" i="5"/>
  <c r="CU20" i="5"/>
  <c r="CQ20" i="5"/>
  <c r="CP20" i="5"/>
  <c r="CN20" i="5"/>
  <c r="CM20" i="5"/>
  <c r="CL20" i="5"/>
  <c r="CK20" i="5"/>
  <c r="BI20" i="5"/>
  <c r="BD20" i="5"/>
  <c r="BC20" i="5" s="1"/>
  <c r="AY20" i="5"/>
  <c r="AT20" i="5"/>
  <c r="AS20" i="5"/>
  <c r="DW20" i="5" s="1"/>
  <c r="U41" i="28" s="1"/>
  <c r="AO20" i="5"/>
  <c r="AN20" i="5"/>
  <c r="AJ20" i="5"/>
  <c r="AI20" i="5"/>
  <c r="AE20" i="5"/>
  <c r="P20" i="5"/>
  <c r="K27" i="1" s="1"/>
  <c r="K20" i="5"/>
  <c r="J27" i="1" s="1"/>
  <c r="FW373" i="5"/>
  <c r="FV373" i="5"/>
  <c r="FU373" i="5"/>
  <c r="FT373" i="5"/>
  <c r="FS373" i="5"/>
  <c r="FR373" i="5"/>
  <c r="FQ373" i="5"/>
  <c r="FP373" i="5"/>
  <c r="BE19" i="5"/>
  <c r="BE21" i="5" s="1"/>
  <c r="F4" i="30" s="1"/>
  <c r="AK19" i="5"/>
  <c r="AK21" i="5" s="1"/>
  <c r="AB19" i="5"/>
  <c r="AB21" i="5" s="1"/>
  <c r="AA19" i="5"/>
  <c r="S19" i="5"/>
  <c r="S20" i="5" s="1"/>
  <c r="R19" i="5"/>
  <c r="R21" i="5" s="1"/>
  <c r="Q19" i="5"/>
  <c r="Q21" i="5" s="1"/>
  <c r="O19" i="5"/>
  <c r="N19" i="5"/>
  <c r="N21" i="5" s="1"/>
  <c r="M19" i="5"/>
  <c r="L19" i="5"/>
  <c r="AF39" i="28"/>
  <c r="EF18" i="5"/>
  <c r="AB39" i="28" s="1"/>
  <c r="EE18" i="5"/>
  <c r="AA39" i="28" s="1"/>
  <c r="EA18" i="5"/>
  <c r="X39" i="28" s="1"/>
  <c r="DZ18" i="5"/>
  <c r="W39" i="28" s="1"/>
  <c r="DV18" i="5"/>
  <c r="T39" i="28" s="1"/>
  <c r="DU18" i="5"/>
  <c r="S39" i="28" s="1"/>
  <c r="DT18" i="5"/>
  <c r="R39" i="28" s="1"/>
  <c r="DR18" i="5"/>
  <c r="Q39" i="28" s="1"/>
  <c r="DQ18" i="5"/>
  <c r="P39" i="28" s="1"/>
  <c r="DP18" i="5"/>
  <c r="O39" i="28" s="1"/>
  <c r="DO18" i="5"/>
  <c r="N39" i="28" s="1"/>
  <c r="DM18" i="5"/>
  <c r="M39" i="28" s="1"/>
  <c r="DL18" i="5"/>
  <c r="L39" i="28" s="1"/>
  <c r="DK18" i="5"/>
  <c r="K39" i="28" s="1"/>
  <c r="DJ18" i="5"/>
  <c r="J39" i="28" s="1"/>
  <c r="DG18" i="5"/>
  <c r="H39" i="28" s="1"/>
  <c r="DF18" i="5"/>
  <c r="G39" i="28" s="1"/>
  <c r="DE18" i="5"/>
  <c r="F39" i="28" s="1"/>
  <c r="DB18" i="5"/>
  <c r="D39" i="28" s="1"/>
  <c r="DA18" i="5"/>
  <c r="C39" i="28" s="1"/>
  <c r="CW18" i="5"/>
  <c r="CV18" i="5"/>
  <c r="CR18" i="5"/>
  <c r="CQ18" i="5"/>
  <c r="CP18" i="5"/>
  <c r="CN18" i="5"/>
  <c r="CM18" i="5"/>
  <c r="CL18" i="5"/>
  <c r="CK18" i="5"/>
  <c r="BN18" i="5"/>
  <c r="BI18" i="5"/>
  <c r="BD18" i="5"/>
  <c r="AZ18" i="5"/>
  <c r="ED18" i="5" s="1"/>
  <c r="Z39" i="28" s="1"/>
  <c r="AY18" i="5"/>
  <c r="AX18" i="5"/>
  <c r="DW18" i="5" s="1"/>
  <c r="U39" i="28" s="1"/>
  <c r="AT18" i="5"/>
  <c r="AO18" i="5"/>
  <c r="AJ18" i="5"/>
  <c r="AE18" i="5"/>
  <c r="AD18" i="5"/>
  <c r="DC18" i="5" s="1"/>
  <c r="E39" i="28" s="1"/>
  <c r="V18" i="5"/>
  <c r="T18" i="5"/>
  <c r="CS18" i="5" s="1"/>
  <c r="P18" i="5"/>
  <c r="K25" i="1" s="1"/>
  <c r="K18" i="5"/>
  <c r="J25" i="1" s="1"/>
  <c r="EF14" i="5"/>
  <c r="EE14" i="5"/>
  <c r="FQ417" i="5" s="1"/>
  <c r="ED14" i="5"/>
  <c r="EA14" i="5"/>
  <c r="FV369" i="5" s="1"/>
  <c r="FV370" i="5" s="1"/>
  <c r="DZ14" i="5"/>
  <c r="DY14" i="5"/>
  <c r="DW14" i="5"/>
  <c r="DV14" i="5"/>
  <c r="DU14" i="5"/>
  <c r="DT14" i="5"/>
  <c r="DR14" i="5"/>
  <c r="DQ14" i="5"/>
  <c r="DP14" i="5"/>
  <c r="DO14" i="5"/>
  <c r="DM14" i="5"/>
  <c r="DL14" i="5"/>
  <c r="DK14" i="5"/>
  <c r="DJ14" i="5"/>
  <c r="DG14" i="5"/>
  <c r="DF14" i="5"/>
  <c r="DE14" i="5"/>
  <c r="DB14" i="5"/>
  <c r="D38" i="28" s="1"/>
  <c r="DA14" i="5"/>
  <c r="C38" i="28" s="1"/>
  <c r="CZ14" i="5"/>
  <c r="B38" i="28" s="1"/>
  <c r="CW14" i="5"/>
  <c r="CV14" i="5"/>
  <c r="CU14" i="5"/>
  <c r="CR14" i="5"/>
  <c r="CQ14" i="5"/>
  <c r="CP14" i="5"/>
  <c r="CN14" i="5"/>
  <c r="CM14" i="5"/>
  <c r="CL14" i="5"/>
  <c r="CK14" i="5"/>
  <c r="BI14" i="5"/>
  <c r="BD14" i="5"/>
  <c r="BC14" i="5" s="1"/>
  <c r="EG14" i="5" s="1"/>
  <c r="FS417" i="5" s="1"/>
  <c r="AY14" i="5"/>
  <c r="AT14" i="5"/>
  <c r="AO14" i="5"/>
  <c r="AJ14" i="5"/>
  <c r="AE14" i="5"/>
  <c r="AD14" i="5"/>
  <c r="Z14" i="5"/>
  <c r="M21" i="1" s="1"/>
  <c r="T14" i="5"/>
  <c r="P14" i="5"/>
  <c r="K21" i="1" s="1"/>
  <c r="K14" i="5"/>
  <c r="J21" i="1" s="1"/>
  <c r="EF16" i="5"/>
  <c r="EE16" i="5"/>
  <c r="ED16" i="5"/>
  <c r="EA16" i="5"/>
  <c r="DZ16" i="5"/>
  <c r="DY16" i="5"/>
  <c r="DW16" i="5"/>
  <c r="U37" i="28" s="1"/>
  <c r="DV16" i="5"/>
  <c r="T37" i="28" s="1"/>
  <c r="DU16" i="5"/>
  <c r="S37" i="28" s="1"/>
  <c r="DT16" i="5"/>
  <c r="R37" i="28" s="1"/>
  <c r="DR16" i="5"/>
  <c r="Q37" i="28" s="1"/>
  <c r="DQ16" i="5"/>
  <c r="DP16" i="5"/>
  <c r="O37" i="28" s="1"/>
  <c r="DO16" i="5"/>
  <c r="N37" i="28" s="1"/>
  <c r="DM16" i="5"/>
  <c r="DL16" i="5"/>
  <c r="DK16" i="5"/>
  <c r="DJ16" i="5"/>
  <c r="DG16" i="5"/>
  <c r="DF16" i="5"/>
  <c r="DE16" i="5"/>
  <c r="DB16" i="5"/>
  <c r="DA16" i="5"/>
  <c r="CZ16" i="5"/>
  <c r="CW16" i="5"/>
  <c r="CV16" i="5"/>
  <c r="CU16" i="5"/>
  <c r="CR16" i="5"/>
  <c r="CQ16" i="5"/>
  <c r="CP16" i="5"/>
  <c r="CN16" i="5"/>
  <c r="CM16" i="5"/>
  <c r="CL16" i="5"/>
  <c r="CK16" i="5"/>
  <c r="BI16" i="5"/>
  <c r="R21" i="13" s="1"/>
  <c r="R30" i="13" s="1"/>
  <c r="BD16" i="5"/>
  <c r="AY16" i="5"/>
  <c r="P21" i="13" s="1"/>
  <c r="P30" i="13" s="1"/>
  <c r="AT16" i="5"/>
  <c r="AO16" i="5"/>
  <c r="AJ16" i="5"/>
  <c r="AE16" i="5"/>
  <c r="AD16" i="5"/>
  <c r="Y7" i="28" s="1"/>
  <c r="Z16" i="5"/>
  <c r="M23" i="1" s="1"/>
  <c r="T16" i="5"/>
  <c r="P16" i="5"/>
  <c r="K23" i="1" s="1"/>
  <c r="K16" i="5"/>
  <c r="J23" i="1" s="1"/>
  <c r="CR12" i="5"/>
  <c r="CQ12" i="5"/>
  <c r="CP12" i="5"/>
  <c r="CN12" i="5"/>
  <c r="CM12" i="5"/>
  <c r="CL12" i="5"/>
  <c r="CK12" i="5"/>
  <c r="T12" i="5"/>
  <c r="CS12" i="5" s="1"/>
  <c r="P12" i="5"/>
  <c r="K20" i="1" s="1"/>
  <c r="K12" i="5"/>
  <c r="J20" i="1" s="1"/>
  <c r="AT11" i="5"/>
  <c r="EF10" i="5"/>
  <c r="AB35" i="28" s="1"/>
  <c r="EE10" i="5"/>
  <c r="AA35" i="28" s="1"/>
  <c r="ED10" i="5"/>
  <c r="Z35" i="28" s="1"/>
  <c r="EA10" i="5"/>
  <c r="X35" i="28" s="1"/>
  <c r="DZ10" i="5"/>
  <c r="W35" i="28" s="1"/>
  <c r="DY10" i="5"/>
  <c r="V35" i="28" s="1"/>
  <c r="DV10" i="5"/>
  <c r="T35" i="28" s="1"/>
  <c r="DU10" i="5"/>
  <c r="S35" i="28" s="1"/>
  <c r="DT10" i="5"/>
  <c r="R35" i="28" s="1"/>
  <c r="DQ10" i="5"/>
  <c r="P35" i="28" s="1"/>
  <c r="DP10" i="5"/>
  <c r="O35" i="28" s="1"/>
  <c r="DO10" i="5"/>
  <c r="N35" i="28" s="1"/>
  <c r="DL10" i="5"/>
  <c r="L35" i="28" s="1"/>
  <c r="DK10" i="5"/>
  <c r="K35" i="28" s="1"/>
  <c r="DJ10" i="5"/>
  <c r="J35" i="28" s="1"/>
  <c r="DG10" i="5"/>
  <c r="H35" i="28" s="1"/>
  <c r="DF10" i="5"/>
  <c r="G35" i="28" s="1"/>
  <c r="DE10" i="5"/>
  <c r="F35" i="28" s="1"/>
  <c r="CZ10" i="5"/>
  <c r="B35" i="28" s="1"/>
  <c r="CU10" i="5"/>
  <c r="CR10" i="5"/>
  <c r="CQ10" i="5"/>
  <c r="CP10" i="5"/>
  <c r="CN10" i="5"/>
  <c r="CM10" i="5"/>
  <c r="CL10" i="5"/>
  <c r="CK10" i="5"/>
  <c r="BI10" i="5"/>
  <c r="BD10" i="5"/>
  <c r="BC10" i="5" s="1"/>
  <c r="BC209" i="5" s="1"/>
  <c r="AY10" i="5"/>
  <c r="AT10" i="5"/>
  <c r="AS10" i="5"/>
  <c r="AS209" i="5" s="1"/>
  <c r="AS211" i="5" s="1"/>
  <c r="AO10" i="5"/>
  <c r="AJ10" i="5"/>
  <c r="AI10" i="5"/>
  <c r="AI209" i="5" s="1"/>
  <c r="AE10" i="5"/>
  <c r="AD10" i="5"/>
  <c r="AD209" i="5" s="1"/>
  <c r="X10" i="5"/>
  <c r="X209" i="5" s="1"/>
  <c r="W10" i="5"/>
  <c r="T10" i="5"/>
  <c r="T209" i="5" s="1"/>
  <c r="P10" i="5"/>
  <c r="K15" i="1" s="1"/>
  <c r="K10" i="5"/>
  <c r="J15" i="1" s="1"/>
  <c r="EF9" i="5"/>
  <c r="AB34" i="28" s="1"/>
  <c r="EE9" i="5"/>
  <c r="AA34" i="28" s="1"/>
  <c r="ED9" i="5"/>
  <c r="Z34" i="28" s="1"/>
  <c r="EA9" i="5"/>
  <c r="X34" i="28" s="1"/>
  <c r="DZ9" i="5"/>
  <c r="W34" i="28" s="1"/>
  <c r="DY9" i="5"/>
  <c r="V34" i="28" s="1"/>
  <c r="DV9" i="5"/>
  <c r="T34" i="28" s="1"/>
  <c r="DU9" i="5"/>
  <c r="S34" i="28" s="1"/>
  <c r="DT9" i="5"/>
  <c r="R34" i="28" s="1"/>
  <c r="DQ9" i="5"/>
  <c r="P34" i="28" s="1"/>
  <c r="DP9" i="5"/>
  <c r="O34" i="28" s="1"/>
  <c r="DO9" i="5"/>
  <c r="N34" i="28" s="1"/>
  <c r="DL9" i="5"/>
  <c r="L34" i="28" s="1"/>
  <c r="DK9" i="5"/>
  <c r="K34" i="28" s="1"/>
  <c r="DJ9" i="5"/>
  <c r="J34" i="28" s="1"/>
  <c r="DG9" i="5"/>
  <c r="H34" i="28" s="1"/>
  <c r="DF9" i="5"/>
  <c r="G34" i="28" s="1"/>
  <c r="DE9" i="5"/>
  <c r="F34" i="28" s="1"/>
  <c r="DB9" i="5"/>
  <c r="D34" i="28" s="1"/>
  <c r="DA9" i="5"/>
  <c r="C34" i="28" s="1"/>
  <c r="CZ9" i="5"/>
  <c r="B34" i="28" s="1"/>
  <c r="CW9" i="5"/>
  <c r="CV9" i="5"/>
  <c r="CU9" i="5"/>
  <c r="CR9" i="5"/>
  <c r="CQ9" i="5"/>
  <c r="CP9" i="5"/>
  <c r="CN9" i="5"/>
  <c r="CM9" i="5"/>
  <c r="CL9" i="5"/>
  <c r="CK9" i="5"/>
  <c r="BI9" i="5"/>
  <c r="BD9" i="5"/>
  <c r="BC9" i="5" s="1"/>
  <c r="EG9" i="5" s="1"/>
  <c r="AC34" i="28" s="1"/>
  <c r="AY9" i="5"/>
  <c r="AT9" i="5"/>
  <c r="AS9" i="5"/>
  <c r="AS206" i="5" s="1"/>
  <c r="AO9" i="5"/>
  <c r="AJ9" i="5"/>
  <c r="AI9" i="5"/>
  <c r="AI206" i="5" s="1"/>
  <c r="AE9" i="5"/>
  <c r="AD9" i="5"/>
  <c r="AD206" i="5" s="1"/>
  <c r="Y9" i="5"/>
  <c r="Y206" i="5" s="1"/>
  <c r="T9" i="5"/>
  <c r="T206" i="5" s="1"/>
  <c r="P9" i="5"/>
  <c r="K14" i="1" s="1"/>
  <c r="K9" i="5"/>
  <c r="J14" i="1" s="1"/>
  <c r="EF8" i="5"/>
  <c r="EE8" i="5"/>
  <c r="ED8" i="5"/>
  <c r="EA8" i="5"/>
  <c r="DZ8" i="5"/>
  <c r="DY8" i="5"/>
  <c r="DV8" i="5"/>
  <c r="T33" i="28" s="1"/>
  <c r="DU8" i="5"/>
  <c r="S33" i="28" s="1"/>
  <c r="DT8" i="5"/>
  <c r="R33" i="28" s="1"/>
  <c r="DP8" i="5"/>
  <c r="DO8" i="5"/>
  <c r="DK8" i="5"/>
  <c r="K33" i="28" s="1"/>
  <c r="DJ8" i="5"/>
  <c r="J33" i="28" s="1"/>
  <c r="DG8" i="5"/>
  <c r="H33" i="28" s="1"/>
  <c r="DF8" i="5"/>
  <c r="G33" i="28" s="1"/>
  <c r="DE8" i="5"/>
  <c r="F33" i="28" s="1"/>
  <c r="DB8" i="5"/>
  <c r="D33" i="28" s="1"/>
  <c r="DA8" i="5"/>
  <c r="C33" i="28" s="1"/>
  <c r="CZ8" i="5"/>
  <c r="B33" i="28" s="1"/>
  <c r="CW8" i="5"/>
  <c r="CV8" i="5"/>
  <c r="CU8" i="5"/>
  <c r="CR8" i="5"/>
  <c r="CQ8" i="5"/>
  <c r="CP8" i="5"/>
  <c r="CN8" i="5"/>
  <c r="CM8" i="5"/>
  <c r="CL8" i="5"/>
  <c r="CK8" i="5"/>
  <c r="BI8" i="5"/>
  <c r="BD8" i="5"/>
  <c r="BC8" i="5" s="1"/>
  <c r="J2633" i="16" s="1"/>
  <c r="AY8" i="5"/>
  <c r="AT8" i="5"/>
  <c r="AS8" i="5"/>
  <c r="AO8" i="5"/>
  <c r="AM8" i="5"/>
  <c r="DQ8" i="5" s="1"/>
  <c r="P33" i="28" s="1"/>
  <c r="AJ8" i="5"/>
  <c r="AI8" i="5"/>
  <c r="DM8" i="5" s="1"/>
  <c r="M33" i="28" s="1"/>
  <c r="AE8" i="5"/>
  <c r="AD8" i="5"/>
  <c r="Y8" i="5"/>
  <c r="Z8" i="5" s="1"/>
  <c r="M13" i="1" s="1"/>
  <c r="T8" i="5"/>
  <c r="U8" i="5" s="1"/>
  <c r="L13" i="1" s="1"/>
  <c r="P8" i="5"/>
  <c r="K13" i="1" s="1"/>
  <c r="K8" i="5"/>
  <c r="J13" i="1" s="1"/>
  <c r="FW364" i="5"/>
  <c r="FV364" i="5"/>
  <c r="FU364" i="5"/>
  <c r="FT364" i="5"/>
  <c r="FS364" i="5"/>
  <c r="FR364" i="5"/>
  <c r="FQ364" i="5"/>
  <c r="FP364" i="5"/>
  <c r="FO364" i="5"/>
  <c r="FN364" i="5"/>
  <c r="FM364" i="5"/>
  <c r="FL364" i="5"/>
  <c r="CZ7" i="5"/>
  <c r="B31" i="28" s="1"/>
  <c r="CU7" i="5"/>
  <c r="CR7" i="5"/>
  <c r="CQ7" i="5"/>
  <c r="CP7" i="5"/>
  <c r="BH7" i="5"/>
  <c r="BG7" i="5"/>
  <c r="BG19" i="5" s="1"/>
  <c r="EK19" i="5" s="1"/>
  <c r="BF7" i="5"/>
  <c r="BB7" i="5"/>
  <c r="BA7" i="5"/>
  <c r="AZ7" i="5"/>
  <c r="AX7" i="5"/>
  <c r="AW7" i="5"/>
  <c r="AV7" i="5"/>
  <c r="AU7" i="5"/>
  <c r="AR7" i="5"/>
  <c r="AQ7" i="5"/>
  <c r="D1631" i="16" s="1"/>
  <c r="AP7" i="5"/>
  <c r="DO7" i="5" s="1"/>
  <c r="N31" i="28" s="1"/>
  <c r="AN7" i="5"/>
  <c r="AL7" i="5"/>
  <c r="AH7" i="5"/>
  <c r="AG7" i="5"/>
  <c r="AG65" i="5" s="1"/>
  <c r="G61" i="28" s="1"/>
  <c r="AF7" i="5"/>
  <c r="DE7" i="5" s="1"/>
  <c r="F31" i="28" s="1"/>
  <c r="AC7" i="5"/>
  <c r="P7" i="5"/>
  <c r="J7" i="5"/>
  <c r="CN7" i="5" s="1"/>
  <c r="I7" i="5"/>
  <c r="I19" i="5" s="1"/>
  <c r="I21" i="5" s="1"/>
  <c r="H7" i="5"/>
  <c r="CL7" i="5" s="1"/>
  <c r="G7" i="5"/>
  <c r="DW4" i="5"/>
  <c r="EB4" i="5" s="1"/>
  <c r="EG4" i="5" s="1"/>
  <c r="EL4" i="5" s="1"/>
  <c r="EQ4" i="5" s="1"/>
  <c r="EV4" i="5" s="1"/>
  <c r="DV4" i="5"/>
  <c r="DU4" i="5"/>
  <c r="DT4" i="5"/>
  <c r="DY4" i="5" s="1"/>
  <c r="DR4" i="5"/>
  <c r="DQ4" i="5"/>
  <c r="DP4" i="5"/>
  <c r="DO4" i="5"/>
  <c r="DM4" i="5"/>
  <c r="DL4" i="5"/>
  <c r="DK4" i="5"/>
  <c r="DJ4" i="5"/>
  <c r="DH4" i="5"/>
  <c r="DG4" i="5"/>
  <c r="DF4" i="5"/>
  <c r="DE4" i="5"/>
  <c r="CY4" i="5"/>
  <c r="DD4" i="5" s="1"/>
  <c r="DI4" i="5" s="1"/>
  <c r="DN4" i="5" s="1"/>
  <c r="DS4" i="5" s="1"/>
  <c r="DX4" i="5" s="1"/>
  <c r="EC4" i="5" s="1"/>
  <c r="EH4" i="5" s="1"/>
  <c r="EM4" i="5" s="1"/>
  <c r="ER4" i="5" s="1"/>
  <c r="EW4" i="5" s="1"/>
  <c r="CX4" i="5"/>
  <c r="DC4" i="5" s="1"/>
  <c r="CW4" i="5"/>
  <c r="CW300" i="5" s="1"/>
  <c r="CV4" i="5"/>
  <c r="CU4" i="5"/>
  <c r="CU300" i="5" s="1"/>
  <c r="G247" i="25"/>
  <c r="F247" i="25"/>
  <c r="E247" i="25"/>
  <c r="E242" i="25"/>
  <c r="D242" i="25"/>
  <c r="G238" i="25"/>
  <c r="H238" i="25" s="1"/>
  <c r="I238" i="25" s="1"/>
  <c r="J238" i="25" s="1"/>
  <c r="K238" i="25" s="1"/>
  <c r="L238" i="25" s="1"/>
  <c r="M238" i="25" s="1"/>
  <c r="N238" i="25" s="1"/>
  <c r="O238" i="25" s="1"/>
  <c r="P238" i="25" s="1"/>
  <c r="Q238" i="25" s="1"/>
  <c r="R238" i="25" s="1"/>
  <c r="S238" i="25" s="1"/>
  <c r="F232" i="25"/>
  <c r="F223" i="25"/>
  <c r="F216" i="25"/>
  <c r="D2600" i="16" s="1"/>
  <c r="F200" i="25"/>
  <c r="G199" i="25"/>
  <c r="H199" i="25" s="1"/>
  <c r="G198" i="25"/>
  <c r="H198" i="25" s="1"/>
  <c r="I198" i="25" s="1"/>
  <c r="J198" i="25" s="1"/>
  <c r="K198" i="25" s="1"/>
  <c r="L198" i="25" s="1"/>
  <c r="M198" i="25" s="1"/>
  <c r="N198" i="25" s="1"/>
  <c r="O198" i="25" s="1"/>
  <c r="P198" i="25" s="1"/>
  <c r="Q198" i="25" s="1"/>
  <c r="R198" i="25" s="1"/>
  <c r="S198" i="25" s="1"/>
  <c r="F181" i="25"/>
  <c r="D136" i="25"/>
  <c r="D241" i="25" s="1"/>
  <c r="G133" i="25"/>
  <c r="E2579" i="16" s="1"/>
  <c r="E119" i="25"/>
  <c r="E108" i="25"/>
  <c r="E110" i="25" s="1"/>
  <c r="E123" i="25" s="1"/>
  <c r="C2565" i="16" s="1"/>
  <c r="F102" i="25"/>
  <c r="F96" i="25"/>
  <c r="E87" i="25"/>
  <c r="D81" i="25"/>
  <c r="E79" i="25"/>
  <c r="C79" i="25"/>
  <c r="D78" i="25"/>
  <c r="J75" i="25"/>
  <c r="K71" i="25"/>
  <c r="L71" i="25" s="1"/>
  <c r="M71" i="25" s="1"/>
  <c r="N71" i="25" s="1"/>
  <c r="O71" i="25" s="1"/>
  <c r="P71" i="25" s="1"/>
  <c r="Q71" i="25" s="1"/>
  <c r="R71" i="25" s="1"/>
  <c r="S71" i="25" s="1"/>
  <c r="G71" i="25"/>
  <c r="G72" i="25" s="1"/>
  <c r="E71" i="25"/>
  <c r="C71" i="25"/>
  <c r="E65" i="25"/>
  <c r="F65" i="25" s="1"/>
  <c r="G65" i="25" s="1"/>
  <c r="H65" i="25" s="1"/>
  <c r="I66" i="25" s="1"/>
  <c r="E64" i="25"/>
  <c r="D64" i="25"/>
  <c r="C64" i="25"/>
  <c r="F60" i="25"/>
  <c r="G59" i="25"/>
  <c r="H59" i="25" s="1"/>
  <c r="I59" i="25" s="1"/>
  <c r="E58" i="25"/>
  <c r="F58" i="25" s="1"/>
  <c r="G58" i="25" s="1"/>
  <c r="H58" i="25" s="1"/>
  <c r="D50" i="25"/>
  <c r="E50" i="25" s="1"/>
  <c r="E44" i="25"/>
  <c r="D44" i="25"/>
  <c r="F38" i="25"/>
  <c r="D2547" i="16" s="1"/>
  <c r="F30" i="25"/>
  <c r="G30" i="25" s="1"/>
  <c r="H30" i="25" s="1"/>
  <c r="D18" i="25"/>
  <c r="D17" i="25"/>
  <c r="E17" i="25" s="1"/>
  <c r="F17" i="25" s="1"/>
  <c r="G17" i="25" s="1"/>
  <c r="H17" i="25" s="1"/>
  <c r="I17" i="25" s="1"/>
  <c r="J17" i="25" s="1"/>
  <c r="K17" i="25" s="1"/>
  <c r="L17" i="25" s="1"/>
  <c r="M17" i="25" s="1"/>
  <c r="N17" i="25" s="1"/>
  <c r="O17" i="25" s="1"/>
  <c r="P17" i="25" s="1"/>
  <c r="Q17" i="25" s="1"/>
  <c r="R17" i="25" s="1"/>
  <c r="S17" i="25" s="1"/>
  <c r="D14" i="25"/>
  <c r="E12" i="25"/>
  <c r="E9" i="25"/>
  <c r="F9" i="25" s="1"/>
  <c r="G9" i="25" s="1"/>
  <c r="G26" i="25" s="1"/>
  <c r="C9" i="25"/>
  <c r="D20" i="25" s="1"/>
  <c r="E20" i="25" s="1"/>
  <c r="E29" i="25" s="1"/>
  <c r="C2556" i="16" s="1"/>
  <c r="J6" i="25"/>
  <c r="K6" i="25" s="1"/>
  <c r="L6" i="25" s="1"/>
  <c r="M6" i="25" s="1"/>
  <c r="N6" i="25" s="1"/>
  <c r="O6" i="25" s="1"/>
  <c r="P6" i="25" s="1"/>
  <c r="Q6" i="25" s="1"/>
  <c r="R6" i="25" s="1"/>
  <c r="S6" i="25" s="1"/>
  <c r="D6" i="25"/>
  <c r="C6" i="25"/>
  <c r="F2" i="25"/>
  <c r="B247" i="14"/>
  <c r="B246" i="14"/>
  <c r="B245" i="14"/>
  <c r="E212" i="14"/>
  <c r="D212" i="14"/>
  <c r="C212" i="14"/>
  <c r="E165" i="14"/>
  <c r="E166" i="14" s="1"/>
  <c r="D165" i="14"/>
  <c r="D166" i="14" s="1"/>
  <c r="C165" i="14"/>
  <c r="C166" i="14" s="1"/>
  <c r="E148" i="14"/>
  <c r="D148" i="14"/>
  <c r="C148" i="14"/>
  <c r="J115" i="14"/>
  <c r="E115" i="14"/>
  <c r="G115" i="14" s="1"/>
  <c r="B112" i="14"/>
  <c r="O110" i="14"/>
  <c r="N110" i="14"/>
  <c r="M110" i="14"/>
  <c r="L110" i="14"/>
  <c r="K110" i="14"/>
  <c r="J110" i="14"/>
  <c r="I110" i="14"/>
  <c r="H110" i="14"/>
  <c r="G110" i="14"/>
  <c r="F110" i="14"/>
  <c r="Q97" i="14"/>
  <c r="Q96" i="14" s="1"/>
  <c r="AF90" i="14"/>
  <c r="AG90" i="14" s="1"/>
  <c r="AH90" i="14" s="1"/>
  <c r="AI90" i="14" s="1"/>
  <c r="AJ90" i="14" s="1"/>
  <c r="AK90" i="14" s="1"/>
  <c r="AL90" i="14" s="1"/>
  <c r="B87" i="14"/>
  <c r="B92" i="14" s="1"/>
  <c r="B97" i="14" s="1"/>
  <c r="B102" i="14" s="1"/>
  <c r="B86" i="14"/>
  <c r="B91" i="14" s="1"/>
  <c r="B96" i="14" s="1"/>
  <c r="B101" i="14" s="1"/>
  <c r="B106" i="14" s="1"/>
  <c r="B111" i="14" s="1"/>
  <c r="B119" i="14" s="1"/>
  <c r="B85" i="14"/>
  <c r="B90" i="14" s="1"/>
  <c r="B95" i="14" s="1"/>
  <c r="B100" i="14" s="1"/>
  <c r="B105" i="14" s="1"/>
  <c r="B110" i="14" s="1"/>
  <c r="B118" i="14" s="1"/>
  <c r="N65" i="14"/>
  <c r="X58" i="14"/>
  <c r="W58" i="14"/>
  <c r="V58" i="14"/>
  <c r="U58" i="14"/>
  <c r="T58" i="14"/>
  <c r="T110" i="14" s="1"/>
  <c r="P45" i="14"/>
  <c r="O45" i="14"/>
  <c r="O79" i="14" s="1"/>
  <c r="N45" i="14"/>
  <c r="N79" i="14" s="1"/>
  <c r="M45" i="14"/>
  <c r="M79" i="14" s="1"/>
  <c r="M85" i="14" s="1"/>
  <c r="L45" i="14"/>
  <c r="E1036" i="16" s="1"/>
  <c r="J1036" i="16" s="1"/>
  <c r="P1036" i="16" s="1"/>
  <c r="K45" i="14"/>
  <c r="D1036" i="16" s="1"/>
  <c r="I1036" i="16" s="1"/>
  <c r="O1036" i="16" s="1"/>
  <c r="J45" i="14"/>
  <c r="J64" i="14" s="1"/>
  <c r="I45" i="14"/>
  <c r="H45" i="14"/>
  <c r="G45" i="14"/>
  <c r="G79" i="14" s="1"/>
  <c r="G85" i="14" s="1"/>
  <c r="F45" i="14"/>
  <c r="F79" i="14" s="1"/>
  <c r="F85" i="14" s="1"/>
  <c r="E45" i="14"/>
  <c r="D45" i="14"/>
  <c r="C45" i="14"/>
  <c r="O27" i="14"/>
  <c r="N27" i="14"/>
  <c r="H1452" i="16" s="1"/>
  <c r="M27" i="14"/>
  <c r="M87" i="14" s="1"/>
  <c r="L27" i="14"/>
  <c r="K27" i="14"/>
  <c r="K87" i="14" s="1"/>
  <c r="J27" i="14"/>
  <c r="I27" i="14"/>
  <c r="E27" i="14"/>
  <c r="D27" i="14"/>
  <c r="D87" i="14" s="1"/>
  <c r="C27" i="14"/>
  <c r="O17" i="14"/>
  <c r="N17" i="14"/>
  <c r="H1533" i="16" s="1"/>
  <c r="M17" i="14"/>
  <c r="G1533" i="16" s="1"/>
  <c r="L17" i="14"/>
  <c r="K17" i="14"/>
  <c r="J17" i="14"/>
  <c r="I17" i="14"/>
  <c r="D17" i="14"/>
  <c r="C17" i="14"/>
  <c r="B17" i="14"/>
  <c r="O11" i="14"/>
  <c r="O14" i="14" s="1"/>
  <c r="N11" i="14"/>
  <c r="H1532" i="16" s="1"/>
  <c r="M11" i="14"/>
  <c r="M14" i="14" s="1"/>
  <c r="L11" i="14"/>
  <c r="F127" i="14" s="1"/>
  <c r="K11" i="14"/>
  <c r="J11" i="14"/>
  <c r="I11" i="14"/>
  <c r="C127" i="14" s="1"/>
  <c r="C128" i="14" s="1"/>
  <c r="D11" i="14"/>
  <c r="C11" i="14"/>
  <c r="C14" i="14" s="1"/>
  <c r="B11" i="14"/>
  <c r="I8" i="14"/>
  <c r="F202" i="16" s="1"/>
  <c r="H8" i="14"/>
  <c r="N198" i="16" s="1"/>
  <c r="G8" i="14"/>
  <c r="D202" i="16" s="1"/>
  <c r="F8" i="14"/>
  <c r="C202" i="16" s="1"/>
  <c r="E8" i="14"/>
  <c r="D8" i="14"/>
  <c r="C8" i="14"/>
  <c r="J7" i="14"/>
  <c r="K7" i="14" s="1"/>
  <c r="AU6" i="14"/>
  <c r="AT6" i="14"/>
  <c r="AS6" i="14"/>
  <c r="AR6" i="14"/>
  <c r="AU5" i="14"/>
  <c r="AT5" i="14"/>
  <c r="AS5" i="14"/>
  <c r="AR5" i="14"/>
  <c r="O3" i="14"/>
  <c r="D2326" i="16" s="1"/>
  <c r="N3" i="14"/>
  <c r="C2326" i="16" s="1"/>
  <c r="M3" i="14"/>
  <c r="G1531" i="16" s="1"/>
  <c r="L3" i="14"/>
  <c r="F124" i="14" s="1"/>
  <c r="F125" i="14" s="1"/>
  <c r="K3" i="14"/>
  <c r="E124" i="14" s="1"/>
  <c r="J3" i="14"/>
  <c r="I3" i="14"/>
  <c r="C124" i="14" s="1"/>
  <c r="D3" i="14"/>
  <c r="C3" i="14"/>
  <c r="B3" i="14"/>
  <c r="D2" i="14"/>
  <c r="R43" i="26"/>
  <c r="Q43" i="26"/>
  <c r="B28" i="26"/>
  <c r="Q27" i="26"/>
  <c r="B27" i="26"/>
  <c r="B26" i="26"/>
  <c r="B25" i="26"/>
  <c r="P17" i="26"/>
  <c r="P23" i="26" s="1"/>
  <c r="P16" i="26"/>
  <c r="P22" i="26" s="1"/>
  <c r="P15" i="26"/>
  <c r="P21" i="26" s="1"/>
  <c r="P14" i="26"/>
  <c r="P20" i="26" s="1"/>
  <c r="P13" i="26"/>
  <c r="P19" i="26" s="1"/>
  <c r="B10" i="26"/>
  <c r="B9" i="26"/>
  <c r="C8" i="26"/>
  <c r="F4" i="26"/>
  <c r="T3" i="26"/>
  <c r="S3" i="26"/>
  <c r="R3" i="26"/>
  <c r="Q3" i="26"/>
  <c r="P3" i="26"/>
  <c r="C107" i="9"/>
  <c r="E107" i="9" s="1"/>
  <c r="F107" i="9" s="1"/>
  <c r="I105" i="9"/>
  <c r="I98" i="9"/>
  <c r="H98" i="9"/>
  <c r="G98" i="9"/>
  <c r="F98" i="9"/>
  <c r="E98" i="9"/>
  <c r="D98" i="9"/>
  <c r="C98" i="9"/>
  <c r="I95" i="9"/>
  <c r="H95" i="9"/>
  <c r="G95" i="9"/>
  <c r="F95" i="9"/>
  <c r="E95" i="9"/>
  <c r="D95" i="9"/>
  <c r="C95" i="9"/>
  <c r="B95" i="9"/>
  <c r="I94" i="9"/>
  <c r="H94" i="9"/>
  <c r="C94" i="9"/>
  <c r="B94" i="9"/>
  <c r="I93" i="9"/>
  <c r="H93" i="9"/>
  <c r="C93" i="9"/>
  <c r="B93" i="9"/>
  <c r="I92" i="9"/>
  <c r="F92" i="9"/>
  <c r="E92" i="9"/>
  <c r="D92" i="9"/>
  <c r="C92" i="9"/>
  <c r="D87" i="9"/>
  <c r="B81" i="9"/>
  <c r="J71" i="9"/>
  <c r="E71" i="9"/>
  <c r="G71" i="9" s="1"/>
  <c r="J70" i="9"/>
  <c r="E70" i="9"/>
  <c r="G70" i="9" s="1"/>
  <c r="J69" i="9"/>
  <c r="E69" i="9"/>
  <c r="G69" i="9" s="1"/>
  <c r="J68" i="9"/>
  <c r="E68" i="9"/>
  <c r="G68" i="9" s="1"/>
  <c r="J67" i="9"/>
  <c r="E67" i="9"/>
  <c r="G67" i="9" s="1"/>
  <c r="B52" i="9"/>
  <c r="D49" i="9"/>
  <c r="G43" i="9"/>
  <c r="G2934" i="16" s="1"/>
  <c r="AM42" i="9"/>
  <c r="AJ28" i="9"/>
  <c r="AK28" i="9" s="1"/>
  <c r="B23" i="9"/>
  <c r="D14" i="9"/>
  <c r="D2913" i="16" s="1"/>
  <c r="Z61" i="7"/>
  <c r="K9" i="26" s="1"/>
  <c r="Y61" i="7"/>
  <c r="J9" i="26" s="1"/>
  <c r="X61" i="7"/>
  <c r="I9" i="26" s="1"/>
  <c r="W61" i="7"/>
  <c r="H9" i="26" s="1"/>
  <c r="V61" i="7"/>
  <c r="G9" i="26" s="1"/>
  <c r="U61" i="7"/>
  <c r="F9" i="26" s="1"/>
  <c r="T61" i="7"/>
  <c r="E9" i="26" s="1"/>
  <c r="S61" i="7"/>
  <c r="D9" i="26" s="1"/>
  <c r="R61" i="7"/>
  <c r="C9" i="26" s="1"/>
  <c r="E42" i="7"/>
  <c r="E50" i="7" s="1"/>
  <c r="F38" i="7"/>
  <c r="F37" i="7"/>
  <c r="G37" i="7" s="1"/>
  <c r="H37" i="7" s="1"/>
  <c r="I37" i="7" s="1"/>
  <c r="J37" i="7" s="1"/>
  <c r="K37" i="7" s="1"/>
  <c r="L37" i="7" s="1"/>
  <c r="M37" i="7" s="1"/>
  <c r="N37" i="7" s="1"/>
  <c r="O37" i="7" s="1"/>
  <c r="P37" i="7" s="1"/>
  <c r="Q37" i="7" s="1"/>
  <c r="R37" i="7" s="1"/>
  <c r="S37" i="7" s="1"/>
  <c r="T37" i="7" s="1"/>
  <c r="U37" i="7" s="1"/>
  <c r="V37" i="7" s="1"/>
  <c r="W37" i="7" s="1"/>
  <c r="X37" i="7" s="1"/>
  <c r="Y37" i="7" s="1"/>
  <c r="Z37" i="7" s="1"/>
  <c r="AA37" i="7" s="1"/>
  <c r="R19" i="7"/>
  <c r="U582" i="1" s="1"/>
  <c r="Q19" i="7"/>
  <c r="T582" i="1" s="1"/>
  <c r="P19" i="7"/>
  <c r="S582" i="1" s="1"/>
  <c r="O19" i="7"/>
  <c r="R582" i="1" s="1"/>
  <c r="N19" i="7"/>
  <c r="Q582" i="1" s="1"/>
  <c r="M19" i="7"/>
  <c r="P582" i="1" s="1"/>
  <c r="L19" i="7"/>
  <c r="O582" i="1" s="1"/>
  <c r="K19" i="7"/>
  <c r="N582" i="1" s="1"/>
  <c r="J19" i="7"/>
  <c r="M582" i="1" s="1"/>
  <c r="I19" i="7"/>
  <c r="L582" i="1" s="1"/>
  <c r="H19" i="7"/>
  <c r="K582" i="1" s="1"/>
  <c r="G19" i="7"/>
  <c r="J582" i="1" s="1"/>
  <c r="F19" i="7"/>
  <c r="I582" i="1" s="1"/>
  <c r="E19" i="7"/>
  <c r="H582" i="1" s="1"/>
  <c r="G14" i="7"/>
  <c r="H14" i="7" s="1"/>
  <c r="I14" i="7" s="1"/>
  <c r="J14" i="7" s="1"/>
  <c r="K14" i="7" s="1"/>
  <c r="L14" i="7" s="1"/>
  <c r="M14" i="7" s="1"/>
  <c r="N14" i="7" s="1"/>
  <c r="O14" i="7" s="1"/>
  <c r="P14" i="7" s="1"/>
  <c r="Q14" i="7" s="1"/>
  <c r="R14" i="7" s="1"/>
  <c r="S14" i="7" s="1"/>
  <c r="T14" i="7" s="1"/>
  <c r="U14" i="7" s="1"/>
  <c r="V14" i="7" s="1"/>
  <c r="W14" i="7" s="1"/>
  <c r="X14" i="7" s="1"/>
  <c r="Y14" i="7" s="1"/>
  <c r="Z14" i="7" s="1"/>
  <c r="AA14" i="7" s="1"/>
  <c r="AB14" i="7" s="1"/>
  <c r="AC14" i="7" s="1"/>
  <c r="AD14" i="7" s="1"/>
  <c r="AE14" i="7" s="1"/>
  <c r="E14" i="7"/>
  <c r="G12" i="7"/>
  <c r="H12" i="7" s="1"/>
  <c r="E12" i="7"/>
  <c r="F6" i="7"/>
  <c r="G6" i="7" s="1"/>
  <c r="H6" i="7" s="1"/>
  <c r="I6" i="7" s="1"/>
  <c r="J6" i="7" s="1"/>
  <c r="K6" i="7" s="1"/>
  <c r="L6" i="7" s="1"/>
  <c r="M6" i="7" s="1"/>
  <c r="N6" i="7" s="1"/>
  <c r="O6" i="7" s="1"/>
  <c r="P6" i="7" s="1"/>
  <c r="Q6" i="7" s="1"/>
  <c r="R6" i="7" s="1"/>
  <c r="S6" i="7" s="1"/>
  <c r="T6" i="7" s="1"/>
  <c r="U6" i="7" s="1"/>
  <c r="V6" i="7" s="1"/>
  <c r="W6" i="7" s="1"/>
  <c r="X6" i="7" s="1"/>
  <c r="Y6" i="7" s="1"/>
  <c r="Z6" i="7" s="1"/>
  <c r="AA6" i="7" s="1"/>
  <c r="AB6" i="7" s="1"/>
  <c r="AC6" i="7" s="1"/>
  <c r="AD6" i="7" s="1"/>
  <c r="AE6" i="7" s="1"/>
  <c r="L2848" i="16"/>
  <c r="K2848" i="16"/>
  <c r="J2848" i="16"/>
  <c r="E2848" i="16"/>
  <c r="D2848" i="16"/>
  <c r="C2848" i="16"/>
  <c r="D2846" i="16"/>
  <c r="E2846" i="16" s="1"/>
  <c r="F2846" i="16" s="1"/>
  <c r="G2846" i="16" s="1"/>
  <c r="H2846" i="16" s="1"/>
  <c r="I2846" i="16" s="1"/>
  <c r="J2846" i="16" s="1"/>
  <c r="K2846" i="16" s="1"/>
  <c r="L2846" i="16" s="1"/>
  <c r="M2846" i="16" s="1"/>
  <c r="N2846" i="16" s="1"/>
  <c r="O2846" i="16" s="1"/>
  <c r="P2846" i="16" s="1"/>
  <c r="Q2846" i="16" s="1"/>
  <c r="M2745" i="16"/>
  <c r="L2745" i="16"/>
  <c r="K2745" i="16"/>
  <c r="J2745" i="16"/>
  <c r="I2745" i="16"/>
  <c r="M2744" i="16"/>
  <c r="L2744" i="16"/>
  <c r="K2744" i="16"/>
  <c r="J2744" i="16"/>
  <c r="I2744" i="16"/>
  <c r="M2741" i="16"/>
  <c r="M2747" i="16" s="1"/>
  <c r="L2741" i="16"/>
  <c r="L2747" i="16" s="1"/>
  <c r="K2741" i="16"/>
  <c r="K2747" i="16" s="1"/>
  <c r="J2741" i="16"/>
  <c r="J2747" i="16" s="1"/>
  <c r="I2741" i="16"/>
  <c r="I2747" i="16" s="1"/>
  <c r="M2734" i="16"/>
  <c r="M2746" i="16" s="1"/>
  <c r="L2734" i="16"/>
  <c r="L2746" i="16" s="1"/>
  <c r="K2734" i="16"/>
  <c r="K2746" i="16" s="1"/>
  <c r="J2734" i="16"/>
  <c r="J2746" i="16" s="1"/>
  <c r="I2734" i="16"/>
  <c r="I2746" i="16" s="1"/>
  <c r="M2728" i="16"/>
  <c r="L2728" i="16"/>
  <c r="K2728" i="16"/>
  <c r="J2728" i="16"/>
  <c r="I2728" i="16"/>
  <c r="G2724" i="16"/>
  <c r="F2724" i="16"/>
  <c r="E2724" i="16"/>
  <c r="D2724" i="16"/>
  <c r="C2724" i="16"/>
  <c r="N2635" i="16"/>
  <c r="M2635" i="16"/>
  <c r="L2635" i="16"/>
  <c r="K2635" i="16"/>
  <c r="I2635" i="16"/>
  <c r="H2635" i="16"/>
  <c r="G2635" i="16"/>
  <c r="F2635" i="16"/>
  <c r="E2635" i="16"/>
  <c r="D2635" i="16"/>
  <c r="C2635" i="16"/>
  <c r="N2633" i="16"/>
  <c r="M2633" i="16"/>
  <c r="L2633" i="16"/>
  <c r="K2633" i="16"/>
  <c r="I2633" i="16"/>
  <c r="H2633" i="16"/>
  <c r="G2633" i="16"/>
  <c r="F2633" i="16"/>
  <c r="E2633" i="16"/>
  <c r="D2633" i="16"/>
  <c r="C2633" i="16"/>
  <c r="N2614" i="16"/>
  <c r="N2612" i="16"/>
  <c r="M2612" i="16"/>
  <c r="L2612" i="16"/>
  <c r="J2612" i="16"/>
  <c r="I2612" i="16"/>
  <c r="H2612" i="16"/>
  <c r="F2612" i="16"/>
  <c r="E2612" i="16"/>
  <c r="D2612" i="16"/>
  <c r="K2611" i="16"/>
  <c r="G2611" i="16"/>
  <c r="C2611" i="16"/>
  <c r="N2610" i="16"/>
  <c r="M2610" i="16"/>
  <c r="M2609" i="16"/>
  <c r="K2607" i="16"/>
  <c r="G2607" i="16"/>
  <c r="C2607" i="16"/>
  <c r="B2600" i="16"/>
  <c r="D2599" i="16"/>
  <c r="B2599" i="16"/>
  <c r="B2597" i="16"/>
  <c r="B2595" i="16"/>
  <c r="B2594" i="16"/>
  <c r="L2592" i="16"/>
  <c r="K2592" i="16"/>
  <c r="J2592" i="16"/>
  <c r="I2592" i="16"/>
  <c r="H2592" i="16"/>
  <c r="B2592" i="16"/>
  <c r="B2591" i="16"/>
  <c r="B2589" i="16"/>
  <c r="E2588" i="16"/>
  <c r="D2588" i="16"/>
  <c r="C2588" i="16"/>
  <c r="B2588" i="16"/>
  <c r="C2586" i="16"/>
  <c r="B2586" i="16"/>
  <c r="B2585" i="16"/>
  <c r="C2583" i="16"/>
  <c r="B2583" i="16"/>
  <c r="B2582" i="16"/>
  <c r="B2581" i="16"/>
  <c r="D2579" i="16"/>
  <c r="C2579" i="16"/>
  <c r="B2579" i="16"/>
  <c r="B2573" i="16"/>
  <c r="B2572" i="16"/>
  <c r="B2571" i="16"/>
  <c r="B2570" i="16"/>
  <c r="B2569" i="16"/>
  <c r="B2568" i="16"/>
  <c r="B2566" i="16"/>
  <c r="B2565" i="16"/>
  <c r="B2548" i="16" s="1"/>
  <c r="B2559" i="16" s="1"/>
  <c r="B2564" i="16"/>
  <c r="B2547" i="16" s="1"/>
  <c r="B2558" i="16" s="1"/>
  <c r="B2563" i="16"/>
  <c r="B2546" i="16" s="1"/>
  <c r="B2557" i="16" s="1"/>
  <c r="B2562" i="16"/>
  <c r="B2545" i="16" s="1"/>
  <c r="B2556" i="16" s="1"/>
  <c r="B2561" i="16"/>
  <c r="C2558" i="16"/>
  <c r="L2552" i="16"/>
  <c r="K2552" i="16"/>
  <c r="J2552" i="16"/>
  <c r="I2552" i="16"/>
  <c r="H2552" i="16"/>
  <c r="G2552" i="16"/>
  <c r="F2552" i="16"/>
  <c r="E2552" i="16"/>
  <c r="D2552" i="16"/>
  <c r="C2552" i="16"/>
  <c r="C2548" i="16"/>
  <c r="C2547" i="16"/>
  <c r="D2527" i="16"/>
  <c r="E2527" i="16" s="1"/>
  <c r="F2527" i="16" s="1"/>
  <c r="G2527" i="16" s="1"/>
  <c r="M2497" i="16"/>
  <c r="M2496" i="16"/>
  <c r="M2495" i="16"/>
  <c r="M2494" i="16"/>
  <c r="E2493" i="16"/>
  <c r="F2493" i="16" s="1"/>
  <c r="G2493" i="16" s="1"/>
  <c r="H2493" i="16" s="1"/>
  <c r="I2493" i="16" s="1"/>
  <c r="J2493" i="16" s="1"/>
  <c r="K2493" i="16" s="1"/>
  <c r="L2493" i="16" s="1"/>
  <c r="M2493" i="16" s="1"/>
  <c r="E2488" i="16"/>
  <c r="F2488" i="16" s="1"/>
  <c r="G2488" i="16" s="1"/>
  <c r="H2488" i="16" s="1"/>
  <c r="I2488" i="16" s="1"/>
  <c r="J2488" i="16" s="1"/>
  <c r="K2488" i="16" s="1"/>
  <c r="L2488" i="16" s="1"/>
  <c r="M2488" i="16" s="1"/>
  <c r="B2472" i="16"/>
  <c r="B2481" i="16" s="1"/>
  <c r="C2471" i="16"/>
  <c r="B2471" i="16"/>
  <c r="B2480" i="16" s="1"/>
  <c r="B2470" i="16"/>
  <c r="B2479" i="16" s="1"/>
  <c r="B2469" i="16"/>
  <c r="C2465" i="16"/>
  <c r="B2450" i="16"/>
  <c r="C2443" i="16"/>
  <c r="C2437" i="16"/>
  <c r="D2437" i="16" s="1"/>
  <c r="E2437" i="16" s="1"/>
  <c r="F2437" i="16" s="1"/>
  <c r="D2431" i="16"/>
  <c r="E2431" i="16" s="1"/>
  <c r="F2431" i="16" s="1"/>
  <c r="F2425" i="16"/>
  <c r="E2425" i="16"/>
  <c r="D2425" i="16"/>
  <c r="C2425" i="16"/>
  <c r="D2424" i="16"/>
  <c r="E2424" i="16" s="1"/>
  <c r="F2424" i="16" s="1"/>
  <c r="O2369" i="16"/>
  <c r="K2365" i="16"/>
  <c r="C2364" i="16"/>
  <c r="C2362" i="16"/>
  <c r="D2353" i="16"/>
  <c r="D2351" i="16"/>
  <c r="I2342" i="16"/>
  <c r="H2342" i="16"/>
  <c r="D2342" i="16"/>
  <c r="B2310" i="16"/>
  <c r="B2308" i="16"/>
  <c r="B2305" i="16"/>
  <c r="B2304" i="16"/>
  <c r="B2300" i="16"/>
  <c r="B2297" i="16"/>
  <c r="B2292" i="16"/>
  <c r="G2282" i="16"/>
  <c r="C2304" i="16" s="1"/>
  <c r="G2281" i="16"/>
  <c r="C2292" i="16" s="1"/>
  <c r="G2280" i="16"/>
  <c r="C2310" i="16" s="1"/>
  <c r="G2279" i="16"/>
  <c r="G2278" i="16"/>
  <c r="G2277" i="16"/>
  <c r="C2305" i="16" s="1"/>
  <c r="G2276" i="16"/>
  <c r="C2300" i="16" s="1"/>
  <c r="G2275" i="16"/>
  <c r="G2274" i="16"/>
  <c r="G2273" i="16"/>
  <c r="G2272" i="16"/>
  <c r="G2271" i="16"/>
  <c r="G2270" i="16"/>
  <c r="C2297" i="16" s="1"/>
  <c r="G2269" i="16"/>
  <c r="C2308" i="16" s="1"/>
  <c r="G2268" i="16"/>
  <c r="C2307" i="16" s="1"/>
  <c r="G2267" i="16"/>
  <c r="G2266" i="16"/>
  <c r="C2288" i="16" s="1"/>
  <c r="G2265" i="16"/>
  <c r="G2264" i="16"/>
  <c r="G2263" i="16"/>
  <c r="G2262" i="16"/>
  <c r="G2261" i="16"/>
  <c r="G2260" i="16"/>
  <c r="G2259" i="16"/>
  <c r="G2258" i="16"/>
  <c r="G2257" i="16"/>
  <c r="G2256" i="16"/>
  <c r="G2255" i="16"/>
  <c r="G2254" i="16"/>
  <c r="G2253" i="16"/>
  <c r="G2252" i="16"/>
  <c r="G2251" i="16"/>
  <c r="D2250" i="16"/>
  <c r="L2243" i="16"/>
  <c r="C2243" i="16"/>
  <c r="C2237" i="16"/>
  <c r="D2237" i="16" s="1"/>
  <c r="M2236" i="16"/>
  <c r="C2235" i="16"/>
  <c r="D2234" i="16"/>
  <c r="D2243" i="16" s="1"/>
  <c r="D2227" i="16"/>
  <c r="E2227" i="16" s="1"/>
  <c r="F2227" i="16" s="1"/>
  <c r="G2227" i="16" s="1"/>
  <c r="H2227" i="16" s="1"/>
  <c r="D2218" i="16"/>
  <c r="E2218" i="16" s="1"/>
  <c r="F2218" i="16" s="1"/>
  <c r="G2218" i="16" s="1"/>
  <c r="H2218" i="16" s="1"/>
  <c r="D2209" i="16"/>
  <c r="E2209" i="16" s="1"/>
  <c r="F2209" i="16" s="1"/>
  <c r="G2209" i="16" s="1"/>
  <c r="H2209" i="16" s="1"/>
  <c r="D2198" i="16"/>
  <c r="C2198" i="16" s="1"/>
  <c r="C2197" i="16"/>
  <c r="C2201" i="16" s="1"/>
  <c r="C2204" i="16" s="1"/>
  <c r="C2196" i="16"/>
  <c r="C2195" i="16"/>
  <c r="D2193" i="16"/>
  <c r="D2192" i="16"/>
  <c r="D2191" i="16"/>
  <c r="C2190" i="16"/>
  <c r="D2190" i="16" s="1"/>
  <c r="F2181" i="16"/>
  <c r="Q261" i="1" s="1"/>
  <c r="E2181" i="16"/>
  <c r="P261" i="1" s="1"/>
  <c r="D2181" i="16"/>
  <c r="O261" i="1" s="1"/>
  <c r="C2181" i="16"/>
  <c r="N261" i="1" s="1"/>
  <c r="E2177" i="16"/>
  <c r="F2177" i="16" s="1"/>
  <c r="E2136" i="16"/>
  <c r="E2134" i="16"/>
  <c r="E2133" i="16"/>
  <c r="E2132" i="16"/>
  <c r="E2131" i="16"/>
  <c r="D2116" i="16"/>
  <c r="B2114" i="16"/>
  <c r="B2113" i="16"/>
  <c r="B2111" i="16"/>
  <c r="D2087" i="16"/>
  <c r="E2087" i="16" s="1"/>
  <c r="U2081" i="16"/>
  <c r="T2081" i="16"/>
  <c r="S2081" i="16"/>
  <c r="R2081" i="16"/>
  <c r="Q2081" i="16"/>
  <c r="P2081" i="16"/>
  <c r="O2081" i="16"/>
  <c r="N2081" i="16"/>
  <c r="U2075" i="16"/>
  <c r="T2075" i="16"/>
  <c r="S2075" i="16"/>
  <c r="R2075" i="16"/>
  <c r="Q2075" i="16"/>
  <c r="P2075" i="16"/>
  <c r="O2075" i="16"/>
  <c r="N2075" i="16"/>
  <c r="J2071" i="16"/>
  <c r="I2071" i="16"/>
  <c r="H2071" i="16"/>
  <c r="G2071" i="16"/>
  <c r="F2071" i="16"/>
  <c r="E2071" i="16"/>
  <c r="D2071" i="16"/>
  <c r="C2071" i="16"/>
  <c r="D2068" i="16"/>
  <c r="E2068" i="16" s="1"/>
  <c r="F2068" i="16" s="1"/>
  <c r="G2068" i="16" s="1"/>
  <c r="H2068" i="16" s="1"/>
  <c r="I2068" i="16" s="1"/>
  <c r="J2068" i="16" s="1"/>
  <c r="D2040" i="16"/>
  <c r="C2040" i="16"/>
  <c r="C2037" i="16"/>
  <c r="F2025" i="16"/>
  <c r="G2025" i="16" s="1"/>
  <c r="H2025" i="16" s="1"/>
  <c r="I2025" i="16" s="1"/>
  <c r="J2025" i="16" s="1"/>
  <c r="K2025" i="16" s="1"/>
  <c r="L2025" i="16" s="1"/>
  <c r="M2025" i="16" s="1"/>
  <c r="N2025" i="16" s="1"/>
  <c r="O2025" i="16" s="1"/>
  <c r="P2025" i="16" s="1"/>
  <c r="Q2025" i="16" s="1"/>
  <c r="R2025" i="16" s="1"/>
  <c r="S2025" i="16" s="1"/>
  <c r="T2025" i="16" s="1"/>
  <c r="D2025" i="16"/>
  <c r="C2025" i="16" s="1"/>
  <c r="C2018" i="16"/>
  <c r="D2009" i="16"/>
  <c r="D2008" i="16"/>
  <c r="D2007" i="16"/>
  <c r="D2006" i="16"/>
  <c r="D2005" i="16"/>
  <c r="D2004" i="16"/>
  <c r="D2013" i="16" s="1"/>
  <c r="D2014" i="16" s="1"/>
  <c r="D2003" i="16"/>
  <c r="F1991" i="16"/>
  <c r="E1991" i="16"/>
  <c r="D1991" i="16"/>
  <c r="C1991" i="16"/>
  <c r="B1989" i="16"/>
  <c r="B1988" i="16"/>
  <c r="B1987" i="16"/>
  <c r="B1986" i="16"/>
  <c r="F1970" i="16"/>
  <c r="F1971" i="16" s="1"/>
  <c r="E1970" i="16"/>
  <c r="E1971" i="16" s="1"/>
  <c r="D1970" i="16"/>
  <c r="D1971" i="16" s="1"/>
  <c r="C1970" i="16"/>
  <c r="C1971" i="16" s="1"/>
  <c r="C1958" i="16"/>
  <c r="B1958" i="16"/>
  <c r="E1957" i="16"/>
  <c r="E1956" i="16" s="1"/>
  <c r="G1956" i="16" s="1"/>
  <c r="D1957" i="16"/>
  <c r="B1957" i="16"/>
  <c r="B1956" i="16"/>
  <c r="B1955" i="16"/>
  <c r="B1954" i="16"/>
  <c r="I1950" i="16"/>
  <c r="E1949" i="16"/>
  <c r="D1949" i="16"/>
  <c r="E1948" i="16"/>
  <c r="D1948" i="16"/>
  <c r="E1947" i="16"/>
  <c r="D1947" i="16"/>
  <c r="E1946" i="16"/>
  <c r="D1946" i="16"/>
  <c r="C1940" i="16"/>
  <c r="H1906" i="16"/>
  <c r="G1906" i="16"/>
  <c r="F1906" i="16"/>
  <c r="E1906" i="16"/>
  <c r="D1906" i="16"/>
  <c r="C1906" i="16"/>
  <c r="F1905" i="16"/>
  <c r="E1905" i="16"/>
  <c r="D1905" i="16"/>
  <c r="B1903" i="16"/>
  <c r="B1902" i="16"/>
  <c r="F1893" i="16"/>
  <c r="F1892" i="16"/>
  <c r="F1891" i="16"/>
  <c r="F1890" i="16"/>
  <c r="F1889" i="16"/>
  <c r="F1888" i="16"/>
  <c r="F1886" i="16"/>
  <c r="F1885" i="16"/>
  <c r="F1884" i="16"/>
  <c r="F1883" i="16"/>
  <c r="F1881" i="16"/>
  <c r="F1880" i="16"/>
  <c r="F1878" i="16"/>
  <c r="F1877" i="16"/>
  <c r="F1876" i="16"/>
  <c r="F1875" i="16"/>
  <c r="F1874" i="16"/>
  <c r="H1872" i="16"/>
  <c r="E1872" i="16"/>
  <c r="D1872" i="16"/>
  <c r="C1872" i="16"/>
  <c r="H1871" i="16"/>
  <c r="E1871" i="16"/>
  <c r="D1871" i="16"/>
  <c r="H1870" i="16"/>
  <c r="D1870" i="16"/>
  <c r="F1870" i="16" s="1"/>
  <c r="C1870" i="16"/>
  <c r="O1864" i="16"/>
  <c r="F1864" i="16"/>
  <c r="O1863" i="16"/>
  <c r="F1863" i="16"/>
  <c r="O1862" i="16"/>
  <c r="F1862" i="16"/>
  <c r="O1861" i="16"/>
  <c r="F1861" i="16"/>
  <c r="O1860" i="16"/>
  <c r="F1860" i="16"/>
  <c r="O1859" i="16"/>
  <c r="F1859" i="16"/>
  <c r="O1857" i="16"/>
  <c r="F1857" i="16"/>
  <c r="O1856" i="16"/>
  <c r="F1856" i="16"/>
  <c r="O1855" i="16"/>
  <c r="F1855" i="16"/>
  <c r="F1854" i="16"/>
  <c r="F1852" i="16"/>
  <c r="F1851" i="16"/>
  <c r="F1850" i="16"/>
  <c r="O1849" i="16"/>
  <c r="F1849" i="16"/>
  <c r="O1848" i="16"/>
  <c r="F1848" i="16"/>
  <c r="O1846" i="16"/>
  <c r="F1846" i="16"/>
  <c r="O1845" i="16"/>
  <c r="F1845" i="16"/>
  <c r="F1844" i="16"/>
  <c r="O1843" i="16"/>
  <c r="F1843" i="16"/>
  <c r="O1842" i="16"/>
  <c r="F1842" i="16"/>
  <c r="F1839" i="16"/>
  <c r="O1838" i="16"/>
  <c r="F1838" i="16"/>
  <c r="F1837" i="16"/>
  <c r="O1836" i="16"/>
  <c r="F1836" i="16"/>
  <c r="B1827" i="16"/>
  <c r="I1826" i="16"/>
  <c r="J1826" i="16" s="1"/>
  <c r="K1826" i="16" s="1"/>
  <c r="D1826" i="16"/>
  <c r="E1826" i="16" s="1"/>
  <c r="F1826" i="16" s="1"/>
  <c r="I1819" i="16"/>
  <c r="J1819" i="16" s="1"/>
  <c r="K1819" i="16" s="1"/>
  <c r="D1819" i="16"/>
  <c r="E1819" i="16" s="1"/>
  <c r="F1819" i="16" s="1"/>
  <c r="B1816" i="16"/>
  <c r="B1815" i="16"/>
  <c r="F1814" i="16"/>
  <c r="E1814" i="16"/>
  <c r="D1814" i="16"/>
  <c r="C1814" i="16"/>
  <c r="B1814" i="16"/>
  <c r="F1813" i="16"/>
  <c r="E1813" i="16"/>
  <c r="D1813" i="16"/>
  <c r="C1813" i="16"/>
  <c r="B1813" i="16"/>
  <c r="F1812" i="16"/>
  <c r="E1812" i="16"/>
  <c r="D1812" i="16"/>
  <c r="C1812" i="16"/>
  <c r="B1812" i="16"/>
  <c r="B1822" i="16" s="1"/>
  <c r="B1829" i="16" s="1"/>
  <c r="F1811" i="16"/>
  <c r="E1811" i="16"/>
  <c r="D1811" i="16"/>
  <c r="C1811" i="16"/>
  <c r="B1811" i="16"/>
  <c r="B1821" i="16" s="1"/>
  <c r="B1828" i="16" s="1"/>
  <c r="F1810" i="16"/>
  <c r="E1810" i="16"/>
  <c r="D1810" i="16"/>
  <c r="C1810" i="16"/>
  <c r="I1809" i="16"/>
  <c r="J1809" i="16" s="1"/>
  <c r="K1809" i="16" s="1"/>
  <c r="D1809" i="16"/>
  <c r="E1809" i="16" s="1"/>
  <c r="F1809" i="16" s="1"/>
  <c r="F1805" i="16"/>
  <c r="E1805" i="16"/>
  <c r="D1805" i="16"/>
  <c r="C1805" i="16"/>
  <c r="F1803" i="16"/>
  <c r="E1803" i="16"/>
  <c r="D1803" i="16"/>
  <c r="C1803" i="16"/>
  <c r="F1802" i="16"/>
  <c r="E1802" i="16"/>
  <c r="D1802" i="16"/>
  <c r="C1802" i="16"/>
  <c r="F1801" i="16"/>
  <c r="E1801" i="16"/>
  <c r="D1801" i="16"/>
  <c r="C1801" i="16"/>
  <c r="F1798" i="16"/>
  <c r="E1798" i="16"/>
  <c r="D1798" i="16"/>
  <c r="C1798" i="16"/>
  <c r="F1797" i="16"/>
  <c r="E1797" i="16"/>
  <c r="D1797" i="16"/>
  <c r="C1797" i="16"/>
  <c r="I1796" i="16"/>
  <c r="J1796" i="16" s="1"/>
  <c r="K1796" i="16" s="1"/>
  <c r="D1796" i="16"/>
  <c r="E1796" i="16" s="1"/>
  <c r="F1796" i="16" s="1"/>
  <c r="B1792" i="16"/>
  <c r="B1791" i="16"/>
  <c r="E1784" i="16"/>
  <c r="D1784" i="16"/>
  <c r="C1784" i="16"/>
  <c r="B1778" i="16"/>
  <c r="B1790" i="16" s="1"/>
  <c r="B1777" i="16"/>
  <c r="B1789" i="16" s="1"/>
  <c r="B1776" i="16"/>
  <c r="B1788" i="16" s="1"/>
  <c r="D1775" i="16"/>
  <c r="C1775" i="16"/>
  <c r="B1775" i="16"/>
  <c r="B1787" i="16" s="1"/>
  <c r="I1771" i="16"/>
  <c r="D1765" i="16"/>
  <c r="J1771" i="16" s="1"/>
  <c r="N1725" i="16"/>
  <c r="N1726" i="16" s="1"/>
  <c r="M1725" i="16"/>
  <c r="M1726" i="16" s="1"/>
  <c r="L1725" i="16"/>
  <c r="L1726" i="16" s="1"/>
  <c r="K1725" i="16"/>
  <c r="K1726" i="16" s="1"/>
  <c r="J1725" i="16"/>
  <c r="I1725" i="16"/>
  <c r="H1725" i="16"/>
  <c r="G1725" i="16"/>
  <c r="F1725" i="16"/>
  <c r="F1726" i="16" s="1"/>
  <c r="E1725" i="16"/>
  <c r="E1726" i="16" s="1"/>
  <c r="D1725" i="16"/>
  <c r="D1726" i="16" s="1"/>
  <c r="C1725" i="16"/>
  <c r="C1726" i="16" s="1"/>
  <c r="B1713" i="16"/>
  <c r="B1712" i="16"/>
  <c r="B1710" i="16"/>
  <c r="B1709" i="16"/>
  <c r="K1693" i="16"/>
  <c r="E1692" i="16"/>
  <c r="F1692" i="16" s="1"/>
  <c r="G1692" i="16" s="1"/>
  <c r="H1692" i="16" s="1"/>
  <c r="I1692" i="16" s="1"/>
  <c r="J1692" i="16" s="1"/>
  <c r="K1692" i="16" s="1"/>
  <c r="L1692" i="16" s="1"/>
  <c r="E1663" i="16"/>
  <c r="E1662" i="16"/>
  <c r="E1661" i="16"/>
  <c r="E1660" i="16"/>
  <c r="E1659" i="16"/>
  <c r="E1658" i="16"/>
  <c r="E1657" i="16"/>
  <c r="K1653" i="16"/>
  <c r="J1653" i="16"/>
  <c r="F1653" i="16"/>
  <c r="E1653" i="16"/>
  <c r="B1653" i="16"/>
  <c r="K1652" i="16"/>
  <c r="J1652" i="16"/>
  <c r="F1652" i="16"/>
  <c r="E1652" i="16"/>
  <c r="C1652" i="16"/>
  <c r="B1652" i="16"/>
  <c r="K1651" i="16"/>
  <c r="J1651" i="16"/>
  <c r="F1651" i="16"/>
  <c r="E1651" i="16"/>
  <c r="B1651" i="16"/>
  <c r="K1650" i="16"/>
  <c r="J1650" i="16"/>
  <c r="F1650" i="16"/>
  <c r="E1650" i="16"/>
  <c r="D1650" i="16"/>
  <c r="C1650" i="16"/>
  <c r="B1650" i="16"/>
  <c r="K1649" i="16"/>
  <c r="J1649" i="16"/>
  <c r="F1649" i="16"/>
  <c r="E1649" i="16"/>
  <c r="B1649" i="16"/>
  <c r="K1648" i="16"/>
  <c r="J1648" i="16"/>
  <c r="F1648" i="16"/>
  <c r="E1648" i="16"/>
  <c r="D1648" i="16"/>
  <c r="C1648" i="16"/>
  <c r="B1648" i="16"/>
  <c r="K1647" i="16"/>
  <c r="J1647" i="16"/>
  <c r="F1647" i="16"/>
  <c r="E1647" i="16"/>
  <c r="D1647" i="16"/>
  <c r="C1647" i="16"/>
  <c r="B1647" i="16"/>
  <c r="K1646" i="16"/>
  <c r="J1646" i="16"/>
  <c r="F1646" i="16"/>
  <c r="E1646" i="16"/>
  <c r="D1646" i="16"/>
  <c r="C1646" i="16"/>
  <c r="B1646" i="16"/>
  <c r="K1645" i="16"/>
  <c r="J1645" i="16"/>
  <c r="F1645" i="16"/>
  <c r="E1645" i="16"/>
  <c r="C1645" i="16"/>
  <c r="B1645" i="16"/>
  <c r="K1644" i="16"/>
  <c r="J1644" i="16"/>
  <c r="I1644" i="16"/>
  <c r="H1644" i="16"/>
  <c r="F1644" i="16"/>
  <c r="E1644" i="16"/>
  <c r="D1644" i="16"/>
  <c r="C1644" i="16"/>
  <c r="K1642" i="16"/>
  <c r="J1642" i="16"/>
  <c r="F1642" i="16"/>
  <c r="E1642" i="16"/>
  <c r="B1642" i="16"/>
  <c r="F1641" i="16"/>
  <c r="E1641" i="16"/>
  <c r="D1641" i="16"/>
  <c r="C1641" i="16"/>
  <c r="B1641" i="16"/>
  <c r="K1640" i="16"/>
  <c r="J1640" i="16"/>
  <c r="F1640" i="16"/>
  <c r="E1640" i="16"/>
  <c r="B1640" i="16"/>
  <c r="K1639" i="16"/>
  <c r="J1639" i="16"/>
  <c r="F1639" i="16"/>
  <c r="E1639" i="16"/>
  <c r="D1639" i="16"/>
  <c r="C1639" i="16"/>
  <c r="B1639" i="16"/>
  <c r="K1638" i="16"/>
  <c r="J1638" i="16"/>
  <c r="F1638" i="16"/>
  <c r="E1638" i="16"/>
  <c r="D1638" i="16"/>
  <c r="C1638" i="16"/>
  <c r="B1638" i="16"/>
  <c r="K1637" i="16"/>
  <c r="J1637" i="16"/>
  <c r="F1637" i="16"/>
  <c r="E1637" i="16"/>
  <c r="D1637" i="16"/>
  <c r="C1637" i="16"/>
  <c r="B1637" i="16"/>
  <c r="F1635" i="16"/>
  <c r="E1635" i="16"/>
  <c r="D1635" i="16"/>
  <c r="C1635" i="16"/>
  <c r="B1635" i="16"/>
  <c r="K1634" i="16"/>
  <c r="J1634" i="16"/>
  <c r="F1634" i="16"/>
  <c r="E1634" i="16"/>
  <c r="D1634" i="16"/>
  <c r="C1634" i="16"/>
  <c r="B1634" i="16"/>
  <c r="K1633" i="16"/>
  <c r="J1633" i="16"/>
  <c r="F1633" i="16"/>
  <c r="E1633" i="16"/>
  <c r="D1633" i="16"/>
  <c r="C1633" i="16"/>
  <c r="B1633" i="16"/>
  <c r="K1632" i="16"/>
  <c r="J1632" i="16"/>
  <c r="F1632" i="16"/>
  <c r="E1632" i="16"/>
  <c r="D1632" i="16"/>
  <c r="C1632" i="16"/>
  <c r="B1632" i="16"/>
  <c r="K1631" i="16"/>
  <c r="J1631" i="16"/>
  <c r="F1631" i="16"/>
  <c r="E1631" i="16"/>
  <c r="B1631" i="16"/>
  <c r="D1606" i="16"/>
  <c r="E1606" i="16" s="1"/>
  <c r="F1606" i="16" s="1"/>
  <c r="G1606" i="16" s="1"/>
  <c r="H1606" i="16" s="1"/>
  <c r="I1606" i="16" s="1"/>
  <c r="J1606" i="16" s="1"/>
  <c r="L1588" i="16"/>
  <c r="K1588" i="16"/>
  <c r="J1588" i="16"/>
  <c r="I1588" i="16"/>
  <c r="H1588" i="16"/>
  <c r="L1587" i="16"/>
  <c r="K1587" i="16"/>
  <c r="J1587" i="16"/>
  <c r="I1587" i="16"/>
  <c r="H1587" i="16"/>
  <c r="G1587" i="16"/>
  <c r="F1587" i="16"/>
  <c r="E1587" i="16"/>
  <c r="D1587" i="16"/>
  <c r="C1587" i="16"/>
  <c r="L1585" i="16"/>
  <c r="K1585" i="16"/>
  <c r="J1585" i="16"/>
  <c r="I1585" i="16"/>
  <c r="H1585" i="16"/>
  <c r="L1584" i="16"/>
  <c r="K1584" i="16"/>
  <c r="J1584" i="16"/>
  <c r="I1584" i="16"/>
  <c r="H1584" i="16"/>
  <c r="E1584" i="16"/>
  <c r="L1583" i="16"/>
  <c r="K1583" i="16"/>
  <c r="J1583" i="16"/>
  <c r="I1583" i="16"/>
  <c r="H1583" i="16"/>
  <c r="E1583" i="16"/>
  <c r="L1582" i="16"/>
  <c r="K1582" i="16"/>
  <c r="J1582" i="16"/>
  <c r="I1582" i="16"/>
  <c r="H1582" i="16"/>
  <c r="E1582" i="16"/>
  <c r="L1581" i="16"/>
  <c r="K1581" i="16"/>
  <c r="J1581" i="16"/>
  <c r="I1581" i="16"/>
  <c r="H1581" i="16"/>
  <c r="G1581" i="16"/>
  <c r="F1581" i="16"/>
  <c r="E1581" i="16"/>
  <c r="C1570" i="16"/>
  <c r="C1565" i="16"/>
  <c r="C1568" i="16" s="1"/>
  <c r="D1564" i="16"/>
  <c r="E1564" i="16" s="1"/>
  <c r="F1547" i="16"/>
  <c r="B1547" i="16"/>
  <c r="F1545" i="16"/>
  <c r="F1544" i="16"/>
  <c r="B1544" i="16"/>
  <c r="F1543" i="16"/>
  <c r="B1543" i="16"/>
  <c r="F1542" i="16"/>
  <c r="H1537" i="16"/>
  <c r="G1537" i="16"/>
  <c r="F1537" i="16"/>
  <c r="C1537" i="16"/>
  <c r="F1535" i="16"/>
  <c r="B1535" i="16"/>
  <c r="B1545" i="16" s="1"/>
  <c r="E1534" i="16"/>
  <c r="D1534" i="16"/>
  <c r="B1534" i="16"/>
  <c r="F1533" i="16"/>
  <c r="E1533" i="16"/>
  <c r="D1533" i="16"/>
  <c r="C1533" i="16"/>
  <c r="F1532" i="16"/>
  <c r="E1532" i="16"/>
  <c r="D1532" i="16"/>
  <c r="C1532" i="16"/>
  <c r="F1531" i="16"/>
  <c r="E1531" i="16"/>
  <c r="D1531" i="16"/>
  <c r="C1531" i="16"/>
  <c r="B1531" i="16"/>
  <c r="B1542" i="16" s="1"/>
  <c r="D1513" i="16"/>
  <c r="E1513" i="16" s="1"/>
  <c r="F1513" i="16" s="1"/>
  <c r="C1499" i="16"/>
  <c r="G1487" i="16"/>
  <c r="F1487" i="16"/>
  <c r="E1487" i="16"/>
  <c r="D1487" i="16"/>
  <c r="C1487" i="16"/>
  <c r="G1486" i="16"/>
  <c r="F1486" i="16"/>
  <c r="E1486" i="16"/>
  <c r="D1486" i="16"/>
  <c r="C1486" i="16"/>
  <c r="G1485" i="16"/>
  <c r="F1485" i="16"/>
  <c r="E1485" i="16"/>
  <c r="D1485" i="16"/>
  <c r="C1485" i="16"/>
  <c r="G1481" i="16"/>
  <c r="F1481" i="16"/>
  <c r="E1481" i="16"/>
  <c r="D1481" i="16"/>
  <c r="C1481" i="16"/>
  <c r="G1480" i="16"/>
  <c r="F1480" i="16"/>
  <c r="E1480" i="16"/>
  <c r="D1480" i="16"/>
  <c r="C1480" i="16"/>
  <c r="N1474" i="16"/>
  <c r="J1474" i="16"/>
  <c r="F1474" i="16"/>
  <c r="N1473" i="16"/>
  <c r="J1473" i="16"/>
  <c r="F1473" i="16"/>
  <c r="G1458" i="16"/>
  <c r="G1466" i="16" s="1"/>
  <c r="G1472" i="16" s="1"/>
  <c r="D1458" i="16"/>
  <c r="H1458" i="16" s="1"/>
  <c r="J1457" i="16"/>
  <c r="P1452" i="16"/>
  <c r="P1468" i="16" s="1"/>
  <c r="O1452" i="16"/>
  <c r="O1468" i="16" s="1"/>
  <c r="L1452" i="16"/>
  <c r="L1468" i="16" s="1"/>
  <c r="K1452" i="16"/>
  <c r="K1468" i="16" s="1"/>
  <c r="P1451" i="16"/>
  <c r="P1467" i="16" s="1"/>
  <c r="O1451" i="16"/>
  <c r="L1451" i="16"/>
  <c r="K1451" i="16"/>
  <c r="G1450" i="16"/>
  <c r="K1450" i="16" s="1"/>
  <c r="O1450" i="16" s="1"/>
  <c r="D1450" i="16"/>
  <c r="H1450" i="16" s="1"/>
  <c r="L1450" i="16" s="1"/>
  <c r="P1450" i="16" s="1"/>
  <c r="D1439" i="16"/>
  <c r="E1439" i="16" s="1"/>
  <c r="D1434" i="16"/>
  <c r="E1433" i="16"/>
  <c r="D1433" i="16" s="1"/>
  <c r="D1432" i="16"/>
  <c r="C1416" i="16"/>
  <c r="C1415" i="16"/>
  <c r="C1410" i="16"/>
  <c r="AB1406" i="16"/>
  <c r="AB1409" i="16" s="1"/>
  <c r="AB1411" i="16" s="1"/>
  <c r="AB1405" i="16"/>
  <c r="F1405" i="16"/>
  <c r="F1407" i="16" s="1"/>
  <c r="AB1404" i="16"/>
  <c r="AA1404" i="16"/>
  <c r="Z1404" i="16"/>
  <c r="Y1404" i="16"/>
  <c r="C1404" i="16"/>
  <c r="Q1383" i="16"/>
  <c r="P1383" i="16"/>
  <c r="O1383" i="16"/>
  <c r="N1383" i="16"/>
  <c r="M1383" i="16"/>
  <c r="L1383" i="16"/>
  <c r="K1383" i="16"/>
  <c r="J1383" i="16"/>
  <c r="I1383" i="16"/>
  <c r="H1383" i="16"/>
  <c r="G1383" i="16"/>
  <c r="F1383" i="16"/>
  <c r="E1383" i="16"/>
  <c r="D1383" i="16"/>
  <c r="C1383" i="16"/>
  <c r="D1381" i="16"/>
  <c r="C1381" i="16"/>
  <c r="E1375" i="16"/>
  <c r="F1375" i="16" s="1"/>
  <c r="B1303" i="16"/>
  <c r="B1302" i="16"/>
  <c r="C1277" i="16"/>
  <c r="B1276" i="16"/>
  <c r="B1275" i="16"/>
  <c r="E1260" i="16"/>
  <c r="E1259" i="16"/>
  <c r="E1258" i="16"/>
  <c r="E1257" i="16"/>
  <c r="E1256" i="16"/>
  <c r="E1255" i="16"/>
  <c r="E1254" i="16"/>
  <c r="D1253" i="16"/>
  <c r="D1252" i="16" s="1"/>
  <c r="C1252" i="16"/>
  <c r="E1251" i="16"/>
  <c r="E1250" i="16"/>
  <c r="C1237" i="16"/>
  <c r="E1228" i="16"/>
  <c r="E1226" i="16"/>
  <c r="C1217" i="16"/>
  <c r="E1208" i="16"/>
  <c r="E1206" i="16"/>
  <c r="C1197" i="16"/>
  <c r="B1192" i="16"/>
  <c r="B1194" i="16" s="1"/>
  <c r="B1189" i="16"/>
  <c r="E1188" i="16"/>
  <c r="E1186" i="16"/>
  <c r="B1172" i="16"/>
  <c r="B1167" i="16"/>
  <c r="B1173" i="16" s="1"/>
  <c r="B1163" i="16"/>
  <c r="B1169" i="16" s="1"/>
  <c r="B1175" i="16" s="1"/>
  <c r="B1162" i="16"/>
  <c r="B1161" i="16"/>
  <c r="B1168" i="16" s="1"/>
  <c r="B1174" i="16" s="1"/>
  <c r="D1148" i="16"/>
  <c r="E1148" i="16" s="1"/>
  <c r="B1142" i="16"/>
  <c r="B1138" i="16"/>
  <c r="B1143" i="16" s="1"/>
  <c r="B1134" i="16"/>
  <c r="E1133" i="16"/>
  <c r="I1133" i="16" s="1"/>
  <c r="D1133" i="16"/>
  <c r="C1133" i="16"/>
  <c r="G1133" i="16" s="1"/>
  <c r="B1133" i="16"/>
  <c r="B1139" i="16" s="1"/>
  <c r="B1144" i="16" s="1"/>
  <c r="E1132" i="16"/>
  <c r="I1132" i="16" s="1"/>
  <c r="D1132" i="16"/>
  <c r="H1132" i="16" s="1"/>
  <c r="C1132" i="16"/>
  <c r="G1132" i="16" s="1"/>
  <c r="E1131" i="16"/>
  <c r="D1131" i="16"/>
  <c r="H1131" i="16" s="1"/>
  <c r="C1131" i="16"/>
  <c r="G1131" i="16" s="1"/>
  <c r="E1127" i="16"/>
  <c r="I1127" i="16" s="1"/>
  <c r="D1127" i="16"/>
  <c r="H1127" i="16" s="1"/>
  <c r="C1127" i="16"/>
  <c r="G1127" i="16" s="1"/>
  <c r="E1126" i="16"/>
  <c r="I1126" i="16" s="1"/>
  <c r="D1126" i="16"/>
  <c r="H1126" i="16" s="1"/>
  <c r="C1126" i="16"/>
  <c r="G1126" i="16" s="1"/>
  <c r="E1122" i="16"/>
  <c r="I1122" i="16" s="1"/>
  <c r="D1122" i="16"/>
  <c r="H1122" i="16" s="1"/>
  <c r="C1122" i="16"/>
  <c r="G1122" i="16" s="1"/>
  <c r="G1121" i="16"/>
  <c r="D1121" i="16"/>
  <c r="H1121" i="16" s="1"/>
  <c r="D1115" i="16"/>
  <c r="A1109" i="16"/>
  <c r="A1108" i="16"/>
  <c r="F1107" i="16"/>
  <c r="A1107" i="16"/>
  <c r="F1106" i="16"/>
  <c r="A1106" i="16"/>
  <c r="F1093" i="16"/>
  <c r="C1087" i="16"/>
  <c r="D1085" i="16" s="1"/>
  <c r="D1079" i="16"/>
  <c r="D1061" i="16"/>
  <c r="D1054" i="16"/>
  <c r="D1051" i="16" s="1"/>
  <c r="C1051" i="16"/>
  <c r="D1034" i="16"/>
  <c r="E1034" i="16" s="1"/>
  <c r="O1030" i="16"/>
  <c r="N1030" i="16"/>
  <c r="M1030" i="16"/>
  <c r="G1030" i="16"/>
  <c r="O1029" i="16"/>
  <c r="N1029" i="16"/>
  <c r="M1029" i="16"/>
  <c r="O1028" i="16"/>
  <c r="N1028" i="16"/>
  <c r="M1028" i="16"/>
  <c r="O1027" i="16"/>
  <c r="N1027" i="16"/>
  <c r="M1027" i="16"/>
  <c r="O1026" i="16"/>
  <c r="N1026" i="16"/>
  <c r="M1026" i="16"/>
  <c r="L1026" i="16"/>
  <c r="B1026" i="16"/>
  <c r="G1026" i="16" s="1"/>
  <c r="G1023" i="16"/>
  <c r="G1020" i="16"/>
  <c r="G1019" i="16"/>
  <c r="L1017" i="16"/>
  <c r="B1017" i="16"/>
  <c r="G1017" i="16" s="1"/>
  <c r="L1016" i="16"/>
  <c r="L1029" i="16" s="1"/>
  <c r="B1016" i="16"/>
  <c r="L1015" i="16"/>
  <c r="L1022" i="16" s="1"/>
  <c r="E1015" i="16"/>
  <c r="D1015" i="16"/>
  <c r="I1015" i="16" s="1"/>
  <c r="C1015" i="16"/>
  <c r="H1015" i="16" s="1"/>
  <c r="B1015" i="16"/>
  <c r="L1014" i="16"/>
  <c r="L1021" i="16" s="1"/>
  <c r="E1014" i="16"/>
  <c r="D1014" i="16"/>
  <c r="I1014" i="16" s="1"/>
  <c r="C1014" i="16"/>
  <c r="H1014" i="16" s="1"/>
  <c r="B1014" i="16"/>
  <c r="B1027" i="16" s="1"/>
  <c r="G1027" i="16" s="1"/>
  <c r="G1013" i="16"/>
  <c r="E1013" i="16"/>
  <c r="D1013" i="16"/>
  <c r="I1013" i="16" s="1"/>
  <c r="C1013" i="16"/>
  <c r="H1013" i="16" s="1"/>
  <c r="G1012" i="16"/>
  <c r="G1010" i="16"/>
  <c r="C1010" i="16"/>
  <c r="H1010" i="16" s="1"/>
  <c r="G1009" i="16"/>
  <c r="E1009" i="16"/>
  <c r="J1009" i="16" s="1"/>
  <c r="D1009" i="16"/>
  <c r="I1009" i="16" s="1"/>
  <c r="C1009" i="16"/>
  <c r="H1009" i="16" s="1"/>
  <c r="G1008" i="16"/>
  <c r="E1008" i="16"/>
  <c r="J1008" i="16" s="1"/>
  <c r="D1008" i="16"/>
  <c r="I1008" i="16" s="1"/>
  <c r="C1008" i="16"/>
  <c r="H1008" i="16" s="1"/>
  <c r="G1007" i="16"/>
  <c r="E1007" i="16"/>
  <c r="J1007" i="16" s="1"/>
  <c r="D1007" i="16"/>
  <c r="I1007" i="16" s="1"/>
  <c r="C1007" i="16"/>
  <c r="H1007" i="16" s="1"/>
  <c r="G1006" i="16"/>
  <c r="E1006" i="16"/>
  <c r="J1006" i="16" s="1"/>
  <c r="D1006" i="16"/>
  <c r="I1006" i="16" s="1"/>
  <c r="C1006" i="16"/>
  <c r="H1006" i="16" s="1"/>
  <c r="G1005" i="16"/>
  <c r="E1005" i="16"/>
  <c r="J1005" i="16" s="1"/>
  <c r="D1005" i="16"/>
  <c r="I1005" i="16" s="1"/>
  <c r="C1005" i="16"/>
  <c r="H1005" i="16" s="1"/>
  <c r="N1004" i="16"/>
  <c r="O1004" i="16" s="1"/>
  <c r="H1004" i="16"/>
  <c r="G1004" i="16"/>
  <c r="D1004" i="16"/>
  <c r="E1004" i="16" s="1"/>
  <c r="J1004" i="16" s="1"/>
  <c r="E997" i="16"/>
  <c r="E998" i="16" s="1"/>
  <c r="P953" i="16"/>
  <c r="O953" i="16"/>
  <c r="N953" i="16"/>
  <c r="M953" i="16"/>
  <c r="J953" i="16"/>
  <c r="F953" i="16"/>
  <c r="E953" i="16"/>
  <c r="D953" i="16"/>
  <c r="O952" i="16"/>
  <c r="N952" i="16"/>
  <c r="G952" i="16"/>
  <c r="F952" i="16"/>
  <c r="E952" i="16"/>
  <c r="D952" i="16"/>
  <c r="L949" i="16"/>
  <c r="L953" i="16" s="1"/>
  <c r="K949" i="16"/>
  <c r="K953" i="16" s="1"/>
  <c r="I949" i="16"/>
  <c r="I953" i="16" s="1"/>
  <c r="H949" i="16"/>
  <c r="H953" i="16" s="1"/>
  <c r="G949" i="16"/>
  <c r="G953" i="16" s="1"/>
  <c r="L948" i="16"/>
  <c r="K948" i="16"/>
  <c r="J948" i="16"/>
  <c r="I948" i="16"/>
  <c r="H948" i="16"/>
  <c r="D947" i="16"/>
  <c r="E947" i="16" s="1"/>
  <c r="E948" i="16" s="1"/>
  <c r="H946" i="16"/>
  <c r="I946" i="16" s="1"/>
  <c r="C938" i="16"/>
  <c r="C937" i="16"/>
  <c r="C935" i="16"/>
  <c r="D958" i="16" s="1"/>
  <c r="C932" i="16"/>
  <c r="C930" i="16"/>
  <c r="G918" i="16"/>
  <c r="C906" i="16"/>
  <c r="G905" i="16"/>
  <c r="D877" i="16"/>
  <c r="E877" i="16" s="1"/>
  <c r="F877" i="16" s="1"/>
  <c r="G877" i="16" s="1"/>
  <c r="H877" i="16" s="1"/>
  <c r="I877" i="16" s="1"/>
  <c r="J877" i="16" s="1"/>
  <c r="C873" i="16"/>
  <c r="D872" i="16"/>
  <c r="E872" i="16" s="1"/>
  <c r="C871" i="16"/>
  <c r="D870" i="16"/>
  <c r="E870" i="16" s="1"/>
  <c r="C869" i="16"/>
  <c r="D869" i="16" s="1"/>
  <c r="E869" i="16" s="1"/>
  <c r="C866" i="16"/>
  <c r="E866" i="16" s="1"/>
  <c r="E847" i="16"/>
  <c r="E846" i="16"/>
  <c r="E845" i="16"/>
  <c r="E844" i="16"/>
  <c r="E843" i="16"/>
  <c r="E842" i="16"/>
  <c r="E841" i="16"/>
  <c r="E840" i="16"/>
  <c r="E839" i="16"/>
  <c r="E838" i="16"/>
  <c r="E837" i="16"/>
  <c r="E836" i="16"/>
  <c r="E835" i="16"/>
  <c r="L831" i="16"/>
  <c r="K831" i="16"/>
  <c r="J831" i="16"/>
  <c r="I831" i="16"/>
  <c r="H831" i="16"/>
  <c r="G831" i="16"/>
  <c r="F831" i="16"/>
  <c r="B831" i="16"/>
  <c r="B830" i="16"/>
  <c r="G811" i="16"/>
  <c r="B794" i="16"/>
  <c r="B801" i="16" s="1"/>
  <c r="B793" i="16"/>
  <c r="B800" i="16" s="1"/>
  <c r="B792" i="16"/>
  <c r="B791" i="16"/>
  <c r="B799" i="16" s="1"/>
  <c r="B790" i="16"/>
  <c r="B789" i="16"/>
  <c r="B798" i="16" s="1"/>
  <c r="B788" i="16"/>
  <c r="B797" i="16" s="1"/>
  <c r="C779" i="16"/>
  <c r="C797" i="16" s="1"/>
  <c r="D778" i="16"/>
  <c r="E778" i="16" s="1"/>
  <c r="B773" i="16"/>
  <c r="C773" i="16" s="1"/>
  <c r="C772" i="16"/>
  <c r="F772" i="16" s="1"/>
  <c r="G772" i="16" s="1"/>
  <c r="H772" i="16" s="1"/>
  <c r="D767" i="16"/>
  <c r="E767" i="16" s="1"/>
  <c r="B757" i="16"/>
  <c r="G753" i="16"/>
  <c r="G760" i="16" s="1"/>
  <c r="F753" i="16"/>
  <c r="F760" i="16" s="1"/>
  <c r="E753" i="16"/>
  <c r="E760" i="16" s="1"/>
  <c r="D753" i="16"/>
  <c r="D760" i="16" s="1"/>
  <c r="C753" i="16"/>
  <c r="C760" i="16" s="1"/>
  <c r="D752" i="16"/>
  <c r="E752" i="16" s="1"/>
  <c r="F752" i="16" s="1"/>
  <c r="G752" i="16" s="1"/>
  <c r="G749" i="16"/>
  <c r="F749" i="16"/>
  <c r="G746" i="16"/>
  <c r="F746" i="16"/>
  <c r="E746" i="16"/>
  <c r="G744" i="16"/>
  <c r="F744" i="16"/>
  <c r="E744" i="16"/>
  <c r="D743" i="16"/>
  <c r="E743" i="16" s="1"/>
  <c r="F743" i="16" s="1"/>
  <c r="G743" i="16" s="1"/>
  <c r="C739" i="16"/>
  <c r="E729" i="16"/>
  <c r="E726" i="16"/>
  <c r="G716" i="16"/>
  <c r="G717" i="16" s="1"/>
  <c r="D707" i="16"/>
  <c r="C694" i="16"/>
  <c r="C697" i="16" s="1"/>
  <c r="F681" i="16"/>
  <c r="E681" i="16"/>
  <c r="D681" i="16"/>
  <c r="C681" i="16"/>
  <c r="C655" i="16"/>
  <c r="C680" i="16" s="1"/>
  <c r="C633" i="16"/>
  <c r="J625" i="16"/>
  <c r="J629" i="16" s="1"/>
  <c r="J630" i="16" s="1"/>
  <c r="I625" i="16"/>
  <c r="I629" i="16" s="1"/>
  <c r="I630" i="16" s="1"/>
  <c r="H625" i="16"/>
  <c r="H629" i="16" s="1"/>
  <c r="H630" i="16" s="1"/>
  <c r="G625" i="16"/>
  <c r="G629" i="16" s="1"/>
  <c r="G630" i="16" s="1"/>
  <c r="F625" i="16"/>
  <c r="F629" i="16" s="1"/>
  <c r="F630" i="16" s="1"/>
  <c r="E625" i="16"/>
  <c r="E629" i="16" s="1"/>
  <c r="E630" i="16" s="1"/>
  <c r="D625" i="16"/>
  <c r="D629" i="16" s="1"/>
  <c r="D630" i="16" s="1"/>
  <c r="C625" i="16"/>
  <c r="C629" i="16" s="1"/>
  <c r="C630" i="16" s="1"/>
  <c r="C622" i="16"/>
  <c r="J618" i="16"/>
  <c r="I618" i="16"/>
  <c r="H618" i="16"/>
  <c r="G618" i="16"/>
  <c r="F618" i="16"/>
  <c r="E618" i="16"/>
  <c r="D618" i="16"/>
  <c r="C618" i="16"/>
  <c r="J617" i="16"/>
  <c r="I617" i="16"/>
  <c r="H617" i="16"/>
  <c r="G617" i="16"/>
  <c r="F617" i="16"/>
  <c r="E617" i="16"/>
  <c r="D617" i="16"/>
  <c r="C617" i="16"/>
  <c r="J615" i="16"/>
  <c r="I615" i="16"/>
  <c r="H615" i="16"/>
  <c r="G615" i="16"/>
  <c r="F615" i="16"/>
  <c r="E615" i="16"/>
  <c r="D615" i="16"/>
  <c r="C615" i="16"/>
  <c r="J614" i="16"/>
  <c r="I614" i="16"/>
  <c r="H614" i="16"/>
  <c r="G614" i="16"/>
  <c r="F614" i="16"/>
  <c r="E614" i="16"/>
  <c r="D614" i="16"/>
  <c r="C614" i="16"/>
  <c r="D611" i="16"/>
  <c r="D655" i="16" s="1"/>
  <c r="D680" i="16" s="1"/>
  <c r="B578" i="16"/>
  <c r="D577" i="16"/>
  <c r="D570" i="16" s="1"/>
  <c r="B577" i="16"/>
  <c r="D571" i="16"/>
  <c r="D569" i="16"/>
  <c r="C569" i="16"/>
  <c r="C574" i="16" s="1"/>
  <c r="B561" i="16"/>
  <c r="B560" i="16"/>
  <c r="B559" i="16"/>
  <c r="B558" i="16"/>
  <c r="B557" i="16"/>
  <c r="B556" i="16"/>
  <c r="H544" i="16"/>
  <c r="G544" i="16"/>
  <c r="F544" i="16"/>
  <c r="E544" i="16"/>
  <c r="D544" i="16"/>
  <c r="C544" i="16"/>
  <c r="B533" i="16"/>
  <c r="B554" i="16" s="1"/>
  <c r="B532" i="16"/>
  <c r="B553" i="16" s="1"/>
  <c r="C525" i="16"/>
  <c r="C546" i="16" s="1"/>
  <c r="E519" i="16"/>
  <c r="E561" i="16" s="1"/>
  <c r="D519" i="16"/>
  <c r="D561" i="16" s="1"/>
  <c r="H518" i="16"/>
  <c r="H560" i="16" s="1"/>
  <c r="G518" i="16"/>
  <c r="G560" i="16" s="1"/>
  <c r="F518" i="16"/>
  <c r="F560" i="16" s="1"/>
  <c r="E518" i="16"/>
  <c r="E560" i="16" s="1"/>
  <c r="D518" i="16"/>
  <c r="D560" i="16" s="1"/>
  <c r="C518" i="16"/>
  <c r="C560" i="16" s="1"/>
  <c r="H517" i="16"/>
  <c r="H559" i="16" s="1"/>
  <c r="G517" i="16"/>
  <c r="G559" i="16" s="1"/>
  <c r="F517" i="16"/>
  <c r="F559" i="16" s="1"/>
  <c r="E517" i="16"/>
  <c r="E559" i="16" s="1"/>
  <c r="D517" i="16"/>
  <c r="D559" i="16" s="1"/>
  <c r="C517" i="16"/>
  <c r="C559" i="16" s="1"/>
  <c r="H516" i="16"/>
  <c r="H558" i="16" s="1"/>
  <c r="G516" i="16"/>
  <c r="G558" i="16" s="1"/>
  <c r="F516" i="16"/>
  <c r="F558" i="16" s="1"/>
  <c r="E516" i="16"/>
  <c r="E558" i="16" s="1"/>
  <c r="D516" i="16"/>
  <c r="D558" i="16" s="1"/>
  <c r="C516" i="16"/>
  <c r="C558" i="16" s="1"/>
  <c r="H515" i="16"/>
  <c r="H557" i="16" s="1"/>
  <c r="G515" i="16"/>
  <c r="G557" i="16" s="1"/>
  <c r="F515" i="16"/>
  <c r="F557" i="16" s="1"/>
  <c r="E515" i="16"/>
  <c r="E557" i="16" s="1"/>
  <c r="D515" i="16"/>
  <c r="D557" i="16" s="1"/>
  <c r="C515" i="16"/>
  <c r="C557" i="16" s="1"/>
  <c r="H514" i="16"/>
  <c r="H556" i="16" s="1"/>
  <c r="G514" i="16"/>
  <c r="G556" i="16" s="1"/>
  <c r="F514" i="16"/>
  <c r="F556" i="16" s="1"/>
  <c r="E514" i="16"/>
  <c r="E556" i="16" s="1"/>
  <c r="D514" i="16"/>
  <c r="D556" i="16" s="1"/>
  <c r="C514" i="16"/>
  <c r="C556" i="16" s="1"/>
  <c r="B514" i="16"/>
  <c r="H511" i="16"/>
  <c r="H553" i="16" s="1"/>
  <c r="G511" i="16"/>
  <c r="G553" i="16" s="1"/>
  <c r="F511" i="16"/>
  <c r="F553" i="16" s="1"/>
  <c r="E511" i="16"/>
  <c r="E553" i="16" s="1"/>
  <c r="D511" i="16"/>
  <c r="D553" i="16" s="1"/>
  <c r="C511" i="16"/>
  <c r="C553" i="16" s="1"/>
  <c r="H510" i="16"/>
  <c r="H552" i="16" s="1"/>
  <c r="G510" i="16"/>
  <c r="G552" i="16" s="1"/>
  <c r="F510" i="16"/>
  <c r="F552" i="16" s="1"/>
  <c r="E510" i="16"/>
  <c r="E552" i="16" s="1"/>
  <c r="D510" i="16"/>
  <c r="D552" i="16" s="1"/>
  <c r="C510" i="16"/>
  <c r="C552" i="16" s="1"/>
  <c r="B510" i="16"/>
  <c r="B531" i="16" s="1"/>
  <c r="B552" i="16" s="1"/>
  <c r="H509" i="16"/>
  <c r="H551" i="16" s="1"/>
  <c r="G509" i="16"/>
  <c r="G551" i="16" s="1"/>
  <c r="F509" i="16"/>
  <c r="F551" i="16" s="1"/>
  <c r="E509" i="16"/>
  <c r="E551" i="16" s="1"/>
  <c r="D509" i="16"/>
  <c r="D551" i="16" s="1"/>
  <c r="C509" i="16"/>
  <c r="C551" i="16" s="1"/>
  <c r="B509" i="16"/>
  <c r="B516" i="16" s="1"/>
  <c r="H508" i="16"/>
  <c r="H550" i="16" s="1"/>
  <c r="G508" i="16"/>
  <c r="G550" i="16" s="1"/>
  <c r="F508" i="16"/>
  <c r="F550" i="16" s="1"/>
  <c r="E508" i="16"/>
  <c r="E550" i="16" s="1"/>
  <c r="D508" i="16"/>
  <c r="D550" i="16" s="1"/>
  <c r="C508" i="16"/>
  <c r="C550" i="16" s="1"/>
  <c r="B508" i="16"/>
  <c r="B529" i="16" s="1"/>
  <c r="B550" i="16" s="1"/>
  <c r="H507" i="16"/>
  <c r="H549" i="16" s="1"/>
  <c r="G507" i="16"/>
  <c r="G549" i="16" s="1"/>
  <c r="F507" i="16"/>
  <c r="F549" i="16" s="1"/>
  <c r="E507" i="16"/>
  <c r="E549" i="16" s="1"/>
  <c r="D507" i="16"/>
  <c r="D549" i="16" s="1"/>
  <c r="C507" i="16"/>
  <c r="C549" i="16" s="1"/>
  <c r="B507" i="16"/>
  <c r="B528" i="16" s="1"/>
  <c r="B549" i="16" s="1"/>
  <c r="H506" i="16"/>
  <c r="H548" i="16" s="1"/>
  <c r="G506" i="16"/>
  <c r="G548" i="16" s="1"/>
  <c r="F506" i="16"/>
  <c r="F548" i="16" s="1"/>
  <c r="E506" i="16"/>
  <c r="E548" i="16" s="1"/>
  <c r="D506" i="16"/>
  <c r="D548" i="16" s="1"/>
  <c r="C506" i="16"/>
  <c r="C548" i="16" s="1"/>
  <c r="B506" i="16"/>
  <c r="B527" i="16" s="1"/>
  <c r="B548" i="16" s="1"/>
  <c r="H505" i="16"/>
  <c r="H547" i="16" s="1"/>
  <c r="G505" i="16"/>
  <c r="G547" i="16" s="1"/>
  <c r="F505" i="16"/>
  <c r="F547" i="16" s="1"/>
  <c r="E505" i="16"/>
  <c r="E547" i="16" s="1"/>
  <c r="D505" i="16"/>
  <c r="D547" i="16" s="1"/>
  <c r="C505" i="16"/>
  <c r="C547" i="16" s="1"/>
  <c r="B505" i="16"/>
  <c r="B526" i="16" s="1"/>
  <c r="B547" i="16" s="1"/>
  <c r="D504" i="16"/>
  <c r="D525" i="16" s="1"/>
  <c r="D546" i="16" s="1"/>
  <c r="E495" i="16"/>
  <c r="F487" i="16"/>
  <c r="E487" i="16"/>
  <c r="F481" i="16"/>
  <c r="E481" i="16"/>
  <c r="F478" i="16"/>
  <c r="E478" i="16"/>
  <c r="F473" i="16"/>
  <c r="E473" i="16"/>
  <c r="D457" i="16"/>
  <c r="E457" i="16" s="1"/>
  <c r="F440" i="16"/>
  <c r="E439" i="16"/>
  <c r="C425" i="16"/>
  <c r="C395" i="16"/>
  <c r="C397" i="16" s="1"/>
  <c r="C401" i="16" s="1"/>
  <c r="C383" i="16"/>
  <c r="C382" i="16"/>
  <c r="D372" i="16"/>
  <c r="C362" i="16"/>
  <c r="C363" i="16" s="1"/>
  <c r="C364" i="16" s="1"/>
  <c r="E351" i="16"/>
  <c r="D351" i="16"/>
  <c r="C351" i="16"/>
  <c r="C341" i="16"/>
  <c r="C353" i="16" s="1"/>
  <c r="E333" i="16"/>
  <c r="D333" i="16"/>
  <c r="C333" i="16"/>
  <c r="D323" i="16"/>
  <c r="D341" i="16" s="1"/>
  <c r="D353" i="16" s="1"/>
  <c r="B312" i="16"/>
  <c r="D311" i="16"/>
  <c r="E311" i="16" s="1"/>
  <c r="C307" i="16"/>
  <c r="C306" i="16"/>
  <c r="D293" i="16"/>
  <c r="D291" i="16"/>
  <c r="B285" i="16"/>
  <c r="F284" i="16"/>
  <c r="E284" i="16"/>
  <c r="D284" i="16"/>
  <c r="C284" i="16"/>
  <c r="B284" i="16"/>
  <c r="F283" i="16"/>
  <c r="E283" i="16"/>
  <c r="D283" i="16"/>
  <c r="C283" i="16"/>
  <c r="B283" i="16"/>
  <c r="C282" i="16"/>
  <c r="F280" i="16"/>
  <c r="F285" i="16" s="1"/>
  <c r="E280" i="16"/>
  <c r="E285" i="16" s="1"/>
  <c r="D280" i="16"/>
  <c r="D285" i="16" s="1"/>
  <c r="C280" i="16"/>
  <c r="C285" i="16" s="1"/>
  <c r="D277" i="16"/>
  <c r="E277" i="16" s="1"/>
  <c r="H272" i="16"/>
  <c r="H271" i="16"/>
  <c r="H270" i="16"/>
  <c r="E268" i="16"/>
  <c r="F268" i="16" s="1"/>
  <c r="G268" i="16" s="1"/>
  <c r="H268" i="16" s="1"/>
  <c r="I268" i="16" s="1"/>
  <c r="J268" i="16" s="1"/>
  <c r="C268" i="16"/>
  <c r="J266" i="16"/>
  <c r="I266" i="16"/>
  <c r="H266" i="16"/>
  <c r="G266" i="16"/>
  <c r="F266" i="16"/>
  <c r="E266" i="16"/>
  <c r="D266" i="16"/>
  <c r="C266" i="16"/>
  <c r="J262" i="16"/>
  <c r="I262" i="16"/>
  <c r="H262" i="16"/>
  <c r="E256" i="16"/>
  <c r="F256" i="16" s="1"/>
  <c r="G256" i="16" s="1"/>
  <c r="H256" i="16" s="1"/>
  <c r="I256" i="16" s="1"/>
  <c r="J256" i="16" s="1"/>
  <c r="C256" i="16"/>
  <c r="E239" i="16"/>
  <c r="F239" i="16" s="1"/>
  <c r="G239" i="16" s="1"/>
  <c r="H239" i="16" s="1"/>
  <c r="I239" i="16" s="1"/>
  <c r="J239" i="16" s="1"/>
  <c r="K239" i="16" s="1"/>
  <c r="L239" i="16" s="1"/>
  <c r="D221" i="16"/>
  <c r="E221" i="16" s="1"/>
  <c r="F221" i="16" s="1"/>
  <c r="G221" i="16" s="1"/>
  <c r="H221" i="16" s="1"/>
  <c r="B214" i="16"/>
  <c r="B213" i="16"/>
  <c r="B218" i="16" s="1"/>
  <c r="B212" i="16"/>
  <c r="B217" i="16" s="1"/>
  <c r="F209" i="16"/>
  <c r="E209" i="16"/>
  <c r="D209" i="16"/>
  <c r="C209" i="16"/>
  <c r="D206" i="16"/>
  <c r="E206" i="16" s="1"/>
  <c r="F206" i="16" s="1"/>
  <c r="B202" i="16"/>
  <c r="D201" i="16"/>
  <c r="E201" i="16" s="1"/>
  <c r="F201" i="16" s="1"/>
  <c r="G201" i="16" s="1"/>
  <c r="H201" i="16" s="1"/>
  <c r="I201" i="16" s="1"/>
  <c r="E199" i="16"/>
  <c r="D199" i="16"/>
  <c r="C199" i="16"/>
  <c r="K198" i="16"/>
  <c r="J198" i="16"/>
  <c r="I198" i="16"/>
  <c r="H198" i="16"/>
  <c r="G198" i="16"/>
  <c r="F198" i="16"/>
  <c r="E198" i="16"/>
  <c r="D198" i="16"/>
  <c r="C198" i="16"/>
  <c r="M191" i="16"/>
  <c r="L191" i="16"/>
  <c r="K191" i="16"/>
  <c r="J191" i="16"/>
  <c r="I191" i="16"/>
  <c r="H191" i="16"/>
  <c r="N190" i="16"/>
  <c r="M190" i="16"/>
  <c r="L190" i="16"/>
  <c r="K190" i="16"/>
  <c r="J190" i="16"/>
  <c r="I190" i="16"/>
  <c r="H190" i="16"/>
  <c r="G190" i="16"/>
  <c r="F190" i="16"/>
  <c r="D188" i="16"/>
  <c r="E188" i="16" s="1"/>
  <c r="F188" i="16" s="1"/>
  <c r="C185" i="16"/>
  <c r="C184" i="16"/>
  <c r="F177" i="16"/>
  <c r="E177" i="16"/>
  <c r="F176" i="16"/>
  <c r="E176" i="16"/>
  <c r="D176" i="16"/>
  <c r="F165" i="16"/>
  <c r="E165" i="16"/>
  <c r="K159" i="16"/>
  <c r="J159" i="16"/>
  <c r="I159" i="16"/>
  <c r="H159" i="16"/>
  <c r="G159" i="16"/>
  <c r="F159" i="16"/>
  <c r="E159" i="16"/>
  <c r="D159" i="16"/>
  <c r="K157" i="16"/>
  <c r="J157" i="16"/>
  <c r="I157" i="16"/>
  <c r="H157" i="16"/>
  <c r="G157" i="16"/>
  <c r="F157" i="16"/>
  <c r="E157" i="16"/>
  <c r="D157" i="16"/>
  <c r="K156" i="16"/>
  <c r="J156" i="16"/>
  <c r="I156" i="16"/>
  <c r="H156" i="16"/>
  <c r="G156" i="16"/>
  <c r="F156" i="16"/>
  <c r="E156" i="16"/>
  <c r="D156" i="16"/>
  <c r="B152" i="16"/>
  <c r="B159" i="16" s="1"/>
  <c r="B151" i="16"/>
  <c r="B158" i="16" s="1"/>
  <c r="C150" i="16"/>
  <c r="C153" i="16" s="1"/>
  <c r="B150" i="16"/>
  <c r="B157" i="16" s="1"/>
  <c r="B149" i="16"/>
  <c r="B156" i="16" s="1"/>
  <c r="B146" i="16"/>
  <c r="B145" i="16"/>
  <c r="B144" i="16"/>
  <c r="B143" i="16"/>
  <c r="S139" i="16"/>
  <c r="R139" i="16"/>
  <c r="Q139" i="16"/>
  <c r="P139" i="16"/>
  <c r="O139" i="16"/>
  <c r="N139" i="16"/>
  <c r="M139" i="16"/>
  <c r="S137" i="16"/>
  <c r="R137" i="16"/>
  <c r="Q137" i="16"/>
  <c r="P137" i="16"/>
  <c r="O137" i="16"/>
  <c r="N137" i="16"/>
  <c r="M137" i="16"/>
  <c r="S136" i="16"/>
  <c r="R136" i="16"/>
  <c r="Q136" i="16"/>
  <c r="P136" i="16"/>
  <c r="O136" i="16"/>
  <c r="N136" i="16"/>
  <c r="M136" i="16"/>
  <c r="D135" i="16"/>
  <c r="E135" i="16" s="1"/>
  <c r="F135" i="16" s="1"/>
  <c r="G135" i="16" s="1"/>
  <c r="H135" i="16" s="1"/>
  <c r="I135" i="16" s="1"/>
  <c r="J135" i="16" s="1"/>
  <c r="K135" i="16" s="1"/>
  <c r="D131" i="16"/>
  <c r="D132" i="16" s="1"/>
  <c r="C110" i="16" s="1"/>
  <c r="D130" i="16"/>
  <c r="D123" i="16"/>
  <c r="D121" i="16"/>
  <c r="C121" i="16"/>
  <c r="D118" i="16"/>
  <c r="C111" i="16"/>
  <c r="H79" i="16"/>
  <c r="H82" i="16" s="1"/>
  <c r="G79" i="16"/>
  <c r="G82" i="16" s="1"/>
  <c r="F79" i="16"/>
  <c r="F82" i="16" s="1"/>
  <c r="E79" i="16"/>
  <c r="D79" i="16"/>
  <c r="C79" i="16"/>
  <c r="W56" i="16"/>
  <c r="V56" i="16"/>
  <c r="U56" i="16"/>
  <c r="T56" i="16"/>
  <c r="S56" i="16"/>
  <c r="R56" i="16"/>
  <c r="Q56" i="16"/>
  <c r="P56" i="16"/>
  <c r="O56" i="16"/>
  <c r="N56" i="16"/>
  <c r="M56" i="16"/>
  <c r="L56" i="16"/>
  <c r="K56" i="16"/>
  <c r="J56" i="16"/>
  <c r="I56" i="16"/>
  <c r="H56" i="16"/>
  <c r="G56" i="16"/>
  <c r="F56" i="16"/>
  <c r="E56" i="16"/>
  <c r="I51" i="16"/>
  <c r="H51" i="16"/>
  <c r="G51" i="16"/>
  <c r="F51" i="16"/>
  <c r="D50" i="16"/>
  <c r="E51" i="16" s="1"/>
  <c r="D49" i="16"/>
  <c r="H48" i="16"/>
  <c r="I49" i="16" s="1"/>
  <c r="G48" i="16"/>
  <c r="F48" i="16"/>
  <c r="E48" i="16"/>
  <c r="E49" i="16" s="1"/>
  <c r="D47" i="16"/>
  <c r="E47" i="16" s="1"/>
  <c r="F47" i="16" s="1"/>
  <c r="G47" i="16" s="1"/>
  <c r="H47" i="16" s="1"/>
  <c r="I47" i="16" s="1"/>
  <c r="E37" i="16"/>
  <c r="D37" i="16"/>
  <c r="C37" i="16"/>
  <c r="B37" i="16"/>
  <c r="F36" i="16"/>
  <c r="G7" i="16"/>
  <c r="F7" i="16"/>
  <c r="L5" i="16"/>
  <c r="K5" i="16"/>
  <c r="I5" i="16"/>
  <c r="M4" i="16"/>
  <c r="Y114" i="18"/>
  <c r="X114" i="18"/>
  <c r="V114" i="18"/>
  <c r="Q114" i="18"/>
  <c r="P114" i="18"/>
  <c r="O114" i="18"/>
  <c r="N114" i="18"/>
  <c r="R114" i="18"/>
  <c r="U114" i="18"/>
  <c r="S114" i="18"/>
  <c r="Z83" i="5"/>
  <c r="P110" i="18"/>
  <c r="BI80" i="5"/>
  <c r="AT80" i="5"/>
  <c r="AJ80" i="5"/>
  <c r="AE80" i="5"/>
  <c r="P80" i="5"/>
  <c r="N21" i="18"/>
  <c r="X113" i="18"/>
  <c r="BC169" i="5"/>
  <c r="P116" i="18"/>
  <c r="O116" i="18"/>
  <c r="N116" i="18"/>
  <c r="V111" i="18"/>
  <c r="U111" i="18"/>
  <c r="Y33" i="18"/>
  <c r="X33" i="18"/>
  <c r="W33" i="18"/>
  <c r="V33" i="18"/>
  <c r="U33" i="18"/>
  <c r="T33" i="18"/>
  <c r="S33" i="18"/>
  <c r="R33" i="18"/>
  <c r="Q33" i="18"/>
  <c r="P33" i="18"/>
  <c r="O33" i="18"/>
  <c r="E749" i="16"/>
  <c r="C344" i="16"/>
  <c r="C356" i="16" s="1"/>
  <c r="K58" i="9"/>
  <c r="D2019" i="16"/>
  <c r="G754" i="16"/>
  <c r="F754" i="16"/>
  <c r="E754" i="16"/>
  <c r="D754" i="16"/>
  <c r="C754" i="16"/>
  <c r="B6" i="9"/>
  <c r="B2910" i="16" s="1"/>
  <c r="BS33" i="5"/>
  <c r="N139" i="18"/>
  <c r="H264" i="16"/>
  <c r="N134" i="18"/>
  <c r="E4" i="16"/>
  <c r="D4" i="16"/>
  <c r="Y13" i="18"/>
  <c r="X13" i="18"/>
  <c r="W13" i="18"/>
  <c r="V13" i="18"/>
  <c r="U13" i="18"/>
  <c r="T13" i="18"/>
  <c r="S13" i="18"/>
  <c r="R13" i="18"/>
  <c r="Q13" i="18"/>
  <c r="P13" i="18"/>
  <c r="O13" i="18"/>
  <c r="N13" i="18"/>
  <c r="BI90" i="5"/>
  <c r="BC90" i="5"/>
  <c r="AT90" i="5"/>
  <c r="AO90" i="5"/>
  <c r="Z90" i="5"/>
  <c r="P90" i="5"/>
  <c r="BI86" i="5"/>
  <c r="BC86" i="5"/>
  <c r="AT86" i="5"/>
  <c r="AO86" i="5"/>
  <c r="Z86" i="5"/>
  <c r="P86" i="5"/>
  <c r="K18" i="18"/>
  <c r="M6" i="26" l="1"/>
  <c r="L6" i="26"/>
  <c r="R24" i="13"/>
  <c r="M250" i="10"/>
  <c r="AT129" i="5"/>
  <c r="L250" i="10"/>
  <c r="L252" i="10" s="1"/>
  <c r="AO129" i="5"/>
  <c r="BC16" i="5"/>
  <c r="AS7" i="28" s="1"/>
  <c r="AS13" i="28" s="1"/>
  <c r="Q21" i="13"/>
  <c r="DW130" i="5"/>
  <c r="AT130" i="5"/>
  <c r="BI262" i="5"/>
  <c r="BJ272" i="5" s="1"/>
  <c r="M9" i="21"/>
  <c r="L9" i="21"/>
  <c r="AB37" i="7"/>
  <c r="AB131" i="10"/>
  <c r="F124" i="10"/>
  <c r="N264" i="1"/>
  <c r="N215" i="1"/>
  <c r="Q264" i="1"/>
  <c r="Q215" i="1"/>
  <c r="Q220" i="1" s="1"/>
  <c r="Q222" i="1" s="1"/>
  <c r="O264" i="1"/>
  <c r="O215" i="1"/>
  <c r="P264" i="1"/>
  <c r="P215" i="1"/>
  <c r="J74" i="1"/>
  <c r="J41" i="1"/>
  <c r="J124" i="1"/>
  <c r="E80" i="16" s="1"/>
  <c r="J105" i="1"/>
  <c r="E2027" i="16" s="1"/>
  <c r="K74" i="1"/>
  <c r="K115" i="1"/>
  <c r="K124" i="1" s="1"/>
  <c r="P114" i="1"/>
  <c r="P123" i="1" s="1"/>
  <c r="P104" i="1"/>
  <c r="K41" i="1"/>
  <c r="K105" i="1"/>
  <c r="F2027" i="16" s="1"/>
  <c r="J40" i="1"/>
  <c r="J104" i="1"/>
  <c r="J73" i="1"/>
  <c r="J114" i="1"/>
  <c r="N94" i="1"/>
  <c r="N96" i="1" s="1"/>
  <c r="N82" i="1"/>
  <c r="F50" i="9" s="1"/>
  <c r="K40" i="1"/>
  <c r="K104" i="1"/>
  <c r="M105" i="1"/>
  <c r="H2027" i="16" s="1"/>
  <c r="K73" i="1"/>
  <c r="K114" i="1"/>
  <c r="K123" i="1" s="1"/>
  <c r="O94" i="1"/>
  <c r="O96" i="1" s="1"/>
  <c r="O82" i="1"/>
  <c r="J17" i="1"/>
  <c r="J26" i="1" s="1"/>
  <c r="K113" i="1"/>
  <c r="N115" i="1"/>
  <c r="N124" i="1" s="1"/>
  <c r="N105" i="1"/>
  <c r="P94" i="1"/>
  <c r="P96" i="1" s="1"/>
  <c r="P82" i="1"/>
  <c r="K17" i="1"/>
  <c r="K71" i="1" s="1"/>
  <c r="M104" i="1"/>
  <c r="J72" i="1"/>
  <c r="K258" i="1"/>
  <c r="L257" i="1"/>
  <c r="O115" i="1"/>
  <c r="O124" i="1" s="1"/>
  <c r="O105" i="1"/>
  <c r="N114" i="1"/>
  <c r="N123" i="1" s="1"/>
  <c r="N104" i="1"/>
  <c r="M113" i="1"/>
  <c r="K72" i="1"/>
  <c r="P115" i="1"/>
  <c r="P124" i="1" s="1"/>
  <c r="P105" i="1"/>
  <c r="O114" i="1"/>
  <c r="O123" i="1" s="1"/>
  <c r="O104" i="1"/>
  <c r="N124" i="10"/>
  <c r="N169" i="10"/>
  <c r="G124" i="10"/>
  <c r="H119" i="10"/>
  <c r="H146" i="10" s="1"/>
  <c r="H124" i="10"/>
  <c r="M169" i="10"/>
  <c r="O169" i="10"/>
  <c r="L139" i="10"/>
  <c r="L151" i="10" s="1"/>
  <c r="M139" i="10"/>
  <c r="M151" i="10" s="1"/>
  <c r="M124" i="10"/>
  <c r="O149" i="10"/>
  <c r="BD261" i="5" s="1"/>
  <c r="BE271" i="5" s="1"/>
  <c r="AH92" i="28" s="1"/>
  <c r="O124" i="10"/>
  <c r="P124" i="10"/>
  <c r="Q124" i="10"/>
  <c r="G166" i="10"/>
  <c r="G195" i="10" s="1"/>
  <c r="G169" i="10"/>
  <c r="P169" i="10"/>
  <c r="Q169" i="10"/>
  <c r="F166" i="10"/>
  <c r="F187" i="10" s="1"/>
  <c r="F169" i="10"/>
  <c r="H169" i="10"/>
  <c r="L187" i="10"/>
  <c r="AI146" i="5"/>
  <c r="W198" i="18"/>
  <c r="N42" i="7"/>
  <c r="X198" i="18"/>
  <c r="O42" i="7"/>
  <c r="U198" i="18"/>
  <c r="L42" i="7"/>
  <c r="L50" i="7" s="1"/>
  <c r="M42" i="7"/>
  <c r="M50" i="7" s="1"/>
  <c r="AN114" i="5"/>
  <c r="F42" i="7"/>
  <c r="F50" i="7" s="1"/>
  <c r="E11" i="14"/>
  <c r="P347" i="5"/>
  <c r="G42" i="7"/>
  <c r="G50" i="7" s="1"/>
  <c r="H42" i="7"/>
  <c r="H50" i="7" s="1"/>
  <c r="P42" i="7"/>
  <c r="AD115" i="5"/>
  <c r="I42" i="7"/>
  <c r="I50" i="7" s="1"/>
  <c r="Z197" i="18"/>
  <c r="AI115" i="5"/>
  <c r="AD108" i="5"/>
  <c r="AD119" i="5" s="1"/>
  <c r="AN115" i="5"/>
  <c r="D744" i="16"/>
  <c r="K42" i="7"/>
  <c r="K50" i="7" s="1"/>
  <c r="AJ97" i="5"/>
  <c r="AD114" i="5"/>
  <c r="J42" i="7"/>
  <c r="J50" i="7" s="1"/>
  <c r="AN108" i="5"/>
  <c r="AI114" i="5"/>
  <c r="BC171" i="5"/>
  <c r="Y198" i="18"/>
  <c r="V198" i="18"/>
  <c r="R31" i="7"/>
  <c r="AA186" i="18" s="1"/>
  <c r="AA197" i="18"/>
  <c r="Y2" i="18"/>
  <c r="Z2" i="18" s="1"/>
  <c r="AA2" i="18" s="1"/>
  <c r="AB2" i="18" s="1"/>
  <c r="AC2" i="18" s="1"/>
  <c r="AD2" i="18" s="1"/>
  <c r="AE2" i="18" s="1"/>
  <c r="AF2" i="18" s="1"/>
  <c r="AG2" i="18" s="1"/>
  <c r="AH2" i="18" s="1"/>
  <c r="AI2" i="18" s="1"/>
  <c r="AJ2" i="18" s="1"/>
  <c r="AK2" i="18" s="1"/>
  <c r="AL2" i="18" s="1"/>
  <c r="AM2" i="18" s="1"/>
  <c r="AN2" i="18" s="1"/>
  <c r="X180" i="18"/>
  <c r="D87" i="12"/>
  <c r="M216" i="5"/>
  <c r="N216" i="5"/>
  <c r="CM216" i="5" s="1"/>
  <c r="AA20" i="5"/>
  <c r="AA21" i="5" s="1"/>
  <c r="E493" i="16"/>
  <c r="E136" i="25"/>
  <c r="E241" i="25" s="1"/>
  <c r="F1775" i="16"/>
  <c r="J1672" i="16"/>
  <c r="E202" i="16"/>
  <c r="E1775" i="16"/>
  <c r="E494" i="16"/>
  <c r="F494" i="16"/>
  <c r="C940" i="16"/>
  <c r="D1776" i="16"/>
  <c r="M198" i="16"/>
  <c r="C1036" i="16"/>
  <c r="H1036" i="16" s="1"/>
  <c r="N1036" i="16" s="1"/>
  <c r="H1531" i="16"/>
  <c r="D1451" i="16"/>
  <c r="D1467" i="16" s="1"/>
  <c r="N102" i="13"/>
  <c r="F236" i="13" s="1"/>
  <c r="O87" i="13"/>
  <c r="O96" i="13" s="1"/>
  <c r="P102" i="13"/>
  <c r="P117" i="13" s="1"/>
  <c r="H246" i="13" s="1"/>
  <c r="AD58" i="29"/>
  <c r="G1667" i="16"/>
  <c r="BK278" i="5"/>
  <c r="BK279" i="5" s="1"/>
  <c r="BK141" i="5"/>
  <c r="EO141" i="5" s="1"/>
  <c r="BK266" i="5"/>
  <c r="L54" i="9"/>
  <c r="Q29" i="7"/>
  <c r="Z183" i="18" s="1"/>
  <c r="Q31" i="7"/>
  <c r="Z186" i="18" s="1"/>
  <c r="J54" i="9"/>
  <c r="BE118" i="5"/>
  <c r="AD118" i="5"/>
  <c r="BG118" i="5"/>
  <c r="E49" i="9"/>
  <c r="BG265" i="5"/>
  <c r="BH140" i="5"/>
  <c r="E1081" i="16"/>
  <c r="G1452" i="16"/>
  <c r="O1474" i="16" s="1"/>
  <c r="D656" i="16"/>
  <c r="D659" i="16" s="1"/>
  <c r="D683" i="16" s="1"/>
  <c r="D684" i="16" s="1"/>
  <c r="F2802" i="16"/>
  <c r="AJ90" i="28"/>
  <c r="BG274" i="5"/>
  <c r="AK90" i="28"/>
  <c r="BH274" i="5"/>
  <c r="AD90" i="28"/>
  <c r="AZ274" i="5"/>
  <c r="AE90" i="28"/>
  <c r="BA274" i="5"/>
  <c r="AF90" i="28"/>
  <c r="BB274" i="5"/>
  <c r="AG90" i="28"/>
  <c r="BC274" i="5"/>
  <c r="BF274" i="5"/>
  <c r="G54" i="9"/>
  <c r="L31" i="7"/>
  <c r="U186" i="18" s="1"/>
  <c r="G79" i="27"/>
  <c r="G80" i="27" s="1"/>
  <c r="G93" i="27" s="1"/>
  <c r="G111" i="27" s="1"/>
  <c r="G181" i="25"/>
  <c r="L181" i="25" s="1"/>
  <c r="M181" i="25" s="1"/>
  <c r="N181" i="25" s="1"/>
  <c r="O181" i="25" s="1"/>
  <c r="E2545" i="16"/>
  <c r="G113" i="25"/>
  <c r="M245" i="13"/>
  <c r="S61" i="29"/>
  <c r="T112" i="13"/>
  <c r="T114" i="13" s="1"/>
  <c r="L243" i="13" s="1"/>
  <c r="N61" i="29"/>
  <c r="AP90" i="28"/>
  <c r="D2816" i="16"/>
  <c r="D2815" i="16" s="1"/>
  <c r="D2824" i="16" s="1"/>
  <c r="E2824" i="16" s="1"/>
  <c r="H2824" i="16" s="1"/>
  <c r="H2829" i="16" s="1"/>
  <c r="C2817" i="16"/>
  <c r="P205" i="10"/>
  <c r="H7" i="22" s="1"/>
  <c r="P187" i="10"/>
  <c r="P201" i="10" s="1"/>
  <c r="AC57" i="28"/>
  <c r="AC58" i="28" s="1"/>
  <c r="EL37" i="5"/>
  <c r="BM148" i="5"/>
  <c r="BM152" i="5"/>
  <c r="G2496" i="16"/>
  <c r="N25" i="29"/>
  <c r="BS35" i="5"/>
  <c r="BS69" i="5"/>
  <c r="M20" i="29"/>
  <c r="D5697" i="3"/>
  <c r="D5700" i="3" s="1"/>
  <c r="S27" i="26"/>
  <c r="BS259" i="5"/>
  <c r="BT269" i="5" s="1"/>
  <c r="N20" i="29"/>
  <c r="S9" i="29"/>
  <c r="AB57" i="28"/>
  <c r="AB58" i="28" s="1"/>
  <c r="EK37" i="5"/>
  <c r="BJ119" i="5"/>
  <c r="BL110" i="5"/>
  <c r="BG36" i="5"/>
  <c r="BG43" i="5" s="1"/>
  <c r="BG132" i="5"/>
  <c r="BL137" i="5"/>
  <c r="AN141" i="28" s="1"/>
  <c r="BL148" i="5"/>
  <c r="BL152" i="5"/>
  <c r="AS146" i="5"/>
  <c r="E480" i="16"/>
  <c r="E482" i="16" s="1"/>
  <c r="BK93" i="28"/>
  <c r="I120" i="28"/>
  <c r="BO90" i="28"/>
  <c r="BO93" i="28" s="1"/>
  <c r="Q120" i="28"/>
  <c r="BW90" i="28"/>
  <c r="BW93" i="28" s="1"/>
  <c r="J120" i="28"/>
  <c r="BP90" i="28"/>
  <c r="BP93" i="28" s="1"/>
  <c r="AA57" i="28"/>
  <c r="AA58" i="28" s="1"/>
  <c r="EJ37" i="5"/>
  <c r="K120" i="28"/>
  <c r="BQ90" i="28"/>
  <c r="BQ93" i="28" s="1"/>
  <c r="P120" i="28"/>
  <c r="BV90" i="28"/>
  <c r="BV93" i="28" s="1"/>
  <c r="H120" i="28"/>
  <c r="BN90" i="28"/>
  <c r="BN93" i="28" s="1"/>
  <c r="C120" i="28"/>
  <c r="BI90" i="28"/>
  <c r="BI93" i="28" s="1"/>
  <c r="L120" i="28"/>
  <c r="BR90" i="28"/>
  <c r="BR93" i="28" s="1"/>
  <c r="D120" i="28"/>
  <c r="BJ90" i="28"/>
  <c r="BJ93" i="28" s="1"/>
  <c r="M120" i="28"/>
  <c r="BS90" i="28"/>
  <c r="BS93" i="28" s="1"/>
  <c r="G120" i="28"/>
  <c r="BM90" i="28"/>
  <c r="BM93" i="28" s="1"/>
  <c r="BF132" i="5"/>
  <c r="BK137" i="5"/>
  <c r="AM141" i="28" s="1"/>
  <c r="BK152" i="5"/>
  <c r="BK148" i="5"/>
  <c r="AF54" i="28"/>
  <c r="AE56" i="28"/>
  <c r="AF56" i="28"/>
  <c r="AE54" i="28"/>
  <c r="N191" i="16"/>
  <c r="N192" i="16" s="1"/>
  <c r="K199" i="16" s="1"/>
  <c r="R27" i="26"/>
  <c r="O216" i="5"/>
  <c r="CN216" i="5" s="1"/>
  <c r="C96" i="12"/>
  <c r="I90" i="12"/>
  <c r="D236" i="12"/>
  <c r="C1753" i="16"/>
  <c r="C2480" i="16"/>
  <c r="C2485" i="16" s="1"/>
  <c r="E2496" i="16"/>
  <c r="I1667" i="16"/>
  <c r="K54" i="9"/>
  <c r="E163" i="16"/>
  <c r="E164" i="16" s="1"/>
  <c r="R206" i="10"/>
  <c r="D82" i="12"/>
  <c r="F1108" i="16"/>
  <c r="A64" i="3"/>
  <c r="N82" i="12"/>
  <c r="T216" i="5"/>
  <c r="O28" i="7"/>
  <c r="X191" i="18" s="1"/>
  <c r="D2500" i="16"/>
  <c r="C2559" i="16"/>
  <c r="A66" i="3"/>
  <c r="C426" i="16"/>
  <c r="C429" i="16" s="1"/>
  <c r="C430" i="16" s="1"/>
  <c r="C431" i="16" s="1"/>
  <c r="K31" i="7"/>
  <c r="F656" i="16"/>
  <c r="F659" i="16" s="1"/>
  <c r="F683" i="16" s="1"/>
  <c r="F684" i="16" s="1"/>
  <c r="FM419" i="5"/>
  <c r="AE140" i="28"/>
  <c r="O142" i="13"/>
  <c r="F36" i="12"/>
  <c r="FN419" i="5"/>
  <c r="AF140" i="28"/>
  <c r="G217" i="10"/>
  <c r="AI90" i="28"/>
  <c r="CH57" i="28"/>
  <c r="C1667" i="16"/>
  <c r="Q52" i="28"/>
  <c r="AK8" i="28"/>
  <c r="AD104" i="28"/>
  <c r="AD139" i="28"/>
  <c r="FO419" i="5"/>
  <c r="AG140" i="28"/>
  <c r="AL90" i="28"/>
  <c r="CE57" i="28"/>
  <c r="Y52" i="28"/>
  <c r="AS8" i="28"/>
  <c r="AG104" i="28"/>
  <c r="AG139" i="28"/>
  <c r="E126" i="25"/>
  <c r="C2568" i="16" s="1"/>
  <c r="E112" i="25"/>
  <c r="AE104" i="28"/>
  <c r="AE139" i="28"/>
  <c r="FP419" i="5"/>
  <c r="AH140" i="28"/>
  <c r="AI91" i="28"/>
  <c r="CH58" i="28"/>
  <c r="CF56" i="28"/>
  <c r="F82" i="12"/>
  <c r="AF104" i="28"/>
  <c r="AF139" i="28"/>
  <c r="FQ419" i="5"/>
  <c r="AI140" i="28"/>
  <c r="H82" i="12"/>
  <c r="J82" i="12"/>
  <c r="G14" i="12"/>
  <c r="H171" i="12" s="1"/>
  <c r="C171" i="12" s="1"/>
  <c r="C172" i="12" s="1"/>
  <c r="P28" i="18"/>
  <c r="AH104" i="28"/>
  <c r="AH139" i="28"/>
  <c r="FS419" i="5"/>
  <c r="AK140" i="28"/>
  <c r="C65" i="17"/>
  <c r="H84" i="12"/>
  <c r="D642" i="16"/>
  <c r="FL419" i="5"/>
  <c r="AD140" i="28"/>
  <c r="AI92" i="28"/>
  <c r="CH59" i="28"/>
  <c r="BF152" i="5"/>
  <c r="BG152" i="5"/>
  <c r="BJ148" i="5"/>
  <c r="BE152" i="5"/>
  <c r="BH152" i="5"/>
  <c r="G102" i="25"/>
  <c r="G116" i="25" s="1"/>
  <c r="F116" i="25"/>
  <c r="F44" i="25"/>
  <c r="F115" i="25"/>
  <c r="D2548" i="16"/>
  <c r="D2594" i="16"/>
  <c r="F491" i="16"/>
  <c r="C1576" i="16"/>
  <c r="C2332" i="16"/>
  <c r="O61" i="14"/>
  <c r="O59" i="14" s="1"/>
  <c r="F180" i="16"/>
  <c r="E1576" i="16"/>
  <c r="E1577" i="16" s="1"/>
  <c r="E1578" i="16" s="1"/>
  <c r="I61" i="14"/>
  <c r="I59" i="14" s="1"/>
  <c r="AE211" i="5" s="1"/>
  <c r="H54" i="9"/>
  <c r="F1576" i="16"/>
  <c r="D1576" i="16"/>
  <c r="G1576" i="16"/>
  <c r="E31" i="7"/>
  <c r="K2724" i="16"/>
  <c r="E2754" i="16"/>
  <c r="E2785" i="16" s="1"/>
  <c r="M2724" i="16"/>
  <c r="G2754" i="16"/>
  <c r="L2724" i="16"/>
  <c r="F2754" i="16"/>
  <c r="I2724" i="16"/>
  <c r="C2754" i="16"/>
  <c r="C2785" i="16" s="1"/>
  <c r="J2724" i="16"/>
  <c r="D2754" i="16"/>
  <c r="D2785" i="16" s="1"/>
  <c r="FQ475" i="5"/>
  <c r="FQ442" i="5"/>
  <c r="AE53" i="28"/>
  <c r="AI111" i="28"/>
  <c r="FQ420" i="5"/>
  <c r="V33" i="28"/>
  <c r="FU365" i="5"/>
  <c r="W33" i="28"/>
  <c r="FV365" i="5"/>
  <c r="AA37" i="28"/>
  <c r="FQ441" i="5"/>
  <c r="AI104" i="28"/>
  <c r="FQ418" i="5"/>
  <c r="X33" i="28"/>
  <c r="FW365" i="5"/>
  <c r="AK104" i="28"/>
  <c r="FS418" i="5"/>
  <c r="AF111" i="28"/>
  <c r="FV374" i="5"/>
  <c r="BJ137" i="5"/>
  <c r="AL141" i="28" s="1"/>
  <c r="M58" i="28"/>
  <c r="AX157" i="5"/>
  <c r="BH157" i="5"/>
  <c r="AJ103" i="28"/>
  <c r="AB38" i="28"/>
  <c r="D37" i="28"/>
  <c r="FL474" i="5"/>
  <c r="V37" i="28"/>
  <c r="G1588" i="16"/>
  <c r="T103" i="28"/>
  <c r="L38" i="28"/>
  <c r="AB103" i="28"/>
  <c r="T38" i="28"/>
  <c r="E55" i="28"/>
  <c r="FQ369" i="5"/>
  <c r="FQ370" i="5" s="1"/>
  <c r="AA103" i="28"/>
  <c r="S38" i="28"/>
  <c r="FR420" i="5"/>
  <c r="AJ111" i="28"/>
  <c r="F37" i="28"/>
  <c r="FM474" i="5"/>
  <c r="W37" i="28"/>
  <c r="AK103" i="28"/>
  <c r="AC38" i="28"/>
  <c r="U103" i="28"/>
  <c r="M38" i="28"/>
  <c r="FS369" i="5"/>
  <c r="FS370" i="5" s="1"/>
  <c r="AC103" i="28"/>
  <c r="U38" i="28"/>
  <c r="A91" i="28"/>
  <c r="A98" i="28" s="1"/>
  <c r="C37" i="28"/>
  <c r="G37" i="28"/>
  <c r="P37" i="28"/>
  <c r="FN474" i="5"/>
  <c r="X37" i="28"/>
  <c r="FL369" i="5"/>
  <c r="V103" i="28"/>
  <c r="N38" i="28"/>
  <c r="FT369" i="5"/>
  <c r="FT370" i="5" s="1"/>
  <c r="AD103" i="28"/>
  <c r="V38" i="28"/>
  <c r="M37" i="28"/>
  <c r="F1588" i="16"/>
  <c r="S103" i="28"/>
  <c r="K38" i="28"/>
  <c r="I92" i="28"/>
  <c r="C1542" i="16"/>
  <c r="N33" i="28"/>
  <c r="C110" i="27"/>
  <c r="Z33" i="28"/>
  <c r="H37" i="28"/>
  <c r="FP474" i="5"/>
  <c r="Z37" i="28"/>
  <c r="G809" i="16"/>
  <c r="N103" i="28"/>
  <c r="F38" i="28"/>
  <c r="I1638" i="16"/>
  <c r="W103" i="28"/>
  <c r="O38" i="28"/>
  <c r="FU369" i="5"/>
  <c r="FU370" i="5" s="1"/>
  <c r="AE103" i="28"/>
  <c r="W38" i="28"/>
  <c r="FR418" i="5"/>
  <c r="AJ104" i="28"/>
  <c r="A92" i="28"/>
  <c r="A99" i="28" s="1"/>
  <c r="F1614" i="16"/>
  <c r="F1612" i="16" s="1"/>
  <c r="O33" i="28"/>
  <c r="D110" i="27"/>
  <c r="AA33" i="28"/>
  <c r="J37" i="28"/>
  <c r="H809" i="16"/>
  <c r="O103" i="28"/>
  <c r="G38" i="28"/>
  <c r="FN369" i="5"/>
  <c r="X103" i="28"/>
  <c r="P38" i="28"/>
  <c r="AF103" i="28"/>
  <c r="X38" i="28"/>
  <c r="H1647" i="16"/>
  <c r="V111" i="28"/>
  <c r="E110" i="27"/>
  <c r="AB33" i="28"/>
  <c r="K37" i="28"/>
  <c r="FR474" i="5"/>
  <c r="AB37" i="28"/>
  <c r="C1588" i="16"/>
  <c r="P103" i="28"/>
  <c r="H38" i="28"/>
  <c r="FO369" i="5"/>
  <c r="Y103" i="28"/>
  <c r="Q38" i="28"/>
  <c r="AH103" i="28"/>
  <c r="Z38" i="28"/>
  <c r="B37" i="28"/>
  <c r="L37" i="28"/>
  <c r="R103" i="28"/>
  <c r="J38" i="28"/>
  <c r="Z103" i="28"/>
  <c r="R38" i="28"/>
  <c r="AI103" i="28"/>
  <c r="AA38" i="28"/>
  <c r="D1652" i="16"/>
  <c r="O57" i="28"/>
  <c r="O58" i="28" s="1"/>
  <c r="FL442" i="5"/>
  <c r="FL475" i="5"/>
  <c r="FM442" i="5"/>
  <c r="FM475" i="5"/>
  <c r="FN442" i="5"/>
  <c r="FN475" i="5"/>
  <c r="CX16" i="5"/>
  <c r="Q7" i="28"/>
  <c r="Q13" i="28" s="1"/>
  <c r="H1637" i="16"/>
  <c r="AC9" i="28"/>
  <c r="Y13" i="28"/>
  <c r="I1637" i="16"/>
  <c r="CX14" i="5"/>
  <c r="D878" i="16" s="1"/>
  <c r="FP442" i="5"/>
  <c r="FP475" i="5"/>
  <c r="EI37" i="5"/>
  <c r="E1585" i="16"/>
  <c r="FQ474" i="5"/>
  <c r="C2561" i="16"/>
  <c r="C2544" i="16" s="1"/>
  <c r="C2555" i="16" s="1"/>
  <c r="E656" i="16"/>
  <c r="E659" i="16" s="1"/>
  <c r="E683" i="16" s="1"/>
  <c r="E684" i="16" s="1"/>
  <c r="J61" i="14"/>
  <c r="E30" i="14"/>
  <c r="U110" i="18"/>
  <c r="M15" i="7"/>
  <c r="O127" i="10"/>
  <c r="C78" i="25"/>
  <c r="G254" i="13"/>
  <c r="C656" i="16"/>
  <c r="C659" i="16" s="1"/>
  <c r="C683" i="16" s="1"/>
  <c r="C684" i="16" s="1"/>
  <c r="U112" i="13"/>
  <c r="U114" i="13" s="1"/>
  <c r="U115" i="13" s="1"/>
  <c r="M244" i="13" s="1"/>
  <c r="R87" i="12"/>
  <c r="L67" i="9"/>
  <c r="L71" i="9"/>
  <c r="G3119" i="3"/>
  <c r="F3119" i="3" s="1"/>
  <c r="I22" i="12"/>
  <c r="E479" i="16"/>
  <c r="B774" i="16"/>
  <c r="C774" i="16" s="1"/>
  <c r="I1004" i="16"/>
  <c r="P1474" i="16"/>
  <c r="L70" i="9"/>
  <c r="L14" i="14"/>
  <c r="L15" i="14" s="1"/>
  <c r="N122" i="10"/>
  <c r="F129" i="10"/>
  <c r="H139" i="10"/>
  <c r="H151" i="10" s="1"/>
  <c r="E2234" i="16"/>
  <c r="E2243" i="16" s="1"/>
  <c r="G129" i="10"/>
  <c r="EI21" i="5"/>
  <c r="Q42" i="7"/>
  <c r="Q50" i="7" s="1"/>
  <c r="J2342" i="16"/>
  <c r="N28" i="14"/>
  <c r="H1547" i="16" s="1"/>
  <c r="H55" i="25"/>
  <c r="I1264" i="3"/>
  <c r="L63" i="13"/>
  <c r="L90" i="13" s="1"/>
  <c r="AT218" i="12"/>
  <c r="P236" i="12"/>
  <c r="BB239" i="12" s="1"/>
  <c r="EI19" i="5"/>
  <c r="AD40" i="28" s="1"/>
  <c r="L198" i="16"/>
  <c r="BH265" i="5"/>
  <c r="BJ278" i="5" s="1"/>
  <c r="BJ279" i="5" s="1"/>
  <c r="D2496" i="16"/>
  <c r="C5" i="12"/>
  <c r="C53" i="12" s="1"/>
  <c r="R81" i="12"/>
  <c r="H96" i="9"/>
  <c r="N30" i="14"/>
  <c r="O100" i="10"/>
  <c r="AV218" i="12"/>
  <c r="I31" i="7"/>
  <c r="J192" i="16"/>
  <c r="G199" i="16" s="1"/>
  <c r="N136" i="10"/>
  <c r="N139" i="10"/>
  <c r="N151" i="10" s="1"/>
  <c r="D1547" i="16"/>
  <c r="C1021" i="16"/>
  <c r="C1027" i="16" s="1"/>
  <c r="H1027" i="16" s="1"/>
  <c r="I1639" i="16"/>
  <c r="H1638" i="16"/>
  <c r="D1537" i="16"/>
  <c r="E809" i="16"/>
  <c r="AM140" i="5"/>
  <c r="C1649" i="16"/>
  <c r="FP374" i="5"/>
  <c r="B103" i="9"/>
  <c r="D1583" i="16"/>
  <c r="I1632" i="16"/>
  <c r="I1633" i="16"/>
  <c r="H84" i="5"/>
  <c r="H94" i="5" s="1"/>
  <c r="K827" i="16"/>
  <c r="E1614" i="16"/>
  <c r="E1612" i="16" s="1"/>
  <c r="DM206" i="5"/>
  <c r="D1542" i="16"/>
  <c r="D1535" i="16"/>
  <c r="U1404" i="16"/>
  <c r="DR206" i="5"/>
  <c r="D1543" i="16"/>
  <c r="H2636" i="16"/>
  <c r="D1582" i="16"/>
  <c r="L346" i="5"/>
  <c r="G271" i="10"/>
  <c r="G1582" i="16"/>
  <c r="S346" i="5"/>
  <c r="E1547" i="16"/>
  <c r="E1537" i="16"/>
  <c r="E1544" i="16"/>
  <c r="C1583" i="16"/>
  <c r="D1584" i="16"/>
  <c r="C1614" i="16"/>
  <c r="C1612" i="16" s="1"/>
  <c r="FL418" i="5"/>
  <c r="S206" i="10"/>
  <c r="L30" i="7"/>
  <c r="U194" i="18" s="1"/>
  <c r="F27" i="7"/>
  <c r="D809" i="16"/>
  <c r="N138" i="10"/>
  <c r="G64" i="13"/>
  <c r="M82" i="12"/>
  <c r="E86" i="12"/>
  <c r="AU218" i="12"/>
  <c r="BC218" i="12"/>
  <c r="I54" i="9"/>
  <c r="K18" i="14"/>
  <c r="L18" i="21"/>
  <c r="L20" i="21" s="1"/>
  <c r="D5" i="12"/>
  <c r="D137" i="12" s="1"/>
  <c r="D149" i="12" s="1"/>
  <c r="E1017" i="16"/>
  <c r="G1583" i="16"/>
  <c r="H1639" i="16"/>
  <c r="CX35" i="5"/>
  <c r="F259" i="12"/>
  <c r="H1667" i="16"/>
  <c r="H216" i="5"/>
  <c r="R216" i="5"/>
  <c r="P118" i="10"/>
  <c r="N272" i="10"/>
  <c r="O244" i="12"/>
  <c r="O259" i="12"/>
  <c r="K19" i="18"/>
  <c r="F1948" i="16"/>
  <c r="E1972" i="16" s="1"/>
  <c r="H71" i="25"/>
  <c r="H72" i="25" s="1"/>
  <c r="N135" i="10"/>
  <c r="L140" i="10"/>
  <c r="L113" i="10" s="1"/>
  <c r="G312" i="10"/>
  <c r="F312" i="10" s="1"/>
  <c r="N84" i="12"/>
  <c r="F88" i="12"/>
  <c r="BB237" i="12"/>
  <c r="G1532" i="16"/>
  <c r="C2496" i="16"/>
  <c r="L68" i="9"/>
  <c r="M22" i="14"/>
  <c r="M81" i="14" s="1"/>
  <c r="M80" i="14" s="1"/>
  <c r="N115" i="10"/>
  <c r="J63" i="13"/>
  <c r="J90" i="13" s="1"/>
  <c r="P84" i="12"/>
  <c r="N30" i="7"/>
  <c r="W194" i="18" s="1"/>
  <c r="C1582" i="16"/>
  <c r="F1949" i="16"/>
  <c r="J1949" i="16" s="1"/>
  <c r="J2496" i="16"/>
  <c r="O21" i="18"/>
  <c r="M30" i="7"/>
  <c r="V194" i="18" s="1"/>
  <c r="N110" i="18"/>
  <c r="E642" i="16"/>
  <c r="N112" i="18"/>
  <c r="R22" i="18"/>
  <c r="E323" i="16"/>
  <c r="E341" i="16" s="1"/>
  <c r="E353" i="16" s="1"/>
  <c r="R30" i="7"/>
  <c r="AA194" i="18" s="1"/>
  <c r="V57" i="10"/>
  <c r="W57" i="10" s="1"/>
  <c r="X57" i="10" s="1"/>
  <c r="Y57" i="10" s="1"/>
  <c r="Z57" i="10" s="1"/>
  <c r="C2472" i="16"/>
  <c r="G2612" i="16"/>
  <c r="L61" i="14"/>
  <c r="L59" i="14" s="1"/>
  <c r="F133" i="14" s="1"/>
  <c r="G55" i="25"/>
  <c r="E2558" i="16" s="1"/>
  <c r="P65" i="10"/>
  <c r="K160" i="10"/>
  <c r="F3748" i="3"/>
  <c r="D108" i="13"/>
  <c r="G210" i="13"/>
  <c r="R44" i="17"/>
  <c r="H88" i="12"/>
  <c r="E85" i="12"/>
  <c r="R86" i="12"/>
  <c r="R88" i="12"/>
  <c r="P223" i="12"/>
  <c r="P224" i="12" s="1"/>
  <c r="BB242" i="12" s="1"/>
  <c r="M245" i="12"/>
  <c r="E1765" i="16"/>
  <c r="K1771" i="16" s="1"/>
  <c r="M61" i="14"/>
  <c r="C30" i="14"/>
  <c r="AR59" i="5"/>
  <c r="AR61" i="5" s="1"/>
  <c r="AR62" i="5" s="1"/>
  <c r="J80" i="13"/>
  <c r="G11" i="12"/>
  <c r="F85" i="12"/>
  <c r="E1955" i="16"/>
  <c r="G1955" i="16" s="1"/>
  <c r="F2496" i="16"/>
  <c r="O122" i="10"/>
  <c r="E272" i="10"/>
  <c r="E103" i="13"/>
  <c r="F80" i="12"/>
  <c r="I67" i="12"/>
  <c r="J67" i="12" s="1"/>
  <c r="K67" i="12" s="1"/>
  <c r="L84" i="12" s="1"/>
  <c r="E84" i="12"/>
  <c r="N85" i="12"/>
  <c r="E87" i="12"/>
  <c r="F89" i="12"/>
  <c r="N259" i="12"/>
  <c r="V259" i="12"/>
  <c r="D306" i="16"/>
  <c r="C80" i="16"/>
  <c r="F49" i="16"/>
  <c r="C572" i="16"/>
  <c r="C635" i="16"/>
  <c r="C639" i="16" s="1"/>
  <c r="D639" i="16" s="1"/>
  <c r="E639" i="16" s="1"/>
  <c r="F639" i="16" s="1"/>
  <c r="G639" i="16" s="1"/>
  <c r="H639" i="16" s="1"/>
  <c r="I639" i="16" s="1"/>
  <c r="J639" i="16" s="1"/>
  <c r="C939" i="16"/>
  <c r="E1121" i="16"/>
  <c r="I1121" i="16" s="1"/>
  <c r="F1871" i="16"/>
  <c r="N4" i="14"/>
  <c r="AP5" i="14" s="1"/>
  <c r="E87" i="14"/>
  <c r="G38" i="25"/>
  <c r="I58" i="25"/>
  <c r="J58" i="25" s="1"/>
  <c r="N22" i="21"/>
  <c r="O22" i="21" s="1"/>
  <c r="H85" i="12"/>
  <c r="F84" i="12"/>
  <c r="P85" i="12"/>
  <c r="H175" i="12"/>
  <c r="BD218" i="12"/>
  <c r="H236" i="12"/>
  <c r="AT239" i="12" s="1"/>
  <c r="L236" i="12"/>
  <c r="AX239" i="12" s="1"/>
  <c r="M19" i="18"/>
  <c r="C112" i="16"/>
  <c r="D18" i="14"/>
  <c r="N87" i="14"/>
  <c r="D84" i="25"/>
  <c r="DC32" i="5"/>
  <c r="E76" i="13"/>
  <c r="D76" i="13" s="1"/>
  <c r="D98" i="13" s="1"/>
  <c r="L28" i="21"/>
  <c r="K53" i="12"/>
  <c r="K52" i="12" s="1"/>
  <c r="K55" i="12" s="1"/>
  <c r="G36" i="12"/>
  <c r="D86" i="12"/>
  <c r="J91" i="12"/>
  <c r="R85" i="12"/>
  <c r="BF218" i="12"/>
  <c r="BI14" i="4"/>
  <c r="D1416" i="16"/>
  <c r="D86" i="25"/>
  <c r="G200" i="25"/>
  <c r="AF140" i="5"/>
  <c r="AQ140" i="5"/>
  <c r="BA140" i="5"/>
  <c r="O109" i="10"/>
  <c r="S151" i="10"/>
  <c r="L180" i="10"/>
  <c r="L181" i="10" s="1"/>
  <c r="I50" i="12"/>
  <c r="G90" i="12"/>
  <c r="BD244" i="12"/>
  <c r="AT237" i="12"/>
  <c r="V244" i="12"/>
  <c r="BH244" i="12" s="1"/>
  <c r="H133" i="25"/>
  <c r="F2579" i="16" s="1"/>
  <c r="F3123" i="3"/>
  <c r="H67" i="13"/>
  <c r="H92" i="13" s="1"/>
  <c r="P124" i="13"/>
  <c r="H258" i="13" s="1"/>
  <c r="N258" i="12"/>
  <c r="L1027" i="16"/>
  <c r="G1957" i="16"/>
  <c r="J4" i="14"/>
  <c r="AL5" i="14" s="1"/>
  <c r="D47" i="14"/>
  <c r="F55" i="25"/>
  <c r="F56" i="25" s="1"/>
  <c r="P139" i="10"/>
  <c r="P151" i="10" s="1"/>
  <c r="Q138" i="10"/>
  <c r="H129" i="10"/>
  <c r="N163" i="13"/>
  <c r="F287" i="13" s="1"/>
  <c r="D85" i="12"/>
  <c r="H147" i="12"/>
  <c r="T224" i="12"/>
  <c r="T245" i="12" s="1"/>
  <c r="BF237" i="12"/>
  <c r="V238" i="12"/>
  <c r="AE31" i="4"/>
  <c r="BJ31" i="4" s="1"/>
  <c r="P147" i="18"/>
  <c r="E27" i="7"/>
  <c r="O1467" i="16"/>
  <c r="D78" i="14"/>
  <c r="D84" i="14" s="1"/>
  <c r="D89" i="14" s="1"/>
  <c r="D94" i="14" s="1"/>
  <c r="D99" i="14" s="1"/>
  <c r="D104" i="14" s="1"/>
  <c r="D109" i="14" s="1"/>
  <c r="E2" i="14"/>
  <c r="E78" i="14" s="1"/>
  <c r="E84" i="14" s="1"/>
  <c r="E89" i="14" s="1"/>
  <c r="E94" i="14" s="1"/>
  <c r="E99" i="14" s="1"/>
  <c r="E104" i="14" s="1"/>
  <c r="E109" i="14" s="1"/>
  <c r="E127" i="14"/>
  <c r="E128" i="14" s="1"/>
  <c r="K14" i="14"/>
  <c r="K15" i="14" s="1"/>
  <c r="J128" i="10"/>
  <c r="K126" i="10"/>
  <c r="L126" i="10" s="1"/>
  <c r="M126" i="10" s="1"/>
  <c r="I205" i="10"/>
  <c r="I157" i="10"/>
  <c r="I169" i="10" s="1"/>
  <c r="E83" i="12"/>
  <c r="H83" i="12"/>
  <c r="R83" i="12"/>
  <c r="P83" i="12"/>
  <c r="J52" i="9"/>
  <c r="M27" i="7"/>
  <c r="V190" i="18" s="1"/>
  <c r="L30" i="14"/>
  <c r="G1547" i="16"/>
  <c r="K2496" i="16"/>
  <c r="R101" i="10"/>
  <c r="K74" i="13"/>
  <c r="H240" i="16"/>
  <c r="N142" i="13"/>
  <c r="D36" i="21"/>
  <c r="C2" i="21"/>
  <c r="C36" i="21" s="1"/>
  <c r="D96" i="12"/>
  <c r="D76" i="12"/>
  <c r="D77" i="12" s="1"/>
  <c r="D36" i="12"/>
  <c r="F83" i="12"/>
  <c r="I133" i="12"/>
  <c r="J133" i="12" s="1"/>
  <c r="K163" i="12" s="1"/>
  <c r="AH214" i="5"/>
  <c r="C22" i="14"/>
  <c r="C34" i="14" s="1"/>
  <c r="C37" i="14" s="1"/>
  <c r="F1100" i="16"/>
  <c r="O22" i="14"/>
  <c r="O42" i="14" s="1"/>
  <c r="O4" i="14"/>
  <c r="G1478" i="16" s="1"/>
  <c r="FN418" i="5"/>
  <c r="AA140" i="5"/>
  <c r="V1404" i="16"/>
  <c r="R58" i="10"/>
  <c r="F2500" i="16" s="1"/>
  <c r="Q58" i="10"/>
  <c r="E2500" i="16" s="1"/>
  <c r="Q68" i="10"/>
  <c r="Q76" i="10" s="1"/>
  <c r="B280" i="10"/>
  <c r="K7" i="19"/>
  <c r="N106" i="13"/>
  <c r="I261" i="16" s="1"/>
  <c r="I9" i="19"/>
  <c r="C448" i="16"/>
  <c r="J31" i="7"/>
  <c r="D297" i="16"/>
  <c r="D295" i="16"/>
  <c r="D574" i="16"/>
  <c r="D572" i="16"/>
  <c r="E611" i="16"/>
  <c r="I952" i="16"/>
  <c r="J946" i="16"/>
  <c r="H1466" i="16"/>
  <c r="H1472" i="16" s="1"/>
  <c r="L1458" i="16"/>
  <c r="D1956" i="16"/>
  <c r="F1957" i="16"/>
  <c r="V55" i="10"/>
  <c r="W55" i="10" s="1"/>
  <c r="X55" i="10" s="1"/>
  <c r="Y55" i="10" s="1"/>
  <c r="Z55" i="10" s="1"/>
  <c r="AA55" i="10" s="1"/>
  <c r="C2470" i="16"/>
  <c r="O187" i="10"/>
  <c r="O77" i="10"/>
  <c r="H217" i="10"/>
  <c r="H220" i="10" s="1"/>
  <c r="I220" i="10" s="1"/>
  <c r="I245" i="13"/>
  <c r="Q112" i="13"/>
  <c r="I241" i="13" s="1"/>
  <c r="E1667" i="16"/>
  <c r="J147" i="12"/>
  <c r="AO210" i="5"/>
  <c r="AD39" i="4"/>
  <c r="AE39" i="4"/>
  <c r="AB39" i="4"/>
  <c r="D294" i="16"/>
  <c r="H952" i="16"/>
  <c r="E81" i="25"/>
  <c r="G78" i="13"/>
  <c r="G90" i="13"/>
  <c r="L21" i="12"/>
  <c r="L22" i="12" s="1"/>
  <c r="L14" i="12"/>
  <c r="L18" i="12"/>
  <c r="C1751" i="16"/>
  <c r="C1752" i="16" s="1"/>
  <c r="C1776" i="16"/>
  <c r="T114" i="18"/>
  <c r="F372" i="16"/>
  <c r="C408" i="16" s="1"/>
  <c r="E440" i="16" s="1"/>
  <c r="D373" i="16"/>
  <c r="J132" i="10"/>
  <c r="Y243" i="12"/>
  <c r="Y244" i="12" s="1"/>
  <c r="Y224" i="12"/>
  <c r="AU237" i="12"/>
  <c r="I236" i="12"/>
  <c r="AU239" i="12" s="1"/>
  <c r="BC237" i="12"/>
  <c r="Q236" i="12"/>
  <c r="BC239" i="12" s="1"/>
  <c r="F14" i="12"/>
  <c r="F55" i="12" s="1"/>
  <c r="F100" i="12" s="1"/>
  <c r="R258" i="12"/>
  <c r="BK23" i="4"/>
  <c r="AE36" i="4"/>
  <c r="AB36" i="4"/>
  <c r="BK26" i="4"/>
  <c r="M31" i="7"/>
  <c r="V186" i="18" s="1"/>
  <c r="D439" i="16"/>
  <c r="C384" i="16"/>
  <c r="C953" i="16"/>
  <c r="I2496" i="16"/>
  <c r="H2496" i="16"/>
  <c r="D14" i="12"/>
  <c r="D32" i="12" s="1"/>
  <c r="D50" i="12" s="1"/>
  <c r="E1021" i="16"/>
  <c r="J1021" i="16" s="1"/>
  <c r="D367" i="16"/>
  <c r="D366" i="16"/>
  <c r="C388" i="16"/>
  <c r="D440" i="16" s="1"/>
  <c r="W209" i="5"/>
  <c r="W211" i="5" s="1"/>
  <c r="DA211" i="5" s="1"/>
  <c r="W7" i="5"/>
  <c r="CV7" i="5" s="1"/>
  <c r="M117" i="10"/>
  <c r="M144" i="10" s="1"/>
  <c r="B278" i="10"/>
  <c r="B287" i="10" s="1"/>
  <c r="B297" i="10" s="1"/>
  <c r="B105" i="9"/>
  <c r="B279" i="10"/>
  <c r="B288" i="10" s="1"/>
  <c r="B298" i="10" s="1"/>
  <c r="B106" i="9"/>
  <c r="O282" i="10"/>
  <c r="I1693" i="16" s="1"/>
  <c r="D81" i="12"/>
  <c r="F81" i="12"/>
  <c r="E81" i="12"/>
  <c r="AY237" i="12"/>
  <c r="Z198" i="18"/>
  <c r="K192" i="16"/>
  <c r="H199" i="16" s="1"/>
  <c r="N61" i="14"/>
  <c r="N59" i="14" s="1"/>
  <c r="L115" i="14"/>
  <c r="K53" i="13"/>
  <c r="K54" i="13" s="1"/>
  <c r="I206" i="10" s="1"/>
  <c r="I112" i="10"/>
  <c r="I124" i="10" s="1"/>
  <c r="D180" i="10"/>
  <c r="D181" i="10" s="1"/>
  <c r="D184" i="10"/>
  <c r="K181" i="10"/>
  <c r="I254" i="13"/>
  <c r="K96" i="13"/>
  <c r="H89" i="12"/>
  <c r="H49" i="16"/>
  <c r="G715" i="16"/>
  <c r="D1052" i="16"/>
  <c r="F1872" i="16"/>
  <c r="B2484" i="16"/>
  <c r="B2489" i="16" s="1"/>
  <c r="B2495" i="16" s="1"/>
  <c r="E26" i="25"/>
  <c r="M63" i="13"/>
  <c r="M90" i="13" s="1"/>
  <c r="M87" i="13"/>
  <c r="M96" i="13" s="1"/>
  <c r="M84" i="13"/>
  <c r="M102" i="13"/>
  <c r="K147" i="12"/>
  <c r="BG237" i="12"/>
  <c r="AC17" i="4"/>
  <c r="BH17" i="4" s="1"/>
  <c r="BH14" i="4"/>
  <c r="B1186" i="16"/>
  <c r="C1198" i="16" s="1"/>
  <c r="C1199" i="16" s="1"/>
  <c r="E1950" i="16"/>
  <c r="O87" i="14"/>
  <c r="O30" i="14"/>
  <c r="P132" i="10"/>
  <c r="P128" i="10"/>
  <c r="P129" i="10" s="1"/>
  <c r="L160" i="10"/>
  <c r="G3123" i="3"/>
  <c r="H4823" i="3"/>
  <c r="R259" i="12"/>
  <c r="BK8" i="4"/>
  <c r="A65" i="3"/>
  <c r="C308" i="16"/>
  <c r="E1252" i="16"/>
  <c r="F1946" i="16"/>
  <c r="J1946" i="16" s="1"/>
  <c r="M2498" i="16"/>
  <c r="E28" i="14"/>
  <c r="AH322" i="5"/>
  <c r="I204" i="10"/>
  <c r="I7" i="19"/>
  <c r="L135" i="13"/>
  <c r="M106" i="13"/>
  <c r="H261" i="16" s="1"/>
  <c r="J254" i="13"/>
  <c r="H96" i="12"/>
  <c r="H97" i="12" s="1"/>
  <c r="I36" i="12"/>
  <c r="R80" i="12"/>
  <c r="H80" i="12"/>
  <c r="X244" i="12"/>
  <c r="BN244" i="12" s="1"/>
  <c r="BJ237" i="12"/>
  <c r="X236" i="12"/>
  <c r="BJ14" i="4"/>
  <c r="AE17" i="4"/>
  <c r="BJ17" i="4" s="1"/>
  <c r="I192" i="16"/>
  <c r="F199" i="16" s="1"/>
  <c r="F200" i="16" s="1"/>
  <c r="AB1407" i="16"/>
  <c r="F1947" i="16"/>
  <c r="D1973" i="16" s="1"/>
  <c r="D1974" i="16" s="1"/>
  <c r="Q51" i="26"/>
  <c r="Q58" i="26" s="1"/>
  <c r="J43" i="14"/>
  <c r="E14" i="25"/>
  <c r="FT374" i="5"/>
  <c r="O84" i="13"/>
  <c r="P56" i="13"/>
  <c r="Q56" i="13" s="1"/>
  <c r="D83" i="12"/>
  <c r="F147" i="12"/>
  <c r="U210" i="5"/>
  <c r="C2612" i="16"/>
  <c r="L69" i="9"/>
  <c r="I22" i="14"/>
  <c r="I29" i="14" s="1"/>
  <c r="AK6" i="14" s="1"/>
  <c r="L47" i="14"/>
  <c r="C129" i="14"/>
  <c r="AB157" i="5"/>
  <c r="AG325" i="5"/>
  <c r="L346" i="10"/>
  <c r="M346" i="10" s="1"/>
  <c r="L74" i="13"/>
  <c r="C138" i="16"/>
  <c r="C140" i="16" s="1"/>
  <c r="C143" i="16" s="1"/>
  <c r="E14" i="12"/>
  <c r="E32" i="12" s="1"/>
  <c r="E50" i="12" s="1"/>
  <c r="L82" i="12"/>
  <c r="M84" i="12"/>
  <c r="G175" i="12"/>
  <c r="BD242" i="12"/>
  <c r="P244" i="12"/>
  <c r="BB244" i="12" s="1"/>
  <c r="AX237" i="12"/>
  <c r="BI17" i="4"/>
  <c r="BK22" i="4"/>
  <c r="K5" i="2"/>
  <c r="L3" i="2" s="1"/>
  <c r="E38" i="7"/>
  <c r="M15" i="14"/>
  <c r="D30" i="14"/>
  <c r="P67" i="5"/>
  <c r="AD155" i="5"/>
  <c r="DP146" i="5"/>
  <c r="DJ156" i="5"/>
  <c r="AN212" i="5"/>
  <c r="H149" i="10"/>
  <c r="J22" i="12"/>
  <c r="P82" i="12"/>
  <c r="R84" i="12"/>
  <c r="BB218" i="12"/>
  <c r="AA259" i="12"/>
  <c r="BH27" i="4"/>
  <c r="AB35" i="4"/>
  <c r="K2612" i="16"/>
  <c r="BA40" i="5"/>
  <c r="BA84" i="5" s="1"/>
  <c r="AI156" i="5"/>
  <c r="DL155" i="5"/>
  <c r="AG140" i="5"/>
  <c r="M204" i="10"/>
  <c r="E8" i="22" s="1"/>
  <c r="F254" i="13"/>
  <c r="D103" i="13"/>
  <c r="L102" i="13"/>
  <c r="I5" i="19" s="1"/>
  <c r="P159" i="13"/>
  <c r="H283" i="13" s="1"/>
  <c r="M14" i="12"/>
  <c r="N17" i="12"/>
  <c r="N21" i="12" s="1"/>
  <c r="N22" i="12" s="1"/>
  <c r="K22" i="12"/>
  <c r="I68" i="12"/>
  <c r="J68" i="12" s="1"/>
  <c r="K68" i="12" s="1"/>
  <c r="L85" i="12" s="1"/>
  <c r="J73" i="12"/>
  <c r="K73" i="12" s="1"/>
  <c r="L73" i="12" s="1"/>
  <c r="M73" i="12" s="1"/>
  <c r="N73" i="12" s="1"/>
  <c r="E82" i="12"/>
  <c r="R82" i="12"/>
  <c r="N245" i="12"/>
  <c r="X224" i="12"/>
  <c r="G258" i="12"/>
  <c r="L245" i="12"/>
  <c r="Z243" i="12"/>
  <c r="Z244" i="12" s="1"/>
  <c r="Z245" i="12" s="1"/>
  <c r="K259" i="12"/>
  <c r="S259" i="12"/>
  <c r="BD14" i="4"/>
  <c r="AE35" i="4"/>
  <c r="AB38" i="4"/>
  <c r="H258" i="12"/>
  <c r="U244" i="12"/>
  <c r="AE38" i="4"/>
  <c r="E65" i="17"/>
  <c r="C14" i="12"/>
  <c r="C17" i="12" s="1"/>
  <c r="H169" i="12"/>
  <c r="BJ218" i="12"/>
  <c r="Q28" i="7"/>
  <c r="Z191" i="18" s="1"/>
  <c r="J27" i="7"/>
  <c r="T18" i="18"/>
  <c r="C138" i="14"/>
  <c r="C2182" i="16"/>
  <c r="C512" i="16"/>
  <c r="C554" i="16" s="1"/>
  <c r="F212" i="16"/>
  <c r="F217" i="16" s="1"/>
  <c r="E342" i="16"/>
  <c r="E354" i="16" s="1"/>
  <c r="E324" i="16"/>
  <c r="E336" i="16" s="1"/>
  <c r="BN35" i="5"/>
  <c r="Q42" i="26"/>
  <c r="Q57" i="26" s="1"/>
  <c r="Y146" i="18"/>
  <c r="N97" i="14"/>
  <c r="N96" i="14" s="1"/>
  <c r="K50" i="9"/>
  <c r="H1454" i="16"/>
  <c r="H1469" i="16" s="1"/>
  <c r="E1820" i="16"/>
  <c r="O149" i="18"/>
  <c r="F26" i="7"/>
  <c r="P28" i="7"/>
  <c r="Y191" i="18" s="1"/>
  <c r="Y113" i="18"/>
  <c r="P83" i="5"/>
  <c r="Q3" i="18"/>
  <c r="H7" i="7"/>
  <c r="H10" i="7" s="1"/>
  <c r="N146" i="18"/>
  <c r="N152" i="18" s="1"/>
  <c r="K1" i="10"/>
  <c r="K225" i="10" s="1"/>
  <c r="J731" i="16"/>
  <c r="J78" i="16"/>
  <c r="J81" i="16" s="1"/>
  <c r="U18" i="18"/>
  <c r="D138" i="14"/>
  <c r="D512" i="16"/>
  <c r="D554" i="16" s="1"/>
  <c r="C1035" i="16"/>
  <c r="N149" i="18"/>
  <c r="E26" i="7"/>
  <c r="O134" i="18"/>
  <c r="O19" i="18"/>
  <c r="F24" i="7"/>
  <c r="BC83" i="5"/>
  <c r="T131" i="18"/>
  <c r="AE7" i="5"/>
  <c r="AE65" i="5" s="1"/>
  <c r="E4212" i="3"/>
  <c r="BI96" i="5"/>
  <c r="BI83" i="5"/>
  <c r="U131" i="18"/>
  <c r="AJ7" i="5"/>
  <c r="AJ19" i="5" s="1"/>
  <c r="H269" i="16"/>
  <c r="B68" i="9"/>
  <c r="B22" i="9"/>
  <c r="B2920" i="16" s="1"/>
  <c r="B2112" i="16"/>
  <c r="D2017" i="16"/>
  <c r="D2018" i="16" s="1"/>
  <c r="J1" i="10"/>
  <c r="J225" i="10" s="1"/>
  <c r="I78" i="16"/>
  <c r="I81" i="16" s="1"/>
  <c r="I731" i="16"/>
  <c r="K30" i="7"/>
  <c r="D1" i="10"/>
  <c r="D225" i="10" s="1"/>
  <c r="F4" i="16"/>
  <c r="C36" i="16" s="1"/>
  <c r="C78" i="16"/>
  <c r="L1" i="10"/>
  <c r="L225" i="10" s="1"/>
  <c r="K731" i="16"/>
  <c r="C1477" i="16"/>
  <c r="C1484" i="16" s="1"/>
  <c r="V131" i="18"/>
  <c r="AO7" i="5"/>
  <c r="AO19" i="5" s="1"/>
  <c r="AO21" i="5" s="1"/>
  <c r="C1124" i="16"/>
  <c r="N142" i="18"/>
  <c r="W147" i="18"/>
  <c r="W153" i="18" s="1"/>
  <c r="H172" i="18" s="1"/>
  <c r="O177" i="13"/>
  <c r="O181" i="13" s="1"/>
  <c r="O197" i="13"/>
  <c r="E1022" i="16"/>
  <c r="J1022" i="16" s="1"/>
  <c r="C1821" i="16"/>
  <c r="D1139" i="16"/>
  <c r="H1139" i="16" s="1"/>
  <c r="P149" i="18"/>
  <c r="G26" i="7"/>
  <c r="AA198" i="18"/>
  <c r="AE83" i="5"/>
  <c r="C185" i="14"/>
  <c r="AE90" i="5"/>
  <c r="C198" i="14"/>
  <c r="K164" i="12"/>
  <c r="W131" i="18"/>
  <c r="AT7" i="5"/>
  <c r="AT19" i="5" s="1"/>
  <c r="AT21" i="5" s="1"/>
  <c r="C1800" i="16"/>
  <c r="D1124" i="16"/>
  <c r="D1479" i="16"/>
  <c r="O142" i="18"/>
  <c r="N147" i="18"/>
  <c r="N153" i="18" s="1"/>
  <c r="F177" i="13"/>
  <c r="X147" i="18"/>
  <c r="X153" i="18" s="1"/>
  <c r="I172" i="18" s="1"/>
  <c r="P177" i="13"/>
  <c r="K1454" i="16"/>
  <c r="K1469" i="16" s="1"/>
  <c r="D1821" i="16"/>
  <c r="E1139" i="16"/>
  <c r="I1139" i="16" s="1"/>
  <c r="O148" i="18"/>
  <c r="O154" i="18" s="1"/>
  <c r="D2031" i="16"/>
  <c r="D80" i="16"/>
  <c r="P21" i="18"/>
  <c r="W114" i="18"/>
  <c r="AT173" i="5"/>
  <c r="G27" i="7"/>
  <c r="AJ83" i="5"/>
  <c r="D185" i="14"/>
  <c r="AJ90" i="5"/>
  <c r="D198" i="14"/>
  <c r="E198" i="14" s="1"/>
  <c r="P146" i="18"/>
  <c r="E97" i="14"/>
  <c r="E96" i="14" s="1"/>
  <c r="O147" i="18"/>
  <c r="O153" i="18" s="1"/>
  <c r="G177" i="13"/>
  <c r="Y147" i="18"/>
  <c r="Y153" i="18" s="1"/>
  <c r="Q177" i="13"/>
  <c r="L1454" i="16"/>
  <c r="L1469" i="16" s="1"/>
  <c r="E1821" i="16"/>
  <c r="E1828" i="16" s="1"/>
  <c r="P148" i="18"/>
  <c r="P154" i="18" s="1"/>
  <c r="F289" i="10"/>
  <c r="Y111" i="18"/>
  <c r="BC165" i="5"/>
  <c r="H31" i="7"/>
  <c r="P31" i="7"/>
  <c r="Y186" i="18" s="1"/>
  <c r="O3" i="18"/>
  <c r="O4" i="18" s="1"/>
  <c r="F7" i="7"/>
  <c r="F10" i="7" s="1"/>
  <c r="J18" i="18"/>
  <c r="M18" i="18"/>
  <c r="AO83" i="5"/>
  <c r="C1479" i="16"/>
  <c r="N133" i="18"/>
  <c r="D244" i="10"/>
  <c r="F12" i="16"/>
  <c r="D773" i="16"/>
  <c r="T139" i="18"/>
  <c r="AE37" i="5"/>
  <c r="C519" i="16"/>
  <c r="C561" i="16" s="1"/>
  <c r="F54" i="9"/>
  <c r="Q146" i="18"/>
  <c r="F97" i="14"/>
  <c r="F96" i="14" s="1"/>
  <c r="Q148" i="18"/>
  <c r="G289" i="10"/>
  <c r="Q45" i="14"/>
  <c r="S19" i="7"/>
  <c r="L51" i="9"/>
  <c r="E2080" i="16"/>
  <c r="E2082" i="16" s="1"/>
  <c r="K52" i="9"/>
  <c r="O27" i="7"/>
  <c r="X190" i="18" s="1"/>
  <c r="P3" i="18"/>
  <c r="G7" i="7"/>
  <c r="G10" i="7" s="1"/>
  <c r="G36" i="7" s="1"/>
  <c r="L18" i="18"/>
  <c r="AT83" i="5"/>
  <c r="O133" i="18"/>
  <c r="E244" i="10"/>
  <c r="G12" i="16"/>
  <c r="X134" i="18"/>
  <c r="E1129" i="16"/>
  <c r="D1593" i="16"/>
  <c r="O139" i="18"/>
  <c r="R148" i="18"/>
  <c r="H289" i="10"/>
  <c r="Z104" i="5"/>
  <c r="Z96" i="5" s="1"/>
  <c r="E3748" i="3"/>
  <c r="AY96" i="5"/>
  <c r="F750" i="16"/>
  <c r="H27" i="7"/>
  <c r="P27" i="7"/>
  <c r="Y190" i="18" s="1"/>
  <c r="Q22" i="18"/>
  <c r="W3" i="18"/>
  <c r="N7" i="7"/>
  <c r="N10" i="7" s="1"/>
  <c r="N20" i="7" s="1"/>
  <c r="N18" i="18"/>
  <c r="O18" i="18"/>
  <c r="D21" i="26"/>
  <c r="I1" i="10"/>
  <c r="I225" i="10" s="1"/>
  <c r="H78" i="16"/>
  <c r="H81" i="16" s="1"/>
  <c r="H731" i="16"/>
  <c r="E1479" i="16"/>
  <c r="Y134" i="18"/>
  <c r="E1593" i="16"/>
  <c r="F1482" i="16"/>
  <c r="R42" i="26"/>
  <c r="R57" i="26" s="1"/>
  <c r="BD96" i="5"/>
  <c r="BC96" i="5" s="1"/>
  <c r="BC107" i="5" s="1"/>
  <c r="E6" i="30" s="1"/>
  <c r="E10" i="30" s="1"/>
  <c r="E14" i="30" s="1"/>
  <c r="G750" i="16"/>
  <c r="D2027" i="16"/>
  <c r="I27" i="7"/>
  <c r="BI78" i="5"/>
  <c r="Q27" i="7"/>
  <c r="Z190" i="18" s="1"/>
  <c r="G185" i="16"/>
  <c r="G494" i="16"/>
  <c r="AE86" i="5"/>
  <c r="C195" i="14"/>
  <c r="E1" i="10"/>
  <c r="E225" i="10" s="1"/>
  <c r="G4" i="16"/>
  <c r="D78" i="16"/>
  <c r="M1" i="10"/>
  <c r="M225" i="10" s="1"/>
  <c r="L731" i="16"/>
  <c r="D1477" i="16"/>
  <c r="D1484" i="16" s="1"/>
  <c r="X131" i="18"/>
  <c r="AY7" i="5"/>
  <c r="AY65" i="5" s="1"/>
  <c r="E1124" i="16"/>
  <c r="D1800" i="16"/>
  <c r="N132" i="18"/>
  <c r="F105" i="13"/>
  <c r="F141" i="13" s="1"/>
  <c r="F11" i="16"/>
  <c r="C38" i="16" s="1"/>
  <c r="W139" i="18"/>
  <c r="AT37" i="5"/>
  <c r="F519" i="16"/>
  <c r="F561" i="16" s="1"/>
  <c r="C1815" i="16"/>
  <c r="C1816" i="16" s="1"/>
  <c r="H1812" i="16" s="1"/>
  <c r="R146" i="18"/>
  <c r="G97" i="14"/>
  <c r="G96" i="14" s="1"/>
  <c r="R177" i="13"/>
  <c r="BI114" i="5"/>
  <c r="F1821" i="16"/>
  <c r="F1828" i="16" s="1"/>
  <c r="S148" i="18"/>
  <c r="I289" i="10"/>
  <c r="Q149" i="18"/>
  <c r="H26" i="7"/>
  <c r="M2027" i="16"/>
  <c r="D2042" i="16" s="1"/>
  <c r="C189" i="14"/>
  <c r="K27" i="7"/>
  <c r="N27" i="7"/>
  <c r="W190" i="18" s="1"/>
  <c r="R3" i="18"/>
  <c r="I7" i="7"/>
  <c r="I10" i="7" s="1"/>
  <c r="I36" i="7" s="1"/>
  <c r="F6" i="16"/>
  <c r="F9" i="16"/>
  <c r="AJ86" i="5"/>
  <c r="D195" i="14"/>
  <c r="F1" i="10"/>
  <c r="F225" i="10" s="1"/>
  <c r="E731" i="16"/>
  <c r="H4" i="16"/>
  <c r="E78" i="16"/>
  <c r="Y131" i="18"/>
  <c r="BD7" i="5"/>
  <c r="BD59" i="5" s="1"/>
  <c r="C2328" i="16"/>
  <c r="O2367" i="16"/>
  <c r="N2368" i="16" s="1"/>
  <c r="N2369" i="16" s="1"/>
  <c r="E1800" i="16"/>
  <c r="F1479" i="16"/>
  <c r="O132" i="18"/>
  <c r="G105" i="13"/>
  <c r="G141" i="13" s="1"/>
  <c r="G11" i="16"/>
  <c r="X139" i="18"/>
  <c r="AY37" i="5"/>
  <c r="D1815" i="16"/>
  <c r="D1816" i="16" s="1"/>
  <c r="I1812" i="16" s="1"/>
  <c r="G519" i="16"/>
  <c r="G561" i="16" s="1"/>
  <c r="Q147" i="18"/>
  <c r="I177" i="13"/>
  <c r="R149" i="18"/>
  <c r="I26" i="7"/>
  <c r="C326" i="16"/>
  <c r="C338" i="16" s="1"/>
  <c r="N2027" i="16"/>
  <c r="D189" i="14"/>
  <c r="L27" i="7"/>
  <c r="U190" i="18" s="1"/>
  <c r="G1" i="10"/>
  <c r="G225" i="10" s="1"/>
  <c r="F78" i="16"/>
  <c r="F81" i="16" s="1"/>
  <c r="F731" i="16"/>
  <c r="N131" i="18"/>
  <c r="D4409" i="3"/>
  <c r="E4409" i="3" s="1"/>
  <c r="BI7" i="5"/>
  <c r="BI19" i="5" s="1"/>
  <c r="BI21" i="5" s="1"/>
  <c r="F1800" i="16"/>
  <c r="G1479" i="16"/>
  <c r="Y139" i="18"/>
  <c r="BD37" i="5"/>
  <c r="E1815" i="16"/>
  <c r="E1816" i="16" s="1"/>
  <c r="H519" i="16"/>
  <c r="H561" i="16" s="1"/>
  <c r="W146" i="18"/>
  <c r="L97" i="14"/>
  <c r="L96" i="14" s="1"/>
  <c r="I50" i="9"/>
  <c r="E1020" i="16"/>
  <c r="J1020" i="16" s="1"/>
  <c r="D1137" i="16"/>
  <c r="C1820" i="16"/>
  <c r="R147" i="18"/>
  <c r="J177" i="13"/>
  <c r="X148" i="18"/>
  <c r="X154" i="18" s="1"/>
  <c r="I173" i="18" s="1"/>
  <c r="N289" i="10"/>
  <c r="AY108" i="5"/>
  <c r="E1138" i="16"/>
  <c r="I1138" i="16" s="1"/>
  <c r="O1454" i="16"/>
  <c r="O1469" i="16" s="1"/>
  <c r="S149" i="18"/>
  <c r="J26" i="7"/>
  <c r="D326" i="16"/>
  <c r="D338" i="16" s="1"/>
  <c r="D344" i="16"/>
  <c r="D356" i="16" s="1"/>
  <c r="AT97" i="5"/>
  <c r="I2848" i="16"/>
  <c r="F31" i="7"/>
  <c r="N31" i="7"/>
  <c r="W186" i="18" s="1"/>
  <c r="L192" i="16"/>
  <c r="I199" i="16" s="1"/>
  <c r="M192" i="16"/>
  <c r="J199" i="16" s="1"/>
  <c r="D1822" i="16"/>
  <c r="D1829" i="16" s="1"/>
  <c r="H1" i="10"/>
  <c r="H225" i="10" s="1"/>
  <c r="G78" i="16"/>
  <c r="G81" i="16" s="1"/>
  <c r="G731" i="16"/>
  <c r="O131" i="18"/>
  <c r="BI37" i="5"/>
  <c r="F1815" i="16"/>
  <c r="F1816" i="16" s="1"/>
  <c r="K1811" i="16" s="1"/>
  <c r="X146" i="18"/>
  <c r="M97" i="14"/>
  <c r="M96" i="14" s="1"/>
  <c r="J50" i="9"/>
  <c r="G1454" i="16"/>
  <c r="G1469" i="16" s="1"/>
  <c r="E1137" i="16"/>
  <c r="D1820" i="16"/>
  <c r="S147" i="18"/>
  <c r="K177" i="13"/>
  <c r="N148" i="18"/>
  <c r="N154" i="18" s="1"/>
  <c r="C2031" i="16"/>
  <c r="Y148" i="18"/>
  <c r="Y154" i="18" s="1"/>
  <c r="O289" i="10"/>
  <c r="BD108" i="5"/>
  <c r="P1454" i="16"/>
  <c r="P1469" i="16" s="1"/>
  <c r="E1822" i="16"/>
  <c r="E1829" i="16" s="1"/>
  <c r="W111" i="18"/>
  <c r="AT165" i="5"/>
  <c r="G31" i="7"/>
  <c r="O31" i="7"/>
  <c r="X186" i="18" s="1"/>
  <c r="R42" i="7"/>
  <c r="R50" i="7" s="1"/>
  <c r="G188" i="16"/>
  <c r="C195" i="16"/>
  <c r="F1381" i="16"/>
  <c r="G1375" i="16"/>
  <c r="G9" i="16"/>
  <c r="K7" i="16"/>
  <c r="G6" i="16"/>
  <c r="L1028" i="16"/>
  <c r="G1016" i="16"/>
  <c r="B1029" i="16"/>
  <c r="G1029" i="16" s="1"/>
  <c r="E282" i="16"/>
  <c r="F277" i="16"/>
  <c r="F282" i="16" s="1"/>
  <c r="F480" i="16"/>
  <c r="F482" i="16" s="1"/>
  <c r="I1131" i="16"/>
  <c r="F773" i="16"/>
  <c r="G773" i="16" s="1"/>
  <c r="H773" i="16" s="1"/>
  <c r="M5" i="16"/>
  <c r="F37" i="16"/>
  <c r="F479" i="16"/>
  <c r="B515" i="16"/>
  <c r="B1028" i="16"/>
  <c r="G1028" i="16" s="1"/>
  <c r="B1022" i="16"/>
  <c r="G1022" i="16" s="1"/>
  <c r="G1015" i="16"/>
  <c r="E140" i="16"/>
  <c r="E145" i="16" s="1"/>
  <c r="E162" i="16" s="1"/>
  <c r="F166" i="16"/>
  <c r="B530" i="16"/>
  <c r="B551" i="16" s="1"/>
  <c r="F947" i="16"/>
  <c r="G948" i="16" s="1"/>
  <c r="J1013" i="16"/>
  <c r="J1014" i="16"/>
  <c r="C1084" i="16"/>
  <c r="C1086" i="16" s="1"/>
  <c r="D1086" i="16" s="1"/>
  <c r="D1087" i="16" s="1"/>
  <c r="O1453" i="16"/>
  <c r="K1458" i="16"/>
  <c r="D1565" i="16"/>
  <c r="F90" i="14"/>
  <c r="F100" i="14"/>
  <c r="F105" i="14" s="1"/>
  <c r="E76" i="25"/>
  <c r="F72" i="25"/>
  <c r="E72" i="25"/>
  <c r="E504" i="16"/>
  <c r="D868" i="16"/>
  <c r="E868" i="16" s="1"/>
  <c r="J1015" i="16"/>
  <c r="B1021" i="16"/>
  <c r="G1021" i="16" s="1"/>
  <c r="H1133" i="16"/>
  <c r="E1253" i="16"/>
  <c r="P1453" i="16"/>
  <c r="N14" i="14"/>
  <c r="N15" i="14" s="1"/>
  <c r="O12" i="14"/>
  <c r="N12" i="14"/>
  <c r="H1543" i="16" s="1"/>
  <c r="F50" i="25"/>
  <c r="F41" i="25" s="1"/>
  <c r="E53" i="25"/>
  <c r="E41" i="25"/>
  <c r="C2238" i="16"/>
  <c r="C2244" i="16" s="1"/>
  <c r="J87" i="14"/>
  <c r="J30" i="14"/>
  <c r="J28" i="14"/>
  <c r="G49" i="16"/>
  <c r="P949" i="16"/>
  <c r="F997" i="16"/>
  <c r="G1014" i="16"/>
  <c r="E1381" i="16"/>
  <c r="H1468" i="16"/>
  <c r="D2238" i="16"/>
  <c r="D2244" i="16" s="1"/>
  <c r="E2237" i="16"/>
  <c r="H14" i="19"/>
  <c r="G178" i="16"/>
  <c r="K180" i="13"/>
  <c r="E59" i="9"/>
  <c r="J65" i="14"/>
  <c r="Q185" i="10"/>
  <c r="D282" i="16"/>
  <c r="K1453" i="16"/>
  <c r="K1467" i="16"/>
  <c r="D2182" i="16"/>
  <c r="H38" i="7"/>
  <c r="I12" i="7"/>
  <c r="E166" i="16"/>
  <c r="L1453" i="16"/>
  <c r="L1467" i="16"/>
  <c r="D1950" i="16"/>
  <c r="G1950" i="16" s="1"/>
  <c r="H1950" i="16" s="1"/>
  <c r="J14" i="19"/>
  <c r="I178" i="16"/>
  <c r="L29" i="7"/>
  <c r="U183" i="18" s="1"/>
  <c r="G59" i="9"/>
  <c r="N85" i="14"/>
  <c r="B2485" i="16"/>
  <c r="B2490" i="16" s="1"/>
  <c r="B2496" i="16" s="1"/>
  <c r="I14" i="19"/>
  <c r="H178" i="16"/>
  <c r="L180" i="13"/>
  <c r="F59" i="9"/>
  <c r="M12" i="14"/>
  <c r="G1543" i="16" s="1"/>
  <c r="G90" i="14"/>
  <c r="G100" i="14"/>
  <c r="G105" i="14" s="1"/>
  <c r="O85" i="14"/>
  <c r="F139" i="10"/>
  <c r="F151" i="10" s="1"/>
  <c r="F149" i="10"/>
  <c r="J117" i="10"/>
  <c r="J144" i="10" s="1"/>
  <c r="M160" i="10"/>
  <c r="B2486" i="16"/>
  <c r="B2491" i="16" s="1"/>
  <c r="B2497" i="16" s="1"/>
  <c r="C14" i="19"/>
  <c r="K14" i="19"/>
  <c r="J178" i="16"/>
  <c r="M29" i="7"/>
  <c r="V183" i="18" s="1"/>
  <c r="C47" i="14"/>
  <c r="C56" i="14" s="1"/>
  <c r="O15" i="14"/>
  <c r="K22" i="14"/>
  <c r="K61" i="14"/>
  <c r="L18" i="14"/>
  <c r="D14" i="19"/>
  <c r="C495" i="16"/>
  <c r="K157" i="12"/>
  <c r="K160" i="12" s="1"/>
  <c r="L14" i="19"/>
  <c r="K178" i="16"/>
  <c r="N29" i="7"/>
  <c r="W183" i="18" s="1"/>
  <c r="G38" i="7"/>
  <c r="F64" i="25"/>
  <c r="G2" i="25"/>
  <c r="F119" i="25"/>
  <c r="F112" i="25" s="1"/>
  <c r="E14" i="19"/>
  <c r="D178" i="16"/>
  <c r="M14" i="19"/>
  <c r="O30" i="7"/>
  <c r="X194" i="18" s="1"/>
  <c r="D4" i="14"/>
  <c r="D9" i="14" s="1"/>
  <c r="P3" i="14"/>
  <c r="Q3" i="14" s="1"/>
  <c r="R3" i="14" s="1"/>
  <c r="S3" i="14" s="1"/>
  <c r="T3" i="14" s="1"/>
  <c r="U3" i="14" s="1"/>
  <c r="V3" i="14" s="1"/>
  <c r="W3" i="14" s="1"/>
  <c r="X3" i="14" s="1"/>
  <c r="Y3" i="14" s="1"/>
  <c r="Z3" i="14" s="1"/>
  <c r="AA3" i="14" s="1"/>
  <c r="AB3" i="14" s="1"/>
  <c r="AC3" i="14" s="1"/>
  <c r="E131" i="14"/>
  <c r="K79" i="14"/>
  <c r="K30" i="14"/>
  <c r="J282" i="10"/>
  <c r="D1693" i="16" s="1"/>
  <c r="K272" i="10"/>
  <c r="F14" i="19"/>
  <c r="E491" i="16"/>
  <c r="E185" i="16"/>
  <c r="E186" i="16"/>
  <c r="I253" i="8"/>
  <c r="I180" i="13"/>
  <c r="C59" i="9"/>
  <c r="N14" i="19"/>
  <c r="P29" i="7"/>
  <c r="Y183" i="18" s="1"/>
  <c r="P30" i="7"/>
  <c r="Y194" i="18" s="1"/>
  <c r="C125" i="14"/>
  <c r="C126" i="14" s="1"/>
  <c r="D22" i="14"/>
  <c r="D42" i="14" s="1"/>
  <c r="N66" i="14"/>
  <c r="F136" i="14"/>
  <c r="F131" i="14"/>
  <c r="L20" i="14"/>
  <c r="L22" i="14" s="1"/>
  <c r="F189" i="25"/>
  <c r="G14" i="19"/>
  <c r="F185" i="16"/>
  <c r="F186" i="16"/>
  <c r="J180" i="13"/>
  <c r="D59" i="9"/>
  <c r="Q30" i="7"/>
  <c r="Z194" i="18" s="1"/>
  <c r="K8" i="14"/>
  <c r="H202" i="16" s="1"/>
  <c r="L7" i="14"/>
  <c r="I30" i="14"/>
  <c r="I87" i="14"/>
  <c r="K47" i="14"/>
  <c r="L79" i="14"/>
  <c r="M4" i="14"/>
  <c r="L12" i="14"/>
  <c r="J14" i="14"/>
  <c r="J15" i="14" s="1"/>
  <c r="N22" i="14"/>
  <c r="O28" i="14"/>
  <c r="C131" i="14"/>
  <c r="I79" i="14"/>
  <c r="AG45" i="14"/>
  <c r="I47" i="14"/>
  <c r="F26" i="25"/>
  <c r="H200" i="25"/>
  <c r="I199" i="25"/>
  <c r="F128" i="14"/>
  <c r="J18" i="14"/>
  <c r="D28" i="14"/>
  <c r="M30" i="14"/>
  <c r="D131" i="14"/>
  <c r="J79" i="14"/>
  <c r="J47" i="14"/>
  <c r="D124" i="14"/>
  <c r="H9" i="25"/>
  <c r="J59" i="25"/>
  <c r="J8" i="14"/>
  <c r="G202" i="16" s="1"/>
  <c r="M18" i="14"/>
  <c r="G1544" i="16" s="1"/>
  <c r="J22" i="14"/>
  <c r="J29" i="14" s="1"/>
  <c r="AL6" i="14" s="1"/>
  <c r="K28" i="14"/>
  <c r="C43" i="14"/>
  <c r="M100" i="14"/>
  <c r="M90" i="14"/>
  <c r="E16" i="25"/>
  <c r="E18" i="25" s="1"/>
  <c r="F12" i="25"/>
  <c r="F14" i="25" s="1"/>
  <c r="D12" i="14"/>
  <c r="N18" i="14"/>
  <c r="H1544" i="16" s="1"/>
  <c r="L87" i="14"/>
  <c r="L28" i="14"/>
  <c r="D43" i="14"/>
  <c r="E125" i="14"/>
  <c r="E126" i="14" s="1"/>
  <c r="K4" i="14"/>
  <c r="J12" i="14"/>
  <c r="D14" i="14"/>
  <c r="D15" i="14" s="1"/>
  <c r="C61" i="14"/>
  <c r="O18" i="14"/>
  <c r="M86" i="14"/>
  <c r="M28" i="14"/>
  <c r="I43" i="14"/>
  <c r="D127" i="14"/>
  <c r="E62" i="25"/>
  <c r="E122" i="25" s="1"/>
  <c r="E78" i="25"/>
  <c r="F79" i="25"/>
  <c r="F126" i="14"/>
  <c r="L4" i="14"/>
  <c r="K12" i="14"/>
  <c r="I14" i="14"/>
  <c r="D61" i="14"/>
  <c r="H79" i="14"/>
  <c r="H85" i="14" s="1"/>
  <c r="H65" i="14"/>
  <c r="F20" i="25"/>
  <c r="E5" i="25"/>
  <c r="I30" i="25"/>
  <c r="F87" i="25"/>
  <c r="E86" i="25"/>
  <c r="S54" i="10"/>
  <c r="O86" i="10"/>
  <c r="O76" i="10"/>
  <c r="Q137" i="10"/>
  <c r="P110" i="10"/>
  <c r="H166" i="10"/>
  <c r="H187" i="10" s="1"/>
  <c r="L191" i="10"/>
  <c r="K161" i="10"/>
  <c r="F75" i="25"/>
  <c r="U86" i="10"/>
  <c r="B190" i="10"/>
  <c r="B216" i="10"/>
  <c r="H238" i="13"/>
  <c r="N193" i="10"/>
  <c r="N184" i="10"/>
  <c r="H251" i="13" s="1"/>
  <c r="O167" i="10"/>
  <c r="N160" i="10"/>
  <c r="N167" i="10"/>
  <c r="N159" i="10"/>
  <c r="N194" i="10"/>
  <c r="N196" i="10"/>
  <c r="N185" i="10"/>
  <c r="N186" i="10"/>
  <c r="M180" i="10"/>
  <c r="M181" i="10" s="1"/>
  <c r="N178" i="10"/>
  <c r="O178" i="10" s="1"/>
  <c r="F15" i="22"/>
  <c r="F17" i="22" s="1"/>
  <c r="F20" i="22"/>
  <c r="N282" i="10"/>
  <c r="H1693" i="16" s="1"/>
  <c r="N245" i="10"/>
  <c r="R190" i="10"/>
  <c r="O245" i="10"/>
  <c r="AZ140" i="5"/>
  <c r="FR374" i="5"/>
  <c r="T193" i="10"/>
  <c r="AF157" i="5"/>
  <c r="FO418" i="5"/>
  <c r="FR419" i="5"/>
  <c r="M218" i="5"/>
  <c r="D269" i="5"/>
  <c r="H270" i="5"/>
  <c r="H271" i="5"/>
  <c r="CS301" i="5"/>
  <c r="E149" i="10"/>
  <c r="E139" i="10"/>
  <c r="E151" i="10" s="1"/>
  <c r="J161" i="10"/>
  <c r="J325" i="10" s="1"/>
  <c r="G15" i="22"/>
  <c r="G17" i="22" s="1"/>
  <c r="G20" i="22"/>
  <c r="F272" i="10"/>
  <c r="D1545" i="16"/>
  <c r="DA206" i="5"/>
  <c r="G263" i="5"/>
  <c r="G139" i="10"/>
  <c r="G151" i="10" s="1"/>
  <c r="G149" i="10"/>
  <c r="R102" i="13"/>
  <c r="R117" i="13" s="1"/>
  <c r="J246" i="13" s="1"/>
  <c r="BI34" i="5"/>
  <c r="BI36" i="5" s="1"/>
  <c r="CK206" i="5"/>
  <c r="Q132" i="10"/>
  <c r="R126" i="10"/>
  <c r="T151" i="10"/>
  <c r="T145" i="10"/>
  <c r="C262" i="16"/>
  <c r="N116" i="10"/>
  <c r="O143" i="10"/>
  <c r="O116" i="10" s="1"/>
  <c r="O113" i="10" s="1"/>
  <c r="O204" i="10" s="1"/>
  <c r="G8" i="22" s="1"/>
  <c r="X61" i="29"/>
  <c r="D186" i="10"/>
  <c r="S191" i="10"/>
  <c r="G80" i="5"/>
  <c r="G81" i="5" s="1"/>
  <c r="AB273" i="5"/>
  <c r="K93" i="28" s="1"/>
  <c r="D187" i="10"/>
  <c r="D20" i="22"/>
  <c r="D15" i="22"/>
  <c r="D17" i="22" s="1"/>
  <c r="L245" i="10"/>
  <c r="L282" i="10"/>
  <c r="F1693" i="16" s="1"/>
  <c r="BD67" i="5"/>
  <c r="G119" i="10"/>
  <c r="G146" i="10" s="1"/>
  <c r="Q118" i="10"/>
  <c r="Q128" i="10"/>
  <c r="R120" i="10"/>
  <c r="R147" i="10" s="1"/>
  <c r="J181" i="10"/>
  <c r="I131" i="10"/>
  <c r="H131" i="10" s="1"/>
  <c r="L142" i="10"/>
  <c r="L115" i="10" s="1"/>
  <c r="K115" i="10"/>
  <c r="K204" i="10" s="1"/>
  <c r="D189" i="10"/>
  <c r="D188" i="10"/>
  <c r="D201" i="10" s="1"/>
  <c r="D195" i="10"/>
  <c r="D191" i="10"/>
  <c r="D185" i="10"/>
  <c r="T189" i="10"/>
  <c r="D193" i="10"/>
  <c r="D196" i="10"/>
  <c r="G22" i="22"/>
  <c r="O272" i="10"/>
  <c r="P272" i="10"/>
  <c r="N114" i="10"/>
  <c r="N128" i="10"/>
  <c r="O129" i="10" s="1"/>
  <c r="N137" i="10"/>
  <c r="I192" i="10"/>
  <c r="I201" i="10" s="1"/>
  <c r="E15" i="22"/>
  <c r="E17" i="22" s="1"/>
  <c r="E20" i="22"/>
  <c r="M245" i="10"/>
  <c r="M282" i="10"/>
  <c r="G1693" i="16" s="1"/>
  <c r="N117" i="10"/>
  <c r="I128" i="10"/>
  <c r="I129" i="10" s="1"/>
  <c r="D139" i="10"/>
  <c r="D151" i="10" s="1"/>
  <c r="N145" i="10"/>
  <c r="E166" i="10"/>
  <c r="H20" i="22"/>
  <c r="H15" i="22"/>
  <c r="H17" i="22" s="1"/>
  <c r="P245" i="10"/>
  <c r="P282" i="10"/>
  <c r="J1693" i="16" s="1"/>
  <c r="I312" i="10"/>
  <c r="K345" i="10"/>
  <c r="K347" i="10" s="1"/>
  <c r="K335" i="10"/>
  <c r="L335" i="10" s="1"/>
  <c r="K336" i="10"/>
  <c r="L336" i="10" s="1"/>
  <c r="J312" i="10"/>
  <c r="S62" i="13"/>
  <c r="H245" i="13"/>
  <c r="P112" i="13"/>
  <c r="I144" i="10"/>
  <c r="N187" i="10"/>
  <c r="E22" i="22"/>
  <c r="L272" i="10"/>
  <c r="K311" i="10"/>
  <c r="C15" i="22"/>
  <c r="C17" i="22" s="1"/>
  <c r="C20" i="22"/>
  <c r="K245" i="10"/>
  <c r="F22" i="22"/>
  <c r="M272" i="10"/>
  <c r="K282" i="10"/>
  <c r="E1693" i="16" s="1"/>
  <c r="F295" i="13"/>
  <c r="N185" i="13"/>
  <c r="F297" i="13" s="1"/>
  <c r="O183" i="13"/>
  <c r="Q132" i="3"/>
  <c r="R135" i="3"/>
  <c r="O136" i="3" s="1"/>
  <c r="E4806" i="3"/>
  <c r="D4806" i="3"/>
  <c r="Q102" i="13"/>
  <c r="G273" i="13"/>
  <c r="P150" i="13"/>
  <c r="H312" i="10"/>
  <c r="C3114" i="3"/>
  <c r="D18" i="19"/>
  <c r="G92" i="13"/>
  <c r="G93" i="13"/>
  <c r="G83" i="13"/>
  <c r="G88" i="13"/>
  <c r="G79" i="13"/>
  <c r="J245" i="13"/>
  <c r="R112" i="13"/>
  <c r="R114" i="13" s="1"/>
  <c r="P142" i="13"/>
  <c r="F267" i="13"/>
  <c r="N147" i="13"/>
  <c r="F269" i="13" s="1"/>
  <c r="D3114" i="3"/>
  <c r="G73" i="13"/>
  <c r="G77" i="13"/>
  <c r="G5" i="19"/>
  <c r="J224" i="13"/>
  <c r="K226" i="13"/>
  <c r="K245" i="13"/>
  <c r="S112" i="13"/>
  <c r="N247" i="13"/>
  <c r="Q142" i="13"/>
  <c r="E3114" i="3"/>
  <c r="R93" i="13"/>
  <c r="C9" i="19"/>
  <c r="R142" i="13"/>
  <c r="F3114" i="3"/>
  <c r="H76" i="13"/>
  <c r="H98" i="13" s="1"/>
  <c r="G52" i="13"/>
  <c r="O102" i="13"/>
  <c r="O63" i="13"/>
  <c r="J17" i="19"/>
  <c r="N72" i="13"/>
  <c r="M73" i="13"/>
  <c r="L95" i="13"/>
  <c r="I242" i="16" s="1"/>
  <c r="E108" i="13"/>
  <c r="J103" i="13"/>
  <c r="H247" i="13"/>
  <c r="O57" i="13"/>
  <c r="O58" i="13" s="1"/>
  <c r="F67" i="13"/>
  <c r="F90" i="13" s="1"/>
  <c r="N87" i="13"/>
  <c r="H5" i="19"/>
  <c r="L226" i="13"/>
  <c r="K103" i="13"/>
  <c r="O112" i="13"/>
  <c r="O114" i="13" s="1"/>
  <c r="F285" i="13"/>
  <c r="D173" i="18"/>
  <c r="N160" i="13"/>
  <c r="F284" i="13" s="1"/>
  <c r="F256" i="13"/>
  <c r="N126" i="13"/>
  <c r="D9" i="19"/>
  <c r="N63" i="13"/>
  <c r="N66" i="13" s="1"/>
  <c r="N92" i="13" s="1"/>
  <c r="I67" i="13"/>
  <c r="I80" i="13" s="1"/>
  <c r="G76" i="13"/>
  <c r="G98" i="13" s="1"/>
  <c r="K90" i="13"/>
  <c r="F103" i="13"/>
  <c r="L245" i="13"/>
  <c r="M135" i="13"/>
  <c r="K209" i="13"/>
  <c r="J87" i="13"/>
  <c r="D5" i="19"/>
  <c r="H226" i="13"/>
  <c r="G103" i="13"/>
  <c r="N135" i="13"/>
  <c r="G142" i="13"/>
  <c r="N151" i="13"/>
  <c r="H206" i="13"/>
  <c r="H210" i="13"/>
  <c r="I208" i="13"/>
  <c r="K224" i="13"/>
  <c r="E5" i="19"/>
  <c r="H224" i="13"/>
  <c r="I226" i="13"/>
  <c r="H103" i="13"/>
  <c r="M142" i="13"/>
  <c r="P144" i="13"/>
  <c r="O162" i="13"/>
  <c r="F299" i="13"/>
  <c r="O187" i="13"/>
  <c r="F5" i="19"/>
  <c r="J226" i="13"/>
  <c r="I224" i="13"/>
  <c r="I103" i="13"/>
  <c r="L9" i="19"/>
  <c r="F253" i="13"/>
  <c r="G253" i="13"/>
  <c r="D65" i="17"/>
  <c r="I253" i="13"/>
  <c r="J253" i="13"/>
  <c r="C73" i="17"/>
  <c r="I252" i="8"/>
  <c r="D73" i="17"/>
  <c r="E73" i="17" s="1"/>
  <c r="J96" i="12"/>
  <c r="G2" i="21"/>
  <c r="H36" i="12"/>
  <c r="H43" i="12"/>
  <c r="J72" i="12"/>
  <c r="K72" i="12" s="1"/>
  <c r="R5" i="12"/>
  <c r="I69" i="12"/>
  <c r="I86" i="12" s="1"/>
  <c r="H86" i="12"/>
  <c r="I143" i="12"/>
  <c r="BH242" i="12"/>
  <c r="R45" i="17"/>
  <c r="J66" i="12"/>
  <c r="K66" i="12" s="1"/>
  <c r="E99" i="12"/>
  <c r="F4" i="12"/>
  <c r="E60" i="12"/>
  <c r="J70" i="12"/>
  <c r="K70" i="12" s="1"/>
  <c r="H157" i="12"/>
  <c r="H10" i="12"/>
  <c r="I8" i="12"/>
  <c r="H11" i="12"/>
  <c r="I96" i="12"/>
  <c r="J63" i="12"/>
  <c r="K74" i="12"/>
  <c r="E96" i="12"/>
  <c r="Y40" i="4"/>
  <c r="Y31" i="4"/>
  <c r="BD31" i="4" s="1"/>
  <c r="BD27" i="4"/>
  <c r="O17" i="12"/>
  <c r="Q19" i="12"/>
  <c r="P17" i="12"/>
  <c r="P21" i="12" s="1"/>
  <c r="E36" i="12"/>
  <c r="E76" i="12"/>
  <c r="E77" i="12" s="1"/>
  <c r="I64" i="12"/>
  <c r="I81" i="12" s="1"/>
  <c r="H81" i="12"/>
  <c r="C76" i="12"/>
  <c r="C77" i="12" s="1"/>
  <c r="K96" i="12"/>
  <c r="F76" i="12"/>
  <c r="F77" i="12" s="1"/>
  <c r="F96" i="12"/>
  <c r="H76" i="12"/>
  <c r="H77" i="12" s="1"/>
  <c r="I91" i="12"/>
  <c r="H91" i="12"/>
  <c r="Q224" i="12"/>
  <c r="BC242" i="12" s="1"/>
  <c r="H87" i="12"/>
  <c r="I157" i="12"/>
  <c r="I160" i="12" s="1"/>
  <c r="K224" i="12"/>
  <c r="AW218" i="12"/>
  <c r="BI218" i="12"/>
  <c r="S224" i="12"/>
  <c r="BE218" i="12"/>
  <c r="M18" i="12"/>
  <c r="H56" i="12"/>
  <c r="H57" i="12"/>
  <c r="G76" i="12"/>
  <c r="G77" i="12" s="1"/>
  <c r="G96" i="12"/>
  <c r="I71" i="12"/>
  <c r="I88" i="12" s="1"/>
  <c r="E80" i="12"/>
  <c r="I89" i="12"/>
  <c r="R245" i="12"/>
  <c r="AG260" i="12"/>
  <c r="I56" i="12"/>
  <c r="I57" i="12"/>
  <c r="I258" i="12"/>
  <c r="F236" i="12"/>
  <c r="Q258" i="12"/>
  <c r="N236" i="12"/>
  <c r="AZ239" i="12" s="1"/>
  <c r="AZ237" i="12"/>
  <c r="V236" i="12"/>
  <c r="BH239" i="12" s="1"/>
  <c r="BH237" i="12"/>
  <c r="L259" i="12"/>
  <c r="T259" i="12"/>
  <c r="S258" i="12"/>
  <c r="AE260" i="12"/>
  <c r="G80" i="12"/>
  <c r="G81" i="12"/>
  <c r="G82" i="12"/>
  <c r="O82" i="12"/>
  <c r="G83" i="12"/>
  <c r="O83" i="12"/>
  <c r="G84" i="12"/>
  <c r="O84" i="12"/>
  <c r="G85" i="12"/>
  <c r="O85" i="12"/>
  <c r="G86" i="12"/>
  <c r="G87" i="12"/>
  <c r="U224" i="12"/>
  <c r="AX218" i="12"/>
  <c r="G236" i="12"/>
  <c r="AS239" i="12" s="1"/>
  <c r="AS237" i="12"/>
  <c r="O236" i="12"/>
  <c r="BA239" i="12" s="1"/>
  <c r="BA237" i="12"/>
  <c r="W235" i="12"/>
  <c r="X258" i="12" s="1"/>
  <c r="T236" i="12"/>
  <c r="BF239" i="12" s="1"/>
  <c r="M259" i="12"/>
  <c r="U259" i="12"/>
  <c r="AF260" i="12"/>
  <c r="V258" i="12"/>
  <c r="BK20" i="4"/>
  <c r="AF27" i="4"/>
  <c r="I80" i="12"/>
  <c r="Q80" i="12"/>
  <c r="Q81" i="12"/>
  <c r="I82" i="12"/>
  <c r="Q82" i="12"/>
  <c r="I83" i="12"/>
  <c r="Q83" i="12"/>
  <c r="Q84" i="12"/>
  <c r="Q85" i="12"/>
  <c r="Q86" i="12"/>
  <c r="I87" i="12"/>
  <c r="Q87" i="12"/>
  <c r="H90" i="12"/>
  <c r="F157" i="12"/>
  <c r="AS218" i="12"/>
  <c r="O224" i="12"/>
  <c r="BA218" i="12"/>
  <c r="F258" i="12"/>
  <c r="G259" i="12"/>
  <c r="AD37" i="4"/>
  <c r="AC37" i="4"/>
  <c r="BK24" i="4"/>
  <c r="AE37" i="4"/>
  <c r="J157" i="12"/>
  <c r="J160" i="12" s="1"/>
  <c r="AV237" i="12"/>
  <c r="M258" i="12"/>
  <c r="J236" i="12"/>
  <c r="AV239" i="12" s="1"/>
  <c r="BD237" i="12"/>
  <c r="U258" i="12"/>
  <c r="R236" i="12"/>
  <c r="BD239" i="12" s="1"/>
  <c r="H259" i="12"/>
  <c r="P259" i="12"/>
  <c r="J258" i="12"/>
  <c r="J259" i="12"/>
  <c r="BI27" i="4"/>
  <c r="G89" i="12"/>
  <c r="C152" i="12"/>
  <c r="G157" i="12"/>
  <c r="G147" i="12"/>
  <c r="C236" i="12"/>
  <c r="AW237" i="12"/>
  <c r="BE237" i="12"/>
  <c r="I259" i="12"/>
  <c r="Q259" i="12"/>
  <c r="K258" i="12"/>
  <c r="AF14" i="4"/>
  <c r="I147" i="12"/>
  <c r="L258" i="12"/>
  <c r="T258" i="12"/>
  <c r="AF259" i="12"/>
  <c r="AC35" i="4"/>
  <c r="AC36" i="4"/>
  <c r="AC38" i="4"/>
  <c r="AC39" i="4"/>
  <c r="E157" i="12"/>
  <c r="K236" i="12"/>
  <c r="AW239" i="12" s="1"/>
  <c r="S236" i="12"/>
  <c r="BE239" i="12" s="1"/>
  <c r="Q244" i="12"/>
  <c r="AG259" i="12"/>
  <c r="AD36" i="4"/>
  <c r="AD38" i="4"/>
  <c r="AY218" i="12"/>
  <c r="BG218" i="12"/>
  <c r="E236" i="12"/>
  <c r="M236" i="12"/>
  <c r="AY239" i="12" s="1"/>
  <c r="U236" i="12"/>
  <c r="BG239" i="12" s="1"/>
  <c r="K244" i="12"/>
  <c r="S244" i="12"/>
  <c r="O258" i="12"/>
  <c r="AZ218" i="12"/>
  <c r="BH218" i="12"/>
  <c r="P258" i="12"/>
  <c r="D1645" i="16"/>
  <c r="E270" i="5"/>
  <c r="O270" i="5"/>
  <c r="X270" i="5"/>
  <c r="E271" i="5"/>
  <c r="O271" i="5"/>
  <c r="CW345" i="5"/>
  <c r="AR140" i="5"/>
  <c r="C1631" i="16"/>
  <c r="CV307" i="5"/>
  <c r="W1404" i="16"/>
  <c r="C809" i="16"/>
  <c r="G827" i="16"/>
  <c r="C1543" i="16"/>
  <c r="AM7" i="5"/>
  <c r="E1545" i="16" s="1"/>
  <c r="FM418" i="5"/>
  <c r="O218" i="5"/>
  <c r="R346" i="5"/>
  <c r="H1632" i="16"/>
  <c r="I1726" i="16"/>
  <c r="I1727" i="16" s="1"/>
  <c r="FQ374" i="5"/>
  <c r="AT34" i="5"/>
  <c r="AT36" i="5" s="1"/>
  <c r="BF40" i="5"/>
  <c r="CS302" i="5"/>
  <c r="D1614" i="16"/>
  <c r="D1612" i="16" s="1"/>
  <c r="H1633" i="16"/>
  <c r="DJ155" i="5"/>
  <c r="J301" i="5"/>
  <c r="CN301" i="5" s="1"/>
  <c r="AF325" i="5"/>
  <c r="AS29" i="5"/>
  <c r="Q51" i="28" s="1"/>
  <c r="AE97" i="5"/>
  <c r="AA322" i="5"/>
  <c r="D871" i="16"/>
  <c r="E871" i="16" s="1"/>
  <c r="L827" i="16"/>
  <c r="C1545" i="16"/>
  <c r="FM374" i="5"/>
  <c r="AL137" i="5"/>
  <c r="BB140" i="5"/>
  <c r="DG146" i="5"/>
  <c r="DO155" i="5"/>
  <c r="DK156" i="5"/>
  <c r="J218" i="5"/>
  <c r="CU211" i="5"/>
  <c r="I263" i="5"/>
  <c r="R263" i="5"/>
  <c r="C271" i="5"/>
  <c r="M271" i="5"/>
  <c r="V271" i="5"/>
  <c r="AA273" i="5"/>
  <c r="J93" i="28" s="1"/>
  <c r="J1726" i="16"/>
  <c r="J1727" i="16" s="1"/>
  <c r="I2636" i="16"/>
  <c r="E2636" i="16"/>
  <c r="AI7" i="5"/>
  <c r="DM7" i="5" s="1"/>
  <c r="M31" i="28" s="1"/>
  <c r="FM369" i="5"/>
  <c r="CP19" i="5"/>
  <c r="DR39" i="5"/>
  <c r="DR130" i="5"/>
  <c r="BC140" i="5"/>
  <c r="DL156" i="5"/>
  <c r="H307" i="5"/>
  <c r="H310" i="5" s="1"/>
  <c r="J304" i="5"/>
  <c r="CN304" i="5" s="1"/>
  <c r="C1535" i="16"/>
  <c r="C1538" i="16" s="1"/>
  <c r="AY67" i="5"/>
  <c r="BH148" i="5"/>
  <c r="DK206" i="5"/>
  <c r="B263" i="5"/>
  <c r="D1544" i="16"/>
  <c r="H1631" i="16"/>
  <c r="AN40" i="5"/>
  <c r="AZ273" i="5"/>
  <c r="AD93" i="28" s="1"/>
  <c r="M346" i="5"/>
  <c r="I1647" i="16"/>
  <c r="DT146" i="5"/>
  <c r="X336" i="5"/>
  <c r="Q270" i="5"/>
  <c r="DE263" i="5"/>
  <c r="G810" i="16" s="1"/>
  <c r="AA325" i="5"/>
  <c r="P94" i="10"/>
  <c r="G1584" i="16"/>
  <c r="I1634" i="16"/>
  <c r="BC80" i="5"/>
  <c r="BC81" i="5" s="1"/>
  <c r="P77" i="10"/>
  <c r="F29" i="20"/>
  <c r="I827" i="16"/>
  <c r="BC18" i="5"/>
  <c r="EG18" i="5" s="1"/>
  <c r="AC39" i="28" s="1"/>
  <c r="AJ34" i="5"/>
  <c r="AJ36" i="5" s="1"/>
  <c r="FP418" i="5"/>
  <c r="DQ146" i="5"/>
  <c r="H218" i="5"/>
  <c r="Y251" i="5"/>
  <c r="J270" i="5"/>
  <c r="S270" i="5"/>
  <c r="J271" i="5"/>
  <c r="S271" i="5"/>
  <c r="AL269" i="5"/>
  <c r="S90" i="28" s="1"/>
  <c r="DH259" i="5"/>
  <c r="H1645" i="16"/>
  <c r="K1727" i="16"/>
  <c r="CS8" i="5"/>
  <c r="U14" i="5"/>
  <c r="L21" i="1" s="1"/>
  <c r="DC29" i="5"/>
  <c r="DQ29" i="5"/>
  <c r="BI69" i="5"/>
  <c r="CP37" i="5"/>
  <c r="AN131" i="5"/>
  <c r="AN132" i="5" s="1"/>
  <c r="BH132" i="5"/>
  <c r="BG140" i="5"/>
  <c r="CK211" i="5"/>
  <c r="T335" i="5"/>
  <c r="AC273" i="5"/>
  <c r="L93" i="28" s="1"/>
  <c r="U301" i="5"/>
  <c r="H226" i="10" s="1"/>
  <c r="F240" i="10"/>
  <c r="L1727" i="16"/>
  <c r="G2636" i="16"/>
  <c r="CO8" i="5"/>
  <c r="CO10" i="5"/>
  <c r="FN374" i="5"/>
  <c r="AI36" i="5"/>
  <c r="AI38" i="5" s="1"/>
  <c r="T37" i="5"/>
  <c r="CS37" i="5" s="1"/>
  <c r="AW273" i="5"/>
  <c r="AB93" i="28" s="1"/>
  <c r="E867" i="16"/>
  <c r="E1535" i="16"/>
  <c r="CW34" i="5"/>
  <c r="AB140" i="5"/>
  <c r="AW140" i="5"/>
  <c r="CK216" i="5"/>
  <c r="AR141" i="5"/>
  <c r="AH325" i="5"/>
  <c r="AG331" i="5"/>
  <c r="L149" i="10"/>
  <c r="DW32" i="5"/>
  <c r="AC111" i="28" s="1"/>
  <c r="BF121" i="5"/>
  <c r="AC140" i="5"/>
  <c r="AX140" i="5"/>
  <c r="CQ206" i="5"/>
  <c r="DF263" i="5"/>
  <c r="H810" i="16" s="1"/>
  <c r="CX271" i="5"/>
  <c r="F277" i="10"/>
  <c r="DL8" i="5"/>
  <c r="L33" i="28" s="1"/>
  <c r="CO9" i="5"/>
  <c r="DR10" i="5"/>
  <c r="Q35" i="28" s="1"/>
  <c r="U16" i="5"/>
  <c r="L23" i="1" s="1"/>
  <c r="Z35" i="5"/>
  <c r="M61" i="1" s="1"/>
  <c r="J40" i="5"/>
  <c r="AD140" i="5"/>
  <c r="AN160" i="5"/>
  <c r="AN151" i="5"/>
  <c r="DF211" i="5"/>
  <c r="L271" i="5"/>
  <c r="T271" i="5"/>
  <c r="M308" i="5"/>
  <c r="I1404" i="16"/>
  <c r="F278" i="10"/>
  <c r="F23" i="20"/>
  <c r="H827" i="16"/>
  <c r="C1584" i="16"/>
  <c r="C2636" i="16"/>
  <c r="AO97" i="5"/>
  <c r="AF162" i="5"/>
  <c r="BC162" i="5"/>
  <c r="AP162" i="5"/>
  <c r="DT206" i="5"/>
  <c r="DH263" i="5"/>
  <c r="Y270" i="5"/>
  <c r="N1404" i="16"/>
  <c r="E1543" i="16"/>
  <c r="DP7" i="5"/>
  <c r="O31" i="28" s="1"/>
  <c r="AD80" i="5"/>
  <c r="AD81" i="5" s="1"/>
  <c r="AW137" i="5"/>
  <c r="DK155" i="5"/>
  <c r="DG156" i="5"/>
  <c r="M334" i="5"/>
  <c r="W334" i="5"/>
  <c r="X263" i="5"/>
  <c r="Y266" i="5" s="1"/>
  <c r="O307" i="5"/>
  <c r="O308" i="5" s="1"/>
  <c r="CX273" i="5"/>
  <c r="AD321" i="5"/>
  <c r="AD322" i="5" s="1"/>
  <c r="D2636" i="16"/>
  <c r="AD7" i="5"/>
  <c r="AD59" i="5" s="1"/>
  <c r="FL374" i="5"/>
  <c r="FU374" i="5"/>
  <c r="AD37" i="5"/>
  <c r="E57" i="28" s="1"/>
  <c r="EB8" i="5"/>
  <c r="Y33" i="28" s="1"/>
  <c r="BC7" i="5"/>
  <c r="F2636" i="16"/>
  <c r="BA59" i="5"/>
  <c r="BA61" i="5" s="1"/>
  <c r="BA62" i="5" s="1"/>
  <c r="DZ7" i="5"/>
  <c r="W31" i="28" s="1"/>
  <c r="M187" i="10"/>
  <c r="M165" i="10"/>
  <c r="M195" i="10" s="1"/>
  <c r="BN69" i="5"/>
  <c r="EE34" i="5"/>
  <c r="V212" i="5"/>
  <c r="V213" i="5" s="1"/>
  <c r="CU206" i="5"/>
  <c r="AV140" i="5"/>
  <c r="AU265" i="5"/>
  <c r="D2021" i="16" s="1"/>
  <c r="BE273" i="5"/>
  <c r="AH93" i="28" s="1"/>
  <c r="BF140" i="5"/>
  <c r="BE265" i="5"/>
  <c r="B277" i="10"/>
  <c r="B286" i="10" s="1"/>
  <c r="B296" i="10" s="1"/>
  <c r="B104" i="9"/>
  <c r="M1727" i="16"/>
  <c r="F1538" i="16"/>
  <c r="N1727" i="16"/>
  <c r="AZ137" i="5"/>
  <c r="AD141" i="28" s="1"/>
  <c r="AZ157" i="5"/>
  <c r="AB132" i="5"/>
  <c r="J302" i="5"/>
  <c r="J335" i="5" s="1"/>
  <c r="B275" i="10"/>
  <c r="B284" i="10" s="1"/>
  <c r="B294" i="10" s="1"/>
  <c r="B102" i="9"/>
  <c r="N2634" i="16"/>
  <c r="CV300" i="5"/>
  <c r="DA4" i="5"/>
  <c r="AA211" i="5"/>
  <c r="AA212" i="5" s="1"/>
  <c r="CZ209" i="5"/>
  <c r="X7" i="5"/>
  <c r="CW7" i="5" s="1"/>
  <c r="EA7" i="5"/>
  <c r="X31" i="28" s="1"/>
  <c r="CM7" i="5"/>
  <c r="DF7" i="5"/>
  <c r="G31" i="28" s="1"/>
  <c r="CX18" i="5"/>
  <c r="K34" i="5"/>
  <c r="J58" i="1" s="1"/>
  <c r="K66" i="5"/>
  <c r="CS32" i="5"/>
  <c r="O70" i="5"/>
  <c r="Y104" i="5"/>
  <c r="Y115" i="5" s="1"/>
  <c r="AX96" i="5"/>
  <c r="AX107" i="5" s="1"/>
  <c r="AD131" i="5"/>
  <c r="AD132" i="5" s="1"/>
  <c r="AP137" i="5"/>
  <c r="AL132" i="5"/>
  <c r="AX135" i="5"/>
  <c r="BG137" i="5"/>
  <c r="AJ141" i="28" s="1"/>
  <c r="DF146" i="5"/>
  <c r="DO156" i="5"/>
  <c r="AZ162" i="5"/>
  <c r="N212" i="5"/>
  <c r="N214" i="5" s="1"/>
  <c r="N218" i="5"/>
  <c r="L336" i="5"/>
  <c r="L270" i="5"/>
  <c r="T270" i="5"/>
  <c r="G271" i="5"/>
  <c r="AV273" i="5"/>
  <c r="AA93" i="28" s="1"/>
  <c r="BF273" i="5"/>
  <c r="AI93" i="28" s="1"/>
  <c r="AA337" i="5"/>
  <c r="W308" i="5"/>
  <c r="W309" i="5" s="1"/>
  <c r="Q1404" i="16"/>
  <c r="L119" i="10"/>
  <c r="L146" i="10" s="1"/>
  <c r="DK7" i="5"/>
  <c r="K31" i="28" s="1"/>
  <c r="U18" i="5"/>
  <c r="L25" i="1" s="1"/>
  <c r="DY18" i="5"/>
  <c r="V39" i="28" s="1"/>
  <c r="DV29" i="5"/>
  <c r="AT68" i="5"/>
  <c r="CP34" i="5"/>
  <c r="DT37" i="5"/>
  <c r="AZ69" i="5"/>
  <c r="V64" i="28" s="1"/>
  <c r="L80" i="5"/>
  <c r="L81" i="5" s="1"/>
  <c r="T80" i="5"/>
  <c r="T81" i="5" s="1"/>
  <c r="BA121" i="5"/>
  <c r="AF137" i="5"/>
  <c r="BB137" i="5"/>
  <c r="AF141" i="28" s="1"/>
  <c r="AN135" i="5"/>
  <c r="U104" i="28" s="1"/>
  <c r="AV162" i="5"/>
  <c r="BF162" i="5"/>
  <c r="DF155" i="5"/>
  <c r="AP157" i="5"/>
  <c r="CM211" i="5"/>
  <c r="CP209" i="5"/>
  <c r="N269" i="5"/>
  <c r="W269" i="5"/>
  <c r="Q271" i="5"/>
  <c r="I346" i="5"/>
  <c r="F269" i="10"/>
  <c r="F270" i="10" s="1"/>
  <c r="L7" i="21"/>
  <c r="M2634" i="16"/>
  <c r="AO68" i="5"/>
  <c r="AO34" i="5"/>
  <c r="CQ34" i="5"/>
  <c r="DZ37" i="5"/>
  <c r="AI80" i="5"/>
  <c r="AI81" i="5" s="1"/>
  <c r="AN156" i="5"/>
  <c r="DM130" i="5"/>
  <c r="AR137" i="5"/>
  <c r="BC137" i="5"/>
  <c r="AG141" i="28" s="1"/>
  <c r="AK162" i="5"/>
  <c r="AW162" i="5"/>
  <c r="BG148" i="5"/>
  <c r="DG155" i="5"/>
  <c r="DE156" i="5"/>
  <c r="DL206" i="5"/>
  <c r="CN209" i="5"/>
  <c r="CR209" i="5"/>
  <c r="E269" i="5"/>
  <c r="O269" i="5"/>
  <c r="I271" i="5"/>
  <c r="R271" i="5"/>
  <c r="AN273" i="5"/>
  <c r="U93" i="28" s="1"/>
  <c r="N346" i="5"/>
  <c r="F276" i="10"/>
  <c r="K2636" i="16"/>
  <c r="CZ4" i="5"/>
  <c r="DM9" i="5"/>
  <c r="M34" i="28" s="1"/>
  <c r="CV10" i="5"/>
  <c r="I84" i="5"/>
  <c r="I94" i="5" s="1"/>
  <c r="U35" i="5"/>
  <c r="L61" i="1" s="1"/>
  <c r="EB37" i="5"/>
  <c r="T97" i="5"/>
  <c r="AH137" i="5"/>
  <c r="AU137" i="5"/>
  <c r="BE137" i="5"/>
  <c r="AH141" i="28" s="1"/>
  <c r="AX132" i="5"/>
  <c r="AN140" i="5"/>
  <c r="AD160" i="5"/>
  <c r="AD161" i="5"/>
  <c r="AL162" i="5"/>
  <c r="AX162" i="5"/>
  <c r="BH162" i="5"/>
  <c r="DF156" i="5"/>
  <c r="DF209" i="5"/>
  <c r="DA210" i="5"/>
  <c r="O211" i="5"/>
  <c r="CB93" i="28"/>
  <c r="AZ265" i="5"/>
  <c r="P301" i="5"/>
  <c r="G226" i="10" s="1"/>
  <c r="T353" i="5"/>
  <c r="CS304" i="5"/>
  <c r="F30" i="20"/>
  <c r="L2636" i="16"/>
  <c r="CT8" i="5"/>
  <c r="CW10" i="5"/>
  <c r="Y34" i="5"/>
  <c r="Y36" i="5" s="1"/>
  <c r="K69" i="5"/>
  <c r="EE37" i="5"/>
  <c r="DG67" i="5"/>
  <c r="DH67" i="5" s="1"/>
  <c r="P81" i="5"/>
  <c r="J83" i="5"/>
  <c r="AK137" i="5"/>
  <c r="AI161" i="5"/>
  <c r="AA162" i="5"/>
  <c r="AM162" i="5"/>
  <c r="DJ146" i="5"/>
  <c r="DB206" i="5"/>
  <c r="CQ209" i="5"/>
  <c r="DG209" i="5"/>
  <c r="DJ209" i="5"/>
  <c r="R211" i="5"/>
  <c r="R212" i="5" s="1"/>
  <c r="R213" i="5" s="1"/>
  <c r="G270" i="5"/>
  <c r="AF273" i="5"/>
  <c r="N93" i="28" s="1"/>
  <c r="AQ273" i="5"/>
  <c r="W93" i="28" s="1"/>
  <c r="BA337" i="5"/>
  <c r="O165" i="10"/>
  <c r="O195" i="10" s="1"/>
  <c r="M2637" i="16"/>
  <c r="P69" i="5"/>
  <c r="Z113" i="5"/>
  <c r="DM145" i="5"/>
  <c r="AB162" i="5"/>
  <c r="AQ212" i="5"/>
  <c r="AR337" i="5"/>
  <c r="T345" i="5"/>
  <c r="T346" i="5" s="1"/>
  <c r="N2637" i="16"/>
  <c r="P19" i="5"/>
  <c r="P21" i="5" s="1"/>
  <c r="K28" i="1" s="1"/>
  <c r="DG7" i="5"/>
  <c r="H31" i="28" s="1"/>
  <c r="Y10" i="5"/>
  <c r="Y209" i="5" s="1"/>
  <c r="DC209" i="5" s="1"/>
  <c r="DH31" i="5"/>
  <c r="DY34" i="5"/>
  <c r="CN34" i="5"/>
  <c r="AY97" i="5"/>
  <c r="BG133" i="5"/>
  <c r="AM137" i="5"/>
  <c r="AC162" i="5"/>
  <c r="BB162" i="5"/>
  <c r="I218" i="5"/>
  <c r="S218" i="5"/>
  <c r="AG212" i="5"/>
  <c r="G207" i="5"/>
  <c r="J211" i="5"/>
  <c r="DK211" i="5"/>
  <c r="CN210" i="5"/>
  <c r="J269" i="5"/>
  <c r="S269" i="5"/>
  <c r="D271" i="5"/>
  <c r="N271" i="5"/>
  <c r="W271" i="5"/>
  <c r="CS303" i="5"/>
  <c r="P133" i="18"/>
  <c r="F244" i="10"/>
  <c r="H12" i="16"/>
  <c r="H7" i="16"/>
  <c r="E3" i="14"/>
  <c r="D159" i="12"/>
  <c r="E17" i="14"/>
  <c r="P132" i="18"/>
  <c r="H105" i="13"/>
  <c r="Q133" i="18"/>
  <c r="G244" i="10"/>
  <c r="P140" i="18"/>
  <c r="H140" i="13"/>
  <c r="I12" i="16"/>
  <c r="D262" i="16"/>
  <c r="I7" i="16"/>
  <c r="F3" i="14"/>
  <c r="E159" i="12"/>
  <c r="F17" i="14"/>
  <c r="I105" i="13"/>
  <c r="Q132" i="18"/>
  <c r="Q140" i="18"/>
  <c r="I140" i="13"/>
  <c r="F1103" i="16"/>
  <c r="G3" i="14"/>
  <c r="I244" i="10"/>
  <c r="S133" i="18"/>
  <c r="C50" i="9"/>
  <c r="F27" i="14"/>
  <c r="FN365" i="5"/>
  <c r="E1542" i="16"/>
  <c r="F1105" i="16"/>
  <c r="H3" i="14"/>
  <c r="F1104" i="16"/>
  <c r="K105" i="13"/>
  <c r="S132" i="18"/>
  <c r="G27" i="14"/>
  <c r="D50" i="9"/>
  <c r="H11" i="16"/>
  <c r="BG21" i="5"/>
  <c r="H4" i="30" s="1"/>
  <c r="H27" i="14"/>
  <c r="I11" i="16"/>
  <c r="C312" i="16"/>
  <c r="F11" i="14"/>
  <c r="G1726" i="16"/>
  <c r="G1727" i="16" s="1"/>
  <c r="AU65" i="5"/>
  <c r="R61" i="28" s="1"/>
  <c r="AU59" i="5"/>
  <c r="AU19" i="5"/>
  <c r="AU70" i="5" s="1"/>
  <c r="R65" i="28" s="1"/>
  <c r="FR394" i="5"/>
  <c r="FR365" i="5"/>
  <c r="CS206" i="5"/>
  <c r="T207" i="5"/>
  <c r="CS9" i="5"/>
  <c r="FL441" i="5"/>
  <c r="BH138" i="5"/>
  <c r="AK138" i="5"/>
  <c r="AU138" i="5"/>
  <c r="BE138" i="5"/>
  <c r="FP417" i="5"/>
  <c r="CM21" i="5"/>
  <c r="CW20" i="5"/>
  <c r="T20" i="5"/>
  <c r="CS20" i="5" s="1"/>
  <c r="T23" i="5"/>
  <c r="T24" i="5" s="1"/>
  <c r="T67" i="5"/>
  <c r="CS31" i="5"/>
  <c r="U31" i="5"/>
  <c r="L55" i="1" s="1"/>
  <c r="M84" i="5"/>
  <c r="CL40" i="5"/>
  <c r="V71" i="5"/>
  <c r="V38" i="5"/>
  <c r="B1708" i="16"/>
  <c r="H1726" i="16"/>
  <c r="H1727" i="16" s="1"/>
  <c r="T7" i="5"/>
  <c r="T65" i="5" s="1"/>
  <c r="AN65" i="5"/>
  <c r="M61" i="28" s="1"/>
  <c r="AN59" i="5"/>
  <c r="AN19" i="5"/>
  <c r="AN70" i="5" s="1"/>
  <c r="M65" i="28" s="1"/>
  <c r="AV65" i="5"/>
  <c r="S61" i="28" s="1"/>
  <c r="AV59" i="5"/>
  <c r="AV19" i="5"/>
  <c r="AV70" i="5" s="1"/>
  <c r="S65" i="28" s="1"/>
  <c r="DY7" i="5"/>
  <c r="V31" i="28" s="1"/>
  <c r="AS212" i="5"/>
  <c r="DC8" i="5"/>
  <c r="E33" i="28" s="1"/>
  <c r="DW8" i="5"/>
  <c r="U33" i="28" s="1"/>
  <c r="EG8" i="5"/>
  <c r="U9" i="5"/>
  <c r="L14" i="1" s="1"/>
  <c r="DC9" i="5"/>
  <c r="E34" i="28" s="1"/>
  <c r="DW9" i="5"/>
  <c r="U34" i="28" s="1"/>
  <c r="FM441" i="5"/>
  <c r="P65" i="5"/>
  <c r="P66" i="5"/>
  <c r="CX31" i="5"/>
  <c r="EB31" i="5"/>
  <c r="EG31" i="5"/>
  <c r="FS475" i="5" s="1"/>
  <c r="K68" i="5"/>
  <c r="N70" i="5"/>
  <c r="CM34" i="5"/>
  <c r="N40" i="5"/>
  <c r="CZ36" i="5"/>
  <c r="AK84" i="5"/>
  <c r="DJ40" i="5"/>
  <c r="EA37" i="5"/>
  <c r="H1634" i="16"/>
  <c r="AF65" i="5"/>
  <c r="F61" i="28" s="1"/>
  <c r="AF59" i="5"/>
  <c r="DJ59" i="5" s="1"/>
  <c r="AF19" i="5"/>
  <c r="DJ19" i="5" s="1"/>
  <c r="J40" i="28" s="1"/>
  <c r="AW65" i="5"/>
  <c r="T61" i="28" s="1"/>
  <c r="AW59" i="5"/>
  <c r="AW19" i="5"/>
  <c r="AW70" i="5" s="1"/>
  <c r="T65" i="28" s="1"/>
  <c r="BF59" i="5"/>
  <c r="BF19" i="5"/>
  <c r="BF118" i="5" s="1"/>
  <c r="FL394" i="5"/>
  <c r="FL365" i="5"/>
  <c r="CX206" i="5"/>
  <c r="AD211" i="5"/>
  <c r="AD212" i="5" s="1"/>
  <c r="FN441" i="5"/>
  <c r="AD307" i="5"/>
  <c r="DC14" i="5"/>
  <c r="E38" i="28" s="1"/>
  <c r="AW138" i="5"/>
  <c r="FR417" i="5"/>
  <c r="BG138" i="5"/>
  <c r="Z18" i="5"/>
  <c r="M25" i="1" s="1"/>
  <c r="CZ18" i="5"/>
  <c r="B39" i="28" s="1"/>
  <c r="CU21" i="5"/>
  <c r="EG20" i="5"/>
  <c r="AC41" i="28" s="1"/>
  <c r="EB20" i="5"/>
  <c r="Y41" i="28" s="1"/>
  <c r="T34" i="5"/>
  <c r="CX30" i="5"/>
  <c r="T66" i="5"/>
  <c r="CS30" i="5"/>
  <c r="U30" i="5"/>
  <c r="L54" i="1" s="1"/>
  <c r="BI67" i="5"/>
  <c r="AD69" i="5"/>
  <c r="E64" i="28" s="1"/>
  <c r="DC33" i="5"/>
  <c r="DH33" i="5"/>
  <c r="EG33" i="5"/>
  <c r="EB33" i="5"/>
  <c r="AB84" i="5"/>
  <c r="AL40" i="5"/>
  <c r="DK34" i="5"/>
  <c r="AL36" i="5"/>
  <c r="DP37" i="5"/>
  <c r="I1652" i="16" s="1"/>
  <c r="DU37" i="5"/>
  <c r="AS37" i="5"/>
  <c r="Q57" i="28" s="1"/>
  <c r="CS39" i="5"/>
  <c r="U39" i="5"/>
  <c r="DC103" i="5"/>
  <c r="E1588" i="16"/>
  <c r="M2636" i="16"/>
  <c r="G65" i="5"/>
  <c r="G19" i="5"/>
  <c r="G21" i="5" s="1"/>
  <c r="AG59" i="5"/>
  <c r="AG19" i="5"/>
  <c r="AG70" i="5" s="1"/>
  <c r="G65" i="28" s="1"/>
  <c r="AP59" i="5"/>
  <c r="AP19" i="5"/>
  <c r="AP70" i="5" s="1"/>
  <c r="N65" i="28" s="1"/>
  <c r="AP65" i="5"/>
  <c r="N61" i="28" s="1"/>
  <c r="AX59" i="5"/>
  <c r="AX19" i="5"/>
  <c r="BG59" i="5"/>
  <c r="BG65" i="5"/>
  <c r="AB61" i="28" s="1"/>
  <c r="FM394" i="5"/>
  <c r="FM365" i="5"/>
  <c r="Z9" i="5"/>
  <c r="M14" i="1" s="1"/>
  <c r="DH10" i="5"/>
  <c r="I35" i="28" s="1"/>
  <c r="EB10" i="5"/>
  <c r="Y35" i="28" s="1"/>
  <c r="DH16" i="5"/>
  <c r="AL19" i="5"/>
  <c r="CM19" i="5"/>
  <c r="DM20" i="5"/>
  <c r="M41" i="28" s="1"/>
  <c r="AE67" i="5"/>
  <c r="AY68" i="5"/>
  <c r="AC84" i="5"/>
  <c r="EA34" i="5"/>
  <c r="BB40" i="5"/>
  <c r="CX39" i="5"/>
  <c r="R84" i="5"/>
  <c r="CQ40" i="5"/>
  <c r="AX65" i="5"/>
  <c r="U61" i="28" s="1"/>
  <c r="N2636" i="16"/>
  <c r="H65" i="5"/>
  <c r="H19" i="5"/>
  <c r="CL19" i="5" s="1"/>
  <c r="AH19" i="5"/>
  <c r="AH70" i="5" s="1"/>
  <c r="H65" i="28" s="1"/>
  <c r="AH65" i="5"/>
  <c r="H61" i="28" s="1"/>
  <c r="AQ59" i="5"/>
  <c r="BH59" i="5"/>
  <c r="BH19" i="5"/>
  <c r="BH65" i="5"/>
  <c r="AC61" i="28" s="1"/>
  <c r="BC206" i="5"/>
  <c r="BC207" i="5" s="1"/>
  <c r="T211" i="5"/>
  <c r="T212" i="5" s="1"/>
  <c r="T213" i="5" s="1"/>
  <c r="CS209" i="5"/>
  <c r="DH209" i="5"/>
  <c r="DM209" i="5"/>
  <c r="AI211" i="5"/>
  <c r="DM211" i="5" s="1"/>
  <c r="U12" i="5"/>
  <c r="L20" i="1" s="1"/>
  <c r="FP441" i="5"/>
  <c r="AF138" i="5"/>
  <c r="CR19" i="5"/>
  <c r="AQ19" i="5"/>
  <c r="AJ67" i="5"/>
  <c r="Y347" i="5"/>
  <c r="Y349" i="5" s="1"/>
  <c r="Y359" i="5" s="1"/>
  <c r="CX32" i="5"/>
  <c r="Z32" i="5"/>
  <c r="M56" i="1" s="1"/>
  <c r="M41" i="1" s="1"/>
  <c r="BD68" i="5"/>
  <c r="AD34" i="5"/>
  <c r="BB36" i="5"/>
  <c r="I65" i="5"/>
  <c r="C1544" i="16"/>
  <c r="DB4" i="5"/>
  <c r="AR19" i="5"/>
  <c r="AZ59" i="5"/>
  <c r="AZ19" i="5"/>
  <c r="AZ70" i="5" s="1"/>
  <c r="V65" i="28" s="1"/>
  <c r="AZ65" i="5"/>
  <c r="V61" i="28" s="1"/>
  <c r="DJ7" i="5"/>
  <c r="J31" i="28" s="1"/>
  <c r="DT7" i="5"/>
  <c r="R31" i="28" s="1"/>
  <c r="ED7" i="5"/>
  <c r="Z31" i="28" s="1"/>
  <c r="CX8" i="5"/>
  <c r="DH8" i="5"/>
  <c r="I33" i="28" s="1"/>
  <c r="DR8" i="5"/>
  <c r="Q33" i="28" s="1"/>
  <c r="CX9" i="5"/>
  <c r="DH9" i="5"/>
  <c r="I34" i="28" s="1"/>
  <c r="DR9" i="5"/>
  <c r="Q34" i="28" s="1"/>
  <c r="EB9" i="5"/>
  <c r="Y34" i="28" s="1"/>
  <c r="U10" i="5"/>
  <c r="L15" i="1" s="1"/>
  <c r="DA10" i="5"/>
  <c r="C35" i="28" s="1"/>
  <c r="AF40" i="28"/>
  <c r="FP369" i="5"/>
  <c r="FP370" i="5" s="1"/>
  <c r="V19" i="5"/>
  <c r="CU19" i="5" s="1"/>
  <c r="CR21" i="5"/>
  <c r="FN394" i="5"/>
  <c r="AO67" i="5"/>
  <c r="BI68" i="5"/>
  <c r="S70" i="5"/>
  <c r="AF84" i="5"/>
  <c r="AH84" i="5"/>
  <c r="DG40" i="5"/>
  <c r="BF65" i="5"/>
  <c r="AA61" i="28" s="1"/>
  <c r="V69" i="5"/>
  <c r="AM138" i="5"/>
  <c r="D873" i="16"/>
  <c r="J19" i="5"/>
  <c r="J21" i="5" s="1"/>
  <c r="J71" i="5" s="1"/>
  <c r="J65" i="5"/>
  <c r="AS7" i="5"/>
  <c r="BA19" i="5"/>
  <c r="BA70" i="5" s="1"/>
  <c r="W65" i="28" s="1"/>
  <c r="BA65" i="5"/>
  <c r="W61" i="28" s="1"/>
  <c r="DU7" i="5"/>
  <c r="S31" i="28" s="1"/>
  <c r="EE7" i="5"/>
  <c r="AA31" i="28" s="1"/>
  <c r="FP394" i="5"/>
  <c r="FP365" i="5"/>
  <c r="CS10" i="5"/>
  <c r="DB10" i="5"/>
  <c r="D35" i="28" s="1"/>
  <c r="FR441" i="5"/>
  <c r="CU18" i="5"/>
  <c r="K67" i="5"/>
  <c r="DR31" i="5"/>
  <c r="AS67" i="5"/>
  <c r="Q62" i="28" s="1"/>
  <c r="DW31" i="5"/>
  <c r="AE68" i="5"/>
  <c r="J38" i="5"/>
  <c r="CU34" i="5"/>
  <c r="V40" i="5"/>
  <c r="EF37" i="5"/>
  <c r="AP84" i="5"/>
  <c r="DO40" i="5"/>
  <c r="AF62" i="28"/>
  <c r="Y68" i="5"/>
  <c r="F827" i="16" s="1"/>
  <c r="K7" i="5"/>
  <c r="K19" i="5" s="1"/>
  <c r="K21" i="5" s="1"/>
  <c r="J28" i="1" s="1"/>
  <c r="AC19" i="5"/>
  <c r="AC70" i="5" s="1"/>
  <c r="D65" i="28" s="1"/>
  <c r="AC65" i="5"/>
  <c r="D61" i="28" s="1"/>
  <c r="AC59" i="5"/>
  <c r="AC24" i="5"/>
  <c r="AL65" i="5"/>
  <c r="K61" i="28" s="1"/>
  <c r="AL59" i="5"/>
  <c r="BB65" i="5"/>
  <c r="X61" i="28" s="1"/>
  <c r="BB59" i="5"/>
  <c r="CK7" i="5"/>
  <c r="DV7" i="5"/>
  <c r="T31" i="28" s="1"/>
  <c r="EF7" i="5"/>
  <c r="AB31" i="28" s="1"/>
  <c r="AM212" i="5"/>
  <c r="FQ394" i="5"/>
  <c r="FQ365" i="5"/>
  <c r="X211" i="5"/>
  <c r="CW211" i="5" s="1"/>
  <c r="CW209" i="5"/>
  <c r="DB209" i="5"/>
  <c r="DM10" i="5"/>
  <c r="M35" i="28" s="1"/>
  <c r="DW10" i="5"/>
  <c r="U35" i="28" s="1"/>
  <c r="EG10" i="5"/>
  <c r="AC35" i="28" s="1"/>
  <c r="CS16" i="5"/>
  <c r="DC16" i="5"/>
  <c r="FR369" i="5"/>
  <c r="FR370" i="5" s="1"/>
  <c r="CS14" i="5"/>
  <c r="C878" i="16" s="1"/>
  <c r="DH14" i="5"/>
  <c r="AS138" i="5"/>
  <c r="EB14" i="5"/>
  <c r="DH18" i="5"/>
  <c r="I39" i="28" s="1"/>
  <c r="BB19" i="5"/>
  <c r="EF19" i="5" s="1"/>
  <c r="AB40" i="28" s="1"/>
  <c r="CR20" i="5"/>
  <c r="AY34" i="5"/>
  <c r="AT67" i="5"/>
  <c r="AJ68" i="5"/>
  <c r="L38" i="5"/>
  <c r="EG35" i="5"/>
  <c r="EB35" i="5"/>
  <c r="N36" i="5"/>
  <c r="AH59" i="5"/>
  <c r="AN138" i="5"/>
  <c r="AX138" i="5"/>
  <c r="CQ19" i="5"/>
  <c r="L21" i="5"/>
  <c r="L71" i="5" s="1"/>
  <c r="CX29" i="5"/>
  <c r="DH29" i="5"/>
  <c r="FR442" i="5"/>
  <c r="BC32" i="5"/>
  <c r="Y53" i="28" s="1"/>
  <c r="AE34" i="5"/>
  <c r="AM34" i="5"/>
  <c r="CZ34" i="5"/>
  <c r="DJ34" i="5"/>
  <c r="DT34" i="5"/>
  <c r="ED34" i="5"/>
  <c r="G36" i="5"/>
  <c r="CK36" i="5" s="1"/>
  <c r="O36" i="5"/>
  <c r="W36" i="5"/>
  <c r="AU36" i="5"/>
  <c r="CZ37" i="5"/>
  <c r="ED37" i="5"/>
  <c r="S40" i="5"/>
  <c r="AA40" i="5"/>
  <c r="AI40" i="5"/>
  <c r="BG40" i="5"/>
  <c r="AQ57" i="5"/>
  <c r="FP420" i="5"/>
  <c r="Y67" i="5"/>
  <c r="I70" i="5"/>
  <c r="BH96" i="5"/>
  <c r="BH107" i="5" s="1"/>
  <c r="I6" i="30" s="1"/>
  <c r="I10" i="30" s="1"/>
  <c r="I14" i="30" s="1"/>
  <c r="BH114" i="5"/>
  <c r="T108" i="5"/>
  <c r="DO146" i="5"/>
  <c r="BA162" i="5"/>
  <c r="AR212" i="5"/>
  <c r="AP138" i="5"/>
  <c r="AZ138" i="5"/>
  <c r="DR20" i="5"/>
  <c r="Q41" i="28" s="1"/>
  <c r="M21" i="5"/>
  <c r="DC31" i="5"/>
  <c r="FR395" i="5"/>
  <c r="AD330" i="5"/>
  <c r="P34" i="5"/>
  <c r="K58" i="1" s="1"/>
  <c r="BD34" i="5"/>
  <c r="DA34" i="5"/>
  <c r="H36" i="5"/>
  <c r="X36" i="5"/>
  <c r="AF36" i="5"/>
  <c r="AN36" i="5"/>
  <c r="AN38" i="5" s="1"/>
  <c r="AV36" i="5"/>
  <c r="DK37" i="5"/>
  <c r="AA38" i="5"/>
  <c r="EF39" i="5"/>
  <c r="L40" i="5"/>
  <c r="AZ40" i="5"/>
  <c r="BH40" i="5"/>
  <c r="BH53" i="5"/>
  <c r="BH54" i="5" s="1"/>
  <c r="BH55" i="5" s="1"/>
  <c r="AR57" i="5"/>
  <c r="AQ64" i="5"/>
  <c r="AQ65" i="5"/>
  <c r="O61" i="28" s="1"/>
  <c r="AE64" i="28"/>
  <c r="AA70" i="5"/>
  <c r="B65" i="28" s="1"/>
  <c r="BG70" i="5"/>
  <c r="AB65" i="28" s="1"/>
  <c r="AS161" i="5"/>
  <c r="AX151" i="5"/>
  <c r="DR145" i="5"/>
  <c r="AS151" i="5"/>
  <c r="CR211" i="5"/>
  <c r="AG138" i="5"/>
  <c r="AQ138" i="5"/>
  <c r="BA138" i="5"/>
  <c r="BC29" i="5"/>
  <c r="Y51" i="28" s="1"/>
  <c r="DU29" i="5"/>
  <c r="Z31" i="5"/>
  <c r="M55" i="1" s="1"/>
  <c r="CX33" i="5"/>
  <c r="DR33" i="5"/>
  <c r="Q70" i="5"/>
  <c r="BE70" i="5"/>
  <c r="Z65" i="28" s="1"/>
  <c r="CR34" i="5"/>
  <c r="DB34" i="5"/>
  <c r="EF34" i="5"/>
  <c r="DH35" i="5"/>
  <c r="DR35" i="5"/>
  <c r="I36" i="5"/>
  <c r="Q36" i="5"/>
  <c r="AG36" i="5"/>
  <c r="AW36" i="5"/>
  <c r="BE36" i="5"/>
  <c r="BE43" i="5" s="1"/>
  <c r="DB37" i="5"/>
  <c r="DV37" i="5"/>
  <c r="Z39" i="5"/>
  <c r="DC39" i="5"/>
  <c r="DW39" i="5"/>
  <c r="AR64" i="5"/>
  <c r="AR65" i="5"/>
  <c r="P61" i="28" s="1"/>
  <c r="T68" i="5"/>
  <c r="Y69" i="5"/>
  <c r="AS69" i="5"/>
  <c r="Q64" i="28" s="1"/>
  <c r="AF64" i="28"/>
  <c r="BA137" i="5"/>
  <c r="AE141" i="28" s="1"/>
  <c r="BA132" i="5"/>
  <c r="DZ131" i="5"/>
  <c r="BA157" i="5"/>
  <c r="DE146" i="5"/>
  <c r="DF171" i="5"/>
  <c r="AW171" i="5"/>
  <c r="AX171" i="5" s="1"/>
  <c r="AK212" i="5"/>
  <c r="DJ206" i="5"/>
  <c r="DO206" i="5"/>
  <c r="DH260" i="5"/>
  <c r="AL270" i="5"/>
  <c r="S91" i="28" s="1"/>
  <c r="BB141" i="5"/>
  <c r="AH138" i="5"/>
  <c r="AR138" i="5"/>
  <c r="BB138" i="5"/>
  <c r="O21" i="5"/>
  <c r="DL29" i="5"/>
  <c r="DH32" i="5"/>
  <c r="Q111" i="28" s="1"/>
  <c r="DR32" i="5"/>
  <c r="Y111" i="28" s="1"/>
  <c r="R70" i="5"/>
  <c r="AX34" i="5"/>
  <c r="DM34" i="5"/>
  <c r="R36" i="5"/>
  <c r="AH36" i="5"/>
  <c r="AP36" i="5"/>
  <c r="BF36" i="5"/>
  <c r="BF43" i="5" s="1"/>
  <c r="DM37" i="5"/>
  <c r="EG37" i="5"/>
  <c r="AS68" i="5"/>
  <c r="Q63" i="28" s="1"/>
  <c r="L70" i="5"/>
  <c r="K250" i="10"/>
  <c r="K252" i="10" s="1"/>
  <c r="AI155" i="5"/>
  <c r="DM129" i="5"/>
  <c r="AI140" i="5"/>
  <c r="AI135" i="5"/>
  <c r="Q104" i="28" s="1"/>
  <c r="AI131" i="5"/>
  <c r="DH129" i="5"/>
  <c r="DU131" i="5"/>
  <c r="AQ137" i="5"/>
  <c r="AQ132" i="5"/>
  <c r="DP131" i="5"/>
  <c r="AQ157" i="5"/>
  <c r="AU162" i="5"/>
  <c r="AU147" i="5"/>
  <c r="BE162" i="5"/>
  <c r="BE147" i="5"/>
  <c r="DE155" i="5"/>
  <c r="M211" i="5"/>
  <c r="CL211" i="5" s="1"/>
  <c r="CL209" i="5"/>
  <c r="DG263" i="5"/>
  <c r="AH273" i="5"/>
  <c r="P93" i="28" s="1"/>
  <c r="AH140" i="5"/>
  <c r="CS29" i="5"/>
  <c r="U33" i="5"/>
  <c r="AQ34" i="5"/>
  <c r="DU34" i="5" s="1"/>
  <c r="CK34" i="5"/>
  <c r="DE34" i="5"/>
  <c r="DO34" i="5"/>
  <c r="H1649" i="16" s="1"/>
  <c r="S36" i="5"/>
  <c r="DE37" i="5"/>
  <c r="DY37" i="5"/>
  <c r="G40" i="5"/>
  <c r="O40" i="5"/>
  <c r="W40" i="5"/>
  <c r="AU40" i="5"/>
  <c r="AA61" i="5"/>
  <c r="FL417" i="5"/>
  <c r="FL420" i="5"/>
  <c r="AD68" i="5"/>
  <c r="E63" i="28" s="1"/>
  <c r="AE63" i="28"/>
  <c r="BG81" i="5"/>
  <c r="BH80" i="5"/>
  <c r="BH81" i="5" s="1"/>
  <c r="DK131" i="5"/>
  <c r="AG137" i="5"/>
  <c r="AG132" i="5"/>
  <c r="DF131" i="5"/>
  <c r="AG157" i="5"/>
  <c r="D3921" i="3"/>
  <c r="CZ206" i="5"/>
  <c r="T349" i="5"/>
  <c r="T359" i="5" s="1"/>
  <c r="AB70" i="5"/>
  <c r="C65" i="28" s="1"/>
  <c r="AR34" i="5"/>
  <c r="CL34" i="5"/>
  <c r="CV34" i="5"/>
  <c r="DF34" i="5"/>
  <c r="DZ34" i="5"/>
  <c r="AB36" i="5"/>
  <c r="AZ36" i="5"/>
  <c r="AZ38" i="5" s="1"/>
  <c r="B5" i="30" s="1"/>
  <c r="B7" i="30" s="1"/>
  <c r="BH36" i="5"/>
  <c r="BH43" i="5" s="1"/>
  <c r="DF37" i="5"/>
  <c r="X40" i="5"/>
  <c r="DB40" i="5" s="1"/>
  <c r="AV40" i="5"/>
  <c r="FM417" i="5"/>
  <c r="FM420" i="5"/>
  <c r="AD67" i="5"/>
  <c r="E62" i="28" s="1"/>
  <c r="AF63" i="28"/>
  <c r="T69" i="5"/>
  <c r="DC102" i="5"/>
  <c r="CW210" i="5"/>
  <c r="DB210" i="5"/>
  <c r="O353" i="5"/>
  <c r="P341" i="5"/>
  <c r="O345" i="5"/>
  <c r="AL138" i="5"/>
  <c r="AV138" i="5"/>
  <c r="BF138" i="5"/>
  <c r="DP29" i="5"/>
  <c r="I1645" i="16" s="1"/>
  <c r="U32" i="5"/>
  <c r="L56" i="1" s="1"/>
  <c r="DW33" i="5"/>
  <c r="M70" i="5"/>
  <c r="AK70" i="5"/>
  <c r="J65" i="28" s="1"/>
  <c r="DG34" i="5"/>
  <c r="DC35" i="5"/>
  <c r="DM35" i="5"/>
  <c r="DW35" i="5"/>
  <c r="M36" i="5"/>
  <c r="AC36" i="5"/>
  <c r="AK36" i="5"/>
  <c r="BA36" i="5"/>
  <c r="BA38" i="5" s="1"/>
  <c r="C5" i="30" s="1"/>
  <c r="C7" i="30" s="1"/>
  <c r="Y37" i="5"/>
  <c r="CW37" i="5"/>
  <c r="Q40" i="5"/>
  <c r="AG40" i="5"/>
  <c r="AW40" i="5"/>
  <c r="BE40" i="5"/>
  <c r="DW54" i="5"/>
  <c r="AM57" i="5"/>
  <c r="FN417" i="5"/>
  <c r="FN420" i="5"/>
  <c r="AE62" i="28"/>
  <c r="P68" i="5"/>
  <c r="AX69" i="5"/>
  <c r="U64" i="28" s="1"/>
  <c r="AN80" i="5"/>
  <c r="AN81" i="5" s="1"/>
  <c r="AL81" i="5"/>
  <c r="AV137" i="5"/>
  <c r="BF137" i="5"/>
  <c r="AI141" i="28" s="1"/>
  <c r="AF184" i="5"/>
  <c r="AF185" i="5" s="1"/>
  <c r="Q218" i="5"/>
  <c r="CP206" i="5"/>
  <c r="Q212" i="5"/>
  <c r="Q213" i="5" s="1"/>
  <c r="AP212" i="5"/>
  <c r="CP211" i="5"/>
  <c r="AF211" i="5"/>
  <c r="DE209" i="5"/>
  <c r="Y101" i="5"/>
  <c r="Y112" i="5" s="1"/>
  <c r="DE131" i="5"/>
  <c r="DO131" i="5"/>
  <c r="DY131" i="5"/>
  <c r="AF132" i="5"/>
  <c r="AP132" i="5"/>
  <c r="AZ132" i="5"/>
  <c r="BF133" i="5"/>
  <c r="AN136" i="5"/>
  <c r="AX136" i="5"/>
  <c r="BH137" i="5"/>
  <c r="AK141" i="28" s="1"/>
  <c r="DH144" i="5"/>
  <c r="DR144" i="5"/>
  <c r="DK146" i="5"/>
  <c r="DU146" i="5"/>
  <c r="BB147" i="5"/>
  <c r="AI150" i="5"/>
  <c r="Q112" i="28" s="1"/>
  <c r="AS150" i="5"/>
  <c r="Y112" i="28" s="1"/>
  <c r="AD156" i="5"/>
  <c r="AI160" i="5"/>
  <c r="AS160" i="5"/>
  <c r="AG162" i="5"/>
  <c r="AQ162" i="5"/>
  <c r="AL212" i="5"/>
  <c r="CL206" i="5"/>
  <c r="CV206" i="5"/>
  <c r="H207" i="5"/>
  <c r="R207" i="5"/>
  <c r="DK209" i="5"/>
  <c r="Y210" i="5"/>
  <c r="AH211" i="5"/>
  <c r="DG211" i="5" s="1"/>
  <c r="O212" i="5"/>
  <c r="O213" i="5" s="1"/>
  <c r="R218" i="5"/>
  <c r="R334" i="5"/>
  <c r="N335" i="5"/>
  <c r="X335" i="5"/>
  <c r="I270" i="5"/>
  <c r="R270" i="5"/>
  <c r="O94" i="10"/>
  <c r="BC265" i="5"/>
  <c r="BC141" i="5" s="1"/>
  <c r="BC273" i="5"/>
  <c r="AG93" i="28" s="1"/>
  <c r="CQ310" i="5"/>
  <c r="Y321" i="5"/>
  <c r="Y322" i="5" s="1"/>
  <c r="AI108" i="5"/>
  <c r="AI164" i="5" s="1"/>
  <c r="AX115" i="5"/>
  <c r="DR129" i="5"/>
  <c r="DH130" i="5"/>
  <c r="AS131" i="5"/>
  <c r="AX137" i="5" s="1"/>
  <c r="DL146" i="5"/>
  <c r="DV146" i="5"/>
  <c r="AI151" i="5"/>
  <c r="AH157" i="5"/>
  <c r="AR157" i="5"/>
  <c r="BB157" i="5"/>
  <c r="AN161" i="5"/>
  <c r="AH162" i="5"/>
  <c r="AR162" i="5"/>
  <c r="CM206" i="5"/>
  <c r="CW206" i="5"/>
  <c r="I207" i="5"/>
  <c r="S207" i="5"/>
  <c r="DL209" i="5"/>
  <c r="AB212" i="5"/>
  <c r="S220" i="5"/>
  <c r="S221" i="5" s="1"/>
  <c r="S222" i="5" s="1"/>
  <c r="L269" i="5"/>
  <c r="L263" i="5"/>
  <c r="V269" i="5"/>
  <c r="T269" i="5"/>
  <c r="T263" i="5"/>
  <c r="BE269" i="5"/>
  <c r="AL265" i="5"/>
  <c r="AM273" i="5"/>
  <c r="T93" i="28" s="1"/>
  <c r="CX274" i="5"/>
  <c r="AC325" i="5"/>
  <c r="AC322" i="5"/>
  <c r="AB325" i="5"/>
  <c r="AB322" i="5"/>
  <c r="DG131" i="5"/>
  <c r="DQ131" i="5"/>
  <c r="EA131" i="5"/>
  <c r="AH132" i="5"/>
  <c r="AR132" i="5"/>
  <c r="BB132" i="5"/>
  <c r="BH133" i="5"/>
  <c r="AD146" i="5"/>
  <c r="AN146" i="5"/>
  <c r="AN155" i="5"/>
  <c r="BC157" i="5"/>
  <c r="BG168" i="5"/>
  <c r="BH168" i="5" s="1"/>
  <c r="CN206" i="5"/>
  <c r="J207" i="5"/>
  <c r="AC212" i="5"/>
  <c r="Q335" i="5"/>
  <c r="M336" i="5"/>
  <c r="W336" i="5"/>
  <c r="C269" i="5"/>
  <c r="M269" i="5"/>
  <c r="G336" i="5"/>
  <c r="G233" i="10"/>
  <c r="Y80" i="5"/>
  <c r="Y81" i="5" s="1"/>
  <c r="AZ81" i="5"/>
  <c r="EB131" i="5"/>
  <c r="BC132" i="5"/>
  <c r="AS135" i="5"/>
  <c r="Y104" i="28" s="1"/>
  <c r="AS140" i="5"/>
  <c r="AS141" i="5"/>
  <c r="DH145" i="5"/>
  <c r="AV147" i="5"/>
  <c r="BF147" i="5"/>
  <c r="AA157" i="5"/>
  <c r="AK157" i="5"/>
  <c r="AU157" i="5"/>
  <c r="BE157" i="5"/>
  <c r="L218" i="5"/>
  <c r="DP206" i="5"/>
  <c r="L207" i="5"/>
  <c r="V207" i="5"/>
  <c r="CK209" i="5"/>
  <c r="CU209" i="5"/>
  <c r="S212" i="5"/>
  <c r="L334" i="5"/>
  <c r="V334" i="5"/>
  <c r="R335" i="5"/>
  <c r="N336" i="5"/>
  <c r="C270" i="5"/>
  <c r="C263" i="5"/>
  <c r="M270" i="5"/>
  <c r="M263" i="5"/>
  <c r="V270" i="5"/>
  <c r="V263" i="5"/>
  <c r="E263" i="5"/>
  <c r="G269" i="5"/>
  <c r="BG273" i="5"/>
  <c r="AJ93" i="28" s="1"/>
  <c r="H336" i="5"/>
  <c r="J303" i="5"/>
  <c r="S308" i="5"/>
  <c r="S309" i="5" s="1"/>
  <c r="CR307" i="5"/>
  <c r="S310" i="5"/>
  <c r="CR310" i="5" s="1"/>
  <c r="CW307" i="5"/>
  <c r="DJ131" i="5"/>
  <c r="DT131" i="5"/>
  <c r="AK132" i="5"/>
  <c r="AU132" i="5"/>
  <c r="B1711" i="16" s="1"/>
  <c r="BE132" i="5"/>
  <c r="AI136" i="5"/>
  <c r="AS136" i="5"/>
  <c r="DM144" i="5"/>
  <c r="AW147" i="5"/>
  <c r="BG147" i="5"/>
  <c r="AN150" i="5"/>
  <c r="U112" i="28" s="1"/>
  <c r="AX150" i="5"/>
  <c r="AX149" i="5" s="1"/>
  <c r="AC112" i="28" s="1"/>
  <c r="AS156" i="5"/>
  <c r="AL157" i="5"/>
  <c r="AV157" i="5"/>
  <c r="BF157" i="5"/>
  <c r="DQ206" i="5"/>
  <c r="M207" i="5"/>
  <c r="W207" i="5"/>
  <c r="Y269" i="5"/>
  <c r="X269" i="5"/>
  <c r="D270" i="5"/>
  <c r="N270" i="5"/>
  <c r="W270" i="5"/>
  <c r="DH261" i="5"/>
  <c r="AL271" i="5"/>
  <c r="S92" i="28" s="1"/>
  <c r="J263" i="5"/>
  <c r="AD273" i="5"/>
  <c r="M93" i="28" s="1"/>
  <c r="AP265" i="5"/>
  <c r="AQ141" i="5" s="1"/>
  <c r="AX265" i="5"/>
  <c r="AX141" i="5" s="1"/>
  <c r="AX273" i="5"/>
  <c r="AC93" i="28" s="1"/>
  <c r="BH273" i="5"/>
  <c r="AK93" i="28" s="1"/>
  <c r="Q269" i="5"/>
  <c r="G335" i="5"/>
  <c r="H232" i="10"/>
  <c r="H233" i="10" s="1"/>
  <c r="AQ337" i="5"/>
  <c r="AA328" i="5"/>
  <c r="AA331" i="5" s="1"/>
  <c r="AH331" i="5"/>
  <c r="DW129" i="5"/>
  <c r="AX147" i="5"/>
  <c r="BH147" i="5"/>
  <c r="AC157" i="5"/>
  <c r="AM157" i="5"/>
  <c r="AW157" i="5"/>
  <c r="BG157" i="5"/>
  <c r="BG162" i="5"/>
  <c r="CR206" i="5"/>
  <c r="CM209" i="5"/>
  <c r="L212" i="5"/>
  <c r="L213" i="5" s="1"/>
  <c r="O263" i="5"/>
  <c r="H335" i="5"/>
  <c r="K308" i="5"/>
  <c r="DL131" i="5"/>
  <c r="DV131" i="5"/>
  <c r="AX134" i="5"/>
  <c r="AC104" i="28" s="1"/>
  <c r="AS155" i="5"/>
  <c r="O207" i="5"/>
  <c r="M212" i="5"/>
  <c r="M213" i="5" s="1"/>
  <c r="AX216" i="5"/>
  <c r="AX215" i="5"/>
  <c r="L335" i="5"/>
  <c r="V335" i="5"/>
  <c r="R336" i="5"/>
  <c r="H263" i="5"/>
  <c r="Q263" i="5"/>
  <c r="S263" i="5"/>
  <c r="W335" i="5"/>
  <c r="Y252" i="5"/>
  <c r="AN265" i="5"/>
  <c r="AV265" i="5"/>
  <c r="BF265" i="5"/>
  <c r="H269" i="5"/>
  <c r="R269" i="5"/>
  <c r="T307" i="5"/>
  <c r="AB337" i="5"/>
  <c r="AV337" i="5"/>
  <c r="N308" i="5"/>
  <c r="AB328" i="5"/>
  <c r="AG329" i="5" s="1"/>
  <c r="N334" i="5"/>
  <c r="X334" i="5"/>
  <c r="AG337" i="5"/>
  <c r="H265" i="10"/>
  <c r="U355" i="5"/>
  <c r="Q357" i="5"/>
  <c r="X349" i="5"/>
  <c r="X359" i="5" s="1"/>
  <c r="X346" i="5"/>
  <c r="T355" i="5"/>
  <c r="L357" i="5"/>
  <c r="I269" i="5"/>
  <c r="AP269" i="5"/>
  <c r="V90" i="28" s="1"/>
  <c r="G229" i="10"/>
  <c r="G295" i="10"/>
  <c r="AC337" i="5"/>
  <c r="AM337" i="5"/>
  <c r="AW337" i="5"/>
  <c r="AC328" i="5"/>
  <c r="AH329" i="5" s="1"/>
  <c r="O334" i="5"/>
  <c r="M335" i="5"/>
  <c r="AH337" i="5"/>
  <c r="R357" i="5"/>
  <c r="D263" i="5"/>
  <c r="N263" i="5"/>
  <c r="W263" i="5"/>
  <c r="X271" i="5"/>
  <c r="AG273" i="5"/>
  <c r="O93" i="28" s="1"/>
  <c r="BA273" i="5"/>
  <c r="AE93" i="28" s="1"/>
  <c r="AN337" i="5"/>
  <c r="AX337" i="5"/>
  <c r="CP307" i="5"/>
  <c r="L310" i="5"/>
  <c r="CP310" i="5" s="1"/>
  <c r="G334" i="5"/>
  <c r="Q334" i="5"/>
  <c r="O336" i="5"/>
  <c r="O354" i="5"/>
  <c r="AR273" i="5"/>
  <c r="X93" i="28" s="1"/>
  <c r="BB273" i="5"/>
  <c r="AF93" i="28" s="1"/>
  <c r="U302" i="5"/>
  <c r="U353" i="5" s="1"/>
  <c r="P303" i="5"/>
  <c r="G230" i="10" s="1"/>
  <c r="G307" i="5"/>
  <c r="CK307" i="5" s="1"/>
  <c r="AF337" i="5"/>
  <c r="AZ337" i="5"/>
  <c r="CQ307" i="5"/>
  <c r="Q308" i="5"/>
  <c r="Q309" i="5" s="1"/>
  <c r="X309" i="5"/>
  <c r="V310" i="5"/>
  <c r="CU310" i="5" s="1"/>
  <c r="AF322" i="5"/>
  <c r="AF328" i="5"/>
  <c r="H334" i="5"/>
  <c r="O335" i="5"/>
  <c r="G264" i="10"/>
  <c r="K357" i="5"/>
  <c r="V357" i="5"/>
  <c r="AI273" i="5"/>
  <c r="Q93" i="28" s="1"/>
  <c r="AS273" i="5"/>
  <c r="Y93" i="28" s="1"/>
  <c r="T336" i="5"/>
  <c r="R308" i="5"/>
  <c r="R309" i="5" s="1"/>
  <c r="W310" i="5"/>
  <c r="CV310" i="5" s="1"/>
  <c r="AG322" i="5"/>
  <c r="I334" i="5"/>
  <c r="S334" i="5"/>
  <c r="S336" i="5"/>
  <c r="G262" i="10"/>
  <c r="W357" i="5"/>
  <c r="CV345" i="5"/>
  <c r="W346" i="5"/>
  <c r="T352" i="5"/>
  <c r="T354" i="5"/>
  <c r="AJ263" i="5"/>
  <c r="CX270" i="5"/>
  <c r="U303" i="5"/>
  <c r="U354" i="5" s="1"/>
  <c r="I307" i="5"/>
  <c r="CM307" i="5" s="1"/>
  <c r="Y357" i="5"/>
  <c r="X310" i="5"/>
  <c r="T334" i="5"/>
  <c r="V336" i="5"/>
  <c r="H264" i="10"/>
  <c r="M357" i="5"/>
  <c r="X357" i="5"/>
  <c r="Q336" i="5"/>
  <c r="Y250" i="5"/>
  <c r="AK263" i="5"/>
  <c r="AL273" i="5" s="1"/>
  <c r="S93" i="28" s="1"/>
  <c r="AI337" i="5"/>
  <c r="AS337" i="5"/>
  <c r="CU307" i="5"/>
  <c r="L308" i="5"/>
  <c r="I335" i="5"/>
  <c r="S335" i="5"/>
  <c r="I336" i="5"/>
  <c r="U340" i="5"/>
  <c r="G265" i="10"/>
  <c r="G278" i="10" s="1"/>
  <c r="P355" i="5"/>
  <c r="N357" i="5"/>
  <c r="V349" i="5"/>
  <c r="V359" i="5" s="1"/>
  <c r="V346" i="5"/>
  <c r="S357" i="5"/>
  <c r="CU345" i="5"/>
  <c r="O352" i="5"/>
  <c r="O355" i="5"/>
  <c r="Q346" i="5"/>
  <c r="J1404" i="16"/>
  <c r="R1404" i="16"/>
  <c r="M1404" i="16"/>
  <c r="G1404" i="16"/>
  <c r="O1404" i="16"/>
  <c r="L165" i="10"/>
  <c r="L195" i="10" s="1"/>
  <c r="M149" i="10"/>
  <c r="M119" i="10"/>
  <c r="M146" i="10" s="1"/>
  <c r="N77" i="10"/>
  <c r="N80" i="10" s="1"/>
  <c r="N165" i="10"/>
  <c r="N195" i="10" s="1"/>
  <c r="N149" i="10"/>
  <c r="N119" i="10"/>
  <c r="N146" i="10" s="1"/>
  <c r="H1404" i="16"/>
  <c r="P1404" i="16"/>
  <c r="P149" i="10"/>
  <c r="P204" i="10"/>
  <c r="O139" i="10"/>
  <c r="O151" i="10" s="1"/>
  <c r="P198" i="10"/>
  <c r="F275" i="10"/>
  <c r="E3210" i="3"/>
  <c r="C3503" i="3"/>
  <c r="D3503" i="3" s="1"/>
  <c r="F31" i="20"/>
  <c r="M251" i="10" l="1"/>
  <c r="M252" i="10"/>
  <c r="N252" i="10" s="1"/>
  <c r="N250" i="10" s="1"/>
  <c r="N251" i="10" s="1"/>
  <c r="R181" i="13"/>
  <c r="P181" i="13"/>
  <c r="Q181" i="13"/>
  <c r="R22" i="13"/>
  <c r="Q30" i="13"/>
  <c r="AW9" i="28"/>
  <c r="AS9" i="28"/>
  <c r="EG16" i="5"/>
  <c r="FS474" i="5" s="1"/>
  <c r="BC67" i="5"/>
  <c r="Y62" i="28" s="1"/>
  <c r="EB16" i="5"/>
  <c r="FO474" i="5" s="1"/>
  <c r="Q22" i="13"/>
  <c r="Q24" i="13"/>
  <c r="R25" i="13" s="1"/>
  <c r="V582" i="1"/>
  <c r="S42" i="7" s="1"/>
  <c r="S50" i="7" s="1"/>
  <c r="AB182" i="18"/>
  <c r="AB197" i="18"/>
  <c r="AB198" i="18"/>
  <c r="Z265" i="1"/>
  <c r="Y265" i="1"/>
  <c r="G30" i="9" s="1"/>
  <c r="X265" i="1"/>
  <c r="AG265" i="1"/>
  <c r="AF265" i="1"/>
  <c r="AE265" i="1"/>
  <c r="AD265" i="1"/>
  <c r="AC265" i="1"/>
  <c r="AB265" i="1"/>
  <c r="AA265" i="1"/>
  <c r="R30" i="1"/>
  <c r="R31" i="1" s="1"/>
  <c r="G196" i="10"/>
  <c r="N30" i="1"/>
  <c r="G190" i="10"/>
  <c r="G194" i="10"/>
  <c r="G193" i="10"/>
  <c r="G187" i="10"/>
  <c r="G188" i="10"/>
  <c r="G191" i="10"/>
  <c r="G186" i="10"/>
  <c r="G189" i="10"/>
  <c r="G180" i="10"/>
  <c r="G185" i="10"/>
  <c r="G184" i="10"/>
  <c r="E79" i="9"/>
  <c r="F79" i="9" s="1"/>
  <c r="AC37" i="7"/>
  <c r="Z89" i="10"/>
  <c r="AA57" i="10"/>
  <c r="AC131" i="10"/>
  <c r="AB55" i="10"/>
  <c r="AC55" i="10" s="1"/>
  <c r="AD55" i="10" s="1"/>
  <c r="P181" i="25"/>
  <c r="O30" i="1"/>
  <c r="O31" i="1" s="1"/>
  <c r="H265" i="16" s="1"/>
  <c r="F184" i="10"/>
  <c r="G167" i="10"/>
  <c r="F185" i="10"/>
  <c r="F193" i="10"/>
  <c r="F167" i="10"/>
  <c r="F190" i="10"/>
  <c r="F191" i="10"/>
  <c r="F186" i="10"/>
  <c r="F195" i="10"/>
  <c r="F188" i="10"/>
  <c r="F189" i="10"/>
  <c r="F194" i="10"/>
  <c r="F180" i="10"/>
  <c r="F196" i="10"/>
  <c r="P30" i="1"/>
  <c r="P31" i="1" s="1"/>
  <c r="I265" i="16" s="1"/>
  <c r="M265" i="1"/>
  <c r="L265" i="1"/>
  <c r="J265" i="1"/>
  <c r="K265" i="1"/>
  <c r="I265" i="1"/>
  <c r="W265" i="1"/>
  <c r="P265" i="1"/>
  <c r="U265" i="1"/>
  <c r="O265" i="1"/>
  <c r="T265" i="1"/>
  <c r="V265" i="1"/>
  <c r="S265" i="1"/>
  <c r="R265" i="1"/>
  <c r="Q265" i="1"/>
  <c r="N265" i="1"/>
  <c r="Q30" i="1"/>
  <c r="Q31" i="1" s="1"/>
  <c r="J265" i="16" s="1"/>
  <c r="S30" i="1"/>
  <c r="S31" i="1" s="1"/>
  <c r="I30" i="1"/>
  <c r="I31" i="1" s="1"/>
  <c r="J59" i="1"/>
  <c r="L17" i="1"/>
  <c r="L18" i="1" s="1"/>
  <c r="N47" i="1"/>
  <c r="K29" i="1"/>
  <c r="J132" i="1"/>
  <c r="J35" i="1"/>
  <c r="J103" i="1"/>
  <c r="J106" i="1"/>
  <c r="J29" i="1"/>
  <c r="J122" i="1"/>
  <c r="L115" i="1"/>
  <c r="L124" i="1" s="1"/>
  <c r="L74" i="1"/>
  <c r="L114" i="1"/>
  <c r="L73" i="1"/>
  <c r="J123" i="1"/>
  <c r="K35" i="1"/>
  <c r="K132" i="1"/>
  <c r="K103" i="1"/>
  <c r="K106" i="1"/>
  <c r="L40" i="1"/>
  <c r="L104" i="1"/>
  <c r="K122" i="1"/>
  <c r="K63" i="1"/>
  <c r="K135" i="1"/>
  <c r="K76" i="1"/>
  <c r="K57" i="1"/>
  <c r="M114" i="1"/>
  <c r="M123" i="1" s="1"/>
  <c r="M73" i="1"/>
  <c r="J135" i="1"/>
  <c r="J76" i="1"/>
  <c r="J63" i="1"/>
  <c r="J57" i="1"/>
  <c r="L41" i="1"/>
  <c r="M47" i="1" s="1"/>
  <c r="L105" i="1"/>
  <c r="G2027" i="16" s="1"/>
  <c r="L258" i="1"/>
  <c r="M257" i="1"/>
  <c r="M40" i="1"/>
  <c r="J18" i="1"/>
  <c r="J71" i="1"/>
  <c r="M74" i="1"/>
  <c r="M115" i="1"/>
  <c r="M124" i="1" s="1"/>
  <c r="K18" i="1"/>
  <c r="O113" i="1"/>
  <c r="O103" i="1"/>
  <c r="O87" i="1"/>
  <c r="N87" i="1"/>
  <c r="N103" i="1"/>
  <c r="N113" i="1"/>
  <c r="K26" i="1"/>
  <c r="K59" i="1" s="1"/>
  <c r="L72" i="1"/>
  <c r="P113" i="1"/>
  <c r="P87" i="1"/>
  <c r="P103" i="1"/>
  <c r="DE20" i="5"/>
  <c r="F41" i="28" s="1"/>
  <c r="O150" i="10"/>
  <c r="CZ20" i="5"/>
  <c r="B41" i="28" s="1"/>
  <c r="AD20" i="5"/>
  <c r="DH20" i="5" s="1"/>
  <c r="I41" i="28" s="1"/>
  <c r="D1598" i="16"/>
  <c r="O50" i="7"/>
  <c r="D1603" i="16" s="1"/>
  <c r="D1556" i="16"/>
  <c r="N50" i="7"/>
  <c r="C1603" i="16" s="1"/>
  <c r="C1556" i="16"/>
  <c r="C1598" i="16"/>
  <c r="E47" i="14"/>
  <c r="E12" i="14"/>
  <c r="E14" i="14"/>
  <c r="E15" i="14" s="1"/>
  <c r="E1598" i="16"/>
  <c r="P50" i="7"/>
  <c r="E1603" i="16" s="1"/>
  <c r="E1556" i="16"/>
  <c r="K2027" i="16"/>
  <c r="C271" i="16"/>
  <c r="F262" i="16"/>
  <c r="D56" i="14"/>
  <c r="K97" i="14"/>
  <c r="K96" i="14" s="1"/>
  <c r="Y180" i="18"/>
  <c r="CL216" i="5"/>
  <c r="CZ21" i="5"/>
  <c r="B42" i="28" s="1"/>
  <c r="AA71" i="5"/>
  <c r="R133" i="18"/>
  <c r="J62" i="14"/>
  <c r="D89" i="25"/>
  <c r="O95" i="13"/>
  <c r="L242" i="16" s="1"/>
  <c r="C2582" i="16"/>
  <c r="K5" i="19"/>
  <c r="C140" i="12"/>
  <c r="D140" i="12" s="1"/>
  <c r="E140" i="12" s="1"/>
  <c r="E139" i="12" s="1"/>
  <c r="E141" i="12" s="1"/>
  <c r="E144" i="12" s="1"/>
  <c r="E137" i="12" s="1"/>
  <c r="E149" i="12" s="1"/>
  <c r="C137" i="12"/>
  <c r="C146" i="12" s="1"/>
  <c r="Q93" i="10"/>
  <c r="C19" i="12"/>
  <c r="C941" i="16"/>
  <c r="C943" i="16" s="1"/>
  <c r="O226" i="13"/>
  <c r="N224" i="13"/>
  <c r="C30" i="12"/>
  <c r="H87" i="13"/>
  <c r="O29" i="14"/>
  <c r="AQ6" i="14" s="1"/>
  <c r="C2210" i="16"/>
  <c r="C2228" i="16" s="1"/>
  <c r="O23" i="14"/>
  <c r="H12" i="12"/>
  <c r="H236" i="13"/>
  <c r="O34" i="14"/>
  <c r="O37" i="14" s="1"/>
  <c r="E135" i="25"/>
  <c r="E240" i="25" s="1"/>
  <c r="X142" i="18"/>
  <c r="E174" i="18" s="1"/>
  <c r="F289" i="13"/>
  <c r="BJ244" i="12"/>
  <c r="E97" i="12"/>
  <c r="D1766" i="16"/>
  <c r="D1787" i="16" s="1"/>
  <c r="H512" i="16"/>
  <c r="H554" i="16" s="1"/>
  <c r="G1468" i="16"/>
  <c r="E1551" i="16"/>
  <c r="Y18" i="18"/>
  <c r="E1482" i="16"/>
  <c r="X62" i="29"/>
  <c r="P120" i="13"/>
  <c r="H248" i="13" s="1"/>
  <c r="E98" i="13"/>
  <c r="P103" i="13"/>
  <c r="L64" i="13"/>
  <c r="Q226" i="13"/>
  <c r="Q159" i="13"/>
  <c r="I283" i="13" s="1"/>
  <c r="AD59" i="29"/>
  <c r="N59" i="29"/>
  <c r="T184" i="13"/>
  <c r="L296" i="13" s="1"/>
  <c r="L241" i="13"/>
  <c r="K182" i="10"/>
  <c r="U184" i="13"/>
  <c r="M296" i="13" s="1"/>
  <c r="BX269" i="5"/>
  <c r="AT90" i="28"/>
  <c r="BF266" i="5"/>
  <c r="BG266" i="5"/>
  <c r="BJ141" i="5"/>
  <c r="EN141" i="5" s="1"/>
  <c r="BH266" i="5"/>
  <c r="BJ266" i="5"/>
  <c r="BE141" i="5"/>
  <c r="BE266" i="5"/>
  <c r="L132" i="10"/>
  <c r="L128" i="10"/>
  <c r="O136" i="10"/>
  <c r="P109" i="10"/>
  <c r="P119" i="10" s="1"/>
  <c r="P146" i="10" s="1"/>
  <c r="G2182" i="16"/>
  <c r="O81" i="14"/>
  <c r="O80" i="14" s="1"/>
  <c r="C133" i="14"/>
  <c r="F132" i="14"/>
  <c r="F130" i="14" s="1"/>
  <c r="F134" i="14" s="1"/>
  <c r="AT211" i="5"/>
  <c r="C1451" i="16"/>
  <c r="K1473" i="16" s="1"/>
  <c r="G512" i="16"/>
  <c r="G554" i="16" s="1"/>
  <c r="N54" i="9"/>
  <c r="BX115" i="5"/>
  <c r="S20" i="29"/>
  <c r="BH118" i="5"/>
  <c r="F49" i="9"/>
  <c r="BH141" i="5"/>
  <c r="E2548" i="16"/>
  <c r="H102" i="25"/>
  <c r="H116" i="25" s="1"/>
  <c r="F2558" i="16"/>
  <c r="C642" i="16"/>
  <c r="D2875" i="3"/>
  <c r="C132" i="14"/>
  <c r="V7" i="18"/>
  <c r="V25" i="18" s="1"/>
  <c r="E750" i="16"/>
  <c r="Y152" i="18"/>
  <c r="D2080" i="16"/>
  <c r="D2082" i="16" s="1"/>
  <c r="J58" i="9"/>
  <c r="G2802" i="16"/>
  <c r="C2429" i="16"/>
  <c r="C2869" i="16"/>
  <c r="M62" i="14"/>
  <c r="EQ35" i="5"/>
  <c r="M25" i="29"/>
  <c r="AH90" i="28"/>
  <c r="BR269" i="5"/>
  <c r="AS90" i="28" s="1"/>
  <c r="M45" i="29"/>
  <c r="M46" i="29" s="1"/>
  <c r="F52" i="9"/>
  <c r="D2545" i="16"/>
  <c r="F113" i="25"/>
  <c r="C2545" i="16"/>
  <c r="E113" i="25"/>
  <c r="BR150" i="5"/>
  <c r="AS112" i="28" s="1"/>
  <c r="M17" i="29"/>
  <c r="N62" i="29"/>
  <c r="S62" i="29"/>
  <c r="U188" i="13"/>
  <c r="M300" i="13" s="1"/>
  <c r="EE140" i="5"/>
  <c r="EF140" i="5"/>
  <c r="EK140" i="5"/>
  <c r="EG140" i="5"/>
  <c r="EL140" i="5"/>
  <c r="EJ140" i="5"/>
  <c r="BH70" i="5"/>
  <c r="AC65" i="28" s="1"/>
  <c r="EL19" i="5"/>
  <c r="BR69" i="5"/>
  <c r="EQ33" i="5"/>
  <c r="BH38" i="5"/>
  <c r="BG38" i="5"/>
  <c r="EF36" i="5"/>
  <c r="L117" i="10"/>
  <c r="L144" i="10" s="1"/>
  <c r="Q129" i="10"/>
  <c r="BR155" i="5"/>
  <c r="F22" i="19"/>
  <c r="L74" i="14"/>
  <c r="X9" i="29"/>
  <c r="BG71" i="5"/>
  <c r="EK21" i="5"/>
  <c r="C1138" i="16"/>
  <c r="C1143" i="16" s="1"/>
  <c r="G1143" i="16" s="1"/>
  <c r="L289" i="10"/>
  <c r="L299" i="10" s="1"/>
  <c r="V148" i="18"/>
  <c r="V154" i="18" s="1"/>
  <c r="G173" i="18" s="1"/>
  <c r="H2848" i="16"/>
  <c r="D749" i="16"/>
  <c r="D1021" i="16"/>
  <c r="D1027" i="16" s="1"/>
  <c r="I1027" i="16" s="1"/>
  <c r="J6" i="22"/>
  <c r="N45" i="29"/>
  <c r="O46" i="29" s="1"/>
  <c r="K6" i="22"/>
  <c r="S45" i="29"/>
  <c r="T46" i="29" s="1"/>
  <c r="E1954" i="16"/>
  <c r="G1954" i="16" s="1"/>
  <c r="G1958" i="16" s="1"/>
  <c r="F2234" i="16"/>
  <c r="F2243" i="16" s="1"/>
  <c r="S25" i="29"/>
  <c r="I97" i="14"/>
  <c r="I96" i="14" s="1"/>
  <c r="O120" i="28"/>
  <c r="BU90" i="28"/>
  <c r="BU93" i="28" s="1"/>
  <c r="BF70" i="5"/>
  <c r="AA65" i="28" s="1"/>
  <c r="EJ19" i="5"/>
  <c r="AE40" i="28" s="1"/>
  <c r="AG54" i="28"/>
  <c r="AE57" i="28"/>
  <c r="AF53" i="28"/>
  <c r="BN269" i="5"/>
  <c r="AG39" i="28"/>
  <c r="E18" i="19"/>
  <c r="T115" i="13"/>
  <c r="L244" i="13" s="1"/>
  <c r="R68" i="10"/>
  <c r="R93" i="10" s="1"/>
  <c r="C1766" i="16"/>
  <c r="C1787" i="16" s="1"/>
  <c r="M241" i="13"/>
  <c r="C1754" i="16"/>
  <c r="C1756" i="16" s="1"/>
  <c r="C1758" i="16" s="1"/>
  <c r="C1760" i="16" s="1"/>
  <c r="C1762" i="16" s="1"/>
  <c r="D1762" i="16" s="1"/>
  <c r="E1762" i="16" s="1"/>
  <c r="F1762" i="16" s="1"/>
  <c r="I227" i="13"/>
  <c r="P57" i="13"/>
  <c r="P58" i="13" s="1"/>
  <c r="M95" i="13"/>
  <c r="J242" i="16" s="1"/>
  <c r="D1551" i="16"/>
  <c r="M22" i="12"/>
  <c r="E167" i="16"/>
  <c r="M243" i="13"/>
  <c r="I34" i="14"/>
  <c r="I37" i="14" s="1"/>
  <c r="X18" i="18"/>
  <c r="AT96" i="5"/>
  <c r="I42" i="14"/>
  <c r="G3124" i="3"/>
  <c r="G3125" i="3" s="1"/>
  <c r="G3130" i="3" s="1"/>
  <c r="I81" i="14"/>
  <c r="I92" i="14" s="1"/>
  <c r="F1577" i="16"/>
  <c r="F1578" i="16" s="1"/>
  <c r="E74" i="17"/>
  <c r="E76" i="17" s="1"/>
  <c r="G2848" i="16"/>
  <c r="K89" i="12"/>
  <c r="D55" i="12"/>
  <c r="D57" i="12" s="1"/>
  <c r="L53" i="12"/>
  <c r="M53" i="12" s="1"/>
  <c r="M18" i="21"/>
  <c r="N18" i="21" s="1"/>
  <c r="C1577" i="16"/>
  <c r="C1578" i="16" s="1"/>
  <c r="V119" i="18"/>
  <c r="Q55" i="28"/>
  <c r="Q58" i="28" s="1"/>
  <c r="D30" i="12"/>
  <c r="E30" i="12" s="1"/>
  <c r="F30" i="12" s="1"/>
  <c r="G30" i="12" s="1"/>
  <c r="H30" i="12" s="1"/>
  <c r="I30" i="12" s="1"/>
  <c r="J30" i="12" s="1"/>
  <c r="K30" i="12" s="1"/>
  <c r="F32" i="12"/>
  <c r="F50" i="12" s="1"/>
  <c r="L17" i="21"/>
  <c r="H80" i="13"/>
  <c r="K165" i="12"/>
  <c r="F17" i="12"/>
  <c r="F19" i="12" s="1"/>
  <c r="H73" i="13"/>
  <c r="E240" i="16" s="1"/>
  <c r="BJ242" i="12"/>
  <c r="F1488" i="16"/>
  <c r="K83" i="12"/>
  <c r="G171" i="12"/>
  <c r="G177" i="12" s="1"/>
  <c r="F56" i="12"/>
  <c r="G248" i="13"/>
  <c r="H90" i="13"/>
  <c r="H77" i="13"/>
  <c r="Q124" i="13"/>
  <c r="I258" i="13" s="1"/>
  <c r="M66" i="13"/>
  <c r="M92" i="13" s="1"/>
  <c r="M85" i="13" s="1"/>
  <c r="M64" i="13"/>
  <c r="F57" i="12"/>
  <c r="H83" i="13"/>
  <c r="K132" i="10"/>
  <c r="AO178" i="5"/>
  <c r="J96" i="13"/>
  <c r="H93" i="13"/>
  <c r="K128" i="10"/>
  <c r="K129" i="10" s="1"/>
  <c r="H1455" i="16"/>
  <c r="H1470" i="16" s="1"/>
  <c r="AQ5" i="14"/>
  <c r="K90" i="12"/>
  <c r="V245" i="12"/>
  <c r="O1455" i="16"/>
  <c r="O1470" i="16" s="1"/>
  <c r="Y245" i="12"/>
  <c r="F439" i="16"/>
  <c r="L90" i="12"/>
  <c r="G85" i="13"/>
  <c r="F2" i="14"/>
  <c r="F78" i="14" s="1"/>
  <c r="F84" i="14" s="1"/>
  <c r="F89" i="14" s="1"/>
  <c r="F94" i="14" s="1"/>
  <c r="F99" i="14" s="1"/>
  <c r="F104" i="14" s="1"/>
  <c r="F109" i="14" s="1"/>
  <c r="F1972" i="16"/>
  <c r="D1144" i="16"/>
  <c r="H1144" i="16" s="1"/>
  <c r="F1973" i="16"/>
  <c r="F1974" i="16" s="1"/>
  <c r="L224" i="13"/>
  <c r="L227" i="13" s="1"/>
  <c r="I55" i="25"/>
  <c r="I56" i="25" s="1"/>
  <c r="O86" i="14"/>
  <c r="F62" i="25"/>
  <c r="F122" i="25" s="1"/>
  <c r="D2564" i="16" s="1"/>
  <c r="J90" i="12"/>
  <c r="C74" i="17"/>
  <c r="C76" i="17" s="1"/>
  <c r="M226" i="13"/>
  <c r="C29" i="14"/>
  <c r="G1577" i="16"/>
  <c r="G1578" i="16" s="1"/>
  <c r="P1455" i="16"/>
  <c r="P1470" i="16" s="1"/>
  <c r="F1765" i="16"/>
  <c r="L1771" i="16" s="1"/>
  <c r="D1577" i="16"/>
  <c r="D1578" i="16" s="1"/>
  <c r="O119" i="10"/>
  <c r="O146" i="10" s="1"/>
  <c r="I84" i="12"/>
  <c r="X245" i="12"/>
  <c r="N28" i="21"/>
  <c r="K162" i="10"/>
  <c r="K192" i="10" s="1"/>
  <c r="K201" i="10" s="1"/>
  <c r="D1594" i="16"/>
  <c r="I133" i="25"/>
  <c r="G2579" i="16" s="1"/>
  <c r="D53" i="12"/>
  <c r="Q184" i="13"/>
  <c r="I296" i="13" s="1"/>
  <c r="BW169" i="5"/>
  <c r="C636" i="16"/>
  <c r="C649" i="16" s="1"/>
  <c r="C651" i="16" s="1"/>
  <c r="Y19" i="18"/>
  <c r="AK10" i="28"/>
  <c r="AO10" i="28"/>
  <c r="G55" i="12"/>
  <c r="G57" i="12" s="1"/>
  <c r="D6" i="12"/>
  <c r="G32" i="12"/>
  <c r="G50" i="12" s="1"/>
  <c r="E6" i="12"/>
  <c r="CH56" i="28"/>
  <c r="AS10" i="28"/>
  <c r="AW10" i="28"/>
  <c r="G16" i="12"/>
  <c r="Q114" i="13"/>
  <c r="I243" i="13" s="1"/>
  <c r="H172" i="12"/>
  <c r="H177" i="12"/>
  <c r="E1135" i="16"/>
  <c r="I1135" i="16" s="1"/>
  <c r="BF84" i="5"/>
  <c r="H91" i="5"/>
  <c r="H92" i="5" s="1"/>
  <c r="E2547" i="16"/>
  <c r="G115" i="25"/>
  <c r="F108" i="25"/>
  <c r="F110" i="25" s="1"/>
  <c r="F123" i="25" s="1"/>
  <c r="D2558" i="16"/>
  <c r="L19" i="18"/>
  <c r="H3772" i="3"/>
  <c r="G1488" i="16"/>
  <c r="M29" i="14"/>
  <c r="AO6" i="14" s="1"/>
  <c r="J1948" i="16"/>
  <c r="Y142" i="18"/>
  <c r="D1488" i="16"/>
  <c r="BR169" i="5"/>
  <c r="S30" i="7"/>
  <c r="AB194" i="18" s="1"/>
  <c r="O146" i="18"/>
  <c r="O152" i="18" s="1"/>
  <c r="O62" i="14"/>
  <c r="M42" i="14"/>
  <c r="E1973" i="16"/>
  <c r="E1974" i="16" s="1"/>
  <c r="M59" i="14"/>
  <c r="M60" i="14" s="1"/>
  <c r="T110" i="18"/>
  <c r="E1594" i="16"/>
  <c r="D97" i="14"/>
  <c r="D96" i="14" s="1"/>
  <c r="P153" i="18"/>
  <c r="J59" i="14"/>
  <c r="AJ211" i="5" s="1"/>
  <c r="M34" i="14"/>
  <c r="M37" i="14" s="1"/>
  <c r="H177" i="13"/>
  <c r="H212" i="13" s="1"/>
  <c r="C21" i="26"/>
  <c r="F642" i="16"/>
  <c r="D1135" i="16"/>
  <c r="H1135" i="16" s="1"/>
  <c r="D2345" i="16"/>
  <c r="B775" i="16"/>
  <c r="C775" i="16" s="1"/>
  <c r="D775" i="16" s="1"/>
  <c r="O2724" i="16"/>
  <c r="O2754" i="16" s="1"/>
  <c r="O2785" i="16" s="1"/>
  <c r="I2754" i="16"/>
  <c r="I2785" i="16" s="1"/>
  <c r="U2785" i="16" s="1"/>
  <c r="Y2785" i="16" s="1"/>
  <c r="C1972" i="16"/>
  <c r="R2724" i="16"/>
  <c r="R2754" i="16" s="1"/>
  <c r="L2754" i="16"/>
  <c r="C145" i="16"/>
  <c r="S2724" i="16"/>
  <c r="S2754" i="16" s="1"/>
  <c r="M2754" i="16"/>
  <c r="C1973" i="16"/>
  <c r="C1974" i="16" s="1"/>
  <c r="P2724" i="16"/>
  <c r="P2754" i="16" s="1"/>
  <c r="P2785" i="16" s="1"/>
  <c r="J2754" i="16"/>
  <c r="J2785" i="16" s="1"/>
  <c r="V2785" i="16" s="1"/>
  <c r="Z2785" i="16" s="1"/>
  <c r="Q2724" i="16"/>
  <c r="Q2754" i="16" s="1"/>
  <c r="Q2785" i="16" s="1"/>
  <c r="K2754" i="16"/>
  <c r="K2785" i="16" s="1"/>
  <c r="W2785" i="16" s="1"/>
  <c r="AA2785" i="16" s="1"/>
  <c r="E90" i="28"/>
  <c r="H90" i="28"/>
  <c r="F91" i="28"/>
  <c r="F90" i="28"/>
  <c r="Y55" i="28"/>
  <c r="Y58" i="28" s="1"/>
  <c r="C747" i="16"/>
  <c r="G92" i="28"/>
  <c r="AG103" i="28"/>
  <c r="Y38" i="28"/>
  <c r="I91" i="28"/>
  <c r="I90" i="28"/>
  <c r="Q103" i="28"/>
  <c r="I38" i="28"/>
  <c r="E58" i="28"/>
  <c r="G90" i="28"/>
  <c r="D92" i="28"/>
  <c r="AD42" i="28"/>
  <c r="AD43" i="28"/>
  <c r="C90" i="28"/>
  <c r="D90" i="28"/>
  <c r="C91" i="28"/>
  <c r="B91" i="28"/>
  <c r="H92" i="28"/>
  <c r="B90" i="28"/>
  <c r="I37" i="28"/>
  <c r="C92" i="28"/>
  <c r="E91" i="28"/>
  <c r="D91" i="28"/>
  <c r="H91" i="28"/>
  <c r="E92" i="28"/>
  <c r="G91" i="28"/>
  <c r="E37" i="28"/>
  <c r="F110" i="27"/>
  <c r="AC33" i="28"/>
  <c r="F92" i="28"/>
  <c r="B92" i="28"/>
  <c r="C1020" i="16"/>
  <c r="H1020" i="16" s="1"/>
  <c r="AS14" i="28"/>
  <c r="AW14" i="28"/>
  <c r="FO442" i="5"/>
  <c r="FO475" i="5"/>
  <c r="U148" i="18"/>
  <c r="U154" i="18" s="1"/>
  <c r="AG64" i="28"/>
  <c r="BD19" i="5"/>
  <c r="BD21" i="5" s="1"/>
  <c r="BD65" i="5"/>
  <c r="AC323" i="5"/>
  <c r="H38" i="25"/>
  <c r="H115" i="25" s="1"/>
  <c r="E32" i="25"/>
  <c r="E120" i="25" s="1"/>
  <c r="C2562" i="16" s="1"/>
  <c r="G56" i="25"/>
  <c r="S7" i="18"/>
  <c r="S25" i="18" s="1"/>
  <c r="S119" i="18"/>
  <c r="J15" i="7"/>
  <c r="C378" i="16" s="1"/>
  <c r="C385" i="16" s="1"/>
  <c r="T28" i="18"/>
  <c r="AE81" i="5"/>
  <c r="E1026" i="16"/>
  <c r="J1026" i="16" s="1"/>
  <c r="X259" i="12"/>
  <c r="BA242" i="12"/>
  <c r="AI7" i="12" s="1"/>
  <c r="K158" i="12"/>
  <c r="G44" i="25"/>
  <c r="G62" i="25" s="1"/>
  <c r="G122" i="25" s="1"/>
  <c r="C1827" i="16"/>
  <c r="B1206" i="16"/>
  <c r="W142" i="18"/>
  <c r="D174" i="18" s="1"/>
  <c r="E1488" i="16"/>
  <c r="C144" i="16"/>
  <c r="J64" i="13"/>
  <c r="F181" i="16"/>
  <c r="F493" i="16"/>
  <c r="F492" i="16" s="1"/>
  <c r="D2022" i="16"/>
  <c r="D2023" i="16" s="1"/>
  <c r="K325" i="10"/>
  <c r="E780" i="16"/>
  <c r="E798" i="16" s="1"/>
  <c r="C146" i="16"/>
  <c r="H79" i="13"/>
  <c r="I71" i="25"/>
  <c r="I72" i="25" s="1"/>
  <c r="G108" i="25"/>
  <c r="G110" i="25" s="1"/>
  <c r="G123" i="25" s="1"/>
  <c r="N62" i="14"/>
  <c r="D48" i="14"/>
  <c r="C1594" i="16"/>
  <c r="N155" i="18"/>
  <c r="H1957" i="16"/>
  <c r="H56" i="25"/>
  <c r="L182" i="10"/>
  <c r="F239" i="13"/>
  <c r="I85" i="12"/>
  <c r="BL244" i="12"/>
  <c r="L347" i="10"/>
  <c r="L345" i="10" s="1"/>
  <c r="I207" i="10"/>
  <c r="I210" i="10" s="1"/>
  <c r="E8" i="21" s="1"/>
  <c r="F92" i="12"/>
  <c r="BP244" i="12"/>
  <c r="BF244" i="12"/>
  <c r="P245" i="12"/>
  <c r="D1827" i="16"/>
  <c r="F1950" i="16"/>
  <c r="J1950" i="16" s="1"/>
  <c r="O155" i="18"/>
  <c r="K87" i="12"/>
  <c r="D1972" i="16"/>
  <c r="J1947" i="16"/>
  <c r="BI31" i="4"/>
  <c r="BO244" i="12"/>
  <c r="M136" i="13"/>
  <c r="K205" i="10"/>
  <c r="C7" i="22" s="1"/>
  <c r="L66" i="13"/>
  <c r="L92" i="13" s="1"/>
  <c r="L85" i="13" s="1"/>
  <c r="CK336" i="5"/>
  <c r="BK244" i="12"/>
  <c r="C1822" i="16"/>
  <c r="C1823" i="16" s="1"/>
  <c r="H1823" i="16" s="1"/>
  <c r="R337" i="5"/>
  <c r="K85" i="12"/>
  <c r="J85" i="12"/>
  <c r="S42" i="26"/>
  <c r="DB211" i="5"/>
  <c r="J2027" i="16"/>
  <c r="K289" i="10"/>
  <c r="K314" i="10" s="1"/>
  <c r="K315" i="10" s="1"/>
  <c r="C1112" i="16"/>
  <c r="J97" i="14"/>
  <c r="J96" i="14" s="1"/>
  <c r="C748" i="16"/>
  <c r="G50" i="9"/>
  <c r="H1021" i="16"/>
  <c r="C744" i="16"/>
  <c r="J79" i="16"/>
  <c r="J82" i="16" s="1"/>
  <c r="C1114" i="16"/>
  <c r="DA209" i="5"/>
  <c r="C746" i="16"/>
  <c r="Y325" i="5"/>
  <c r="DZ40" i="5"/>
  <c r="CV209" i="5"/>
  <c r="CL307" i="5"/>
  <c r="J334" i="5"/>
  <c r="H308" i="5"/>
  <c r="O273" i="5"/>
  <c r="U147" i="18"/>
  <c r="U153" i="18" s="1"/>
  <c r="C1113" i="16"/>
  <c r="C1022" i="16"/>
  <c r="H1022" i="16" s="1"/>
  <c r="D1538" i="16"/>
  <c r="M177" i="13"/>
  <c r="M212" i="13" s="1"/>
  <c r="DH155" i="5"/>
  <c r="T146" i="18"/>
  <c r="T152" i="18" s="1"/>
  <c r="AO65" i="5"/>
  <c r="I80" i="16"/>
  <c r="I83" i="16" s="1"/>
  <c r="DM156" i="5"/>
  <c r="DA7" i="5"/>
  <c r="C31" i="28" s="1"/>
  <c r="CZ211" i="5"/>
  <c r="Y337" i="5"/>
  <c r="Y273" i="5"/>
  <c r="X337" i="5"/>
  <c r="DH156" i="5"/>
  <c r="I2027" i="16"/>
  <c r="W19" i="5"/>
  <c r="DA19" i="5" s="1"/>
  <c r="C40" i="28" s="1"/>
  <c r="G84" i="5"/>
  <c r="AB213" i="5"/>
  <c r="W24" i="5"/>
  <c r="F2848" i="16"/>
  <c r="BI65" i="5"/>
  <c r="DL7" i="5"/>
  <c r="L31" i="28" s="1"/>
  <c r="W65" i="5"/>
  <c r="T148" i="18"/>
  <c r="T154" i="18" s="1"/>
  <c r="I79" i="16"/>
  <c r="I82" i="16" s="1"/>
  <c r="H337" i="5"/>
  <c r="W59" i="5"/>
  <c r="W61" i="5" s="1"/>
  <c r="J289" i="10"/>
  <c r="J299" i="10" s="1"/>
  <c r="E1538" i="16"/>
  <c r="Q141" i="18"/>
  <c r="Q154" i="18" s="1"/>
  <c r="D746" i="16"/>
  <c r="O310" i="5"/>
  <c r="AN137" i="5"/>
  <c r="C58" i="9"/>
  <c r="AB323" i="5"/>
  <c r="J70" i="5"/>
  <c r="Q131" i="18"/>
  <c r="J307" i="5"/>
  <c r="J310" i="5" s="1"/>
  <c r="Q337" i="5"/>
  <c r="N213" i="5"/>
  <c r="E273" i="5"/>
  <c r="AE19" i="5"/>
  <c r="AE21" i="5" s="1"/>
  <c r="M337" i="5"/>
  <c r="F203" i="25"/>
  <c r="J87" i="12"/>
  <c r="BF242" i="12"/>
  <c r="J42" i="14"/>
  <c r="F53" i="25"/>
  <c r="G1535" i="16"/>
  <c r="G1538" i="16" s="1"/>
  <c r="G1451" i="16"/>
  <c r="R119" i="18"/>
  <c r="R7" i="18"/>
  <c r="R25" i="18" s="1"/>
  <c r="I15" i="7"/>
  <c r="C303" i="16" s="1"/>
  <c r="I20" i="7"/>
  <c r="D1138" i="16"/>
  <c r="C97" i="12"/>
  <c r="AN84" i="5"/>
  <c r="AN91" i="5" s="1"/>
  <c r="AN92" i="5" s="1"/>
  <c r="EB7" i="5"/>
  <c r="Y31" i="28" s="1"/>
  <c r="FO394" i="5"/>
  <c r="AT71" i="5"/>
  <c r="O117" i="13"/>
  <c r="G246" i="13" s="1"/>
  <c r="N226" i="13"/>
  <c r="I325" i="10"/>
  <c r="M289" i="10"/>
  <c r="M299" i="10" s="1"/>
  <c r="K12" i="16"/>
  <c r="F163" i="16"/>
  <c r="F138" i="16"/>
  <c r="O357" i="5"/>
  <c r="AN157" i="5"/>
  <c r="S273" i="5"/>
  <c r="DM40" i="5"/>
  <c r="N136" i="13"/>
  <c r="M224" i="13"/>
  <c r="K82" i="13"/>
  <c r="K95" i="13" s="1"/>
  <c r="H242" i="16" s="1"/>
  <c r="W148" i="18"/>
  <c r="W154" i="18" s="1"/>
  <c r="H173" i="18" s="1"/>
  <c r="D640" i="16"/>
  <c r="D644" i="16" s="1"/>
  <c r="H1542" i="16"/>
  <c r="F1478" i="16"/>
  <c r="R273" i="5"/>
  <c r="R120" i="13"/>
  <c r="J248" i="13" s="1"/>
  <c r="J5" i="19"/>
  <c r="K57" i="13"/>
  <c r="K66" i="13" s="1"/>
  <c r="K92" i="13" s="1"/>
  <c r="K85" i="13" s="1"/>
  <c r="B1188" i="16"/>
  <c r="B1208" i="16" s="1"/>
  <c r="B1228" i="16" s="1"/>
  <c r="O337" i="5"/>
  <c r="L337" i="5"/>
  <c r="DF157" i="5"/>
  <c r="C32" i="12"/>
  <c r="C50" i="12" s="1"/>
  <c r="N108" i="13"/>
  <c r="N110" i="13" s="1"/>
  <c r="N103" i="13"/>
  <c r="M103" i="13"/>
  <c r="K81" i="13"/>
  <c r="H88" i="13"/>
  <c r="H78" i="13"/>
  <c r="C55" i="12"/>
  <c r="C56" i="12" s="1"/>
  <c r="J53" i="13"/>
  <c r="I53" i="13" s="1"/>
  <c r="I54" i="13" s="1"/>
  <c r="I56" i="13" s="1"/>
  <c r="G1455" i="16"/>
  <c r="G1470" i="16" s="1"/>
  <c r="C1107" i="16"/>
  <c r="G203" i="16"/>
  <c r="EG7" i="5"/>
  <c r="K245" i="12"/>
  <c r="J89" i="12"/>
  <c r="L337" i="10"/>
  <c r="L340" i="10" s="1"/>
  <c r="K117" i="10"/>
  <c r="K144" i="10" s="1"/>
  <c r="M92" i="14"/>
  <c r="H244" i="10"/>
  <c r="H299" i="10" s="1"/>
  <c r="AD325" i="5"/>
  <c r="L1455" i="16"/>
  <c r="L1470" i="16" s="1"/>
  <c r="F948" i="16"/>
  <c r="L103" i="13"/>
  <c r="M108" i="13"/>
  <c r="C1081" i="16"/>
  <c r="L108" i="13"/>
  <c r="L110" i="13" s="1"/>
  <c r="W110" i="18"/>
  <c r="I76" i="12"/>
  <c r="I77" i="12" s="1"/>
  <c r="N29" i="14"/>
  <c r="AP6" i="14" s="1"/>
  <c r="K200" i="16"/>
  <c r="D1955" i="16"/>
  <c r="F1956" i="16"/>
  <c r="H1956" i="16" s="1"/>
  <c r="BG242" i="12"/>
  <c r="J83" i="12"/>
  <c r="G19" i="22"/>
  <c r="K1813" i="16"/>
  <c r="K6" i="16"/>
  <c r="N18" i="12"/>
  <c r="E1776" i="16"/>
  <c r="N14" i="12"/>
  <c r="AP237" i="12"/>
  <c r="C4410" i="3"/>
  <c r="E4410" i="3" s="1"/>
  <c r="I165" i="10"/>
  <c r="I195" i="10" s="1"/>
  <c r="I187" i="10"/>
  <c r="DL157" i="5"/>
  <c r="C19" i="22"/>
  <c r="D17" i="12"/>
  <c r="D24" i="12"/>
  <c r="D25" i="12" s="1"/>
  <c r="D27" i="12" s="1"/>
  <c r="L1466" i="16"/>
  <c r="L1472" i="16" s="1"/>
  <c r="P1458" i="16"/>
  <c r="P1466" i="16" s="1"/>
  <c r="P1472" i="16" s="1"/>
  <c r="D299" i="16"/>
  <c r="D307" i="16" s="1"/>
  <c r="D308" i="16" s="1"/>
  <c r="D74" i="17"/>
  <c r="D76" i="17" s="1"/>
  <c r="BI70" i="5"/>
  <c r="D24" i="14"/>
  <c r="I1813" i="16"/>
  <c r="G20" i="7"/>
  <c r="I1814" i="16"/>
  <c r="R135" i="10"/>
  <c r="S135" i="10" s="1"/>
  <c r="T135" i="10" s="1"/>
  <c r="U135" i="10" s="1"/>
  <c r="V135" i="10" s="1"/>
  <c r="F1101" i="16"/>
  <c r="G1100" i="16"/>
  <c r="I139" i="10"/>
  <c r="I151" i="10" s="1"/>
  <c r="I149" i="10"/>
  <c r="I254" i="10" s="1"/>
  <c r="I119" i="10"/>
  <c r="I146" i="10" s="1"/>
  <c r="J952" i="16"/>
  <c r="K946" i="16"/>
  <c r="R209" i="10"/>
  <c r="S101" i="10"/>
  <c r="C42" i="14"/>
  <c r="E55" i="12"/>
  <c r="E17" i="12"/>
  <c r="F81" i="25"/>
  <c r="E105" i="25"/>
  <c r="V110" i="18"/>
  <c r="O110" i="18"/>
  <c r="O28" i="18"/>
  <c r="N67" i="14"/>
  <c r="E1144" i="16"/>
  <c r="I1144" i="16" s="1"/>
  <c r="AT38" i="5"/>
  <c r="AT72" i="5" s="1"/>
  <c r="L2027" i="16"/>
  <c r="E655" i="16"/>
  <c r="E680" i="16" s="1"/>
  <c r="F611" i="16"/>
  <c r="D97" i="12"/>
  <c r="N119" i="18"/>
  <c r="N7" i="18"/>
  <c r="E15" i="7"/>
  <c r="AJ21" i="5"/>
  <c r="AJ71" i="5" s="1"/>
  <c r="AJ70" i="5"/>
  <c r="H160" i="12"/>
  <c r="H158" i="12"/>
  <c r="K312" i="10"/>
  <c r="L311" i="10"/>
  <c r="AO5" i="14"/>
  <c r="G1542" i="16"/>
  <c r="E1478" i="16"/>
  <c r="J1814" i="16"/>
  <c r="J1816" i="16"/>
  <c r="Q7" i="18"/>
  <c r="Q25" i="18" s="1"/>
  <c r="Q119" i="18"/>
  <c r="H15" i="7"/>
  <c r="T142" i="18"/>
  <c r="W134" i="18"/>
  <c r="J270" i="16"/>
  <c r="E779" i="16"/>
  <c r="E797" i="16" s="1"/>
  <c r="J272" i="16"/>
  <c r="E1010" i="16"/>
  <c r="J1010" i="16" s="1"/>
  <c r="C1593" i="16"/>
  <c r="J271" i="16"/>
  <c r="D1129" i="16"/>
  <c r="E171" i="16"/>
  <c r="E169" i="16"/>
  <c r="E489" i="16"/>
  <c r="E490" i="16" s="1"/>
  <c r="E151" i="16"/>
  <c r="L81" i="14"/>
  <c r="L80" i="14" s="1"/>
  <c r="L23" i="14"/>
  <c r="J257" i="16" s="1"/>
  <c r="L34" i="14"/>
  <c r="P22" i="18"/>
  <c r="G1124" i="16"/>
  <c r="C1123" i="16"/>
  <c r="G1123" i="16" s="1"/>
  <c r="D261" i="10"/>
  <c r="D274" i="10" s="1"/>
  <c r="D107" i="10"/>
  <c r="N22" i="18"/>
  <c r="C1037" i="16"/>
  <c r="H1037" i="16" s="1"/>
  <c r="DJ157" i="5"/>
  <c r="W212" i="5"/>
  <c r="W213" i="5" s="1"/>
  <c r="AJ65" i="5"/>
  <c r="AM19" i="5"/>
  <c r="DL19" i="5" s="1"/>
  <c r="L40" i="28" s="1"/>
  <c r="BK27" i="4"/>
  <c r="AF31" i="4"/>
  <c r="BK31" i="4" s="1"/>
  <c r="AB40" i="4"/>
  <c r="W236" i="12"/>
  <c r="BI239" i="12" s="1"/>
  <c r="BI237" i="12"/>
  <c r="W244" i="12"/>
  <c r="Z258" i="12"/>
  <c r="Z259" i="12"/>
  <c r="O73" i="12"/>
  <c r="O90" i="12" s="1"/>
  <c r="H266" i="13"/>
  <c r="Q144" i="13"/>
  <c r="I76" i="13"/>
  <c r="I98" i="13" s="1"/>
  <c r="E195" i="10"/>
  <c r="E191" i="10"/>
  <c r="E193" i="10"/>
  <c r="E184" i="10"/>
  <c r="E180" i="10"/>
  <c r="E181" i="10" s="1"/>
  <c r="E182" i="10" s="1"/>
  <c r="E196" i="10"/>
  <c r="E190" i="10"/>
  <c r="E186" i="10"/>
  <c r="E167" i="10"/>
  <c r="E189" i="10"/>
  <c r="E185" i="10"/>
  <c r="E188" i="10"/>
  <c r="E201" i="10" s="1"/>
  <c r="H132" i="10"/>
  <c r="G131" i="10"/>
  <c r="D19" i="22"/>
  <c r="C8" i="22"/>
  <c r="G1607" i="16"/>
  <c r="H1672" i="16"/>
  <c r="J878" i="16"/>
  <c r="G239" i="13"/>
  <c r="M182" i="10"/>
  <c r="H193" i="10"/>
  <c r="H184" i="10"/>
  <c r="H180" i="10"/>
  <c r="H181" i="10" s="1"/>
  <c r="I167" i="10"/>
  <c r="H167" i="10"/>
  <c r="H185" i="10"/>
  <c r="H196" i="10"/>
  <c r="H190" i="10"/>
  <c r="H186" i="10"/>
  <c r="H195" i="10"/>
  <c r="H191" i="10"/>
  <c r="H194" i="10"/>
  <c r="H188" i="10"/>
  <c r="H189" i="10"/>
  <c r="M105" i="14"/>
  <c r="D125" i="14"/>
  <c r="D126" i="14" s="1"/>
  <c r="I126" i="14" s="1"/>
  <c r="I48" i="14"/>
  <c r="D494" i="16"/>
  <c r="K1455" i="16"/>
  <c r="K1470" i="16" s="1"/>
  <c r="J1811" i="16"/>
  <c r="I1811" i="16"/>
  <c r="H1816" i="16"/>
  <c r="H1810" i="16"/>
  <c r="H1811" i="16"/>
  <c r="K228" i="13"/>
  <c r="K181" i="13"/>
  <c r="K212" i="13"/>
  <c r="H11" i="19" s="1"/>
  <c r="H1137" i="16"/>
  <c r="I1815" i="16"/>
  <c r="E1799" i="16"/>
  <c r="E1804" i="16"/>
  <c r="F261" i="10"/>
  <c r="F274" i="10" s="1"/>
  <c r="F107" i="10"/>
  <c r="T3" i="18"/>
  <c r="K7" i="7"/>
  <c r="K10" i="7" s="1"/>
  <c r="P212" i="13"/>
  <c r="P213" i="13" s="1"/>
  <c r="P228" i="13"/>
  <c r="C1799" i="16"/>
  <c r="C1804" i="16"/>
  <c r="O228" i="13"/>
  <c r="O212" i="13"/>
  <c r="H179" i="12"/>
  <c r="G97" i="12"/>
  <c r="L74" i="12"/>
  <c r="L91" i="12" s="1"/>
  <c r="S93" i="13"/>
  <c r="I200" i="25"/>
  <c r="J199" i="25"/>
  <c r="K85" i="14"/>
  <c r="O7" i="18"/>
  <c r="O25" i="18" s="1"/>
  <c r="O119" i="18"/>
  <c r="F15" i="7"/>
  <c r="D3124" i="3"/>
  <c r="D3115" i="3"/>
  <c r="D3128" i="3" s="1"/>
  <c r="T191" i="10"/>
  <c r="U193" i="10"/>
  <c r="D171" i="18"/>
  <c r="W152" i="18"/>
  <c r="H171" i="18" s="1"/>
  <c r="F36" i="7"/>
  <c r="F39" i="7" s="1"/>
  <c r="F20" i="7"/>
  <c r="DE157" i="5"/>
  <c r="ED19" i="5"/>
  <c r="Z40" i="28" s="1"/>
  <c r="DQ7" i="5"/>
  <c r="P31" i="28" s="1"/>
  <c r="AM59" i="5"/>
  <c r="DL59" i="5" s="1"/>
  <c r="Q153" i="18"/>
  <c r="N90" i="12"/>
  <c r="BI242" i="12"/>
  <c r="BE242" i="12"/>
  <c r="O245" i="12"/>
  <c r="K91" i="12"/>
  <c r="M90" i="12"/>
  <c r="I97" i="12"/>
  <c r="M947" i="16"/>
  <c r="D161" i="16"/>
  <c r="F274" i="13"/>
  <c r="N153" i="13"/>
  <c r="F276" i="13" s="1"/>
  <c r="O90" i="13"/>
  <c r="P90" i="13" s="1"/>
  <c r="Q90" i="13" s="1"/>
  <c r="R90" i="13" s="1"/>
  <c r="S90" i="13" s="1"/>
  <c r="O64" i="13"/>
  <c r="F3115" i="3"/>
  <c r="F3128" i="3" s="1"/>
  <c r="E3124" i="3"/>
  <c r="E3133" i="3" s="1"/>
  <c r="E3115" i="3"/>
  <c r="E3128" i="3" s="1"/>
  <c r="J227" i="13"/>
  <c r="C3124" i="3"/>
  <c r="C3133" i="3" s="1"/>
  <c r="C3115" i="3"/>
  <c r="C3128" i="3" s="1"/>
  <c r="P114" i="13"/>
  <c r="F3120" i="3"/>
  <c r="F3129" i="3" s="1"/>
  <c r="F3124" i="3"/>
  <c r="F3125" i="3" s="1"/>
  <c r="F3130" i="3" s="1"/>
  <c r="U189" i="10"/>
  <c r="H222" i="10"/>
  <c r="N180" i="10"/>
  <c r="N181" i="10" s="1"/>
  <c r="H90" i="14"/>
  <c r="H100" i="14"/>
  <c r="H105" i="14" s="1"/>
  <c r="P59" i="14"/>
  <c r="Q59" i="14" s="1"/>
  <c r="R59" i="14" s="1"/>
  <c r="S59" i="14" s="1"/>
  <c r="T59" i="14" s="1"/>
  <c r="O60" i="14"/>
  <c r="AH45" i="14"/>
  <c r="AG46" i="14"/>
  <c r="AH46" i="14" s="1"/>
  <c r="AI46" i="14" s="1"/>
  <c r="L85" i="14"/>
  <c r="L86" i="14" s="1"/>
  <c r="E129" i="14"/>
  <c r="C181" i="16"/>
  <c r="C493" i="16"/>
  <c r="K1810" i="16"/>
  <c r="J1810" i="16"/>
  <c r="E146" i="16"/>
  <c r="E143" i="16"/>
  <c r="E144" i="16"/>
  <c r="E1027" i="16"/>
  <c r="J1027" i="16" s="1"/>
  <c r="J1815" i="16"/>
  <c r="C190" i="14"/>
  <c r="C191" i="14" s="1"/>
  <c r="I291" i="10"/>
  <c r="I292" i="10" s="1"/>
  <c r="I314" i="10"/>
  <c r="C7" i="19"/>
  <c r="F106" i="13"/>
  <c r="F108" i="13"/>
  <c r="X149" i="18"/>
  <c r="AY107" i="5"/>
  <c r="O26" i="7"/>
  <c r="X184" i="18" s="1"/>
  <c r="C1768" i="16"/>
  <c r="G522" i="16"/>
  <c r="G564" i="16" s="1"/>
  <c r="C1454" i="16"/>
  <c r="C1469" i="16" s="1"/>
  <c r="G2183" i="16"/>
  <c r="I1129" i="16"/>
  <c r="E1128" i="16"/>
  <c r="I1128" i="16" s="1"/>
  <c r="G314" i="10"/>
  <c r="G315" i="10" s="1"/>
  <c r="G317" i="10" s="1"/>
  <c r="G291" i="10"/>
  <c r="G292" i="10" s="1"/>
  <c r="G287" i="10"/>
  <c r="G297" i="10" s="1"/>
  <c r="F314" i="10"/>
  <c r="F315" i="10" s="1"/>
  <c r="F317" i="10" s="1"/>
  <c r="F291" i="10"/>
  <c r="G181" i="13"/>
  <c r="G212" i="13"/>
  <c r="G178" i="13"/>
  <c r="D186" i="14"/>
  <c r="E186" i="14" s="1"/>
  <c r="J269" i="16"/>
  <c r="H36" i="7"/>
  <c r="H39" i="7" s="1"/>
  <c r="H20" i="7"/>
  <c r="O22" i="18"/>
  <c r="E182" i="16"/>
  <c r="E184" i="16"/>
  <c r="F52" i="13"/>
  <c r="G80" i="13"/>
  <c r="G96" i="13" s="1"/>
  <c r="E1672" i="16"/>
  <c r="I260" i="16"/>
  <c r="G878" i="16"/>
  <c r="D1607" i="16"/>
  <c r="J1813" i="16"/>
  <c r="Q4" i="18"/>
  <c r="P4" i="18"/>
  <c r="K51" i="9"/>
  <c r="Q245" i="12"/>
  <c r="BC244" i="12"/>
  <c r="BG244" i="12"/>
  <c r="F182" i="16"/>
  <c r="F184" i="16"/>
  <c r="O28" i="21"/>
  <c r="P22" i="21"/>
  <c r="K17" i="19"/>
  <c r="O72" i="13"/>
  <c r="N73" i="13"/>
  <c r="N48" i="14"/>
  <c r="N24" i="14"/>
  <c r="N49" i="14"/>
  <c r="N51" i="14" s="1"/>
  <c r="N52" i="14" s="1"/>
  <c r="D190" i="14"/>
  <c r="E190" i="14" s="1"/>
  <c r="S146" i="18"/>
  <c r="H97" i="14"/>
  <c r="H96" i="14" s="1"/>
  <c r="H1124" i="16"/>
  <c r="D1123" i="16"/>
  <c r="H1123" i="16" s="1"/>
  <c r="S110" i="18"/>
  <c r="AM65" i="5"/>
  <c r="L61" i="28" s="1"/>
  <c r="AJ38" i="5"/>
  <c r="AY19" i="5"/>
  <c r="AY21" i="5" s="1"/>
  <c r="W258" i="12"/>
  <c r="AE40" i="4"/>
  <c r="W259" i="12"/>
  <c r="Y259" i="12"/>
  <c r="BA244" i="12"/>
  <c r="F99" i="12"/>
  <c r="F60" i="12"/>
  <c r="G4" i="12"/>
  <c r="U245" i="12"/>
  <c r="J143" i="12"/>
  <c r="J97" i="12"/>
  <c r="N947" i="16"/>
  <c r="D163" i="16"/>
  <c r="D138" i="16"/>
  <c r="H227" i="13"/>
  <c r="L209" i="13"/>
  <c r="F260" i="13"/>
  <c r="O126" i="13"/>
  <c r="N96" i="13"/>
  <c r="N95" i="13"/>
  <c r="K242" i="16" s="1"/>
  <c r="L5" i="19"/>
  <c r="G236" i="13"/>
  <c r="O224" i="13"/>
  <c r="O103" i="13"/>
  <c r="P226" i="13"/>
  <c r="F878" i="16"/>
  <c r="D1672" i="16"/>
  <c r="H260" i="16"/>
  <c r="C1607" i="16"/>
  <c r="I20" i="22"/>
  <c r="I15" i="22"/>
  <c r="I17" i="22" s="1"/>
  <c r="G656" i="16"/>
  <c r="G659" i="16" s="1"/>
  <c r="H1607" i="16"/>
  <c r="I1672" i="16"/>
  <c r="F1672" i="16"/>
  <c r="J260" i="16"/>
  <c r="H878" i="16"/>
  <c r="E1607" i="16"/>
  <c r="J129" i="10"/>
  <c r="W116" i="13"/>
  <c r="Y61" i="29" s="1"/>
  <c r="Y62" i="29" s="1"/>
  <c r="U151" i="10"/>
  <c r="J220" i="10"/>
  <c r="I222" i="10"/>
  <c r="H254" i="13"/>
  <c r="H253" i="13"/>
  <c r="F76" i="25"/>
  <c r="G75" i="25"/>
  <c r="R137" i="10"/>
  <c r="Q110" i="10"/>
  <c r="J162" i="10"/>
  <c r="J30" i="25"/>
  <c r="J24" i="14"/>
  <c r="H258" i="16" s="1"/>
  <c r="J48" i="14"/>
  <c r="I85" i="14"/>
  <c r="I86" i="14" s="1"/>
  <c r="K48" i="14"/>
  <c r="K24" i="14"/>
  <c r="I258" i="16" s="1"/>
  <c r="L8" i="14"/>
  <c r="I202" i="16" s="1"/>
  <c r="M7" i="14"/>
  <c r="J204" i="10"/>
  <c r="I38" i="7"/>
  <c r="I39" i="7" s="1"/>
  <c r="J12" i="7"/>
  <c r="G50" i="25"/>
  <c r="G53" i="25" s="1"/>
  <c r="H1813" i="16"/>
  <c r="H188" i="16"/>
  <c r="D195" i="16"/>
  <c r="D1823" i="16"/>
  <c r="I1823" i="16" s="1"/>
  <c r="S22" i="18"/>
  <c r="E171" i="18"/>
  <c r="X152" i="18"/>
  <c r="I171" i="18" s="1"/>
  <c r="C2330" i="16"/>
  <c r="C2327" i="16"/>
  <c r="D2327" i="16" s="1"/>
  <c r="M261" i="10"/>
  <c r="M274" i="10" s="1"/>
  <c r="M107" i="10"/>
  <c r="F1671" i="16"/>
  <c r="N19" i="18"/>
  <c r="E24" i="7"/>
  <c r="N1" i="10"/>
  <c r="N225" i="10" s="1"/>
  <c r="M731" i="16"/>
  <c r="E1477" i="16"/>
  <c r="E1484" i="16" s="1"/>
  <c r="Y28" i="18"/>
  <c r="Y110" i="18"/>
  <c r="H291" i="10"/>
  <c r="H292" i="10" s="1"/>
  <c r="H314" i="10"/>
  <c r="V142" i="18"/>
  <c r="C174" i="18" s="1"/>
  <c r="D780" i="16"/>
  <c r="D798" i="16" s="1"/>
  <c r="D772" i="16"/>
  <c r="D1017" i="16"/>
  <c r="C1135" i="16"/>
  <c r="C1488" i="16"/>
  <c r="R4" i="18"/>
  <c r="O18" i="12"/>
  <c r="O14" i="12"/>
  <c r="F1776" i="16"/>
  <c r="H50" i="12"/>
  <c r="H47" i="12"/>
  <c r="G286" i="13"/>
  <c r="P162" i="13"/>
  <c r="O163" i="13"/>
  <c r="G287" i="13" s="1"/>
  <c r="R226" i="13"/>
  <c r="Q224" i="13"/>
  <c r="I236" i="13"/>
  <c r="Q103" i="13"/>
  <c r="Q120" i="13"/>
  <c r="I248" i="13" s="1"/>
  <c r="M335" i="10"/>
  <c r="AN5" i="14"/>
  <c r="I203" i="16"/>
  <c r="D1478" i="16"/>
  <c r="E178" i="16"/>
  <c r="K29" i="14"/>
  <c r="K23" i="14"/>
  <c r="I257" i="16" s="1"/>
  <c r="K34" i="14"/>
  <c r="K81" i="14"/>
  <c r="K82" i="14" s="1"/>
  <c r="N90" i="14"/>
  <c r="N100" i="14"/>
  <c r="E36" i="16"/>
  <c r="L4" i="16"/>
  <c r="Q212" i="13"/>
  <c r="Q213" i="13" s="1"/>
  <c r="Q228" i="13"/>
  <c r="H273" i="13"/>
  <c r="Q150" i="13"/>
  <c r="L204" i="10"/>
  <c r="O180" i="10"/>
  <c r="O181" i="10" s="1"/>
  <c r="P178" i="10"/>
  <c r="O82" i="10"/>
  <c r="O80" i="10"/>
  <c r="O83" i="10" s="1"/>
  <c r="D81" i="14"/>
  <c r="D34" i="14"/>
  <c r="D23" i="14"/>
  <c r="D29" i="14"/>
  <c r="D180" i="16"/>
  <c r="D491" i="16"/>
  <c r="K42" i="14"/>
  <c r="M23" i="14"/>
  <c r="G1545" i="16" s="1"/>
  <c r="J1812" i="16"/>
  <c r="K1814" i="16"/>
  <c r="K1816" i="16"/>
  <c r="K1812" i="16"/>
  <c r="N3" i="18"/>
  <c r="N4" i="18" s="1"/>
  <c r="E7" i="7"/>
  <c r="E10" i="7" s="1"/>
  <c r="E1823" i="16"/>
  <c r="J1823" i="16" s="1"/>
  <c r="CW310" i="5"/>
  <c r="E50" i="9"/>
  <c r="U37" i="5"/>
  <c r="L62" i="1" s="1"/>
  <c r="L139" i="1" s="1"/>
  <c r="AD40" i="4"/>
  <c r="AC40" i="4"/>
  <c r="J64" i="12"/>
  <c r="J81" i="12" s="1"/>
  <c r="O21" i="12"/>
  <c r="O22" i="12" s="1"/>
  <c r="E123" i="12"/>
  <c r="E132" i="12"/>
  <c r="G36" i="21"/>
  <c r="H2" i="21"/>
  <c r="K56" i="12"/>
  <c r="C18" i="19"/>
  <c r="F92" i="13"/>
  <c r="F93" i="13"/>
  <c r="F83" i="13"/>
  <c r="F87" i="13"/>
  <c r="F78" i="13"/>
  <c r="F79" i="13"/>
  <c r="F77" i="13"/>
  <c r="F73" i="13"/>
  <c r="C240" i="16" s="1"/>
  <c r="F88" i="13"/>
  <c r="T206" i="10"/>
  <c r="P224" i="13"/>
  <c r="T62" i="13"/>
  <c r="E19" i="22"/>
  <c r="I181" i="10"/>
  <c r="R128" i="10"/>
  <c r="R129" i="10" s="1"/>
  <c r="R138" i="10"/>
  <c r="R118" i="10"/>
  <c r="S120" i="10"/>
  <c r="S147" i="10" s="1"/>
  <c r="T201" i="10"/>
  <c r="N245" i="13"/>
  <c r="V112" i="13"/>
  <c r="R224" i="13"/>
  <c r="S226" i="13"/>
  <c r="J236" i="13"/>
  <c r="R103" i="13"/>
  <c r="G1672" i="16"/>
  <c r="F1607" i="16"/>
  <c r="I878" i="16"/>
  <c r="M132" i="10"/>
  <c r="M128" i="10"/>
  <c r="H108" i="25"/>
  <c r="D62" i="14"/>
  <c r="F78" i="25"/>
  <c r="G79" i="25"/>
  <c r="L29" i="14"/>
  <c r="AN6" i="14" s="1"/>
  <c r="K59" i="25"/>
  <c r="J85" i="14"/>
  <c r="J86" i="14" s="1"/>
  <c r="D135" i="25"/>
  <c r="N23" i="14"/>
  <c r="H1545" i="16" s="1"/>
  <c r="N81" i="14"/>
  <c r="H1535" i="16"/>
  <c r="H1538" i="16" s="1"/>
  <c r="H1451" i="16"/>
  <c r="N34" i="14"/>
  <c r="F126" i="25"/>
  <c r="D2568" i="16" s="1"/>
  <c r="D2561" i="16"/>
  <c r="D2544" i="16" s="1"/>
  <c r="D2555" i="16" s="1"/>
  <c r="J112" i="10"/>
  <c r="J124" i="10" s="1"/>
  <c r="M48" i="14"/>
  <c r="M24" i="14"/>
  <c r="M49" i="14"/>
  <c r="M51" i="14" s="1"/>
  <c r="M52" i="14" s="1"/>
  <c r="C1980" i="16"/>
  <c r="C1967" i="16"/>
  <c r="G180" i="16"/>
  <c r="G491" i="16"/>
  <c r="N42" i="14"/>
  <c r="E1140" i="16"/>
  <c r="I1140" i="16" s="1"/>
  <c r="I1137" i="16"/>
  <c r="N299" i="10"/>
  <c r="N291" i="10"/>
  <c r="N314" i="10"/>
  <c r="N315" i="10" s="1"/>
  <c r="M2031" i="16"/>
  <c r="C2042" i="16" s="1"/>
  <c r="R28" i="18"/>
  <c r="R110" i="18"/>
  <c r="G39" i="7"/>
  <c r="S3" i="18"/>
  <c r="J7" i="7"/>
  <c r="J10" i="7" s="1"/>
  <c r="F181" i="13"/>
  <c r="F212" i="13"/>
  <c r="F178" i="13"/>
  <c r="K261" i="10"/>
  <c r="K274" i="10" s="1"/>
  <c r="K107" i="10"/>
  <c r="D1671" i="16"/>
  <c r="E474" i="16"/>
  <c r="M74" i="13"/>
  <c r="J240" i="16"/>
  <c r="T54" i="10"/>
  <c r="S68" i="10"/>
  <c r="S58" i="10"/>
  <c r="G2500" i="16" s="1"/>
  <c r="Q110" i="18"/>
  <c r="Q28" i="18"/>
  <c r="V134" i="18"/>
  <c r="I270" i="16"/>
  <c r="D779" i="16"/>
  <c r="D797" i="16" s="1"/>
  <c r="I272" i="16"/>
  <c r="I271" i="16"/>
  <c r="D1010" i="16"/>
  <c r="I1010" i="16" s="1"/>
  <c r="C1129" i="16"/>
  <c r="J107" i="10"/>
  <c r="J261" i="10"/>
  <c r="J274" i="10" s="1"/>
  <c r="BI71" i="5"/>
  <c r="K97" i="12"/>
  <c r="O947" i="16"/>
  <c r="K63" i="12"/>
  <c r="K80" i="12" s="1"/>
  <c r="J80" i="12"/>
  <c r="J84" i="12"/>
  <c r="G295" i="13"/>
  <c r="P183" i="13"/>
  <c r="H241" i="13"/>
  <c r="P184" i="13"/>
  <c r="H296" i="13" s="1"/>
  <c r="D128" i="14"/>
  <c r="D129" i="14" s="1"/>
  <c r="I129" i="14" s="1"/>
  <c r="N86" i="14"/>
  <c r="C494" i="16"/>
  <c r="I1816" i="16"/>
  <c r="I1810" i="16"/>
  <c r="D1828" i="16"/>
  <c r="I261" i="10"/>
  <c r="I274" i="10" s="1"/>
  <c r="I107" i="10"/>
  <c r="P7" i="18"/>
  <c r="P25" i="18" s="1"/>
  <c r="P119" i="18"/>
  <c r="G15" i="7"/>
  <c r="C186" i="14"/>
  <c r="C187" i="14" s="1"/>
  <c r="CN302" i="5"/>
  <c r="AD65" i="5"/>
  <c r="E61" i="28" s="1"/>
  <c r="BI59" i="5"/>
  <c r="BA60" i="5"/>
  <c r="EE40" i="5"/>
  <c r="S245" i="12"/>
  <c r="BE244" i="12"/>
  <c r="G92" i="12"/>
  <c r="H92" i="12" s="1"/>
  <c r="I92" i="12" s="1"/>
  <c r="J92" i="12" s="1"/>
  <c r="K92" i="12" s="1"/>
  <c r="L92" i="12" s="1"/>
  <c r="M92" i="12" s="1"/>
  <c r="N92" i="12" s="1"/>
  <c r="O92" i="12" s="1"/>
  <c r="P92" i="12" s="1"/>
  <c r="Q92" i="12" s="1"/>
  <c r="R92" i="12" s="1"/>
  <c r="Y258" i="12"/>
  <c r="P14" i="12"/>
  <c r="P18" i="12"/>
  <c r="L70" i="12"/>
  <c r="L87" i="12" s="1"/>
  <c r="L66" i="12"/>
  <c r="L83" i="12" s="1"/>
  <c r="L72" i="12"/>
  <c r="L89" i="12" s="1"/>
  <c r="G299" i="13"/>
  <c r="P187" i="13"/>
  <c r="Q117" i="13"/>
  <c r="I246" i="13" s="1"/>
  <c r="K227" i="13"/>
  <c r="F18" i="19"/>
  <c r="I83" i="13"/>
  <c r="I77" i="13"/>
  <c r="I73" i="13"/>
  <c r="I87" i="13"/>
  <c r="I78" i="13"/>
  <c r="I92" i="13"/>
  <c r="I93" i="13"/>
  <c r="I88" i="13"/>
  <c r="I79" i="13"/>
  <c r="I90" i="13"/>
  <c r="O66" i="13"/>
  <c r="O92" i="13" s="1"/>
  <c r="E110" i="13"/>
  <c r="E109" i="13"/>
  <c r="J243" i="13"/>
  <c r="R115" i="13"/>
  <c r="J244" i="13" s="1"/>
  <c r="Q137" i="3"/>
  <c r="R132" i="3"/>
  <c r="H19" i="22"/>
  <c r="N113" i="10"/>
  <c r="N204" i="10" s="1"/>
  <c r="F8" i="22" s="1"/>
  <c r="E187" i="10"/>
  <c r="S126" i="10"/>
  <c r="R132" i="10"/>
  <c r="F5" i="25"/>
  <c r="G20" i="25"/>
  <c r="F29" i="25"/>
  <c r="E84" i="25"/>
  <c r="E92" i="25"/>
  <c r="E114" i="25" s="1"/>
  <c r="J55" i="25"/>
  <c r="K58" i="25"/>
  <c r="I131" i="14"/>
  <c r="F129" i="14"/>
  <c r="K43" i="14"/>
  <c r="G119" i="25"/>
  <c r="G112" i="25" s="1"/>
  <c r="G64" i="25"/>
  <c r="H2" i="25"/>
  <c r="O90" i="14"/>
  <c r="O100" i="14"/>
  <c r="O105" i="14" s="1"/>
  <c r="L1473" i="16"/>
  <c r="L24" i="14"/>
  <c r="J258" i="16" s="1"/>
  <c r="G1381" i="16"/>
  <c r="H1375" i="16"/>
  <c r="O299" i="10"/>
  <c r="O314" i="10"/>
  <c r="O315" i="10" s="1"/>
  <c r="O291" i="10"/>
  <c r="N2031" i="16"/>
  <c r="K1815" i="16"/>
  <c r="N115" i="18"/>
  <c r="E1016" i="16"/>
  <c r="J1017" i="16"/>
  <c r="D38" i="16"/>
  <c r="K11" i="16"/>
  <c r="H1815" i="16"/>
  <c r="D1804" i="16"/>
  <c r="D1799" i="16"/>
  <c r="D36" i="16"/>
  <c r="K4" i="16"/>
  <c r="H185" i="16"/>
  <c r="E1827" i="16"/>
  <c r="X110" i="18"/>
  <c r="X28" i="18"/>
  <c r="R45" i="14"/>
  <c r="T19" i="7"/>
  <c r="E1143" i="16"/>
  <c r="I1143" i="16" s="1"/>
  <c r="L261" i="10"/>
  <c r="L274" i="10" s="1"/>
  <c r="L107" i="10"/>
  <c r="E1671" i="16"/>
  <c r="F774" i="16"/>
  <c r="G774" i="16" s="1"/>
  <c r="H774" i="16" s="1"/>
  <c r="D774" i="16"/>
  <c r="R28" i="7"/>
  <c r="AA191" i="18" s="1"/>
  <c r="I10" i="12"/>
  <c r="I11" i="12"/>
  <c r="I12" i="12" s="1"/>
  <c r="J8" i="12"/>
  <c r="S190" i="10"/>
  <c r="G87" i="25"/>
  <c r="F86" i="25"/>
  <c r="K9" i="14"/>
  <c r="AM5" i="14"/>
  <c r="D1572" i="16"/>
  <c r="D1571" i="16" s="1"/>
  <c r="C1478" i="16"/>
  <c r="C1108" i="16"/>
  <c r="H203" i="16"/>
  <c r="N50" i="9"/>
  <c r="AY59" i="5"/>
  <c r="U145" i="10"/>
  <c r="V86" i="10"/>
  <c r="R185" i="10"/>
  <c r="J51" i="9"/>
  <c r="J273" i="5"/>
  <c r="AT70" i="5"/>
  <c r="DH211" i="5"/>
  <c r="BF60" i="5"/>
  <c r="BK14" i="4"/>
  <c r="AF17" i="4"/>
  <c r="BK17" i="4" s="1"/>
  <c r="J71" i="12"/>
  <c r="J88" i="12" s="1"/>
  <c r="J158" i="12"/>
  <c r="F97" i="12"/>
  <c r="G179" i="12"/>
  <c r="I158" i="12"/>
  <c r="Q17" i="12"/>
  <c r="R19" i="12"/>
  <c r="R17" i="12" s="1"/>
  <c r="R21" i="12" s="1"/>
  <c r="K84" i="12"/>
  <c r="J69" i="12"/>
  <c r="J86" i="12" s="1"/>
  <c r="G243" i="13"/>
  <c r="O188" i="13"/>
  <c r="G300" i="13" s="1"/>
  <c r="O161" i="13"/>
  <c r="G285" i="13" s="1"/>
  <c r="J208" i="13"/>
  <c r="I210" i="13"/>
  <c r="N90" i="13"/>
  <c r="N85" i="13" s="1"/>
  <c r="N64" i="13"/>
  <c r="G241" i="13"/>
  <c r="O184" i="13"/>
  <c r="G296" i="13" s="1"/>
  <c r="K241" i="13"/>
  <c r="S184" i="13"/>
  <c r="K296" i="13" s="1"/>
  <c r="S114" i="13"/>
  <c r="D240" i="16"/>
  <c r="Q57" i="13"/>
  <c r="Q58" i="13" s="1"/>
  <c r="R56" i="13"/>
  <c r="J241" i="13"/>
  <c r="R184" i="13"/>
  <c r="J296" i="13" s="1"/>
  <c r="M336" i="10"/>
  <c r="N346" i="10"/>
  <c r="O346" i="10" s="1"/>
  <c r="Q204" i="10"/>
  <c r="Q149" i="10"/>
  <c r="Q150" i="10" s="1"/>
  <c r="Q28" i="26"/>
  <c r="I132" i="10"/>
  <c r="F19" i="22"/>
  <c r="M191" i="10"/>
  <c r="L161" i="10"/>
  <c r="E89" i="25"/>
  <c r="C2557" i="16"/>
  <c r="E95" i="25"/>
  <c r="M82" i="14"/>
  <c r="C2564" i="16"/>
  <c r="M91" i="14"/>
  <c r="AK91" i="14" s="1"/>
  <c r="M101" i="14"/>
  <c r="M106" i="14" s="1"/>
  <c r="M111" i="14" s="1"/>
  <c r="M112" i="14" s="1"/>
  <c r="F16" i="25"/>
  <c r="F18" i="25" s="1"/>
  <c r="G12" i="25"/>
  <c r="J81" i="14"/>
  <c r="J80" i="14" s="1"/>
  <c r="J34" i="14"/>
  <c r="J23" i="14"/>
  <c r="H257" i="16" s="1"/>
  <c r="H26" i="25"/>
  <c r="I9" i="25"/>
  <c r="L43" i="14"/>
  <c r="L42" i="14"/>
  <c r="J9" i="14"/>
  <c r="K59" i="14"/>
  <c r="L62" i="14"/>
  <c r="K62" i="14"/>
  <c r="E2238" i="16"/>
  <c r="E2244" i="16" s="1"/>
  <c r="F2237" i="16"/>
  <c r="E525" i="16"/>
  <c r="E546" i="16" s="1"/>
  <c r="F504" i="16"/>
  <c r="K1466" i="16"/>
  <c r="K1472" i="16" s="1"/>
  <c r="O1458" i="16"/>
  <c r="O1466" i="16" s="1"/>
  <c r="O1472" i="16" s="1"/>
  <c r="H1814" i="16"/>
  <c r="L48" i="14"/>
  <c r="H261" i="10"/>
  <c r="H274" i="10" s="1"/>
  <c r="H107" i="10"/>
  <c r="J228" i="13"/>
  <c r="J212" i="13"/>
  <c r="G11" i="19" s="1"/>
  <c r="J181" i="13"/>
  <c r="F1804" i="16"/>
  <c r="F1799" i="16"/>
  <c r="G107" i="10"/>
  <c r="G261" i="10"/>
  <c r="G274" i="10" s="1"/>
  <c r="I228" i="13"/>
  <c r="I181" i="13"/>
  <c r="I200" i="13" s="1"/>
  <c r="I212" i="13"/>
  <c r="F11" i="19" s="1"/>
  <c r="D7" i="19"/>
  <c r="G106" i="13"/>
  <c r="G108" i="13"/>
  <c r="R212" i="13"/>
  <c r="R213" i="13" s="1"/>
  <c r="R228" i="13"/>
  <c r="I1124" i="16"/>
  <c r="E1123" i="16"/>
  <c r="I1123" i="16" s="1"/>
  <c r="E261" i="10"/>
  <c r="E274" i="10" s="1"/>
  <c r="E107" i="10"/>
  <c r="N36" i="7"/>
  <c r="E245" i="10"/>
  <c r="U142" i="18"/>
  <c r="C780" i="16"/>
  <c r="C798" i="16" s="1"/>
  <c r="C1017" i="16"/>
  <c r="E1028" i="16"/>
  <c r="J1028" i="16" s="1"/>
  <c r="I51" i="9"/>
  <c r="C1828" i="16"/>
  <c r="I269" i="16"/>
  <c r="B80" i="9"/>
  <c r="B51" i="9"/>
  <c r="G1482" i="16"/>
  <c r="Y149" i="18"/>
  <c r="BD107" i="5"/>
  <c r="P26" i="7"/>
  <c r="Y184" i="18" s="1"/>
  <c r="C2213" i="16"/>
  <c r="H522" i="16"/>
  <c r="H564" i="16" s="1"/>
  <c r="D1454" i="16"/>
  <c r="D1469" i="16" s="1"/>
  <c r="D1768" i="16"/>
  <c r="AD215" i="5"/>
  <c r="AE215" i="5" s="1"/>
  <c r="AE216" i="5" s="1"/>
  <c r="X59" i="5"/>
  <c r="X61" i="5" s="1"/>
  <c r="G273" i="5"/>
  <c r="DR29" i="5"/>
  <c r="X24" i="5"/>
  <c r="AC23" i="5" s="1"/>
  <c r="BC69" i="5"/>
  <c r="Y64" i="28" s="1"/>
  <c r="AD19" i="5"/>
  <c r="AD70" i="5" s="1"/>
  <c r="E65" i="28" s="1"/>
  <c r="L251" i="10"/>
  <c r="FS374" i="5"/>
  <c r="AS65" i="5"/>
  <c r="Q61" i="28" s="1"/>
  <c r="I91" i="5"/>
  <c r="I92" i="5" s="1"/>
  <c r="AS57" i="5"/>
  <c r="AS74" i="5" s="1"/>
  <c r="AI212" i="5"/>
  <c r="X65" i="5"/>
  <c r="AC213" i="5"/>
  <c r="K65" i="5"/>
  <c r="DW29" i="5"/>
  <c r="AD24" i="5"/>
  <c r="CV334" i="5"/>
  <c r="DB7" i="5"/>
  <c r="D31" i="28" s="1"/>
  <c r="EB18" i="5"/>
  <c r="Y39" i="28" s="1"/>
  <c r="AS34" i="5"/>
  <c r="DW34" i="5" s="1"/>
  <c r="K40" i="5"/>
  <c r="K84" i="5" s="1"/>
  <c r="K91" i="5" s="1"/>
  <c r="BC19" i="5"/>
  <c r="EG19" i="5" s="1"/>
  <c r="AC40" i="28" s="1"/>
  <c r="X19" i="5"/>
  <c r="X70" i="5" s="1"/>
  <c r="DE211" i="5"/>
  <c r="AO70" i="5"/>
  <c r="K36" i="5"/>
  <c r="K38" i="5" s="1"/>
  <c r="K72" i="5" s="1"/>
  <c r="AI19" i="5"/>
  <c r="DM19" i="5" s="1"/>
  <c r="M40" i="28" s="1"/>
  <c r="DF337" i="5"/>
  <c r="H811" i="16" s="1"/>
  <c r="AI59" i="5"/>
  <c r="DM59" i="5" s="1"/>
  <c r="P354" i="5"/>
  <c r="AI65" i="5"/>
  <c r="I61" i="28" s="1"/>
  <c r="DH7" i="5"/>
  <c r="I31" i="28" s="1"/>
  <c r="V214" i="5"/>
  <c r="AD162" i="5"/>
  <c r="I830" i="16"/>
  <c r="J72" i="5"/>
  <c r="AF323" i="5"/>
  <c r="V273" i="5"/>
  <c r="Z10" i="5"/>
  <c r="M15" i="1" s="1"/>
  <c r="M17" i="1" s="1"/>
  <c r="Y7" i="5"/>
  <c r="DC7" i="5" s="1"/>
  <c r="E31" i="28" s="1"/>
  <c r="CX209" i="5"/>
  <c r="O346" i="5"/>
  <c r="D273" i="5"/>
  <c r="AA323" i="5"/>
  <c r="DC10" i="5"/>
  <c r="E35" i="28" s="1"/>
  <c r="P69" i="10"/>
  <c r="P87" i="10" s="1"/>
  <c r="D2489" i="16" s="1"/>
  <c r="CV211" i="5"/>
  <c r="CX10" i="5"/>
  <c r="Y96" i="5"/>
  <c r="Y107" i="5" s="1"/>
  <c r="J105" i="13"/>
  <c r="J108" i="13" s="1"/>
  <c r="AF70" i="5"/>
  <c r="F65" i="28" s="1"/>
  <c r="CS211" i="5"/>
  <c r="R132" i="18"/>
  <c r="I1631" i="16"/>
  <c r="CL334" i="5"/>
  <c r="CK19" i="5"/>
  <c r="U307" i="5"/>
  <c r="U308" i="5" s="1"/>
  <c r="U309" i="5" s="1"/>
  <c r="C273" i="5"/>
  <c r="G70" i="5"/>
  <c r="AO36" i="5"/>
  <c r="AO71" i="5" s="1"/>
  <c r="AO261" i="5"/>
  <c r="F1582" i="16"/>
  <c r="DH37" i="5"/>
  <c r="G277" i="10"/>
  <c r="S1404" i="16"/>
  <c r="P352" i="5"/>
  <c r="DR146" i="5"/>
  <c r="AK337" i="5"/>
  <c r="AH212" i="5"/>
  <c r="CZ19" i="5"/>
  <c r="B40" i="28" s="1"/>
  <c r="D271" i="16"/>
  <c r="BA141" i="5"/>
  <c r="AZ141" i="5"/>
  <c r="DK157" i="5"/>
  <c r="AC331" i="5"/>
  <c r="U69" i="5"/>
  <c r="N337" i="5"/>
  <c r="V70" i="5"/>
  <c r="CN211" i="5"/>
  <c r="DH146" i="5"/>
  <c r="J84" i="5"/>
  <c r="AZ167" i="5"/>
  <c r="AZ174" i="5" s="1"/>
  <c r="CX37" i="5"/>
  <c r="Y38" i="5"/>
  <c r="Z37" i="5"/>
  <c r="M62" i="1" s="1"/>
  <c r="M139" i="1" s="1"/>
  <c r="AR70" i="5"/>
  <c r="P65" i="28" s="1"/>
  <c r="DQ34" i="5"/>
  <c r="AR36" i="5"/>
  <c r="DV36" i="5" s="1"/>
  <c r="AR40" i="5"/>
  <c r="DV40" i="5" s="1"/>
  <c r="AL61" i="5"/>
  <c r="DK59" i="5"/>
  <c r="T36" i="5"/>
  <c r="CX36" i="5" s="1"/>
  <c r="CS34" i="5"/>
  <c r="T40" i="5"/>
  <c r="G87" i="14"/>
  <c r="G30" i="14"/>
  <c r="G28" i="14"/>
  <c r="I299" i="10"/>
  <c r="J245" i="10"/>
  <c r="G260" i="16" s="1"/>
  <c r="I240" i="10"/>
  <c r="L13" i="21"/>
  <c r="BI260" i="5"/>
  <c r="BJ270" i="5" s="1"/>
  <c r="H8" i="22"/>
  <c r="H5" i="22" s="1"/>
  <c r="P207" i="10"/>
  <c r="P210" i="10" s="1"/>
  <c r="L11" i="21" s="1"/>
  <c r="L12" i="21" s="1"/>
  <c r="M150" i="10"/>
  <c r="AT261" i="5"/>
  <c r="L1405" i="16"/>
  <c r="H262" i="10"/>
  <c r="U345" i="5"/>
  <c r="U352" i="5"/>
  <c r="AK265" i="5"/>
  <c r="AL140" i="5"/>
  <c r="AK140" i="5"/>
  <c r="CR336" i="5"/>
  <c r="CN335" i="5"/>
  <c r="DG337" i="5"/>
  <c r="H278" i="10"/>
  <c r="BG141" i="5"/>
  <c r="CU335" i="5"/>
  <c r="J336" i="5"/>
  <c r="CN303" i="5"/>
  <c r="M273" i="5"/>
  <c r="DM155" i="5"/>
  <c r="AS137" i="5"/>
  <c r="AS132" i="5"/>
  <c r="DR131" i="5"/>
  <c r="AS157" i="5"/>
  <c r="DW131" i="5"/>
  <c r="O97" i="10"/>
  <c r="O69" i="10"/>
  <c r="ED40" i="5"/>
  <c r="BE84" i="5"/>
  <c r="DZ36" i="5"/>
  <c r="AB71" i="5"/>
  <c r="AB38" i="5"/>
  <c r="DA36" i="5"/>
  <c r="W84" i="5"/>
  <c r="CV40" i="5"/>
  <c r="S71" i="5"/>
  <c r="CR36" i="5"/>
  <c r="S38" i="5"/>
  <c r="C1585" i="16"/>
  <c r="O214" i="5"/>
  <c r="CN21" i="5"/>
  <c r="AD157" i="5"/>
  <c r="AW38" i="5"/>
  <c r="Z67" i="5"/>
  <c r="BF141" i="5"/>
  <c r="BG84" i="5"/>
  <c r="EF40" i="5"/>
  <c r="AU38" i="5"/>
  <c r="DT36" i="5"/>
  <c r="N71" i="5"/>
  <c r="CM36" i="5"/>
  <c r="N38" i="5"/>
  <c r="Z34" i="5"/>
  <c r="M58" i="1" s="1"/>
  <c r="FO365" i="5"/>
  <c r="BH21" i="5"/>
  <c r="I4" i="30" s="1"/>
  <c r="V1405" i="16"/>
  <c r="V1407" i="16" s="1"/>
  <c r="AP21" i="5"/>
  <c r="AP71" i="5" s="1"/>
  <c r="C1640" i="16"/>
  <c r="DO19" i="5"/>
  <c r="N40" i="28" s="1"/>
  <c r="U66" i="5"/>
  <c r="G262" i="16"/>
  <c r="AK95" i="5"/>
  <c r="AK87" i="5"/>
  <c r="AK91" i="5"/>
  <c r="AK92" i="5" s="1"/>
  <c r="FS442" i="5"/>
  <c r="F830" i="16"/>
  <c r="H87" i="14"/>
  <c r="H66" i="14"/>
  <c r="H30" i="14"/>
  <c r="I28" i="14"/>
  <c r="H28" i="14"/>
  <c r="CX34" i="5"/>
  <c r="F7" i="19"/>
  <c r="I106" i="13"/>
  <c r="D261" i="16" s="1"/>
  <c r="I135" i="13"/>
  <c r="I108" i="13"/>
  <c r="I178" i="13"/>
  <c r="E61" i="14"/>
  <c r="E18" i="14"/>
  <c r="CP334" i="5"/>
  <c r="CU334" i="5"/>
  <c r="BE71" i="5"/>
  <c r="ED36" i="5"/>
  <c r="BE38" i="5"/>
  <c r="AQ74" i="5"/>
  <c r="AQ75" i="5"/>
  <c r="AQ76" i="5" s="1"/>
  <c r="N1405" i="16"/>
  <c r="N1407" i="16" s="1"/>
  <c r="Z68" i="5"/>
  <c r="T1404" i="16"/>
  <c r="CR334" i="5"/>
  <c r="AL337" i="5"/>
  <c r="AW141" i="5"/>
  <c r="AV141" i="5"/>
  <c r="CK334" i="5"/>
  <c r="P307" i="5"/>
  <c r="P308" i="5" s="1"/>
  <c r="AN162" i="5"/>
  <c r="DM146" i="5"/>
  <c r="T273" i="5"/>
  <c r="AB331" i="5"/>
  <c r="AW84" i="5"/>
  <c r="AK71" i="5"/>
  <c r="AK38" i="5"/>
  <c r="DJ36" i="5"/>
  <c r="AV84" i="5"/>
  <c r="J827" i="16"/>
  <c r="O84" i="5"/>
  <c r="CN40" i="5"/>
  <c r="AX70" i="5"/>
  <c r="U65" i="28" s="1"/>
  <c r="AX36" i="5"/>
  <c r="AX40" i="5"/>
  <c r="DF36" i="5"/>
  <c r="AG38" i="5"/>
  <c r="AA167" i="5"/>
  <c r="AA72" i="5"/>
  <c r="B67" i="28" s="1"/>
  <c r="CZ38" i="5"/>
  <c r="AI84" i="5"/>
  <c r="W38" i="5"/>
  <c r="CV36" i="5"/>
  <c r="AH87" i="5"/>
  <c r="AH91" i="5"/>
  <c r="AH92" i="5" s="1"/>
  <c r="BH60" i="5"/>
  <c r="H21" i="5"/>
  <c r="H70" i="5"/>
  <c r="AC94" i="5"/>
  <c r="AC91" i="5"/>
  <c r="AC92" i="5" s="1"/>
  <c r="DK19" i="5"/>
  <c r="K40" i="28" s="1"/>
  <c r="AL21" i="5"/>
  <c r="AL71" i="5" s="1"/>
  <c r="AP61" i="5"/>
  <c r="DO59" i="5"/>
  <c r="BA91" i="5"/>
  <c r="BA92" i="5" s="1"/>
  <c r="BA87" i="5"/>
  <c r="AF21" i="5"/>
  <c r="AF71" i="5" s="1"/>
  <c r="DE19" i="5"/>
  <c r="F40" i="28" s="1"/>
  <c r="CT9" i="5"/>
  <c r="AN21" i="5"/>
  <c r="AN72" i="5" s="1"/>
  <c r="M67" i="28" s="1"/>
  <c r="BI38" i="5"/>
  <c r="BI72" i="5" s="1"/>
  <c r="AI167" i="5"/>
  <c r="U20" i="5"/>
  <c r="L27" i="1" s="1"/>
  <c r="H830" i="16"/>
  <c r="F12" i="14"/>
  <c r="F43" i="14"/>
  <c r="F14" i="14"/>
  <c r="F47" i="14"/>
  <c r="G830" i="16"/>
  <c r="F61" i="14"/>
  <c r="F18" i="14"/>
  <c r="H142" i="13"/>
  <c r="E9" i="19"/>
  <c r="H141" i="13"/>
  <c r="G275" i="10"/>
  <c r="U347" i="5"/>
  <c r="U68" i="5"/>
  <c r="AL38" i="5"/>
  <c r="DK36" i="5"/>
  <c r="N150" i="10"/>
  <c r="CR335" i="5"/>
  <c r="CP336" i="5"/>
  <c r="D1585" i="16"/>
  <c r="AF329" i="5"/>
  <c r="CL335" i="5"/>
  <c r="CK335" i="5"/>
  <c r="W337" i="5"/>
  <c r="X273" i="5"/>
  <c r="S337" i="5"/>
  <c r="G294" i="10"/>
  <c r="G227" i="10"/>
  <c r="G240" i="10"/>
  <c r="G241" i="10" s="1"/>
  <c r="CV336" i="5"/>
  <c r="CX210" i="5"/>
  <c r="DC210" i="5"/>
  <c r="AG84" i="5"/>
  <c r="DF40" i="5"/>
  <c r="AC38" i="5"/>
  <c r="DB36" i="5"/>
  <c r="X84" i="5"/>
  <c r="CW40" i="5"/>
  <c r="X266" i="5"/>
  <c r="DC37" i="5"/>
  <c r="DG171" i="5"/>
  <c r="DF173" i="5"/>
  <c r="DG173" i="5" s="1"/>
  <c r="Q71" i="5"/>
  <c r="CP36" i="5"/>
  <c r="Q38" i="5"/>
  <c r="CU38" i="5" s="1"/>
  <c r="BC65" i="5"/>
  <c r="Y61" i="28" s="1"/>
  <c r="EG29" i="5"/>
  <c r="BC34" i="5"/>
  <c r="EB29" i="5"/>
  <c r="FO395" i="5" s="1"/>
  <c r="J2635" i="16"/>
  <c r="J2636" i="16" s="1"/>
  <c r="AR75" i="5"/>
  <c r="AR74" i="5"/>
  <c r="BD36" i="5"/>
  <c r="AA84" i="5"/>
  <c r="CZ40" i="5"/>
  <c r="O38" i="5"/>
  <c r="O71" i="5"/>
  <c r="CN36" i="5"/>
  <c r="AM40" i="5"/>
  <c r="DL34" i="5"/>
  <c r="AM36" i="5"/>
  <c r="AC61" i="5"/>
  <c r="AS64" i="5"/>
  <c r="EA36" i="5"/>
  <c r="AQ58" i="5"/>
  <c r="R214" i="5"/>
  <c r="CO7" i="5"/>
  <c r="DF19" i="5"/>
  <c r="G40" i="28" s="1"/>
  <c r="AG21" i="5"/>
  <c r="AG71" i="5" s="1"/>
  <c r="DW37" i="5"/>
  <c r="DR37" i="5"/>
  <c r="AF61" i="5"/>
  <c r="DE59" i="5"/>
  <c r="N84" i="5"/>
  <c r="CM40" i="5"/>
  <c r="FS394" i="5"/>
  <c r="R1405" i="16"/>
  <c r="R1407" i="16" s="1"/>
  <c r="AN61" i="5"/>
  <c r="BC59" i="5"/>
  <c r="AD61" i="5"/>
  <c r="F87" i="14"/>
  <c r="F30" i="14"/>
  <c r="F28" i="14"/>
  <c r="G4" i="14"/>
  <c r="E160" i="12"/>
  <c r="E158" i="12"/>
  <c r="M12" i="16"/>
  <c r="E22" i="14"/>
  <c r="E4" i="14"/>
  <c r="E9" i="14" s="1"/>
  <c r="L12" i="16"/>
  <c r="CS336" i="5"/>
  <c r="H273" i="5"/>
  <c r="BA167" i="5"/>
  <c r="AF91" i="5"/>
  <c r="AF92" i="5" s="1"/>
  <c r="AF87" i="5"/>
  <c r="P254" i="10"/>
  <c r="P150" i="10"/>
  <c r="BI261" i="5"/>
  <c r="BJ271" i="5" s="1"/>
  <c r="I337" i="5"/>
  <c r="I308" i="5"/>
  <c r="I310" i="5"/>
  <c r="I357" i="5"/>
  <c r="AG323" i="5"/>
  <c r="G337" i="5"/>
  <c r="G310" i="5"/>
  <c r="G308" i="5"/>
  <c r="T308" i="5"/>
  <c r="T309" i="5" s="1"/>
  <c r="CS307" i="5"/>
  <c r="T337" i="5"/>
  <c r="T357" i="5"/>
  <c r="T310" i="5"/>
  <c r="CM336" i="5"/>
  <c r="S214" i="5"/>
  <c r="S213" i="5"/>
  <c r="CM335" i="5"/>
  <c r="Q84" i="5"/>
  <c r="CP40" i="5"/>
  <c r="M71" i="5"/>
  <c r="CL36" i="5"/>
  <c r="M38" i="5"/>
  <c r="G263" i="10"/>
  <c r="G276" i="10" s="1"/>
  <c r="P353" i="5"/>
  <c r="AI137" i="5"/>
  <c r="AI132" i="5"/>
  <c r="DH131" i="5"/>
  <c r="AI157" i="5"/>
  <c r="DM131" i="5"/>
  <c r="EE36" i="5"/>
  <c r="I71" i="5"/>
  <c r="I38" i="5"/>
  <c r="I72" i="5" s="1"/>
  <c r="CS335" i="5"/>
  <c r="AV38" i="5"/>
  <c r="P70" i="5"/>
  <c r="P40" i="5"/>
  <c r="P84" i="5" s="1"/>
  <c r="P91" i="5" s="1"/>
  <c r="P92" i="5" s="1"/>
  <c r="P36" i="5"/>
  <c r="S84" i="5"/>
  <c r="CR40" i="5"/>
  <c r="G38" i="5"/>
  <c r="G72" i="5" s="1"/>
  <c r="G71" i="5"/>
  <c r="AE36" i="5"/>
  <c r="AY36" i="5"/>
  <c r="BC138" i="5"/>
  <c r="FO417" i="5"/>
  <c r="FW369" i="5"/>
  <c r="FW370" i="5" s="1"/>
  <c r="AP87" i="5"/>
  <c r="AP91" i="5"/>
  <c r="AP92" i="5" s="1"/>
  <c r="AF212" i="5"/>
  <c r="CT10" i="5"/>
  <c r="AZ21" i="5"/>
  <c r="DY19" i="5"/>
  <c r="V40" i="28" s="1"/>
  <c r="AD40" i="5"/>
  <c r="DH40" i="5" s="1"/>
  <c r="DC34" i="5"/>
  <c r="DH34" i="5"/>
  <c r="AD36" i="5"/>
  <c r="AQ61" i="5"/>
  <c r="AQ62" i="5" s="1"/>
  <c r="DP59" i="5"/>
  <c r="CQ21" i="5"/>
  <c r="AG61" i="5"/>
  <c r="DF59" i="5"/>
  <c r="AL84" i="5"/>
  <c r="DK40" i="5"/>
  <c r="BB38" i="5"/>
  <c r="D5" i="30" s="1"/>
  <c r="D7" i="30" s="1"/>
  <c r="FS365" i="5"/>
  <c r="Q134" i="18"/>
  <c r="G14" i="16"/>
  <c r="G15" i="16" s="1"/>
  <c r="F38" i="16"/>
  <c r="M11" i="16"/>
  <c r="E43" i="14"/>
  <c r="E38" i="16"/>
  <c r="L11" i="16"/>
  <c r="K178" i="13"/>
  <c r="H7" i="19"/>
  <c r="K135" i="13"/>
  <c r="K108" i="13"/>
  <c r="L106" i="13"/>
  <c r="G261" i="16" s="1"/>
  <c r="F9" i="19"/>
  <c r="I142" i="13"/>
  <c r="I141" i="13"/>
  <c r="F4" i="14"/>
  <c r="F22" i="14"/>
  <c r="F29" i="14" s="1"/>
  <c r="AH6" i="14" s="1"/>
  <c r="G245" i="10"/>
  <c r="D260" i="16" s="1"/>
  <c r="G299" i="10"/>
  <c r="H6" i="16"/>
  <c r="L6" i="16" s="1"/>
  <c r="H9" i="16"/>
  <c r="L7" i="16"/>
  <c r="DY36" i="5"/>
  <c r="AI138" i="5"/>
  <c r="D1588" i="16"/>
  <c r="V84" i="5"/>
  <c r="CU40" i="5"/>
  <c r="AW61" i="5"/>
  <c r="AW62" i="5" s="1"/>
  <c r="AW63" i="5" s="1"/>
  <c r="DV59" i="5"/>
  <c r="L31" i="21"/>
  <c r="L29" i="21"/>
  <c r="H230" i="10"/>
  <c r="H277" i="10" s="1"/>
  <c r="G296" i="10"/>
  <c r="G231" i="10"/>
  <c r="I226" i="10"/>
  <c r="H227" i="10"/>
  <c r="CM334" i="5"/>
  <c r="Q273" i="5"/>
  <c r="F1584" i="16"/>
  <c r="AD323" i="5"/>
  <c r="AF331" i="5"/>
  <c r="CL336" i="5"/>
  <c r="G1585" i="16"/>
  <c r="DG157" i="5"/>
  <c r="AQ70" i="5"/>
  <c r="O65" i="28" s="1"/>
  <c r="DP34" i="5"/>
  <c r="I1649" i="16" s="1"/>
  <c r="AQ36" i="5"/>
  <c r="DU36" i="5" s="1"/>
  <c r="AQ40" i="5"/>
  <c r="D1649" i="16"/>
  <c r="DL211" i="5"/>
  <c r="DO36" i="5"/>
  <c r="H1651" i="16" s="1"/>
  <c r="AP38" i="5"/>
  <c r="C1651" i="16"/>
  <c r="BH84" i="5"/>
  <c r="DM36" i="5"/>
  <c r="L214" i="5"/>
  <c r="CK21" i="5"/>
  <c r="AC21" i="5"/>
  <c r="AC71" i="5" s="1"/>
  <c r="AZ61" i="5"/>
  <c r="AZ62" i="5" s="1"/>
  <c r="AZ60" i="5"/>
  <c r="Y40" i="5"/>
  <c r="BB84" i="5"/>
  <c r="EA40" i="5"/>
  <c r="BG60" i="5"/>
  <c r="AL70" i="5"/>
  <c r="K65" i="28" s="1"/>
  <c r="F809" i="16"/>
  <c r="E878" i="16"/>
  <c r="BF21" i="5"/>
  <c r="EE19" i="5"/>
  <c r="AA40" i="28" s="1"/>
  <c r="T19" i="5"/>
  <c r="CS7" i="5"/>
  <c r="U7" i="5"/>
  <c r="CU36" i="5"/>
  <c r="M91" i="5"/>
  <c r="M92" i="5" s="1"/>
  <c r="M94" i="5"/>
  <c r="K70" i="5"/>
  <c r="AU21" i="5"/>
  <c r="DT19" i="5"/>
  <c r="R40" i="28" s="1"/>
  <c r="CO19" i="5"/>
  <c r="C51" i="9"/>
  <c r="I6" i="16"/>
  <c r="I9" i="16"/>
  <c r="M7" i="16"/>
  <c r="F245" i="10"/>
  <c r="C260" i="16" s="1"/>
  <c r="F242" i="10"/>
  <c r="F282" i="10"/>
  <c r="F299" i="10"/>
  <c r="E2031" i="16"/>
  <c r="CS334" i="5"/>
  <c r="W273" i="5"/>
  <c r="W266" i="5"/>
  <c r="N273" i="5"/>
  <c r="F1585" i="16"/>
  <c r="DT40" i="5"/>
  <c r="AU84" i="5"/>
  <c r="DV34" i="5"/>
  <c r="R94" i="5"/>
  <c r="R91" i="5"/>
  <c r="R92" i="5" s="1"/>
  <c r="H228" i="10"/>
  <c r="CQ335" i="5"/>
  <c r="L273" i="5"/>
  <c r="CQ334" i="5"/>
  <c r="AN167" i="5"/>
  <c r="DM38" i="5"/>
  <c r="AN49" i="5"/>
  <c r="AA214" i="5"/>
  <c r="AA213" i="5"/>
  <c r="DG36" i="5"/>
  <c r="AH38" i="5"/>
  <c r="FO374" i="5"/>
  <c r="F1583" i="16"/>
  <c r="AZ84" i="5"/>
  <c r="DY40" i="5"/>
  <c r="AF38" i="5"/>
  <c r="DE36" i="5"/>
  <c r="BF38" i="5"/>
  <c r="BC147" i="5"/>
  <c r="BC68" i="5"/>
  <c r="Y63" i="28" s="1"/>
  <c r="EB32" i="5"/>
  <c r="AG111" i="28" s="1"/>
  <c r="EG32" i="5"/>
  <c r="AA1405" i="16"/>
  <c r="AA1407" i="16" s="1"/>
  <c r="BB61" i="5"/>
  <c r="BB62" i="5" s="1"/>
  <c r="BB60" i="5"/>
  <c r="F14" i="16"/>
  <c r="F15" i="16" s="1"/>
  <c r="BA21" i="5"/>
  <c r="DZ19" i="5"/>
  <c r="W40" i="28" s="1"/>
  <c r="AR58" i="5"/>
  <c r="DG19" i="5"/>
  <c r="H40" i="28" s="1"/>
  <c r="AH21" i="5"/>
  <c r="BE60" i="5"/>
  <c r="U34" i="5"/>
  <c r="L58" i="1" s="1"/>
  <c r="H11" i="14"/>
  <c r="E312" i="16"/>
  <c r="E313" i="16" s="1"/>
  <c r="AX21" i="5"/>
  <c r="DA40" i="5"/>
  <c r="CP21" i="5"/>
  <c r="X212" i="5"/>
  <c r="X213" i="5" s="1"/>
  <c r="B46" i="28" s="1"/>
  <c r="CN19" i="5"/>
  <c r="V72" i="5"/>
  <c r="U67" i="5"/>
  <c r="AU61" i="5"/>
  <c r="AU62" i="5" s="1"/>
  <c r="DT59" i="5"/>
  <c r="I4" i="14"/>
  <c r="H4" i="14"/>
  <c r="D272" i="16"/>
  <c r="H38" i="5"/>
  <c r="AV61" i="5"/>
  <c r="AV62" i="5" s="1"/>
  <c r="DU59" i="5"/>
  <c r="CU336" i="5"/>
  <c r="V337" i="5"/>
  <c r="I273" i="5"/>
  <c r="CV335" i="5"/>
  <c r="CQ336" i="5"/>
  <c r="CP335" i="5"/>
  <c r="R71" i="5"/>
  <c r="CQ36" i="5"/>
  <c r="R38" i="5"/>
  <c r="AH323" i="5"/>
  <c r="DJ211" i="5"/>
  <c r="AS162" i="5"/>
  <c r="L84" i="5"/>
  <c r="CK40" i="5"/>
  <c r="CW36" i="5"/>
  <c r="CQ211" i="5"/>
  <c r="AH61" i="5"/>
  <c r="DG59" i="5"/>
  <c r="L72" i="5"/>
  <c r="EA19" i="5"/>
  <c r="X40" i="28" s="1"/>
  <c r="BB21" i="5"/>
  <c r="DO157" i="5"/>
  <c r="AS19" i="5"/>
  <c r="AS59" i="5"/>
  <c r="DW59" i="5" s="1"/>
  <c r="DR7" i="5"/>
  <c r="Q31" i="28" s="1"/>
  <c r="DW7" i="5"/>
  <c r="U31" i="28" s="1"/>
  <c r="DE40" i="5"/>
  <c r="X1405" i="16"/>
  <c r="X1407" i="16" s="1"/>
  <c r="AR21" i="5"/>
  <c r="DP19" i="5"/>
  <c r="O40" i="28" s="1"/>
  <c r="AQ21" i="5"/>
  <c r="D1640" i="16"/>
  <c r="BB70" i="5"/>
  <c r="X65" i="28" s="1"/>
  <c r="AX61" i="5"/>
  <c r="AX62" i="5" s="1"/>
  <c r="AB94" i="5"/>
  <c r="AB91" i="5"/>
  <c r="AB92" i="5" s="1"/>
  <c r="Q214" i="5"/>
  <c r="AD328" i="5"/>
  <c r="AD331" i="5" s="1"/>
  <c r="AD337" i="5"/>
  <c r="DH337" i="5" s="1"/>
  <c r="AW21" i="5"/>
  <c r="DV19" i="5"/>
  <c r="T40" i="28" s="1"/>
  <c r="AI162" i="5"/>
  <c r="X38" i="5"/>
  <c r="AV21" i="5"/>
  <c r="DU19" i="5"/>
  <c r="S40" i="28" s="1"/>
  <c r="B1714" i="16"/>
  <c r="Y211" i="5"/>
  <c r="CX211" i="5" s="1"/>
  <c r="G282" i="10"/>
  <c r="G272" i="10"/>
  <c r="F2031" i="16"/>
  <c r="E7" i="19"/>
  <c r="H106" i="13"/>
  <c r="C261" i="16" s="1"/>
  <c r="H108" i="13"/>
  <c r="O252" i="10" l="1"/>
  <c r="P252" i="10" s="1"/>
  <c r="Q31" i="13"/>
  <c r="R31" i="13"/>
  <c r="AC37" i="28"/>
  <c r="FS441" i="5"/>
  <c r="FO441" i="5"/>
  <c r="Y37" i="28"/>
  <c r="S50" i="26"/>
  <c r="S57" i="26" s="1"/>
  <c r="AC198" i="18"/>
  <c r="AC182" i="18"/>
  <c r="AC197" i="18"/>
  <c r="G181" i="10"/>
  <c r="H182" i="10" s="1"/>
  <c r="AZ71" i="5"/>
  <c r="B4" i="30"/>
  <c r="BB71" i="5"/>
  <c r="D4" i="30"/>
  <c r="H5" i="30"/>
  <c r="H7" i="30" s="1"/>
  <c r="BA72" i="5"/>
  <c r="W67" i="28" s="1"/>
  <c r="C4" i="30"/>
  <c r="F5" i="30"/>
  <c r="F7" i="30" s="1"/>
  <c r="G5" i="30"/>
  <c r="G7" i="30" s="1"/>
  <c r="EJ21" i="5"/>
  <c r="AE43" i="28" s="1"/>
  <c r="G4" i="30"/>
  <c r="I5" i="30"/>
  <c r="I7" i="30" s="1"/>
  <c r="G201" i="10"/>
  <c r="AD37" i="7"/>
  <c r="AD131" i="10"/>
  <c r="AB57" i="10"/>
  <c r="AA89" i="10"/>
  <c r="P28" i="21"/>
  <c r="Q22" i="21"/>
  <c r="Q181" i="25"/>
  <c r="F201" i="10"/>
  <c r="L71" i="1"/>
  <c r="W582" i="1"/>
  <c r="T24" i="7"/>
  <c r="AC181" i="18" s="1"/>
  <c r="L26" i="1"/>
  <c r="L59" i="1" s="1"/>
  <c r="M18" i="1"/>
  <c r="N18" i="1"/>
  <c r="M71" i="1"/>
  <c r="M26" i="1"/>
  <c r="M59" i="1" s="1"/>
  <c r="L135" i="1"/>
  <c r="L57" i="1"/>
  <c r="L63" i="1"/>
  <c r="L42" i="1"/>
  <c r="L123" i="1"/>
  <c r="N122" i="1"/>
  <c r="N117" i="1"/>
  <c r="T23" i="18" s="1"/>
  <c r="T24" i="18" s="1"/>
  <c r="J75" i="1"/>
  <c r="J116" i="1"/>
  <c r="J117" i="1" s="1"/>
  <c r="P23" i="18" s="1"/>
  <c r="P24" i="18" s="1"/>
  <c r="K75" i="1"/>
  <c r="K116" i="1"/>
  <c r="K117" i="1" s="1"/>
  <c r="J341" i="1"/>
  <c r="J344" i="1"/>
  <c r="J351" i="1"/>
  <c r="J133" i="1"/>
  <c r="J354" i="1"/>
  <c r="J309" i="1"/>
  <c r="J347" i="1"/>
  <c r="J477" i="1"/>
  <c r="J140" i="1"/>
  <c r="J138" i="1" s="1"/>
  <c r="J77" i="1"/>
  <c r="J64" i="1"/>
  <c r="J68" i="1"/>
  <c r="P475" i="1"/>
  <c r="P88" i="1"/>
  <c r="P106" i="1"/>
  <c r="P592" i="1"/>
  <c r="P593" i="1" s="1"/>
  <c r="P241" i="1"/>
  <c r="N475" i="1"/>
  <c r="T22" i="18" s="1"/>
  <c r="N592" i="1"/>
  <c r="N593" i="1" s="1"/>
  <c r="N106" i="1"/>
  <c r="C2183" i="16" s="1"/>
  <c r="N88" i="1"/>
  <c r="N236" i="1"/>
  <c r="N241" i="1"/>
  <c r="K381" i="1"/>
  <c r="K387" i="1" s="1"/>
  <c r="K136" i="1"/>
  <c r="K133" i="1"/>
  <c r="K344" i="1"/>
  <c r="K351" i="1"/>
  <c r="K341" i="1"/>
  <c r="K354" i="1"/>
  <c r="K309" i="1"/>
  <c r="K477" i="1"/>
  <c r="K347" i="1"/>
  <c r="K30" i="1"/>
  <c r="K31" i="1" s="1"/>
  <c r="D265" i="16" s="1"/>
  <c r="J30" i="1"/>
  <c r="J31" i="1" s="1"/>
  <c r="C265" i="16" s="1"/>
  <c r="P117" i="1"/>
  <c r="P122" i="1"/>
  <c r="O592" i="1"/>
  <c r="O593" i="1" s="1"/>
  <c r="O88" i="1"/>
  <c r="O475" i="1"/>
  <c r="O106" i="1"/>
  <c r="O241" i="1"/>
  <c r="N46" i="1"/>
  <c r="M46" i="1"/>
  <c r="M42" i="1"/>
  <c r="J381" i="1"/>
  <c r="J387" i="1" s="1"/>
  <c r="J136" i="1"/>
  <c r="K140" i="1"/>
  <c r="K138" i="1" s="1"/>
  <c r="K64" i="1"/>
  <c r="K77" i="1"/>
  <c r="K68" i="1"/>
  <c r="M258" i="1"/>
  <c r="N257" i="1"/>
  <c r="M57" i="1"/>
  <c r="M135" i="1"/>
  <c r="M63" i="1"/>
  <c r="O117" i="1"/>
  <c r="O122" i="1"/>
  <c r="E56" i="14"/>
  <c r="C1561" i="16"/>
  <c r="D1561" i="16"/>
  <c r="F15" i="14"/>
  <c r="E48" i="14"/>
  <c r="P134" i="18"/>
  <c r="C269" i="16"/>
  <c r="C272" i="16"/>
  <c r="C270" i="16"/>
  <c r="D270" i="16"/>
  <c r="D269" i="16"/>
  <c r="P131" i="18"/>
  <c r="O227" i="13"/>
  <c r="O229" i="13" s="1"/>
  <c r="O230" i="13" s="1"/>
  <c r="T147" i="18"/>
  <c r="T153" i="18" s="1"/>
  <c r="L177" i="13"/>
  <c r="L181" i="13" s="1"/>
  <c r="L200" i="13" s="1"/>
  <c r="E1561" i="16"/>
  <c r="G51" i="9"/>
  <c r="D750" i="16"/>
  <c r="H52" i="9"/>
  <c r="D264" i="16"/>
  <c r="E262" i="16"/>
  <c r="K26" i="7"/>
  <c r="H85" i="13"/>
  <c r="F58" i="9"/>
  <c r="H58" i="9"/>
  <c r="U146" i="18"/>
  <c r="U152" i="18" s="1"/>
  <c r="C264" i="16"/>
  <c r="Z180" i="18"/>
  <c r="H74" i="13"/>
  <c r="E24" i="12"/>
  <c r="E25" i="12" s="1"/>
  <c r="E27" i="12" s="1"/>
  <c r="D139" i="12"/>
  <c r="D141" i="12" s="1"/>
  <c r="D144" i="12" s="1"/>
  <c r="D146" i="12" s="1"/>
  <c r="E147" i="12" s="1"/>
  <c r="E136" i="12"/>
  <c r="E135" i="12" s="1"/>
  <c r="F140" i="12"/>
  <c r="F139" i="12" s="1"/>
  <c r="F141" i="12" s="1"/>
  <c r="F144" i="12" s="1"/>
  <c r="F137" i="12" s="1"/>
  <c r="F24" i="12" s="1"/>
  <c r="L52" i="12"/>
  <c r="L55" i="12" s="1"/>
  <c r="L56" i="12" s="1"/>
  <c r="C149" i="12"/>
  <c r="C24" i="12"/>
  <c r="C25" i="12" s="1"/>
  <c r="C27" i="12" s="1"/>
  <c r="R159" i="13"/>
  <c r="R161" i="13" s="1"/>
  <c r="J285" i="13" s="1"/>
  <c r="C2581" i="16"/>
  <c r="E138" i="25"/>
  <c r="C2584" i="16" s="1"/>
  <c r="N227" i="13"/>
  <c r="O36" i="14"/>
  <c r="C474" i="16"/>
  <c r="G100" i="12"/>
  <c r="C478" i="16"/>
  <c r="J29" i="12"/>
  <c r="J33" i="12" s="1"/>
  <c r="J44" i="12" s="1"/>
  <c r="J229" i="13"/>
  <c r="J230" i="13" s="1"/>
  <c r="X155" i="18"/>
  <c r="I174" i="18" s="1"/>
  <c r="J133" i="25"/>
  <c r="K133" i="25" s="1"/>
  <c r="L129" i="10"/>
  <c r="L342" i="10"/>
  <c r="R124" i="13"/>
  <c r="M17" i="21"/>
  <c r="L341" i="10"/>
  <c r="D56" i="12"/>
  <c r="C149" i="14"/>
  <c r="C151" i="14" s="1"/>
  <c r="Q227" i="13"/>
  <c r="Q229" i="13" s="1"/>
  <c r="Q230" i="13" s="1"/>
  <c r="F141" i="14"/>
  <c r="F143" i="14" s="1"/>
  <c r="EI141" i="5"/>
  <c r="ED141" i="5"/>
  <c r="C1467" i="16"/>
  <c r="G1473" i="16"/>
  <c r="G74" i="13"/>
  <c r="T90" i="13"/>
  <c r="U90" i="13" s="1"/>
  <c r="V90" i="13" s="1"/>
  <c r="W90" i="13" s="1"/>
  <c r="X90" i="13" s="1"/>
  <c r="Y90" i="13" s="1"/>
  <c r="Z90" i="13" s="1"/>
  <c r="AA90" i="13" s="1"/>
  <c r="AB90" i="13" s="1"/>
  <c r="AC90" i="13" s="1"/>
  <c r="AD90" i="13" s="1"/>
  <c r="AE90" i="13" s="1"/>
  <c r="AF90" i="13" s="1"/>
  <c r="I229" i="13"/>
  <c r="I230" i="13" s="1"/>
  <c r="R76" i="10"/>
  <c r="M129" i="10"/>
  <c r="C130" i="14"/>
  <c r="C134" i="14" s="1"/>
  <c r="O82" i="14"/>
  <c r="O91" i="14"/>
  <c r="O92" i="14"/>
  <c r="P259" i="5"/>
  <c r="P263" i="5" s="1"/>
  <c r="Q109" i="10"/>
  <c r="P136" i="10"/>
  <c r="G2558" i="16"/>
  <c r="F2547" i="16"/>
  <c r="R32" i="7"/>
  <c r="AA185" i="18" s="1"/>
  <c r="C141" i="14"/>
  <c r="C143" i="14" s="1"/>
  <c r="C144" i="14" s="1"/>
  <c r="C136" i="14" s="1"/>
  <c r="C219" i="14" s="1"/>
  <c r="R112" i="18"/>
  <c r="C214" i="14"/>
  <c r="C1975" i="16"/>
  <c r="F2790" i="16"/>
  <c r="S97" i="14"/>
  <c r="S96" i="14" s="1"/>
  <c r="R97" i="14"/>
  <c r="R96" i="14" s="1"/>
  <c r="O54" i="9"/>
  <c r="G2926" i="16"/>
  <c r="AH29" i="9"/>
  <c r="C1763" i="16"/>
  <c r="D1763" i="16" s="1"/>
  <c r="E1763" i="16" s="1"/>
  <c r="F1763" i="16" s="1"/>
  <c r="G49" i="9"/>
  <c r="BS269" i="5"/>
  <c r="I102" i="25"/>
  <c r="I116" i="25" s="1"/>
  <c r="F2548" i="16"/>
  <c r="K2031" i="16"/>
  <c r="L314" i="10"/>
  <c r="L315" i="10" s="1"/>
  <c r="P118" i="18"/>
  <c r="F775" i="16"/>
  <c r="G775" i="16" s="1"/>
  <c r="H775" i="16" s="1"/>
  <c r="C1829" i="16"/>
  <c r="C1830" i="16" s="1"/>
  <c r="H1830" i="16" s="1"/>
  <c r="M54" i="7"/>
  <c r="L291" i="10"/>
  <c r="L292" i="10" s="1"/>
  <c r="X20" i="29"/>
  <c r="I213" i="13"/>
  <c r="F12" i="19" s="1"/>
  <c r="F2787" i="16"/>
  <c r="O35" i="14"/>
  <c r="E1767" i="16"/>
  <c r="E1788" i="16" s="1"/>
  <c r="J60" i="14"/>
  <c r="D2211" i="16"/>
  <c r="D2229" i="16" s="1"/>
  <c r="D132" i="14"/>
  <c r="I132" i="14" s="1"/>
  <c r="E784" i="16"/>
  <c r="E800" i="16" s="1"/>
  <c r="I58" i="9"/>
  <c r="Q24" i="7"/>
  <c r="Z181" i="18" s="1"/>
  <c r="D133" i="14"/>
  <c r="I133" i="14" s="1"/>
  <c r="U3" i="18"/>
  <c r="U4" i="18" s="1"/>
  <c r="F522" i="16"/>
  <c r="F564" i="16" s="1"/>
  <c r="BG72" i="5"/>
  <c r="AB67" i="28" s="1"/>
  <c r="BG188" i="5"/>
  <c r="BG167" i="5"/>
  <c r="BG174" i="5" s="1"/>
  <c r="G52" i="9"/>
  <c r="G58" i="9"/>
  <c r="EF38" i="5"/>
  <c r="F2545" i="16"/>
  <c r="H113" i="25"/>
  <c r="S46" i="29"/>
  <c r="G2787" i="16"/>
  <c r="EE141" i="5"/>
  <c r="EJ141" i="5"/>
  <c r="EF141" i="5"/>
  <c r="EK141" i="5"/>
  <c r="EG141" i="5"/>
  <c r="EL141" i="5"/>
  <c r="BH188" i="5"/>
  <c r="BH167" i="5"/>
  <c r="BH174" i="5" s="1"/>
  <c r="BH72" i="5"/>
  <c r="AC67" i="28" s="1"/>
  <c r="EL21" i="5"/>
  <c r="I81" i="13"/>
  <c r="G1138" i="16"/>
  <c r="G2234" i="16"/>
  <c r="H2234" i="16" s="1"/>
  <c r="C2788" i="16"/>
  <c r="C2757" i="16"/>
  <c r="O2757" i="16" s="1"/>
  <c r="I1021" i="16"/>
  <c r="L6" i="22"/>
  <c r="X45" i="29"/>
  <c r="X46" i="29" s="1"/>
  <c r="C650" i="16"/>
  <c r="X25" i="29"/>
  <c r="AD5" i="29"/>
  <c r="G3134" i="3"/>
  <c r="G3133" i="3"/>
  <c r="K29" i="29"/>
  <c r="K22" i="29"/>
  <c r="AG57" i="28"/>
  <c r="AF43" i="28"/>
  <c r="AG56" i="28"/>
  <c r="AD45" i="29"/>
  <c r="I38" i="25"/>
  <c r="I115" i="25" s="1"/>
  <c r="X197" i="18"/>
  <c r="D1134" i="16"/>
  <c r="H1134" i="16" s="1"/>
  <c r="U7" i="18"/>
  <c r="U25" i="18" s="1"/>
  <c r="U119" i="18"/>
  <c r="V118" i="18" s="1"/>
  <c r="L15" i="7"/>
  <c r="L54" i="7"/>
  <c r="C750" i="16"/>
  <c r="H44" i="25"/>
  <c r="L7" i="7"/>
  <c r="L10" i="7" s="1"/>
  <c r="L36" i="7" s="1"/>
  <c r="E11" i="21"/>
  <c r="P112" i="18"/>
  <c r="E1134" i="16"/>
  <c r="I1134" i="16" s="1"/>
  <c r="I82" i="14"/>
  <c r="G56" i="12"/>
  <c r="I80" i="14"/>
  <c r="I91" i="14" s="1"/>
  <c r="AG91" i="14" s="1"/>
  <c r="M347" i="10"/>
  <c r="N347" i="10" s="1"/>
  <c r="H96" i="13"/>
  <c r="M227" i="13"/>
  <c r="R188" i="13"/>
  <c r="J300" i="13" s="1"/>
  <c r="Q115" i="13"/>
  <c r="I244" i="13" s="1"/>
  <c r="C57" i="12"/>
  <c r="J72" i="25"/>
  <c r="G172" i="12"/>
  <c r="I301" i="10"/>
  <c r="Y155" i="18"/>
  <c r="I161" i="12"/>
  <c r="G18" i="12"/>
  <c r="D1767" i="16"/>
  <c r="D1788" i="16" s="1"/>
  <c r="F18" i="12"/>
  <c r="Q188" i="13"/>
  <c r="I300" i="13" s="1"/>
  <c r="B1209" i="16"/>
  <c r="D1452" i="16"/>
  <c r="H1474" i="16" s="1"/>
  <c r="M36" i="14"/>
  <c r="E1552" i="16"/>
  <c r="I182" i="10"/>
  <c r="AH4" i="14"/>
  <c r="G206" i="10"/>
  <c r="G207" i="10" s="1"/>
  <c r="G210" i="10" s="1"/>
  <c r="C11" i="21" s="1"/>
  <c r="O85" i="13"/>
  <c r="G2" i="14"/>
  <c r="AI4" i="14" s="1"/>
  <c r="G325" i="10"/>
  <c r="U28" i="18"/>
  <c r="AJ81" i="5"/>
  <c r="B1226" i="16"/>
  <c r="C1238" i="16" s="1"/>
  <c r="C1239" i="16" s="1"/>
  <c r="I82" i="13"/>
  <c r="I95" i="13" s="1"/>
  <c r="F242" i="16" s="1"/>
  <c r="C1218" i="16"/>
  <c r="C1219" i="16" s="1"/>
  <c r="R227" i="13"/>
  <c r="R229" i="13" s="1"/>
  <c r="R230" i="13" s="1"/>
  <c r="J81" i="13"/>
  <c r="C473" i="16"/>
  <c r="I58" i="13"/>
  <c r="J54" i="13"/>
  <c r="H206" i="10" s="1"/>
  <c r="H207" i="10" s="1"/>
  <c r="H210" i="10" s="1"/>
  <c r="H53" i="13"/>
  <c r="G53" i="13" s="1"/>
  <c r="G54" i="13" s="1"/>
  <c r="S118" i="18"/>
  <c r="K198" i="10"/>
  <c r="R118" i="18"/>
  <c r="Q161" i="13"/>
  <c r="I285" i="13" s="1"/>
  <c r="D2559" i="16"/>
  <c r="AI14" i="12"/>
  <c r="E782" i="16"/>
  <c r="E799" i="16" s="1"/>
  <c r="K157" i="10"/>
  <c r="AL91" i="28"/>
  <c r="CE58" i="28"/>
  <c r="C441" i="16"/>
  <c r="E1045" i="16"/>
  <c r="E1046" i="16" s="1"/>
  <c r="J1046" i="16" s="1"/>
  <c r="BF87" i="5"/>
  <c r="X119" i="18"/>
  <c r="F2183" i="16"/>
  <c r="N26" i="7"/>
  <c r="W184" i="18" s="1"/>
  <c r="AL92" i="28"/>
  <c r="CE59" i="28"/>
  <c r="BF91" i="5"/>
  <c r="K199" i="10"/>
  <c r="K200" i="10" s="1"/>
  <c r="X7" i="18"/>
  <c r="X25" i="18" s="1"/>
  <c r="E1023" i="16"/>
  <c r="J1023" i="16" s="1"/>
  <c r="W149" i="18"/>
  <c r="W155" i="18" s="1"/>
  <c r="H174" i="18" s="1"/>
  <c r="H520" i="16"/>
  <c r="H562" i="16" s="1"/>
  <c r="C2211" i="16"/>
  <c r="C2215" i="16" s="1"/>
  <c r="C2231" i="16" s="1"/>
  <c r="P24" i="7"/>
  <c r="O112" i="18"/>
  <c r="M291" i="10"/>
  <c r="C657" i="16" s="1"/>
  <c r="C660" i="16" s="1"/>
  <c r="C1057" i="16"/>
  <c r="J1057" i="16" s="1"/>
  <c r="G520" i="16"/>
  <c r="G562" i="16" s="1"/>
  <c r="C1767" i="16"/>
  <c r="C1788" i="16" s="1"/>
  <c r="D1552" i="16"/>
  <c r="C1452" i="16"/>
  <c r="X19" i="18"/>
  <c r="O24" i="7"/>
  <c r="X181" i="18" s="1"/>
  <c r="G178" i="12"/>
  <c r="L92" i="14"/>
  <c r="AM61" i="5"/>
  <c r="AR63" i="5" s="1"/>
  <c r="C2546" i="16"/>
  <c r="C2549" i="16" s="1"/>
  <c r="C2553" i="16" s="1"/>
  <c r="E117" i="25"/>
  <c r="E11" i="19"/>
  <c r="H213" i="13"/>
  <c r="H215" i="13" s="1"/>
  <c r="L2031" i="16"/>
  <c r="T112" i="18"/>
  <c r="H178" i="13"/>
  <c r="M35" i="14"/>
  <c r="M314" i="10"/>
  <c r="M315" i="10" s="1"/>
  <c r="O118" i="18"/>
  <c r="H181" i="13"/>
  <c r="H200" i="13" s="1"/>
  <c r="C1771" i="16"/>
  <c r="H228" i="13"/>
  <c r="H229" i="13" s="1"/>
  <c r="H230" i="13" s="1"/>
  <c r="O15" i="7"/>
  <c r="N109" i="13"/>
  <c r="N60" i="14"/>
  <c r="C749" i="16"/>
  <c r="AK111" i="28"/>
  <c r="FS420" i="5"/>
  <c r="J308" i="5"/>
  <c r="C1026" i="16"/>
  <c r="H1026" i="16" s="1"/>
  <c r="E93" i="28"/>
  <c r="B93" i="28"/>
  <c r="H93" i="28"/>
  <c r="C93" i="28"/>
  <c r="D93" i="28"/>
  <c r="CC93" i="28"/>
  <c r="AC31" i="28"/>
  <c r="E24" i="14"/>
  <c r="C258" i="16" s="1"/>
  <c r="J80" i="16"/>
  <c r="J83" i="16" s="1"/>
  <c r="F93" i="28"/>
  <c r="G93" i="28"/>
  <c r="Y323" i="5"/>
  <c r="I93" i="28"/>
  <c r="K299" i="10"/>
  <c r="J2031" i="16"/>
  <c r="K291" i="10"/>
  <c r="K305" i="10" s="1"/>
  <c r="CQ337" i="5"/>
  <c r="BD70" i="5"/>
  <c r="DQ59" i="5"/>
  <c r="E2559" i="16"/>
  <c r="E1043" i="16"/>
  <c r="D1579" i="16"/>
  <c r="W19" i="18"/>
  <c r="N24" i="7"/>
  <c r="W181" i="18" s="1"/>
  <c r="C1552" i="16"/>
  <c r="F520" i="16"/>
  <c r="G1579" i="16"/>
  <c r="C1056" i="16"/>
  <c r="F1579" i="16"/>
  <c r="C1579" i="16"/>
  <c r="E1579" i="16"/>
  <c r="P346" i="10"/>
  <c r="L9" i="14"/>
  <c r="D303" i="16"/>
  <c r="C1115" i="16"/>
  <c r="E98" i="25"/>
  <c r="E121" i="25" s="1"/>
  <c r="C2563" i="16" s="1"/>
  <c r="BJ274" i="5"/>
  <c r="I93" i="12"/>
  <c r="T4" i="18"/>
  <c r="K207" i="10"/>
  <c r="K210" i="10" s="1"/>
  <c r="G11" i="21" s="1"/>
  <c r="C5" i="22"/>
  <c r="I1821" i="16"/>
  <c r="CN334" i="5"/>
  <c r="I245" i="10"/>
  <c r="F260" i="16" s="1"/>
  <c r="C1028" i="16"/>
  <c r="H1028" i="16" s="1"/>
  <c r="H50" i="9"/>
  <c r="AS40" i="5"/>
  <c r="AS84" i="5" s="1"/>
  <c r="C782" i="16"/>
  <c r="C799" i="16" s="1"/>
  <c r="AS36" i="5"/>
  <c r="DW36" i="5" s="1"/>
  <c r="D202" i="14"/>
  <c r="D203" i="14" s="1"/>
  <c r="E203" i="14" s="1"/>
  <c r="U149" i="18"/>
  <c r="U155" i="18" s="1"/>
  <c r="D522" i="16"/>
  <c r="D564" i="16" s="1"/>
  <c r="C1023" i="16"/>
  <c r="H1023" i="16" s="1"/>
  <c r="M181" i="13"/>
  <c r="M197" i="13" s="1"/>
  <c r="I2031" i="16"/>
  <c r="AN87" i="5"/>
  <c r="AS70" i="5"/>
  <c r="Q65" i="28" s="1"/>
  <c r="C1045" i="16"/>
  <c r="C1046" i="16" s="1"/>
  <c r="H1046" i="16" s="1"/>
  <c r="M228" i="13"/>
  <c r="J291" i="10"/>
  <c r="AN95" i="5"/>
  <c r="C202" i="14"/>
  <c r="C203" i="14" s="1"/>
  <c r="C204" i="14" s="1"/>
  <c r="L26" i="7"/>
  <c r="U184" i="18" s="1"/>
  <c r="M178" i="13"/>
  <c r="J314" i="10"/>
  <c r="J315" i="10" s="1"/>
  <c r="J317" i="10" s="1"/>
  <c r="J318" i="10" s="1"/>
  <c r="J319" i="10" s="1"/>
  <c r="C1137" i="16"/>
  <c r="V146" i="18"/>
  <c r="V152" i="18" s="1"/>
  <c r="G171" i="18" s="1"/>
  <c r="D1020" i="16"/>
  <c r="I1020" i="16" s="1"/>
  <c r="EB19" i="5"/>
  <c r="Y40" i="28" s="1"/>
  <c r="W70" i="5"/>
  <c r="BC21" i="5"/>
  <c r="H245" i="10"/>
  <c r="E260" i="16" s="1"/>
  <c r="E344" i="16"/>
  <c r="E356" i="16" s="1"/>
  <c r="E326" i="16"/>
  <c r="E338" i="16" s="1"/>
  <c r="T149" i="18"/>
  <c r="T155" i="18" s="1"/>
  <c r="C522" i="16"/>
  <c r="C564" i="16" s="1"/>
  <c r="J106" i="13"/>
  <c r="E261" i="16" s="1"/>
  <c r="AY70" i="5"/>
  <c r="K106" i="13"/>
  <c r="F261" i="16" s="1"/>
  <c r="G7" i="19"/>
  <c r="J135" i="13"/>
  <c r="K136" i="13" s="1"/>
  <c r="W21" i="5"/>
  <c r="W71" i="5" s="1"/>
  <c r="CV19" i="5"/>
  <c r="G91" i="5"/>
  <c r="G92" i="5" s="1"/>
  <c r="G94" i="5"/>
  <c r="P139" i="18"/>
  <c r="P152" i="18" s="1"/>
  <c r="DB19" i="5"/>
  <c r="D40" i="28" s="1"/>
  <c r="CP337" i="5"/>
  <c r="J178" i="13"/>
  <c r="CK337" i="5"/>
  <c r="CL337" i="5"/>
  <c r="K71" i="5"/>
  <c r="DR34" i="5"/>
  <c r="N177" i="13"/>
  <c r="N181" i="13" s="1"/>
  <c r="V147" i="18"/>
  <c r="V153" i="18" s="1"/>
  <c r="G172" i="18" s="1"/>
  <c r="C1139" i="16"/>
  <c r="D1022" i="16"/>
  <c r="CS310" i="5"/>
  <c r="CN310" i="5"/>
  <c r="C52" i="9"/>
  <c r="F80" i="16"/>
  <c r="F83" i="16" s="1"/>
  <c r="AJ72" i="5"/>
  <c r="CN307" i="5"/>
  <c r="J337" i="5"/>
  <c r="AN71" i="5"/>
  <c r="DH59" i="5"/>
  <c r="AI61" i="5"/>
  <c r="AE70" i="5"/>
  <c r="U357" i="5"/>
  <c r="U310" i="5"/>
  <c r="CK38" i="5"/>
  <c r="G1467" i="16"/>
  <c r="O1473" i="16"/>
  <c r="G1453" i="16"/>
  <c r="F85" i="13"/>
  <c r="H1138" i="16"/>
  <c r="D1143" i="16"/>
  <c r="H1143" i="16" s="1"/>
  <c r="DQ19" i="5"/>
  <c r="P40" i="28" s="1"/>
  <c r="P142" i="18"/>
  <c r="P155" i="18" s="1"/>
  <c r="AM21" i="5"/>
  <c r="DL21" i="5" s="1"/>
  <c r="L42" i="28" s="1"/>
  <c r="J91" i="14"/>
  <c r="AH91" i="14" s="1"/>
  <c r="F140" i="16"/>
  <c r="N138" i="16"/>
  <c r="F164" i="16"/>
  <c r="F167" i="16"/>
  <c r="AM70" i="5"/>
  <c r="L65" i="28" s="1"/>
  <c r="F474" i="16"/>
  <c r="AV63" i="5"/>
  <c r="P227" i="13"/>
  <c r="P229" i="13" s="1"/>
  <c r="P230" i="13" s="1"/>
  <c r="L82" i="14"/>
  <c r="K112" i="10"/>
  <c r="D1140" i="16"/>
  <c r="F169" i="16"/>
  <c r="F489" i="16"/>
  <c r="F490" i="16" s="1"/>
  <c r="F151" i="16"/>
  <c r="F171" i="16"/>
  <c r="K58" i="13"/>
  <c r="T178" i="5"/>
  <c r="T181" i="5" s="1"/>
  <c r="AP244" i="12"/>
  <c r="CB244" i="12" s="1"/>
  <c r="CB245" i="12" s="1"/>
  <c r="AP238" i="12"/>
  <c r="P22" i="12"/>
  <c r="G611" i="16"/>
  <c r="F655" i="16"/>
  <c r="F680" i="16" s="1"/>
  <c r="F105" i="25"/>
  <c r="G81" i="25"/>
  <c r="L946" i="16"/>
  <c r="K952" i="16"/>
  <c r="F1955" i="16"/>
  <c r="H1955" i="16" s="1"/>
  <c r="D1954" i="16"/>
  <c r="F1954" i="16" s="1"/>
  <c r="W28" i="18"/>
  <c r="AT81" i="5"/>
  <c r="I85" i="13"/>
  <c r="J82" i="14"/>
  <c r="I19" i="22"/>
  <c r="F3133" i="3"/>
  <c r="D1081" i="16"/>
  <c r="C1079" i="16"/>
  <c r="E1079" i="16" s="1"/>
  <c r="J161" i="12"/>
  <c r="H1820" i="16"/>
  <c r="I52" i="9"/>
  <c r="C2080" i="16"/>
  <c r="C2082" i="16" s="1"/>
  <c r="E19" i="12"/>
  <c r="E18" i="12"/>
  <c r="G1101" i="16"/>
  <c r="H1101" i="16" s="1"/>
  <c r="I1100" i="16"/>
  <c r="M110" i="13"/>
  <c r="M109" i="13"/>
  <c r="F3134" i="3"/>
  <c r="E100" i="12"/>
  <c r="E57" i="12"/>
  <c r="E56" i="12"/>
  <c r="F1102" i="16"/>
  <c r="M102" i="14"/>
  <c r="V28" i="18"/>
  <c r="AO81" i="5"/>
  <c r="H1100" i="16"/>
  <c r="D19" i="12"/>
  <c r="D18" i="12"/>
  <c r="AG47" i="14"/>
  <c r="M107" i="14"/>
  <c r="S209" i="10"/>
  <c r="T101" i="10"/>
  <c r="C2230" i="16"/>
  <c r="C2214" i="16"/>
  <c r="L205" i="10"/>
  <c r="D7" i="22" s="1"/>
  <c r="L325" i="10"/>
  <c r="L162" i="10"/>
  <c r="L192" i="10" s="1"/>
  <c r="L201" i="10" s="1"/>
  <c r="X23" i="18"/>
  <c r="D1553" i="16"/>
  <c r="D1595" i="16"/>
  <c r="M732" i="16"/>
  <c r="M733" i="16"/>
  <c r="X109" i="18"/>
  <c r="W86" i="10"/>
  <c r="E2565" i="16"/>
  <c r="N241" i="13"/>
  <c r="V184" i="13"/>
  <c r="N296" i="13" s="1"/>
  <c r="Q200" i="13"/>
  <c r="D165" i="16"/>
  <c r="D478" i="16"/>
  <c r="V189" i="10"/>
  <c r="I266" i="13"/>
  <c r="R144" i="13"/>
  <c r="W7" i="18"/>
  <c r="W25" i="18" s="1"/>
  <c r="W119" i="18"/>
  <c r="W118" i="18" s="1"/>
  <c r="N15" i="7"/>
  <c r="C640" i="16"/>
  <c r="C644" i="16" s="1"/>
  <c r="X3" i="18"/>
  <c r="O7" i="7"/>
  <c r="Q20" i="18"/>
  <c r="J149" i="10"/>
  <c r="J119" i="10"/>
  <c r="J146" i="10" s="1"/>
  <c r="J139" i="10"/>
  <c r="J151" i="10" s="1"/>
  <c r="D473" i="16"/>
  <c r="F80" i="13"/>
  <c r="F96" i="13" s="1"/>
  <c r="J92" i="14"/>
  <c r="P73" i="12"/>
  <c r="Q90" i="12" s="1"/>
  <c r="H1129" i="16"/>
  <c r="D1128" i="16"/>
  <c r="H1128" i="16" s="1"/>
  <c r="G305" i="10"/>
  <c r="G306" i="10" s="1"/>
  <c r="K317" i="10"/>
  <c r="K318" i="10" s="1"/>
  <c r="K319" i="10" s="1"/>
  <c r="U19" i="18"/>
  <c r="L24" i="7"/>
  <c r="D167" i="14"/>
  <c r="C1043" i="16"/>
  <c r="C1039" i="16" s="1"/>
  <c r="D520" i="16"/>
  <c r="D562" i="16" s="1"/>
  <c r="D158" i="14"/>
  <c r="J66" i="14"/>
  <c r="BI81" i="5"/>
  <c r="R200" i="13"/>
  <c r="G16" i="25"/>
  <c r="G18" i="25" s="1"/>
  <c r="H12" i="25"/>
  <c r="G14" i="25"/>
  <c r="I8" i="22"/>
  <c r="T190" i="10"/>
  <c r="S28" i="7"/>
  <c r="AB191" i="18" s="1"/>
  <c r="S45" i="14"/>
  <c r="U19" i="7"/>
  <c r="U25" i="7" s="1"/>
  <c r="G23" i="22"/>
  <c r="O292" i="10"/>
  <c r="O301" i="10"/>
  <c r="I1694" i="16" s="1"/>
  <c r="E657" i="16"/>
  <c r="E660" i="16" s="1"/>
  <c r="O305" i="10"/>
  <c r="R137" i="3"/>
  <c r="S132" i="3"/>
  <c r="S137" i="3" s="1"/>
  <c r="M72" i="12"/>
  <c r="M89" i="12" s="1"/>
  <c r="C11" i="19"/>
  <c r="F213" i="13"/>
  <c r="C12" i="19" s="1"/>
  <c r="I108" i="25"/>
  <c r="V114" i="13"/>
  <c r="E36" i="7"/>
  <c r="E39" i="7" s="1"/>
  <c r="E20" i="7"/>
  <c r="W135" i="10"/>
  <c r="E52" i="7"/>
  <c r="I1820" i="16"/>
  <c r="M8" i="14"/>
  <c r="M9" i="14" s="1"/>
  <c r="N7" i="14"/>
  <c r="K30" i="25"/>
  <c r="X116" i="13"/>
  <c r="Z61" i="29" s="1"/>
  <c r="Z62" i="29" s="1"/>
  <c r="D11" i="19"/>
  <c r="G213" i="13"/>
  <c r="C3134" i="3"/>
  <c r="C3125" i="3"/>
  <c r="C3130" i="3" s="1"/>
  <c r="F153" i="10"/>
  <c r="F53" i="10"/>
  <c r="E7" i="21"/>
  <c r="N1037" i="16"/>
  <c r="H1035" i="16"/>
  <c r="C53" i="9"/>
  <c r="W18" i="18"/>
  <c r="F138" i="14"/>
  <c r="F137" i="14" s="1"/>
  <c r="C1551" i="16"/>
  <c r="E1035" i="16"/>
  <c r="F2182" i="16"/>
  <c r="F512" i="16"/>
  <c r="F554" i="16" s="1"/>
  <c r="K55" i="25"/>
  <c r="L58" i="25"/>
  <c r="M53" i="10"/>
  <c r="M153" i="10"/>
  <c r="J101" i="14"/>
  <c r="J106" i="14" s="1"/>
  <c r="J111" i="14" s="1"/>
  <c r="J112" i="14" s="1"/>
  <c r="T93" i="13"/>
  <c r="M52" i="12"/>
  <c r="N53" i="12"/>
  <c r="O185" i="13"/>
  <c r="H286" i="13"/>
  <c r="P163" i="13"/>
  <c r="H287" i="13" s="1"/>
  <c r="Q162" i="13"/>
  <c r="F178" i="16"/>
  <c r="DG21" i="5"/>
  <c r="H42" i="28" s="1"/>
  <c r="I26" i="25"/>
  <c r="J9" i="25"/>
  <c r="L53" i="10"/>
  <c r="L153" i="10"/>
  <c r="H299" i="13"/>
  <c r="Q187" i="13"/>
  <c r="C10" i="19"/>
  <c r="F197" i="13"/>
  <c r="F200" i="13"/>
  <c r="Q112" i="18"/>
  <c r="D138" i="25"/>
  <c r="D243" i="25" s="1"/>
  <c r="D240" i="25"/>
  <c r="E2564" i="16"/>
  <c r="D35" i="14"/>
  <c r="D37" i="14"/>
  <c r="D38" i="14" s="1"/>
  <c r="D36" i="14"/>
  <c r="D8" i="22"/>
  <c r="W197" i="18"/>
  <c r="H50" i="25"/>
  <c r="H53" i="25" s="1"/>
  <c r="G41" i="25"/>
  <c r="W112" i="13"/>
  <c r="W184" i="13" s="1"/>
  <c r="M209" i="13"/>
  <c r="S28" i="18"/>
  <c r="Z81" i="5"/>
  <c r="N74" i="13"/>
  <c r="K240" i="16"/>
  <c r="D10" i="19"/>
  <c r="G197" i="13"/>
  <c r="G200" i="13"/>
  <c r="F110" i="13"/>
  <c r="F109" i="13"/>
  <c r="D3134" i="3"/>
  <c r="D3125" i="3"/>
  <c r="D3130" i="3" s="1"/>
  <c r="F54" i="7"/>
  <c r="K100" i="14"/>
  <c r="K105" i="14" s="1"/>
  <c r="K90" i="14"/>
  <c r="K86" i="14"/>
  <c r="C1806" i="16"/>
  <c r="H1804" i="16" s="1"/>
  <c r="L36" i="14"/>
  <c r="L37" i="14"/>
  <c r="M38" i="14" s="1"/>
  <c r="E1514" i="16" s="1"/>
  <c r="L35" i="14"/>
  <c r="J264" i="16"/>
  <c r="D1482" i="16"/>
  <c r="Q118" i="18"/>
  <c r="G10" i="19"/>
  <c r="J198" i="13"/>
  <c r="J197" i="13"/>
  <c r="D149" i="14"/>
  <c r="J37" i="14"/>
  <c r="J35" i="14"/>
  <c r="J36" i="14"/>
  <c r="P185" i="13"/>
  <c r="Q183" i="13"/>
  <c r="H295" i="13"/>
  <c r="E484" i="16"/>
  <c r="E485" i="16" s="1"/>
  <c r="Y45" i="29"/>
  <c r="I239" i="13"/>
  <c r="P181" i="10"/>
  <c r="O182" i="10"/>
  <c r="E161" i="16"/>
  <c r="U191" i="10"/>
  <c r="M311" i="10"/>
  <c r="L312" i="10"/>
  <c r="R57" i="13"/>
  <c r="R58" i="13" s="1"/>
  <c r="S56" i="13"/>
  <c r="N335" i="10"/>
  <c r="M337" i="10"/>
  <c r="M340" i="10" s="1"/>
  <c r="V19" i="18"/>
  <c r="M24" i="7"/>
  <c r="V181" i="18" s="1"/>
  <c r="E520" i="16"/>
  <c r="E562" i="16" s="1"/>
  <c r="D1043" i="16"/>
  <c r="E167" i="14"/>
  <c r="G260" i="13"/>
  <c r="O129" i="13"/>
  <c r="P126" i="13"/>
  <c r="O122" i="13"/>
  <c r="O130" i="13"/>
  <c r="O133" i="13" s="1"/>
  <c r="O128" i="13"/>
  <c r="AS75" i="5"/>
  <c r="AS76" i="5" s="1"/>
  <c r="E53" i="10"/>
  <c r="E153" i="10"/>
  <c r="G153" i="10"/>
  <c r="G53" i="10"/>
  <c r="M39" i="14"/>
  <c r="AO211" i="5"/>
  <c r="E132" i="14"/>
  <c r="E133" i="14"/>
  <c r="K60" i="14"/>
  <c r="L60" i="14"/>
  <c r="N336" i="10"/>
  <c r="D1568" i="16"/>
  <c r="D1569" i="16" s="1"/>
  <c r="E1571" i="16"/>
  <c r="N17" i="21"/>
  <c r="O18" i="21"/>
  <c r="O50" i="9"/>
  <c r="T30" i="7"/>
  <c r="AC194" i="18" s="1"/>
  <c r="F32" i="25"/>
  <c r="F120" i="25" s="1"/>
  <c r="D2556" i="16"/>
  <c r="I96" i="13"/>
  <c r="O189" i="13"/>
  <c r="M66" i="12"/>
  <c r="N83" i="12" s="1"/>
  <c r="Y23" i="18"/>
  <c r="E1553" i="16"/>
  <c r="E1595" i="16"/>
  <c r="N732" i="16"/>
  <c r="N733" i="16"/>
  <c r="Y109" i="18"/>
  <c r="J93" i="12"/>
  <c r="J35" i="12" s="1"/>
  <c r="J39" i="12" s="1"/>
  <c r="J153" i="10"/>
  <c r="J53" i="10"/>
  <c r="T42" i="26"/>
  <c r="C1982" i="16"/>
  <c r="C1984" i="16"/>
  <c r="U201" i="10"/>
  <c r="R149" i="10"/>
  <c r="R204" i="10"/>
  <c r="N51" i="29" s="1"/>
  <c r="O52" i="29" s="1"/>
  <c r="R28" i="26"/>
  <c r="H36" i="21"/>
  <c r="I2" i="21"/>
  <c r="D92" i="14"/>
  <c r="N105" i="14"/>
  <c r="N261" i="10"/>
  <c r="N274" i="10" s="1"/>
  <c r="N107" i="10"/>
  <c r="G1671" i="16"/>
  <c r="J38" i="7"/>
  <c r="K12" i="7"/>
  <c r="J192" i="10"/>
  <c r="J201" i="10" s="1"/>
  <c r="J205" i="10"/>
  <c r="J207" i="10" s="1"/>
  <c r="J210" i="10" s="1"/>
  <c r="J198" i="10"/>
  <c r="J199" i="10"/>
  <c r="K220" i="10"/>
  <c r="J222" i="10"/>
  <c r="O948" i="16"/>
  <c r="G60" i="12"/>
  <c r="G99" i="12"/>
  <c r="H4" i="12"/>
  <c r="D191" i="14"/>
  <c r="E191" i="14" s="1"/>
  <c r="E189" i="14" s="1"/>
  <c r="L17" i="19"/>
  <c r="P72" i="13"/>
  <c r="O73" i="13"/>
  <c r="F292" i="10"/>
  <c r="F305" i="10"/>
  <c r="L100" i="14"/>
  <c r="L90" i="14"/>
  <c r="H243" i="13"/>
  <c r="P188" i="13"/>
  <c r="H300" i="13" s="1"/>
  <c r="P115" i="13"/>
  <c r="H244" i="13" s="1"/>
  <c r="P161" i="13"/>
  <c r="H285" i="13" s="1"/>
  <c r="D3133" i="3"/>
  <c r="J200" i="25"/>
  <c r="K199" i="25"/>
  <c r="M74" i="12"/>
  <c r="M91" i="12" s="1"/>
  <c r="E1806" i="16"/>
  <c r="J1804" i="16" s="1"/>
  <c r="W22" i="18"/>
  <c r="H201" i="10"/>
  <c r="G132" i="10"/>
  <c r="F131" i="10"/>
  <c r="BI244" i="12"/>
  <c r="BM244" i="12"/>
  <c r="W245" i="12"/>
  <c r="I101" i="14"/>
  <c r="I106" i="14" s="1"/>
  <c r="I111" i="14" s="1"/>
  <c r="I112" i="14" s="1"/>
  <c r="T19" i="18"/>
  <c r="K24" i="7"/>
  <c r="F213" i="16"/>
  <c r="E325" i="16"/>
  <c r="E337" i="16" s="1"/>
  <c r="C520" i="16"/>
  <c r="C562" i="16" s="1"/>
  <c r="E343" i="16"/>
  <c r="E355" i="16" s="1"/>
  <c r="C167" i="14"/>
  <c r="C158" i="14"/>
  <c r="H87" i="25"/>
  <c r="G86" i="25"/>
  <c r="U62" i="13"/>
  <c r="F10" i="19"/>
  <c r="I197" i="13"/>
  <c r="I198" i="13"/>
  <c r="BN261" i="5"/>
  <c r="BO271" i="5" s="1"/>
  <c r="AP92" i="28" s="1"/>
  <c r="G126" i="25"/>
  <c r="E2568" i="16" s="1"/>
  <c r="E2561" i="16"/>
  <c r="E2544" i="16" s="1"/>
  <c r="E2555" i="16" s="1"/>
  <c r="H110" i="25"/>
  <c r="H123" i="25" s="1"/>
  <c r="F2559" i="16"/>
  <c r="V151" i="10"/>
  <c r="D140" i="16"/>
  <c r="M138" i="16"/>
  <c r="D53" i="10"/>
  <c r="D153" i="10"/>
  <c r="E173" i="16"/>
  <c r="E170" i="16"/>
  <c r="E174" i="16"/>
  <c r="E54" i="7"/>
  <c r="H17" i="14"/>
  <c r="H61" i="14" s="1"/>
  <c r="AR76" i="5"/>
  <c r="C1016" i="16"/>
  <c r="H1017" i="16"/>
  <c r="G110" i="13"/>
  <c r="G109" i="13"/>
  <c r="H153" i="10"/>
  <c r="H53" i="10"/>
  <c r="F525" i="16"/>
  <c r="F546" i="16" s="1"/>
  <c r="G504" i="16"/>
  <c r="K69" i="12"/>
  <c r="K86" i="12" s="1"/>
  <c r="V145" i="10"/>
  <c r="K8" i="12"/>
  <c r="J11" i="12"/>
  <c r="J12" i="12" s="1"/>
  <c r="J10" i="12"/>
  <c r="S112" i="18"/>
  <c r="D1806" i="16"/>
  <c r="I1799" i="16" s="1"/>
  <c r="E1029" i="16"/>
  <c r="J1029" i="16" s="1"/>
  <c r="J1016" i="16"/>
  <c r="G5" i="25"/>
  <c r="H20" i="25"/>
  <c r="G29" i="25"/>
  <c r="I74" i="13"/>
  <c r="J74" i="13"/>
  <c r="F240" i="16"/>
  <c r="C157" i="12"/>
  <c r="D58" i="14"/>
  <c r="L63" i="12"/>
  <c r="L80" i="12" s="1"/>
  <c r="F23" i="22"/>
  <c r="N301" i="10"/>
  <c r="H1694" i="16" s="1"/>
  <c r="N292" i="10"/>
  <c r="D657" i="16"/>
  <c r="D660" i="16" s="1"/>
  <c r="N305" i="10"/>
  <c r="G78" i="25"/>
  <c r="H79" i="25"/>
  <c r="K64" i="12"/>
  <c r="K81" i="12" s="1"/>
  <c r="E21" i="26"/>
  <c r="G1135" i="16"/>
  <c r="C1134" i="16"/>
  <c r="G1134" i="16" s="1"/>
  <c r="E195" i="16"/>
  <c r="I188" i="16"/>
  <c r="BN14" i="5"/>
  <c r="C2727" i="16"/>
  <c r="O2727" i="16" s="1"/>
  <c r="G681" i="16"/>
  <c r="D171" i="16"/>
  <c r="D169" i="16"/>
  <c r="D173" i="16" s="1"/>
  <c r="D489" i="16"/>
  <c r="D151" i="16"/>
  <c r="I1822" i="16"/>
  <c r="F318" i="10"/>
  <c r="F319" i="10" s="1"/>
  <c r="X22" i="18"/>
  <c r="H1822" i="16"/>
  <c r="N948" i="16"/>
  <c r="M948" i="16"/>
  <c r="K161" i="12"/>
  <c r="K36" i="7"/>
  <c r="K20" i="7"/>
  <c r="I125" i="14"/>
  <c r="I124" i="14" s="1"/>
  <c r="J76" i="13"/>
  <c r="J98" i="13" s="1"/>
  <c r="J157" i="10"/>
  <c r="J169" i="10" s="1"/>
  <c r="CW19" i="5"/>
  <c r="N191" i="10"/>
  <c r="N161" i="10" s="1"/>
  <c r="M161" i="10"/>
  <c r="I185" i="16"/>
  <c r="J56" i="25"/>
  <c r="H2558" i="16"/>
  <c r="I128" i="14"/>
  <c r="I127" i="14" s="1"/>
  <c r="J36" i="7"/>
  <c r="J20" i="7"/>
  <c r="N80" i="14"/>
  <c r="N91" i="14" s="1"/>
  <c r="AL91" i="14" s="1"/>
  <c r="N82" i="14"/>
  <c r="N92" i="14"/>
  <c r="J1820" i="16"/>
  <c r="L69" i="14"/>
  <c r="AM6" i="14"/>
  <c r="D2565" i="16"/>
  <c r="M6" i="16"/>
  <c r="G159" i="12"/>
  <c r="G160" i="12" s="1"/>
  <c r="CX7" i="5"/>
  <c r="H1821" i="16"/>
  <c r="F1806" i="16"/>
  <c r="K1804" i="16" s="1"/>
  <c r="K243" i="13"/>
  <c r="S188" i="13"/>
  <c r="K300" i="13" s="1"/>
  <c r="S115" i="13"/>
  <c r="K244" i="13" s="1"/>
  <c r="T188" i="13"/>
  <c r="L300" i="13" s="1"/>
  <c r="K208" i="13"/>
  <c r="L208" i="13" s="1"/>
  <c r="M208" i="13" s="1"/>
  <c r="N208" i="13" s="1"/>
  <c r="O208" i="13" s="1"/>
  <c r="P208" i="13" s="1"/>
  <c r="Q208" i="13" s="1"/>
  <c r="R208" i="13" s="1"/>
  <c r="S208" i="13" s="1"/>
  <c r="T208" i="13" s="1"/>
  <c r="U208" i="13" s="1"/>
  <c r="V208" i="13" s="1"/>
  <c r="W208" i="13" s="1"/>
  <c r="X208" i="13" s="1"/>
  <c r="Y208" i="13" s="1"/>
  <c r="Z208" i="13" s="1"/>
  <c r="AA208" i="13" s="1"/>
  <c r="AB208" i="13" s="1"/>
  <c r="AC208" i="13" s="1"/>
  <c r="AD208" i="13" s="1"/>
  <c r="AE208" i="13" s="1"/>
  <c r="AF208" i="13" s="1"/>
  <c r="J210" i="13"/>
  <c r="L91" i="14"/>
  <c r="AJ91" i="14" s="1"/>
  <c r="L101" i="14"/>
  <c r="L106" i="14" s="1"/>
  <c r="L111" i="14" s="1"/>
  <c r="L112" i="14" s="1"/>
  <c r="T126" i="10"/>
  <c r="S132" i="10"/>
  <c r="I153" i="10"/>
  <c r="I53" i="10"/>
  <c r="D1830" i="16"/>
  <c r="I1828" i="16" s="1"/>
  <c r="I264" i="16"/>
  <c r="C1482" i="16"/>
  <c r="N36" i="14"/>
  <c r="N37" i="14"/>
  <c r="N38" i="14" s="1"/>
  <c r="F1514" i="16" s="1"/>
  <c r="N35" i="14"/>
  <c r="F84" i="25"/>
  <c r="F92" i="25"/>
  <c r="F114" i="25" s="1"/>
  <c r="N129" i="10"/>
  <c r="I273" i="13"/>
  <c r="R150" i="13"/>
  <c r="K80" i="14"/>
  <c r="K92" i="14"/>
  <c r="D441" i="16"/>
  <c r="C410" i="16"/>
  <c r="D1016" i="16"/>
  <c r="I1017" i="16"/>
  <c r="O1" i="10"/>
  <c r="O225" i="10" s="1"/>
  <c r="F1477" i="16"/>
  <c r="F1484" i="16" s="1"/>
  <c r="N731" i="16"/>
  <c r="I90" i="14"/>
  <c r="I100" i="14"/>
  <c r="S137" i="10"/>
  <c r="R110" i="10"/>
  <c r="D481" i="16"/>
  <c r="D474" i="16"/>
  <c r="F132" i="12"/>
  <c r="F123" i="12"/>
  <c r="N50" i="14"/>
  <c r="E1145" i="16"/>
  <c r="I1145" i="16" s="1"/>
  <c r="U59" i="14"/>
  <c r="T61" i="14"/>
  <c r="J182" i="10"/>
  <c r="V193" i="10"/>
  <c r="L11" i="19"/>
  <c r="O213" i="13"/>
  <c r="H10" i="19"/>
  <c r="K197" i="13"/>
  <c r="K198" i="13"/>
  <c r="J76" i="12"/>
  <c r="J77" i="12" s="1"/>
  <c r="H93" i="12"/>
  <c r="R18" i="12"/>
  <c r="R14" i="12"/>
  <c r="M70" i="12"/>
  <c r="T58" i="10"/>
  <c r="H2500" i="16" s="1"/>
  <c r="U54" i="10"/>
  <c r="T68" i="10"/>
  <c r="Q314" i="10"/>
  <c r="Q315" i="10" s="1"/>
  <c r="Q291" i="10"/>
  <c r="Q305" i="10" s="1"/>
  <c r="Q14" i="12"/>
  <c r="Q18" i="12"/>
  <c r="Q21" i="12"/>
  <c r="Q22" i="12" s="1"/>
  <c r="G1129" i="16"/>
  <c r="C1128" i="16"/>
  <c r="G1128" i="16" s="1"/>
  <c r="L59" i="25"/>
  <c r="K143" i="12"/>
  <c r="H239" i="13"/>
  <c r="N182" i="10"/>
  <c r="Y59" i="5"/>
  <c r="Y61" i="5" s="1"/>
  <c r="Y22" i="18"/>
  <c r="D2210" i="16"/>
  <c r="D2228" i="16" s="1"/>
  <c r="E1766" i="16"/>
  <c r="E1787" i="16" s="1"/>
  <c r="F2238" i="16"/>
  <c r="F2244" i="16" s="1"/>
  <c r="G2237" i="16"/>
  <c r="K71" i="12"/>
  <c r="S185" i="10"/>
  <c r="N23" i="18"/>
  <c r="N24" i="18" s="1"/>
  <c r="F89" i="25"/>
  <c r="F95" i="25"/>
  <c r="D2557" i="16"/>
  <c r="J1821" i="16"/>
  <c r="E1830" i="16"/>
  <c r="J1827" i="16" s="1"/>
  <c r="H1381" i="16"/>
  <c r="I1375" i="16"/>
  <c r="H119" i="25"/>
  <c r="H112" i="25" s="1"/>
  <c r="H64" i="25"/>
  <c r="I2" i="25"/>
  <c r="N101" i="14"/>
  <c r="N106" i="14" s="1"/>
  <c r="N111" i="14" s="1"/>
  <c r="N112" i="14" s="1"/>
  <c r="V18" i="18"/>
  <c r="E138" i="14"/>
  <c r="E158" i="14"/>
  <c r="E2182" i="16"/>
  <c r="E512" i="16"/>
  <c r="E554" i="16" s="1"/>
  <c r="D1035" i="16"/>
  <c r="S76" i="10"/>
  <c r="S93" i="10"/>
  <c r="E475" i="16"/>
  <c r="E476" i="16"/>
  <c r="K153" i="10"/>
  <c r="K53" i="10"/>
  <c r="D1567" i="16"/>
  <c r="D1570" i="16" s="1"/>
  <c r="H1467" i="16"/>
  <c r="H1473" i="16"/>
  <c r="P1473" i="16"/>
  <c r="H1453" i="16"/>
  <c r="J100" i="14"/>
  <c r="J90" i="14"/>
  <c r="S128" i="10"/>
  <c r="S129" i="10" s="1"/>
  <c r="S138" i="10"/>
  <c r="S149" i="10"/>
  <c r="S108" i="10"/>
  <c r="T120" i="10"/>
  <c r="T147" i="10" s="1"/>
  <c r="S118" i="10"/>
  <c r="Q178" i="10"/>
  <c r="K37" i="14"/>
  <c r="K35" i="14"/>
  <c r="K36" i="14"/>
  <c r="E149" i="14"/>
  <c r="G76" i="25"/>
  <c r="H75" i="25"/>
  <c r="I22" i="22"/>
  <c r="Q272" i="10"/>
  <c r="L30" i="12"/>
  <c r="K29" i="12"/>
  <c r="K33" i="12" s="1"/>
  <c r="K44" i="12" s="1"/>
  <c r="N53" i="14"/>
  <c r="D187" i="14"/>
  <c r="E187" i="14" s="1"/>
  <c r="E185" i="14" s="1"/>
  <c r="J1822" i="16"/>
  <c r="AH47" i="14"/>
  <c r="AI45" i="14"/>
  <c r="E3134" i="3"/>
  <c r="E3125" i="3"/>
  <c r="E3130" i="3" s="1"/>
  <c r="S4" i="18"/>
  <c r="C173" i="12"/>
  <c r="C174" i="12" s="1"/>
  <c r="C176" i="12" s="1"/>
  <c r="H178" i="12"/>
  <c r="K229" i="13"/>
  <c r="K230" i="13" s="1"/>
  <c r="E153" i="16"/>
  <c r="E158" i="16"/>
  <c r="I84" i="13"/>
  <c r="G219" i="10"/>
  <c r="G220" i="10" s="1"/>
  <c r="Y65" i="5"/>
  <c r="Y19" i="5"/>
  <c r="Y70" i="5" s="1"/>
  <c r="AD213" i="5"/>
  <c r="AD21" i="5"/>
  <c r="AD71" i="5" s="1"/>
  <c r="Y24" i="5"/>
  <c r="AD23" i="5" s="1"/>
  <c r="DH19" i="5"/>
  <c r="I40" i="28" s="1"/>
  <c r="U346" i="5"/>
  <c r="G242" i="10"/>
  <c r="X21" i="5"/>
  <c r="X71" i="5" s="1"/>
  <c r="DH157" i="5"/>
  <c r="AO38" i="5"/>
  <c r="AO72" i="5" s="1"/>
  <c r="BA63" i="5"/>
  <c r="H240" i="10"/>
  <c r="H241" i="10" s="1"/>
  <c r="AI70" i="5"/>
  <c r="I65" i="28" s="1"/>
  <c r="AI21" i="5"/>
  <c r="Z7" i="5"/>
  <c r="Z24" i="5" s="1"/>
  <c r="AH71" i="5"/>
  <c r="BB63" i="5"/>
  <c r="AP271" i="5"/>
  <c r="V92" i="28" s="1"/>
  <c r="H72" i="5"/>
  <c r="BH71" i="5"/>
  <c r="H71" i="5"/>
  <c r="CN336" i="5"/>
  <c r="J91" i="5"/>
  <c r="J92" i="5" s="1"/>
  <c r="J94" i="5"/>
  <c r="DG172" i="5"/>
  <c r="AQ63" i="5"/>
  <c r="DV23" i="5"/>
  <c r="T43" i="28" s="1"/>
  <c r="AW25" i="5"/>
  <c r="DV21" i="5"/>
  <c r="T42" i="28" s="1"/>
  <c r="CS337" i="5"/>
  <c r="AI5" i="14"/>
  <c r="M199" i="16"/>
  <c r="G9" i="14"/>
  <c r="D203" i="16"/>
  <c r="O87" i="10"/>
  <c r="C2489" i="16" s="1"/>
  <c r="O72" i="10"/>
  <c r="O90" i="10" s="1"/>
  <c r="I12" i="14"/>
  <c r="H14" i="14"/>
  <c r="I15" i="14"/>
  <c r="BF167" i="5"/>
  <c r="BF174" i="5" s="1"/>
  <c r="BF188" i="5"/>
  <c r="BF72" i="5"/>
  <c r="AA67" i="28" s="1"/>
  <c r="EE38" i="5"/>
  <c r="EE21" i="5"/>
  <c r="K109" i="13"/>
  <c r="L109" i="13"/>
  <c r="K110" i="13"/>
  <c r="BF71" i="5"/>
  <c r="M72" i="5"/>
  <c r="CL38" i="5"/>
  <c r="EF21" i="5"/>
  <c r="AM38" i="5"/>
  <c r="AN187" i="5" s="1"/>
  <c r="DL36" i="5"/>
  <c r="AA94" i="5"/>
  <c r="AA91" i="5"/>
  <c r="AA92" i="5" s="1"/>
  <c r="BC70" i="5"/>
  <c r="Y65" i="28" s="1"/>
  <c r="BC40" i="5"/>
  <c r="BC36" i="5"/>
  <c r="EB34" i="5"/>
  <c r="EG34" i="5"/>
  <c r="AC167" i="5"/>
  <c r="AC72" i="5"/>
  <c r="D67" i="28" s="1"/>
  <c r="DB38" i="5"/>
  <c r="AL72" i="5"/>
  <c r="K67" i="28" s="1"/>
  <c r="AL167" i="5"/>
  <c r="DK38" i="5"/>
  <c r="AL49" i="5"/>
  <c r="F42" i="14"/>
  <c r="AF214" i="5"/>
  <c r="DE21" i="5"/>
  <c r="F42" i="28" s="1"/>
  <c r="DJ21" i="5"/>
  <c r="J42" i="28" s="1"/>
  <c r="L830" i="16"/>
  <c r="K830" i="16"/>
  <c r="J830" i="16"/>
  <c r="AW91" i="5"/>
  <c r="AW92" i="5" s="1"/>
  <c r="AW87" i="5"/>
  <c r="E62" i="14"/>
  <c r="N72" i="5"/>
  <c r="CM38" i="5"/>
  <c r="CS36" i="5"/>
  <c r="T38" i="5"/>
  <c r="CX38" i="5" s="1"/>
  <c r="O94" i="5"/>
  <c r="O91" i="5"/>
  <c r="O92" i="5" s="1"/>
  <c r="S141" i="18"/>
  <c r="S154" i="18" s="1"/>
  <c r="I271" i="10"/>
  <c r="E58" i="9"/>
  <c r="BG91" i="5"/>
  <c r="BG87" i="5"/>
  <c r="L1407" i="16"/>
  <c r="C1411" i="16"/>
  <c r="U36" i="5"/>
  <c r="U38" i="5" s="1"/>
  <c r="U40" i="5"/>
  <c r="L136" i="13"/>
  <c r="E34" i="14"/>
  <c r="E29" i="14"/>
  <c r="E81" i="14"/>
  <c r="E23" i="14"/>
  <c r="C257" i="16" s="1"/>
  <c r="E42" i="14"/>
  <c r="BC61" i="5"/>
  <c r="BC62" i="5" s="1"/>
  <c r="BC63" i="5" s="1"/>
  <c r="BC60" i="5"/>
  <c r="FS395" i="5"/>
  <c r="CR337" i="5"/>
  <c r="J110" i="13"/>
  <c r="J109" i="13"/>
  <c r="H86" i="14"/>
  <c r="CL21" i="5"/>
  <c r="S140" i="18"/>
  <c r="S153" i="18" s="1"/>
  <c r="K140" i="13"/>
  <c r="AB167" i="5"/>
  <c r="AB72" i="5"/>
  <c r="C67" i="28" s="1"/>
  <c r="DA38" i="5"/>
  <c r="AU271" i="5"/>
  <c r="Z92" i="28" s="1"/>
  <c r="DU21" i="5"/>
  <c r="S42" i="28" s="1"/>
  <c r="DU23" i="5"/>
  <c r="S43" i="28" s="1"/>
  <c r="AV25" i="5"/>
  <c r="G318" i="10"/>
  <c r="G319" i="10" s="1"/>
  <c r="AS61" i="5"/>
  <c r="AS62" i="5" s="1"/>
  <c r="AS63" i="5" s="1"/>
  <c r="DR59" i="5"/>
  <c r="M213" i="13"/>
  <c r="J11" i="19"/>
  <c r="AL187" i="5"/>
  <c r="AH72" i="5"/>
  <c r="H67" i="28" s="1"/>
  <c r="AH167" i="5"/>
  <c r="DG38" i="5"/>
  <c r="AU91" i="5"/>
  <c r="AU92" i="5" s="1"/>
  <c r="AU87" i="5"/>
  <c r="U19" i="5"/>
  <c r="U70" i="5" s="1"/>
  <c r="CT7" i="5"/>
  <c r="U65" i="5"/>
  <c r="BH91" i="5"/>
  <c r="BH87" i="5"/>
  <c r="AQ84" i="5"/>
  <c r="DP40" i="5"/>
  <c r="AD84" i="5"/>
  <c r="DC40" i="5"/>
  <c r="AV71" i="5"/>
  <c r="F86" i="14"/>
  <c r="N91" i="5"/>
  <c r="N92" i="5" s="1"/>
  <c r="N94" i="5"/>
  <c r="DL40" i="5"/>
  <c r="AM84" i="5"/>
  <c r="BD71" i="5"/>
  <c r="BD38" i="5"/>
  <c r="BD72" i="5" s="1"/>
  <c r="R141" i="18"/>
  <c r="R154" i="18" s="1"/>
  <c r="H271" i="10"/>
  <c r="D58" i="9"/>
  <c r="AI87" i="5"/>
  <c r="AI91" i="5"/>
  <c r="AI92" i="5" s="1"/>
  <c r="AX84" i="5"/>
  <c r="DU40" i="5"/>
  <c r="M214" i="5"/>
  <c r="AC187" i="5"/>
  <c r="X4" i="28" s="1"/>
  <c r="AR25" i="5"/>
  <c r="L34" i="21"/>
  <c r="L37" i="21" s="1"/>
  <c r="L38" i="21" s="1"/>
  <c r="P268" i="10"/>
  <c r="DC36" i="5"/>
  <c r="DH36" i="5"/>
  <c r="AD38" i="5"/>
  <c r="AG187" i="5" s="1"/>
  <c r="AA4" i="28" s="1"/>
  <c r="AK187" i="5"/>
  <c r="AG72" i="5"/>
  <c r="G67" i="28" s="1"/>
  <c r="AG167" i="5"/>
  <c r="DF38" i="5"/>
  <c r="L91" i="5"/>
  <c r="L92" i="5" s="1"/>
  <c r="L94" i="5"/>
  <c r="AS21" i="5"/>
  <c r="DW23" i="5" s="1"/>
  <c r="U43" i="28" s="1"/>
  <c r="DR19" i="5"/>
  <c r="Q40" i="28" s="1"/>
  <c r="R140" i="18"/>
  <c r="R153" i="18" s="1"/>
  <c r="J140" i="13"/>
  <c r="DZ23" i="5"/>
  <c r="DZ21" i="5"/>
  <c r="AF167" i="5"/>
  <c r="AI187" i="5"/>
  <c r="AC4" i="28" s="1"/>
  <c r="AF72" i="5"/>
  <c r="F67" i="28" s="1"/>
  <c r="DE38" i="5"/>
  <c r="BB91" i="5"/>
  <c r="BB92" i="5" s="1"/>
  <c r="BB87" i="5"/>
  <c r="DP36" i="5"/>
  <c r="I1651" i="16" s="1"/>
  <c r="AQ71" i="5"/>
  <c r="D1651" i="16"/>
  <c r="AQ38" i="5"/>
  <c r="DU38" i="5" s="1"/>
  <c r="AV167" i="5"/>
  <c r="AV174" i="5" s="1"/>
  <c r="AV72" i="5"/>
  <c r="S67" i="28" s="1"/>
  <c r="AG87" i="5"/>
  <c r="AG91" i="5"/>
  <c r="AG92" i="5" s="1"/>
  <c r="F59" i="14"/>
  <c r="F62" i="14"/>
  <c r="AV91" i="5"/>
  <c r="AV92" i="5" s="1"/>
  <c r="AV87" i="5"/>
  <c r="I110" i="13"/>
  <c r="I109" i="13"/>
  <c r="AW167" i="5"/>
  <c r="AW174" i="5" s="1"/>
  <c r="AW72" i="5"/>
  <c r="T67" i="28" s="1"/>
  <c r="S72" i="5"/>
  <c r="CR38" i="5"/>
  <c r="Y212" i="5"/>
  <c r="Y213" i="5" s="1"/>
  <c r="EA23" i="5"/>
  <c r="EA21" i="5"/>
  <c r="Q18" i="18"/>
  <c r="C212" i="16"/>
  <c r="C217" i="16" s="1"/>
  <c r="AB187" i="5"/>
  <c r="W4" i="28" s="1"/>
  <c r="CW38" i="5"/>
  <c r="H9" i="14"/>
  <c r="E203" i="16"/>
  <c r="AJ5" i="14"/>
  <c r="N199" i="16"/>
  <c r="FW374" i="5"/>
  <c r="FO420" i="5"/>
  <c r="CS19" i="5"/>
  <c r="T21" i="5"/>
  <c r="Y84" i="5"/>
  <c r="CX40" i="5"/>
  <c r="BB72" i="5"/>
  <c r="X67" i="28" s="1"/>
  <c r="BB167" i="5"/>
  <c r="EA38" i="5"/>
  <c r="S94" i="5"/>
  <c r="S91" i="5"/>
  <c r="S92" i="5" s="1"/>
  <c r="Q94" i="5"/>
  <c r="Q91" i="5"/>
  <c r="Q92" i="5" s="1"/>
  <c r="DF21" i="5"/>
  <c r="G42" i="28" s="1"/>
  <c r="F48" i="14"/>
  <c r="F56" i="14"/>
  <c r="G56" i="14" s="1"/>
  <c r="H56" i="14" s="1"/>
  <c r="F24" i="14"/>
  <c r="D258" i="16" s="1"/>
  <c r="AX71" i="5"/>
  <c r="AX38" i="5"/>
  <c r="BA187" i="5" s="1"/>
  <c r="H1640" i="16"/>
  <c r="Z36" i="5"/>
  <c r="Z38" i="5" s="1"/>
  <c r="Z40" i="5"/>
  <c r="AU72" i="5"/>
  <c r="R67" i="28" s="1"/>
  <c r="AU167" i="5"/>
  <c r="AU174" i="5" s="1"/>
  <c r="DT38" i="5"/>
  <c r="BA71" i="5"/>
  <c r="DY38" i="5"/>
  <c r="DM157" i="5"/>
  <c r="E316" i="16"/>
  <c r="E317" i="16" s="1"/>
  <c r="H109" i="13"/>
  <c r="H110" i="13"/>
  <c r="AQ25" i="5"/>
  <c r="DP23" i="5" s="1"/>
  <c r="O43" i="28" s="1"/>
  <c r="DP21" i="5"/>
  <c r="O42" i="28" s="1"/>
  <c r="D1642" i="16"/>
  <c r="I9" i="14"/>
  <c r="F203" i="16"/>
  <c r="AK5" i="14"/>
  <c r="DW19" i="5"/>
  <c r="U40" i="28" s="1"/>
  <c r="P18" i="18"/>
  <c r="AZ91" i="5"/>
  <c r="AZ92" i="5" s="1"/>
  <c r="AZ87" i="5"/>
  <c r="I228" i="10"/>
  <c r="H229" i="10"/>
  <c r="H276" i="10"/>
  <c r="DT23" i="5"/>
  <c r="R43" i="28" s="1"/>
  <c r="AU25" i="5"/>
  <c r="DT21" i="5"/>
  <c r="R42" i="28" s="1"/>
  <c r="AP167" i="5"/>
  <c r="AP72" i="5"/>
  <c r="N67" i="28" s="1"/>
  <c r="DO38" i="5"/>
  <c r="H1653" i="16" s="1"/>
  <c r="C1653" i="16"/>
  <c r="F34" i="14"/>
  <c r="F81" i="14"/>
  <c r="F23" i="14"/>
  <c r="D257" i="16" s="1"/>
  <c r="DY23" i="5"/>
  <c r="DY21" i="5"/>
  <c r="ED21" i="5"/>
  <c r="AY71" i="5"/>
  <c r="AY38" i="5"/>
  <c r="AY72" i="5" s="1"/>
  <c r="DZ38" i="5"/>
  <c r="Q72" i="5"/>
  <c r="CP38" i="5"/>
  <c r="D312" i="16"/>
  <c r="G11" i="14"/>
  <c r="DK21" i="5"/>
  <c r="K42" i="28" s="1"/>
  <c r="AK72" i="5"/>
  <c r="J67" i="28" s="1"/>
  <c r="AK167" i="5"/>
  <c r="DJ38" i="5"/>
  <c r="AK49" i="5"/>
  <c r="BE167" i="5"/>
  <c r="BE174" i="5" s="1"/>
  <c r="BE188" i="5"/>
  <c r="BE72" i="5"/>
  <c r="Z67" i="28" s="1"/>
  <c r="ED38" i="5"/>
  <c r="BH187" i="5"/>
  <c r="DC211" i="5"/>
  <c r="AU71" i="5"/>
  <c r="AW71" i="5"/>
  <c r="BE91" i="5"/>
  <c r="BE87" i="5"/>
  <c r="H275" i="10"/>
  <c r="H269" i="10"/>
  <c r="T70" i="5"/>
  <c r="AR84" i="5"/>
  <c r="DQ40" i="5"/>
  <c r="AZ72" i="5"/>
  <c r="V67" i="28" s="1"/>
  <c r="CU337" i="5"/>
  <c r="J226" i="10"/>
  <c r="I262" i="10"/>
  <c r="Z340" i="5" s="1"/>
  <c r="Z301" i="5"/>
  <c r="Z109" i="5"/>
  <c r="AA187" i="5"/>
  <c r="V4" i="28" s="1"/>
  <c r="CV38" i="5"/>
  <c r="W91" i="5"/>
  <c r="W92" i="5" s="1"/>
  <c r="W94" i="5"/>
  <c r="G86" i="14"/>
  <c r="I1640" i="16"/>
  <c r="CQ38" i="5"/>
  <c r="R72" i="5"/>
  <c r="AX25" i="5"/>
  <c r="AZ63" i="5"/>
  <c r="I230" i="10"/>
  <c r="H231" i="10"/>
  <c r="V94" i="5"/>
  <c r="V91" i="5"/>
  <c r="V92" i="5" s="1"/>
  <c r="AH5" i="14"/>
  <c r="L199" i="16"/>
  <c r="F9" i="14"/>
  <c r="C203" i="16"/>
  <c r="AL87" i="5"/>
  <c r="AL91" i="5"/>
  <c r="AL92" i="5" s="1"/>
  <c r="AL95" i="5"/>
  <c r="F159" i="12"/>
  <c r="G17" i="14"/>
  <c r="AE71" i="5"/>
  <c r="AE38" i="5"/>
  <c r="AE72" i="5" s="1"/>
  <c r="P71" i="5"/>
  <c r="P38" i="5"/>
  <c r="P72" i="5" s="1"/>
  <c r="CN38" i="5"/>
  <c r="O72" i="5"/>
  <c r="X94" i="5"/>
  <c r="X91" i="5"/>
  <c r="X92" i="5" s="1"/>
  <c r="CV337" i="5"/>
  <c r="G269" i="10"/>
  <c r="CM337" i="5"/>
  <c r="AP25" i="5"/>
  <c r="DO21" i="5"/>
  <c r="N42" i="28" s="1"/>
  <c r="C1642" i="16"/>
  <c r="BI263" i="5"/>
  <c r="BJ140" i="5" s="1"/>
  <c r="T84" i="5"/>
  <c r="CS40" i="5"/>
  <c r="AR71" i="5"/>
  <c r="DQ36" i="5"/>
  <c r="AR38" i="5"/>
  <c r="O250" i="10" l="1"/>
  <c r="O251" i="10" s="1"/>
  <c r="AD198" i="18"/>
  <c r="AD182" i="18"/>
  <c r="AD197" i="18"/>
  <c r="AE42" i="28"/>
  <c r="EB21" i="5"/>
  <c r="Y42" i="28" s="1"/>
  <c r="E4" i="30"/>
  <c r="AE37" i="7"/>
  <c r="AC57" i="10"/>
  <c r="AB89" i="10"/>
  <c r="R181" i="25"/>
  <c r="Q28" i="21"/>
  <c r="R22" i="21"/>
  <c r="X582" i="1"/>
  <c r="T50" i="26"/>
  <c r="T57" i="26" s="1"/>
  <c r="O207" i="1"/>
  <c r="O220" i="1" s="1"/>
  <c r="O222" i="1" s="1"/>
  <c r="O119" i="1"/>
  <c r="O125" i="1"/>
  <c r="P119" i="1"/>
  <c r="P207" i="1"/>
  <c r="P220" i="1" s="1"/>
  <c r="P222" i="1" s="1"/>
  <c r="P125" i="1"/>
  <c r="N237" i="1"/>
  <c r="O236" i="1"/>
  <c r="J119" i="1"/>
  <c r="J125" i="1"/>
  <c r="E733" i="16" s="1"/>
  <c r="J207" i="1"/>
  <c r="P109" i="18" s="1"/>
  <c r="L140" i="1"/>
  <c r="L64" i="1"/>
  <c r="L68" i="1"/>
  <c r="Q476" i="1"/>
  <c r="P476" i="1"/>
  <c r="P477" i="1"/>
  <c r="L75" i="1"/>
  <c r="L116" i="1"/>
  <c r="L117" i="1" s="1"/>
  <c r="N48" i="1"/>
  <c r="N43" i="1"/>
  <c r="M48" i="1"/>
  <c r="M43" i="1"/>
  <c r="N64" i="1"/>
  <c r="M64" i="1"/>
  <c r="M68" i="1"/>
  <c r="M140" i="1"/>
  <c r="M138" i="1" s="1"/>
  <c r="N125" i="1"/>
  <c r="I733" i="16" s="1"/>
  <c r="N119" i="1"/>
  <c r="N207" i="1"/>
  <c r="N220" i="1" s="1"/>
  <c r="N222" i="1" s="1"/>
  <c r="L381" i="1"/>
  <c r="L387" i="1" s="1"/>
  <c r="L136" i="1"/>
  <c r="M381" i="1"/>
  <c r="M387" i="1" s="1"/>
  <c r="M136" i="1"/>
  <c r="N136" i="1"/>
  <c r="K501" i="1"/>
  <c r="K508" i="1" s="1"/>
  <c r="K145" i="1"/>
  <c r="K154" i="1" s="1"/>
  <c r="K161" i="1" s="1"/>
  <c r="N587" i="1"/>
  <c r="N594" i="1"/>
  <c r="M116" i="1"/>
  <c r="M117" i="1" s="1"/>
  <c r="M75" i="1"/>
  <c r="O477" i="1"/>
  <c r="O476" i="1"/>
  <c r="N477" i="1"/>
  <c r="N476" i="1"/>
  <c r="O257" i="1"/>
  <c r="N258" i="1"/>
  <c r="J145" i="1"/>
  <c r="J154" i="1" s="1"/>
  <c r="J161" i="1" s="1"/>
  <c r="J501" i="1"/>
  <c r="J508" i="1" s="1"/>
  <c r="J390" i="1"/>
  <c r="J392" i="1"/>
  <c r="J396" i="1" s="1"/>
  <c r="O594" i="1"/>
  <c r="O587" i="1"/>
  <c r="K390" i="1"/>
  <c r="K392" i="1"/>
  <c r="K396" i="1" s="1"/>
  <c r="P594" i="1"/>
  <c r="P587" i="1"/>
  <c r="K207" i="1"/>
  <c r="K119" i="1"/>
  <c r="K125" i="1"/>
  <c r="K149" i="10"/>
  <c r="K254" i="10" s="1"/>
  <c r="K124" i="10"/>
  <c r="L124" i="10"/>
  <c r="K187" i="10"/>
  <c r="K169" i="10"/>
  <c r="L169" i="10"/>
  <c r="I10" i="19"/>
  <c r="L178" i="13"/>
  <c r="L198" i="13"/>
  <c r="L197" i="13"/>
  <c r="L228" i="13"/>
  <c r="L229" i="13" s="1"/>
  <c r="L230" i="13" s="1"/>
  <c r="L212" i="13"/>
  <c r="L213" i="13" s="1"/>
  <c r="I12" i="19" s="1"/>
  <c r="E314" i="16"/>
  <c r="V22" i="18"/>
  <c r="F51" i="9"/>
  <c r="J732" i="16"/>
  <c r="D2183" i="16"/>
  <c r="X112" i="18"/>
  <c r="X182" i="18"/>
  <c r="U112" i="18"/>
  <c r="U182" i="18"/>
  <c r="E464" i="16"/>
  <c r="U181" i="18"/>
  <c r="V112" i="18"/>
  <c r="V182" i="18"/>
  <c r="W112" i="18"/>
  <c r="W182" i="18"/>
  <c r="W188" i="18" s="1"/>
  <c r="W192" i="18" s="1"/>
  <c r="W195" i="18" s="1"/>
  <c r="Y112" i="18"/>
  <c r="Y182" i="18"/>
  <c r="P33" i="7"/>
  <c r="E1554" i="16" s="1"/>
  <c r="Y181" i="18"/>
  <c r="AA180" i="18"/>
  <c r="Y46" i="29"/>
  <c r="F149" i="12"/>
  <c r="F136" i="12"/>
  <c r="F135" i="12" s="1"/>
  <c r="H2579" i="16"/>
  <c r="C154" i="14"/>
  <c r="F167" i="25"/>
  <c r="E124" i="12"/>
  <c r="E166" i="25"/>
  <c r="E248" i="25" s="1"/>
  <c r="E168" i="25"/>
  <c r="O39" i="14"/>
  <c r="E243" i="25"/>
  <c r="C1777" i="16"/>
  <c r="C1778" i="16" s="1"/>
  <c r="E58" i="14"/>
  <c r="E59" i="14" s="1"/>
  <c r="F60" i="14" s="1"/>
  <c r="D157" i="12"/>
  <c r="D158" i="12" s="1"/>
  <c r="E161" i="12" s="1"/>
  <c r="D147" i="12"/>
  <c r="S159" i="13"/>
  <c r="T159" i="13" s="1"/>
  <c r="J283" i="13"/>
  <c r="G140" i="12"/>
  <c r="H54" i="13"/>
  <c r="H82" i="13" s="1"/>
  <c r="H95" i="13" s="1"/>
  <c r="E242" i="16" s="1"/>
  <c r="C479" i="16"/>
  <c r="L343" i="10"/>
  <c r="M345" i="10"/>
  <c r="C8" i="21"/>
  <c r="C7" i="21" s="1"/>
  <c r="H81" i="13"/>
  <c r="S124" i="13"/>
  <c r="J258" i="13"/>
  <c r="G78" i="14"/>
  <c r="G84" i="14" s="1"/>
  <c r="G89" i="14" s="1"/>
  <c r="G94" i="14" s="1"/>
  <c r="G99" i="14" s="1"/>
  <c r="G104" i="14" s="1"/>
  <c r="G109" i="14" s="1"/>
  <c r="G81" i="13"/>
  <c r="F53" i="13"/>
  <c r="F81" i="13" s="1"/>
  <c r="K165" i="10"/>
  <c r="K195" i="10" s="1"/>
  <c r="G2243" i="16"/>
  <c r="C137" i="14"/>
  <c r="C220" i="14" s="1"/>
  <c r="C221" i="14" s="1"/>
  <c r="O23" i="18"/>
  <c r="O24" i="18" s="1"/>
  <c r="C215" i="14"/>
  <c r="C216" i="14" s="1"/>
  <c r="C172" i="14"/>
  <c r="C173" i="14" s="1"/>
  <c r="P54" i="9"/>
  <c r="K139" i="10"/>
  <c r="K151" i="10" s="1"/>
  <c r="K119" i="10"/>
  <c r="K146" i="10" s="1"/>
  <c r="L732" i="16"/>
  <c r="O109" i="18"/>
  <c r="R109" i="10"/>
  <c r="Q136" i="10"/>
  <c r="R136" i="10" s="1"/>
  <c r="Q119" i="10"/>
  <c r="Q146" i="10" s="1"/>
  <c r="J102" i="25"/>
  <c r="J116" i="25" s="1"/>
  <c r="G2548" i="16"/>
  <c r="M301" i="10"/>
  <c r="G1694" i="16" s="1"/>
  <c r="M292" i="10"/>
  <c r="M293" i="10" s="1"/>
  <c r="O51" i="7"/>
  <c r="H197" i="13"/>
  <c r="G2790" i="16"/>
  <c r="T42" i="7"/>
  <c r="T50" i="7" s="1"/>
  <c r="L317" i="10"/>
  <c r="L318" i="10" s="1"/>
  <c r="L319" i="10" s="1"/>
  <c r="H49" i="9"/>
  <c r="J38" i="25"/>
  <c r="J115" i="25" s="1"/>
  <c r="I44" i="25"/>
  <c r="I62" i="25" s="1"/>
  <c r="I122" i="25" s="1"/>
  <c r="G2564" i="16" s="1"/>
  <c r="G2547" i="16"/>
  <c r="I215" i="13"/>
  <c r="I216" i="13" s="1"/>
  <c r="I217" i="13" s="1"/>
  <c r="K447" i="1" s="1"/>
  <c r="M294" i="10"/>
  <c r="H62" i="25"/>
  <c r="H122" i="25" s="1"/>
  <c r="F2564" i="16" s="1"/>
  <c r="D214" i="14"/>
  <c r="Y197" i="18"/>
  <c r="L301" i="10"/>
  <c r="F1694" i="16" s="1"/>
  <c r="E23" i="22"/>
  <c r="L305" i="10"/>
  <c r="L306" i="10" s="1"/>
  <c r="F1695" i="16" s="1"/>
  <c r="D23" i="22"/>
  <c r="I130" i="14"/>
  <c r="I134" i="14" s="1"/>
  <c r="E172" i="14" s="1"/>
  <c r="M305" i="10"/>
  <c r="M306" i="10" s="1"/>
  <c r="G1695" i="16" s="1"/>
  <c r="W23" i="18"/>
  <c r="D141" i="14"/>
  <c r="D143" i="14" s="1"/>
  <c r="D144" i="14" s="1"/>
  <c r="D136" i="14" s="1"/>
  <c r="D219" i="14" s="1"/>
  <c r="D130" i="14"/>
  <c r="D134" i="14" s="1"/>
  <c r="D172" i="14" s="1"/>
  <c r="D173" i="14" s="1"/>
  <c r="C1595" i="16"/>
  <c r="L733" i="16"/>
  <c r="L51" i="7"/>
  <c r="C1553" i="16"/>
  <c r="N14" i="18"/>
  <c r="E10" i="19"/>
  <c r="W109" i="18"/>
  <c r="N33" i="7"/>
  <c r="C647" i="16" s="1"/>
  <c r="C652" i="16" s="1"/>
  <c r="G2545" i="16"/>
  <c r="I113" i="25"/>
  <c r="BS261" i="5"/>
  <c r="BT271" i="5" s="1"/>
  <c r="AT92" i="28" s="1"/>
  <c r="BH92" i="5"/>
  <c r="L20" i="7"/>
  <c r="BG92" i="5"/>
  <c r="C2763" i="16"/>
  <c r="O2763" i="16" s="1"/>
  <c r="C2794" i="16"/>
  <c r="O2788" i="16"/>
  <c r="Y2788" i="16"/>
  <c r="C480" i="16"/>
  <c r="C476" i="16"/>
  <c r="I1057" i="16"/>
  <c r="D1057" i="16" s="1"/>
  <c r="E1142" i="16"/>
  <c r="I1142" i="16" s="1"/>
  <c r="E1030" i="16"/>
  <c r="J1030" i="16" s="1"/>
  <c r="D1142" i="16"/>
  <c r="H1142" i="16" s="1"/>
  <c r="C475" i="16"/>
  <c r="AD16" i="29"/>
  <c r="AF42" i="28"/>
  <c r="R120" i="28"/>
  <c r="BX90" i="28"/>
  <c r="BX93" i="28" s="1"/>
  <c r="AS38" i="5"/>
  <c r="AS167" i="5" s="1"/>
  <c r="AD46" i="29"/>
  <c r="N46" i="29"/>
  <c r="AI47" i="14"/>
  <c r="H523" i="16"/>
  <c r="H565" i="16" s="1"/>
  <c r="DR36" i="5"/>
  <c r="M229" i="13"/>
  <c r="M230" i="13" s="1"/>
  <c r="AJ178" i="5"/>
  <c r="C1066" i="16"/>
  <c r="D1455" i="16"/>
  <c r="D1470" i="16" s="1"/>
  <c r="BF92" i="5"/>
  <c r="B1229" i="16"/>
  <c r="H325" i="10"/>
  <c r="D1453" i="16"/>
  <c r="E12" i="19"/>
  <c r="D1769" i="16"/>
  <c r="J82" i="13"/>
  <c r="J95" i="13" s="1"/>
  <c r="G242" i="16" s="1"/>
  <c r="J57" i="13"/>
  <c r="J66" i="13" s="1"/>
  <c r="J92" i="13" s="1"/>
  <c r="J85" i="13" s="1"/>
  <c r="D1468" i="16"/>
  <c r="L1474" i="16"/>
  <c r="H1828" i="16"/>
  <c r="W114" i="13"/>
  <c r="W188" i="13" s="1"/>
  <c r="E1049" i="16"/>
  <c r="O30" i="18"/>
  <c r="H1829" i="16"/>
  <c r="H2" i="14"/>
  <c r="AJ4" i="14" s="1"/>
  <c r="K292" i="10"/>
  <c r="L293" i="10" s="1"/>
  <c r="C1769" i="16"/>
  <c r="G523" i="16"/>
  <c r="G565" i="16" s="1"/>
  <c r="C2229" i="16"/>
  <c r="C2212" i="16"/>
  <c r="F52" i="7"/>
  <c r="C1772" i="16"/>
  <c r="I1772" i="16" s="1"/>
  <c r="CE56" i="28"/>
  <c r="G1474" i="16"/>
  <c r="C1468" i="16"/>
  <c r="C1453" i="16"/>
  <c r="C1455" i="16"/>
  <c r="C1470" i="16" s="1"/>
  <c r="K1474" i="16"/>
  <c r="G8" i="21"/>
  <c r="O15" i="18"/>
  <c r="D2546" i="16"/>
  <c r="D2549" i="16" s="1"/>
  <c r="D2553" i="16" s="1"/>
  <c r="F117" i="25"/>
  <c r="O54" i="7"/>
  <c r="H1827" i="16"/>
  <c r="J1799" i="16"/>
  <c r="C23" i="22"/>
  <c r="K294" i="10"/>
  <c r="I732" i="16"/>
  <c r="L294" i="10"/>
  <c r="D1023" i="16"/>
  <c r="I1023" i="16" s="1"/>
  <c r="K301" i="10"/>
  <c r="E1694" i="16" s="1"/>
  <c r="DR40" i="5"/>
  <c r="CX19" i="5"/>
  <c r="W43" i="28"/>
  <c r="W42" i="28"/>
  <c r="V23" i="18"/>
  <c r="Z43" i="28"/>
  <c r="Z42" i="28"/>
  <c r="AA42" i="28"/>
  <c r="AA43" i="28"/>
  <c r="V43" i="28"/>
  <c r="V42" i="28"/>
  <c r="X43" i="28"/>
  <c r="X42" i="28"/>
  <c r="AB42" i="28"/>
  <c r="AB43" i="28"/>
  <c r="EG21" i="5"/>
  <c r="C1030" i="16"/>
  <c r="H1030" i="16" s="1"/>
  <c r="CN337" i="5"/>
  <c r="E124" i="25"/>
  <c r="E128" i="25" s="1"/>
  <c r="C2570" i="16" s="1"/>
  <c r="F98" i="25"/>
  <c r="F121" i="25" s="1"/>
  <c r="D2563" i="16" s="1"/>
  <c r="L207" i="10"/>
  <c r="L210" i="10" s="1"/>
  <c r="H11" i="21" s="1"/>
  <c r="D523" i="16"/>
  <c r="D565" i="16" s="1"/>
  <c r="F562" i="16"/>
  <c r="F523" i="16"/>
  <c r="F565" i="16" s="1"/>
  <c r="C1059" i="16"/>
  <c r="C1062" i="16" s="1"/>
  <c r="D1056" i="16"/>
  <c r="BJ273" i="5"/>
  <c r="AL93" i="28" s="1"/>
  <c r="C1142" i="16"/>
  <c r="G1142" i="16" s="1"/>
  <c r="C240" i="14"/>
  <c r="E345" i="16"/>
  <c r="E357" i="16" s="1"/>
  <c r="DW40" i="5"/>
  <c r="M200" i="13"/>
  <c r="J301" i="10"/>
  <c r="D1694" i="16" s="1"/>
  <c r="M198" i="13"/>
  <c r="J305" i="10"/>
  <c r="J323" i="10" s="1"/>
  <c r="J321" i="10" s="1"/>
  <c r="J10" i="19"/>
  <c r="J292" i="10"/>
  <c r="V149" i="18"/>
  <c r="V155" i="18" s="1"/>
  <c r="G174" i="18" s="1"/>
  <c r="D782" i="16"/>
  <c r="D799" i="16" s="1"/>
  <c r="C1049" i="16"/>
  <c r="G1137" i="16"/>
  <c r="E2183" i="16"/>
  <c r="E522" i="16"/>
  <c r="E564" i="16" s="1"/>
  <c r="D1045" i="16"/>
  <c r="D1049" i="16" s="1"/>
  <c r="C1140" i="16"/>
  <c r="G1140" i="16" s="1"/>
  <c r="M26" i="7"/>
  <c r="C523" i="16"/>
  <c r="C565" i="16" s="1"/>
  <c r="D1026" i="16"/>
  <c r="I1026" i="16" s="1"/>
  <c r="AC214" i="5"/>
  <c r="Z84" i="5"/>
  <c r="G54" i="7"/>
  <c r="E732" i="16"/>
  <c r="W72" i="5"/>
  <c r="J136" i="13"/>
  <c r="DA21" i="5"/>
  <c r="C42" i="28" s="1"/>
  <c r="CV21" i="5"/>
  <c r="AB214" i="5"/>
  <c r="X214" i="5"/>
  <c r="B47" i="28" s="1"/>
  <c r="W214" i="5"/>
  <c r="DQ23" i="5"/>
  <c r="P43" i="28" s="1"/>
  <c r="AM71" i="5"/>
  <c r="DQ21" i="5"/>
  <c r="P42" i="28" s="1"/>
  <c r="AM187" i="5"/>
  <c r="G24" i="7"/>
  <c r="P19" i="18"/>
  <c r="I18" i="14"/>
  <c r="I241" i="10"/>
  <c r="I1022" i="16"/>
  <c r="D1028" i="16"/>
  <c r="I1028" i="16" s="1"/>
  <c r="G1139" i="16"/>
  <c r="C1144" i="16"/>
  <c r="G1144" i="16" s="1"/>
  <c r="N212" i="13"/>
  <c r="N178" i="13"/>
  <c r="N228" i="13"/>
  <c r="N229" i="13" s="1"/>
  <c r="N230" i="13" s="1"/>
  <c r="H51" i="9"/>
  <c r="H22" i="14"/>
  <c r="H42" i="14" s="1"/>
  <c r="Y21" i="5"/>
  <c r="Y72" i="5" s="1"/>
  <c r="DC19" i="5"/>
  <c r="E40" i="28" s="1"/>
  <c r="G158" i="12"/>
  <c r="H161" i="12" s="1"/>
  <c r="E139" i="25"/>
  <c r="C2585" i="16" s="1"/>
  <c r="D490" i="16"/>
  <c r="H1140" i="16"/>
  <c r="D1145" i="16"/>
  <c r="H1145" i="16" s="1"/>
  <c r="F475" i="16"/>
  <c r="F476" i="16"/>
  <c r="F146" i="16"/>
  <c r="F141" i="16"/>
  <c r="F145" i="16"/>
  <c r="F162" i="16" s="1"/>
  <c r="N140" i="16"/>
  <c r="F143" i="16"/>
  <c r="F144" i="16"/>
  <c r="X72" i="5"/>
  <c r="CW21" i="5"/>
  <c r="C481" i="16"/>
  <c r="D475" i="16"/>
  <c r="M83" i="12"/>
  <c r="D2212" i="16"/>
  <c r="F153" i="16"/>
  <c r="F158" i="16"/>
  <c r="Z19" i="5"/>
  <c r="Z70" i="5" s="1"/>
  <c r="F170" i="16"/>
  <c r="F173" i="16"/>
  <c r="F174" i="16"/>
  <c r="F175" i="16" s="1"/>
  <c r="BE92" i="5"/>
  <c r="DB21" i="5"/>
  <c r="D42" i="28" s="1"/>
  <c r="K76" i="12"/>
  <c r="L76" i="12" s="1"/>
  <c r="M76" i="12" s="1"/>
  <c r="N76" i="12" s="1"/>
  <c r="O76" i="12" s="1"/>
  <c r="P76" i="12" s="1"/>
  <c r="Q76" i="12" s="1"/>
  <c r="R76" i="12" s="1"/>
  <c r="M342" i="10"/>
  <c r="D53" i="9"/>
  <c r="T119" i="18"/>
  <c r="K15" i="7"/>
  <c r="C107" i="16" s="1"/>
  <c r="C113" i="16" s="1"/>
  <c r="T7" i="18"/>
  <c r="T25" i="18" s="1"/>
  <c r="D479" i="16"/>
  <c r="F484" i="16"/>
  <c r="F485" i="16" s="1"/>
  <c r="L33" i="7"/>
  <c r="C785" i="16" s="1"/>
  <c r="C801" i="16" s="1"/>
  <c r="I1101" i="16"/>
  <c r="G1102" i="16"/>
  <c r="H1102" i="16" s="1"/>
  <c r="H611" i="16"/>
  <c r="G655" i="16"/>
  <c r="G680" i="16" s="1"/>
  <c r="C1080" i="16"/>
  <c r="P90" i="12"/>
  <c r="O14" i="18"/>
  <c r="F1079" i="16"/>
  <c r="E1080" i="16"/>
  <c r="L952" i="16"/>
  <c r="M946" i="16"/>
  <c r="M952" i="16" s="1"/>
  <c r="T209" i="10"/>
  <c r="U101" i="10"/>
  <c r="F1958" i="16"/>
  <c r="H1954" i="16"/>
  <c r="H1958" i="16" s="1"/>
  <c r="H81" i="25"/>
  <c r="G105" i="25"/>
  <c r="L133" i="25"/>
  <c r="I2579" i="16"/>
  <c r="H51" i="7"/>
  <c r="Q115" i="18"/>
  <c r="G2238" i="16"/>
  <c r="G2244" i="16" s="1"/>
  <c r="H2237" i="16"/>
  <c r="H504" i="16"/>
  <c r="H525" i="16" s="1"/>
  <c r="H546" i="16" s="1"/>
  <c r="G525" i="16"/>
  <c r="G546" i="16" s="1"/>
  <c r="G264" i="13"/>
  <c r="O105" i="13"/>
  <c r="O132" i="13" s="1"/>
  <c r="C1668" i="16"/>
  <c r="X115" i="18"/>
  <c r="I286" i="13"/>
  <c r="R162" i="13"/>
  <c r="Q163" i="13"/>
  <c r="I287" i="13" s="1"/>
  <c r="O306" i="10"/>
  <c r="I1695" i="16" s="1"/>
  <c r="X86" i="10"/>
  <c r="G222" i="10"/>
  <c r="H221" i="10"/>
  <c r="F2565" i="16"/>
  <c r="C161" i="14"/>
  <c r="C162" i="14" s="1"/>
  <c r="C226" i="14"/>
  <c r="E327" i="16"/>
  <c r="E339" i="16" s="1"/>
  <c r="C2733" i="16"/>
  <c r="G683" i="16"/>
  <c r="G684" i="16" s="1"/>
  <c r="H2468" i="3"/>
  <c r="H2469" i="3" s="1"/>
  <c r="I2469" i="3" s="1"/>
  <c r="K38" i="14"/>
  <c r="C1514" i="16" s="1"/>
  <c r="K39" i="14"/>
  <c r="H126" i="25"/>
  <c r="F2568" i="16" s="1"/>
  <c r="F2561" i="16"/>
  <c r="F2544" i="16" s="1"/>
  <c r="F2555" i="16" s="1"/>
  <c r="T185" i="10"/>
  <c r="D484" i="16"/>
  <c r="D485" i="16" s="1"/>
  <c r="K1806" i="16"/>
  <c r="K1798" i="16"/>
  <c r="K1797" i="16"/>
  <c r="K1802" i="16"/>
  <c r="K1801" i="16"/>
  <c r="K1805" i="16"/>
  <c r="K1803" i="16"/>
  <c r="K1800" i="16"/>
  <c r="M162" i="10"/>
  <c r="M192" i="10" s="1"/>
  <c r="M325" i="10"/>
  <c r="M205" i="10"/>
  <c r="R20" i="18"/>
  <c r="C160" i="12"/>
  <c r="C158" i="12"/>
  <c r="H67" i="10"/>
  <c r="H85" i="10"/>
  <c r="D464" i="16"/>
  <c r="C108" i="16"/>
  <c r="K200" i="25"/>
  <c r="L199" i="25"/>
  <c r="Q72" i="13"/>
  <c r="L220" i="10"/>
  <c r="K222" i="10"/>
  <c r="N153" i="10"/>
  <c r="N53" i="10"/>
  <c r="V201" i="10"/>
  <c r="E1568" i="16"/>
  <c r="E1569" i="16" s="1"/>
  <c r="H260" i="13"/>
  <c r="P129" i="13"/>
  <c r="Q126" i="13"/>
  <c r="P122" i="13"/>
  <c r="P130" i="13"/>
  <c r="P133" i="13" s="1"/>
  <c r="P128" i="13"/>
  <c r="S57" i="13"/>
  <c r="S58" i="13" s="1"/>
  <c r="T56" i="13"/>
  <c r="E1047" i="16"/>
  <c r="J1047" i="16" s="1"/>
  <c r="P1047" i="16" s="1"/>
  <c r="Y54" i="13"/>
  <c r="V206" i="10"/>
  <c r="Z45" i="29" s="1"/>
  <c r="Z46" i="29" s="1"/>
  <c r="L38" i="14"/>
  <c r="D1514" i="16" s="1"/>
  <c r="L39" i="14"/>
  <c r="M40" i="14" s="1"/>
  <c r="U93" i="13"/>
  <c r="C152" i="14"/>
  <c r="C227" i="14" s="1"/>
  <c r="O10" i="7"/>
  <c r="D650" i="16"/>
  <c r="D174" i="16"/>
  <c r="D167" i="16"/>
  <c r="L199" i="10"/>
  <c r="L200" i="10" s="1"/>
  <c r="R22" i="12"/>
  <c r="K76" i="13"/>
  <c r="K98" i="13" s="1"/>
  <c r="I79" i="25"/>
  <c r="H78" i="25"/>
  <c r="O336" i="10"/>
  <c r="F67" i="10"/>
  <c r="F85" i="10"/>
  <c r="Q21" i="18"/>
  <c r="W151" i="10"/>
  <c r="J36" i="12"/>
  <c r="G256" i="13"/>
  <c r="O160" i="13"/>
  <c r="G284" i="13" s="1"/>
  <c r="O123" i="13"/>
  <c r="X135" i="10"/>
  <c r="DW21" i="5"/>
  <c r="U42" i="28" s="1"/>
  <c r="H242" i="10"/>
  <c r="R178" i="10"/>
  <c r="D1039" i="16"/>
  <c r="D1037" i="16"/>
  <c r="I1037" i="16" s="1"/>
  <c r="L143" i="12"/>
  <c r="I23" i="22"/>
  <c r="Q301" i="10"/>
  <c r="K1694" i="16" s="1"/>
  <c r="Q292" i="10"/>
  <c r="G657" i="16"/>
  <c r="G660" i="16" s="1"/>
  <c r="G661" i="16" s="1"/>
  <c r="G664" i="16" s="1"/>
  <c r="G665" i="16" s="1"/>
  <c r="F11" i="21"/>
  <c r="F8" i="21"/>
  <c r="F9" i="21" s="1"/>
  <c r="I1830" i="16"/>
  <c r="I1827" i="16"/>
  <c r="I1829" i="16"/>
  <c r="P948" i="16"/>
  <c r="P950" i="16" s="1"/>
  <c r="D957" i="16" s="1"/>
  <c r="D959" i="16" s="1"/>
  <c r="D158" i="16"/>
  <c r="D153" i="16"/>
  <c r="L64" i="12"/>
  <c r="L8" i="12"/>
  <c r="K11" i="12"/>
  <c r="K12" i="12" s="1"/>
  <c r="K10" i="12"/>
  <c r="G89" i="25"/>
  <c r="E2557" i="16"/>
  <c r="G95" i="25"/>
  <c r="F132" i="10"/>
  <c r="F181" i="10"/>
  <c r="J1806" i="16"/>
  <c r="J1797" i="16"/>
  <c r="J1802" i="16"/>
  <c r="J1801" i="16"/>
  <c r="J1798" i="16"/>
  <c r="J1803" i="16"/>
  <c r="J1805" i="16"/>
  <c r="J1800" i="16"/>
  <c r="J2" i="21"/>
  <c r="I36" i="21"/>
  <c r="O190" i="13"/>
  <c r="G301" i="13"/>
  <c r="G263" i="13"/>
  <c r="J38" i="14"/>
  <c r="J39" i="14"/>
  <c r="K91" i="14"/>
  <c r="AI91" i="14" s="1"/>
  <c r="I50" i="25"/>
  <c r="I53" i="25" s="1"/>
  <c r="H41" i="25"/>
  <c r="Q346" i="10"/>
  <c r="G297" i="13"/>
  <c r="O192" i="13"/>
  <c r="F25" i="12"/>
  <c r="F27" i="12" s="1"/>
  <c r="F124" i="12"/>
  <c r="N8" i="14"/>
  <c r="N9" i="14" s="1"/>
  <c r="O7" i="14"/>
  <c r="C1040" i="16"/>
  <c r="H1040" i="16" s="1"/>
  <c r="X4" i="18"/>
  <c r="F21" i="26"/>
  <c r="H1806" i="16"/>
  <c r="H1797" i="16"/>
  <c r="H1798" i="16"/>
  <c r="H1801" i="16"/>
  <c r="H1802" i="16"/>
  <c r="H1803" i="16"/>
  <c r="H1805" i="16"/>
  <c r="H1800" i="16"/>
  <c r="E1039" i="16"/>
  <c r="E1037" i="16"/>
  <c r="J1037" i="16" s="1"/>
  <c r="X112" i="13"/>
  <c r="X184" i="13" s="1"/>
  <c r="S204" i="10"/>
  <c r="S51" i="29" s="1"/>
  <c r="BX261" i="5"/>
  <c r="S28" i="26"/>
  <c r="I105" i="14"/>
  <c r="I107" i="14" s="1"/>
  <c r="I102" i="14"/>
  <c r="D110" i="14"/>
  <c r="D79" i="14"/>
  <c r="D59" i="14"/>
  <c r="F218" i="16"/>
  <c r="F214" i="16"/>
  <c r="P73" i="13"/>
  <c r="Q73" i="13" s="1"/>
  <c r="R73" i="13" s="1"/>
  <c r="S73" i="13" s="1"/>
  <c r="T73" i="13" s="1"/>
  <c r="U73" i="13" s="1"/>
  <c r="V73" i="13" s="1"/>
  <c r="W73" i="13" s="1"/>
  <c r="X73" i="13" s="1"/>
  <c r="Y73" i="13" s="1"/>
  <c r="Z73" i="13" s="1"/>
  <c r="AA73" i="13" s="1"/>
  <c r="AB73" i="13" s="1"/>
  <c r="AC73" i="13" s="1"/>
  <c r="AD73" i="13" s="1"/>
  <c r="AE73" i="13" s="1"/>
  <c r="AF73" i="13" s="1"/>
  <c r="O74" i="13"/>
  <c r="L240" i="16"/>
  <c r="P1046" i="16"/>
  <c r="E661" i="16"/>
  <c r="E664" i="16" s="1"/>
  <c r="E665" i="16" s="1"/>
  <c r="E686" i="16"/>
  <c r="E687" i="16" s="1"/>
  <c r="K88" i="12"/>
  <c r="K93" i="12" s="1"/>
  <c r="K35" i="12" s="1"/>
  <c r="K39" i="12" s="1"/>
  <c r="M59" i="25"/>
  <c r="T93" i="10"/>
  <c r="T76" i="10"/>
  <c r="V3" i="18"/>
  <c r="M7" i="7"/>
  <c r="M10" i="7" s="1"/>
  <c r="I67" i="10"/>
  <c r="I85" i="10"/>
  <c r="U126" i="10"/>
  <c r="T132" i="10"/>
  <c r="H1799" i="16"/>
  <c r="N306" i="10"/>
  <c r="H1695" i="16" s="1"/>
  <c r="K1799" i="16"/>
  <c r="D67" i="10"/>
  <c r="D92" i="10" s="1"/>
  <c r="D99" i="10" s="1"/>
  <c r="D85" i="10"/>
  <c r="I87" i="25"/>
  <c r="H86" i="25"/>
  <c r="F323" i="10"/>
  <c r="F321" i="10" s="1"/>
  <c r="F306" i="10"/>
  <c r="AB42" i="26"/>
  <c r="D151" i="14"/>
  <c r="M210" i="13"/>
  <c r="M215" i="13" s="1"/>
  <c r="N209" i="13"/>
  <c r="J26" i="25"/>
  <c r="K9" i="25"/>
  <c r="O53" i="12"/>
  <c r="N52" i="12"/>
  <c r="K101" i="14"/>
  <c r="T28" i="7"/>
  <c r="AC191" i="18" s="1"/>
  <c r="J266" i="13"/>
  <c r="S144" i="13"/>
  <c r="D5" i="22"/>
  <c r="G58" i="13"/>
  <c r="G82" i="13"/>
  <c r="G95" i="13" s="1"/>
  <c r="D242" i="16" s="1"/>
  <c r="E206" i="10"/>
  <c r="E207" i="10" s="1"/>
  <c r="G56" i="13"/>
  <c r="G84" i="13" s="1"/>
  <c r="D146" i="16"/>
  <c r="D141" i="16"/>
  <c r="D143" i="16"/>
  <c r="D144" i="16"/>
  <c r="E141" i="16"/>
  <c r="M140" i="16"/>
  <c r="P50" i="9"/>
  <c r="U30" i="7"/>
  <c r="AD194" i="18" s="1"/>
  <c r="P1" i="10"/>
  <c r="P225" i="10" s="1"/>
  <c r="G1477" i="16"/>
  <c r="G1484" i="16" s="1"/>
  <c r="N74" i="12"/>
  <c r="N91" i="12" s="1"/>
  <c r="E141" i="14"/>
  <c r="E143" i="14" s="1"/>
  <c r="E144" i="14" s="1"/>
  <c r="E136" i="14" s="1"/>
  <c r="E219" i="14" s="1"/>
  <c r="E130" i="14"/>
  <c r="E134" i="14" s="1"/>
  <c r="E214" i="14"/>
  <c r="L30" i="25"/>
  <c r="Q306" i="10"/>
  <c r="K1695" i="16" s="1"/>
  <c r="K85" i="10"/>
  <c r="K67" i="10"/>
  <c r="I1381" i="16"/>
  <c r="J1375" i="16"/>
  <c r="L71" i="12"/>
  <c r="U58" i="10"/>
  <c r="I2500" i="16" s="1"/>
  <c r="V54" i="10"/>
  <c r="C2469" i="16"/>
  <c r="U68" i="10"/>
  <c r="T137" i="10"/>
  <c r="S110" i="10"/>
  <c r="J39" i="7"/>
  <c r="J185" i="16"/>
  <c r="I2234" i="16"/>
  <c r="H2243" i="16"/>
  <c r="Y7" i="18"/>
  <c r="Y25" i="18" s="1"/>
  <c r="Y119" i="18"/>
  <c r="P15" i="7"/>
  <c r="D2338" i="16" s="1"/>
  <c r="E640" i="16"/>
  <c r="E644" i="16" s="1"/>
  <c r="D686" i="16"/>
  <c r="D687" i="16" s="1"/>
  <c r="D661" i="16"/>
  <c r="W145" i="10"/>
  <c r="L102" i="14"/>
  <c r="L105" i="14"/>
  <c r="L107" i="14" s="1"/>
  <c r="H99" i="12"/>
  <c r="H60" i="12"/>
  <c r="I4" i="12"/>
  <c r="G67" i="10"/>
  <c r="G85" i="10"/>
  <c r="L210" i="13"/>
  <c r="Q189" i="13"/>
  <c r="R187" i="13"/>
  <c r="I299" i="13"/>
  <c r="D1777" i="16"/>
  <c r="M55" i="12"/>
  <c r="M56" i="12" s="1"/>
  <c r="M85" i="10"/>
  <c r="M67" i="10"/>
  <c r="M58" i="25"/>
  <c r="L55" i="25"/>
  <c r="N243" i="13"/>
  <c r="V188" i="13"/>
  <c r="N300" i="13" s="1"/>
  <c r="V115" i="13"/>
  <c r="N244" i="13" s="1"/>
  <c r="N72" i="12"/>
  <c r="N89" i="12" s="1"/>
  <c r="L198" i="10"/>
  <c r="I119" i="25"/>
  <c r="I112" i="25" s="1"/>
  <c r="I64" i="25"/>
  <c r="J2" i="25"/>
  <c r="N70" i="12"/>
  <c r="N87" i="12" s="1"/>
  <c r="I1016" i="16"/>
  <c r="D1029" i="16"/>
  <c r="I1029" i="16" s="1"/>
  <c r="E175" i="16"/>
  <c r="E179" i="16"/>
  <c r="H297" i="13"/>
  <c r="D8" i="21"/>
  <c r="D11" i="21"/>
  <c r="G323" i="10"/>
  <c r="G321" i="10" s="1"/>
  <c r="G309" i="10" s="1"/>
  <c r="G308" i="10" s="1"/>
  <c r="W193" i="10"/>
  <c r="G92" i="25"/>
  <c r="G114" i="25" s="1"/>
  <c r="G84" i="25"/>
  <c r="C1029" i="16"/>
  <c r="H1029" i="16" s="1"/>
  <c r="H1016" i="16"/>
  <c r="Y3" i="18"/>
  <c r="Z4" i="18" s="1"/>
  <c r="P7" i="7"/>
  <c r="E154" i="14"/>
  <c r="O107" i="10"/>
  <c r="O261" i="10"/>
  <c r="O274" i="10" s="1"/>
  <c r="H1671" i="16"/>
  <c r="J273" i="13"/>
  <c r="S150" i="13"/>
  <c r="F195" i="16"/>
  <c r="J188" i="16"/>
  <c r="O347" i="10"/>
  <c r="N345" i="10"/>
  <c r="M63" i="12"/>
  <c r="G32" i="25"/>
  <c r="G120" i="25" s="1"/>
  <c r="E2556" i="16"/>
  <c r="I1806" i="16"/>
  <c r="I1797" i="16"/>
  <c r="I1798" i="16"/>
  <c r="I1801" i="16"/>
  <c r="I1803" i="16"/>
  <c r="I1805" i="16"/>
  <c r="I1802" i="16"/>
  <c r="I1800" i="16"/>
  <c r="M1799" i="16" s="1"/>
  <c r="G132" i="12"/>
  <c r="G123" i="12"/>
  <c r="N102" i="14"/>
  <c r="C1988" i="16"/>
  <c r="C1987" i="16"/>
  <c r="C1989" i="16"/>
  <c r="C1986" i="16"/>
  <c r="D2562" i="16"/>
  <c r="O335" i="10"/>
  <c r="N337" i="10"/>
  <c r="N340" i="10" s="1"/>
  <c r="J239" i="13"/>
  <c r="P180" i="10"/>
  <c r="Q181" i="10"/>
  <c r="C2528" i="16"/>
  <c r="X118" i="18"/>
  <c r="P189" i="13"/>
  <c r="P192" i="13" s="1"/>
  <c r="L67" i="10"/>
  <c r="L85" i="10"/>
  <c r="K56" i="25"/>
  <c r="I2558" i="16"/>
  <c r="J108" i="25"/>
  <c r="D476" i="16"/>
  <c r="D480" i="16"/>
  <c r="D482" i="16" s="1"/>
  <c r="N54" i="7"/>
  <c r="K210" i="13"/>
  <c r="Q1" i="10"/>
  <c r="Q225" i="10" s="1"/>
  <c r="R150" i="10"/>
  <c r="E85" i="10"/>
  <c r="E67" i="10"/>
  <c r="E92" i="10" s="1"/>
  <c r="E99" i="10" s="1"/>
  <c r="C433" i="16"/>
  <c r="F441" i="16" s="1"/>
  <c r="E441" i="16"/>
  <c r="F161" i="16"/>
  <c r="M30" i="12"/>
  <c r="L29" i="12"/>
  <c r="L33" i="12" s="1"/>
  <c r="L44" i="12" s="1"/>
  <c r="H76" i="25"/>
  <c r="I75" i="25"/>
  <c r="I76" i="25" s="1"/>
  <c r="E151" i="14"/>
  <c r="E152" i="14" s="1"/>
  <c r="E227" i="14" s="1"/>
  <c r="T128" i="10"/>
  <c r="T129" i="10" s="1"/>
  <c r="T138" i="10"/>
  <c r="U120" i="10"/>
  <c r="U147" i="10" s="1"/>
  <c r="T108" i="10"/>
  <c r="T118" i="10"/>
  <c r="J105" i="14"/>
  <c r="J107" i="14" s="1"/>
  <c r="J102" i="14"/>
  <c r="J1830" i="16"/>
  <c r="J1829" i="16"/>
  <c r="J1828" i="16"/>
  <c r="N109" i="18"/>
  <c r="M87" i="12"/>
  <c r="L12" i="19"/>
  <c r="V59" i="14"/>
  <c r="U61" i="14"/>
  <c r="O38" i="14"/>
  <c r="J165" i="10"/>
  <c r="J195" i="10" s="1"/>
  <c r="J187" i="10"/>
  <c r="H5" i="25"/>
  <c r="I20" i="25"/>
  <c r="H29" i="25"/>
  <c r="I1804" i="16"/>
  <c r="L69" i="12"/>
  <c r="D145" i="16"/>
  <c r="D162" i="16" s="1"/>
  <c r="V62" i="13"/>
  <c r="K38" i="7"/>
  <c r="K39" i="7" s="1"/>
  <c r="L12" i="7"/>
  <c r="N107" i="14"/>
  <c r="J8" i="22"/>
  <c r="J67" i="10"/>
  <c r="J85" i="10"/>
  <c r="O17" i="21"/>
  <c r="P18" i="21"/>
  <c r="Q18" i="21" s="1"/>
  <c r="G262" i="13"/>
  <c r="M341" i="10"/>
  <c r="N311" i="10"/>
  <c r="M312" i="10"/>
  <c r="M317" i="10" s="1"/>
  <c r="V191" i="10"/>
  <c r="I295" i="13"/>
  <c r="Q185" i="13"/>
  <c r="R183" i="13"/>
  <c r="C661" i="16"/>
  <c r="C686" i="16"/>
  <c r="C687" i="16" s="1"/>
  <c r="N1035" i="16"/>
  <c r="D12" i="19"/>
  <c r="G215" i="13"/>
  <c r="Y116" i="13"/>
  <c r="I110" i="25"/>
  <c r="I123" i="25" s="1"/>
  <c r="G2559" i="16"/>
  <c r="T45" i="14"/>
  <c r="T79" i="14" s="1"/>
  <c r="V19" i="7"/>
  <c r="U190" i="10"/>
  <c r="I12" i="25"/>
  <c r="H16" i="25"/>
  <c r="H18" i="25" s="1"/>
  <c r="H14" i="25"/>
  <c r="D154" i="14"/>
  <c r="J150" i="10"/>
  <c r="J254" i="10"/>
  <c r="W189" i="10"/>
  <c r="AX63" i="5"/>
  <c r="Z65" i="5"/>
  <c r="AI71" i="5"/>
  <c r="AI72" i="5"/>
  <c r="I67" i="28" s="1"/>
  <c r="DH21" i="5"/>
  <c r="I42" i="28" s="1"/>
  <c r="DM21" i="5"/>
  <c r="M42" i="28" s="1"/>
  <c r="AX187" i="5"/>
  <c r="C1047" i="16"/>
  <c r="H1047" i="16" s="1"/>
  <c r="N1047" i="16" s="1"/>
  <c r="H59" i="14"/>
  <c r="I62" i="14"/>
  <c r="AF187" i="5"/>
  <c r="Z4" i="28" s="1"/>
  <c r="AR72" i="5"/>
  <c r="P67" i="28" s="1"/>
  <c r="AR167" i="5"/>
  <c r="DQ38" i="5"/>
  <c r="AR49" i="5"/>
  <c r="G61" i="14"/>
  <c r="H62" i="14" s="1"/>
  <c r="G18" i="14"/>
  <c r="F82" i="14"/>
  <c r="F80" i="14"/>
  <c r="F91" i="14" s="1"/>
  <c r="H18" i="14"/>
  <c r="G9" i="19"/>
  <c r="J200" i="13"/>
  <c r="J141" i="13"/>
  <c r="J213" i="13"/>
  <c r="J142" i="13"/>
  <c r="F92" i="14"/>
  <c r="H101" i="14"/>
  <c r="E36" i="14"/>
  <c r="E37" i="14"/>
  <c r="E38" i="14" s="1"/>
  <c r="E35" i="14"/>
  <c r="I263" i="10"/>
  <c r="Z341" i="5" s="1"/>
  <c r="J228" i="10"/>
  <c r="J263" i="10" s="1"/>
  <c r="Z302" i="5"/>
  <c r="Z110" i="5"/>
  <c r="P345" i="5"/>
  <c r="P357" i="5" s="1"/>
  <c r="G270" i="10"/>
  <c r="P346" i="5" s="1"/>
  <c r="F160" i="12"/>
  <c r="F158" i="12"/>
  <c r="F161" i="12" s="1"/>
  <c r="J230" i="10"/>
  <c r="J264" i="10" s="1"/>
  <c r="I264" i="10"/>
  <c r="Z342" i="5" s="1"/>
  <c r="Y342" i="5" s="1"/>
  <c r="Z303" i="5"/>
  <c r="Z111" i="5"/>
  <c r="G101" i="14"/>
  <c r="K323" i="10"/>
  <c r="K321" i="10" s="1"/>
  <c r="K306" i="10"/>
  <c r="E1695" i="16" s="1"/>
  <c r="Q139" i="18"/>
  <c r="Q152" i="18" s="1"/>
  <c r="F36" i="14"/>
  <c r="F37" i="14"/>
  <c r="F35" i="14"/>
  <c r="AX167" i="5"/>
  <c r="AX174" i="5" s="1"/>
  <c r="BB187" i="5"/>
  <c r="AX72" i="5"/>
  <c r="U67" i="28" s="1"/>
  <c r="H55" i="14"/>
  <c r="I55" i="14" s="1"/>
  <c r="J55" i="14" s="1"/>
  <c r="I56" i="14"/>
  <c r="N1046" i="16"/>
  <c r="AS25" i="5"/>
  <c r="DR21" i="5"/>
  <c r="Q42" i="28" s="1"/>
  <c r="F101" i="14"/>
  <c r="AQ87" i="5"/>
  <c r="AQ91" i="5"/>
  <c r="AQ92" i="5" s="1"/>
  <c r="Q252" i="10"/>
  <c r="P250" i="10"/>
  <c r="P251" i="10" s="1"/>
  <c r="AS87" i="5"/>
  <c r="AS91" i="5"/>
  <c r="AS92" i="5" s="1"/>
  <c r="AX91" i="5"/>
  <c r="AX92" i="5" s="1"/>
  <c r="AX87" i="5"/>
  <c r="D204" i="14"/>
  <c r="E204" i="14" s="1"/>
  <c r="E202" i="14" s="1"/>
  <c r="AM72" i="5"/>
  <c r="L67" i="28" s="1"/>
  <c r="AM167" i="5"/>
  <c r="AQ187" i="5"/>
  <c r="DU192" i="5" s="1"/>
  <c r="AM49" i="5"/>
  <c r="DL38" i="5"/>
  <c r="AS71" i="5"/>
  <c r="Q142" i="18"/>
  <c r="Q155" i="18" s="1"/>
  <c r="E318" i="16"/>
  <c r="AZ187" i="5"/>
  <c r="E51" i="9"/>
  <c r="AP187" i="5"/>
  <c r="DT192" i="5" s="1"/>
  <c r="D51" i="9"/>
  <c r="AD167" i="5"/>
  <c r="AD72" i="5"/>
  <c r="E67" i="28" s="1"/>
  <c r="AH187" i="5"/>
  <c r="AB4" i="28" s="1"/>
  <c r="DC38" i="5"/>
  <c r="DH38" i="5"/>
  <c r="H270" i="10"/>
  <c r="I270" i="10" s="1"/>
  <c r="Z346" i="5" s="1"/>
  <c r="H315" i="10"/>
  <c r="H317" i="10" s="1"/>
  <c r="H305" i="10"/>
  <c r="H282" i="10"/>
  <c r="H272" i="10"/>
  <c r="G2031" i="16"/>
  <c r="DO23" i="5"/>
  <c r="N43" i="28" s="1"/>
  <c r="H1642" i="16"/>
  <c r="AD187" i="5"/>
  <c r="Y4" i="28" s="1"/>
  <c r="J262" i="10"/>
  <c r="R131" i="18"/>
  <c r="I1642" i="16"/>
  <c r="H216" i="13"/>
  <c r="AD94" i="5"/>
  <c r="AD91" i="5"/>
  <c r="AD92" i="5" s="1"/>
  <c r="E52" i="9"/>
  <c r="H80" i="16"/>
  <c r="H83" i="16" s="1"/>
  <c r="T72" i="5"/>
  <c r="CS38" i="5"/>
  <c r="BC71" i="5"/>
  <c r="EB36" i="5"/>
  <c r="BC38" i="5"/>
  <c r="E5" i="30" s="1"/>
  <c r="E7" i="30" s="1"/>
  <c r="EG36" i="5"/>
  <c r="T94" i="5"/>
  <c r="T91" i="5"/>
  <c r="T92" i="5" s="1"/>
  <c r="G12" i="14"/>
  <c r="G14" i="14"/>
  <c r="G15" i="14" s="1"/>
  <c r="G47" i="14"/>
  <c r="G22" i="14"/>
  <c r="H24" i="14" s="1"/>
  <c r="F258" i="16" s="1"/>
  <c r="I232" i="10"/>
  <c r="Y94" i="5"/>
  <c r="Y91" i="5"/>
  <c r="Y92" i="5" s="1"/>
  <c r="DV38" i="5"/>
  <c r="AQ167" i="5"/>
  <c r="DP38" i="5"/>
  <c r="I1653" i="16" s="1"/>
  <c r="AQ72" i="5"/>
  <c r="O67" i="28" s="1"/>
  <c r="AQ49" i="5"/>
  <c r="D1653" i="16"/>
  <c r="AR187" i="5"/>
  <c r="DV192" i="5" s="1"/>
  <c r="AM91" i="5"/>
  <c r="AM92" i="5" s="1"/>
  <c r="AM95" i="5"/>
  <c r="AM87" i="5"/>
  <c r="K142" i="13"/>
  <c r="H9" i="19"/>
  <c r="L142" i="13"/>
  <c r="K213" i="13"/>
  <c r="K141" i="13"/>
  <c r="K200" i="13"/>
  <c r="BC84" i="5"/>
  <c r="EB40" i="5"/>
  <c r="EG40" i="5"/>
  <c r="AR87" i="5"/>
  <c r="AR91" i="5"/>
  <c r="AR92" i="5" s="1"/>
  <c r="T214" i="5"/>
  <c r="CS21" i="5"/>
  <c r="D52" i="9"/>
  <c r="G80" i="16"/>
  <c r="G83" i="16" s="1"/>
  <c r="CT19" i="5"/>
  <c r="U21" i="5"/>
  <c r="L28" i="1" s="1"/>
  <c r="J12" i="19"/>
  <c r="E92" i="14"/>
  <c r="I305" i="10"/>
  <c r="I315" i="10"/>
  <c r="I317" i="10" s="1"/>
  <c r="I282" i="10"/>
  <c r="J272" i="10"/>
  <c r="I272" i="10"/>
  <c r="H2031" i="16"/>
  <c r="T71" i="5"/>
  <c r="H12" i="14"/>
  <c r="Y118" i="18" l="1"/>
  <c r="Z118" i="18"/>
  <c r="Z117" i="18" s="1"/>
  <c r="D9" i="21"/>
  <c r="E9" i="21"/>
  <c r="G7" i="21"/>
  <c r="G9" i="21"/>
  <c r="AE198" i="18"/>
  <c r="AE197" i="18"/>
  <c r="Y43" i="28"/>
  <c r="AD57" i="10"/>
  <c r="AD89" i="10" s="1"/>
  <c r="AC89" i="10"/>
  <c r="Q20" i="21"/>
  <c r="Q31" i="21" s="1"/>
  <c r="Q17" i="21"/>
  <c r="R18" i="21"/>
  <c r="R28" i="21"/>
  <c r="S22" i="21"/>
  <c r="S181" i="25"/>
  <c r="L150" i="10"/>
  <c r="K150" i="10"/>
  <c r="S52" i="29"/>
  <c r="T52" i="29"/>
  <c r="Y582" i="1"/>
  <c r="V42" i="7" s="1"/>
  <c r="V50" i="7" s="1"/>
  <c r="E3217" i="16" s="1"/>
  <c r="U50" i="26"/>
  <c r="J398" i="1"/>
  <c r="J404" i="1" s="1"/>
  <c r="J405" i="1" s="1"/>
  <c r="J209" i="1" s="1"/>
  <c r="J220" i="1" s="1"/>
  <c r="J222" i="1" s="1"/>
  <c r="O595" i="1"/>
  <c r="O167" i="1"/>
  <c r="O237" i="1"/>
  <c r="P236" i="1"/>
  <c r="K509" i="1"/>
  <c r="K165" i="1"/>
  <c r="K585" i="1"/>
  <c r="K589" i="1"/>
  <c r="K593" i="1" s="1"/>
  <c r="L30" i="1"/>
  <c r="L31" i="1" s="1"/>
  <c r="P595" i="1"/>
  <c r="P167" i="1"/>
  <c r="Q595" i="1"/>
  <c r="L501" i="1"/>
  <c r="L508" i="1" s="1"/>
  <c r="L145" i="1"/>
  <c r="L154" i="1" s="1"/>
  <c r="L161" i="1" s="1"/>
  <c r="K164" i="1"/>
  <c r="K465" i="1"/>
  <c r="L35" i="1"/>
  <c r="L132" i="1"/>
  <c r="L29" i="1"/>
  <c r="L106" i="1"/>
  <c r="L103" i="1"/>
  <c r="L122" i="1"/>
  <c r="L76" i="1"/>
  <c r="K398" i="1"/>
  <c r="J585" i="1"/>
  <c r="J509" i="1"/>
  <c r="J165" i="1"/>
  <c r="G41" i="7" s="1"/>
  <c r="J589" i="1"/>
  <c r="J593" i="1" s="1"/>
  <c r="M501" i="1"/>
  <c r="M508" i="1" s="1"/>
  <c r="M145" i="1"/>
  <c r="M154" i="1" s="1"/>
  <c r="M161" i="1" s="1"/>
  <c r="L207" i="1"/>
  <c r="L125" i="1"/>
  <c r="L119" i="1"/>
  <c r="L77" i="1"/>
  <c r="J465" i="1"/>
  <c r="J164" i="1"/>
  <c r="P14" i="18" s="1"/>
  <c r="M119" i="1"/>
  <c r="M207" i="1"/>
  <c r="M392" i="1"/>
  <c r="M396" i="1" s="1"/>
  <c r="M390" i="1"/>
  <c r="L392" i="1"/>
  <c r="L396" i="1" s="1"/>
  <c r="L390" i="1"/>
  <c r="N167" i="1"/>
  <c r="L138" i="1"/>
  <c r="O258" i="1"/>
  <c r="P257" i="1"/>
  <c r="C2216" i="16"/>
  <c r="L215" i="13"/>
  <c r="L216" i="13" s="1"/>
  <c r="L217" i="13" s="1"/>
  <c r="N447" i="1" s="1"/>
  <c r="T109" i="18"/>
  <c r="I11" i="19"/>
  <c r="U23" i="18"/>
  <c r="U24" i="18" s="1"/>
  <c r="U42" i="7"/>
  <c r="U50" i="7" s="1"/>
  <c r="D3217" i="16" s="1"/>
  <c r="AH38" i="9"/>
  <c r="Y31" i="18"/>
  <c r="K733" i="16"/>
  <c r="J733" i="16"/>
  <c r="C784" i="16"/>
  <c r="C800" i="16" s="1"/>
  <c r="U22" i="18"/>
  <c r="G21" i="26"/>
  <c r="U188" i="18"/>
  <c r="U192" i="18" s="1"/>
  <c r="U195" i="18" s="1"/>
  <c r="M33" i="7"/>
  <c r="V31" i="18" s="1"/>
  <c r="V184" i="18"/>
  <c r="V188" i="18" s="1"/>
  <c r="V192" i="18" s="1"/>
  <c r="V195" i="18" s="1"/>
  <c r="E2075" i="16"/>
  <c r="E2077" i="16" s="1"/>
  <c r="D1456" i="16"/>
  <c r="D1471" i="16" s="1"/>
  <c r="Y188" i="18"/>
  <c r="Y192" i="18" s="1"/>
  <c r="Y195" i="18" s="1"/>
  <c r="Z182" i="18"/>
  <c r="E1596" i="16"/>
  <c r="E1597" i="16" s="1"/>
  <c r="E647" i="16"/>
  <c r="D1770" i="16"/>
  <c r="D161" i="12"/>
  <c r="C2589" i="16"/>
  <c r="C1789" i="16"/>
  <c r="C1790" i="16" s="1"/>
  <c r="D160" i="12"/>
  <c r="K283" i="13"/>
  <c r="E60" i="14"/>
  <c r="S161" i="13"/>
  <c r="K285" i="13" s="1"/>
  <c r="E79" i="14"/>
  <c r="E110" i="14"/>
  <c r="H58" i="13"/>
  <c r="F206" i="10"/>
  <c r="F207" i="10" s="1"/>
  <c r="F210" i="10" s="1"/>
  <c r="H56" i="13"/>
  <c r="H84" i="13" s="1"/>
  <c r="H140" i="12"/>
  <c r="G139" i="12"/>
  <c r="G141" i="12" s="1"/>
  <c r="G144" i="12" s="1"/>
  <c r="G137" i="12" s="1"/>
  <c r="H78" i="14"/>
  <c r="H84" i="14" s="1"/>
  <c r="H89" i="14" s="1"/>
  <c r="H94" i="14" s="1"/>
  <c r="H99" i="14" s="1"/>
  <c r="H104" i="14" s="1"/>
  <c r="H109" i="14" s="1"/>
  <c r="F54" i="13"/>
  <c r="F82" i="13" s="1"/>
  <c r="F95" i="13" s="1"/>
  <c r="C242" i="16" s="1"/>
  <c r="J44" i="25"/>
  <c r="J62" i="25" s="1"/>
  <c r="J122" i="25" s="1"/>
  <c r="H2564" i="16" s="1"/>
  <c r="I2" i="14"/>
  <c r="AK4" i="14" s="1"/>
  <c r="K38" i="25"/>
  <c r="K115" i="25" s="1"/>
  <c r="H2547" i="16"/>
  <c r="K258" i="13"/>
  <c r="T124" i="13"/>
  <c r="K102" i="25"/>
  <c r="K116" i="25" s="1"/>
  <c r="H2548" i="16"/>
  <c r="C175" i="14"/>
  <c r="C176" i="14" s="1"/>
  <c r="C177" i="14" s="1"/>
  <c r="BW271" i="5"/>
  <c r="R51" i="29"/>
  <c r="R52" i="29" s="1"/>
  <c r="R146" i="10"/>
  <c r="R119" i="10" s="1"/>
  <c r="S136" i="10"/>
  <c r="M198" i="10"/>
  <c r="M51" i="7"/>
  <c r="P51" i="7"/>
  <c r="D215" i="14"/>
  <c r="D216" i="14" s="1"/>
  <c r="L323" i="10"/>
  <c r="L321" i="10" s="1"/>
  <c r="C2075" i="16"/>
  <c r="C2077" i="16" s="1"/>
  <c r="C482" i="16"/>
  <c r="C1554" i="16"/>
  <c r="I49" i="9"/>
  <c r="I136" i="14"/>
  <c r="D137" i="14"/>
  <c r="D175" i="14" s="1"/>
  <c r="D176" i="14" s="1"/>
  <c r="D177" i="14" s="1"/>
  <c r="E785" i="16"/>
  <c r="E801" i="16" s="1"/>
  <c r="W31" i="18"/>
  <c r="E244" i="25"/>
  <c r="C646" i="16"/>
  <c r="C653" i="16" s="1"/>
  <c r="C1555" i="16"/>
  <c r="C1596" i="16"/>
  <c r="C1597" i="16" s="1"/>
  <c r="BR271" i="5"/>
  <c r="M51" i="29"/>
  <c r="M52" i="29" s="1"/>
  <c r="H2545" i="16"/>
  <c r="J113" i="25"/>
  <c r="C2769" i="16"/>
  <c r="C2800" i="16"/>
  <c r="Y2794" i="16"/>
  <c r="O2794" i="16"/>
  <c r="AS187" i="5"/>
  <c r="DW192" i="5" s="1"/>
  <c r="AU187" i="5"/>
  <c r="DX192" i="5" s="1"/>
  <c r="BN271" i="5"/>
  <c r="D1059" i="16"/>
  <c r="D1062" i="16" s="1"/>
  <c r="AS72" i="5"/>
  <c r="Q67" i="28" s="1"/>
  <c r="AW187" i="5"/>
  <c r="D1030" i="16"/>
  <c r="I1030" i="16" s="1"/>
  <c r="AS49" i="5"/>
  <c r="DR41" i="5" s="1"/>
  <c r="AV187" i="5"/>
  <c r="DR38" i="5"/>
  <c r="DW38" i="5"/>
  <c r="AO111" i="28"/>
  <c r="F124" i="25"/>
  <c r="F127" i="25" s="1"/>
  <c r="D2569" i="16" s="1"/>
  <c r="I135" i="14"/>
  <c r="C1067" i="16"/>
  <c r="H1066" i="16"/>
  <c r="W115" i="13"/>
  <c r="K293" i="10"/>
  <c r="J58" i="13"/>
  <c r="H8" i="21"/>
  <c r="O31" i="18"/>
  <c r="F41" i="7"/>
  <c r="E129" i="25"/>
  <c r="C2571" i="16" s="1"/>
  <c r="E130" i="25"/>
  <c r="C2572" i="16" s="1"/>
  <c r="E127" i="25"/>
  <c r="C2569" i="16" s="1"/>
  <c r="C2566" i="16"/>
  <c r="E131" i="25"/>
  <c r="C2573" i="16" s="1"/>
  <c r="E2546" i="16"/>
  <c r="E2549" i="16" s="1"/>
  <c r="E2553" i="16" s="1"/>
  <c r="G117" i="25"/>
  <c r="D784" i="16"/>
  <c r="D800" i="16" s="1"/>
  <c r="K732" i="16"/>
  <c r="AC42" i="28"/>
  <c r="AC43" i="28"/>
  <c r="G52" i="7"/>
  <c r="D1046" i="16"/>
  <c r="I1046" i="16" s="1"/>
  <c r="O1046" i="16" s="1"/>
  <c r="M343" i="10"/>
  <c r="K77" i="12"/>
  <c r="C484" i="16"/>
  <c r="C485" i="16" s="1"/>
  <c r="L77" i="12"/>
  <c r="L61" i="12" s="1"/>
  <c r="J306" i="10"/>
  <c r="D1695" i="16" s="1"/>
  <c r="E523" i="16"/>
  <c r="E565" i="16" s="1"/>
  <c r="C1145" i="16"/>
  <c r="G1145" i="16" s="1"/>
  <c r="DC21" i="5"/>
  <c r="E42" i="28" s="1"/>
  <c r="I269" i="10"/>
  <c r="I265" i="10" s="1"/>
  <c r="I278" i="10" s="1"/>
  <c r="Y20" i="5"/>
  <c r="Z20" i="5" s="1"/>
  <c r="M27" i="1" s="1"/>
  <c r="AD214" i="5"/>
  <c r="Y71" i="5"/>
  <c r="CX21" i="5"/>
  <c r="Y214" i="5"/>
  <c r="I24" i="14"/>
  <c r="G258" i="16" s="1"/>
  <c r="I23" i="14"/>
  <c r="G257" i="16" s="1"/>
  <c r="H34" i="14"/>
  <c r="H37" i="14" s="1"/>
  <c r="I38" i="14" s="1"/>
  <c r="H67" i="14"/>
  <c r="K11" i="19"/>
  <c r="N213" i="13"/>
  <c r="K12" i="19" s="1"/>
  <c r="N197" i="13"/>
  <c r="N204" i="13" s="1"/>
  <c r="K10" i="19"/>
  <c r="N200" i="13"/>
  <c r="N201" i="13" s="1"/>
  <c r="N198" i="13"/>
  <c r="H29" i="14"/>
  <c r="AJ6" i="14" s="1"/>
  <c r="H81" i="14"/>
  <c r="E1565" i="16"/>
  <c r="E1566" i="16" s="1"/>
  <c r="F179" i="16"/>
  <c r="T118" i="18"/>
  <c r="U118" i="18"/>
  <c r="M1797" i="16"/>
  <c r="L40" i="14"/>
  <c r="K54" i="7"/>
  <c r="M199" i="10"/>
  <c r="M200" i="10" s="1"/>
  <c r="U209" i="10"/>
  <c r="V101" i="10"/>
  <c r="M133" i="25"/>
  <c r="J2579" i="16"/>
  <c r="N342" i="10"/>
  <c r="I81" i="25"/>
  <c r="H105" i="25"/>
  <c r="I611" i="16"/>
  <c r="H655" i="16"/>
  <c r="H680" i="16" s="1"/>
  <c r="F1080" i="16"/>
  <c r="D1080" i="16"/>
  <c r="G1103" i="16"/>
  <c r="I1102" i="16"/>
  <c r="N341" i="10"/>
  <c r="F1997" i="16"/>
  <c r="F1993" i="16"/>
  <c r="F1992" i="16"/>
  <c r="Z116" i="13"/>
  <c r="AA116" i="13"/>
  <c r="H89" i="25"/>
  <c r="F2557" i="16"/>
  <c r="H95" i="25"/>
  <c r="Y86" i="10"/>
  <c r="Z86" i="10" s="1"/>
  <c r="AA86" i="10" s="1"/>
  <c r="W191" i="10"/>
  <c r="S20" i="18"/>
  <c r="P10" i="7"/>
  <c r="E650" i="16"/>
  <c r="E1555" i="16"/>
  <c r="E646" i="16"/>
  <c r="I86" i="25"/>
  <c r="J87" i="25"/>
  <c r="E1997" i="16"/>
  <c r="E1992" i="16"/>
  <c r="E1993" i="16"/>
  <c r="T17" i="14"/>
  <c r="M71" i="12"/>
  <c r="M88" i="12" s="1"/>
  <c r="L283" i="13"/>
  <c r="T161" i="13"/>
  <c r="L285" i="13" s="1"/>
  <c r="U159" i="13"/>
  <c r="K266" i="13"/>
  <c r="T144" i="13"/>
  <c r="W4" i="18"/>
  <c r="V4" i="18"/>
  <c r="X151" i="10"/>
  <c r="L200" i="25"/>
  <c r="M199" i="25"/>
  <c r="G2565" i="16"/>
  <c r="O311" i="10"/>
  <c r="N312" i="10"/>
  <c r="K255" i="10"/>
  <c r="T149" i="10"/>
  <c r="CC261" i="5" s="1"/>
  <c r="T204" i="10"/>
  <c r="X51" i="29" s="1"/>
  <c r="X52" i="29" s="1"/>
  <c r="E2562" i="16"/>
  <c r="I126" i="25"/>
  <c r="G2568" i="16" s="1"/>
  <c r="G2561" i="16"/>
  <c r="G2544" i="16" s="1"/>
  <c r="G2555" i="16" s="1"/>
  <c r="L56" i="25"/>
  <c r="J2558" i="16"/>
  <c r="J299" i="13"/>
  <c r="S187" i="13"/>
  <c r="R189" i="13"/>
  <c r="G92" i="10"/>
  <c r="G99" i="10" s="1"/>
  <c r="G75" i="10"/>
  <c r="L88" i="12"/>
  <c r="D161" i="14"/>
  <c r="D162" i="14" s="1"/>
  <c r="D155" i="14" s="1"/>
  <c r="D230" i="14" s="1"/>
  <c r="D226" i="14"/>
  <c r="K8" i="22"/>
  <c r="Y4" i="18"/>
  <c r="K2" i="21"/>
  <c r="J36" i="21"/>
  <c r="M64" i="12"/>
  <c r="M143" i="12"/>
  <c r="L222" i="10"/>
  <c r="M220" i="10"/>
  <c r="N192" i="10"/>
  <c r="M201" i="10"/>
  <c r="O337" i="10"/>
  <c r="O340" i="10" s="1"/>
  <c r="P347" i="10"/>
  <c r="O345" i="10"/>
  <c r="P261" i="10"/>
  <c r="P274" i="10" s="1"/>
  <c r="P107" i="10"/>
  <c r="I1671" i="16"/>
  <c r="M36" i="7"/>
  <c r="M20" i="7"/>
  <c r="N1040" i="16"/>
  <c r="E161" i="14"/>
  <c r="E162" i="14" s="1"/>
  <c r="E155" i="14" s="1"/>
  <c r="E230" i="14" s="1"/>
  <c r="E226" i="14"/>
  <c r="V93" i="13"/>
  <c r="L38" i="7"/>
  <c r="L39" i="7" s="1"/>
  <c r="M12" i="7"/>
  <c r="G161" i="16"/>
  <c r="S150" i="10"/>
  <c r="G257" i="13"/>
  <c r="O152" i="13"/>
  <c r="O146" i="13"/>
  <c r="J12" i="25"/>
  <c r="I16" i="25"/>
  <c r="I18" i="25" s="1"/>
  <c r="I14" i="25"/>
  <c r="L92" i="10"/>
  <c r="L99" i="10" s="1"/>
  <c r="L75" i="10"/>
  <c r="K239" i="13"/>
  <c r="R181" i="10"/>
  <c r="S181" i="10" s="1"/>
  <c r="Q180" i="10"/>
  <c r="Q166" i="10" s="1"/>
  <c r="D2528" i="16"/>
  <c r="N63" i="12"/>
  <c r="K46" i="12"/>
  <c r="N58" i="25"/>
  <c r="O58" i="25" s="1"/>
  <c r="P58" i="25" s="1"/>
  <c r="M55" i="25"/>
  <c r="I301" i="13"/>
  <c r="Q198" i="13"/>
  <c r="H132" i="12"/>
  <c r="H123" i="12"/>
  <c r="U137" i="10"/>
  <c r="T110" i="10"/>
  <c r="K1375" i="16"/>
  <c r="J1381" i="16"/>
  <c r="K102" i="14"/>
  <c r="K106" i="14"/>
  <c r="D152" i="14"/>
  <c r="D227" i="14" s="1"/>
  <c r="J1045" i="16"/>
  <c r="P1045" i="16" s="1"/>
  <c r="D85" i="14"/>
  <c r="D82" i="14"/>
  <c r="D80" i="14"/>
  <c r="J46" i="12"/>
  <c r="J50" i="25"/>
  <c r="I41" i="25"/>
  <c r="G289" i="13"/>
  <c r="G290" i="13"/>
  <c r="L81" i="12"/>
  <c r="O36" i="7"/>
  <c r="O20" i="7"/>
  <c r="G51" i="7"/>
  <c r="H262" i="13"/>
  <c r="P67" i="13"/>
  <c r="C114" i="16"/>
  <c r="C115" i="16" s="1"/>
  <c r="C109" i="16"/>
  <c r="O2733" i="16"/>
  <c r="I2237" i="16"/>
  <c r="H2238" i="16"/>
  <c r="H2244" i="16" s="1"/>
  <c r="Q50" i="9"/>
  <c r="V30" i="7"/>
  <c r="AE194" i="18" s="1"/>
  <c r="J110" i="25"/>
  <c r="J123" i="25" s="1"/>
  <c r="H2559" i="16"/>
  <c r="X193" i="10"/>
  <c r="D1778" i="16"/>
  <c r="D1789" i="16"/>
  <c r="D1790" i="16" s="1"/>
  <c r="L76" i="13"/>
  <c r="L98" i="13" s="1"/>
  <c r="H263" i="13"/>
  <c r="Y112" i="13"/>
  <c r="Y184" i="13" s="1"/>
  <c r="D1997" i="16"/>
  <c r="D1992" i="16"/>
  <c r="D1993" i="16"/>
  <c r="E240" i="14"/>
  <c r="K26" i="25"/>
  <c r="L9" i="25"/>
  <c r="C1041" i="16"/>
  <c r="H1041" i="16" s="1"/>
  <c r="N1041" i="16" s="1"/>
  <c r="G161" i="12"/>
  <c r="G216" i="13"/>
  <c r="I5" i="25"/>
  <c r="J20" i="25"/>
  <c r="I29" i="25"/>
  <c r="I32" i="25" s="1"/>
  <c r="N15" i="18"/>
  <c r="E41" i="7"/>
  <c r="J295" i="13"/>
  <c r="S183" i="13"/>
  <c r="R185" i="13"/>
  <c r="J92" i="10"/>
  <c r="J99" i="10" s="1"/>
  <c r="J75" i="10"/>
  <c r="Y115" i="18"/>
  <c r="BC170" i="5"/>
  <c r="U62" i="14"/>
  <c r="U138" i="10"/>
  <c r="V120" i="10"/>
  <c r="V147" i="10" s="1"/>
  <c r="U128" i="10"/>
  <c r="U129" i="10" s="1"/>
  <c r="U108" i="10"/>
  <c r="U118" i="10"/>
  <c r="M29" i="12"/>
  <c r="M33" i="12" s="1"/>
  <c r="M44" i="12" s="1"/>
  <c r="N30" i="12"/>
  <c r="R1" i="10"/>
  <c r="R225" i="10" s="1"/>
  <c r="H301" i="13"/>
  <c r="P190" i="13"/>
  <c r="J238" i="13"/>
  <c r="P161" i="10"/>
  <c r="P160" i="10"/>
  <c r="P167" i="10"/>
  <c r="P159" i="10"/>
  <c r="P82" i="10"/>
  <c r="P163" i="10"/>
  <c r="P155" i="10"/>
  <c r="M80" i="12"/>
  <c r="AO260" i="5"/>
  <c r="L254" i="10"/>
  <c r="M92" i="10"/>
  <c r="M99" i="10" s="1"/>
  <c r="M75" i="10"/>
  <c r="J2234" i="16"/>
  <c r="I2243" i="16"/>
  <c r="U76" i="10"/>
  <c r="U93" i="10"/>
  <c r="O74" i="12"/>
  <c r="N55" i="12"/>
  <c r="N56" i="12" s="1"/>
  <c r="E1777" i="16"/>
  <c r="E1778" i="16" s="1"/>
  <c r="N210" i="13"/>
  <c r="O209" i="13"/>
  <c r="G303" i="13"/>
  <c r="O193" i="13"/>
  <c r="G304" i="13" s="1"/>
  <c r="F182" i="10"/>
  <c r="G182" i="10"/>
  <c r="F7" i="21"/>
  <c r="G20" i="21"/>
  <c r="F20" i="21"/>
  <c r="Y135" i="10"/>
  <c r="Z135" i="10" s="1"/>
  <c r="AA135" i="10" s="1"/>
  <c r="H84" i="25"/>
  <c r="H92" i="25"/>
  <c r="H114" i="25" s="1"/>
  <c r="H264" i="13"/>
  <c r="P105" i="13"/>
  <c r="P132" i="13" s="1"/>
  <c r="D1668" i="16"/>
  <c r="W201" i="10"/>
  <c r="Q67" i="13"/>
  <c r="R72" i="13"/>
  <c r="K40" i="14"/>
  <c r="BN68" i="5"/>
  <c r="C228" i="14"/>
  <c r="C235" i="14" s="1"/>
  <c r="E1040" i="16"/>
  <c r="J1040" i="16" s="1"/>
  <c r="D1040" i="16"/>
  <c r="I1040" i="16" s="1"/>
  <c r="E7" i="22"/>
  <c r="E5" i="22" s="1"/>
  <c r="M207" i="10"/>
  <c r="M210" i="10" s="1"/>
  <c r="W62" i="13"/>
  <c r="Q7" i="7"/>
  <c r="K273" i="13"/>
  <c r="T150" i="13"/>
  <c r="X145" i="10"/>
  <c r="I92" i="10"/>
  <c r="I99" i="10" s="1"/>
  <c r="I75" i="10"/>
  <c r="E173" i="14"/>
  <c r="M318" i="10"/>
  <c r="M319" i="10" s="1"/>
  <c r="I99" i="12"/>
  <c r="J4" i="12"/>
  <c r="I60" i="12"/>
  <c r="E215" i="14"/>
  <c r="E216" i="14" s="1"/>
  <c r="U56" i="13"/>
  <c r="T57" i="13"/>
  <c r="T58" i="13" s="1"/>
  <c r="U58" i="13" s="1"/>
  <c r="V58" i="13" s="1"/>
  <c r="W58" i="13" s="1"/>
  <c r="X58" i="13" s="1"/>
  <c r="Y58" i="13" s="1"/>
  <c r="Z58" i="13" s="1"/>
  <c r="AA58" i="13" s="1"/>
  <c r="AB58" i="13" s="1"/>
  <c r="AC58" i="13" s="1"/>
  <c r="AD58" i="13" s="1"/>
  <c r="AE58" i="13" s="1"/>
  <c r="AF58" i="13" s="1"/>
  <c r="X189" i="10"/>
  <c r="V190" i="10"/>
  <c r="N30" i="18"/>
  <c r="I297" i="13"/>
  <c r="Q192" i="13"/>
  <c r="Q197" i="13"/>
  <c r="Q33" i="13" s="1"/>
  <c r="Q38" i="13" s="1"/>
  <c r="L86" i="12"/>
  <c r="W59" i="14"/>
  <c r="V61" i="14"/>
  <c r="Q261" i="10"/>
  <c r="Q274" i="10" s="1"/>
  <c r="Q107" i="10"/>
  <c r="J1671" i="16"/>
  <c r="N51" i="7"/>
  <c r="G195" i="16"/>
  <c r="K188" i="16"/>
  <c r="O153" i="10"/>
  <c r="O53" i="10"/>
  <c r="D7" i="21"/>
  <c r="E20" i="21"/>
  <c r="I51" i="7"/>
  <c r="R115" i="18"/>
  <c r="K185" i="16"/>
  <c r="K92" i="10"/>
  <c r="K99" i="10" s="1"/>
  <c r="K75" i="10"/>
  <c r="P53" i="12"/>
  <c r="O52" i="12"/>
  <c r="N59" i="25"/>
  <c r="O59" i="25" s="1"/>
  <c r="K36" i="12"/>
  <c r="X114" i="13"/>
  <c r="BN108" i="5"/>
  <c r="C2739" i="16"/>
  <c r="O2739" i="16" s="1"/>
  <c r="G686" i="16"/>
  <c r="G687" i="16" s="1"/>
  <c r="J79" i="25"/>
  <c r="I78" i="25"/>
  <c r="Z54" i="13"/>
  <c r="W206" i="10"/>
  <c r="H256" i="13"/>
  <c r="P160" i="13"/>
  <c r="H284" i="13" s="1"/>
  <c r="P123" i="13"/>
  <c r="D240" i="14"/>
  <c r="C169" i="14"/>
  <c r="C170" i="14" s="1"/>
  <c r="C155" i="14"/>
  <c r="J286" i="13"/>
  <c r="R163" i="13"/>
  <c r="J287" i="13" s="1"/>
  <c r="S162" i="13"/>
  <c r="L7" i="19"/>
  <c r="O135" i="13"/>
  <c r="O136" i="13" s="1"/>
  <c r="O108" i="13"/>
  <c r="O106" i="13"/>
  <c r="J261" i="16" s="1"/>
  <c r="O178" i="13"/>
  <c r="P336" i="10"/>
  <c r="N67" i="10"/>
  <c r="N85" i="10"/>
  <c r="F2556" i="16"/>
  <c r="H32" i="25"/>
  <c r="H120" i="25" s="1"/>
  <c r="K108" i="25"/>
  <c r="J119" i="25"/>
  <c r="J112" i="25" s="1"/>
  <c r="J64" i="25"/>
  <c r="K2" i="25"/>
  <c r="M30" i="25"/>
  <c r="P7" i="14"/>
  <c r="O8" i="14"/>
  <c r="O9" i="14" s="1"/>
  <c r="S178" i="10"/>
  <c r="J255" i="10"/>
  <c r="K256" i="10"/>
  <c r="J256" i="10"/>
  <c r="U45" i="14"/>
  <c r="U17" i="14" s="1"/>
  <c r="W19" i="7"/>
  <c r="P17" i="21"/>
  <c r="M69" i="12"/>
  <c r="E137" i="14"/>
  <c r="C1997" i="16"/>
  <c r="C1993" i="16"/>
  <c r="C1992" i="16"/>
  <c r="M1798" i="16"/>
  <c r="H303" i="13"/>
  <c r="P193" i="13"/>
  <c r="H304" i="13" s="1"/>
  <c r="O70" i="12"/>
  <c r="P87" i="12" s="1"/>
  <c r="O72" i="12"/>
  <c r="O89" i="12" s="1"/>
  <c r="P54" i="7"/>
  <c r="D1771" i="16"/>
  <c r="D1772" i="16" s="1"/>
  <c r="J1772" i="16" s="1"/>
  <c r="V58" i="10"/>
  <c r="J2500" i="16" s="1"/>
  <c r="W54" i="10"/>
  <c r="V68" i="10"/>
  <c r="U28" i="7"/>
  <c r="AD191" i="18" s="1"/>
  <c r="V126" i="10"/>
  <c r="U132" i="10"/>
  <c r="P1037" i="16"/>
  <c r="J1035" i="16"/>
  <c r="R346" i="10"/>
  <c r="G98" i="25"/>
  <c r="G121" i="25" s="1"/>
  <c r="M8" i="12"/>
  <c r="L11" i="12"/>
  <c r="L12" i="12" s="1"/>
  <c r="L10" i="12"/>
  <c r="O1037" i="16"/>
  <c r="I1035" i="16"/>
  <c r="F92" i="10"/>
  <c r="F99" i="10" s="1"/>
  <c r="F75" i="10"/>
  <c r="I260" i="13"/>
  <c r="R126" i="13"/>
  <c r="Q122" i="13"/>
  <c r="Q130" i="13"/>
  <c r="Q131" i="13" s="1"/>
  <c r="Q128" i="13"/>
  <c r="Q129" i="13"/>
  <c r="H92" i="10"/>
  <c r="H99" i="10" s="1"/>
  <c r="H75" i="10"/>
  <c r="R21" i="18"/>
  <c r="U185" i="10"/>
  <c r="D20" i="21"/>
  <c r="F38" i="14"/>
  <c r="G42" i="14"/>
  <c r="H1045" i="16"/>
  <c r="N1045" i="16" s="1"/>
  <c r="R139" i="18"/>
  <c r="R152" i="18" s="1"/>
  <c r="S142" i="18"/>
  <c r="S155" i="18" s="1"/>
  <c r="G106" i="14"/>
  <c r="G102" i="14"/>
  <c r="DQ41" i="5"/>
  <c r="DV41" i="5"/>
  <c r="DU41" i="5"/>
  <c r="DP41" i="5"/>
  <c r="DR23" i="5"/>
  <c r="Q43" i="28" s="1"/>
  <c r="H12" i="19"/>
  <c r="K215" i="13"/>
  <c r="C102" i="9"/>
  <c r="C699" i="16"/>
  <c r="C104" i="9"/>
  <c r="J232" i="10"/>
  <c r="I233" i="10"/>
  <c r="Z304" i="5"/>
  <c r="Z307" i="5" s="1"/>
  <c r="Z112" i="5"/>
  <c r="H222" i="13"/>
  <c r="H220" i="13" s="1"/>
  <c r="C103" i="9"/>
  <c r="J215" i="13"/>
  <c r="G12" i="19"/>
  <c r="I318" i="10"/>
  <c r="I319" i="10" s="1"/>
  <c r="M216" i="13"/>
  <c r="M217" i="13" s="1"/>
  <c r="O447" i="1" s="1"/>
  <c r="H15" i="14"/>
  <c r="H217" i="13"/>
  <c r="J447" i="1" s="1"/>
  <c r="Q19" i="18"/>
  <c r="C213" i="16"/>
  <c r="H24" i="7"/>
  <c r="H54" i="7"/>
  <c r="F106" i="14"/>
  <c r="F102" i="14"/>
  <c r="Z211" i="5"/>
  <c r="Z209" i="5" s="1"/>
  <c r="I60" i="14"/>
  <c r="G81" i="14"/>
  <c r="G23" i="14"/>
  <c r="E257" i="16" s="1"/>
  <c r="G34" i="14"/>
  <c r="G29" i="14"/>
  <c r="AI6" i="14" s="1"/>
  <c r="H23" i="14"/>
  <c r="F257" i="16" s="1"/>
  <c r="H306" i="10"/>
  <c r="J56" i="14"/>
  <c r="K55" i="14"/>
  <c r="BC91" i="5"/>
  <c r="BC87" i="5"/>
  <c r="S139" i="18"/>
  <c r="S152" i="18" s="1"/>
  <c r="I306" i="10"/>
  <c r="E272" i="16"/>
  <c r="H48" i="14"/>
  <c r="G55" i="14"/>
  <c r="G48" i="14"/>
  <c r="G24" i="14"/>
  <c r="E258" i="16" s="1"/>
  <c r="BG187" i="5"/>
  <c r="BC72" i="5"/>
  <c r="Y67" i="28" s="1"/>
  <c r="BC167" i="5"/>
  <c r="EB38" i="5"/>
  <c r="EG38" i="5"/>
  <c r="BE187" i="5"/>
  <c r="BC187" i="5"/>
  <c r="BF187" i="5"/>
  <c r="H318" i="10"/>
  <c r="H323" i="10" s="1"/>
  <c r="Q250" i="10"/>
  <c r="Q251" i="10" s="1"/>
  <c r="H102" i="14"/>
  <c r="H106" i="14"/>
  <c r="G59" i="14"/>
  <c r="G60" i="14" s="1"/>
  <c r="G62" i="14"/>
  <c r="I222" i="13"/>
  <c r="I220" i="13" s="1"/>
  <c r="I207" i="13" s="1"/>
  <c r="I246" i="10"/>
  <c r="R142" i="18"/>
  <c r="R155" i="18" s="1"/>
  <c r="C302" i="16"/>
  <c r="C54" i="9"/>
  <c r="Q40" i="13" l="1"/>
  <c r="Q35" i="13"/>
  <c r="H7" i="21"/>
  <c r="H9" i="21"/>
  <c r="J48" i="12"/>
  <c r="J50" i="12" s="1"/>
  <c r="J57" i="12"/>
  <c r="K100" i="12"/>
  <c r="K57" i="12"/>
  <c r="AF198" i="18"/>
  <c r="AF197" i="18"/>
  <c r="AB135" i="10"/>
  <c r="AB86" i="10"/>
  <c r="O55" i="25"/>
  <c r="P59" i="25"/>
  <c r="Q59" i="25" s="1"/>
  <c r="Q29" i="21"/>
  <c r="S28" i="21"/>
  <c r="T22" i="21"/>
  <c r="Q58" i="25"/>
  <c r="R20" i="21"/>
  <c r="R31" i="21" s="1"/>
  <c r="S18" i="21"/>
  <c r="R17" i="21"/>
  <c r="CC271" i="5"/>
  <c r="W51" i="29"/>
  <c r="W52" i="29" s="1"/>
  <c r="Z582" i="1"/>
  <c r="W42" i="7" s="1"/>
  <c r="W50" i="7" s="1"/>
  <c r="F3217" i="16" s="1"/>
  <c r="V50" i="26"/>
  <c r="J400" i="1"/>
  <c r="M398" i="1"/>
  <c r="M404" i="1" s="1"/>
  <c r="M405" i="1" s="1"/>
  <c r="M209" i="1" s="1"/>
  <c r="M220" i="1" s="1"/>
  <c r="M222" i="1" s="1"/>
  <c r="M465" i="1"/>
  <c r="M164" i="1"/>
  <c r="L164" i="1"/>
  <c r="L465" i="1"/>
  <c r="M589" i="1"/>
  <c r="M593" i="1" s="1"/>
  <c r="M509" i="1"/>
  <c r="M165" i="1"/>
  <c r="M585" i="1"/>
  <c r="L165" i="1"/>
  <c r="L585" i="1"/>
  <c r="L589" i="1"/>
  <c r="L593" i="1" s="1"/>
  <c r="L509" i="1"/>
  <c r="J594" i="1"/>
  <c r="J167" i="1" s="1"/>
  <c r="J587" i="1"/>
  <c r="K586" i="1"/>
  <c r="K510" i="1"/>
  <c r="L398" i="1"/>
  <c r="J510" i="1"/>
  <c r="J586" i="1"/>
  <c r="L133" i="1"/>
  <c r="L309" i="1"/>
  <c r="L347" i="1"/>
  <c r="L344" i="1"/>
  <c r="L341" i="1"/>
  <c r="L351" i="1"/>
  <c r="L354" i="1"/>
  <c r="L477" i="1"/>
  <c r="P237" i="1"/>
  <c r="Q236" i="1"/>
  <c r="P258" i="1"/>
  <c r="Q257" i="1"/>
  <c r="K404" i="1"/>
  <c r="K405" i="1" s="1"/>
  <c r="K209" i="1" s="1"/>
  <c r="K220" i="1" s="1"/>
  <c r="K222" i="1" s="1"/>
  <c r="K400" i="1"/>
  <c r="K594" i="1"/>
  <c r="K587" i="1"/>
  <c r="L49" i="7"/>
  <c r="L48" i="7" s="1"/>
  <c r="U201" i="18"/>
  <c r="U202" i="18" s="1"/>
  <c r="P30" i="18"/>
  <c r="D785" i="16"/>
  <c r="D801" i="16" s="1"/>
  <c r="G2932" i="16"/>
  <c r="H14" i="16"/>
  <c r="H15" i="16" s="1"/>
  <c r="E265" i="16"/>
  <c r="R134" i="18"/>
  <c r="V109" i="18"/>
  <c r="E271" i="16"/>
  <c r="G43" i="14"/>
  <c r="E270" i="16"/>
  <c r="E652" i="16"/>
  <c r="E653" i="16" s="1"/>
  <c r="E264" i="16"/>
  <c r="C342" i="16"/>
  <c r="C354" i="16" s="1"/>
  <c r="E269" i="16"/>
  <c r="U109" i="18"/>
  <c r="H21" i="26"/>
  <c r="V115" i="18"/>
  <c r="V197" i="18"/>
  <c r="U115" i="18"/>
  <c r="U197" i="18"/>
  <c r="BX271" i="5"/>
  <c r="AW92" i="28"/>
  <c r="E85" i="14"/>
  <c r="E82" i="14"/>
  <c r="E80" i="14"/>
  <c r="F219" i="10"/>
  <c r="F220" i="10" s="1"/>
  <c r="G221" i="10" s="1"/>
  <c r="F56" i="13"/>
  <c r="F84" i="13" s="1"/>
  <c r="F58" i="13"/>
  <c r="G24" i="12"/>
  <c r="G136" i="12"/>
  <c r="G135" i="12" s="1"/>
  <c r="G149" i="12"/>
  <c r="I140" i="12"/>
  <c r="H139" i="12"/>
  <c r="H141" i="12" s="1"/>
  <c r="H144" i="12" s="1"/>
  <c r="H137" i="12" s="1"/>
  <c r="D206" i="10"/>
  <c r="D207" i="10" s="1"/>
  <c r="J2" i="14"/>
  <c r="J78" i="14" s="1"/>
  <c r="J84" i="14" s="1"/>
  <c r="J89" i="14" s="1"/>
  <c r="J94" i="14" s="1"/>
  <c r="J99" i="14" s="1"/>
  <c r="J104" i="14" s="1"/>
  <c r="J109" i="14" s="1"/>
  <c r="I78" i="14"/>
  <c r="I84" i="14" s="1"/>
  <c r="I89" i="14" s="1"/>
  <c r="I94" i="14" s="1"/>
  <c r="I99" i="14" s="1"/>
  <c r="I104" i="14" s="1"/>
  <c r="I109" i="14" s="1"/>
  <c r="L38" i="25"/>
  <c r="L115" i="25" s="1"/>
  <c r="I2547" i="16"/>
  <c r="K44" i="25"/>
  <c r="K62" i="25" s="1"/>
  <c r="K122" i="25" s="1"/>
  <c r="I2564" i="16" s="1"/>
  <c r="F131" i="25"/>
  <c r="D2573" i="16" s="1"/>
  <c r="I2548" i="16"/>
  <c r="L102" i="25"/>
  <c r="L116" i="25" s="1"/>
  <c r="Q51" i="7"/>
  <c r="C206" i="14"/>
  <c r="L258" i="13"/>
  <c r="U124" i="13"/>
  <c r="P165" i="10"/>
  <c r="P195" i="10" s="1"/>
  <c r="Q190" i="13"/>
  <c r="Q133" i="13"/>
  <c r="O342" i="10"/>
  <c r="H20" i="21"/>
  <c r="H31" i="21" s="1"/>
  <c r="Q194" i="10"/>
  <c r="R194" i="10" s="1"/>
  <c r="S194" i="10" s="1"/>
  <c r="T194" i="10" s="1"/>
  <c r="U194" i="10" s="1"/>
  <c r="V194" i="10" s="1"/>
  <c r="W194" i="10" s="1"/>
  <c r="Q184" i="10"/>
  <c r="K251" i="13" s="1"/>
  <c r="Q187" i="10"/>
  <c r="Q201" i="10" s="1"/>
  <c r="S109" i="10"/>
  <c r="T136" i="10"/>
  <c r="S146" i="10"/>
  <c r="S119" i="10" s="1"/>
  <c r="F128" i="25"/>
  <c r="D2570" i="16" s="1"/>
  <c r="F129" i="25"/>
  <c r="D2571" i="16" s="1"/>
  <c r="D2566" i="16"/>
  <c r="BS271" i="5"/>
  <c r="AS92" i="28"/>
  <c r="CE62" i="28"/>
  <c r="J49" i="9"/>
  <c r="AD51" i="29"/>
  <c r="N52" i="29" s="1"/>
  <c r="F137" i="25"/>
  <c r="F135" i="25" s="1"/>
  <c r="F130" i="25"/>
  <c r="D2572" i="16" s="1"/>
  <c r="D220" i="14"/>
  <c r="D221" i="14" s="1"/>
  <c r="I137" i="14"/>
  <c r="G2080" i="16"/>
  <c r="G2082" i="16" s="1"/>
  <c r="M58" i="9"/>
  <c r="G124" i="25"/>
  <c r="G137" i="25" s="1"/>
  <c r="I2545" i="16"/>
  <c r="K113" i="25"/>
  <c r="EQ32" i="5"/>
  <c r="AS111" i="28" s="1"/>
  <c r="M16" i="29"/>
  <c r="CF62" i="28"/>
  <c r="AO103" i="28"/>
  <c r="BM138" i="5"/>
  <c r="BN83" i="5"/>
  <c r="E1567" i="16"/>
  <c r="BL111" i="5"/>
  <c r="Y2800" i="16"/>
  <c r="O2800" i="16"/>
  <c r="C2806" i="16"/>
  <c r="DW41" i="5"/>
  <c r="P15" i="18"/>
  <c r="D206" i="14"/>
  <c r="D1067" i="16"/>
  <c r="H1067" i="16"/>
  <c r="C1068" i="16"/>
  <c r="N343" i="10"/>
  <c r="M52" i="9"/>
  <c r="E156" i="14"/>
  <c r="E231" i="14" s="1"/>
  <c r="E232" i="14" s="1"/>
  <c r="F2546" i="16"/>
  <c r="F2549" i="16" s="1"/>
  <c r="F2553" i="16" s="1"/>
  <c r="H117" i="25"/>
  <c r="U18" i="14"/>
  <c r="O2769" i="16"/>
  <c r="C2775" i="16"/>
  <c r="O2775" i="16" s="1"/>
  <c r="D1047" i="16"/>
  <c r="I1047" i="16" s="1"/>
  <c r="O1047" i="16" s="1"/>
  <c r="AG53" i="28"/>
  <c r="AG38" i="28"/>
  <c r="E1994" i="16"/>
  <c r="E1995" i="16" s="1"/>
  <c r="O341" i="10"/>
  <c r="M77" i="12"/>
  <c r="M61" i="12" s="1"/>
  <c r="D156" i="14"/>
  <c r="D231" i="14" s="1"/>
  <c r="D232" i="14" s="1"/>
  <c r="DC20" i="5"/>
  <c r="E41" i="28" s="1"/>
  <c r="CX20" i="5"/>
  <c r="I35" i="14"/>
  <c r="N215" i="13"/>
  <c r="N216" i="13" s="1"/>
  <c r="N217" i="13" s="1"/>
  <c r="P447" i="1" s="1"/>
  <c r="I36" i="14"/>
  <c r="H92" i="14"/>
  <c r="H82" i="14"/>
  <c r="H80" i="14"/>
  <c r="H91" i="14" s="1"/>
  <c r="AF91" i="14" s="1"/>
  <c r="D1041" i="16"/>
  <c r="I1041" i="16" s="1"/>
  <c r="O1041" i="16" s="1"/>
  <c r="I323" i="10"/>
  <c r="I321" i="10" s="1"/>
  <c r="S346" i="10"/>
  <c r="M86" i="12"/>
  <c r="K257" i="10"/>
  <c r="C2745" i="16"/>
  <c r="O2745" i="16" s="1"/>
  <c r="I105" i="25"/>
  <c r="J81" i="25"/>
  <c r="P335" i="10"/>
  <c r="P337" i="10" s="1"/>
  <c r="P340" i="10" s="1"/>
  <c r="C1998" i="16"/>
  <c r="N133" i="25"/>
  <c r="K2579" i="16"/>
  <c r="O87" i="12"/>
  <c r="F1998" i="16"/>
  <c r="J611" i="16"/>
  <c r="J655" i="16" s="1"/>
  <c r="J680" i="16" s="1"/>
  <c r="I655" i="16"/>
  <c r="I680" i="16" s="1"/>
  <c r="V209" i="10"/>
  <c r="W101" i="10"/>
  <c r="G1104" i="16"/>
  <c r="H1103" i="16"/>
  <c r="I1103" i="16"/>
  <c r="M222" i="10"/>
  <c r="N220" i="10"/>
  <c r="K79" i="25"/>
  <c r="J78" i="25"/>
  <c r="P209" i="13"/>
  <c r="O210" i="13"/>
  <c r="O215" i="13" s="1"/>
  <c r="W115" i="18"/>
  <c r="AT170" i="5"/>
  <c r="G268" i="13"/>
  <c r="O145" i="13"/>
  <c r="G275" i="13"/>
  <c r="O151" i="13"/>
  <c r="I262" i="13"/>
  <c r="K50" i="25"/>
  <c r="K53" i="25" s="1"/>
  <c r="J41" i="25"/>
  <c r="N143" i="12"/>
  <c r="L273" i="13"/>
  <c r="U150" i="13"/>
  <c r="L10" i="19"/>
  <c r="O200" i="13"/>
  <c r="O198" i="13"/>
  <c r="R7" i="7"/>
  <c r="P36" i="7"/>
  <c r="P20" i="7"/>
  <c r="S115" i="18"/>
  <c r="T20" i="18"/>
  <c r="O1040" i="16"/>
  <c r="J260" i="13"/>
  <c r="R122" i="13"/>
  <c r="R130" i="13"/>
  <c r="R131" i="13" s="1"/>
  <c r="R128" i="13"/>
  <c r="R129" i="13"/>
  <c r="S126" i="13"/>
  <c r="V76" i="10"/>
  <c r="V93" i="10"/>
  <c r="T178" i="10"/>
  <c r="F2562" i="16"/>
  <c r="C2715" i="16"/>
  <c r="P2027" i="16"/>
  <c r="M323" i="10"/>
  <c r="M321" i="10" s="1"/>
  <c r="V62" i="14"/>
  <c r="Y145" i="10"/>
  <c r="Z145" i="10" s="1"/>
  <c r="AA145" i="10" s="1"/>
  <c r="P1040" i="16"/>
  <c r="X201" i="10"/>
  <c r="C2477" i="16"/>
  <c r="O30" i="12"/>
  <c r="N29" i="12"/>
  <c r="N33" i="12" s="1"/>
  <c r="N44" i="12" s="1"/>
  <c r="P82" i="13"/>
  <c r="P83" i="13"/>
  <c r="P63" i="13"/>
  <c r="P87" i="13"/>
  <c r="P96" i="13" s="1"/>
  <c r="P89" i="13"/>
  <c r="P84" i="13"/>
  <c r="L93" i="12"/>
  <c r="L35" i="12" s="1"/>
  <c r="L36" i="12" s="1"/>
  <c r="K107" i="14"/>
  <c r="K111" i="14"/>
  <c r="K112" i="14" s="1"/>
  <c r="L1375" i="16"/>
  <c r="K1381" i="16"/>
  <c r="M56" i="25"/>
  <c r="K2558" i="16"/>
  <c r="K238" i="13"/>
  <c r="Q167" i="10"/>
  <c r="Q159" i="10"/>
  <c r="Q186" i="10"/>
  <c r="Q163" i="10"/>
  <c r="Q161" i="10"/>
  <c r="Q160" i="10"/>
  <c r="Q155" i="10"/>
  <c r="E29" i="7"/>
  <c r="E33" i="7" s="1"/>
  <c r="E49" i="7" s="1"/>
  <c r="E48" i="7" s="1"/>
  <c r="P153" i="10"/>
  <c r="P53" i="10"/>
  <c r="D228" i="14"/>
  <c r="D235" i="14" s="1"/>
  <c r="D241" i="14"/>
  <c r="D242" i="14" s="1"/>
  <c r="L8" i="22"/>
  <c r="N71" i="12"/>
  <c r="N88" i="12" s="1"/>
  <c r="AT260" i="5"/>
  <c r="M254" i="10"/>
  <c r="M256" i="10" s="1"/>
  <c r="L255" i="10"/>
  <c r="I120" i="25"/>
  <c r="G2556" i="16"/>
  <c r="J100" i="12"/>
  <c r="Y151" i="10"/>
  <c r="X191" i="10"/>
  <c r="I256" i="13"/>
  <c r="Q160" i="13"/>
  <c r="I284" i="13" s="1"/>
  <c r="Q123" i="13"/>
  <c r="K286" i="13"/>
  <c r="S163" i="13"/>
  <c r="K287" i="13" s="1"/>
  <c r="T162" i="13"/>
  <c r="P1035" i="16"/>
  <c r="W58" i="10"/>
  <c r="K2500" i="16" s="1"/>
  <c r="X54" i="10"/>
  <c r="W68" i="10"/>
  <c r="V45" i="14"/>
  <c r="V17" i="14" s="1"/>
  <c r="V18" i="14" s="1"/>
  <c r="X19" i="7"/>
  <c r="BN97" i="5"/>
  <c r="M2848" i="16"/>
  <c r="X59" i="14"/>
  <c r="W61" i="14"/>
  <c r="W190" i="10"/>
  <c r="X62" i="13"/>
  <c r="E1041" i="16"/>
  <c r="J1041" i="16" s="1"/>
  <c r="P1041" i="16" s="1"/>
  <c r="AG63" i="28"/>
  <c r="F31" i="21"/>
  <c r="F29" i="21"/>
  <c r="P96" i="10"/>
  <c r="P79" i="10"/>
  <c r="P80" i="10" s="1"/>
  <c r="P83" i="10" s="1"/>
  <c r="G222" i="13"/>
  <c r="G220" i="13" s="1"/>
  <c r="D1994" i="16"/>
  <c r="D1995" i="16" s="1"/>
  <c r="H289" i="13"/>
  <c r="H290" i="13"/>
  <c r="N55" i="25"/>
  <c r="L239" i="13"/>
  <c r="R180" i="10"/>
  <c r="R166" i="10" s="1"/>
  <c r="E2528" i="16"/>
  <c r="N64" i="12"/>
  <c r="O81" i="12" s="1"/>
  <c r="T150" i="10"/>
  <c r="M200" i="25"/>
  <c r="N199" i="25"/>
  <c r="L266" i="13"/>
  <c r="U144" i="13"/>
  <c r="J86" i="25"/>
  <c r="K87" i="25"/>
  <c r="R67" i="13"/>
  <c r="S72" i="13"/>
  <c r="O63" i="12"/>
  <c r="O80" i="12" s="1"/>
  <c r="O1035" i="16"/>
  <c r="L108" i="25"/>
  <c r="H257" i="13"/>
  <c r="P152" i="13"/>
  <c r="P146" i="13"/>
  <c r="Q53" i="12"/>
  <c r="P52" i="12"/>
  <c r="P55" i="12" s="1"/>
  <c r="P56" i="12" s="1"/>
  <c r="J99" i="12"/>
  <c r="K4" i="12"/>
  <c r="J60" i="12"/>
  <c r="C245" i="14"/>
  <c r="V28" i="7"/>
  <c r="AE191" i="18" s="1"/>
  <c r="G481" i="16"/>
  <c r="X188" i="13"/>
  <c r="X115" i="13"/>
  <c r="D31" i="21"/>
  <c r="D29" i="21"/>
  <c r="M11" i="12"/>
  <c r="S8" i="12"/>
  <c r="M10" i="12"/>
  <c r="N8" i="12"/>
  <c r="R50" i="9"/>
  <c r="W30" i="7"/>
  <c r="AF194" i="18" s="1"/>
  <c r="C230" i="14"/>
  <c r="C156" i="14"/>
  <c r="C231" i="14" s="1"/>
  <c r="AA54" i="13"/>
  <c r="X206" i="10"/>
  <c r="O67" i="10"/>
  <c r="O85" i="10"/>
  <c r="Q153" i="10"/>
  <c r="Q53" i="10"/>
  <c r="G29" i="21"/>
  <c r="G31" i="21"/>
  <c r="K2234" i="16"/>
  <c r="K2243" i="16" s="1"/>
  <c r="J2243" i="16"/>
  <c r="J297" i="13"/>
  <c r="R192" i="13"/>
  <c r="R197" i="13"/>
  <c r="R33" i="13" s="1"/>
  <c r="R38" i="13" s="1"/>
  <c r="G217" i="13"/>
  <c r="I447" i="1" s="1"/>
  <c r="L26" i="25"/>
  <c r="M9" i="25"/>
  <c r="D1998" i="16"/>
  <c r="D100" i="14"/>
  <c r="D90" i="14"/>
  <c r="D86" i="14"/>
  <c r="V137" i="10"/>
  <c r="U110" i="10"/>
  <c r="K48" i="12"/>
  <c r="K50" i="12" s="1"/>
  <c r="E241" i="14"/>
  <c r="E242" i="14" s="1"/>
  <c r="E228" i="14"/>
  <c r="E235" i="14" s="1"/>
  <c r="H1039" i="16"/>
  <c r="O192" i="10"/>
  <c r="N162" i="10"/>
  <c r="N158" i="10" s="1"/>
  <c r="M81" i="12"/>
  <c r="J301" i="13"/>
  <c r="R198" i="13"/>
  <c r="L256" i="10"/>
  <c r="L257" i="10" s="1"/>
  <c r="I89" i="25"/>
  <c r="G2557" i="16"/>
  <c r="I95" i="25"/>
  <c r="S21" i="18"/>
  <c r="H98" i="25"/>
  <c r="H121" i="25" s="1"/>
  <c r="H124" i="25" s="1"/>
  <c r="AA112" i="13"/>
  <c r="AB184" i="13" s="1"/>
  <c r="N30" i="25"/>
  <c r="O30" i="25" s="1"/>
  <c r="F1777" i="16"/>
  <c r="F1778" i="16" s="1"/>
  <c r="O55" i="12"/>
  <c r="O56" i="12" s="1"/>
  <c r="O312" i="10"/>
  <c r="P311" i="10"/>
  <c r="I264" i="13"/>
  <c r="Q105" i="13"/>
  <c r="Q132" i="13" s="1"/>
  <c r="E1668" i="16"/>
  <c r="N31" i="18"/>
  <c r="Q83" i="13"/>
  <c r="Q63" i="13"/>
  <c r="Q89" i="13"/>
  <c r="Q82" i="13"/>
  <c r="Q87" i="13"/>
  <c r="Q96" i="13" s="1"/>
  <c r="Q84" i="13"/>
  <c r="W120" i="10"/>
  <c r="W147" i="10" s="1"/>
  <c r="V128" i="10"/>
  <c r="V129" i="10" s="1"/>
  <c r="V138" i="10"/>
  <c r="V108" i="10"/>
  <c r="V118" i="10"/>
  <c r="E1998" i="16"/>
  <c r="Q336" i="10"/>
  <c r="E31" i="21"/>
  <c r="E29" i="21"/>
  <c r="V56" i="13"/>
  <c r="U57" i="13"/>
  <c r="AP270" i="5"/>
  <c r="V91" i="28" s="1"/>
  <c r="AO263" i="5"/>
  <c r="K20" i="25"/>
  <c r="J5" i="25"/>
  <c r="J29" i="25"/>
  <c r="E2563" i="16"/>
  <c r="P72" i="12"/>
  <c r="Q89" i="12" s="1"/>
  <c r="N69" i="12"/>
  <c r="N86" i="12" s="1"/>
  <c r="K119" i="25"/>
  <c r="K112" i="25" s="1"/>
  <c r="K64" i="25"/>
  <c r="L2" i="25"/>
  <c r="Y189" i="10"/>
  <c r="Z189" i="10" s="1"/>
  <c r="AA189" i="10" s="1"/>
  <c r="P135" i="13"/>
  <c r="P136" i="13" s="1"/>
  <c r="P108" i="13"/>
  <c r="P106" i="13"/>
  <c r="P178" i="13"/>
  <c r="R261" i="10"/>
  <c r="R274" i="10" s="1"/>
  <c r="R107" i="10"/>
  <c r="K295" i="13"/>
  <c r="T183" i="13"/>
  <c r="S185" i="13"/>
  <c r="M76" i="13"/>
  <c r="M98" i="13" s="1"/>
  <c r="Y193" i="10"/>
  <c r="Z193" i="10" s="1"/>
  <c r="AA193" i="10" s="1"/>
  <c r="I2238" i="16"/>
  <c r="I2244" i="16" s="1"/>
  <c r="J2237" i="16"/>
  <c r="F29" i="7"/>
  <c r="F33" i="7" s="1"/>
  <c r="F49" i="7" s="1"/>
  <c r="F48" i="7" s="1"/>
  <c r="K12" i="25"/>
  <c r="J16" i="25"/>
  <c r="J18" i="25" s="1"/>
  <c r="J14" i="25"/>
  <c r="H161" i="16"/>
  <c r="W93" i="13"/>
  <c r="P345" i="10"/>
  <c r="Q347" i="10"/>
  <c r="K299" i="13"/>
  <c r="S189" i="13"/>
  <c r="T187" i="13"/>
  <c r="Z112" i="13"/>
  <c r="Z184" i="13" s="1"/>
  <c r="J126" i="25"/>
  <c r="H2568" i="16" s="1"/>
  <c r="H2561" i="16"/>
  <c r="H2544" i="16" s="1"/>
  <c r="H2555" i="16" s="1"/>
  <c r="I92" i="25"/>
  <c r="I114" i="25" s="1"/>
  <c r="I84" i="25"/>
  <c r="Q10" i="7"/>
  <c r="BB3375" i="16" s="1"/>
  <c r="F650" i="16"/>
  <c r="P74" i="12"/>
  <c r="P91" i="12" s="1"/>
  <c r="H2565" i="16"/>
  <c r="K36" i="21"/>
  <c r="L2" i="21"/>
  <c r="N92" i="10"/>
  <c r="N99" i="10" s="1"/>
  <c r="N75" i="10"/>
  <c r="K110" i="25"/>
  <c r="K123" i="25" s="1"/>
  <c r="I2559" i="16"/>
  <c r="I132" i="12"/>
  <c r="I123" i="12"/>
  <c r="V185" i="10"/>
  <c r="I263" i="13"/>
  <c r="Q164" i="13"/>
  <c r="V132" i="10"/>
  <c r="W126" i="10"/>
  <c r="C1994" i="16"/>
  <c r="Q7" i="14"/>
  <c r="P8" i="14"/>
  <c r="P9" i="14" s="1"/>
  <c r="O109" i="13"/>
  <c r="O110" i="13"/>
  <c r="H195" i="16"/>
  <c r="L188" i="16"/>
  <c r="I303" i="13"/>
  <c r="Q193" i="13"/>
  <c r="I304" i="13" s="1"/>
  <c r="I8" i="21"/>
  <c r="I9" i="21" s="1"/>
  <c r="I11" i="21"/>
  <c r="O91" i="12"/>
  <c r="S1" i="10"/>
  <c r="S225" i="10" s="1"/>
  <c r="U204" i="10"/>
  <c r="Y51" i="29" s="1"/>
  <c r="Y52" i="29" s="1"/>
  <c r="U149" i="10"/>
  <c r="Y114" i="13"/>
  <c r="O115" i="18"/>
  <c r="J53" i="25"/>
  <c r="N80" i="12"/>
  <c r="M38" i="7"/>
  <c r="M39" i="7" s="1"/>
  <c r="N12" i="7"/>
  <c r="N317" i="10"/>
  <c r="M283" i="13"/>
  <c r="U161" i="13"/>
  <c r="M285" i="13" s="1"/>
  <c r="V159" i="13"/>
  <c r="F1994" i="16"/>
  <c r="F1995" i="16" s="1"/>
  <c r="Z343" i="5"/>
  <c r="Z345" i="5" s="1"/>
  <c r="Z347" i="5" s="1"/>
  <c r="D467" i="16"/>
  <c r="Z310" i="5"/>
  <c r="Z309" i="5"/>
  <c r="L55" i="14"/>
  <c r="K56" i="14"/>
  <c r="BC92" i="5"/>
  <c r="F111" i="14"/>
  <c r="F112" i="14" s="1"/>
  <c r="F107" i="14"/>
  <c r="J265" i="10"/>
  <c r="J246" i="10"/>
  <c r="H111" i="14"/>
  <c r="H112" i="14" s="1"/>
  <c r="H107" i="14"/>
  <c r="H319" i="10"/>
  <c r="G37" i="14"/>
  <c r="G35" i="14"/>
  <c r="G36" i="14"/>
  <c r="H35" i="14"/>
  <c r="H36" i="14"/>
  <c r="E104" i="9"/>
  <c r="F104" i="9" s="1"/>
  <c r="K216" i="13"/>
  <c r="K217" i="13" s="1"/>
  <c r="M447" i="1" s="1"/>
  <c r="S19" i="18"/>
  <c r="E213" i="16"/>
  <c r="J24" i="7"/>
  <c r="D325" i="16"/>
  <c r="J54" i="7"/>
  <c r="C391" i="16" s="1"/>
  <c r="C443" i="16" s="1"/>
  <c r="D343" i="16"/>
  <c r="C467" i="16"/>
  <c r="R19" i="18"/>
  <c r="D213" i="16"/>
  <c r="I24" i="7"/>
  <c r="C325" i="16"/>
  <c r="I54" i="7"/>
  <c r="C343" i="16"/>
  <c r="Q14" i="18"/>
  <c r="C702" i="16"/>
  <c r="C700" i="16"/>
  <c r="H321" i="10"/>
  <c r="H309" i="10" s="1"/>
  <c r="G82" i="14"/>
  <c r="G80" i="14"/>
  <c r="G91" i="14" s="1"/>
  <c r="AE91" i="14" s="1"/>
  <c r="AE92" i="14" s="1"/>
  <c r="G92" i="14"/>
  <c r="S131" i="18"/>
  <c r="Z21" i="5"/>
  <c r="M28" i="1" s="1"/>
  <c r="C304" i="16"/>
  <c r="D302" i="16"/>
  <c r="D304" i="16" s="1"/>
  <c r="H60" i="14"/>
  <c r="M222" i="13"/>
  <c r="M220" i="13" s="1"/>
  <c r="J216" i="13"/>
  <c r="J217" i="13" s="1"/>
  <c r="L447" i="1" s="1"/>
  <c r="G111" i="14"/>
  <c r="G112" i="14" s="1"/>
  <c r="G107" i="14"/>
  <c r="D54" i="9"/>
  <c r="I206" i="13"/>
  <c r="Q23" i="18"/>
  <c r="Q24" i="18" s="1"/>
  <c r="F732" i="16"/>
  <c r="F733" i="16"/>
  <c r="E54" i="9"/>
  <c r="L222" i="13"/>
  <c r="L220" i="13" s="1"/>
  <c r="C218" i="16"/>
  <c r="C214" i="16"/>
  <c r="E103" i="9"/>
  <c r="F103" i="9" s="1"/>
  <c r="E102" i="9"/>
  <c r="F102" i="9" s="1"/>
  <c r="R40" i="13" l="1"/>
  <c r="R39" i="13"/>
  <c r="R34" i="13"/>
  <c r="R35" i="13"/>
  <c r="AB54" i="13"/>
  <c r="Z94" i="10" s="1"/>
  <c r="AG198" i="18"/>
  <c r="AG197" i="18"/>
  <c r="X61" i="14"/>
  <c r="X62" i="14" s="1"/>
  <c r="Y59" i="14"/>
  <c r="AB189" i="10"/>
  <c r="AB145" i="10"/>
  <c r="AB193" i="10"/>
  <c r="AC86" i="10"/>
  <c r="P55" i="25"/>
  <c r="P108" i="25" s="1"/>
  <c r="AC135" i="10"/>
  <c r="T28" i="21"/>
  <c r="U22" i="21"/>
  <c r="N200" i="25"/>
  <c r="O199" i="25"/>
  <c r="L2579" i="16"/>
  <c r="O133" i="25"/>
  <c r="P133" i="25" s="1"/>
  <c r="Q133" i="25" s="1"/>
  <c r="R133" i="25" s="1"/>
  <c r="S133" i="25" s="1"/>
  <c r="Q34" i="21"/>
  <c r="Q37" i="21" s="1"/>
  <c r="Q38" i="21" s="1"/>
  <c r="U268" i="10"/>
  <c r="S20" i="21"/>
  <c r="S31" i="21" s="1"/>
  <c r="T18" i="21"/>
  <c r="S17" i="21"/>
  <c r="R59" i="25"/>
  <c r="R29" i="21"/>
  <c r="O108" i="25"/>
  <c r="O56" i="25"/>
  <c r="P30" i="25"/>
  <c r="Q55" i="25"/>
  <c r="R58" i="25"/>
  <c r="M400" i="1"/>
  <c r="AA582" i="1"/>
  <c r="X42" i="7" s="1"/>
  <c r="X50" i="7" s="1"/>
  <c r="G3217" i="16" s="1"/>
  <c r="W50" i="26"/>
  <c r="Q258" i="1"/>
  <c r="R257" i="1"/>
  <c r="M510" i="1"/>
  <c r="M586" i="1"/>
  <c r="N510" i="1"/>
  <c r="Q237" i="1"/>
  <c r="R236" i="1"/>
  <c r="M594" i="1"/>
  <c r="M587" i="1"/>
  <c r="L586" i="1"/>
  <c r="L510" i="1"/>
  <c r="K595" i="1"/>
  <c r="K167" i="1"/>
  <c r="L587" i="1"/>
  <c r="L594" i="1"/>
  <c r="L404" i="1"/>
  <c r="L405" i="1" s="1"/>
  <c r="L209" i="1" s="1"/>
  <c r="L220" i="1" s="1"/>
  <c r="L222" i="1" s="1"/>
  <c r="L400" i="1"/>
  <c r="M132" i="1"/>
  <c r="N29" i="1"/>
  <c r="M29" i="1"/>
  <c r="M35" i="1"/>
  <c r="M30" i="1"/>
  <c r="M31" i="1" s="1"/>
  <c r="N31" i="1"/>
  <c r="M106" i="1"/>
  <c r="M76" i="1"/>
  <c r="M103" i="1"/>
  <c r="M122" i="1"/>
  <c r="M77" i="1"/>
  <c r="M125" i="1"/>
  <c r="H733" i="16" s="1"/>
  <c r="M49" i="7"/>
  <c r="M48" i="7" s="1"/>
  <c r="V201" i="18"/>
  <c r="V202" i="18" s="1"/>
  <c r="C324" i="16"/>
  <c r="C336" i="16" s="1"/>
  <c r="R18" i="18"/>
  <c r="D212" i="16"/>
  <c r="D217" i="16" s="1"/>
  <c r="E467" i="16"/>
  <c r="I21" i="26"/>
  <c r="L44" i="25"/>
  <c r="L62" i="25" s="1"/>
  <c r="L122" i="25" s="1"/>
  <c r="J2564" i="16" s="1"/>
  <c r="F222" i="10"/>
  <c r="K2" i="14"/>
  <c r="L2" i="14" s="1"/>
  <c r="AL4" i="14"/>
  <c r="E100" i="14"/>
  <c r="E86" i="14"/>
  <c r="E90" i="14"/>
  <c r="J2547" i="16"/>
  <c r="M38" i="25"/>
  <c r="M115" i="25" s="1"/>
  <c r="H24" i="12"/>
  <c r="H149" i="12"/>
  <c r="H136" i="12"/>
  <c r="H135" i="12" s="1"/>
  <c r="J140" i="12"/>
  <c r="I139" i="12"/>
  <c r="I141" i="12" s="1"/>
  <c r="I144" i="12" s="1"/>
  <c r="I137" i="12" s="1"/>
  <c r="G25" i="12"/>
  <c r="G27" i="12" s="1"/>
  <c r="G124" i="12"/>
  <c r="M102" i="25"/>
  <c r="M116" i="25" s="1"/>
  <c r="J2548" i="16"/>
  <c r="H29" i="21"/>
  <c r="H34" i="21" s="1"/>
  <c r="H37" i="21" s="1"/>
  <c r="H38" i="21" s="1"/>
  <c r="O343" i="10"/>
  <c r="M258" i="13"/>
  <c r="V124" i="13"/>
  <c r="R190" i="13"/>
  <c r="R133" i="13"/>
  <c r="Q61" i="13"/>
  <c r="Q88" i="13" s="1"/>
  <c r="Q64" i="13"/>
  <c r="P61" i="13"/>
  <c r="P88" i="13" s="1"/>
  <c r="P64" i="13"/>
  <c r="Q195" i="10"/>
  <c r="Q165" i="10" s="1"/>
  <c r="U136" i="10"/>
  <c r="T146" i="10"/>
  <c r="T119" i="10" s="1"/>
  <c r="T109" i="10"/>
  <c r="K254" i="13"/>
  <c r="K253" i="13"/>
  <c r="R184" i="10"/>
  <c r="R187" i="10"/>
  <c r="R201" i="10" s="1"/>
  <c r="G136" i="25"/>
  <c r="G135" i="25"/>
  <c r="D236" i="14"/>
  <c r="D246" i="14" s="1"/>
  <c r="R51" i="7"/>
  <c r="K49" i="9"/>
  <c r="Q15" i="18"/>
  <c r="H52" i="7"/>
  <c r="AD52" i="29"/>
  <c r="G130" i="25"/>
  <c r="E2572" i="16" s="1"/>
  <c r="D2583" i="16"/>
  <c r="F242" i="25"/>
  <c r="F136" i="25"/>
  <c r="E2566" i="16"/>
  <c r="G128" i="25"/>
  <c r="E2570" i="16" s="1"/>
  <c r="G127" i="25"/>
  <c r="E2569" i="16" s="1"/>
  <c r="G129" i="25"/>
  <c r="E2571" i="16" s="1"/>
  <c r="E220" i="14"/>
  <c r="E221" i="14" s="1"/>
  <c r="E236" i="14" s="1"/>
  <c r="E175" i="14"/>
  <c r="E176" i="14" s="1"/>
  <c r="I138" i="14"/>
  <c r="I139" i="14" s="1"/>
  <c r="G131" i="25"/>
  <c r="E2573" i="16" s="1"/>
  <c r="J2545" i="16"/>
  <c r="L113" i="25"/>
  <c r="Y2806" i="16"/>
  <c r="O2806" i="16"/>
  <c r="B120" i="28"/>
  <c r="BH90" i="28"/>
  <c r="BH93" i="28" s="1"/>
  <c r="M93" i="12"/>
  <c r="M35" i="12" s="1"/>
  <c r="M36" i="12" s="1"/>
  <c r="D1068" i="16"/>
  <c r="D1066" i="16" s="1"/>
  <c r="H1068" i="16"/>
  <c r="I1039" i="16"/>
  <c r="G2546" i="16"/>
  <c r="G2549" i="16" s="1"/>
  <c r="G2553" i="16" s="1"/>
  <c r="I117" i="25"/>
  <c r="I1045" i="16"/>
  <c r="O1045" i="16" s="1"/>
  <c r="P31" i="18"/>
  <c r="T346" i="10"/>
  <c r="N81" i="12"/>
  <c r="N93" i="12" s="1"/>
  <c r="N35" i="12" s="1"/>
  <c r="N222" i="13"/>
  <c r="N220" i="13" s="1"/>
  <c r="P66" i="13"/>
  <c r="P92" i="13" s="1"/>
  <c r="P85" i="13" s="1"/>
  <c r="F51" i="7"/>
  <c r="E51" i="7"/>
  <c r="P341" i="10"/>
  <c r="P342" i="10"/>
  <c r="Q66" i="13"/>
  <c r="Q92" i="13" s="1"/>
  <c r="Q85" i="13" s="1"/>
  <c r="Z114" i="13"/>
  <c r="Z188" i="13" s="1"/>
  <c r="AA184" i="13"/>
  <c r="D34" i="21"/>
  <c r="D37" i="21" s="1"/>
  <c r="D38" i="21" s="1"/>
  <c r="K81" i="25"/>
  <c r="J105" i="25"/>
  <c r="G1105" i="16"/>
  <c r="I1104" i="16"/>
  <c r="H1104" i="16"/>
  <c r="W209" i="10"/>
  <c r="X101" i="10"/>
  <c r="H131" i="25"/>
  <c r="F2573" i="16" s="1"/>
  <c r="H137" i="25"/>
  <c r="F2566" i="16"/>
  <c r="H129" i="25"/>
  <c r="F2571" i="16" s="1"/>
  <c r="H130" i="25"/>
  <c r="F2572" i="16" s="1"/>
  <c r="H127" i="25"/>
  <c r="F2569" i="16" s="1"/>
  <c r="E245" i="14"/>
  <c r="L286" i="13"/>
  <c r="T163" i="13"/>
  <c r="L287" i="13" s="1"/>
  <c r="U162" i="13"/>
  <c r="T115" i="18"/>
  <c r="W56" i="13"/>
  <c r="V57" i="13"/>
  <c r="N77" i="12"/>
  <c r="N61" i="12" s="1"/>
  <c r="N76" i="13"/>
  <c r="P80" i="12"/>
  <c r="S261" i="10"/>
  <c r="S274" i="10" s="1"/>
  <c r="S107" i="10"/>
  <c r="M2" i="21"/>
  <c r="L36" i="21"/>
  <c r="Q36" i="7"/>
  <c r="D2337" i="16"/>
  <c r="D2339" i="16" s="1"/>
  <c r="D2341" i="16" s="1"/>
  <c r="D2343" i="16" s="1"/>
  <c r="D2346" i="16" s="1"/>
  <c r="Q20" i="7"/>
  <c r="I161" i="16"/>
  <c r="X120" i="10"/>
  <c r="X147" i="10" s="1"/>
  <c r="W138" i="10"/>
  <c r="W128" i="10"/>
  <c r="W129" i="10" s="1"/>
  <c r="W108" i="10"/>
  <c r="W118" i="10"/>
  <c r="N9" i="25"/>
  <c r="M26" i="25"/>
  <c r="G34" i="21"/>
  <c r="G37" i="21" s="1"/>
  <c r="G38" i="21" s="1"/>
  <c r="K268" i="10"/>
  <c r="G474" i="16"/>
  <c r="H275" i="13"/>
  <c r="P151" i="13"/>
  <c r="S67" i="13"/>
  <c r="T72" i="13"/>
  <c r="M266" i="13"/>
  <c r="V144" i="13"/>
  <c r="W45" i="14"/>
  <c r="W17" i="14" s="1"/>
  <c r="W18" i="14" s="1"/>
  <c r="Y19" i="7"/>
  <c r="I257" i="13"/>
  <c r="Q152" i="13"/>
  <c r="Q146" i="13"/>
  <c r="M257" i="10"/>
  <c r="D245" i="14"/>
  <c r="M1375" i="16"/>
  <c r="L1381" i="16"/>
  <c r="J262" i="13"/>
  <c r="L50" i="25"/>
  <c r="L53" i="25" s="1"/>
  <c r="K41" i="25"/>
  <c r="O216" i="13"/>
  <c r="O217" i="13" s="1"/>
  <c r="Q447" i="1" s="1"/>
  <c r="O317" i="10"/>
  <c r="O92" i="10"/>
  <c r="O99" i="10" s="1"/>
  <c r="O75" i="10"/>
  <c r="Y62" i="13"/>
  <c r="P97" i="10"/>
  <c r="G2562" i="16"/>
  <c r="K260" i="13"/>
  <c r="S130" i="13"/>
  <c r="S131" i="13" s="1"/>
  <c r="S128" i="13"/>
  <c r="T126" i="13"/>
  <c r="U126" i="13" s="1"/>
  <c r="V126" i="13" s="1"/>
  <c r="W126" i="13" s="1"/>
  <c r="X126" i="13" s="1"/>
  <c r="Y126" i="13" s="1"/>
  <c r="Z126" i="13" s="1"/>
  <c r="AA126" i="13" s="1"/>
  <c r="AB126" i="13" s="1"/>
  <c r="S122" i="13"/>
  <c r="S129" i="13"/>
  <c r="E34" i="21"/>
  <c r="E37" i="21" s="1"/>
  <c r="E38" i="21" s="1"/>
  <c r="I268" i="10"/>
  <c r="J89" i="25"/>
  <c r="H2557" i="16"/>
  <c r="J95" i="25"/>
  <c r="F34" i="21"/>
  <c r="F37" i="21" s="1"/>
  <c r="F38" i="21" s="1"/>
  <c r="J268" i="10"/>
  <c r="J269" i="10" s="1"/>
  <c r="J270" i="10" s="1"/>
  <c r="Y54" i="10"/>
  <c r="Z54" i="10" s="1"/>
  <c r="AA54" i="10" s="1"/>
  <c r="X58" i="10"/>
  <c r="L2500" i="16" s="1"/>
  <c r="X68" i="10"/>
  <c r="Q198" i="10"/>
  <c r="Q205" i="10"/>
  <c r="Q77" i="10"/>
  <c r="Q26" i="26"/>
  <c r="Q94" i="10"/>
  <c r="J263" i="13"/>
  <c r="R164" i="13"/>
  <c r="T21" i="18"/>
  <c r="AE39" i="5"/>
  <c r="AE40" i="5" s="1"/>
  <c r="O143" i="12"/>
  <c r="N318" i="10"/>
  <c r="N319" i="10" s="1"/>
  <c r="P115" i="18"/>
  <c r="I289" i="13"/>
  <c r="Q165" i="13"/>
  <c r="I290" i="13" s="1"/>
  <c r="Q345" i="10"/>
  <c r="R347" i="10"/>
  <c r="L64" i="25"/>
  <c r="M2" i="25"/>
  <c r="L119" i="25"/>
  <c r="L112" i="25" s="1"/>
  <c r="L20" i="25"/>
  <c r="K5" i="25"/>
  <c r="K29" i="25"/>
  <c r="R336" i="10"/>
  <c r="N199" i="10"/>
  <c r="N200" i="10" s="1"/>
  <c r="N188" i="10"/>
  <c r="N201" i="10" s="1"/>
  <c r="N205" i="10"/>
  <c r="N198" i="10"/>
  <c r="N254" i="10" s="1"/>
  <c r="N256" i="10" s="1"/>
  <c r="N257" i="10" s="1"/>
  <c r="N325" i="10"/>
  <c r="V110" i="10"/>
  <c r="W137" i="10"/>
  <c r="Y206" i="10"/>
  <c r="G163" i="16"/>
  <c r="G164" i="16" s="1"/>
  <c r="G138" i="16"/>
  <c r="R82" i="13"/>
  <c r="R83" i="13"/>
  <c r="R63" i="13"/>
  <c r="R87" i="13"/>
  <c r="R96" i="13" s="1"/>
  <c r="R89" i="13"/>
  <c r="R84" i="13"/>
  <c r="X190" i="10"/>
  <c r="S50" i="9"/>
  <c r="X30" i="7"/>
  <c r="AG194" i="18" s="1"/>
  <c r="J264" i="13"/>
  <c r="R105" i="13"/>
  <c r="F1668" i="16"/>
  <c r="C5" i="26"/>
  <c r="C6" i="26" s="1"/>
  <c r="R10" i="7"/>
  <c r="BC3375" i="16" s="1"/>
  <c r="G650" i="16"/>
  <c r="V150" i="13"/>
  <c r="M273" i="13"/>
  <c r="G267" i="13"/>
  <c r="O147" i="13"/>
  <c r="Q209" i="13"/>
  <c r="P210" i="13"/>
  <c r="P215" i="13" s="1"/>
  <c r="X93" i="13"/>
  <c r="P30" i="12"/>
  <c r="O29" i="12"/>
  <c r="O33" i="12" s="1"/>
  <c r="O44" i="12" s="1"/>
  <c r="Q82" i="10"/>
  <c r="C2494" i="16"/>
  <c r="I7" i="21"/>
  <c r="I20" i="21"/>
  <c r="H268" i="13"/>
  <c r="P145" i="13"/>
  <c r="N56" i="25"/>
  <c r="L2558" i="16"/>
  <c r="N38" i="7"/>
  <c r="N39" i="7" s="1"/>
  <c r="O12" i="7"/>
  <c r="I52" i="7"/>
  <c r="N283" i="13"/>
  <c r="V161" i="13"/>
  <c r="N285" i="13" s="1"/>
  <c r="W159" i="13"/>
  <c r="Y188" i="13"/>
  <c r="Y115" i="13"/>
  <c r="K297" i="13"/>
  <c r="S192" i="13"/>
  <c r="AO265" i="5"/>
  <c r="AP141" i="5" s="1"/>
  <c r="AP337" i="5"/>
  <c r="AP273" i="5"/>
  <c r="V93" i="28" s="1"/>
  <c r="AP140" i="5"/>
  <c r="Q108" i="13"/>
  <c r="Q135" i="13"/>
  <c r="Q136" i="13" s="1"/>
  <c r="Q106" i="13"/>
  <c r="Q178" i="13"/>
  <c r="I98" i="25"/>
  <c r="I121" i="25" s="1"/>
  <c r="I124" i="25" s="1"/>
  <c r="O162" i="10"/>
  <c r="O158" i="10" s="1"/>
  <c r="P192" i="10"/>
  <c r="D101" i="14"/>
  <c r="D106" i="14" s="1"/>
  <c r="D111" i="14" s="1"/>
  <c r="D112" i="14" s="1"/>
  <c r="D91" i="14"/>
  <c r="G3131" i="16"/>
  <c r="G3134" i="16" s="1"/>
  <c r="Q67" i="10"/>
  <c r="Q85" i="10"/>
  <c r="M108" i="25"/>
  <c r="N108" i="25"/>
  <c r="M239" i="13"/>
  <c r="T181" i="10"/>
  <c r="S180" i="10"/>
  <c r="S166" i="10" s="1"/>
  <c r="F2528" i="16"/>
  <c r="Q79" i="10"/>
  <c r="C2497" i="16" s="1"/>
  <c r="Q96" i="10"/>
  <c r="Q89" i="10" s="1"/>
  <c r="E2491" i="16" s="1"/>
  <c r="Y201" i="10"/>
  <c r="U178" i="10"/>
  <c r="J256" i="13"/>
  <c r="R123" i="13"/>
  <c r="R160" i="13"/>
  <c r="J284" i="13" s="1"/>
  <c r="N222" i="10"/>
  <c r="O220" i="10"/>
  <c r="C1996" i="16"/>
  <c r="C1995" i="16"/>
  <c r="R53" i="10"/>
  <c r="R153" i="10"/>
  <c r="W132" i="10"/>
  <c r="X126" i="10"/>
  <c r="Q74" i="12"/>
  <c r="Q91" i="12" s="1"/>
  <c r="O111" i="18"/>
  <c r="O117" i="18" s="1"/>
  <c r="O69" i="12"/>
  <c r="P86" i="12" s="1"/>
  <c r="H128" i="25"/>
  <c r="F2570" i="16" s="1"/>
  <c r="F2563" i="16"/>
  <c r="J303" i="13"/>
  <c r="R193" i="13"/>
  <c r="J304" i="13" s="1"/>
  <c r="Q52" i="12"/>
  <c r="Q55" i="12" s="1"/>
  <c r="Q56" i="12" s="1"/>
  <c r="R53" i="12"/>
  <c r="R52" i="12" s="1"/>
  <c r="R55" i="12" s="1"/>
  <c r="R56" i="12" s="1"/>
  <c r="K86" i="25"/>
  <c r="L87" i="25"/>
  <c r="G274" i="13"/>
  <c r="O153" i="13"/>
  <c r="T1" i="10"/>
  <c r="J32" i="25"/>
  <c r="J120" i="25" s="1"/>
  <c r="H2556" i="16"/>
  <c r="Q95" i="13"/>
  <c r="S11" i="12"/>
  <c r="M12" i="12"/>
  <c r="X194" i="10"/>
  <c r="S7" i="7"/>
  <c r="U20" i="18"/>
  <c r="G29" i="7"/>
  <c r="G33" i="7" s="1"/>
  <c r="G49" i="7" s="1"/>
  <c r="G48" i="7" s="1"/>
  <c r="I2565" i="16"/>
  <c r="L299" i="13"/>
  <c r="U187" i="13"/>
  <c r="T189" i="13"/>
  <c r="L12" i="25"/>
  <c r="K16" i="25"/>
  <c r="K18" i="25" s="1"/>
  <c r="K14" i="25"/>
  <c r="K2237" i="16"/>
  <c r="K2238" i="16" s="1"/>
  <c r="K2244" i="16" s="1"/>
  <c r="L2237" i="16"/>
  <c r="L2238" i="16" s="1"/>
  <c r="L2244" i="16" s="1"/>
  <c r="J2238" i="16"/>
  <c r="J2244" i="16" s="1"/>
  <c r="L295" i="13"/>
  <c r="U183" i="13"/>
  <c r="T185" i="13"/>
  <c r="P110" i="13"/>
  <c r="P109" i="13"/>
  <c r="K126" i="25"/>
  <c r="I2568" i="16" s="1"/>
  <c r="I2561" i="16"/>
  <c r="I2544" i="16" s="1"/>
  <c r="I2555" i="16" s="1"/>
  <c r="P89" i="12"/>
  <c r="AA114" i="13"/>
  <c r="AB188" i="13" s="1"/>
  <c r="N1039" i="16"/>
  <c r="H1043" i="16"/>
  <c r="K99" i="12"/>
  <c r="K60" i="12"/>
  <c r="L4" i="12"/>
  <c r="L110" i="25"/>
  <c r="L123" i="25" s="1"/>
  <c r="J2559" i="16"/>
  <c r="L238" i="13"/>
  <c r="R186" i="10"/>
  <c r="R159" i="10"/>
  <c r="R167" i="10"/>
  <c r="R163" i="10"/>
  <c r="R161" i="10"/>
  <c r="R160" i="10"/>
  <c r="R155" i="10"/>
  <c r="W62" i="14"/>
  <c r="M255" i="10"/>
  <c r="P95" i="13"/>
  <c r="J1039" i="16"/>
  <c r="H163" i="16"/>
  <c r="H164" i="16" s="1"/>
  <c r="H138" i="16"/>
  <c r="J92" i="25"/>
  <c r="J114" i="25" s="1"/>
  <c r="J84" i="25"/>
  <c r="C232" i="14"/>
  <c r="C236" i="14" s="1"/>
  <c r="C241" i="14"/>
  <c r="C242" i="14" s="1"/>
  <c r="W76" i="10"/>
  <c r="W93" i="10"/>
  <c r="Q335" i="10"/>
  <c r="J51" i="7"/>
  <c r="K51" i="7"/>
  <c r="U150" i="10"/>
  <c r="M188" i="16"/>
  <c r="I195" i="16"/>
  <c r="R7" i="14"/>
  <c r="Q8" i="14"/>
  <c r="Q9" i="14" s="1"/>
  <c r="W185" i="10"/>
  <c r="K301" i="13"/>
  <c r="V204" i="10"/>
  <c r="Z51" i="29" s="1"/>
  <c r="Z52" i="29" s="1"/>
  <c r="V149" i="10"/>
  <c r="P312" i="10"/>
  <c r="Q311" i="10"/>
  <c r="D105" i="14"/>
  <c r="O8" i="12"/>
  <c r="N10" i="12"/>
  <c r="N11" i="12"/>
  <c r="N12" i="12" s="1"/>
  <c r="W28" i="7"/>
  <c r="AF191" i="18" s="1"/>
  <c r="J132" i="12"/>
  <c r="J123" i="12"/>
  <c r="Y191" i="10"/>
  <c r="Z191" i="10" s="1"/>
  <c r="AA191" i="10" s="1"/>
  <c r="AU270" i="5"/>
  <c r="Z91" i="28" s="1"/>
  <c r="AT263" i="5"/>
  <c r="O71" i="12"/>
  <c r="O88" i="12" s="1"/>
  <c r="P67" i="10"/>
  <c r="P85" i="10"/>
  <c r="N111" i="18"/>
  <c r="L79" i="25"/>
  <c r="K78" i="25"/>
  <c r="G242" i="25"/>
  <c r="E2583" i="16"/>
  <c r="C345" i="16"/>
  <c r="C357" i="16" s="1"/>
  <c r="C355" i="16"/>
  <c r="S14" i="18"/>
  <c r="Q30" i="18"/>
  <c r="K222" i="13"/>
  <c r="K220" i="13" s="1"/>
  <c r="I309" i="10"/>
  <c r="H308" i="10"/>
  <c r="Z72" i="5"/>
  <c r="Z71" i="5"/>
  <c r="C327" i="16"/>
  <c r="C339" i="16" s="1"/>
  <c r="C337" i="16"/>
  <c r="D355" i="16"/>
  <c r="D345" i="16"/>
  <c r="D357" i="16" s="1"/>
  <c r="M55" i="14"/>
  <c r="L56" i="14"/>
  <c r="S23" i="18"/>
  <c r="S24" i="18" s="1"/>
  <c r="H732" i="16"/>
  <c r="S109" i="18"/>
  <c r="J222" i="13"/>
  <c r="J220" i="13" s="1"/>
  <c r="J207" i="13" s="1"/>
  <c r="D218" i="16"/>
  <c r="D337" i="16"/>
  <c r="D327" i="16"/>
  <c r="D339" i="16" s="1"/>
  <c r="C105" i="9"/>
  <c r="R23" i="18"/>
  <c r="R24" i="18" s="1"/>
  <c r="G732" i="16"/>
  <c r="G733" i="16"/>
  <c r="R109" i="18"/>
  <c r="C442" i="16"/>
  <c r="C464" i="16"/>
  <c r="C387" i="16"/>
  <c r="C389" i="16" s="1"/>
  <c r="Q109" i="18"/>
  <c r="R14" i="18"/>
  <c r="E218" i="16"/>
  <c r="G38" i="14"/>
  <c r="H38" i="14"/>
  <c r="Z206" i="10" l="1"/>
  <c r="Z207" i="10" s="1"/>
  <c r="AC54" i="13"/>
  <c r="AA206" i="10" s="1"/>
  <c r="AA207" i="10" s="1"/>
  <c r="Z254" i="10"/>
  <c r="X50" i="26"/>
  <c r="AB582" i="1"/>
  <c r="Y42" i="7" s="1"/>
  <c r="Y50" i="7" s="1"/>
  <c r="AH198" i="18"/>
  <c r="AH197" i="18"/>
  <c r="J3136" i="16"/>
  <c r="I3136" i="16"/>
  <c r="P56" i="25"/>
  <c r="Z59" i="14"/>
  <c r="Y61" i="14"/>
  <c r="AD86" i="10"/>
  <c r="AC193" i="10"/>
  <c r="AB54" i="10"/>
  <c r="AA58" i="10"/>
  <c r="AA68" i="10"/>
  <c r="AC145" i="10"/>
  <c r="AB191" i="10"/>
  <c r="AD135" i="10"/>
  <c r="AC189" i="10"/>
  <c r="Z58" i="10"/>
  <c r="Z68" i="10"/>
  <c r="O200" i="25"/>
  <c r="P199" i="25"/>
  <c r="O9" i="25"/>
  <c r="Q30" i="25"/>
  <c r="T20" i="21"/>
  <c r="T31" i="21" s="1"/>
  <c r="U18" i="21"/>
  <c r="T17" i="21"/>
  <c r="S29" i="21"/>
  <c r="U28" i="21"/>
  <c r="V22" i="21"/>
  <c r="R55" i="25"/>
  <c r="S58" i="25"/>
  <c r="Q108" i="25"/>
  <c r="Q56" i="25"/>
  <c r="AC126" i="13"/>
  <c r="AB130" i="13"/>
  <c r="AB128" i="13"/>
  <c r="AB129" i="13"/>
  <c r="R34" i="21"/>
  <c r="R37" i="21" s="1"/>
  <c r="R38" i="21" s="1"/>
  <c r="V268" i="10"/>
  <c r="S59" i="25"/>
  <c r="T225" i="10"/>
  <c r="M167" i="1"/>
  <c r="M595" i="1"/>
  <c r="N595" i="1"/>
  <c r="L167" i="1"/>
  <c r="L595" i="1"/>
  <c r="S236" i="1"/>
  <c r="R237" i="1"/>
  <c r="R258" i="1"/>
  <c r="S257" i="1"/>
  <c r="M351" i="1"/>
  <c r="M341" i="1"/>
  <c r="M344" i="1"/>
  <c r="M133" i="1"/>
  <c r="N133" i="1"/>
  <c r="M309" i="1"/>
  <c r="M347" i="1"/>
  <c r="M354" i="1"/>
  <c r="M477" i="1"/>
  <c r="C1440" i="16"/>
  <c r="N49" i="7"/>
  <c r="N48" i="7" s="1"/>
  <c r="W201" i="18"/>
  <c r="W202" i="18" s="1"/>
  <c r="D214" i="16"/>
  <c r="H136" i="25"/>
  <c r="I136" i="25" s="1"/>
  <c r="H135" i="25"/>
  <c r="K78" i="14"/>
  <c r="K84" i="14" s="1"/>
  <c r="K89" i="14" s="1"/>
  <c r="K94" i="14" s="1"/>
  <c r="K99" i="14" s="1"/>
  <c r="K104" i="14" s="1"/>
  <c r="K109" i="14" s="1"/>
  <c r="AM4" i="14"/>
  <c r="L268" i="10"/>
  <c r="K2547" i="16"/>
  <c r="M44" i="25"/>
  <c r="M62" i="25" s="1"/>
  <c r="M122" i="25" s="1"/>
  <c r="K2564" i="16" s="1"/>
  <c r="N38" i="25"/>
  <c r="E101" i="14"/>
  <c r="E106" i="14" s="1"/>
  <c r="E111" i="14" s="1"/>
  <c r="E112" i="14" s="1"/>
  <c r="E91" i="14"/>
  <c r="E105" i="14"/>
  <c r="I136" i="12"/>
  <c r="I135" i="12" s="1"/>
  <c r="I24" i="12"/>
  <c r="I149" i="12"/>
  <c r="K140" i="12"/>
  <c r="J139" i="12"/>
  <c r="J141" i="12" s="1"/>
  <c r="J144" i="12" s="1"/>
  <c r="J137" i="12" s="1"/>
  <c r="H25" i="12"/>
  <c r="H27" i="12" s="1"/>
  <c r="H124" i="12"/>
  <c r="K2548" i="16"/>
  <c r="N102" i="25"/>
  <c r="R195" i="10"/>
  <c r="R165" i="10" s="1"/>
  <c r="W124" i="13"/>
  <c r="X124" i="13" s="1"/>
  <c r="Y124" i="13" s="1"/>
  <c r="Z124" i="13" s="1"/>
  <c r="AA124" i="13" s="1"/>
  <c r="AB124" i="13" s="1"/>
  <c r="AC124" i="13" s="1"/>
  <c r="AD124" i="13" s="1"/>
  <c r="AE124" i="13" s="1"/>
  <c r="AF124" i="13" s="1"/>
  <c r="N258" i="13"/>
  <c r="F138" i="25"/>
  <c r="D2582" i="16"/>
  <c r="Z115" i="13"/>
  <c r="R61" i="13"/>
  <c r="R88" i="13" s="1"/>
  <c r="R64" i="13"/>
  <c r="L251" i="13"/>
  <c r="S184" i="10"/>
  <c r="S154" i="10" s="1"/>
  <c r="S190" i="13"/>
  <c r="S105" i="13"/>
  <c r="U146" i="10"/>
  <c r="U119" i="10" s="1"/>
  <c r="U109" i="10"/>
  <c r="V136" i="10"/>
  <c r="G138" i="25"/>
  <c r="G206" i="25" s="1"/>
  <c r="D237" i="14"/>
  <c r="D247" i="14" s="1"/>
  <c r="E246" i="14"/>
  <c r="E237" i="14"/>
  <c r="E247" i="14" s="1"/>
  <c r="H41" i="7"/>
  <c r="N73" i="27"/>
  <c r="N103" i="27" s="1"/>
  <c r="BN67" i="27"/>
  <c r="L49" i="9"/>
  <c r="F241" i="25"/>
  <c r="E177" i="14"/>
  <c r="E206" i="14"/>
  <c r="E207" i="14" s="1"/>
  <c r="K2545" i="16"/>
  <c r="M113" i="25"/>
  <c r="G241" i="25"/>
  <c r="E2582" i="16"/>
  <c r="F120" i="28"/>
  <c r="BL90" i="28"/>
  <c r="BL93" i="28" s="1"/>
  <c r="O222" i="13"/>
  <c r="O220" i="13" s="1"/>
  <c r="AE84" i="5"/>
  <c r="AE91" i="5" s="1"/>
  <c r="AE92" i="5" s="1"/>
  <c r="C179" i="14"/>
  <c r="C180" i="14" s="1"/>
  <c r="C181" i="14" s="1"/>
  <c r="N36" i="12"/>
  <c r="P343" i="10"/>
  <c r="O1039" i="16"/>
  <c r="I1043" i="16"/>
  <c r="H2546" i="16"/>
  <c r="H2549" i="16" s="1"/>
  <c r="H2553" i="16" s="1"/>
  <c r="J117" i="25"/>
  <c r="R15" i="18"/>
  <c r="R30" i="18"/>
  <c r="O86" i="12"/>
  <c r="O93" i="12" s="1"/>
  <c r="O35" i="12" s="1"/>
  <c r="O77" i="12"/>
  <c r="O61" i="12" s="1"/>
  <c r="G1106" i="16"/>
  <c r="I1105" i="16"/>
  <c r="H1105" i="16"/>
  <c r="X209" i="10"/>
  <c r="Y101" i="10"/>
  <c r="L81" i="25"/>
  <c r="K105" i="25"/>
  <c r="P111" i="18"/>
  <c r="P117" i="18" s="1"/>
  <c r="L260" i="13"/>
  <c r="T128" i="13"/>
  <c r="T129" i="13"/>
  <c r="T122" i="13"/>
  <c r="T130" i="13"/>
  <c r="T131" i="13" s="1"/>
  <c r="X45" i="14"/>
  <c r="X17" i="14" s="1"/>
  <c r="X18" i="14" s="1"/>
  <c r="Z19" i="7"/>
  <c r="V150" i="10"/>
  <c r="N188" i="16"/>
  <c r="K195" i="16" s="1"/>
  <c r="J195" i="16"/>
  <c r="R58" i="7"/>
  <c r="R36" i="7"/>
  <c r="R20" i="7"/>
  <c r="N255" i="10"/>
  <c r="M119" i="25"/>
  <c r="M112" i="25" s="1"/>
  <c r="M64" i="25"/>
  <c r="N2" i="25"/>
  <c r="O2" i="25" s="1"/>
  <c r="K263" i="13"/>
  <c r="S164" i="13"/>
  <c r="M238" i="13"/>
  <c r="S186" i="10"/>
  <c r="S167" i="10"/>
  <c r="S163" i="10"/>
  <c r="S159" i="10"/>
  <c r="S161" i="10"/>
  <c r="S160" i="10"/>
  <c r="S155" i="10"/>
  <c r="H140" i="16"/>
  <c r="P138" i="16"/>
  <c r="L99" i="12"/>
  <c r="L60" i="12"/>
  <c r="M4" i="12"/>
  <c r="L2559" i="16"/>
  <c r="I131" i="25"/>
  <c r="G2573" i="16" s="1"/>
  <c r="I137" i="25"/>
  <c r="G2566" i="16"/>
  <c r="I129" i="25"/>
  <c r="G2571" i="16" s="1"/>
  <c r="I130" i="25"/>
  <c r="G2572" i="16" s="1"/>
  <c r="I275" i="13"/>
  <c r="Q151" i="13"/>
  <c r="O10" i="12"/>
  <c r="P8" i="12"/>
  <c r="O11" i="12"/>
  <c r="O12" i="12" s="1"/>
  <c r="R205" i="10"/>
  <c r="N48" i="29" s="1"/>
  <c r="O49" i="29" s="1"/>
  <c r="R77" i="10"/>
  <c r="R26" i="26"/>
  <c r="R198" i="10"/>
  <c r="BS260" i="5" s="1"/>
  <c r="BT270" i="5" s="1"/>
  <c r="AT91" i="28" s="1"/>
  <c r="R94" i="10"/>
  <c r="U21" i="18"/>
  <c r="AJ39" i="5"/>
  <c r="AJ40" i="5" s="1"/>
  <c r="T7" i="7"/>
  <c r="V178" i="10"/>
  <c r="M110" i="25"/>
  <c r="M123" i="25" s="1"/>
  <c r="K2559" i="16"/>
  <c r="G140" i="16"/>
  <c r="G145" i="16" s="1"/>
  <c r="G162" i="16" s="1"/>
  <c r="O138" i="16"/>
  <c r="F7" i="22"/>
  <c r="F5" i="22" s="1"/>
  <c r="N207" i="10"/>
  <c r="N210" i="10" s="1"/>
  <c r="P143" i="12"/>
  <c r="Q80" i="10"/>
  <c r="Q83" i="10" s="1"/>
  <c r="C2495" i="16"/>
  <c r="C2498" i="16" s="1"/>
  <c r="J98" i="25"/>
  <c r="J121" i="25" s="1"/>
  <c r="K256" i="13"/>
  <c r="S123" i="13"/>
  <c r="S160" i="13"/>
  <c r="K284" i="13" s="1"/>
  <c r="T67" i="13"/>
  <c r="U72" i="13"/>
  <c r="M2" i="14"/>
  <c r="L65" i="14"/>
  <c r="AN4" i="14"/>
  <c r="L78" i="14"/>
  <c r="S153" i="10"/>
  <c r="S53" i="10"/>
  <c r="P92" i="10"/>
  <c r="P99" i="10" s="1"/>
  <c r="P75" i="10"/>
  <c r="X28" i="7"/>
  <c r="AG191" i="18" s="1"/>
  <c r="D107" i="14"/>
  <c r="X185" i="10"/>
  <c r="H171" i="16"/>
  <c r="H151" i="16"/>
  <c r="H169" i="16"/>
  <c r="L297" i="13"/>
  <c r="T192" i="13"/>
  <c r="L16" i="25"/>
  <c r="L18" i="25" s="1"/>
  <c r="M12" i="25"/>
  <c r="L14" i="25"/>
  <c r="G276" i="13"/>
  <c r="O154" i="13"/>
  <c r="G278" i="13" s="1"/>
  <c r="L86" i="25"/>
  <c r="M87" i="25"/>
  <c r="Q77" i="12"/>
  <c r="Q61" i="12" s="1"/>
  <c r="R74" i="12"/>
  <c r="R77" i="12" s="1"/>
  <c r="R61" i="12" s="1"/>
  <c r="O325" i="10"/>
  <c r="O205" i="10"/>
  <c r="O188" i="10"/>
  <c r="O199" i="10"/>
  <c r="O200" i="10" s="1"/>
  <c r="O198" i="10"/>
  <c r="I31" i="21"/>
  <c r="I29" i="21"/>
  <c r="R106" i="13"/>
  <c r="R135" i="13"/>
  <c r="R136" i="13" s="1"/>
  <c r="R108" i="13"/>
  <c r="R178" i="13"/>
  <c r="K32" i="25"/>
  <c r="K120" i="25" s="1"/>
  <c r="I2556" i="16"/>
  <c r="R345" i="10"/>
  <c r="S347" i="10"/>
  <c r="X76" i="10"/>
  <c r="X93" i="10"/>
  <c r="K264" i="13"/>
  <c r="G1668" i="16"/>
  <c r="M36" i="21"/>
  <c r="N2" i="21"/>
  <c r="X56" i="13"/>
  <c r="W57" i="13"/>
  <c r="P71" i="12"/>
  <c r="P88" i="12" s="1"/>
  <c r="P93" i="12" s="1"/>
  <c r="P35" i="12" s="1"/>
  <c r="D102" i="14"/>
  <c r="R335" i="10"/>
  <c r="Q337" i="10"/>
  <c r="R82" i="10"/>
  <c r="D2494" i="16"/>
  <c r="AA188" i="13"/>
  <c r="AA115" i="13"/>
  <c r="M295" i="13"/>
  <c r="U185" i="13"/>
  <c r="V183" i="13"/>
  <c r="L301" i="13"/>
  <c r="D5" i="26"/>
  <c r="D6" i="26" s="1"/>
  <c r="S10" i="7"/>
  <c r="BD3375" i="16" s="1"/>
  <c r="H650" i="16"/>
  <c r="K89" i="25"/>
  <c r="I2557" i="16"/>
  <c r="K95" i="25"/>
  <c r="X132" i="10"/>
  <c r="Y126" i="10"/>
  <c r="I128" i="25"/>
  <c r="G2570" i="16" s="1"/>
  <c r="G2563" i="16"/>
  <c r="K303" i="13"/>
  <c r="S193" i="13"/>
  <c r="K304" i="13" s="1"/>
  <c r="S51" i="7"/>
  <c r="P216" i="13"/>
  <c r="P217" i="13" s="1"/>
  <c r="R447" i="1" s="1"/>
  <c r="N273" i="13"/>
  <c r="W150" i="13"/>
  <c r="R132" i="13"/>
  <c r="G171" i="16"/>
  <c r="G172" i="16" s="1"/>
  <c r="G151" i="16"/>
  <c r="G169" i="16"/>
  <c r="G489" i="16"/>
  <c r="W110" i="10"/>
  <c r="X137" i="10"/>
  <c r="J289" i="13"/>
  <c r="R165" i="13"/>
  <c r="J290" i="13" s="1"/>
  <c r="N26" i="25"/>
  <c r="J161" i="16"/>
  <c r="U346" i="10"/>
  <c r="W161" i="13"/>
  <c r="X159" i="13"/>
  <c r="H2562" i="16"/>
  <c r="R67" i="10"/>
  <c r="R85" i="10"/>
  <c r="R60" i="7"/>
  <c r="C11" i="26" s="1"/>
  <c r="Q192" i="10"/>
  <c r="P162" i="10"/>
  <c r="S336" i="10"/>
  <c r="T50" i="9"/>
  <c r="Y30" i="7"/>
  <c r="AH194" i="18" s="1"/>
  <c r="Q312" i="10"/>
  <c r="R311" i="10"/>
  <c r="S7" i="14"/>
  <c r="R8" i="14"/>
  <c r="R9" i="14" s="1"/>
  <c r="P1039" i="16"/>
  <c r="J1043" i="16"/>
  <c r="M299" i="13"/>
  <c r="U189" i="13"/>
  <c r="V187" i="13"/>
  <c r="U1" i="10"/>
  <c r="J257" i="13"/>
  <c r="R152" i="13"/>
  <c r="R146" i="13"/>
  <c r="Q92" i="10"/>
  <c r="Q99" i="10" s="1"/>
  <c r="Q75" i="10"/>
  <c r="O38" i="7"/>
  <c r="O39" i="7" s="1"/>
  <c r="X201" i="18" s="1"/>
  <c r="P12" i="7"/>
  <c r="Q30" i="12"/>
  <c r="P29" i="12"/>
  <c r="P33" i="12" s="1"/>
  <c r="P44" i="12" s="1"/>
  <c r="R209" i="13"/>
  <c r="Q210" i="13"/>
  <c r="R95" i="13"/>
  <c r="M20" i="25"/>
  <c r="L5" i="25"/>
  <c r="L29" i="25"/>
  <c r="N323" i="10"/>
  <c r="N321" i="10" s="1"/>
  <c r="Y58" i="10"/>
  <c r="M2500" i="16" s="1"/>
  <c r="Y68" i="10"/>
  <c r="Z62" i="13"/>
  <c r="N266" i="13"/>
  <c r="W144" i="13"/>
  <c r="X138" i="10"/>
  <c r="X128" i="10"/>
  <c r="X129" i="10" s="1"/>
  <c r="Y120" i="10"/>
  <c r="X108" i="10"/>
  <c r="X118" i="10"/>
  <c r="F234" i="13"/>
  <c r="N98" i="13"/>
  <c r="H242" i="25"/>
  <c r="F2583" i="16"/>
  <c r="K92" i="25"/>
  <c r="K114" i="25" s="1"/>
  <c r="K84" i="25"/>
  <c r="K132" i="12"/>
  <c r="K123" i="12"/>
  <c r="I7" i="22"/>
  <c r="I5" i="22" s="1"/>
  <c r="Q207" i="10"/>
  <c r="Q210" i="10" s="1"/>
  <c r="P89" i="10"/>
  <c r="D2491" i="16" s="1"/>
  <c r="P72" i="10"/>
  <c r="P90" i="10" s="1"/>
  <c r="S83" i="13"/>
  <c r="S63" i="13"/>
  <c r="S82" i="13"/>
  <c r="S89" i="13"/>
  <c r="S84" i="13"/>
  <c r="W204" i="10"/>
  <c r="W149" i="10"/>
  <c r="L78" i="25"/>
  <c r="M79" i="25"/>
  <c r="C246" i="14"/>
  <c r="C237" i="14"/>
  <c r="C247" i="14" s="1"/>
  <c r="R79" i="10"/>
  <c r="D2497" i="16" s="1"/>
  <c r="R96" i="10"/>
  <c r="R89" i="10" s="1"/>
  <c r="F2491" i="16" s="1"/>
  <c r="N1043" i="16"/>
  <c r="H1049" i="16"/>
  <c r="N1049" i="16" s="1"/>
  <c r="Y194" i="10"/>
  <c r="Z194" i="10" s="1"/>
  <c r="AA194" i="10" s="1"/>
  <c r="AB194" i="10" s="1"/>
  <c r="AC194" i="10" s="1"/>
  <c r="AD194" i="10" s="1"/>
  <c r="N239" i="13"/>
  <c r="U181" i="10"/>
  <c r="T180" i="10"/>
  <c r="T166" i="10" s="1"/>
  <c r="G2528" i="16"/>
  <c r="Q109" i="13"/>
  <c r="Q110" i="13"/>
  <c r="Y93" i="13"/>
  <c r="G473" i="16"/>
  <c r="BN260" i="5"/>
  <c r="BO270" i="5" s="1"/>
  <c r="Q199" i="10"/>
  <c r="Q200" i="10" s="1"/>
  <c r="Q254" i="10"/>
  <c r="K262" i="13"/>
  <c r="O318" i="10"/>
  <c r="O319" i="10" s="1"/>
  <c r="N1375" i="16"/>
  <c r="M1381" i="16"/>
  <c r="H274" i="13"/>
  <c r="P153" i="13"/>
  <c r="AT265" i="5"/>
  <c r="AU141" i="5" s="1"/>
  <c r="AU337" i="5"/>
  <c r="AU140" i="5"/>
  <c r="AU273" i="5"/>
  <c r="Z93" i="28" s="1"/>
  <c r="J2565" i="16"/>
  <c r="T261" i="10"/>
  <c r="T274" i="10" s="1"/>
  <c r="T107" i="10"/>
  <c r="P220" i="10"/>
  <c r="O222" i="10"/>
  <c r="H267" i="13"/>
  <c r="P147" i="13"/>
  <c r="G269" i="13"/>
  <c r="O148" i="13"/>
  <c r="Y190" i="10"/>
  <c r="Z190" i="10" s="1"/>
  <c r="AA190" i="10" s="1"/>
  <c r="R66" i="13"/>
  <c r="R92" i="13" s="1"/>
  <c r="R85" i="13" s="1"/>
  <c r="L126" i="25"/>
  <c r="J2568" i="16" s="1"/>
  <c r="J2561" i="16"/>
  <c r="J2544" i="16" s="1"/>
  <c r="J2555" i="16" s="1"/>
  <c r="Q69" i="10"/>
  <c r="Q97" i="10"/>
  <c r="I163" i="16"/>
  <c r="I164" i="16" s="1"/>
  <c r="I138" i="16"/>
  <c r="I127" i="25"/>
  <c r="G2569" i="16" s="1"/>
  <c r="M50" i="25"/>
  <c r="M53" i="25" s="1"/>
  <c r="L41" i="25"/>
  <c r="I268" i="13"/>
  <c r="Q145" i="13"/>
  <c r="G484" i="16"/>
  <c r="O76" i="13"/>
  <c r="V20" i="18"/>
  <c r="M286" i="13"/>
  <c r="U163" i="13"/>
  <c r="M287" i="13" s="1"/>
  <c r="V162" i="13"/>
  <c r="Q111" i="18"/>
  <c r="H29" i="7"/>
  <c r="H33" i="7" s="1"/>
  <c r="H49" i="7" s="1"/>
  <c r="H48" i="7" s="1"/>
  <c r="Q31" i="18"/>
  <c r="J309" i="10"/>
  <c r="I308" i="10"/>
  <c r="C7" i="9"/>
  <c r="C11" i="9" s="1"/>
  <c r="S49" i="26" s="1"/>
  <c r="C392" i="16"/>
  <c r="D443" i="16" s="1"/>
  <c r="C411" i="16"/>
  <c r="D442" i="16"/>
  <c r="E105" i="9"/>
  <c r="F105" i="9" s="1"/>
  <c r="C108" i="9"/>
  <c r="J206" i="13"/>
  <c r="K207" i="13"/>
  <c r="S134" i="18"/>
  <c r="I14" i="16"/>
  <c r="I15" i="16" s="1"/>
  <c r="F271" i="16"/>
  <c r="F265" i="16"/>
  <c r="F264" i="16"/>
  <c r="G265" i="16"/>
  <c r="G264" i="16"/>
  <c r="G271" i="16"/>
  <c r="F270" i="16"/>
  <c r="G270" i="16"/>
  <c r="F272" i="16"/>
  <c r="G269" i="16"/>
  <c r="G272" i="16"/>
  <c r="H43" i="14"/>
  <c r="F269" i="16"/>
  <c r="N55" i="14"/>
  <c r="M56" i="14"/>
  <c r="U247" i="10" a="1"/>
  <c r="AD54" i="13" l="1"/>
  <c r="AB206" i="10" s="1"/>
  <c r="AB207" i="10" s="1"/>
  <c r="AA254" i="10"/>
  <c r="AA255" i="10" s="1"/>
  <c r="AA94" i="10"/>
  <c r="Y50" i="26"/>
  <c r="AC582" i="1"/>
  <c r="Z42" i="7" s="1"/>
  <c r="Z50" i="7" s="1"/>
  <c r="AI198" i="18"/>
  <c r="AI197" i="18"/>
  <c r="S55" i="25"/>
  <c r="S56" i="25" s="1"/>
  <c r="Y62" i="14"/>
  <c r="Y17" i="14"/>
  <c r="Y18" i="14" s="1"/>
  <c r="AA59" i="14"/>
  <c r="Z61" i="14"/>
  <c r="AB190" i="10"/>
  <c r="AA93" i="10"/>
  <c r="AA76" i="10"/>
  <c r="AA80" i="10" s="1"/>
  <c r="AC54" i="10"/>
  <c r="AB58" i="10"/>
  <c r="AB68" i="10"/>
  <c r="AD193" i="10"/>
  <c r="AC191" i="10"/>
  <c r="AD189" i="10"/>
  <c r="AD145" i="10"/>
  <c r="Y147" i="10"/>
  <c r="Z120" i="10"/>
  <c r="AA120" i="10" s="1"/>
  <c r="Y132" i="10"/>
  <c r="Z126" i="10"/>
  <c r="Z93" i="10"/>
  <c r="Z76" i="10"/>
  <c r="Z80" i="10" s="1"/>
  <c r="Y209" i="10"/>
  <c r="Z101" i="10"/>
  <c r="AA101" i="10" s="1"/>
  <c r="O64" i="25"/>
  <c r="P2" i="25"/>
  <c r="O119" i="25"/>
  <c r="N110" i="25"/>
  <c r="N123" i="25" s="1"/>
  <c r="L2565" i="16" s="1"/>
  <c r="O102" i="25"/>
  <c r="O110" i="25" s="1"/>
  <c r="O123" i="25" s="1"/>
  <c r="AB167" i="13"/>
  <c r="T29" i="21"/>
  <c r="T34" i="21" s="1"/>
  <c r="T37" i="21" s="1"/>
  <c r="T38" i="21" s="1"/>
  <c r="U20" i="21"/>
  <c r="U31" i="21" s="1"/>
  <c r="V18" i="21"/>
  <c r="U17" i="21"/>
  <c r="AC122" i="13"/>
  <c r="AD126" i="13"/>
  <c r="AC130" i="13"/>
  <c r="AC128" i="13"/>
  <c r="AC129" i="13"/>
  <c r="AB122" i="13"/>
  <c r="R108" i="25"/>
  <c r="R56" i="25"/>
  <c r="R30" i="25"/>
  <c r="V28" i="21"/>
  <c r="W22" i="21"/>
  <c r="N115" i="25"/>
  <c r="O38" i="25"/>
  <c r="O26" i="25"/>
  <c r="O113" i="25" s="1"/>
  <c r="P9" i="25"/>
  <c r="S34" i="21"/>
  <c r="S37" i="21" s="1"/>
  <c r="S38" i="21" s="1"/>
  <c r="W268" i="10"/>
  <c r="P200" i="25"/>
  <c r="Q199" i="25"/>
  <c r="H451" i="1"/>
  <c r="I451" i="1" s="1"/>
  <c r="J451" i="1" s="1"/>
  <c r="C9" i="9"/>
  <c r="U225" i="10"/>
  <c r="T236" i="1"/>
  <c r="T237" i="1" s="1"/>
  <c r="S237" i="1"/>
  <c r="T257" i="1"/>
  <c r="T258" i="1" s="1"/>
  <c r="S258" i="1"/>
  <c r="U450" i="1"/>
  <c r="T450" i="1"/>
  <c r="T453" i="1" s="1"/>
  <c r="D1440" i="16"/>
  <c r="H138" i="25"/>
  <c r="H206" i="25" s="1"/>
  <c r="I135" i="25"/>
  <c r="J135" i="25" s="1"/>
  <c r="N44" i="25"/>
  <c r="L2547" i="16"/>
  <c r="E107" i="14"/>
  <c r="E102" i="14"/>
  <c r="L2548" i="16"/>
  <c r="J149" i="12"/>
  <c r="J136" i="12"/>
  <c r="J24" i="12"/>
  <c r="L140" i="12"/>
  <c r="K139" i="12"/>
  <c r="K141" i="12" s="1"/>
  <c r="K144" i="12" s="1"/>
  <c r="K137" i="12" s="1"/>
  <c r="I124" i="12"/>
  <c r="I25" i="12"/>
  <c r="I27" i="12" s="1"/>
  <c r="S195" i="10"/>
  <c r="S165" i="10" s="1"/>
  <c r="N116" i="25"/>
  <c r="S66" i="13"/>
  <c r="S92" i="13" s="1"/>
  <c r="S85" i="13" s="1"/>
  <c r="S64" i="13"/>
  <c r="C3022" i="16"/>
  <c r="BT274" i="5"/>
  <c r="V146" i="10"/>
  <c r="V119" i="10" s="1"/>
  <c r="W136" i="10"/>
  <c r="V109" i="10"/>
  <c r="T190" i="13"/>
  <c r="T105" i="13"/>
  <c r="S178" i="13"/>
  <c r="M251" i="13"/>
  <c r="T184" i="10"/>
  <c r="T154" i="10" s="1"/>
  <c r="L253" i="13"/>
  <c r="L254" i="13"/>
  <c r="G175" i="25"/>
  <c r="N6" i="27"/>
  <c r="M6" i="27"/>
  <c r="T51" i="7"/>
  <c r="G2930" i="16"/>
  <c r="D2971" i="16"/>
  <c r="AH33" i="9"/>
  <c r="E774" i="16"/>
  <c r="E773" i="16"/>
  <c r="E775" i="16"/>
  <c r="AK29" i="9"/>
  <c r="C1941" i="16"/>
  <c r="E772" i="16"/>
  <c r="M49" i="9"/>
  <c r="G2927" i="16"/>
  <c r="C194" i="14"/>
  <c r="C196" i="14" s="1"/>
  <c r="L2545" i="16"/>
  <c r="N113" i="25"/>
  <c r="J136" i="25"/>
  <c r="F2582" i="16"/>
  <c r="H241" i="25"/>
  <c r="AP91" i="28"/>
  <c r="CC90" i="28" s="1"/>
  <c r="BO274" i="5"/>
  <c r="C183" i="14"/>
  <c r="O1043" i="16"/>
  <c r="I1049" i="16"/>
  <c r="O1049" i="16" s="1"/>
  <c r="I2546" i="16"/>
  <c r="I2549" i="16" s="1"/>
  <c r="I2553" i="16" s="1"/>
  <c r="K117" i="25"/>
  <c r="V346" i="10"/>
  <c r="O36" i="12"/>
  <c r="I41" i="7"/>
  <c r="R31" i="18"/>
  <c r="G490" i="16"/>
  <c r="M81" i="25"/>
  <c r="L105" i="25"/>
  <c r="R91" i="12"/>
  <c r="R93" i="12" s="1"/>
  <c r="R35" i="12" s="1"/>
  <c r="R36" i="12" s="1"/>
  <c r="G1107" i="16"/>
  <c r="I1106" i="16"/>
  <c r="H1106" i="16"/>
  <c r="J268" i="13"/>
  <c r="R145" i="13"/>
  <c r="Y56" i="13"/>
  <c r="X57" i="13"/>
  <c r="O254" i="10"/>
  <c r="BD260" i="5"/>
  <c r="P199" i="10"/>
  <c r="P200" i="10" s="1"/>
  <c r="K13" i="21"/>
  <c r="N238" i="13"/>
  <c r="T186" i="10"/>
  <c r="T167" i="10"/>
  <c r="T163" i="10"/>
  <c r="T159" i="10"/>
  <c r="T161" i="10"/>
  <c r="T160" i="10"/>
  <c r="T155" i="10"/>
  <c r="L92" i="25"/>
  <c r="L114" i="25" s="1"/>
  <c r="L84" i="25"/>
  <c r="N20" i="25"/>
  <c r="O20" i="25" s="1"/>
  <c r="M5" i="25"/>
  <c r="M29" i="25"/>
  <c r="E5" i="26"/>
  <c r="E6" i="26" s="1"/>
  <c r="T10" i="7"/>
  <c r="BE3375" i="16" s="1"/>
  <c r="I650" i="16"/>
  <c r="N50" i="25"/>
  <c r="M41" i="25"/>
  <c r="G476" i="16"/>
  <c r="S61" i="13"/>
  <c r="S88" i="13" s="1"/>
  <c r="S85" i="10"/>
  <c r="S67" i="10"/>
  <c r="G234" i="13"/>
  <c r="O98" i="13"/>
  <c r="Q87" i="10"/>
  <c r="E2489" i="16" s="1"/>
  <c r="Q72" i="10"/>
  <c r="Q90" i="10" s="1"/>
  <c r="H276" i="13"/>
  <c r="P154" i="13"/>
  <c r="H278" i="13" s="1"/>
  <c r="Q256" i="10"/>
  <c r="Q255" i="10"/>
  <c r="W150" i="10"/>
  <c r="Y76" i="10"/>
  <c r="Y93" i="10"/>
  <c r="N299" i="13"/>
  <c r="V189" i="13"/>
  <c r="W187" i="13"/>
  <c r="S8" i="14"/>
  <c r="S9" i="14" s="1"/>
  <c r="T7" i="14"/>
  <c r="N295" i="13"/>
  <c r="V185" i="13"/>
  <c r="W183" i="13"/>
  <c r="P77" i="12"/>
  <c r="P61" i="12" s="1"/>
  <c r="P36" i="12" s="1"/>
  <c r="Q88" i="12"/>
  <c r="Q93" i="12" s="1"/>
  <c r="Q35" i="12" s="1"/>
  <c r="G7" i="22"/>
  <c r="G5" i="22" s="1"/>
  <c r="O207" i="10"/>
  <c r="O210" i="10" s="1"/>
  <c r="K11" i="21" s="1"/>
  <c r="K12" i="21" s="1"/>
  <c r="H170" i="16"/>
  <c r="H173" i="16"/>
  <c r="V72" i="13"/>
  <c r="U67" i="13"/>
  <c r="D2495" i="16"/>
  <c r="D2498" i="16" s="1"/>
  <c r="R80" i="10"/>
  <c r="R83" i="10" s="1"/>
  <c r="L132" i="12"/>
  <c r="L123" i="12"/>
  <c r="S82" i="10"/>
  <c r="E2494" i="16"/>
  <c r="L263" i="13"/>
  <c r="T164" i="13"/>
  <c r="V21" i="18"/>
  <c r="AO39" i="5"/>
  <c r="AO40" i="5" s="1"/>
  <c r="T53" i="10"/>
  <c r="T153" i="10"/>
  <c r="AA62" i="13"/>
  <c r="AB62" i="13" s="1"/>
  <c r="N2" i="14"/>
  <c r="AO4" i="14"/>
  <c r="U128" i="13"/>
  <c r="U129" i="13"/>
  <c r="M260" i="13"/>
  <c r="U130" i="13"/>
  <c r="U122" i="13"/>
  <c r="Y128" i="10"/>
  <c r="Y129" i="10" s="1"/>
  <c r="Y138" i="10"/>
  <c r="Y108" i="10"/>
  <c r="Y118" i="10"/>
  <c r="G173" i="16"/>
  <c r="G170" i="16"/>
  <c r="L303" i="13"/>
  <c r="T193" i="13"/>
  <c r="L304" i="13" s="1"/>
  <c r="H2563" i="16"/>
  <c r="P10" i="12"/>
  <c r="Q8" i="12"/>
  <c r="P11" i="12"/>
  <c r="P12" i="12" s="1"/>
  <c r="L264" i="13"/>
  <c r="H1668" i="16"/>
  <c r="S60" i="7"/>
  <c r="D11" i="26" s="1"/>
  <c r="K289" i="13"/>
  <c r="S165" i="13"/>
  <c r="K290" i="13" s="1"/>
  <c r="G485" i="16"/>
  <c r="X144" i="13"/>
  <c r="P38" i="7"/>
  <c r="P39" i="7" s="1"/>
  <c r="Q12" i="7"/>
  <c r="M301" i="13"/>
  <c r="M297" i="13"/>
  <c r="U192" i="13"/>
  <c r="I2562" i="16"/>
  <c r="H153" i="16"/>
  <c r="H158" i="16"/>
  <c r="Y28" i="7"/>
  <c r="AH191" i="18" s="1"/>
  <c r="T63" i="13"/>
  <c r="T83" i="13"/>
  <c r="T82" i="13"/>
  <c r="T89" i="13"/>
  <c r="T84" i="13"/>
  <c r="Q143" i="12"/>
  <c r="J7" i="22"/>
  <c r="J5" i="22" s="1"/>
  <c r="R207" i="10"/>
  <c r="R210" i="10" s="1"/>
  <c r="I274" i="13"/>
  <c r="Q153" i="13"/>
  <c r="N64" i="25"/>
  <c r="N119" i="25"/>
  <c r="N112" i="25" s="1"/>
  <c r="L262" i="13"/>
  <c r="M78" i="25"/>
  <c r="N79" i="25"/>
  <c r="Q162" i="10"/>
  <c r="R192" i="10"/>
  <c r="S79" i="10"/>
  <c r="E2497" i="16" s="1"/>
  <c r="S96" i="10"/>
  <c r="S89" i="10" s="1"/>
  <c r="G2491" i="16" s="1"/>
  <c r="Q29" i="12"/>
  <c r="Q33" i="12" s="1"/>
  <c r="Q44" i="12" s="1"/>
  <c r="R30" i="12"/>
  <c r="R29" i="12" s="1"/>
  <c r="R33" i="12" s="1"/>
  <c r="R44" i="12" s="1"/>
  <c r="Y185" i="10"/>
  <c r="Z185" i="10" s="1"/>
  <c r="AA185" i="10" s="1"/>
  <c r="AB185" i="10" s="1"/>
  <c r="G144" i="16"/>
  <c r="G146" i="16"/>
  <c r="G141" i="16"/>
  <c r="O140" i="16"/>
  <c r="G143" i="16"/>
  <c r="U180" i="10"/>
  <c r="U166" i="10" s="1"/>
  <c r="V181" i="10"/>
  <c r="C2474" i="16"/>
  <c r="U7" i="7"/>
  <c r="W20" i="18"/>
  <c r="L256" i="13"/>
  <c r="T123" i="13"/>
  <c r="T160" i="13"/>
  <c r="L284" i="13" s="1"/>
  <c r="Q220" i="10"/>
  <c r="P222" i="10"/>
  <c r="J52" i="7"/>
  <c r="G478" i="16"/>
  <c r="G479" i="16" s="1"/>
  <c r="G165" i="16"/>
  <c r="T336" i="10"/>
  <c r="X161" i="13"/>
  <c r="Y159" i="13"/>
  <c r="G475" i="16"/>
  <c r="Q340" i="10"/>
  <c r="Q342" i="10"/>
  <c r="I34" i="21"/>
  <c r="I37" i="21" s="1"/>
  <c r="I38" i="21" s="1"/>
  <c r="M268" i="10"/>
  <c r="L84" i="14"/>
  <c r="L89" i="14" s="1"/>
  <c r="L94" i="14" s="1"/>
  <c r="L99" i="14" s="1"/>
  <c r="L104" i="14" s="1"/>
  <c r="L109" i="14" s="1"/>
  <c r="M78" i="14"/>
  <c r="P104" i="10"/>
  <c r="W178" i="10"/>
  <c r="H144" i="16"/>
  <c r="H143" i="16"/>
  <c r="H146" i="16"/>
  <c r="H141" i="16"/>
  <c r="P140" i="16"/>
  <c r="D179" i="14"/>
  <c r="J163" i="16"/>
  <c r="J164" i="16" s="1"/>
  <c r="J138" i="16"/>
  <c r="H165" i="16"/>
  <c r="J275" i="13"/>
  <c r="R151" i="13"/>
  <c r="R199" i="10"/>
  <c r="R200" i="10" s="1"/>
  <c r="R254" i="10"/>
  <c r="M99" i="12"/>
  <c r="N4" i="12"/>
  <c r="M60" i="12"/>
  <c r="P188" i="10"/>
  <c r="O201" i="10"/>
  <c r="K2565" i="16"/>
  <c r="P76" i="13"/>
  <c r="I140" i="16"/>
  <c r="Q138" i="16"/>
  <c r="I267" i="13"/>
  <c r="Q147" i="13"/>
  <c r="H269" i="13"/>
  <c r="P148" i="13"/>
  <c r="N1381" i="16"/>
  <c r="O1375" i="16"/>
  <c r="M11" i="21"/>
  <c r="M12" i="21" s="1"/>
  <c r="Q215" i="13"/>
  <c r="P1043" i="16"/>
  <c r="J1049" i="16"/>
  <c r="P1049" i="16" s="1"/>
  <c r="R312" i="10"/>
  <c r="S311" i="10"/>
  <c r="Y137" i="10"/>
  <c r="X110" i="10"/>
  <c r="X150" i="13"/>
  <c r="S58" i="7"/>
  <c r="S36" i="7"/>
  <c r="S20" i="7"/>
  <c r="Q341" i="10"/>
  <c r="N87" i="25"/>
  <c r="O87" i="25" s="1"/>
  <c r="M86" i="25"/>
  <c r="J8" i="21"/>
  <c r="J11" i="21"/>
  <c r="I242" i="25"/>
  <c r="G2583" i="16"/>
  <c r="H145" i="16"/>
  <c r="H162" i="16" s="1"/>
  <c r="M126" i="25"/>
  <c r="K2568" i="16" s="1"/>
  <c r="K2561" i="16"/>
  <c r="K2544" i="16" s="1"/>
  <c r="K2555" i="16" s="1"/>
  <c r="U50" i="9"/>
  <c r="C79" i="9" s="1"/>
  <c r="Z30" i="7"/>
  <c r="AI194" i="18" s="1"/>
  <c r="U261" i="10"/>
  <c r="U274" i="10" s="1"/>
  <c r="U107" i="10"/>
  <c r="R92" i="10"/>
  <c r="R99" i="10" s="1"/>
  <c r="R75" i="10"/>
  <c r="R69" i="10"/>
  <c r="R87" i="10" s="1"/>
  <c r="R97" i="10"/>
  <c r="G271" i="13"/>
  <c r="O156" i="13"/>
  <c r="Z93" i="13"/>
  <c r="S345" i="10"/>
  <c r="T347" i="10"/>
  <c r="N286" i="13"/>
  <c r="V163" i="13"/>
  <c r="N287" i="13" s="1"/>
  <c r="W162" i="13"/>
  <c r="J124" i="25"/>
  <c r="G153" i="16"/>
  <c r="G158" i="16"/>
  <c r="I171" i="16"/>
  <c r="I151" i="16"/>
  <c r="I169" i="16"/>
  <c r="O323" i="10"/>
  <c r="O321" i="10" s="1"/>
  <c r="X204" i="10"/>
  <c r="X149" i="10"/>
  <c r="L32" i="25"/>
  <c r="L120" i="25" s="1"/>
  <c r="J2556" i="16"/>
  <c r="S209" i="13"/>
  <c r="R210" i="13"/>
  <c r="V1" i="10"/>
  <c r="Q317" i="10"/>
  <c r="K161" i="16"/>
  <c r="K98" i="25"/>
  <c r="K121" i="25" s="1"/>
  <c r="K124" i="25" s="1"/>
  <c r="S335" i="10"/>
  <c r="R337" i="10"/>
  <c r="N36" i="21"/>
  <c r="O2" i="21"/>
  <c r="R110" i="13"/>
  <c r="R109" i="13"/>
  <c r="L89" i="25"/>
  <c r="J2557" i="16"/>
  <c r="L95" i="25"/>
  <c r="M16" i="25"/>
  <c r="M18" i="25" s="1"/>
  <c r="N12" i="25"/>
  <c r="O12" i="25" s="1"/>
  <c r="M14" i="25"/>
  <c r="K257" i="13"/>
  <c r="S152" i="13"/>
  <c r="S146" i="13"/>
  <c r="S205" i="10"/>
  <c r="S48" i="29" s="1"/>
  <c r="S198" i="10"/>
  <c r="S77" i="10"/>
  <c r="S26" i="26"/>
  <c r="D39" i="16"/>
  <c r="D40" i="16" s="1"/>
  <c r="C39" i="16"/>
  <c r="C40" i="16" s="1"/>
  <c r="G17" i="16"/>
  <c r="Q49" i="26"/>
  <c r="F17" i="16"/>
  <c r="Q41" i="26"/>
  <c r="D2352" i="16"/>
  <c r="D2354" i="16" s="1"/>
  <c r="D2356" i="16" s="1"/>
  <c r="F18" i="16"/>
  <c r="C42" i="16" s="1"/>
  <c r="G18" i="16"/>
  <c r="D42" i="16" s="1"/>
  <c r="E39" i="16"/>
  <c r="E40" i="16" s="1"/>
  <c r="I18" i="16"/>
  <c r="F42" i="16" s="1"/>
  <c r="H17" i="16"/>
  <c r="F39" i="16"/>
  <c r="F40" i="16" s="1"/>
  <c r="H18" i="16"/>
  <c r="E42" i="16" s="1"/>
  <c r="I17" i="16"/>
  <c r="I29" i="7"/>
  <c r="I33" i="7" s="1"/>
  <c r="I49" i="7" s="1"/>
  <c r="I48" i="7" s="1"/>
  <c r="C412" i="16"/>
  <c r="E443" i="16" s="1"/>
  <c r="C434" i="16"/>
  <c r="E442" i="16"/>
  <c r="O55" i="14"/>
  <c r="P55" i="14" s="1"/>
  <c r="Q55" i="14" s="1"/>
  <c r="R55" i="14" s="1"/>
  <c r="S55" i="14" s="1"/>
  <c r="T55" i="14" s="1"/>
  <c r="U55" i="14" s="1"/>
  <c r="V55" i="14" s="1"/>
  <c r="W55" i="14" s="1"/>
  <c r="X55" i="14" s="1"/>
  <c r="Y55" i="14" s="1"/>
  <c r="Z55" i="14" s="1"/>
  <c r="AA55" i="14" s="1"/>
  <c r="AB55" i="14" s="1"/>
  <c r="AC55" i="14" s="1"/>
  <c r="N56" i="14"/>
  <c r="L207" i="13"/>
  <c r="K206" i="13"/>
  <c r="K309" i="10"/>
  <c r="J308" i="10"/>
  <c r="S18" i="18"/>
  <c r="D342" i="16"/>
  <c r="D354" i="16" s="1"/>
  <c r="H64" i="14"/>
  <c r="D324" i="16"/>
  <c r="D336" i="16" s="1"/>
  <c r="E212" i="16"/>
  <c r="E108" i="9"/>
  <c r="F108" i="9" s="1"/>
  <c r="V247" i="10" a="1"/>
  <c r="AB254" i="10" l="1"/>
  <c r="AB255" i="10" s="1"/>
  <c r="AE54" i="13"/>
  <c r="AC206" i="10" s="1"/>
  <c r="AC207" i="10" s="1"/>
  <c r="AB94" i="10"/>
  <c r="K9" i="21"/>
  <c r="J9" i="21"/>
  <c r="S108" i="25"/>
  <c r="Z62" i="14"/>
  <c r="Z17" i="14"/>
  <c r="Z18" i="14" s="1"/>
  <c r="AB59" i="14"/>
  <c r="AA61" i="14"/>
  <c r="AA147" i="10"/>
  <c r="AB120" i="10"/>
  <c r="AA138" i="10"/>
  <c r="AA108" i="10"/>
  <c r="AA118" i="10"/>
  <c r="AA96" i="10" s="1"/>
  <c r="AA97" i="10" s="1"/>
  <c r="AC58" i="10"/>
  <c r="AD54" i="10"/>
  <c r="AC68" i="10"/>
  <c r="AA209" i="10"/>
  <c r="AA210" i="10" s="1"/>
  <c r="W11" i="21" s="1"/>
  <c r="AB101" i="10"/>
  <c r="AD191" i="10"/>
  <c r="AA69" i="10"/>
  <c r="Z132" i="10"/>
  <c r="AA126" i="10"/>
  <c r="AA128" i="10" s="1"/>
  <c r="AB76" i="10"/>
  <c r="AB80" i="10" s="1"/>
  <c r="AB93" i="10"/>
  <c r="AC185" i="10"/>
  <c r="AC190" i="10"/>
  <c r="Y110" i="10"/>
  <c r="Z137" i="10"/>
  <c r="Z209" i="10"/>
  <c r="Z210" i="10" s="1"/>
  <c r="V11" i="21" s="1"/>
  <c r="Z69" i="10"/>
  <c r="Z147" i="10"/>
  <c r="Z128" i="10"/>
  <c r="Z129" i="10" s="1"/>
  <c r="Z138" i="10"/>
  <c r="Z108" i="10"/>
  <c r="Z118" i="10"/>
  <c r="Z96" i="10" s="1"/>
  <c r="Z97" i="10" s="1"/>
  <c r="O16" i="25"/>
  <c r="O18" i="25" s="1"/>
  <c r="P12" i="25"/>
  <c r="P87" i="25"/>
  <c r="O86" i="25"/>
  <c r="N41" i="25"/>
  <c r="O50" i="25"/>
  <c r="P50" i="25" s="1"/>
  <c r="AD130" i="13"/>
  <c r="AE126" i="13"/>
  <c r="AD122" i="13"/>
  <c r="AD128" i="13"/>
  <c r="AD129" i="13"/>
  <c r="Q200" i="25"/>
  <c r="R199" i="25"/>
  <c r="P26" i="25"/>
  <c r="P113" i="25" s="1"/>
  <c r="Q9" i="25"/>
  <c r="AC123" i="13"/>
  <c r="N78" i="25"/>
  <c r="N92" i="25" s="1"/>
  <c r="N114" i="25" s="1"/>
  <c r="O79" i="25"/>
  <c r="AF54" i="13"/>
  <c r="O116" i="25"/>
  <c r="P102" i="25"/>
  <c r="P110" i="25" s="1"/>
  <c r="P123" i="25" s="1"/>
  <c r="AC62" i="13"/>
  <c r="U29" i="21"/>
  <c r="U34" i="21" s="1"/>
  <c r="U37" i="21" s="1"/>
  <c r="U38" i="21" s="1"/>
  <c r="V20" i="21"/>
  <c r="V31" i="21" s="1"/>
  <c r="W18" i="21"/>
  <c r="V17" i="21"/>
  <c r="S30" i="25"/>
  <c r="O112" i="25"/>
  <c r="O126" i="25"/>
  <c r="N62" i="25"/>
  <c r="N122" i="25" s="1"/>
  <c r="L2564" i="16" s="1"/>
  <c r="P38" i="25"/>
  <c r="O44" i="25"/>
  <c r="O115" i="25"/>
  <c r="P64" i="25"/>
  <c r="Q2" i="25"/>
  <c r="P119" i="25"/>
  <c r="P20" i="25"/>
  <c r="P5" i="25" s="1"/>
  <c r="O29" i="25"/>
  <c r="O32" i="25" s="1"/>
  <c r="O120" i="25" s="1"/>
  <c r="O14" i="25"/>
  <c r="W28" i="21"/>
  <c r="X22" i="21"/>
  <c r="AC167" i="13"/>
  <c r="AC131" i="13"/>
  <c r="O5" i="25"/>
  <c r="S49" i="29"/>
  <c r="T49" i="29"/>
  <c r="V225" i="10"/>
  <c r="BX260" i="5"/>
  <c r="BY274" i="5" s="1"/>
  <c r="S254" i="10"/>
  <c r="U105" i="13"/>
  <c r="U131" i="13"/>
  <c r="J450" i="1"/>
  <c r="J453" i="1" s="1"/>
  <c r="K451" i="1"/>
  <c r="V450" i="1"/>
  <c r="U453" i="1"/>
  <c r="U454" i="1" s="1"/>
  <c r="H168" i="25"/>
  <c r="H175" i="25"/>
  <c r="P49" i="7"/>
  <c r="D2088" i="16" s="1"/>
  <c r="Y201" i="18"/>
  <c r="Y202" i="18" s="1"/>
  <c r="K136" i="25"/>
  <c r="K29" i="7"/>
  <c r="K33" i="7" s="1"/>
  <c r="K49" i="7" s="1"/>
  <c r="K48" i="7" s="1"/>
  <c r="K149" i="12"/>
  <c r="K136" i="12"/>
  <c r="K135" i="12" s="1"/>
  <c r="L135" i="12" s="1"/>
  <c r="K24" i="12"/>
  <c r="M72" i="14"/>
  <c r="M140" i="12"/>
  <c r="L139" i="12"/>
  <c r="L141" i="12" s="1"/>
  <c r="L144" i="12" s="1"/>
  <c r="J25" i="12"/>
  <c r="J27" i="12" s="1"/>
  <c r="J124" i="12"/>
  <c r="J135" i="12"/>
  <c r="L66" i="14"/>
  <c r="T195" i="10"/>
  <c r="T165" i="10" s="1"/>
  <c r="T66" i="13"/>
  <c r="T92" i="13" s="1"/>
  <c r="T85" i="13" s="1"/>
  <c r="T64" i="13"/>
  <c r="BW270" i="5"/>
  <c r="R48" i="29"/>
  <c r="R49" i="29" s="1"/>
  <c r="N251" i="13"/>
  <c r="U184" i="10"/>
  <c r="V184" i="10" s="1"/>
  <c r="W184" i="10" s="1"/>
  <c r="X184" i="10" s="1"/>
  <c r="Y184" i="10" s="1"/>
  <c r="Z184" i="10" s="1"/>
  <c r="AA184" i="10" s="1"/>
  <c r="M254" i="13"/>
  <c r="M253" i="13"/>
  <c r="W146" i="10"/>
  <c r="W119" i="10" s="1"/>
  <c r="W109" i="10"/>
  <c r="X136" i="10"/>
  <c r="T14" i="18"/>
  <c r="U51" i="7"/>
  <c r="J3217" i="16" s="1"/>
  <c r="T3216" i="16" s="1"/>
  <c r="C199" i="14"/>
  <c r="C208" i="14" s="1"/>
  <c r="C193" i="14"/>
  <c r="N49" i="9"/>
  <c r="D2120" i="16"/>
  <c r="AH30" i="9"/>
  <c r="N86" i="25"/>
  <c r="N95" i="25" s="1"/>
  <c r="I241" i="25"/>
  <c r="G2582" i="16"/>
  <c r="BR270" i="5"/>
  <c r="AS91" i="28" s="1"/>
  <c r="M48" i="29"/>
  <c r="M49" i="29" s="1"/>
  <c r="T120" i="28"/>
  <c r="Q104" i="10"/>
  <c r="J2546" i="16"/>
  <c r="J2549" i="16" s="1"/>
  <c r="J2553" i="16" s="1"/>
  <c r="L117" i="25"/>
  <c r="N53" i="25"/>
  <c r="H1107" i="16"/>
  <c r="G1108" i="16"/>
  <c r="I1107" i="16"/>
  <c r="N81" i="25"/>
  <c r="M105" i="25"/>
  <c r="R255" i="10"/>
  <c r="W189" i="13"/>
  <c r="X187" i="13"/>
  <c r="I144" i="16"/>
  <c r="I143" i="16"/>
  <c r="I141" i="16"/>
  <c r="I146" i="16"/>
  <c r="Q140" i="16"/>
  <c r="K131" i="25"/>
  <c r="I2573" i="16" s="1"/>
  <c r="K137" i="25"/>
  <c r="I2566" i="16"/>
  <c r="K129" i="25"/>
  <c r="I2571" i="16" s="1"/>
  <c r="K130" i="25"/>
  <c r="I2572" i="16" s="1"/>
  <c r="Y204" i="10"/>
  <c r="Y149" i="10"/>
  <c r="Z150" i="10" s="1"/>
  <c r="O2" i="14"/>
  <c r="AP4" i="14"/>
  <c r="W185" i="13"/>
  <c r="X183" i="13"/>
  <c r="N301" i="13"/>
  <c r="V51" i="7"/>
  <c r="K3217" i="16" s="1"/>
  <c r="U3216" i="16" s="1"/>
  <c r="E2495" i="16"/>
  <c r="E2498" i="16" s="1"/>
  <c r="S80" i="10"/>
  <c r="S83" i="10" s="1"/>
  <c r="R340" i="10"/>
  <c r="R342" i="10"/>
  <c r="S210" i="13"/>
  <c r="T209" i="13"/>
  <c r="J131" i="25"/>
  <c r="H2573" i="16" s="1"/>
  <c r="J137" i="25"/>
  <c r="H2566" i="16"/>
  <c r="J129" i="25"/>
  <c r="H2571" i="16" s="1"/>
  <c r="J130" i="25"/>
  <c r="H2572" i="16" s="1"/>
  <c r="J127" i="25"/>
  <c r="H2569" i="16" s="1"/>
  <c r="Q216" i="13"/>
  <c r="H234" i="13"/>
  <c r="P98" i="13"/>
  <c r="C1666" i="16" s="1"/>
  <c r="F53" i="9"/>
  <c r="D180" i="14"/>
  <c r="E180" i="14" s="1"/>
  <c r="D183" i="14"/>
  <c r="W21" i="18"/>
  <c r="K127" i="25"/>
  <c r="I2569" i="16" s="1"/>
  <c r="Y144" i="13"/>
  <c r="J128" i="25"/>
  <c r="H2570" i="16" s="1"/>
  <c r="N260" i="13"/>
  <c r="V129" i="13"/>
  <c r="V122" i="13"/>
  <c r="V130" i="13"/>
  <c r="V105" i="13" s="1"/>
  <c r="V128" i="13"/>
  <c r="N297" i="13"/>
  <c r="V192" i="13"/>
  <c r="N5" i="25"/>
  <c r="N29" i="25"/>
  <c r="T205" i="10"/>
  <c r="X48" i="29" s="1"/>
  <c r="X49" i="29" s="1"/>
  <c r="T198" i="10"/>
  <c r="CC260" i="5" s="1"/>
  <c r="T77" i="10"/>
  <c r="T94" i="10"/>
  <c r="H167" i="16"/>
  <c r="H166" i="16"/>
  <c r="H174" i="16"/>
  <c r="H175" i="16" s="1"/>
  <c r="U336" i="10"/>
  <c r="M264" i="13"/>
  <c r="I1668" i="16"/>
  <c r="M84" i="25"/>
  <c r="M92" i="25"/>
  <c r="M114" i="25" s="1"/>
  <c r="S199" i="10"/>
  <c r="S200" i="10" s="1"/>
  <c r="N16" i="25"/>
  <c r="N18" i="25" s="1"/>
  <c r="N14" i="25"/>
  <c r="R341" i="10"/>
  <c r="H271" i="13"/>
  <c r="P156" i="13"/>
  <c r="Q76" i="13"/>
  <c r="V7" i="7"/>
  <c r="J274" i="13"/>
  <c r="R153" i="13"/>
  <c r="X178" i="10"/>
  <c r="W346" i="10"/>
  <c r="G174" i="16"/>
  <c r="G175" i="16" s="1"/>
  <c r="G167" i="16"/>
  <c r="G166" i="16"/>
  <c r="S30" i="18"/>
  <c r="R143" i="12"/>
  <c r="M263" i="13"/>
  <c r="U164" i="13"/>
  <c r="L289" i="13"/>
  <c r="T165" i="13"/>
  <c r="L290" i="13" s="1"/>
  <c r="S92" i="10"/>
  <c r="S99" i="10" s="1"/>
  <c r="S75" i="10"/>
  <c r="T58" i="7"/>
  <c r="T36" i="7"/>
  <c r="T20" i="7"/>
  <c r="BE270" i="5"/>
  <c r="BD263" i="5"/>
  <c r="BE140" i="5" s="1"/>
  <c r="I165" i="16"/>
  <c r="R220" i="10"/>
  <c r="Q222" i="10"/>
  <c r="Q38" i="7"/>
  <c r="Q39" i="7" s="1"/>
  <c r="Z201" i="18" s="1"/>
  <c r="R12" i="7"/>
  <c r="J267" i="13"/>
  <c r="R147" i="13"/>
  <c r="G280" i="13"/>
  <c r="O157" i="13"/>
  <c r="G281" i="13" s="1"/>
  <c r="K20" i="21"/>
  <c r="J7" i="21"/>
  <c r="J20" i="21"/>
  <c r="J140" i="16"/>
  <c r="J145" i="16" s="1"/>
  <c r="J162" i="16" s="1"/>
  <c r="R138" i="16"/>
  <c r="L257" i="13"/>
  <c r="T146" i="13"/>
  <c r="T152" i="13"/>
  <c r="V180" i="10"/>
  <c r="V166" i="10" s="1"/>
  <c r="W181" i="10"/>
  <c r="K52" i="7"/>
  <c r="M262" i="13"/>
  <c r="X20" i="18"/>
  <c r="L98" i="25"/>
  <c r="L121" i="25" s="1"/>
  <c r="L124" i="25" s="1"/>
  <c r="L127" i="25" s="1"/>
  <c r="J2569" i="16" s="1"/>
  <c r="K128" i="25"/>
  <c r="I2570" i="16" s="1"/>
  <c r="I2563" i="16"/>
  <c r="Q318" i="10"/>
  <c r="Q319" i="10" s="1"/>
  <c r="I173" i="16"/>
  <c r="I170" i="16"/>
  <c r="M89" i="25"/>
  <c r="K2557" i="16"/>
  <c r="M95" i="25"/>
  <c r="M13" i="21"/>
  <c r="M7" i="21"/>
  <c r="Q29" i="26"/>
  <c r="BN262" i="5"/>
  <c r="BO272" i="5" s="1"/>
  <c r="M20" i="21"/>
  <c r="I269" i="13"/>
  <c r="Q148" i="13"/>
  <c r="Z159" i="13"/>
  <c r="Y161" i="13"/>
  <c r="E53" i="9"/>
  <c r="U186" i="10"/>
  <c r="U167" i="10"/>
  <c r="U159" i="10"/>
  <c r="U163" i="10"/>
  <c r="U161" i="10"/>
  <c r="U160" i="10"/>
  <c r="U155" i="10"/>
  <c r="I276" i="13"/>
  <c r="Q154" i="13"/>
  <c r="I278" i="13" s="1"/>
  <c r="U190" i="13"/>
  <c r="W72" i="13"/>
  <c r="V67" i="13"/>
  <c r="V63" i="13" s="1"/>
  <c r="S69" i="10"/>
  <c r="S97" i="10"/>
  <c r="O36" i="21"/>
  <c r="P2" i="21"/>
  <c r="F5" i="26"/>
  <c r="F6" i="26" s="1"/>
  <c r="U10" i="7"/>
  <c r="BF3375" i="16" s="1"/>
  <c r="J650" i="16"/>
  <c r="N126" i="25"/>
  <c r="L2568" i="16" s="1"/>
  <c r="L2561" i="16"/>
  <c r="L2544" i="16" s="1"/>
  <c r="L2555" i="16" s="1"/>
  <c r="M32" i="25"/>
  <c r="M120" i="25" s="1"/>
  <c r="K2556" i="16"/>
  <c r="O1381" i="16"/>
  <c r="P1375" i="16"/>
  <c r="Q343" i="10"/>
  <c r="F2489" i="16"/>
  <c r="R72" i="10"/>
  <c r="R90" i="10" s="1"/>
  <c r="Y150" i="13"/>
  <c r="S312" i="10"/>
  <c r="T311" i="10"/>
  <c r="U83" i="13"/>
  <c r="U63" i="13"/>
  <c r="U66" i="13" s="1"/>
  <c r="U92" i="13" s="1"/>
  <c r="U85" i="13" s="1"/>
  <c r="U82" i="13"/>
  <c r="U89" i="13"/>
  <c r="U84" i="13"/>
  <c r="S87" i="13"/>
  <c r="S102" i="13"/>
  <c r="S108" i="13" s="1"/>
  <c r="S109" i="13" s="1"/>
  <c r="O255" i="10"/>
  <c r="P256" i="10"/>
  <c r="Q257" i="10" s="1"/>
  <c r="P255" i="10"/>
  <c r="O256" i="10"/>
  <c r="O257" i="10" s="1"/>
  <c r="K268" i="13"/>
  <c r="S145" i="13"/>
  <c r="W1" i="10"/>
  <c r="X150" i="10"/>
  <c r="I158" i="16"/>
  <c r="I153" i="16"/>
  <c r="N99" i="12"/>
  <c r="N60" i="12"/>
  <c r="O4" i="12"/>
  <c r="M84" i="14"/>
  <c r="M89" i="14" s="1"/>
  <c r="M94" i="14" s="1"/>
  <c r="M99" i="14" s="1"/>
  <c r="M104" i="14" s="1"/>
  <c r="M109" i="14" s="1"/>
  <c r="N78" i="14"/>
  <c r="J41" i="7"/>
  <c r="S15" i="18"/>
  <c r="R162" i="10"/>
  <c r="S192" i="10"/>
  <c r="Z28" i="7"/>
  <c r="AI191" i="18" s="1"/>
  <c r="M303" i="13"/>
  <c r="U193" i="13"/>
  <c r="M304" i="13" s="1"/>
  <c r="T8" i="14"/>
  <c r="T9" i="14" s="1"/>
  <c r="U7" i="14"/>
  <c r="G480" i="16"/>
  <c r="G482" i="16" s="1"/>
  <c r="Z56" i="13"/>
  <c r="Y57" i="13"/>
  <c r="T82" i="10"/>
  <c r="F2494" i="16"/>
  <c r="R215" i="13"/>
  <c r="X162" i="13"/>
  <c r="W163" i="13"/>
  <c r="K7" i="22"/>
  <c r="K5" i="22" s="1"/>
  <c r="S207" i="10"/>
  <c r="S210" i="10" s="1"/>
  <c r="T335" i="10"/>
  <c r="S337" i="10"/>
  <c r="J2562" i="16"/>
  <c r="U347" i="10"/>
  <c r="T345" i="10"/>
  <c r="U53" i="10"/>
  <c r="U153" i="10"/>
  <c r="K275" i="13"/>
  <c r="S151" i="13"/>
  <c r="V261" i="10"/>
  <c r="V274" i="10" s="1"/>
  <c r="V107" i="10"/>
  <c r="AA93" i="13"/>
  <c r="AB93" i="13" s="1"/>
  <c r="AC93" i="13" s="1"/>
  <c r="AD93" i="13" s="1"/>
  <c r="AE93" i="13" s="1"/>
  <c r="AF93" i="13" s="1"/>
  <c r="I145" i="16"/>
  <c r="I162" i="16" s="1"/>
  <c r="Q188" i="10"/>
  <c r="P158" i="10"/>
  <c r="P325" i="10" s="1"/>
  <c r="M132" i="12"/>
  <c r="M123" i="12"/>
  <c r="J171" i="16"/>
  <c r="J169" i="16"/>
  <c r="J151" i="16"/>
  <c r="AJ84" i="5"/>
  <c r="AJ91" i="5" s="1"/>
  <c r="AJ92" i="5" s="1"/>
  <c r="D194" i="14"/>
  <c r="N11" i="21"/>
  <c r="N12" i="21" s="1"/>
  <c r="Q10" i="12"/>
  <c r="R8" i="12"/>
  <c r="Q11" i="12"/>
  <c r="Q12" i="12" s="1"/>
  <c r="M256" i="13"/>
  <c r="U123" i="13"/>
  <c r="U160" i="13"/>
  <c r="M284" i="13" s="1"/>
  <c r="T67" i="10"/>
  <c r="T85" i="10"/>
  <c r="Q36" i="12"/>
  <c r="T79" i="10"/>
  <c r="F2497" i="16" s="1"/>
  <c r="T96" i="10"/>
  <c r="T89" i="10" s="1"/>
  <c r="H2491" i="16" s="1"/>
  <c r="F43" i="16"/>
  <c r="H19" i="16"/>
  <c r="F19" i="16"/>
  <c r="E43" i="16"/>
  <c r="D43" i="16"/>
  <c r="K308" i="10"/>
  <c r="L309" i="10"/>
  <c r="C435" i="16"/>
  <c r="F443" i="16" s="1"/>
  <c r="F442" i="16"/>
  <c r="E217" i="16"/>
  <c r="E214" i="16"/>
  <c r="R111" i="18"/>
  <c r="G19" i="16"/>
  <c r="I19" i="16"/>
  <c r="C43" i="16"/>
  <c r="Q56" i="26"/>
  <c r="L206" i="13"/>
  <c r="C449" i="16" s="1"/>
  <c r="C450" i="16" s="1"/>
  <c r="M207" i="13"/>
  <c r="W247" i="10" a="1"/>
  <c r="AC254" i="10" l="1"/>
  <c r="AC255" i="10" s="1"/>
  <c r="AC94" i="10"/>
  <c r="AB69" i="10"/>
  <c r="AB72" i="10" s="1"/>
  <c r="AB90" i="10" s="1"/>
  <c r="U135" i="13"/>
  <c r="V106" i="13"/>
  <c r="AA129" i="10"/>
  <c r="AA62" i="14"/>
  <c r="AA17" i="14"/>
  <c r="AA18" i="14" s="1"/>
  <c r="AC59" i="14"/>
  <c r="AC61" i="14" s="1"/>
  <c r="AB61" i="14"/>
  <c r="AD190" i="10"/>
  <c r="AB184" i="10"/>
  <c r="AA87" i="10"/>
  <c r="AA72" i="10"/>
  <c r="AA90" i="10" s="1"/>
  <c r="AD206" i="10"/>
  <c r="AD207" i="10" s="1"/>
  <c r="AD94" i="10"/>
  <c r="AD254" i="10"/>
  <c r="AD185" i="10"/>
  <c r="AB209" i="10"/>
  <c r="AB210" i="10" s="1"/>
  <c r="X11" i="21" s="1"/>
  <c r="AC101" i="10"/>
  <c r="Z110" i="10"/>
  <c r="AA137" i="10"/>
  <c r="AC76" i="10"/>
  <c r="AC80" i="10" s="1"/>
  <c r="AC93" i="10"/>
  <c r="AB138" i="10"/>
  <c r="AC120" i="10"/>
  <c r="AB147" i="10"/>
  <c r="AB108" i="10"/>
  <c r="AB118" i="10"/>
  <c r="AB96" i="10" s="1"/>
  <c r="AB97" i="10" s="1"/>
  <c r="AD68" i="10"/>
  <c r="AD58" i="10"/>
  <c r="AB126" i="10"/>
  <c r="AB128" i="10" s="1"/>
  <c r="AB129" i="10" s="1"/>
  <c r="AA132" i="10"/>
  <c r="Z87" i="10"/>
  <c r="Z72" i="10"/>
  <c r="Z90" i="10" s="1"/>
  <c r="O78" i="25"/>
  <c r="O89" i="25" s="1"/>
  <c r="P79" i="25"/>
  <c r="R200" i="25"/>
  <c r="S199" i="25"/>
  <c r="S200" i="25" s="1"/>
  <c r="O53" i="25"/>
  <c r="AD62" i="13"/>
  <c r="P53" i="25"/>
  <c r="Q50" i="25"/>
  <c r="Q53" i="25" s="1"/>
  <c r="AC146" i="13"/>
  <c r="AC152" i="13"/>
  <c r="P44" i="25"/>
  <c r="P62" i="25" s="1"/>
  <c r="P122" i="25" s="1"/>
  <c r="Q38" i="25"/>
  <c r="P115" i="25"/>
  <c r="P41" i="25"/>
  <c r="Q102" i="25"/>
  <c r="Q110" i="25" s="1"/>
  <c r="Q123" i="25" s="1"/>
  <c r="P116" i="25"/>
  <c r="O95" i="25"/>
  <c r="X28" i="21"/>
  <c r="Y22" i="21"/>
  <c r="Q20" i="25"/>
  <c r="P29" i="25"/>
  <c r="P32" i="25" s="1"/>
  <c r="P120" i="25" s="1"/>
  <c r="O41" i="25"/>
  <c r="AD123" i="13"/>
  <c r="P86" i="25"/>
  <c r="Q87" i="25"/>
  <c r="N105" i="25"/>
  <c r="O81" i="25"/>
  <c r="P112" i="25"/>
  <c r="P126" i="25"/>
  <c r="O62" i="25"/>
  <c r="O122" i="25" s="1"/>
  <c r="W20" i="21"/>
  <c r="W31" i="21" s="1"/>
  <c r="X18" i="21"/>
  <c r="W17" i="21"/>
  <c r="AE130" i="13"/>
  <c r="AF126" i="13"/>
  <c r="AE122" i="13"/>
  <c r="AE129" i="13"/>
  <c r="AE128" i="13"/>
  <c r="P14" i="25"/>
  <c r="Q12" i="25"/>
  <c r="Q14" i="25" s="1"/>
  <c r="P16" i="25"/>
  <c r="P18" i="25" s="1"/>
  <c r="Q64" i="25"/>
  <c r="Q119" i="25"/>
  <c r="R2" i="25"/>
  <c r="Q26" i="25"/>
  <c r="Q113" i="25" s="1"/>
  <c r="R9" i="25"/>
  <c r="AD167" i="13"/>
  <c r="AD131" i="13"/>
  <c r="V29" i="21"/>
  <c r="V34" i="21" s="1"/>
  <c r="V37" i="21" s="1"/>
  <c r="V38" i="21" s="1"/>
  <c r="W225" i="10"/>
  <c r="P36" i="21"/>
  <c r="Q2" i="21"/>
  <c r="V167" i="13"/>
  <c r="V131" i="13"/>
  <c r="W450" i="1"/>
  <c r="V453" i="1"/>
  <c r="V454" i="1" s="1"/>
  <c r="K450" i="1"/>
  <c r="K453" i="1" s="1"/>
  <c r="L451" i="1"/>
  <c r="V190" i="13"/>
  <c r="CC263" i="5"/>
  <c r="CD273" i="5" s="1"/>
  <c r="W48" i="29"/>
  <c r="W49" i="29" s="1"/>
  <c r="P48" i="7"/>
  <c r="L136" i="25"/>
  <c r="V10" i="7"/>
  <c r="G5" i="26"/>
  <c r="G6" i="26" s="1"/>
  <c r="BX270" i="5"/>
  <c r="AW91" i="28"/>
  <c r="L2557" i="16"/>
  <c r="U195" i="10"/>
  <c r="U165" i="10" s="1"/>
  <c r="M139" i="12"/>
  <c r="M141" i="12" s="1"/>
  <c r="M144" i="12" s="1"/>
  <c r="N140" i="12"/>
  <c r="K25" i="12"/>
  <c r="K27" i="12" s="1"/>
  <c r="K124" i="12"/>
  <c r="L67" i="14"/>
  <c r="L68" i="14"/>
  <c r="L71" i="14" s="1"/>
  <c r="L72" i="14" s="1"/>
  <c r="L73" i="14" s="1"/>
  <c r="L75" i="14" s="1"/>
  <c r="L76" i="14" s="1"/>
  <c r="M135" i="12"/>
  <c r="L136" i="12"/>
  <c r="L137" i="12" s="1"/>
  <c r="N89" i="25"/>
  <c r="U154" i="10"/>
  <c r="G2494" i="16" s="1"/>
  <c r="S110" i="13"/>
  <c r="BW274" i="5"/>
  <c r="N254" i="13"/>
  <c r="N253" i="13"/>
  <c r="X109" i="10"/>
  <c r="Y136" i="10"/>
  <c r="Z136" i="10" s="1"/>
  <c r="X146" i="10"/>
  <c r="X119" i="10" s="1"/>
  <c r="O49" i="9"/>
  <c r="P49" i="9" s="1"/>
  <c r="Q49" i="9" s="1"/>
  <c r="R49" i="9" s="1"/>
  <c r="S49" i="9" s="1"/>
  <c r="T49" i="9" s="1"/>
  <c r="U49" i="9" s="1"/>
  <c r="V49" i="9" s="1"/>
  <c r="W49" i="9" s="1"/>
  <c r="X49" i="9" s="1"/>
  <c r="Y49" i="9" s="1"/>
  <c r="Z49" i="9" s="1"/>
  <c r="BR274" i="5"/>
  <c r="BS270" i="5"/>
  <c r="AH91" i="28"/>
  <c r="N120" i="28" s="1"/>
  <c r="BE274" i="5"/>
  <c r="J241" i="25"/>
  <c r="H2582" i="16"/>
  <c r="T61" i="13"/>
  <c r="T88" i="13" s="1"/>
  <c r="ED140" i="5"/>
  <c r="EI140" i="5"/>
  <c r="N20" i="21"/>
  <c r="N31" i="21" s="1"/>
  <c r="BS262" i="5"/>
  <c r="BT272" i="5" s="1"/>
  <c r="AD48" i="29"/>
  <c r="N49" i="29" s="1"/>
  <c r="U120" i="28"/>
  <c r="BN270" i="5"/>
  <c r="M98" i="25"/>
  <c r="M121" i="25" s="1"/>
  <c r="K2563" i="16" s="1"/>
  <c r="AO84" i="5"/>
  <c r="AO91" i="5" s="1"/>
  <c r="AO92" i="5" s="1"/>
  <c r="K2546" i="16"/>
  <c r="K2549" i="16" s="1"/>
  <c r="K2553" i="16" s="1"/>
  <c r="M117" i="25"/>
  <c r="L2546" i="16"/>
  <c r="L2549" i="16" s="1"/>
  <c r="L2553" i="16" s="1"/>
  <c r="N117" i="25"/>
  <c r="T111" i="18"/>
  <c r="AT39" i="5"/>
  <c r="AT40" i="5" s="1"/>
  <c r="W192" i="13"/>
  <c r="N84" i="25"/>
  <c r="N98" i="25"/>
  <c r="N121" i="25" s="1"/>
  <c r="L2563" i="16" s="1"/>
  <c r="I1108" i="16"/>
  <c r="H1108" i="16"/>
  <c r="AT84" i="5"/>
  <c r="AT91" i="5" s="1"/>
  <c r="AT92" i="5" s="1"/>
  <c r="R216" i="13"/>
  <c r="R217" i="13" s="1"/>
  <c r="I271" i="13"/>
  <c r="Q156" i="13"/>
  <c r="X1" i="10"/>
  <c r="V167" i="10"/>
  <c r="V186" i="10"/>
  <c r="V195" i="10" s="1"/>
  <c r="V165" i="10" s="1"/>
  <c r="V163" i="10"/>
  <c r="V159" i="10"/>
  <c r="V154" i="10"/>
  <c r="V161" i="10"/>
  <c r="V160" i="10"/>
  <c r="V155" i="10"/>
  <c r="L7" i="22"/>
  <c r="L5" i="22" s="1"/>
  <c r="T207" i="10"/>
  <c r="T210" i="10" s="1"/>
  <c r="K242" i="25"/>
  <c r="I2583" i="16"/>
  <c r="M257" i="13"/>
  <c r="U146" i="13"/>
  <c r="U152" i="13"/>
  <c r="J173" i="16"/>
  <c r="J170" i="16"/>
  <c r="L52" i="7"/>
  <c r="AA56" i="13"/>
  <c r="AB56" i="13" s="1"/>
  <c r="Z57" i="13"/>
  <c r="W261" i="10"/>
  <c r="W274" i="10" s="1"/>
  <c r="W107" i="10"/>
  <c r="L128" i="25"/>
  <c r="J2570" i="16" s="1"/>
  <c r="J2563" i="16"/>
  <c r="L275" i="13"/>
  <c r="T151" i="13"/>
  <c r="K29" i="21"/>
  <c r="K31" i="21"/>
  <c r="R38" i="7"/>
  <c r="R39" i="7" s="1"/>
  <c r="AA201" i="18" s="1"/>
  <c r="S12" i="7"/>
  <c r="G53" i="9"/>
  <c r="S31" i="18"/>
  <c r="R76" i="13"/>
  <c r="R104" i="10"/>
  <c r="N32" i="25"/>
  <c r="N120" i="25" s="1"/>
  <c r="L2556" i="16"/>
  <c r="Z144" i="13"/>
  <c r="D181" i="14"/>
  <c r="E181" i="14" s="1"/>
  <c r="E179" i="14" s="1"/>
  <c r="E183" i="14" s="1"/>
  <c r="R343" i="10"/>
  <c r="AQ4" i="14"/>
  <c r="P2" i="14"/>
  <c r="T87" i="13"/>
  <c r="T102" i="13"/>
  <c r="Z150" i="13"/>
  <c r="I234" i="13"/>
  <c r="Q98" i="13"/>
  <c r="D1666" i="16" s="1"/>
  <c r="N263" i="13"/>
  <c r="V164" i="13"/>
  <c r="J242" i="25"/>
  <c r="H2583" i="16"/>
  <c r="N13" i="21"/>
  <c r="N7" i="21"/>
  <c r="R29" i="26"/>
  <c r="Q158" i="10"/>
  <c r="Q325" i="10" s="1"/>
  <c r="R188" i="10"/>
  <c r="S340" i="10"/>
  <c r="S342" i="10"/>
  <c r="J29" i="7"/>
  <c r="J33" i="7" s="1"/>
  <c r="J49" i="7" s="1"/>
  <c r="J48" i="7" s="1"/>
  <c r="S111" i="18"/>
  <c r="S87" i="10"/>
  <c r="G2489" i="16" s="1"/>
  <c r="S72" i="10"/>
  <c r="S90" i="10" s="1"/>
  <c r="U79" i="10"/>
  <c r="U96" i="10"/>
  <c r="U89" i="10" s="1"/>
  <c r="I2491" i="16" s="1"/>
  <c r="M29" i="21"/>
  <c r="M31" i="21"/>
  <c r="L268" i="13"/>
  <c r="T145" i="13"/>
  <c r="G292" i="13"/>
  <c r="G293" i="13"/>
  <c r="O195" i="13"/>
  <c r="Y178" i="10"/>
  <c r="Z178" i="10" s="1"/>
  <c r="AA178" i="10" s="1"/>
  <c r="H280" i="13"/>
  <c r="P157" i="13"/>
  <c r="H281" i="13" s="1"/>
  <c r="P167" i="13"/>
  <c r="K274" i="13"/>
  <c r="S153" i="13"/>
  <c r="J31" i="21"/>
  <c r="J29" i="21"/>
  <c r="W129" i="13"/>
  <c r="W164" i="13" s="1"/>
  <c r="W165" i="13" s="1"/>
  <c r="W122" i="13"/>
  <c r="W130" i="13"/>
  <c r="W128" i="13"/>
  <c r="J158" i="16"/>
  <c r="J153" i="16"/>
  <c r="L131" i="25"/>
  <c r="J2573" i="16" s="1"/>
  <c r="L137" i="25"/>
  <c r="J2566" i="16"/>
  <c r="L129" i="25"/>
  <c r="J2571" i="16" s="1"/>
  <c r="L130" i="25"/>
  <c r="J2572" i="16" s="1"/>
  <c r="U58" i="7"/>
  <c r="U36" i="7"/>
  <c r="U20" i="7"/>
  <c r="T337" i="10"/>
  <c r="T341" i="10" s="1"/>
  <c r="K2562" i="16"/>
  <c r="BN263" i="5"/>
  <c r="Y150" i="10"/>
  <c r="X189" i="13"/>
  <c r="Y187" i="13"/>
  <c r="R10" i="12"/>
  <c r="R11" i="12"/>
  <c r="R12" i="12" s="1"/>
  <c r="U14" i="18"/>
  <c r="U85" i="10"/>
  <c r="U67" i="10"/>
  <c r="S341" i="10"/>
  <c r="Y162" i="13"/>
  <c r="X163" i="13"/>
  <c r="N84" i="14"/>
  <c r="N89" i="14" s="1"/>
  <c r="N94" i="14" s="1"/>
  <c r="N99" i="14" s="1"/>
  <c r="N104" i="14" s="1"/>
  <c r="N109" i="14" s="1"/>
  <c r="O78" i="14"/>
  <c r="T78" i="14"/>
  <c r="AE78" i="14" s="1"/>
  <c r="AF78" i="14" s="1"/>
  <c r="AG78" i="14" s="1"/>
  <c r="AH78" i="14" s="1"/>
  <c r="P257" i="10"/>
  <c r="Q323" i="10"/>
  <c r="Q321" i="10" s="1"/>
  <c r="T15" i="18"/>
  <c r="K41" i="7"/>
  <c r="S220" i="10"/>
  <c r="R222" i="10"/>
  <c r="M289" i="13"/>
  <c r="U165" i="13"/>
  <c r="M290" i="13" s="1"/>
  <c r="V336" i="10"/>
  <c r="T69" i="10"/>
  <c r="T97" i="10"/>
  <c r="N262" i="13"/>
  <c r="T210" i="13"/>
  <c r="U209" i="13"/>
  <c r="S96" i="13"/>
  <c r="S95" i="13"/>
  <c r="M17" i="19"/>
  <c r="X72" i="13"/>
  <c r="W67" i="13"/>
  <c r="Q222" i="13"/>
  <c r="W7" i="7"/>
  <c r="W10" i="7" s="1"/>
  <c r="BH3375" i="16" s="1"/>
  <c r="U8" i="14"/>
  <c r="U9" i="14" s="1"/>
  <c r="V7" i="14"/>
  <c r="T92" i="10"/>
  <c r="T99" i="10" s="1"/>
  <c r="T75" i="10"/>
  <c r="D193" i="14"/>
  <c r="E193" i="14" s="1"/>
  <c r="D199" i="14"/>
  <c r="D208" i="14" s="1"/>
  <c r="D196" i="14"/>
  <c r="E196" i="14" s="1"/>
  <c r="V153" i="10"/>
  <c r="V53" i="10"/>
  <c r="O11" i="21"/>
  <c r="T60" i="7"/>
  <c r="E11" i="26" s="1"/>
  <c r="T192" i="10"/>
  <c r="S162" i="10"/>
  <c r="J165" i="16"/>
  <c r="X21" i="18"/>
  <c r="AY39" i="5"/>
  <c r="AY40" i="5" s="1"/>
  <c r="J269" i="13"/>
  <c r="R148" i="13"/>
  <c r="V14" i="18"/>
  <c r="N303" i="13"/>
  <c r="V193" i="13"/>
  <c r="N304" i="13" s="1"/>
  <c r="N264" i="13"/>
  <c r="K163" i="16"/>
  <c r="K164" i="16" s="1"/>
  <c r="K138" i="16"/>
  <c r="P1381" i="16"/>
  <c r="Q1375" i="16"/>
  <c r="Q1381" i="16" s="1"/>
  <c r="W180" i="10"/>
  <c r="W166" i="10" s="1"/>
  <c r="X181" i="10"/>
  <c r="T199" i="10"/>
  <c r="T200" i="10" s="1"/>
  <c r="T254" i="10"/>
  <c r="N132" i="12"/>
  <c r="N123" i="12"/>
  <c r="S106" i="13"/>
  <c r="S135" i="13"/>
  <c r="S132" i="13"/>
  <c r="J276" i="13"/>
  <c r="R154" i="13"/>
  <c r="J278" i="13" s="1"/>
  <c r="U345" i="10"/>
  <c r="V347" i="10"/>
  <c r="Y20" i="18"/>
  <c r="O60" i="12"/>
  <c r="P4" i="12"/>
  <c r="O99" i="12"/>
  <c r="K267" i="13"/>
  <c r="S147" i="13"/>
  <c r="T226" i="13"/>
  <c r="K236" i="13"/>
  <c r="S224" i="13"/>
  <c r="S227" i="13" s="1"/>
  <c r="S103" i="13"/>
  <c r="S120" i="13"/>
  <c r="K248" i="13" s="1"/>
  <c r="S117" i="13"/>
  <c r="K246" i="13" s="1"/>
  <c r="U311" i="10"/>
  <c r="T312" i="10"/>
  <c r="V83" i="13"/>
  <c r="V66" i="13"/>
  <c r="V92" i="13" s="1"/>
  <c r="V85" i="13" s="1"/>
  <c r="V82" i="13"/>
  <c r="V89" i="13"/>
  <c r="V84" i="13"/>
  <c r="U205" i="10"/>
  <c r="U198" i="10"/>
  <c r="U77" i="10"/>
  <c r="U94" i="10"/>
  <c r="AA159" i="13"/>
  <c r="Z161" i="13"/>
  <c r="T30" i="18"/>
  <c r="J143" i="16"/>
  <c r="J146" i="16"/>
  <c r="J141" i="16"/>
  <c r="R140" i="16"/>
  <c r="J144" i="16"/>
  <c r="I167" i="16"/>
  <c r="I166" i="16"/>
  <c r="I174" i="16"/>
  <c r="I175" i="16" s="1"/>
  <c r="X346" i="10"/>
  <c r="S255" i="10"/>
  <c r="F2495" i="16"/>
  <c r="F2498" i="16" s="1"/>
  <c r="T80" i="10"/>
  <c r="T83" i="10" s="1"/>
  <c r="N256" i="13"/>
  <c r="V160" i="13"/>
  <c r="N284" i="13" s="1"/>
  <c r="V123" i="13"/>
  <c r="Q217" i="13"/>
  <c r="S447" i="1" s="1"/>
  <c r="X185" i="13"/>
  <c r="Y183" i="13"/>
  <c r="M309" i="10"/>
  <c r="L308" i="10"/>
  <c r="C453" i="16"/>
  <c r="C452" i="16"/>
  <c r="N207" i="13"/>
  <c r="M206" i="13"/>
  <c r="X247" i="10" a="1"/>
  <c r="V20" i="7" l="1"/>
  <c r="BG3375" i="16"/>
  <c r="AB87" i="10"/>
  <c r="AD255" i="10"/>
  <c r="Q13" i="21"/>
  <c r="CH263" i="5"/>
  <c r="CD140" i="5"/>
  <c r="BB93" i="28"/>
  <c r="AB62" i="14"/>
  <c r="AB17" i="14"/>
  <c r="AB18" i="14" s="1"/>
  <c r="AC62" i="14"/>
  <c r="AC17" i="14"/>
  <c r="AB104" i="10"/>
  <c r="W29" i="21"/>
  <c r="W34" i="21" s="1"/>
  <c r="W37" i="21" s="1"/>
  <c r="W38" i="21" s="1"/>
  <c r="AB137" i="10"/>
  <c r="AA110" i="10"/>
  <c r="AC184" i="10"/>
  <c r="Z109" i="10"/>
  <c r="AA136" i="10"/>
  <c r="AA146" i="10" s="1"/>
  <c r="AA119" i="10" s="1"/>
  <c r="AB132" i="10"/>
  <c r="AC126" i="10"/>
  <c r="AC128" i="10" s="1"/>
  <c r="AC129" i="10" s="1"/>
  <c r="AC138" i="10"/>
  <c r="AD120" i="10"/>
  <c r="AC147" i="10"/>
  <c r="AC108" i="10"/>
  <c r="AC118" i="10"/>
  <c r="AC96" i="10" s="1"/>
  <c r="AC97" i="10" s="1"/>
  <c r="AA104" i="10"/>
  <c r="AB178" i="10"/>
  <c r="AC178" i="10" s="1"/>
  <c r="AD178" i="10" s="1"/>
  <c r="AD76" i="10"/>
  <c r="AD80" i="10" s="1"/>
  <c r="AD93" i="10"/>
  <c r="AC209" i="10"/>
  <c r="AC210" i="10" s="1"/>
  <c r="Y11" i="21" s="1"/>
  <c r="AD101" i="10"/>
  <c r="AD209" i="10" s="1"/>
  <c r="AD210" i="10" s="1"/>
  <c r="Z11" i="21" s="1"/>
  <c r="AC69" i="10"/>
  <c r="Z104" i="10"/>
  <c r="Z146" i="10"/>
  <c r="Z119" i="10" s="1"/>
  <c r="Q16" i="25"/>
  <c r="Q18" i="25" s="1"/>
  <c r="R12" i="25"/>
  <c r="X20" i="21"/>
  <c r="X31" i="21" s="1"/>
  <c r="Y18" i="21"/>
  <c r="X17" i="21"/>
  <c r="Q86" i="25"/>
  <c r="R87" i="25"/>
  <c r="AE62" i="13"/>
  <c r="AC56" i="13"/>
  <c r="AB57" i="13"/>
  <c r="P95" i="25"/>
  <c r="R26" i="25"/>
  <c r="R113" i="25" s="1"/>
  <c r="S9" i="25"/>
  <c r="AD152" i="13"/>
  <c r="AD146" i="13"/>
  <c r="Q44" i="25"/>
  <c r="Q62" i="25" s="1"/>
  <c r="Q122" i="25" s="1"/>
  <c r="R38" i="25"/>
  <c r="Q41" i="25"/>
  <c r="Q115" i="25"/>
  <c r="AA161" i="13"/>
  <c r="AB159" i="13"/>
  <c r="R2" i="21"/>
  <c r="Q36" i="21"/>
  <c r="R64" i="25"/>
  <c r="R119" i="25"/>
  <c r="S2" i="25"/>
  <c r="AE123" i="13"/>
  <c r="Q112" i="25"/>
  <c r="Q126" i="25"/>
  <c r="AF130" i="13"/>
  <c r="AF122" i="13"/>
  <c r="AF129" i="13"/>
  <c r="AF128" i="13"/>
  <c r="R50" i="25"/>
  <c r="R53" i="25" s="1"/>
  <c r="P78" i="25"/>
  <c r="P89" i="25" s="1"/>
  <c r="Q79" i="25"/>
  <c r="AE167" i="13"/>
  <c r="AE131" i="13"/>
  <c r="O105" i="25"/>
  <c r="P81" i="25"/>
  <c r="R20" i="25"/>
  <c r="Q29" i="25"/>
  <c r="Q32" i="25" s="1"/>
  <c r="Q120" i="25" s="1"/>
  <c r="Q116" i="25"/>
  <c r="R102" i="25"/>
  <c r="R110" i="25" s="1"/>
  <c r="R123" i="25" s="1"/>
  <c r="O84" i="25"/>
  <c r="O92" i="25"/>
  <c r="O114" i="25" s="1"/>
  <c r="O117" i="25" s="1"/>
  <c r="Y28" i="21"/>
  <c r="Z22" i="21"/>
  <c r="Z28" i="21" s="1"/>
  <c r="Q5" i="25"/>
  <c r="X225" i="10"/>
  <c r="W131" i="13"/>
  <c r="L450" i="1"/>
  <c r="L453" i="1" s="1"/>
  <c r="M451" i="1"/>
  <c r="W507" i="1"/>
  <c r="W508" i="1" s="1"/>
  <c r="W190" i="13"/>
  <c r="W167" i="13"/>
  <c r="CB140" i="5"/>
  <c r="V36" i="7"/>
  <c r="M136" i="25"/>
  <c r="V58" i="7"/>
  <c r="Y54" i="29"/>
  <c r="Z55" i="29" s="1"/>
  <c r="U29" i="26"/>
  <c r="V29" i="26"/>
  <c r="W20" i="7"/>
  <c r="H5" i="26"/>
  <c r="H6" i="26" s="1"/>
  <c r="U102" i="13"/>
  <c r="S58" i="29"/>
  <c r="S59" i="29" s="1"/>
  <c r="U207" i="10"/>
  <c r="U210" i="10" s="1"/>
  <c r="Q11" i="21" s="1"/>
  <c r="Y48" i="29"/>
  <c r="Y49" i="29" s="1"/>
  <c r="U335" i="10"/>
  <c r="U337" i="10" s="1"/>
  <c r="U341" i="10" s="1"/>
  <c r="L146" i="12"/>
  <c r="L149" i="12"/>
  <c r="L24" i="12"/>
  <c r="L25" i="12" s="1"/>
  <c r="L27" i="12" s="1"/>
  <c r="M136" i="12"/>
  <c r="M137" i="12" s="1"/>
  <c r="N135" i="12"/>
  <c r="O140" i="12"/>
  <c r="N139" i="12"/>
  <c r="N141" i="12" s="1"/>
  <c r="N144" i="12" s="1"/>
  <c r="U82" i="10"/>
  <c r="C2478" i="16" s="1"/>
  <c r="BX262" i="5"/>
  <c r="S54" i="29"/>
  <c r="V16" i="7"/>
  <c r="AE11" i="18" s="1"/>
  <c r="T135" i="13"/>
  <c r="T108" i="13"/>
  <c r="Y109" i="10"/>
  <c r="Y146" i="10"/>
  <c r="Y119" i="10" s="1"/>
  <c r="M124" i="25"/>
  <c r="M127" i="25" s="1"/>
  <c r="K2569" i="16" s="1"/>
  <c r="BT90" i="28"/>
  <c r="BT93" i="28" s="1"/>
  <c r="K241" i="25"/>
  <c r="I2582" i="16"/>
  <c r="U61" i="13"/>
  <c r="U88" i="13" s="1"/>
  <c r="X192" i="13"/>
  <c r="BO273" i="5"/>
  <c r="AP93" i="28" s="1"/>
  <c r="BO140" i="5"/>
  <c r="EN140" i="5" s="1"/>
  <c r="N29" i="21"/>
  <c r="R268" i="10" s="1"/>
  <c r="BS263" i="5"/>
  <c r="AD49" i="29"/>
  <c r="Y346" i="10"/>
  <c r="Z346" i="10" s="1"/>
  <c r="AA346" i="10" s="1"/>
  <c r="E194" i="14"/>
  <c r="E195" i="14" s="1"/>
  <c r="E199" i="14" s="1"/>
  <c r="T106" i="13"/>
  <c r="T132" i="13"/>
  <c r="P78" i="14"/>
  <c r="O84" i="14"/>
  <c r="O89" i="14" s="1"/>
  <c r="O94" i="14" s="1"/>
  <c r="O99" i="14" s="1"/>
  <c r="O104" i="14" s="1"/>
  <c r="O109" i="14" s="1"/>
  <c r="M268" i="13"/>
  <c r="U145" i="13"/>
  <c r="V60" i="13"/>
  <c r="U87" i="13"/>
  <c r="X180" i="10"/>
  <c r="X166" i="10" s="1"/>
  <c r="Y181" i="10"/>
  <c r="V67" i="10"/>
  <c r="V85" i="10"/>
  <c r="V8" i="14"/>
  <c r="V9" i="14" s="1"/>
  <c r="W7" i="14"/>
  <c r="Q220" i="13"/>
  <c r="U92" i="10"/>
  <c r="U99" i="10" s="1"/>
  <c r="U75" i="10"/>
  <c r="L242" i="25"/>
  <c r="J2583" i="16"/>
  <c r="W160" i="13"/>
  <c r="W123" i="13"/>
  <c r="H292" i="13"/>
  <c r="P169" i="13"/>
  <c r="P168" i="13"/>
  <c r="H293" i="13" s="1"/>
  <c r="P173" i="13"/>
  <c r="P195" i="13"/>
  <c r="H306" i="13" s="1"/>
  <c r="S343" i="10"/>
  <c r="N289" i="13"/>
  <c r="V165" i="13"/>
  <c r="N290" i="13" s="1"/>
  <c r="T96" i="13"/>
  <c r="T95" i="13"/>
  <c r="S104" i="10"/>
  <c r="V79" i="10"/>
  <c r="H2497" i="16" s="1"/>
  <c r="V96" i="10"/>
  <c r="V89" i="10" s="1"/>
  <c r="J2491" i="16" s="1"/>
  <c r="I280" i="13"/>
  <c r="Q157" i="13"/>
  <c r="I281" i="13" s="1"/>
  <c r="Q167" i="13"/>
  <c r="R222" i="13"/>
  <c r="Z162" i="13"/>
  <c r="Y163" i="13"/>
  <c r="C2481" i="16"/>
  <c r="C2486" i="16" s="1"/>
  <c r="G2497" i="16"/>
  <c r="L274" i="13"/>
  <c r="T153" i="13"/>
  <c r="M275" i="13"/>
  <c r="U151" i="13"/>
  <c r="G306" i="13"/>
  <c r="O201" i="13"/>
  <c r="U69" i="10"/>
  <c r="U97" i="10"/>
  <c r="G2495" i="16"/>
  <c r="C2479" i="16"/>
  <c r="C2484" i="16" s="1"/>
  <c r="U80" i="10"/>
  <c r="U83" i="10" s="1"/>
  <c r="O132" i="12"/>
  <c r="O123" i="12"/>
  <c r="W167" i="10"/>
  <c r="W186" i="10"/>
  <c r="W195" i="10" s="1"/>
  <c r="W165" i="10" s="1"/>
  <c r="W163" i="10"/>
  <c r="W159" i="10"/>
  <c r="W161" i="10"/>
  <c r="W154" i="10"/>
  <c r="W160" i="10"/>
  <c r="W155" i="10"/>
  <c r="K140" i="16"/>
  <c r="K145" i="16" s="1"/>
  <c r="K162" i="16" s="1"/>
  <c r="S138" i="16"/>
  <c r="U192" i="10"/>
  <c r="T162" i="10"/>
  <c r="T220" i="10"/>
  <c r="S222" i="10"/>
  <c r="K15" i="19"/>
  <c r="H53" i="9"/>
  <c r="H59" i="9"/>
  <c r="V24" i="18"/>
  <c r="X129" i="13"/>
  <c r="X164" i="13" s="1"/>
  <c r="X165" i="13" s="1"/>
  <c r="X122" i="13"/>
  <c r="X130" i="13"/>
  <c r="X167" i="13" s="1"/>
  <c r="X128" i="13"/>
  <c r="AR4" i="14"/>
  <c r="Q2" i="14"/>
  <c r="W153" i="10"/>
  <c r="W53" i="10"/>
  <c r="U15" i="18"/>
  <c r="L41" i="7"/>
  <c r="V311" i="10"/>
  <c r="U312" i="10"/>
  <c r="Y189" i="13"/>
  <c r="Z187" i="13"/>
  <c r="Y21" i="18"/>
  <c r="BD39" i="5"/>
  <c r="BD40" i="5" s="1"/>
  <c r="L236" i="13"/>
  <c r="T224" i="13"/>
  <c r="T227" i="13" s="1"/>
  <c r="T120" i="13"/>
  <c r="L248" i="13" s="1"/>
  <c r="U226" i="13"/>
  <c r="T103" i="13"/>
  <c r="T117" i="13"/>
  <c r="L246" i="13" s="1"/>
  <c r="J271" i="13"/>
  <c r="R156" i="13"/>
  <c r="S38" i="7"/>
  <c r="S39" i="7" s="1"/>
  <c r="T12" i="7"/>
  <c r="AA57" i="13"/>
  <c r="Y1" i="10"/>
  <c r="J34" i="21"/>
  <c r="J37" i="21" s="1"/>
  <c r="J38" i="21" s="1"/>
  <c r="N268" i="10"/>
  <c r="K276" i="13"/>
  <c r="S154" i="13"/>
  <c r="K278" i="13" s="1"/>
  <c r="W51" i="7"/>
  <c r="L3217" i="16" s="1"/>
  <c r="V3216" i="16" s="1"/>
  <c r="S76" i="13"/>
  <c r="U30" i="18"/>
  <c r="V82" i="10"/>
  <c r="H2494" i="16"/>
  <c r="X261" i="10"/>
  <c r="X274" i="10" s="1"/>
  <c r="X107" i="10"/>
  <c r="W14" i="18"/>
  <c r="S142" i="13"/>
  <c r="K171" i="16"/>
  <c r="K169" i="16"/>
  <c r="K151" i="16"/>
  <c r="W336" i="10"/>
  <c r="U199" i="10"/>
  <c r="U200" i="10" s="1"/>
  <c r="U254" i="10"/>
  <c r="X7" i="7"/>
  <c r="X10" i="7" s="1"/>
  <c r="BI3375" i="16" s="1"/>
  <c r="L267" i="13"/>
  <c r="T147" i="13"/>
  <c r="T31" i="18"/>
  <c r="W347" i="10"/>
  <c r="V345" i="10"/>
  <c r="T255" i="10"/>
  <c r="M52" i="7"/>
  <c r="W83" i="13"/>
  <c r="W63" i="13"/>
  <c r="W66" i="13" s="1"/>
  <c r="W92" i="13" s="1"/>
  <c r="W85" i="13" s="1"/>
  <c r="W82" i="13"/>
  <c r="W89" i="13"/>
  <c r="W84" i="13"/>
  <c r="Q268" i="10"/>
  <c r="M34" i="21"/>
  <c r="M37" i="21" s="1"/>
  <c r="M38" i="21" s="1"/>
  <c r="R158" i="10"/>
  <c r="R325" i="10" s="1"/>
  <c r="S188" i="10"/>
  <c r="J234" i="13"/>
  <c r="R98" i="13"/>
  <c r="E1666" i="16" s="1"/>
  <c r="P11" i="21"/>
  <c r="O7" i="21"/>
  <c r="O13" i="21"/>
  <c r="S29" i="26"/>
  <c r="O20" i="21"/>
  <c r="V205" i="10"/>
  <c r="R13" i="21"/>
  <c r="V77" i="10"/>
  <c r="V94" i="10"/>
  <c r="K269" i="13"/>
  <c r="S148" i="13"/>
  <c r="N257" i="13"/>
  <c r="V146" i="13"/>
  <c r="V152" i="13"/>
  <c r="P99" i="12"/>
  <c r="P60" i="12"/>
  <c r="Q4" i="12"/>
  <c r="J174" i="16"/>
  <c r="J175" i="16" s="1"/>
  <c r="J167" i="16"/>
  <c r="J166" i="16"/>
  <c r="AA144" i="13"/>
  <c r="AB144" i="13" s="1"/>
  <c r="AC144" i="13" s="1"/>
  <c r="AD144" i="13" s="1"/>
  <c r="AE144" i="13" s="1"/>
  <c r="AF144" i="13" s="1"/>
  <c r="Y185" i="13"/>
  <c r="Z183" i="13"/>
  <c r="S136" i="13"/>
  <c r="N17" i="19"/>
  <c r="Y72" i="13"/>
  <c r="X67" i="13"/>
  <c r="U210" i="13"/>
  <c r="V209" i="13"/>
  <c r="T87" i="10"/>
  <c r="H2489" i="16" s="1"/>
  <c r="T72" i="10"/>
  <c r="T90" i="10" s="1"/>
  <c r="T340" i="10"/>
  <c r="T342" i="10"/>
  <c r="O204" i="13"/>
  <c r="O173" i="13"/>
  <c r="AA150" i="13"/>
  <c r="AB150" i="13" s="1"/>
  <c r="AC150" i="13" s="1"/>
  <c r="AD150" i="13" s="1"/>
  <c r="AE150" i="13" s="1"/>
  <c r="AF150" i="13" s="1"/>
  <c r="N124" i="25"/>
  <c r="N127" i="25" s="1"/>
  <c r="L2569" i="16" s="1"/>
  <c r="L2562" i="16"/>
  <c r="O268" i="10"/>
  <c r="K34" i="21"/>
  <c r="K37" i="21" s="1"/>
  <c r="K38" i="21" s="1"/>
  <c r="W193" i="13"/>
  <c r="C458" i="16"/>
  <c r="N206" i="13"/>
  <c r="O207" i="13"/>
  <c r="N309" i="10"/>
  <c r="M308" i="10"/>
  <c r="Y247" i="10" a="1"/>
  <c r="AC18" i="14" l="1"/>
  <c r="AD69" i="10"/>
  <c r="AB346" i="10"/>
  <c r="AC346" i="10" s="1"/>
  <c r="AD346" i="10" s="1"/>
  <c r="AD138" i="10"/>
  <c r="AD147" i="10"/>
  <c r="AD108" i="10"/>
  <c r="AD118" i="10"/>
  <c r="AD96" i="10" s="1"/>
  <c r="AD97" i="10" s="1"/>
  <c r="AD184" i="10"/>
  <c r="AC87" i="10"/>
  <c r="AC72" i="10"/>
  <c r="AC90" i="10" s="1"/>
  <c r="AD126" i="10"/>
  <c r="AD132" i="10" s="1"/>
  <c r="AC132" i="10"/>
  <c r="AB110" i="10"/>
  <c r="AC137" i="10"/>
  <c r="AA109" i="10"/>
  <c r="AB136" i="10"/>
  <c r="X29" i="21"/>
  <c r="X34" i="21" s="1"/>
  <c r="X37" i="21" s="1"/>
  <c r="X38" i="21" s="1"/>
  <c r="Y180" i="10"/>
  <c r="Y166" i="10" s="1"/>
  <c r="Y160" i="10" s="1"/>
  <c r="Z181" i="10"/>
  <c r="AE146" i="13"/>
  <c r="AE152" i="13"/>
  <c r="S87" i="25"/>
  <c r="R86" i="25"/>
  <c r="Q78" i="25"/>
  <c r="R79" i="25"/>
  <c r="AF123" i="13"/>
  <c r="Q95" i="25"/>
  <c r="P84" i="25"/>
  <c r="P92" i="25"/>
  <c r="P114" i="25" s="1"/>
  <c r="P117" i="25" s="1"/>
  <c r="AF131" i="13"/>
  <c r="AF167" i="13"/>
  <c r="S64" i="25"/>
  <c r="S119" i="25"/>
  <c r="Q81" i="25"/>
  <c r="P105" i="25"/>
  <c r="R112" i="25"/>
  <c r="R126" i="25"/>
  <c r="AD56" i="13"/>
  <c r="AC57" i="13"/>
  <c r="Z18" i="21"/>
  <c r="Y17" i="21"/>
  <c r="Y20" i="21"/>
  <c r="Y31" i="21" s="1"/>
  <c r="S20" i="25"/>
  <c r="R29" i="25"/>
  <c r="R32" i="25" s="1"/>
  <c r="R120" i="25" s="1"/>
  <c r="S50" i="25"/>
  <c r="S53" i="25" s="1"/>
  <c r="R44" i="25"/>
  <c r="R62" i="25" s="1"/>
  <c r="R122" i="25" s="1"/>
  <c r="R115" i="25"/>
  <c r="S38" i="25"/>
  <c r="R41" i="25"/>
  <c r="S26" i="25"/>
  <c r="S113" i="25" s="1"/>
  <c r="AF62" i="13"/>
  <c r="R14" i="25"/>
  <c r="S12" i="25"/>
  <c r="S16" i="25" s="1"/>
  <c r="S18" i="25" s="1"/>
  <c r="R16" i="25"/>
  <c r="R18" i="25" s="1"/>
  <c r="S102" i="25"/>
  <c r="S110" i="25" s="1"/>
  <c r="S123" i="25" s="1"/>
  <c r="R116" i="25"/>
  <c r="S2" i="21"/>
  <c r="R36" i="21"/>
  <c r="AC159" i="13"/>
  <c r="AB161" i="13"/>
  <c r="AB160" i="13"/>
  <c r="O98" i="25"/>
  <c r="O121" i="25" s="1"/>
  <c r="R5" i="25"/>
  <c r="V207" i="10"/>
  <c r="V210" i="10" s="1"/>
  <c r="R11" i="21" s="1"/>
  <c r="Z48" i="29"/>
  <c r="Z49" i="29" s="1"/>
  <c r="S55" i="29"/>
  <c r="T55" i="29"/>
  <c r="Y225" i="10"/>
  <c r="BS16" i="5"/>
  <c r="T21" i="13" s="1"/>
  <c r="T30" i="13" s="1"/>
  <c r="V2878" i="16"/>
  <c r="X131" i="13"/>
  <c r="CC270" i="5"/>
  <c r="W589" i="1"/>
  <c r="W585" i="1"/>
  <c r="W509" i="1"/>
  <c r="W165" i="1"/>
  <c r="AC15" i="18" s="1"/>
  <c r="M450" i="1"/>
  <c r="M453" i="1" s="1"/>
  <c r="M454" i="1" s="1"/>
  <c r="N451" i="1"/>
  <c r="X58" i="29"/>
  <c r="X59" i="29" s="1"/>
  <c r="V102" i="13"/>
  <c r="CB141" i="5"/>
  <c r="R54" i="29"/>
  <c r="R55" i="29" s="1"/>
  <c r="N136" i="25"/>
  <c r="O136" i="25" s="1"/>
  <c r="W58" i="7"/>
  <c r="W36" i="7"/>
  <c r="X36" i="7"/>
  <c r="I5" i="26"/>
  <c r="I6" i="26" s="1"/>
  <c r="V335" i="10"/>
  <c r="W335" i="10" s="1"/>
  <c r="O139" i="12"/>
  <c r="O141" i="12" s="1"/>
  <c r="O144" i="12" s="1"/>
  <c r="P140" i="12"/>
  <c r="O135" i="12"/>
  <c r="N136" i="12"/>
  <c r="N137" i="12" s="1"/>
  <c r="M146" i="12"/>
  <c r="M149" i="12"/>
  <c r="M24" i="12"/>
  <c r="M25" i="12" s="1"/>
  <c r="M27" i="12" s="1"/>
  <c r="L147" i="12"/>
  <c r="L157" i="12"/>
  <c r="L158" i="12" s="1"/>
  <c r="BX263" i="5"/>
  <c r="U60" i="7"/>
  <c r="F11" i="26" s="1"/>
  <c r="M137" i="25"/>
  <c r="K2583" i="16" s="1"/>
  <c r="M131" i="25"/>
  <c r="K2573" i="16" s="1"/>
  <c r="P20" i="21"/>
  <c r="P29" i="21" s="1"/>
  <c r="X54" i="29"/>
  <c r="T109" i="13"/>
  <c r="U108" i="13"/>
  <c r="V177" i="13" s="1"/>
  <c r="V181" i="13" s="1"/>
  <c r="T110" i="13"/>
  <c r="X193" i="13"/>
  <c r="BW272" i="5"/>
  <c r="BW263" i="5"/>
  <c r="BT140" i="5"/>
  <c r="ES140" i="5" s="1"/>
  <c r="BT273" i="5"/>
  <c r="AT93" i="28" s="1"/>
  <c r="M129" i="25"/>
  <c r="K2571" i="16" s="1"/>
  <c r="M128" i="25"/>
  <c r="K2570" i="16" s="1"/>
  <c r="M130" i="25"/>
  <c r="K2572" i="16" s="1"/>
  <c r="K2566" i="16"/>
  <c r="BN39" i="5"/>
  <c r="V60" i="7"/>
  <c r="G11" i="26" s="1"/>
  <c r="L241" i="25"/>
  <c r="J2582" i="16"/>
  <c r="BR272" i="5"/>
  <c r="BS272" i="5" s="1"/>
  <c r="M54" i="29"/>
  <c r="V61" i="13"/>
  <c r="V88" i="13" s="1"/>
  <c r="Y192" i="13"/>
  <c r="N34" i="21"/>
  <c r="N37" i="21" s="1"/>
  <c r="N38" i="21" s="1"/>
  <c r="BR263" i="5"/>
  <c r="BN272" i="5"/>
  <c r="C2756" i="16"/>
  <c r="O2756" i="16" s="1"/>
  <c r="C2787" i="16"/>
  <c r="AD8" i="29"/>
  <c r="AD13" i="29" s="1"/>
  <c r="T343" i="10"/>
  <c r="G2498" i="16"/>
  <c r="X51" i="7"/>
  <c r="M3217" i="16" s="1"/>
  <c r="W3216" i="16" s="1"/>
  <c r="E200" i="14"/>
  <c r="E208" i="14"/>
  <c r="M274" i="13"/>
  <c r="U153" i="13"/>
  <c r="BN16" i="5"/>
  <c r="S21" i="13" s="1"/>
  <c r="S30" i="13" s="1"/>
  <c r="S31" i="13" s="1"/>
  <c r="C2726" i="16"/>
  <c r="O2726" i="16" s="1"/>
  <c r="H2495" i="16"/>
  <c r="H2498" i="16" s="1"/>
  <c r="V80" i="10"/>
  <c r="V83" i="10" s="1"/>
  <c r="T188" i="10"/>
  <c r="S158" i="10"/>
  <c r="S325" i="10" s="1"/>
  <c r="U340" i="10"/>
  <c r="U342" i="10"/>
  <c r="K158" i="16"/>
  <c r="K153" i="16"/>
  <c r="J280" i="13"/>
  <c r="R167" i="13"/>
  <c r="R157" i="13"/>
  <c r="J281" i="13" s="1"/>
  <c r="AA187" i="13"/>
  <c r="AB187" i="13" s="1"/>
  <c r="Z189" i="13"/>
  <c r="W198" i="10"/>
  <c r="S13" i="21" s="1"/>
  <c r="W77" i="10"/>
  <c r="W205" i="10"/>
  <c r="W207" i="10" s="1"/>
  <c r="W210" i="10" s="1"/>
  <c r="S11" i="21" s="1"/>
  <c r="W94" i="10"/>
  <c r="Z163" i="13"/>
  <c r="AA162" i="13"/>
  <c r="M236" i="13"/>
  <c r="U224" i="13"/>
  <c r="U227" i="13" s="1"/>
  <c r="V226" i="13"/>
  <c r="U117" i="13"/>
  <c r="M246" i="13" s="1"/>
  <c r="U103" i="13"/>
  <c r="U120" i="13"/>
  <c r="M248" i="13" s="1"/>
  <c r="V69" i="10"/>
  <c r="V97" i="10"/>
  <c r="Y7" i="7"/>
  <c r="X7" i="14"/>
  <c r="W8" i="14"/>
  <c r="W9" i="14" s="1"/>
  <c r="V210" i="13"/>
  <c r="W209" i="13"/>
  <c r="V199" i="10"/>
  <c r="V200" i="10" s="1"/>
  <c r="V254" i="10"/>
  <c r="V15" i="18"/>
  <c r="M41" i="7"/>
  <c r="K173" i="16"/>
  <c r="K170" i="16"/>
  <c r="AS4" i="14"/>
  <c r="R2" i="14"/>
  <c r="U96" i="13"/>
  <c r="U95" i="13"/>
  <c r="AA183" i="13"/>
  <c r="Z185" i="13"/>
  <c r="N275" i="13"/>
  <c r="V151" i="13"/>
  <c r="U31" i="18"/>
  <c r="U87" i="10"/>
  <c r="I2489" i="16" s="1"/>
  <c r="U72" i="10"/>
  <c r="U90" i="10" s="1"/>
  <c r="P84" i="14"/>
  <c r="P89" i="14" s="1"/>
  <c r="P94" i="14" s="1"/>
  <c r="P99" i="14" s="1"/>
  <c r="P104" i="14" s="1"/>
  <c r="P109" i="14" s="1"/>
  <c r="Q78" i="14"/>
  <c r="P123" i="12"/>
  <c r="P132" i="12"/>
  <c r="L269" i="13"/>
  <c r="T148" i="13"/>
  <c r="Y261" i="10"/>
  <c r="Y274" i="10" s="1"/>
  <c r="Y107" i="10"/>
  <c r="V192" i="10"/>
  <c r="U162" i="10"/>
  <c r="W60" i="13"/>
  <c r="Y58" i="29" s="1"/>
  <c r="L276" i="13"/>
  <c r="T154" i="13"/>
  <c r="L278" i="13" s="1"/>
  <c r="V92" i="10"/>
  <c r="V99" i="10" s="1"/>
  <c r="V75" i="10"/>
  <c r="T136" i="13"/>
  <c r="X83" i="13"/>
  <c r="X63" i="13"/>
  <c r="X82" i="13"/>
  <c r="X89" i="13"/>
  <c r="X84" i="13"/>
  <c r="K271" i="13"/>
  <c r="S156" i="13"/>
  <c r="O31" i="21"/>
  <c r="O29" i="21"/>
  <c r="V30" i="18"/>
  <c r="X336" i="10"/>
  <c r="T76" i="13"/>
  <c r="T38" i="7"/>
  <c r="T39" i="7" s="1"/>
  <c r="U12" i="7"/>
  <c r="X160" i="13"/>
  <c r="X123" i="13"/>
  <c r="T222" i="10"/>
  <c r="U220" i="10"/>
  <c r="R220" i="13"/>
  <c r="V87" i="13"/>
  <c r="T142" i="13"/>
  <c r="X347" i="10"/>
  <c r="W345" i="10"/>
  <c r="W82" i="10"/>
  <c r="I2494" i="16"/>
  <c r="N268" i="13"/>
  <c r="V145" i="13"/>
  <c r="X14" i="18"/>
  <c r="S98" i="13"/>
  <c r="F1666" i="16" s="1"/>
  <c r="K234" i="13"/>
  <c r="K143" i="16"/>
  <c r="K146" i="16"/>
  <c r="K141" i="16"/>
  <c r="S140" i="16"/>
  <c r="K144" i="16"/>
  <c r="X167" i="10"/>
  <c r="X186" i="10"/>
  <c r="X195" i="10" s="1"/>
  <c r="X165" i="10" s="1"/>
  <c r="X159" i="10"/>
  <c r="X163" i="10"/>
  <c r="X161" i="10"/>
  <c r="X154" i="10"/>
  <c r="X160" i="10"/>
  <c r="X155" i="10"/>
  <c r="Y67" i="13"/>
  <c r="Z72" i="13"/>
  <c r="U255" i="10"/>
  <c r="W67" i="10"/>
  <c r="W85" i="10"/>
  <c r="Y122" i="13"/>
  <c r="Y130" i="13"/>
  <c r="Y131" i="13" s="1"/>
  <c r="Y128" i="13"/>
  <c r="Y129" i="13"/>
  <c r="Y164" i="13" s="1"/>
  <c r="Y165" i="13" s="1"/>
  <c r="I292" i="13"/>
  <c r="Q169" i="13"/>
  <c r="Q195" i="13"/>
  <c r="Q168" i="13"/>
  <c r="I293" i="13" s="1"/>
  <c r="M267" i="13"/>
  <c r="U147" i="13"/>
  <c r="W311" i="10"/>
  <c r="V312" i="10"/>
  <c r="Z7" i="7"/>
  <c r="K165" i="16"/>
  <c r="X153" i="10"/>
  <c r="X53" i="10"/>
  <c r="N137" i="25"/>
  <c r="N131" i="25"/>
  <c r="L2573" i="16" s="1"/>
  <c r="L2566" i="16"/>
  <c r="N129" i="25"/>
  <c r="L2571" i="16" s="1"/>
  <c r="N130" i="25"/>
  <c r="L2572" i="16" s="1"/>
  <c r="N128" i="25"/>
  <c r="L2570" i="16" s="1"/>
  <c r="Q99" i="12"/>
  <c r="R4" i="12"/>
  <c r="Q60" i="12"/>
  <c r="P7" i="21"/>
  <c r="P13" i="21"/>
  <c r="T29" i="26"/>
  <c r="T104" i="10"/>
  <c r="N52" i="7"/>
  <c r="L15" i="19"/>
  <c r="I59" i="9"/>
  <c r="W24" i="18"/>
  <c r="W79" i="10"/>
  <c r="I2497" i="16" s="1"/>
  <c r="W96" i="10"/>
  <c r="W89" i="10" s="1"/>
  <c r="K2491" i="16" s="1"/>
  <c r="X190" i="13"/>
  <c r="W152" i="13"/>
  <c r="W146" i="13"/>
  <c r="O309" i="10"/>
  <c r="N308" i="10"/>
  <c r="D458" i="16"/>
  <c r="C468" i="16"/>
  <c r="C469" i="16" s="1"/>
  <c r="C470" i="16" s="1"/>
  <c r="C459" i="16"/>
  <c r="Q116" i="18"/>
  <c r="Q117" i="18" s="1"/>
  <c r="O206" i="13"/>
  <c r="T31" i="13" l="1"/>
  <c r="W593" i="1"/>
  <c r="W587" i="1" s="1"/>
  <c r="AC30" i="18"/>
  <c r="J5" i="26"/>
  <c r="J6" i="26" s="1"/>
  <c r="Y10" i="7"/>
  <c r="K5" i="26"/>
  <c r="K6" i="26" s="1"/>
  <c r="Z10" i="7"/>
  <c r="T22" i="13"/>
  <c r="T24" i="13"/>
  <c r="S22" i="13"/>
  <c r="S24" i="13"/>
  <c r="S25" i="13" s="1"/>
  <c r="AC104" i="10"/>
  <c r="X8" i="14"/>
  <c r="X9" i="14" s="1"/>
  <c r="Y7" i="14"/>
  <c r="AB189" i="13"/>
  <c r="AB190" i="13" s="1"/>
  <c r="AC187" i="13"/>
  <c r="AD87" i="10"/>
  <c r="AD72" i="10"/>
  <c r="AD90" i="10" s="1"/>
  <c r="Y155" i="10"/>
  <c r="Y154" i="10"/>
  <c r="L2494" i="16" s="1"/>
  <c r="S86" i="25"/>
  <c r="S95" i="25" s="1"/>
  <c r="Y159" i="10"/>
  <c r="Y161" i="10"/>
  <c r="Y186" i="10"/>
  <c r="Y195" i="10" s="1"/>
  <c r="Y165" i="10" s="1"/>
  <c r="Y167" i="10"/>
  <c r="AD137" i="10"/>
  <c r="AD110" i="10" s="1"/>
  <c r="AC110" i="10"/>
  <c r="Z180" i="10"/>
  <c r="Z166" i="10" s="1"/>
  <c r="Z161" i="10" s="1"/>
  <c r="AA181" i="10"/>
  <c r="AD128" i="10"/>
  <c r="AD129" i="10" s="1"/>
  <c r="AB109" i="10"/>
  <c r="AC136" i="10"/>
  <c r="AB146" i="10"/>
  <c r="AB119" i="10" s="1"/>
  <c r="Y163" i="10"/>
  <c r="P98" i="25"/>
  <c r="P121" i="25" s="1"/>
  <c r="P124" i="25" s="1"/>
  <c r="T2" i="21"/>
  <c r="S36" i="21"/>
  <c r="Z20" i="21"/>
  <c r="Z17" i="21"/>
  <c r="R81" i="25"/>
  <c r="Q105" i="25"/>
  <c r="R78" i="25"/>
  <c r="R89" i="25" s="1"/>
  <c r="S79" i="25"/>
  <c r="S78" i="25" s="1"/>
  <c r="O124" i="25"/>
  <c r="O128" i="25" s="1"/>
  <c r="Q84" i="25"/>
  <c r="Q92" i="25"/>
  <c r="Q114" i="25" s="1"/>
  <c r="Q117" i="25" s="1"/>
  <c r="AA189" i="13"/>
  <c r="S112" i="25"/>
  <c r="S126" i="25"/>
  <c r="Q89" i="25"/>
  <c r="AA185" i="13"/>
  <c r="AB183" i="13"/>
  <c r="S116" i="25"/>
  <c r="S14" i="25"/>
  <c r="AE56" i="13"/>
  <c r="AD57" i="13"/>
  <c r="AA163" i="13"/>
  <c r="AB162" i="13"/>
  <c r="AC160" i="13"/>
  <c r="AD159" i="13"/>
  <c r="AC161" i="13"/>
  <c r="Y29" i="21"/>
  <c r="Y34" i="21" s="1"/>
  <c r="Y37" i="21" s="1"/>
  <c r="Y38" i="21" s="1"/>
  <c r="S29" i="25"/>
  <c r="S32" i="25" s="1"/>
  <c r="S120" i="25" s="1"/>
  <c r="S5" i="25"/>
  <c r="R95" i="25"/>
  <c r="O241" i="25"/>
  <c r="P136" i="25"/>
  <c r="S44" i="25"/>
  <c r="S62" i="25" s="1"/>
  <c r="S122" i="25" s="1"/>
  <c r="S115" i="25"/>
  <c r="S41" i="25"/>
  <c r="AF146" i="13"/>
  <c r="AF152" i="13"/>
  <c r="Y59" i="29"/>
  <c r="N450" i="1"/>
  <c r="N453" i="1" s="1"/>
  <c r="N454" i="1" s="1"/>
  <c r="O451" i="1"/>
  <c r="Y445" i="1"/>
  <c r="W510" i="1"/>
  <c r="W586" i="1"/>
  <c r="X507" i="1"/>
  <c r="X160" i="1"/>
  <c r="Y190" i="13"/>
  <c r="Y167" i="13"/>
  <c r="W105" i="13"/>
  <c r="V140" i="13"/>
  <c r="V135" i="13"/>
  <c r="BY140" i="5"/>
  <c r="BY273" i="5"/>
  <c r="AX93" i="28" s="1"/>
  <c r="X20" i="7"/>
  <c r="X58" i="7"/>
  <c r="Y55" i="29"/>
  <c r="X55" i="29"/>
  <c r="V337" i="10"/>
  <c r="V340" i="10" s="1"/>
  <c r="O29" i="7"/>
  <c r="M242" i="25"/>
  <c r="M147" i="12"/>
  <c r="M157" i="12"/>
  <c r="M158" i="12" s="1"/>
  <c r="BD210" i="5"/>
  <c r="BC210" i="5" s="1"/>
  <c r="N149" i="12"/>
  <c r="N157" i="12"/>
  <c r="N158" i="12" s="1"/>
  <c r="N146" i="12"/>
  <c r="N24" i="12"/>
  <c r="N25" i="12" s="1"/>
  <c r="N27" i="12" s="1"/>
  <c r="O136" i="12"/>
  <c r="O137" i="12" s="1"/>
  <c r="P135" i="12"/>
  <c r="P139" i="12"/>
  <c r="P141" i="12" s="1"/>
  <c r="P144" i="12" s="1"/>
  <c r="Q140" i="12"/>
  <c r="W16" i="7"/>
  <c r="P31" i="21"/>
  <c r="P34" i="21" s="1"/>
  <c r="P37" i="21" s="1"/>
  <c r="P38" i="21" s="1"/>
  <c r="U110" i="13"/>
  <c r="V108" i="13"/>
  <c r="W145" i="13"/>
  <c r="W147" i="13" s="1"/>
  <c r="W148" i="13" s="1"/>
  <c r="W151" i="13"/>
  <c r="W153" i="13" s="1"/>
  <c r="W154" i="13" s="1"/>
  <c r="BX272" i="5"/>
  <c r="BW265" i="5"/>
  <c r="BY278" i="5" s="1"/>
  <c r="BY279" i="5" s="1"/>
  <c r="BW273" i="5"/>
  <c r="AW93" i="28" s="1"/>
  <c r="AD26" i="29"/>
  <c r="Y51" i="7"/>
  <c r="BR273" i="5"/>
  <c r="AS93" i="28" s="1"/>
  <c r="BR140" i="5"/>
  <c r="EQ140" i="5" s="1"/>
  <c r="M241" i="25"/>
  <c r="K2582" i="16"/>
  <c r="M55" i="29"/>
  <c r="AD54" i="29"/>
  <c r="BR265" i="5"/>
  <c r="D2787" i="16"/>
  <c r="D2756" i="16"/>
  <c r="P2756" i="16" s="1"/>
  <c r="O2787" i="16"/>
  <c r="Y2787" i="16"/>
  <c r="N8" i="29"/>
  <c r="U104" i="10"/>
  <c r="Y14" i="18"/>
  <c r="Z192" i="13"/>
  <c r="Y193" i="13"/>
  <c r="BI39" i="5"/>
  <c r="BI40" i="5" s="1"/>
  <c r="BI84" i="5" s="1"/>
  <c r="BI91" i="5" s="1"/>
  <c r="BI92" i="5" s="1"/>
  <c r="L234" i="13"/>
  <c r="T98" i="13"/>
  <c r="G1666" i="16" s="1"/>
  <c r="I2495" i="16"/>
  <c r="I2498" i="16" s="1"/>
  <c r="W80" i="10"/>
  <c r="W83" i="10" s="1"/>
  <c r="I306" i="13"/>
  <c r="Q201" i="13"/>
  <c r="R99" i="12"/>
  <c r="R60" i="12"/>
  <c r="U106" i="13"/>
  <c r="U132" i="13"/>
  <c r="W92" i="10"/>
  <c r="W99" i="10" s="1"/>
  <c r="W75" i="10"/>
  <c r="X82" i="10"/>
  <c r="J2494" i="16"/>
  <c r="U38" i="7"/>
  <c r="U39" i="7" s="1"/>
  <c r="V12" i="7"/>
  <c r="Y198" i="10"/>
  <c r="Y77" i="10"/>
  <c r="Y205" i="10"/>
  <c r="Y207" i="10" s="1"/>
  <c r="Y210" i="10" s="1"/>
  <c r="U11" i="21" s="1"/>
  <c r="Y94" i="10"/>
  <c r="K280" i="13"/>
  <c r="S167" i="13"/>
  <c r="S157" i="13"/>
  <c r="K281" i="13" s="1"/>
  <c r="W192" i="10"/>
  <c r="V162" i="10"/>
  <c r="J292" i="13"/>
  <c r="R169" i="13"/>
  <c r="R195" i="13"/>
  <c r="R168" i="13"/>
  <c r="J293" i="13" s="1"/>
  <c r="K174" i="16"/>
  <c r="K175" i="16" s="1"/>
  <c r="K167" i="16"/>
  <c r="K166" i="16"/>
  <c r="W199" i="10"/>
  <c r="W200" i="10" s="1"/>
  <c r="W254" i="10"/>
  <c r="U343" i="10"/>
  <c r="Q132" i="12"/>
  <c r="Q123" i="12"/>
  <c r="M15" i="19"/>
  <c r="J59" i="9"/>
  <c r="J53" i="9"/>
  <c r="X24" i="18"/>
  <c r="D2726" i="16"/>
  <c r="P2726" i="16" s="1"/>
  <c r="Y153" i="10"/>
  <c r="Y53" i="10"/>
  <c r="N274" i="13"/>
  <c r="V153" i="13"/>
  <c r="AT4" i="14"/>
  <c r="S2" i="14"/>
  <c r="BN19" i="5"/>
  <c r="N242" i="25"/>
  <c r="L2583" i="16"/>
  <c r="N267" i="13"/>
  <c r="V147" i="13"/>
  <c r="U222" i="10"/>
  <c r="V220" i="10"/>
  <c r="W102" i="13"/>
  <c r="W87" i="13"/>
  <c r="I53" i="9"/>
  <c r="W30" i="18"/>
  <c r="X205" i="10"/>
  <c r="X207" i="10" s="1"/>
  <c r="X210" i="10" s="1"/>
  <c r="T11" i="21" s="1"/>
  <c r="X198" i="10"/>
  <c r="T13" i="21" s="1"/>
  <c r="X77" i="10"/>
  <c r="X94" i="10"/>
  <c r="Y79" i="10"/>
  <c r="Y96" i="10"/>
  <c r="Y89" i="10" s="1"/>
  <c r="M2491" i="16" s="1"/>
  <c r="W61" i="13"/>
  <c r="W88" i="13" s="1"/>
  <c r="L271" i="13"/>
  <c r="T156" i="13"/>
  <c r="X335" i="10"/>
  <c r="W337" i="10"/>
  <c r="U188" i="10"/>
  <c r="T158" i="10"/>
  <c r="T325" i="10" s="1"/>
  <c r="Z122" i="13"/>
  <c r="Z130" i="13"/>
  <c r="Z131" i="13" s="1"/>
  <c r="Z128" i="13"/>
  <c r="Z129" i="13"/>
  <c r="Z164" i="13" s="1"/>
  <c r="Z165" i="13" s="1"/>
  <c r="Z67" i="13"/>
  <c r="AA72" i="13"/>
  <c r="O34" i="21"/>
  <c r="O37" i="21" s="1"/>
  <c r="O38" i="21" s="1"/>
  <c r="S268" i="10"/>
  <c r="Y83" i="13"/>
  <c r="Y63" i="13"/>
  <c r="Y66" i="13" s="1"/>
  <c r="Y92" i="13" s="1"/>
  <c r="Y85" i="13" s="1"/>
  <c r="Y82" i="13"/>
  <c r="Y89" i="13"/>
  <c r="Y84" i="13"/>
  <c r="Y336" i="10"/>
  <c r="Z336" i="10" s="1"/>
  <c r="AA336" i="10" s="1"/>
  <c r="R78" i="14"/>
  <c r="Q84" i="14"/>
  <c r="Q89" i="14" s="1"/>
  <c r="Q94" i="14" s="1"/>
  <c r="Q99" i="14" s="1"/>
  <c r="Q104" i="14" s="1"/>
  <c r="Q109" i="14" s="1"/>
  <c r="W15" i="18"/>
  <c r="N41" i="7"/>
  <c r="M269" i="13"/>
  <c r="U148" i="13"/>
  <c r="X345" i="10"/>
  <c r="Y347" i="10"/>
  <c r="V96" i="13"/>
  <c r="V95" i="13"/>
  <c r="X152" i="13"/>
  <c r="X146" i="13"/>
  <c r="V255" i="10"/>
  <c r="V87" i="10"/>
  <c r="J2489" i="16" s="1"/>
  <c r="V72" i="10"/>
  <c r="V90" i="10" s="1"/>
  <c r="W69" i="10"/>
  <c r="W97" i="10"/>
  <c r="M276" i="13"/>
  <c r="U154" i="13"/>
  <c r="M278" i="13" s="1"/>
  <c r="X60" i="13"/>
  <c r="W312" i="10"/>
  <c r="X311" i="10"/>
  <c r="X79" i="10"/>
  <c r="J2497" i="16" s="1"/>
  <c r="X96" i="10"/>
  <c r="X89" i="10" s="1"/>
  <c r="L2491" i="16" s="1"/>
  <c r="C1560" i="16"/>
  <c r="C1602" i="16"/>
  <c r="X209" i="13"/>
  <c r="W210" i="13"/>
  <c r="X67" i="10"/>
  <c r="X85" i="10"/>
  <c r="Q173" i="13"/>
  <c r="Q204" i="13"/>
  <c r="Y160" i="13"/>
  <c r="Y123" i="13"/>
  <c r="N236" i="13"/>
  <c r="V224" i="13"/>
  <c r="V227" i="13" s="1"/>
  <c r="W226" i="13"/>
  <c r="V103" i="13"/>
  <c r="V120" i="13"/>
  <c r="N248" i="13" s="1"/>
  <c r="V117" i="13"/>
  <c r="N246" i="13" s="1"/>
  <c r="U76" i="13"/>
  <c r="X66" i="13"/>
  <c r="X92" i="13" s="1"/>
  <c r="X85" i="13" s="1"/>
  <c r="O52" i="7"/>
  <c r="T268" i="10"/>
  <c r="D459" i="16"/>
  <c r="C463" i="16"/>
  <c r="C465" i="16" s="1"/>
  <c r="C460" i="16"/>
  <c r="C461" i="16" s="1"/>
  <c r="D468" i="16"/>
  <c r="D469" i="16" s="1"/>
  <c r="D470" i="16" s="1"/>
  <c r="E458" i="16"/>
  <c r="E468" i="16" s="1"/>
  <c r="E469" i="16" s="1"/>
  <c r="E470" i="16" s="1"/>
  <c r="R116" i="18"/>
  <c r="R117" i="18" s="1"/>
  <c r="O308" i="10"/>
  <c r="Z36" i="7" l="1"/>
  <c r="BK3375" i="16"/>
  <c r="Y36" i="7"/>
  <c r="BJ3375" i="16"/>
  <c r="Z20" i="7"/>
  <c r="X105" i="13"/>
  <c r="Y105" i="13" s="1"/>
  <c r="Z105" i="13" s="1"/>
  <c r="AA105" i="13" s="1"/>
  <c r="AB105" i="13" s="1"/>
  <c r="W177" i="13"/>
  <c r="Z58" i="7"/>
  <c r="W594" i="1"/>
  <c r="W595" i="1" s="1"/>
  <c r="Y20" i="7"/>
  <c r="Y58" i="7"/>
  <c r="W60" i="7"/>
  <c r="H11" i="26" s="1"/>
  <c r="AF11" i="18"/>
  <c r="T25" i="13"/>
  <c r="EX140" i="5"/>
  <c r="FC140" i="5"/>
  <c r="AD55" i="29"/>
  <c r="N55" i="29"/>
  <c r="Z58" i="29"/>
  <c r="Z59" i="29" s="1"/>
  <c r="K2494" i="16"/>
  <c r="Z167" i="10"/>
  <c r="Z154" i="10"/>
  <c r="Z82" i="10" s="1"/>
  <c r="AC189" i="13"/>
  <c r="AC190" i="13" s="1"/>
  <c r="AD187" i="13"/>
  <c r="Y82" i="10"/>
  <c r="Y8" i="14"/>
  <c r="Y9" i="14" s="1"/>
  <c r="Z7" i="14"/>
  <c r="Z186" i="10"/>
  <c r="Z195" i="10" s="1"/>
  <c r="Z165" i="10" s="1"/>
  <c r="AA192" i="13"/>
  <c r="AD104" i="10"/>
  <c r="Z155" i="10"/>
  <c r="Z163" i="10"/>
  <c r="Z159" i="10"/>
  <c r="Z83" i="10"/>
  <c r="Q98" i="25"/>
  <c r="Q121" i="25" s="1"/>
  <c r="Q124" i="25" s="1"/>
  <c r="Q128" i="25" s="1"/>
  <c r="S89" i="25"/>
  <c r="AB181" i="10"/>
  <c r="AA180" i="10"/>
  <c r="AA166" i="10" s="1"/>
  <c r="AB336" i="10"/>
  <c r="Z160" i="10"/>
  <c r="AC109" i="10"/>
  <c r="AD136" i="10"/>
  <c r="AC146" i="10"/>
  <c r="AC119" i="10" s="1"/>
  <c r="U13" i="21"/>
  <c r="Z199" i="10"/>
  <c r="Y345" i="10"/>
  <c r="Z347" i="10"/>
  <c r="Z345" i="10" s="1"/>
  <c r="S81" i="25"/>
  <c r="S105" i="25" s="1"/>
  <c r="R105" i="25"/>
  <c r="AE57" i="13"/>
  <c r="AF56" i="13"/>
  <c r="AE159" i="13"/>
  <c r="AD161" i="13"/>
  <c r="AD160" i="13"/>
  <c r="Z31" i="21"/>
  <c r="Z29" i="21"/>
  <c r="O131" i="25"/>
  <c r="O137" i="25"/>
  <c r="O130" i="25"/>
  <c r="O127" i="25"/>
  <c r="O129" i="25"/>
  <c r="AA67" i="13"/>
  <c r="AA83" i="13" s="1"/>
  <c r="AB72" i="13"/>
  <c r="AC162" i="13"/>
  <c r="AB163" i="13"/>
  <c r="AB164" i="13" s="1"/>
  <c r="AB165" i="13" s="1"/>
  <c r="P137" i="25"/>
  <c r="P131" i="25"/>
  <c r="P130" i="25"/>
  <c r="P129" i="25"/>
  <c r="P127" i="25"/>
  <c r="S92" i="25"/>
  <c r="S114" i="25" s="1"/>
  <c r="S117" i="25" s="1"/>
  <c r="T36" i="21"/>
  <c r="U2" i="21"/>
  <c r="P241" i="25"/>
  <c r="Q136" i="25"/>
  <c r="P128" i="25"/>
  <c r="AC183" i="13"/>
  <c r="AB185" i="13"/>
  <c r="R84" i="25"/>
  <c r="R92" i="25"/>
  <c r="R114" i="25" s="1"/>
  <c r="R117" i="25" s="1"/>
  <c r="X456" i="1"/>
  <c r="X213" i="1" s="1"/>
  <c r="AD116" i="18" s="1"/>
  <c r="CC90" i="5"/>
  <c r="Y507" i="1"/>
  <c r="Y443" i="1"/>
  <c r="Y160" i="1" s="1"/>
  <c r="CH90" i="5" s="1"/>
  <c r="Z445" i="1"/>
  <c r="P451" i="1"/>
  <c r="O450" i="1"/>
  <c r="O453" i="1" s="1"/>
  <c r="O454" i="1" s="1"/>
  <c r="Z190" i="13"/>
  <c r="Z167" i="13"/>
  <c r="BW278" i="5"/>
  <c r="BY141" i="5"/>
  <c r="FC141" i="5" s="1"/>
  <c r="BY266" i="5"/>
  <c r="O33" i="7"/>
  <c r="D647" i="16" s="1"/>
  <c r="D652" i="16" s="1"/>
  <c r="X183" i="18"/>
  <c r="X188" i="18" s="1"/>
  <c r="X192" i="18" s="1"/>
  <c r="X195" i="18" s="1"/>
  <c r="X202" i="18" s="1"/>
  <c r="V341" i="10"/>
  <c r="V342" i="10"/>
  <c r="D2976" i="16"/>
  <c r="D3030" i="16" s="1"/>
  <c r="O157" i="12"/>
  <c r="O158" i="12" s="1"/>
  <c r="O149" i="12"/>
  <c r="O24" i="12"/>
  <c r="O25" i="12" s="1"/>
  <c r="O27" i="12" s="1"/>
  <c r="O146" i="12"/>
  <c r="N147" i="12"/>
  <c r="BI210" i="5"/>
  <c r="R140" i="12"/>
  <c r="R139" i="12" s="1"/>
  <c r="R141" i="12" s="1"/>
  <c r="R144" i="12" s="1"/>
  <c r="Q139" i="12"/>
  <c r="Q141" i="12" s="1"/>
  <c r="Q144" i="12" s="1"/>
  <c r="EB210" i="5"/>
  <c r="BC211" i="5"/>
  <c r="EG210" i="5"/>
  <c r="Q135" i="12"/>
  <c r="P136" i="12"/>
  <c r="P137" i="12" s="1"/>
  <c r="W156" i="13"/>
  <c r="W157" i="13" s="1"/>
  <c r="X151" i="13"/>
  <c r="X153" i="13" s="1"/>
  <c r="X154" i="13" s="1"/>
  <c r="X16" i="7"/>
  <c r="AG11" i="18" s="1"/>
  <c r="D2869" i="16"/>
  <c r="S133" i="13"/>
  <c r="X145" i="13"/>
  <c r="X147" i="13" s="1"/>
  <c r="X148" i="13" s="1"/>
  <c r="W108" i="13"/>
  <c r="X108" i="13" s="1"/>
  <c r="Y108" i="13" s="1"/>
  <c r="V110" i="13"/>
  <c r="BR278" i="5"/>
  <c r="BR279" i="5" s="1"/>
  <c r="BT278" i="5"/>
  <c r="BT279" i="5" s="1"/>
  <c r="BW266" i="5"/>
  <c r="BT141" i="5"/>
  <c r="ES141" i="5" s="1"/>
  <c r="BT266" i="5"/>
  <c r="Z51" i="7"/>
  <c r="BR141" i="5"/>
  <c r="EQ141" i="5" s="1"/>
  <c r="BR266" i="5"/>
  <c r="X111" i="18"/>
  <c r="L2582" i="16"/>
  <c r="N241" i="25"/>
  <c r="EQ16" i="5"/>
  <c r="M8" i="29"/>
  <c r="C2762" i="16"/>
  <c r="C2793" i="16"/>
  <c r="C2790" i="16"/>
  <c r="C2759" i="16"/>
  <c r="C2758" i="16" s="1"/>
  <c r="O2758" i="16" s="1"/>
  <c r="Z2787" i="16"/>
  <c r="P2787" i="16"/>
  <c r="BN31" i="5"/>
  <c r="AD19" i="29"/>
  <c r="Z193" i="13"/>
  <c r="P52" i="7"/>
  <c r="C15" i="26"/>
  <c r="C2729" i="16"/>
  <c r="C2432" i="16"/>
  <c r="W340" i="10"/>
  <c r="W342" i="10"/>
  <c r="Y69" i="10"/>
  <c r="Y97" i="10"/>
  <c r="U136" i="13"/>
  <c r="BX16" i="5"/>
  <c r="U21" i="13" s="1"/>
  <c r="U30" i="13" s="1"/>
  <c r="L2495" i="16"/>
  <c r="K2495" i="16"/>
  <c r="Y80" i="10"/>
  <c r="Y83" i="10" s="1"/>
  <c r="R84" i="14"/>
  <c r="R89" i="14" s="1"/>
  <c r="R94" i="14" s="1"/>
  <c r="R99" i="14" s="1"/>
  <c r="R104" i="14" s="1"/>
  <c r="R109" i="14" s="1"/>
  <c r="S78" i="14"/>
  <c r="S84" i="14" s="1"/>
  <c r="S89" i="14" s="1"/>
  <c r="S94" i="14" s="1"/>
  <c r="S99" i="14" s="1"/>
  <c r="S104" i="14" s="1"/>
  <c r="S109" i="14" s="1"/>
  <c r="AA130" i="13"/>
  <c r="AA128" i="13"/>
  <c r="AA129" i="13"/>
  <c r="AA164" i="13" s="1"/>
  <c r="AA165" i="13" s="1"/>
  <c r="AA122" i="13"/>
  <c r="AB123" i="13" s="1"/>
  <c r="L2497" i="16"/>
  <c r="K2497" i="16"/>
  <c r="Y67" i="10"/>
  <c r="Y85" i="10"/>
  <c r="W255" i="10"/>
  <c r="Y199" i="10"/>
  <c r="Y200" i="10" s="1"/>
  <c r="Y254" i="10"/>
  <c r="Z255" i="10" s="1"/>
  <c r="D1602" i="16"/>
  <c r="D1560" i="16"/>
  <c r="Y152" i="13"/>
  <c r="Y146" i="13"/>
  <c r="Y335" i="10"/>
  <c r="X337" i="10"/>
  <c r="X15" i="18"/>
  <c r="O41" i="7"/>
  <c r="Y60" i="13"/>
  <c r="X69" i="10"/>
  <c r="X97" i="10"/>
  <c r="N269" i="13"/>
  <c r="V148" i="13"/>
  <c r="AG37" i="28"/>
  <c r="K292" i="13"/>
  <c r="S195" i="13"/>
  <c r="S168" i="13"/>
  <c r="K293" i="13" s="1"/>
  <c r="S169" i="13"/>
  <c r="V38" i="7"/>
  <c r="V39" i="7" s="1"/>
  <c r="W12" i="7"/>
  <c r="M234" i="13"/>
  <c r="U98" i="13"/>
  <c r="H1666" i="16" s="1"/>
  <c r="V76" i="13"/>
  <c r="X102" i="13"/>
  <c r="X87" i="13"/>
  <c r="V188" i="10"/>
  <c r="U158" i="10"/>
  <c r="U325" i="10" s="1"/>
  <c r="X61" i="13"/>
  <c r="X88" i="13" s="1"/>
  <c r="Z63" i="13"/>
  <c r="Z66" i="13" s="1"/>
  <c r="Z92" i="13" s="1"/>
  <c r="Z85" i="13" s="1"/>
  <c r="Z83" i="13"/>
  <c r="Z82" i="13"/>
  <c r="Z89" i="13"/>
  <c r="Z84" i="13"/>
  <c r="X30" i="18"/>
  <c r="J2495" i="16"/>
  <c r="J2498" i="16" s="1"/>
  <c r="X80" i="10"/>
  <c r="X83" i="10" s="1"/>
  <c r="R173" i="13"/>
  <c r="R204" i="13"/>
  <c r="R132" i="12"/>
  <c r="R123" i="12"/>
  <c r="W96" i="13"/>
  <c r="W95" i="13"/>
  <c r="BN20" i="5"/>
  <c r="BN21" i="5" s="1"/>
  <c r="W87" i="10"/>
  <c r="K2489" i="16" s="1"/>
  <c r="W72" i="10"/>
  <c r="W90" i="10" s="1"/>
  <c r="M271" i="13"/>
  <c r="U156" i="13"/>
  <c r="W341" i="10"/>
  <c r="M5" i="19"/>
  <c r="W224" i="13"/>
  <c r="W227" i="13" s="1"/>
  <c r="X226" i="13"/>
  <c r="W103" i="13"/>
  <c r="W120" i="13"/>
  <c r="W117" i="13"/>
  <c r="N276" i="13"/>
  <c r="V154" i="13"/>
  <c r="N278" i="13" s="1"/>
  <c r="V222" i="10"/>
  <c r="W220" i="10"/>
  <c r="W162" i="10"/>
  <c r="X192" i="10"/>
  <c r="Y209" i="13"/>
  <c r="X210" i="13"/>
  <c r="L59" i="9"/>
  <c r="L280" i="13"/>
  <c r="T167" i="13"/>
  <c r="T157" i="13"/>
  <c r="L281" i="13" s="1"/>
  <c r="X199" i="10"/>
  <c r="X200" i="10" s="1"/>
  <c r="X254" i="10"/>
  <c r="X312" i="10"/>
  <c r="Y311" i="10"/>
  <c r="N15" i="19"/>
  <c r="K59" i="9"/>
  <c r="K53" i="9"/>
  <c r="Y24" i="18"/>
  <c r="X92" i="10"/>
  <c r="X99" i="10" s="1"/>
  <c r="X75" i="10"/>
  <c r="BN103" i="5"/>
  <c r="Z160" i="13"/>
  <c r="Z123" i="13"/>
  <c r="V104" i="10"/>
  <c r="T2" i="14"/>
  <c r="U2" i="14" s="1"/>
  <c r="V2" i="14" s="1"/>
  <c r="W2" i="14" s="1"/>
  <c r="X2" i="14" s="1"/>
  <c r="Y2" i="14" s="1"/>
  <c r="Z2" i="14" s="1"/>
  <c r="AA2" i="14" s="1"/>
  <c r="AB2" i="14" s="1"/>
  <c r="AC2" i="14" s="1"/>
  <c r="AU4" i="14"/>
  <c r="J306" i="13"/>
  <c r="R201" i="13"/>
  <c r="E459" i="16"/>
  <c r="D460" i="16"/>
  <c r="D461" i="16" s="1"/>
  <c r="D463" i="16"/>
  <c r="D465" i="16" s="1"/>
  <c r="S116" i="18"/>
  <c r="S117" i="18" s="1"/>
  <c r="U31" i="13" l="1"/>
  <c r="V31" i="13"/>
  <c r="Y177" i="13"/>
  <c r="Y181" i="13" s="1"/>
  <c r="W167" i="1"/>
  <c r="HR90" i="5"/>
  <c r="CG90" i="5"/>
  <c r="U22" i="13"/>
  <c r="U24" i="13"/>
  <c r="U25" i="13" s="1"/>
  <c r="BN54" i="5"/>
  <c r="BN34" i="5"/>
  <c r="Z200" i="10"/>
  <c r="Z335" i="10"/>
  <c r="Z337" i="10" s="1"/>
  <c r="Z341" i="10" s="1"/>
  <c r="AA84" i="13"/>
  <c r="AB192" i="13"/>
  <c r="AB193" i="13" s="1"/>
  <c r="AB195" i="13"/>
  <c r="V59" i="9" s="1"/>
  <c r="Z8" i="14"/>
  <c r="Z9" i="14" s="1"/>
  <c r="AA7" i="14"/>
  <c r="AE187" i="13"/>
  <c r="AD189" i="13"/>
  <c r="AD190" i="13" s="1"/>
  <c r="AA63" i="13"/>
  <c r="AA66" i="13" s="1"/>
  <c r="AA92" i="13" s="1"/>
  <c r="AA85" i="13" s="1"/>
  <c r="AA89" i="13"/>
  <c r="AA82" i="13"/>
  <c r="AC336" i="10"/>
  <c r="AA155" i="10"/>
  <c r="AA167" i="10"/>
  <c r="AA200" i="10" s="1"/>
  <c r="AA83" i="10"/>
  <c r="AA186" i="10"/>
  <c r="AA195" i="10" s="1"/>
  <c r="AA165" i="10" s="1"/>
  <c r="AA159" i="10"/>
  <c r="AA163" i="10"/>
  <c r="AA161" i="10"/>
  <c r="AA160" i="10"/>
  <c r="AA154" i="10"/>
  <c r="AA82" i="10" s="1"/>
  <c r="S98" i="25"/>
  <c r="S121" i="25" s="1"/>
  <c r="S124" i="25" s="1"/>
  <c r="S128" i="25" s="1"/>
  <c r="AC181" i="10"/>
  <c r="AB180" i="10"/>
  <c r="AB166" i="10" s="1"/>
  <c r="AA347" i="10"/>
  <c r="AA345" i="10" s="1"/>
  <c r="AD109" i="10"/>
  <c r="AD146" i="10"/>
  <c r="AD119" i="10" s="1"/>
  <c r="S84" i="25"/>
  <c r="R98" i="25"/>
  <c r="R121" i="25" s="1"/>
  <c r="R124" i="25" s="1"/>
  <c r="R128" i="25" s="1"/>
  <c r="Y312" i="10"/>
  <c r="Z311" i="10"/>
  <c r="AB152" i="13"/>
  <c r="AB146" i="13"/>
  <c r="AB140" i="13"/>
  <c r="AB177" i="13"/>
  <c r="AB181" i="13" s="1"/>
  <c r="AC105" i="13"/>
  <c r="AB135" i="13"/>
  <c r="AB132" i="13"/>
  <c r="Z34" i="21"/>
  <c r="Z37" i="21" s="1"/>
  <c r="Z38" i="21" s="1"/>
  <c r="X268" i="10"/>
  <c r="Q241" i="25"/>
  <c r="R136" i="25"/>
  <c r="AA131" i="13"/>
  <c r="AB131" i="13"/>
  <c r="U36" i="21"/>
  <c r="V2" i="21"/>
  <c r="P242" i="25"/>
  <c r="P140" i="25"/>
  <c r="P245" i="25" s="1"/>
  <c r="O140" i="25"/>
  <c r="O245" i="25" s="1"/>
  <c r="O242" i="25"/>
  <c r="AF159" i="13"/>
  <c r="AE161" i="13"/>
  <c r="AE160" i="13"/>
  <c r="AD183" i="13"/>
  <c r="AC185" i="13"/>
  <c r="AD162" i="13"/>
  <c r="AC163" i="13"/>
  <c r="AC164" i="13" s="1"/>
  <c r="AC165" i="13" s="1"/>
  <c r="Q130" i="25"/>
  <c r="Q131" i="25"/>
  <c r="Q137" i="25"/>
  <c r="Q129" i="25"/>
  <c r="Q127" i="25"/>
  <c r="AC72" i="13"/>
  <c r="AB67" i="13"/>
  <c r="AF57" i="13"/>
  <c r="Z507" i="1"/>
  <c r="Z443" i="1"/>
  <c r="Z160" i="1" s="1"/>
  <c r="AA445" i="1"/>
  <c r="Y456" i="1"/>
  <c r="Y213" i="1" s="1"/>
  <c r="AE116" i="18" s="1"/>
  <c r="P450" i="1"/>
  <c r="P453" i="1" s="1"/>
  <c r="P454" i="1" s="1"/>
  <c r="Q451" i="1"/>
  <c r="AA193" i="13"/>
  <c r="AA167" i="13"/>
  <c r="D1596" i="16"/>
  <c r="D1597" i="16" s="1"/>
  <c r="EX141" i="5"/>
  <c r="D1554" i="16"/>
  <c r="C1770" i="16"/>
  <c r="C1456" i="16"/>
  <c r="C1471" i="16" s="1"/>
  <c r="X31" i="18"/>
  <c r="D2075" i="16"/>
  <c r="D2077" i="16" s="1"/>
  <c r="D1555" i="16"/>
  <c r="D646" i="16"/>
  <c r="D653" i="16" s="1"/>
  <c r="O49" i="7"/>
  <c r="O48" i="7" s="1"/>
  <c r="V343" i="10"/>
  <c r="X60" i="7"/>
  <c r="I11" i="26" s="1"/>
  <c r="P149" i="12"/>
  <c r="P24" i="12"/>
  <c r="P25" i="12" s="1"/>
  <c r="P27" i="12" s="1"/>
  <c r="P157" i="12"/>
  <c r="P158" i="12" s="1"/>
  <c r="P146" i="12"/>
  <c r="R135" i="12"/>
  <c r="R136" i="12" s="1"/>
  <c r="R137" i="12" s="1"/>
  <c r="Q136" i="12"/>
  <c r="Q137" i="12" s="1"/>
  <c r="O147" i="12"/>
  <c r="BN210" i="5"/>
  <c r="P58" i="14"/>
  <c r="AE58" i="14"/>
  <c r="Y145" i="13"/>
  <c r="Y147" i="13" s="1"/>
  <c r="Y148" i="13" s="1"/>
  <c r="X156" i="13"/>
  <c r="X157" i="13" s="1"/>
  <c r="Y151" i="13"/>
  <c r="Y153" i="13" s="1"/>
  <c r="Y154" i="13" s="1"/>
  <c r="Y16" i="7"/>
  <c r="AH11" i="18" s="1"/>
  <c r="W181" i="13"/>
  <c r="V132" i="13"/>
  <c r="CC16" i="5"/>
  <c r="V21" i="13" s="1"/>
  <c r="BU7" i="28"/>
  <c r="O2759" i="16"/>
  <c r="Y61" i="13"/>
  <c r="Y88" i="13" s="1"/>
  <c r="CF54" i="28"/>
  <c r="N11" i="29"/>
  <c r="BS20" i="5"/>
  <c r="BS103" i="5"/>
  <c r="E2787" i="16"/>
  <c r="E2756" i="16"/>
  <c r="Q2756" i="16" s="1"/>
  <c r="Y2790" i="16"/>
  <c r="O2790" i="16"/>
  <c r="C2789" i="16"/>
  <c r="Y2793" i="16"/>
  <c r="O2793" i="16"/>
  <c r="S8" i="29"/>
  <c r="AD22" i="29"/>
  <c r="AD29" i="29"/>
  <c r="K2498" i="16"/>
  <c r="L2498" i="16"/>
  <c r="Y255" i="10"/>
  <c r="W76" i="13"/>
  <c r="W98" i="13" s="1"/>
  <c r="K306" i="13"/>
  <c r="AG40" i="28"/>
  <c r="Y337" i="10"/>
  <c r="Y341" i="10" s="1"/>
  <c r="AA123" i="13"/>
  <c r="AA160" i="13"/>
  <c r="C2728" i="16"/>
  <c r="O2728" i="16" s="1"/>
  <c r="O2729" i="16"/>
  <c r="Z209" i="13"/>
  <c r="Y210" i="13"/>
  <c r="X87" i="10"/>
  <c r="L2489" i="16" s="1"/>
  <c r="X72" i="10"/>
  <c r="X90" i="10" s="1"/>
  <c r="X12" i="7"/>
  <c r="W38" i="7"/>
  <c r="W39" i="7" s="1"/>
  <c r="N271" i="13"/>
  <c r="V156" i="13"/>
  <c r="AA190" i="13"/>
  <c r="E1602" i="16"/>
  <c r="E1560" i="16"/>
  <c r="Z108" i="13"/>
  <c r="Y192" i="10"/>
  <c r="X162" i="10"/>
  <c r="E2726" i="16"/>
  <c r="Q2726" i="16" s="1"/>
  <c r="W222" i="10"/>
  <c r="X220" i="10"/>
  <c r="W188" i="10"/>
  <c r="V158" i="10"/>
  <c r="V325" i="10" s="1"/>
  <c r="Z152" i="13"/>
  <c r="Z146" i="13"/>
  <c r="X255" i="10"/>
  <c r="Z60" i="13"/>
  <c r="Y92" i="10"/>
  <c r="Y99" i="10" s="1"/>
  <c r="Y75" i="10"/>
  <c r="BN96" i="5"/>
  <c r="C2710" i="16"/>
  <c r="X96" i="13"/>
  <c r="X95" i="13"/>
  <c r="S173" i="13"/>
  <c r="Y87" i="10"/>
  <c r="M2489" i="16" s="1"/>
  <c r="Y72" i="10"/>
  <c r="Y90" i="10" s="1"/>
  <c r="E2210" i="16"/>
  <c r="E2228" i="16" s="1"/>
  <c r="F1766" i="16"/>
  <c r="Y30" i="18"/>
  <c r="L292" i="13"/>
  <c r="T195" i="13"/>
  <c r="T169" i="13"/>
  <c r="T168" i="13"/>
  <c r="L293" i="13" s="1"/>
  <c r="N5" i="19"/>
  <c r="X224" i="13"/>
  <c r="X227" i="13" s="1"/>
  <c r="Y226" i="13"/>
  <c r="X103" i="13"/>
  <c r="X120" i="13"/>
  <c r="X117" i="13"/>
  <c r="W104" i="10"/>
  <c r="X340" i="10"/>
  <c r="X342" i="10"/>
  <c r="Y15" i="18"/>
  <c r="P41" i="7"/>
  <c r="Y102" i="13"/>
  <c r="Y87" i="13"/>
  <c r="M280" i="13"/>
  <c r="U167" i="13"/>
  <c r="U157" i="13"/>
  <c r="M281" i="13" s="1"/>
  <c r="N234" i="13"/>
  <c r="V98" i="13"/>
  <c r="I1666" i="16" s="1"/>
  <c r="X341" i="10"/>
  <c r="W343" i="10"/>
  <c r="U116" i="18"/>
  <c r="U117" i="18" s="1"/>
  <c r="T116" i="18"/>
  <c r="T117" i="18" s="1"/>
  <c r="E463" i="16"/>
  <c r="E465" i="16" s="1"/>
  <c r="E460" i="16"/>
  <c r="E461" i="16" s="1"/>
  <c r="W21" i="13" l="1"/>
  <c r="V28" i="13"/>
  <c r="V22" i="13"/>
  <c r="V24" i="13"/>
  <c r="V25" i="13" s="1"/>
  <c r="C45" i="21"/>
  <c r="C46" i="21" s="1"/>
  <c r="C40" i="21"/>
  <c r="AA60" i="13"/>
  <c r="AA61" i="13" s="1"/>
  <c r="AA88" i="13" s="1"/>
  <c r="AC192" i="13"/>
  <c r="AC193" i="13" s="1"/>
  <c r="AC195" i="13"/>
  <c r="W59" i="9" s="1"/>
  <c r="AB347" i="10"/>
  <c r="AB345" i="10" s="1"/>
  <c r="AF187" i="13"/>
  <c r="AF189" i="13" s="1"/>
  <c r="AF190" i="13" s="1"/>
  <c r="AE189" i="13"/>
  <c r="AE190" i="13" s="1"/>
  <c r="AA8" i="14"/>
  <c r="AA9" i="14" s="1"/>
  <c r="AB7" i="14"/>
  <c r="AC180" i="10"/>
  <c r="AC166" i="10" s="1"/>
  <c r="AD181" i="10"/>
  <c r="AB83" i="10"/>
  <c r="AB186" i="10"/>
  <c r="AB195" i="10" s="1"/>
  <c r="AB165" i="10" s="1"/>
  <c r="AB167" i="10"/>
  <c r="AB200" i="10" s="1"/>
  <c r="AB159" i="10"/>
  <c r="AB163" i="10"/>
  <c r="AB161" i="10"/>
  <c r="AB160" i="10"/>
  <c r="AB155" i="10"/>
  <c r="AB154" i="10"/>
  <c r="AB82" i="10" s="1"/>
  <c r="AA335" i="10"/>
  <c r="Z312" i="10"/>
  <c r="AA311" i="10"/>
  <c r="AD336" i="10"/>
  <c r="Y162" i="10"/>
  <c r="Z192" i="10"/>
  <c r="Z340" i="10"/>
  <c r="Z342" i="10"/>
  <c r="AE162" i="13"/>
  <c r="AD163" i="13"/>
  <c r="AD164" i="13" s="1"/>
  <c r="AD165" i="13" s="1"/>
  <c r="R137" i="25"/>
  <c r="R131" i="25"/>
  <c r="R130" i="25"/>
  <c r="R127" i="25"/>
  <c r="R129" i="25"/>
  <c r="Q140" i="25"/>
  <c r="Q245" i="25" s="1"/>
  <c r="Q242" i="25"/>
  <c r="R241" i="25"/>
  <c r="S136" i="25"/>
  <c r="S241" i="25" s="1"/>
  <c r="AC177" i="13"/>
  <c r="AC181" i="13" s="1"/>
  <c r="AD105" i="13"/>
  <c r="AC135" i="13"/>
  <c r="AC140" i="13"/>
  <c r="AC132" i="13"/>
  <c r="AE183" i="13"/>
  <c r="AD185" i="13"/>
  <c r="AB200" i="13"/>
  <c r="AB201" i="13" s="1"/>
  <c r="AB212" i="13"/>
  <c r="AB213" i="13" s="1"/>
  <c r="AB228" i="13"/>
  <c r="V36" i="21"/>
  <c r="W2" i="21"/>
  <c r="AB169" i="13"/>
  <c r="AB63" i="13"/>
  <c r="AB66" i="13" s="1"/>
  <c r="AB92" i="13" s="1"/>
  <c r="AB85" i="13" s="1"/>
  <c r="AB83" i="13"/>
  <c r="AB82" i="13"/>
  <c r="AB89" i="13"/>
  <c r="AB84" i="13"/>
  <c r="AF161" i="13"/>
  <c r="AF160" i="13"/>
  <c r="S131" i="25"/>
  <c r="S137" i="25"/>
  <c r="S130" i="25"/>
  <c r="S129" i="25"/>
  <c r="S127" i="25"/>
  <c r="AC67" i="13"/>
  <c r="AD72" i="13"/>
  <c r="R451" i="1"/>
  <c r="Q450" i="1"/>
  <c r="Q453" i="1" s="1"/>
  <c r="Q454" i="1" s="1"/>
  <c r="AA443" i="1"/>
  <c r="AA160" i="1" s="1"/>
  <c r="AA507" i="1"/>
  <c r="AB445" i="1"/>
  <c r="Z456" i="1"/>
  <c r="Z213" i="1" s="1"/>
  <c r="AF116" i="18" s="1"/>
  <c r="Y459" i="1"/>
  <c r="AE26" i="18" s="1"/>
  <c r="X193" i="1"/>
  <c r="CC54" i="5"/>
  <c r="C2088" i="16"/>
  <c r="E1440" i="16"/>
  <c r="N7" i="19"/>
  <c r="X177" i="13"/>
  <c r="R8" i="29"/>
  <c r="Z16" i="7"/>
  <c r="AI11" i="18" s="1"/>
  <c r="W195" i="13"/>
  <c r="Q59" i="9" s="1"/>
  <c r="Z145" i="13"/>
  <c r="Z147" i="13" s="1"/>
  <c r="Z148" i="13" s="1"/>
  <c r="Q157" i="12"/>
  <c r="Q158" i="12" s="1"/>
  <c r="Q146" i="12"/>
  <c r="Q149" i="12"/>
  <c r="Q24" i="12"/>
  <c r="Q25" i="12" s="1"/>
  <c r="Q27" i="12" s="1"/>
  <c r="R149" i="12"/>
  <c r="C153" i="12" s="1"/>
  <c r="C154" i="12" s="1"/>
  <c r="R146" i="12"/>
  <c r="CC210" i="5" s="1"/>
  <c r="R157" i="12"/>
  <c r="R158" i="12" s="1"/>
  <c r="R24" i="12"/>
  <c r="BS210" i="5"/>
  <c r="Q58" i="14"/>
  <c r="P147" i="12"/>
  <c r="AF58" i="14"/>
  <c r="AE79" i="14"/>
  <c r="AE110" i="14"/>
  <c r="Y60" i="7"/>
  <c r="J11" i="26" s="1"/>
  <c r="P61" i="14"/>
  <c r="P79" i="14"/>
  <c r="P85" i="14" s="1"/>
  <c r="P110" i="14"/>
  <c r="F1784" i="16"/>
  <c r="F1787" i="16" s="1"/>
  <c r="Z151" i="13"/>
  <c r="Z153" i="13" s="1"/>
  <c r="Z154" i="13" s="1"/>
  <c r="Y156" i="13"/>
  <c r="Y157" i="13" s="1"/>
  <c r="M7" i="19"/>
  <c r="W140" i="13"/>
  <c r="W142" i="13" s="1"/>
  <c r="X140" i="13"/>
  <c r="N9" i="19" s="1"/>
  <c r="X135" i="13"/>
  <c r="X132" i="13"/>
  <c r="W132" i="13"/>
  <c r="W135" i="13"/>
  <c r="V136" i="13"/>
  <c r="V228" i="13"/>
  <c r="V229" i="13" s="1"/>
  <c r="V230" i="13" s="1"/>
  <c r="V212" i="13"/>
  <c r="V213" i="13" s="1"/>
  <c r="V215" i="13" s="1"/>
  <c r="V216" i="13" s="1"/>
  <c r="V217" i="13" s="1"/>
  <c r="EV16" i="5"/>
  <c r="M32" i="29"/>
  <c r="Z61" i="13"/>
  <c r="Z88" i="13" s="1"/>
  <c r="AA2787" i="16"/>
  <c r="Q2787" i="16"/>
  <c r="Y2789" i="16"/>
  <c r="O2789" i="16"/>
  <c r="AG41" i="28"/>
  <c r="Y140" i="13"/>
  <c r="Y135" i="13"/>
  <c r="Y132" i="13"/>
  <c r="AA152" i="13"/>
  <c r="AA146" i="13"/>
  <c r="M292" i="13"/>
  <c r="U195" i="13"/>
  <c r="U168" i="13"/>
  <c r="M293" i="13" s="1"/>
  <c r="Y220" i="10"/>
  <c r="X222" i="10"/>
  <c r="N280" i="13"/>
  <c r="V157" i="13"/>
  <c r="N281" i="13" s="1"/>
  <c r="Y340" i="10"/>
  <c r="Y342" i="10"/>
  <c r="X188" i="10"/>
  <c r="W158" i="10"/>
  <c r="W325" i="10" s="1"/>
  <c r="X343" i="10"/>
  <c r="Y104" i="10"/>
  <c r="X38" i="7"/>
  <c r="X39" i="7" s="1"/>
  <c r="Y12" i="7"/>
  <c r="X76" i="13"/>
  <c r="X98" i="13" s="1"/>
  <c r="W228" i="13"/>
  <c r="W229" i="13" s="1"/>
  <c r="W230" i="13" s="1"/>
  <c r="W212" i="13"/>
  <c r="M11" i="19" s="1"/>
  <c r="L306" i="13"/>
  <c r="AA108" i="13"/>
  <c r="AB108" i="13" s="1"/>
  <c r="AC108" i="13" s="1"/>
  <c r="AD108" i="13" s="1"/>
  <c r="AE108" i="13" s="1"/>
  <c r="AF108" i="13" s="1"/>
  <c r="X104" i="10"/>
  <c r="Z87" i="13"/>
  <c r="Z102" i="13"/>
  <c r="Q52" i="7"/>
  <c r="Y96" i="13"/>
  <c r="Y95" i="13"/>
  <c r="AA209" i="13"/>
  <c r="Z210" i="13"/>
  <c r="T173" i="13"/>
  <c r="BS31" i="5"/>
  <c r="C2732" i="16"/>
  <c r="Q40" i="26"/>
  <c r="Z226" i="13"/>
  <c r="Y224" i="13"/>
  <c r="Y227" i="13" s="1"/>
  <c r="Y103" i="13"/>
  <c r="Y120" i="13"/>
  <c r="Y117" i="13"/>
  <c r="V116" i="18"/>
  <c r="V117" i="18" s="1"/>
  <c r="X55" i="1" l="1"/>
  <c r="X56" i="1" s="1"/>
  <c r="T40" i="10" s="1"/>
  <c r="W28" i="13"/>
  <c r="W33" i="13"/>
  <c r="Y83" i="1" s="1"/>
  <c r="V29" i="13"/>
  <c r="V172" i="13"/>
  <c r="V173" i="13" s="1"/>
  <c r="X21" i="13"/>
  <c r="Y23" i="1"/>
  <c r="C48" i="21"/>
  <c r="C49" i="21" s="1"/>
  <c r="C50" i="21" s="1"/>
  <c r="D50" i="21" s="1"/>
  <c r="BS54" i="5"/>
  <c r="X228" i="13"/>
  <c r="X229" i="13" s="1"/>
  <c r="X230" i="13" s="1"/>
  <c r="X181" i="13"/>
  <c r="X200" i="13" s="1"/>
  <c r="W8" i="29"/>
  <c r="AC347" i="10"/>
  <c r="AC345" i="10" s="1"/>
  <c r="AA102" i="13"/>
  <c r="AB226" i="13" s="1"/>
  <c r="AA87" i="13"/>
  <c r="AA96" i="13" s="1"/>
  <c r="AD192" i="13"/>
  <c r="AD193" i="13" s="1"/>
  <c r="AD195" i="13"/>
  <c r="X59" i="9" s="1"/>
  <c r="AC7" i="14"/>
  <c r="AC8" i="14" s="1"/>
  <c r="AC9" i="14" s="1"/>
  <c r="AB8" i="14"/>
  <c r="AB9" i="14" s="1"/>
  <c r="Z60" i="7"/>
  <c r="K11" i="26" s="1"/>
  <c r="AA16" i="7"/>
  <c r="AJ11" i="18" s="1"/>
  <c r="AC445" i="1"/>
  <c r="AC443" i="1" s="1"/>
  <c r="AC160" i="1" s="1"/>
  <c r="Z162" i="10"/>
  <c r="AA192" i="10"/>
  <c r="AD180" i="10"/>
  <c r="AD166" i="10" s="1"/>
  <c r="AA312" i="10"/>
  <c r="AB311" i="10"/>
  <c r="AC186" i="10"/>
  <c r="AC195" i="10" s="1"/>
  <c r="AC165" i="10" s="1"/>
  <c r="AC167" i="10"/>
  <c r="AC200" i="10" s="1"/>
  <c r="AC163" i="10"/>
  <c r="AC159" i="10"/>
  <c r="AC161" i="10"/>
  <c r="AC160" i="10"/>
  <c r="AC155" i="10"/>
  <c r="AC83" i="10"/>
  <c r="AC154" i="10"/>
  <c r="AC82" i="10" s="1"/>
  <c r="AB335" i="10"/>
  <c r="AA337" i="10"/>
  <c r="AA341" i="10" s="1"/>
  <c r="Y222" i="10"/>
  <c r="Z220" i="10"/>
  <c r="Z343" i="10"/>
  <c r="AD67" i="13"/>
  <c r="AE72" i="13"/>
  <c r="AF183" i="13"/>
  <c r="AF185" i="13" s="1"/>
  <c r="AE185" i="13"/>
  <c r="AA210" i="13"/>
  <c r="AB209" i="13"/>
  <c r="AC63" i="13"/>
  <c r="AC66" i="13" s="1"/>
  <c r="AC92" i="13" s="1"/>
  <c r="AC85" i="13" s="1"/>
  <c r="AC83" i="13"/>
  <c r="AC82" i="13"/>
  <c r="AC89" i="13"/>
  <c r="AC84" i="13"/>
  <c r="AC169" i="13"/>
  <c r="AC142" i="13"/>
  <c r="AB197" i="13"/>
  <c r="AB198" i="13"/>
  <c r="AC136" i="13"/>
  <c r="R140" i="25"/>
  <c r="R245" i="25" s="1"/>
  <c r="R242" i="25"/>
  <c r="AD177" i="13"/>
  <c r="AD181" i="13" s="1"/>
  <c r="AE105" i="13"/>
  <c r="AD140" i="13"/>
  <c r="AD135" i="13"/>
  <c r="AD132" i="13"/>
  <c r="W36" i="21"/>
  <c r="X2" i="21"/>
  <c r="AC228" i="13"/>
  <c r="AC200" i="13"/>
  <c r="AC212" i="13"/>
  <c r="AC213" i="13" s="1"/>
  <c r="AF162" i="13"/>
  <c r="AF163" i="13" s="1"/>
  <c r="AF164" i="13" s="1"/>
  <c r="AF165" i="13" s="1"/>
  <c r="AE163" i="13"/>
  <c r="AE164" i="13" s="1"/>
  <c r="AE165" i="13" s="1"/>
  <c r="S140" i="25"/>
  <c r="S245" i="25" s="1"/>
  <c r="S242" i="25"/>
  <c r="AB60" i="13"/>
  <c r="AB507" i="1"/>
  <c r="AB443" i="1"/>
  <c r="AB160" i="1" s="1"/>
  <c r="AA456" i="1"/>
  <c r="AA213" i="1" s="1"/>
  <c r="AG116" i="18" s="1"/>
  <c r="Z459" i="1"/>
  <c r="AF26" i="18" s="1"/>
  <c r="Y193" i="1"/>
  <c r="R450" i="1"/>
  <c r="R453" i="1" s="1"/>
  <c r="R454" i="1" s="1"/>
  <c r="S451" i="1"/>
  <c r="S450" i="1" s="1"/>
  <c r="S453" i="1" s="1"/>
  <c r="S271" i="10"/>
  <c r="S282" i="10" s="1"/>
  <c r="AA145" i="13"/>
  <c r="BX103" i="5"/>
  <c r="BW114" i="5" s="1"/>
  <c r="Z156" i="13"/>
  <c r="R147" i="12"/>
  <c r="AH58" i="14"/>
  <c r="S58" i="14"/>
  <c r="AF79" i="14"/>
  <c r="AF110" i="14"/>
  <c r="C151" i="12"/>
  <c r="C155" i="12" s="1"/>
  <c r="Q110" i="14"/>
  <c r="Q61" i="14"/>
  <c r="Q79" i="14"/>
  <c r="Q85" i="14" s="1"/>
  <c r="BX210" i="5"/>
  <c r="Q147" i="12"/>
  <c r="AG58" i="14"/>
  <c r="R58" i="14"/>
  <c r="P100" i="14"/>
  <c r="P105" i="14" s="1"/>
  <c r="P90" i="14"/>
  <c r="P62" i="14"/>
  <c r="P17" i="14"/>
  <c r="P18" i="14" s="1"/>
  <c r="C185" i="12"/>
  <c r="C187" i="12" s="1"/>
  <c r="C188" i="12" s="1"/>
  <c r="C189" i="12" s="1"/>
  <c r="C192" i="12" s="1"/>
  <c r="R25" i="12"/>
  <c r="R27" i="12" s="1"/>
  <c r="M9" i="19"/>
  <c r="AA151" i="13"/>
  <c r="X195" i="13"/>
  <c r="R59" i="9" s="1"/>
  <c r="W200" i="13"/>
  <c r="W201" i="13" s="1"/>
  <c r="Y195" i="13"/>
  <c r="S59" i="9" s="1"/>
  <c r="X169" i="13"/>
  <c r="W169" i="13"/>
  <c r="X142" i="13"/>
  <c r="X212" i="13"/>
  <c r="N11" i="19" s="1"/>
  <c r="X136" i="13"/>
  <c r="W136" i="13"/>
  <c r="V197" i="13"/>
  <c r="V33" i="13" s="1"/>
  <c r="V198" i="13"/>
  <c r="V200" i="13"/>
  <c r="V222" i="13" s="1"/>
  <c r="E2976" i="16"/>
  <c r="E3030" i="16" s="1"/>
  <c r="F2756" i="16"/>
  <c r="R2756" i="16" s="1"/>
  <c r="X8" i="29"/>
  <c r="F2726" i="16"/>
  <c r="R2726" i="16" s="1"/>
  <c r="EQ20" i="5"/>
  <c r="M11" i="29"/>
  <c r="BS67" i="5"/>
  <c r="AG42" i="28"/>
  <c r="D2793" i="16"/>
  <c r="D2762" i="16"/>
  <c r="N19" i="29"/>
  <c r="O2762" i="16"/>
  <c r="Z96" i="13"/>
  <c r="Z95" i="13"/>
  <c r="W213" i="13"/>
  <c r="AA226" i="13"/>
  <c r="Z224" i="13"/>
  <c r="Z227" i="13" s="1"/>
  <c r="Z103" i="13"/>
  <c r="Z120" i="13"/>
  <c r="Z117" i="13"/>
  <c r="Z177" i="13"/>
  <c r="Z181" i="13" s="1"/>
  <c r="N292" i="13"/>
  <c r="N293" i="13"/>
  <c r="V169" i="13"/>
  <c r="V195" i="13"/>
  <c r="M306" i="13"/>
  <c r="O59" i="9"/>
  <c r="D2732" i="16"/>
  <c r="R40" i="26"/>
  <c r="AA177" i="13"/>
  <c r="AA181" i="13" s="1"/>
  <c r="X158" i="10"/>
  <c r="X325" i="10" s="1"/>
  <c r="Y188" i="10"/>
  <c r="Y136" i="13"/>
  <c r="O2732" i="16"/>
  <c r="Q41" i="7"/>
  <c r="Y38" i="7"/>
  <c r="Y39" i="7" s="1"/>
  <c r="Z12" i="7"/>
  <c r="Y142" i="13"/>
  <c r="C2870" i="16"/>
  <c r="Q44" i="26"/>
  <c r="Q13" i="26" s="1"/>
  <c r="BN67" i="5"/>
  <c r="M10" i="19"/>
  <c r="W197" i="13"/>
  <c r="W198" i="13"/>
  <c r="Y76" i="13"/>
  <c r="Y98" i="13" s="1"/>
  <c r="Y343" i="10"/>
  <c r="Y228" i="13"/>
  <c r="Y229" i="13" s="1"/>
  <c r="Y230" i="13" s="1"/>
  <c r="Y212" i="13"/>
  <c r="Y213" i="13" s="1"/>
  <c r="Y215" i="13" s="1"/>
  <c r="Y200" i="13"/>
  <c r="W116" i="18"/>
  <c r="W117" i="18" s="1"/>
  <c r="AT172" i="5"/>
  <c r="V38" i="13" l="1"/>
  <c r="V40" i="13" s="1"/>
  <c r="X83" i="1"/>
  <c r="X84" i="1" s="1"/>
  <c r="T45" i="10" s="1"/>
  <c r="W38" i="13"/>
  <c r="W40" i="13" s="1"/>
  <c r="T42" i="10"/>
  <c r="T41" i="10"/>
  <c r="W172" i="13"/>
  <c r="W173" i="13" s="1"/>
  <c r="Y55" i="1"/>
  <c r="AE140" i="18" s="1"/>
  <c r="W29" i="13"/>
  <c r="X28" i="13"/>
  <c r="X29" i="13" s="1"/>
  <c r="X33" i="13"/>
  <c r="Z83" i="1" s="1"/>
  <c r="AE147" i="18"/>
  <c r="V35" i="13"/>
  <c r="Y26" i="1"/>
  <c r="AE132" i="18"/>
  <c r="Y21" i="13"/>
  <c r="Z23" i="1"/>
  <c r="AF132" i="18" s="1"/>
  <c r="Y8" i="29"/>
  <c r="CH16" i="5"/>
  <c r="CH19" i="5" s="1"/>
  <c r="AA95" i="13"/>
  <c r="AA224" i="13"/>
  <c r="AA227" i="13" s="1"/>
  <c r="AA117" i="13"/>
  <c r="AA103" i="13"/>
  <c r="AD347" i="10"/>
  <c r="AD345" i="10" s="1"/>
  <c r="AA120" i="13"/>
  <c r="Z38" i="7"/>
  <c r="Z39" i="7" s="1"/>
  <c r="AA12" i="7"/>
  <c r="AA60" i="7"/>
  <c r="L11" i="26" s="1"/>
  <c r="AB16" i="7"/>
  <c r="AK11" i="18" s="1"/>
  <c r="AE192" i="13"/>
  <c r="AE193" i="13" s="1"/>
  <c r="AE195" i="13"/>
  <c r="Y59" i="9" s="1"/>
  <c r="AF192" i="13"/>
  <c r="AF193" i="13" s="1"/>
  <c r="AF195" i="13"/>
  <c r="Z59" i="9" s="1"/>
  <c r="AC507" i="1"/>
  <c r="AB312" i="10"/>
  <c r="AC311" i="10"/>
  <c r="Z222" i="10"/>
  <c r="AA220" i="10"/>
  <c r="AD167" i="10"/>
  <c r="AD200" i="10" s="1"/>
  <c r="AD83" i="10"/>
  <c r="AD186" i="10"/>
  <c r="AD195" i="10" s="1"/>
  <c r="AD165" i="10" s="1"/>
  <c r="AD159" i="10"/>
  <c r="AD163" i="10"/>
  <c r="AD161" i="10"/>
  <c r="AD155" i="10"/>
  <c r="AD160" i="10"/>
  <c r="AD154" i="10"/>
  <c r="AD82" i="10" s="1"/>
  <c r="AB192" i="10"/>
  <c r="AA162" i="10"/>
  <c r="AD445" i="1"/>
  <c r="AA340" i="10"/>
  <c r="AA342" i="10"/>
  <c r="AC335" i="10"/>
  <c r="AB337" i="10"/>
  <c r="Y158" i="10"/>
  <c r="Y325" i="10" s="1"/>
  <c r="Z188" i="10"/>
  <c r="AD142" i="13"/>
  <c r="AD169" i="13"/>
  <c r="AB210" i="13"/>
  <c r="AC209" i="13"/>
  <c r="AC197" i="13"/>
  <c r="AC198" i="13"/>
  <c r="AE177" i="13"/>
  <c r="AE181" i="13" s="1"/>
  <c r="AF105" i="13"/>
  <c r="AE135" i="13"/>
  <c r="AE140" i="13"/>
  <c r="AE132" i="13"/>
  <c r="AB87" i="13"/>
  <c r="AB102" i="13"/>
  <c r="AD212" i="13"/>
  <c r="AD213" i="13" s="1"/>
  <c r="AD228" i="13"/>
  <c r="AA153" i="13"/>
  <c r="AA154" i="13" s="1"/>
  <c r="AB151" i="13"/>
  <c r="AA147" i="13"/>
  <c r="AA148" i="13" s="1"/>
  <c r="AB145" i="13"/>
  <c r="AB61" i="13"/>
  <c r="AB88" i="13" s="1"/>
  <c r="X36" i="21"/>
  <c r="Y2" i="21"/>
  <c r="AC201" i="13"/>
  <c r="AE67" i="13"/>
  <c r="AF72" i="13"/>
  <c r="AF67" i="13" s="1"/>
  <c r="AD136" i="13"/>
  <c r="AC60" i="13"/>
  <c r="AC61" i="13" s="1"/>
  <c r="AC88" i="13" s="1"/>
  <c r="AD63" i="13"/>
  <c r="AD83" i="13"/>
  <c r="AD82" i="13"/>
  <c r="AD89" i="13"/>
  <c r="AD84" i="13"/>
  <c r="AA459" i="1"/>
  <c r="AG26" i="18" s="1"/>
  <c r="Z193" i="1"/>
  <c r="AC456" i="1"/>
  <c r="AC213" i="1" s="1"/>
  <c r="AI116" i="18" s="1"/>
  <c r="S454" i="1"/>
  <c r="T454" i="1"/>
  <c r="AB456" i="1"/>
  <c r="AB213" i="1" s="1"/>
  <c r="AH116" i="18" s="1"/>
  <c r="F2976" i="16"/>
  <c r="F3030" i="16" s="1"/>
  <c r="Z195" i="13"/>
  <c r="T59" i="9" s="1"/>
  <c r="Z157" i="13"/>
  <c r="Q62" i="14"/>
  <c r="Q17" i="14"/>
  <c r="Q18" i="14" s="1"/>
  <c r="R79" i="14"/>
  <c r="R85" i="14" s="1"/>
  <c r="R110" i="14"/>
  <c r="R61" i="14"/>
  <c r="S110" i="14"/>
  <c r="E118" i="14" s="1"/>
  <c r="F118" i="14" s="1"/>
  <c r="S61" i="14"/>
  <c r="S79" i="14"/>
  <c r="S85" i="14" s="1"/>
  <c r="AG110" i="14"/>
  <c r="AG79" i="14"/>
  <c r="AH110" i="14"/>
  <c r="AH79" i="14"/>
  <c r="Q90" i="14"/>
  <c r="Q100" i="14"/>
  <c r="Q105" i="14" s="1"/>
  <c r="Y169" i="13"/>
  <c r="X201" i="13"/>
  <c r="X213" i="13"/>
  <c r="N12" i="19" s="1"/>
  <c r="X198" i="13"/>
  <c r="X197" i="13"/>
  <c r="N10" i="19"/>
  <c r="G2726" i="16"/>
  <c r="S2726" i="16" s="1"/>
  <c r="G2756" i="16"/>
  <c r="S2756" i="16" s="1"/>
  <c r="V220" i="13"/>
  <c r="D2980" i="16"/>
  <c r="BR54" i="5"/>
  <c r="EQ31" i="5"/>
  <c r="M19" i="29"/>
  <c r="AG43" i="28"/>
  <c r="BR67" i="5"/>
  <c r="P2762" i="16"/>
  <c r="C2765" i="16"/>
  <c r="C2796" i="16"/>
  <c r="C2795" i="16" s="1"/>
  <c r="Z2793" i="16"/>
  <c r="P2793" i="16"/>
  <c r="E2762" i="16"/>
  <c r="E2793" i="16"/>
  <c r="S19" i="29"/>
  <c r="Y201" i="13"/>
  <c r="Y216" i="13"/>
  <c r="Y217" i="13" s="1"/>
  <c r="V204" i="13"/>
  <c r="N306" i="13"/>
  <c r="V201" i="13"/>
  <c r="Z76" i="13"/>
  <c r="Z98" i="13" s="1"/>
  <c r="AA76" i="13"/>
  <c r="AA98" i="13" s="1"/>
  <c r="Y197" i="13"/>
  <c r="Y198" i="13"/>
  <c r="P2732" i="16"/>
  <c r="Q17" i="26"/>
  <c r="Q14" i="26"/>
  <c r="Q16" i="26"/>
  <c r="Q15" i="26"/>
  <c r="S40" i="26"/>
  <c r="E2732" i="16"/>
  <c r="AA140" i="13"/>
  <c r="AB142" i="13" s="1"/>
  <c r="AA135" i="13"/>
  <c r="AA132" i="13"/>
  <c r="Z135" i="13"/>
  <c r="Z140" i="13"/>
  <c r="Z132" i="13"/>
  <c r="BN40" i="5"/>
  <c r="BN36" i="5"/>
  <c r="BN70" i="5"/>
  <c r="R65" i="7"/>
  <c r="C16" i="26"/>
  <c r="C2433" i="16"/>
  <c r="C2705" i="16"/>
  <c r="C2735" i="16"/>
  <c r="G642" i="16"/>
  <c r="C2707" i="16"/>
  <c r="M12" i="19"/>
  <c r="W215" i="13"/>
  <c r="T47" i="10" l="1"/>
  <c r="T46" i="10"/>
  <c r="W204" i="13"/>
  <c r="Z55" i="1"/>
  <c r="Z40" i="1" s="1"/>
  <c r="X38" i="13"/>
  <c r="W39" i="13"/>
  <c r="X172" i="13"/>
  <c r="X173" i="13" s="1"/>
  <c r="Y28" i="13"/>
  <c r="Y33" i="13"/>
  <c r="AA83" i="1" s="1"/>
  <c r="AA91" i="1" s="1"/>
  <c r="Y104" i="1"/>
  <c r="G2714" i="16" s="1"/>
  <c r="F2989" i="16"/>
  <c r="AF140" i="18"/>
  <c r="CH114" i="5"/>
  <c r="G2768" i="16"/>
  <c r="S2768" i="16" s="1"/>
  <c r="G2738" i="16"/>
  <c r="S2738" i="16" s="1"/>
  <c r="F3052" i="16"/>
  <c r="AF147" i="18"/>
  <c r="U48" i="26"/>
  <c r="Y91" i="1"/>
  <c r="CH103" i="5" s="1"/>
  <c r="W34" i="13"/>
  <c r="AE153" i="18"/>
  <c r="E2989" i="16"/>
  <c r="AD147" i="18"/>
  <c r="G2976" i="16"/>
  <c r="G3030" i="16" s="1"/>
  <c r="Z26" i="1"/>
  <c r="CG16" i="5"/>
  <c r="FG16" i="5"/>
  <c r="Z8" i="29"/>
  <c r="AA23" i="1"/>
  <c r="AG132" i="18" s="1"/>
  <c r="Z21" i="13"/>
  <c r="CH54" i="5"/>
  <c r="Y40" i="1"/>
  <c r="AA156" i="13"/>
  <c r="AA157" i="13" s="1"/>
  <c r="AB60" i="7"/>
  <c r="M11" i="26" s="1"/>
  <c r="AC16" i="7"/>
  <c r="AL11" i="18" s="1"/>
  <c r="AA38" i="7"/>
  <c r="AA39" i="7" s="1"/>
  <c r="AB12" i="7"/>
  <c r="AF445" i="1"/>
  <c r="AA343" i="10"/>
  <c r="AE445" i="1"/>
  <c r="AE507" i="1" s="1"/>
  <c r="Z158" i="10"/>
  <c r="Z325" i="10" s="1"/>
  <c r="AA188" i="10"/>
  <c r="AC192" i="10"/>
  <c r="AB162" i="10"/>
  <c r="AD507" i="1"/>
  <c r="AD443" i="1"/>
  <c r="AB340" i="10"/>
  <c r="AB342" i="10"/>
  <c r="AA222" i="10"/>
  <c r="AB220" i="10"/>
  <c r="AB341" i="10"/>
  <c r="AC337" i="10"/>
  <c r="AC341" i="10" s="1"/>
  <c r="AD335" i="10"/>
  <c r="AC312" i="10"/>
  <c r="AD311" i="10"/>
  <c r="AD312" i="10" s="1"/>
  <c r="AD197" i="13"/>
  <c r="AD198" i="13"/>
  <c r="AF83" i="13"/>
  <c r="AF63" i="13"/>
  <c r="AF82" i="13"/>
  <c r="AF89" i="13"/>
  <c r="AF84" i="13"/>
  <c r="AB147" i="13"/>
  <c r="AB148" i="13" s="1"/>
  <c r="AC145" i="13"/>
  <c r="AF177" i="13"/>
  <c r="AF181" i="13" s="1"/>
  <c r="AF135" i="13"/>
  <c r="AF140" i="13"/>
  <c r="AF132" i="13"/>
  <c r="AB136" i="13"/>
  <c r="AD66" i="13"/>
  <c r="AD92" i="13" s="1"/>
  <c r="AD85" i="13" s="1"/>
  <c r="AD60" i="13"/>
  <c r="AD61" i="13" s="1"/>
  <c r="AD88" i="13" s="1"/>
  <c r="AE83" i="13"/>
  <c r="AE63" i="13"/>
  <c r="AE66" i="13" s="1"/>
  <c r="AE92" i="13" s="1"/>
  <c r="AE85" i="13" s="1"/>
  <c r="AE82" i="13"/>
  <c r="AE89" i="13"/>
  <c r="AE84" i="13"/>
  <c r="AC226" i="13"/>
  <c r="AB224" i="13"/>
  <c r="AB227" i="13" s="1"/>
  <c r="AB229" i="13" s="1"/>
  <c r="AB230" i="13" s="1"/>
  <c r="AB103" i="13"/>
  <c r="AB117" i="13"/>
  <c r="AB120" i="13"/>
  <c r="AB96" i="13"/>
  <c r="AB95" i="13"/>
  <c r="AC210" i="13"/>
  <c r="AD209" i="13"/>
  <c r="AB215" i="13"/>
  <c r="AB216" i="13" s="1"/>
  <c r="AB217" i="13" s="1"/>
  <c r="AC102" i="13"/>
  <c r="AC87" i="13"/>
  <c r="AE142" i="13"/>
  <c r="AE169" i="13"/>
  <c r="AB153" i="13"/>
  <c r="AB154" i="13" s="1"/>
  <c r="AC151" i="13"/>
  <c r="Y36" i="21"/>
  <c r="Z2" i="21"/>
  <c r="Z36" i="21" s="1"/>
  <c r="AE136" i="13"/>
  <c r="AD200" i="13"/>
  <c r="AE200" i="13"/>
  <c r="AE212" i="13"/>
  <c r="AE213" i="13" s="1"/>
  <c r="AE228" i="13"/>
  <c r="Z73" i="1"/>
  <c r="Z19" i="29"/>
  <c r="Y114" i="1"/>
  <c r="Y123" i="1" s="1"/>
  <c r="Y73" i="1"/>
  <c r="F2738" i="16"/>
  <c r="R2738" i="16" s="1"/>
  <c r="F2768" i="16"/>
  <c r="R2768" i="16" s="1"/>
  <c r="E3052" i="16"/>
  <c r="T48" i="26"/>
  <c r="X91" i="1"/>
  <c r="X104" i="1"/>
  <c r="F2714" i="16" s="1"/>
  <c r="CC114" i="5"/>
  <c r="AB459" i="1"/>
  <c r="AH26" i="18" s="1"/>
  <c r="AA193" i="1"/>
  <c r="G2762" i="16"/>
  <c r="V48" i="26"/>
  <c r="V40" i="26"/>
  <c r="U40" i="26"/>
  <c r="F2980" i="16"/>
  <c r="F3037" i="16" s="1"/>
  <c r="Y19" i="29"/>
  <c r="G2732" i="16"/>
  <c r="S2732" i="16" s="1"/>
  <c r="AA195" i="13"/>
  <c r="U59" i="9" s="1"/>
  <c r="S90" i="14"/>
  <c r="S100" i="14"/>
  <c r="S105" i="14" s="1"/>
  <c r="T62" i="14"/>
  <c r="S62" i="14"/>
  <c r="S17" i="14"/>
  <c r="R62" i="14"/>
  <c r="R17" i="14"/>
  <c r="R18" i="14" s="1"/>
  <c r="C118" i="14"/>
  <c r="H118" i="14" s="1"/>
  <c r="R100" i="14"/>
  <c r="R105" i="14" s="1"/>
  <c r="R90" i="14"/>
  <c r="X215" i="13"/>
  <c r="X216" i="13" s="1"/>
  <c r="X217" i="13" s="1"/>
  <c r="D3037" i="16"/>
  <c r="BX54" i="5"/>
  <c r="D2985" i="16"/>
  <c r="M22" i="29"/>
  <c r="M29" i="29"/>
  <c r="C2764" i="16"/>
  <c r="O2764" i="16" s="1"/>
  <c r="O2765" i="16"/>
  <c r="AA2793" i="16"/>
  <c r="Q2793" i="16"/>
  <c r="Y2796" i="16"/>
  <c r="O2796" i="16"/>
  <c r="Q2762" i="16"/>
  <c r="R24" i="7"/>
  <c r="E2211" i="16"/>
  <c r="F1767" i="16"/>
  <c r="C26" i="26"/>
  <c r="AA212" i="13"/>
  <c r="AA213" i="13" s="1"/>
  <c r="AA215" i="13" s="1"/>
  <c r="AA228" i="13"/>
  <c r="AA229" i="13" s="1"/>
  <c r="AA230" i="13" s="1"/>
  <c r="Q2732" i="16"/>
  <c r="C2448" i="16"/>
  <c r="AA142" i="13"/>
  <c r="W216" i="13"/>
  <c r="W217" i="13" s="1"/>
  <c r="BN71" i="5"/>
  <c r="BN38" i="5"/>
  <c r="BN72" i="5" s="1"/>
  <c r="Z142" i="13"/>
  <c r="Z169" i="13"/>
  <c r="Y222" i="13"/>
  <c r="Z212" i="13"/>
  <c r="Z213" i="13" s="1"/>
  <c r="Z215" i="13" s="1"/>
  <c r="Z228" i="13"/>
  <c r="Z229" i="13" s="1"/>
  <c r="Z230" i="13" s="1"/>
  <c r="O2735" i="16"/>
  <c r="C2734" i="16"/>
  <c r="Z136" i="13"/>
  <c r="AA136" i="13"/>
  <c r="Y116" i="18"/>
  <c r="Y117" i="18" s="1"/>
  <c r="BC172" i="5"/>
  <c r="W48" i="26" l="1"/>
  <c r="X204" i="13"/>
  <c r="G2980" i="16"/>
  <c r="G3037" i="16" s="1"/>
  <c r="H3052" i="16"/>
  <c r="AG147" i="18"/>
  <c r="H2989" i="16"/>
  <c r="G3052" i="16"/>
  <c r="G2989" i="16"/>
  <c r="Z91" i="1"/>
  <c r="Z104" i="1"/>
  <c r="H2714" i="16" s="1"/>
  <c r="AA55" i="1"/>
  <c r="AA73" i="1" s="1"/>
  <c r="Y38" i="13"/>
  <c r="Y29" i="13"/>
  <c r="X39" i="13"/>
  <c r="X40" i="13"/>
  <c r="Y172" i="13"/>
  <c r="Y204" i="13" s="1"/>
  <c r="AF153" i="18"/>
  <c r="G2774" i="16"/>
  <c r="S2774" i="16" s="1"/>
  <c r="Z28" i="13"/>
  <c r="Z33" i="13"/>
  <c r="AB83" i="1" s="1"/>
  <c r="Z114" i="1"/>
  <c r="Z123" i="1" s="1"/>
  <c r="Y34" i="13"/>
  <c r="X34" i="13"/>
  <c r="H2976" i="16"/>
  <c r="I2976" i="16" s="1"/>
  <c r="AA26" i="1"/>
  <c r="FF16" i="5"/>
  <c r="CG19" i="5"/>
  <c r="AA104" i="1"/>
  <c r="I2714" i="16" s="1"/>
  <c r="AA21" i="13"/>
  <c r="AB23" i="1"/>
  <c r="Z46" i="1"/>
  <c r="AC60" i="7"/>
  <c r="AD16" i="7"/>
  <c r="AM11" i="18" s="1"/>
  <c r="AC12" i="7"/>
  <c r="AB38" i="7"/>
  <c r="AB39" i="7" s="1"/>
  <c r="AF507" i="1"/>
  <c r="AF443" i="1"/>
  <c r="AE443" i="1"/>
  <c r="AE456" i="1" s="1"/>
  <c r="AH445" i="1"/>
  <c r="AG445" i="1"/>
  <c r="AD192" i="10"/>
  <c r="AD162" i="10" s="1"/>
  <c r="AC162" i="10"/>
  <c r="AD337" i="10"/>
  <c r="AD341" i="10" s="1"/>
  <c r="AB343" i="10"/>
  <c r="AC340" i="10"/>
  <c r="AC342" i="10"/>
  <c r="AC220" i="10"/>
  <c r="AB222" i="10"/>
  <c r="AD456" i="1"/>
  <c r="AD160" i="1"/>
  <c r="AB188" i="10"/>
  <c r="AA158" i="10"/>
  <c r="AA325" i="10" s="1"/>
  <c r="AB156" i="13"/>
  <c r="AB157" i="13" s="1"/>
  <c r="AB222" i="13"/>
  <c r="AB220" i="13" s="1"/>
  <c r="AE201" i="13"/>
  <c r="AC147" i="13"/>
  <c r="AC148" i="13" s="1"/>
  <c r="AD145" i="13"/>
  <c r="AC153" i="13"/>
  <c r="AC154" i="13" s="1"/>
  <c r="AD151" i="13"/>
  <c r="AC96" i="13"/>
  <c r="AC95" i="13"/>
  <c r="AD226" i="13"/>
  <c r="AC103" i="13"/>
  <c r="AC117" i="13"/>
  <c r="AC224" i="13"/>
  <c r="AC227" i="13" s="1"/>
  <c r="AC229" i="13" s="1"/>
  <c r="AC230" i="13" s="1"/>
  <c r="AC120" i="13"/>
  <c r="AE60" i="13"/>
  <c r="AE61" i="13" s="1"/>
  <c r="AE88" i="13" s="1"/>
  <c r="AF142" i="13"/>
  <c r="AF169" i="13"/>
  <c r="AF60" i="13"/>
  <c r="AF61" i="13" s="1"/>
  <c r="AF88" i="13" s="1"/>
  <c r="AD201" i="13"/>
  <c r="AD210" i="13"/>
  <c r="AD215" i="13" s="1"/>
  <c r="AE209" i="13"/>
  <c r="AF136" i="13"/>
  <c r="AF66" i="13"/>
  <c r="AF92" i="13" s="1"/>
  <c r="AF85" i="13" s="1"/>
  <c r="AC215" i="13"/>
  <c r="AF228" i="13"/>
  <c r="AF212" i="13"/>
  <c r="AF213" i="13" s="1"/>
  <c r="AD102" i="13"/>
  <c r="AD87" i="13"/>
  <c r="AE197" i="13"/>
  <c r="AE198" i="13"/>
  <c r="Q51" i="9"/>
  <c r="CC103" i="5"/>
  <c r="AC459" i="1"/>
  <c r="AI26" i="18" s="1"/>
  <c r="AB193" i="1"/>
  <c r="S2762" i="16"/>
  <c r="F2985" i="16"/>
  <c r="F2993" i="16"/>
  <c r="U55" i="26"/>
  <c r="G2744" i="16"/>
  <c r="S2744" i="16" s="1"/>
  <c r="V55" i="26"/>
  <c r="R69" i="7"/>
  <c r="AA181" i="18"/>
  <c r="AA169" i="13"/>
  <c r="R19" i="29"/>
  <c r="BW54" i="5"/>
  <c r="S18" i="14"/>
  <c r="T18" i="14"/>
  <c r="X222" i="13"/>
  <c r="X220" i="13" s="1"/>
  <c r="C2776" i="16"/>
  <c r="O2776" i="16" s="1"/>
  <c r="C2807" i="16"/>
  <c r="Y2795" i="16"/>
  <c r="O2795" i="16"/>
  <c r="Z216" i="13"/>
  <c r="Z217" i="13" s="1"/>
  <c r="AA216" i="13"/>
  <c r="AA217" i="13" s="1"/>
  <c r="F1788" i="16"/>
  <c r="AA197" i="13"/>
  <c r="AA198" i="13"/>
  <c r="Z197" i="13"/>
  <c r="Z198" i="13"/>
  <c r="AA200" i="13"/>
  <c r="C2746" i="16"/>
  <c r="O2746" i="16" s="1"/>
  <c r="O2734" i="16"/>
  <c r="E2212" i="16"/>
  <c r="E2229" i="16"/>
  <c r="Z200" i="13"/>
  <c r="W222" i="13"/>
  <c r="Y220" i="13"/>
  <c r="G2993" i="16" l="1"/>
  <c r="G2985" i="16"/>
  <c r="Y173" i="13"/>
  <c r="AA40" i="1"/>
  <c r="AA46" i="1" s="1"/>
  <c r="H2980" i="16"/>
  <c r="I2980" i="16" s="1"/>
  <c r="Y40" i="13"/>
  <c r="Y39" i="13"/>
  <c r="AB55" i="1"/>
  <c r="AB73" i="1" s="1"/>
  <c r="Z38" i="13"/>
  <c r="Z40" i="13" s="1"/>
  <c r="Z172" i="13"/>
  <c r="Z173" i="13" s="1"/>
  <c r="Z29" i="13"/>
  <c r="R51" i="9"/>
  <c r="AA28" i="13"/>
  <c r="AA33" i="13"/>
  <c r="AC83" i="1" s="1"/>
  <c r="Y48" i="26" s="1"/>
  <c r="AB104" i="1"/>
  <c r="J2714" i="16" s="1"/>
  <c r="AG140" i="18"/>
  <c r="AG153" i="18" s="1"/>
  <c r="AA114" i="1"/>
  <c r="AA123" i="1" s="1"/>
  <c r="W40" i="26"/>
  <c r="W55" i="26" s="1"/>
  <c r="AB26" i="1"/>
  <c r="AH132" i="18"/>
  <c r="H3030" i="16"/>
  <c r="I3030" i="16" s="1"/>
  <c r="FF19" i="5"/>
  <c r="AB21" i="13"/>
  <c r="AB33" i="13" s="1"/>
  <c r="AD83" i="1" s="1"/>
  <c r="AC23" i="1"/>
  <c r="AI132" i="18" s="1"/>
  <c r="AD12" i="7"/>
  <c r="AC38" i="7"/>
  <c r="AC39" i="7" s="1"/>
  <c r="AD60" i="7"/>
  <c r="AE16" i="7"/>
  <c r="AE160" i="1"/>
  <c r="AG507" i="1"/>
  <c r="AG443" i="1"/>
  <c r="AH507" i="1"/>
  <c r="AH443" i="1"/>
  <c r="AF456" i="1"/>
  <c r="AF160" i="1"/>
  <c r="AD213" i="1"/>
  <c r="AJ116" i="18" s="1"/>
  <c r="AA31" i="7"/>
  <c r="AJ186" i="18" s="1"/>
  <c r="AE213" i="1"/>
  <c r="AK116" i="18" s="1"/>
  <c r="AB31" i="7"/>
  <c r="AK186" i="18" s="1"/>
  <c r="AC343" i="10"/>
  <c r="AC188" i="10"/>
  <c r="AB158" i="10"/>
  <c r="AB325" i="10" s="1"/>
  <c r="AD340" i="10"/>
  <c r="AD342" i="10"/>
  <c r="AC193" i="1"/>
  <c r="AD459" i="1"/>
  <c r="AJ26" i="18" s="1"/>
  <c r="AD220" i="10"/>
  <c r="AD222" i="10" s="1"/>
  <c r="AC222" i="10"/>
  <c r="AD96" i="13"/>
  <c r="AD95" i="13"/>
  <c r="AE87" i="13"/>
  <c r="AE102" i="13"/>
  <c r="AE226" i="13"/>
  <c r="AD224" i="13"/>
  <c r="AD227" i="13" s="1"/>
  <c r="AD229" i="13" s="1"/>
  <c r="AD230" i="13" s="1"/>
  <c r="AD117" i="13"/>
  <c r="AD103" i="13"/>
  <c r="AD120" i="13"/>
  <c r="AF102" i="13"/>
  <c r="AF87" i="13"/>
  <c r="AD153" i="13"/>
  <c r="AD154" i="13" s="1"/>
  <c r="AE151" i="13"/>
  <c r="AF197" i="13"/>
  <c r="AF198" i="13"/>
  <c r="AE210" i="13"/>
  <c r="AF209" i="13"/>
  <c r="AF210" i="13" s="1"/>
  <c r="AF215" i="13" s="1"/>
  <c r="AD147" i="13"/>
  <c r="AD148" i="13" s="1"/>
  <c r="AE145" i="13"/>
  <c r="AD216" i="13"/>
  <c r="AD217" i="13" s="1"/>
  <c r="AC156" i="13"/>
  <c r="AC157" i="13" s="1"/>
  <c r="AC216" i="13"/>
  <c r="AF200" i="13"/>
  <c r="H2985" i="16"/>
  <c r="Y2807" i="16"/>
  <c r="O2807" i="16"/>
  <c r="W220" i="13"/>
  <c r="Z222" i="13"/>
  <c r="Z201" i="13"/>
  <c r="AA222" i="13"/>
  <c r="AA201" i="13"/>
  <c r="H2993" i="16" l="1"/>
  <c r="Z48" i="26"/>
  <c r="AJ147" i="18"/>
  <c r="AD91" i="1"/>
  <c r="AH140" i="18"/>
  <c r="X40" i="26"/>
  <c r="Z204" i="13"/>
  <c r="AB40" i="1"/>
  <c r="AB46" i="1" s="1"/>
  <c r="Z39" i="13"/>
  <c r="H3037" i="16"/>
  <c r="I3037" i="16" s="1"/>
  <c r="AC91" i="1"/>
  <c r="X48" i="26"/>
  <c r="AC55" i="1"/>
  <c r="AC40" i="1" s="1"/>
  <c r="AA38" i="13"/>
  <c r="AA172" i="13"/>
  <c r="AA204" i="13" s="1"/>
  <c r="AA29" i="13"/>
  <c r="AI147" i="18"/>
  <c r="AB114" i="1"/>
  <c r="AB123" i="1" s="1"/>
  <c r="AH147" i="18"/>
  <c r="AB91" i="1"/>
  <c r="AB28" i="13"/>
  <c r="AB38" i="13" s="1"/>
  <c r="Z34" i="13"/>
  <c r="AA34" i="13"/>
  <c r="AB34" i="13"/>
  <c r="S51" i="9"/>
  <c r="AE60" i="7"/>
  <c r="AN11" i="18"/>
  <c r="AC26" i="1"/>
  <c r="AC104" i="1"/>
  <c r="K2714" i="16" s="1"/>
  <c r="AC21" i="13"/>
  <c r="AC33" i="13" s="1"/>
  <c r="AD23" i="1"/>
  <c r="AE12" i="7"/>
  <c r="AE38" i="7" s="1"/>
  <c r="AE39" i="7" s="1"/>
  <c r="AD38" i="7"/>
  <c r="AD39" i="7" s="1"/>
  <c r="AF213" i="1"/>
  <c r="AL116" i="18" s="1"/>
  <c r="AC31" i="7"/>
  <c r="AL186" i="18" s="1"/>
  <c r="AH160" i="1"/>
  <c r="AH456" i="1"/>
  <c r="AG160" i="1"/>
  <c r="AG456" i="1"/>
  <c r="AD193" i="1"/>
  <c r="AE459" i="1"/>
  <c r="AD343" i="10"/>
  <c r="AD188" i="10"/>
  <c r="AD158" i="10" s="1"/>
  <c r="AD325" i="10" s="1"/>
  <c r="AC158" i="10"/>
  <c r="AC325" i="10" s="1"/>
  <c r="AD222" i="13"/>
  <c r="AD220" i="13" s="1"/>
  <c r="AC222" i="13"/>
  <c r="AC220" i="13" s="1"/>
  <c r="AE153" i="13"/>
  <c r="AE154" i="13" s="1"/>
  <c r="AF151" i="13"/>
  <c r="AF153" i="13" s="1"/>
  <c r="AF154" i="13" s="1"/>
  <c r="AF201" i="13"/>
  <c r="AF103" i="13"/>
  <c r="AF224" i="13"/>
  <c r="AF117" i="13"/>
  <c r="AF120" i="13"/>
  <c r="AF226" i="13"/>
  <c r="AE103" i="13"/>
  <c r="AE224" i="13"/>
  <c r="AE227" i="13" s="1"/>
  <c r="AE229" i="13" s="1"/>
  <c r="AE230" i="13" s="1"/>
  <c r="AE117" i="13"/>
  <c r="AE120" i="13"/>
  <c r="AE215" i="13"/>
  <c r="AE147" i="13"/>
  <c r="AE148" i="13" s="1"/>
  <c r="AF145" i="13"/>
  <c r="AF147" i="13" s="1"/>
  <c r="AF148" i="13" s="1"/>
  <c r="AD156" i="13"/>
  <c r="AD157" i="13" s="1"/>
  <c r="AF96" i="13"/>
  <c r="AF95" i="13"/>
  <c r="AF216" i="13"/>
  <c r="AF217" i="13" s="1"/>
  <c r="AC217" i="13"/>
  <c r="AE96" i="13"/>
  <c r="AE95" i="13"/>
  <c r="Z220" i="13"/>
  <c r="AA220" i="13"/>
  <c r="AH153" i="18" l="1"/>
  <c r="AC34" i="13"/>
  <c r="AE83" i="1"/>
  <c r="X55" i="26"/>
  <c r="AC46" i="1"/>
  <c r="AA173" i="13"/>
  <c r="AC73" i="1"/>
  <c r="AA39" i="13"/>
  <c r="AA40" i="13"/>
  <c r="AB40" i="13"/>
  <c r="AB39" i="13"/>
  <c r="T51" i="9"/>
  <c r="AB29" i="13"/>
  <c r="AD55" i="1"/>
  <c r="Z40" i="26" s="1"/>
  <c r="AB172" i="13"/>
  <c r="AC28" i="13"/>
  <c r="AC38" i="13" s="1"/>
  <c r="AI140" i="18"/>
  <c r="AI153" i="18" s="1"/>
  <c r="AC114" i="1"/>
  <c r="Y40" i="26"/>
  <c r="Y55" i="26" s="1"/>
  <c r="AD26" i="1"/>
  <c r="AJ132" i="18"/>
  <c r="AF459" i="1"/>
  <c r="AL26" i="18" s="1"/>
  <c r="AK26" i="18"/>
  <c r="AD104" i="1"/>
  <c r="AD21" i="13"/>
  <c r="AD33" i="13" s="1"/>
  <c r="AE23" i="1"/>
  <c r="AH213" i="1"/>
  <c r="AN116" i="18" s="1"/>
  <c r="AE31" i="7"/>
  <c r="AN186" i="18" s="1"/>
  <c r="AG213" i="1"/>
  <c r="AM116" i="18" s="1"/>
  <c r="AD31" i="7"/>
  <c r="AM186" i="18" s="1"/>
  <c r="AE193" i="1"/>
  <c r="AF222" i="13"/>
  <c r="AF220" i="13" s="1"/>
  <c r="AF156" i="13"/>
  <c r="AF157" i="13" s="1"/>
  <c r="AE156" i="13"/>
  <c r="AE157" i="13" s="1"/>
  <c r="AE216" i="13"/>
  <c r="AE217" i="13" s="1"/>
  <c r="AF227" i="13"/>
  <c r="AF229" i="13" s="1"/>
  <c r="AF230" i="13" s="1"/>
  <c r="AD34" i="13" l="1"/>
  <c r="AF83" i="1"/>
  <c r="AA48" i="26"/>
  <c r="AK147" i="18"/>
  <c r="AE91" i="1"/>
  <c r="Z55" i="26"/>
  <c r="AC40" i="13"/>
  <c r="AC39" i="13"/>
  <c r="AC29" i="13"/>
  <c r="AE55" i="1"/>
  <c r="AA40" i="26" s="1"/>
  <c r="AD40" i="1"/>
  <c r="AD46" i="1" s="1"/>
  <c r="AD28" i="13"/>
  <c r="AD38" i="13" s="1"/>
  <c r="AE21" i="13"/>
  <c r="AE33" i="13" s="1"/>
  <c r="AC172" i="13"/>
  <c r="AC204" i="13" s="1"/>
  <c r="AB173" i="13"/>
  <c r="AB204" i="13"/>
  <c r="AD73" i="1"/>
  <c r="AC123" i="1"/>
  <c r="U51" i="9"/>
  <c r="AJ140" i="18"/>
  <c r="AJ153" i="18" s="1"/>
  <c r="AD114" i="1"/>
  <c r="AG459" i="1"/>
  <c r="AM26" i="18" s="1"/>
  <c r="AF193" i="1"/>
  <c r="AE26" i="1"/>
  <c r="AK132" i="18"/>
  <c r="AE104" i="1"/>
  <c r="AF23" i="1"/>
  <c r="AE222" i="13"/>
  <c r="AE220" i="13" s="1"/>
  <c r="AA55" i="26" l="1"/>
  <c r="AE34" i="13"/>
  <c r="AG83" i="1"/>
  <c r="AL147" i="18"/>
  <c r="AF91" i="1"/>
  <c r="AD40" i="13"/>
  <c r="AD39" i="13"/>
  <c r="AD29" i="13"/>
  <c r="AF55" i="1"/>
  <c r="AC173" i="13"/>
  <c r="AE73" i="1"/>
  <c r="AE40" i="1"/>
  <c r="AE46" i="1" s="1"/>
  <c r="AE28" i="13"/>
  <c r="AE38" i="13" s="1"/>
  <c r="AE39" i="13" s="1"/>
  <c r="AD172" i="13"/>
  <c r="AD204" i="13" s="1"/>
  <c r="AK140" i="18"/>
  <c r="AK153" i="18" s="1"/>
  <c r="AE114" i="1"/>
  <c r="V51" i="9"/>
  <c r="AD123" i="1"/>
  <c r="AH459" i="1"/>
  <c r="AH193" i="1" s="1"/>
  <c r="AG193" i="1"/>
  <c r="AF26" i="1"/>
  <c r="AL132" i="18"/>
  <c r="AF104" i="1"/>
  <c r="AF21" i="13"/>
  <c r="AF33" i="13" s="1"/>
  <c r="AG23" i="1"/>
  <c r="AM147" i="18" l="1"/>
  <c r="AG91" i="1"/>
  <c r="AF34" i="13"/>
  <c r="AH83" i="1"/>
  <c r="AE29" i="13"/>
  <c r="AG55" i="1"/>
  <c r="AE172" i="13"/>
  <c r="AE204" i="13" s="1"/>
  <c r="AF73" i="1"/>
  <c r="AD173" i="13"/>
  <c r="AF28" i="13"/>
  <c r="AF40" i="1"/>
  <c r="AF46" i="1" s="1"/>
  <c r="W51" i="9"/>
  <c r="AE123" i="1"/>
  <c r="AL140" i="18"/>
  <c r="AL153" i="18" s="1"/>
  <c r="AF114" i="1"/>
  <c r="AN26" i="18"/>
  <c r="AG26" i="1"/>
  <c r="AM132" i="18"/>
  <c r="AH23" i="1"/>
  <c r="AG104" i="1"/>
  <c r="AN147" i="18" l="1"/>
  <c r="AH91" i="1"/>
  <c r="AH55" i="1"/>
  <c r="AF38" i="13"/>
  <c r="AE173" i="13"/>
  <c r="AM140" i="18"/>
  <c r="AM153" i="18" s="1"/>
  <c r="AG114" i="1"/>
  <c r="AG40" i="1"/>
  <c r="AF172" i="13"/>
  <c r="X51" i="9"/>
  <c r="AF123" i="1"/>
  <c r="AH26" i="1"/>
  <c r="AN132" i="18"/>
  <c r="AH104" i="1"/>
  <c r="BR151" i="5"/>
  <c r="M18" i="29"/>
  <c r="BR146" i="5"/>
  <c r="BR156" i="5"/>
  <c r="AE52" i="28"/>
  <c r="AE55" i="28" s="1"/>
  <c r="AE58" i="28" s="1"/>
  <c r="AF52" i="28"/>
  <c r="AF55" i="28" s="1"/>
  <c r="AF58" i="28" s="1"/>
  <c r="AF173" i="13" l="1"/>
  <c r="AF204" i="13"/>
  <c r="Y51" i="9"/>
  <c r="AG123" i="1"/>
  <c r="BR147" i="5"/>
  <c r="BR162" i="5"/>
  <c r="BR157" i="5"/>
  <c r="BR148" i="5"/>
  <c r="BR152" i="5"/>
  <c r="AE65" i="28"/>
  <c r="AG52" i="28"/>
  <c r="AG55" i="28" s="1"/>
  <c r="AG58" i="28" s="1"/>
  <c r="AG62" i="28"/>
  <c r="AF65" i="28"/>
  <c r="AN140" i="18" l="1"/>
  <c r="AN153" i="18" s="1"/>
  <c r="AH114" i="1"/>
  <c r="AH40" i="1"/>
  <c r="AG65" i="28"/>
  <c r="Z51" i="9" l="1"/>
  <c r="AH123" i="1"/>
  <c r="K35" i="29"/>
  <c r="AF67" i="28"/>
  <c r="AE67" i="28"/>
  <c r="E80" i="9" l="1"/>
  <c r="F80" i="9" s="1"/>
  <c r="C80" i="9"/>
  <c r="CF61" i="28"/>
  <c r="AG67" i="28"/>
  <c r="G80" i="9" l="1"/>
  <c r="G6" i="9" s="1"/>
  <c r="K6" i="29"/>
  <c r="K7" i="29"/>
  <c r="F24" i="19" l="1"/>
  <c r="D6" i="9"/>
  <c r="G2910" i="16"/>
  <c r="AH6" i="9"/>
  <c r="AJ21" i="9"/>
  <c r="L6" i="29"/>
  <c r="BQ151" i="5"/>
  <c r="L18" i="29"/>
  <c r="BP140" i="5"/>
  <c r="AP112" i="28"/>
  <c r="BQ131" i="5"/>
  <c r="BP131" i="5"/>
  <c r="BQ156" i="5"/>
  <c r="BU137" i="5" l="1"/>
  <c r="AU141" i="28" s="1"/>
  <c r="EO131" i="5"/>
  <c r="ET131" i="5"/>
  <c r="BV137" i="5"/>
  <c r="EP131" i="5"/>
  <c r="EU131" i="5"/>
  <c r="EO140" i="5"/>
  <c r="ET140" i="5"/>
  <c r="BQ137" i="5"/>
  <c r="AR141" i="28" s="1"/>
  <c r="BQ132" i="5"/>
  <c r="K5" i="29"/>
  <c r="K13" i="29" s="1"/>
  <c r="BP132" i="5"/>
  <c r="BP137" i="5"/>
  <c r="AQ141" i="28" s="1"/>
  <c r="L17" i="29"/>
  <c r="BQ146" i="5"/>
  <c r="BP151" i="5"/>
  <c r="K18" i="29"/>
  <c r="BP150" i="5"/>
  <c r="AQ112" i="28" s="1"/>
  <c r="K17" i="29"/>
  <c r="BP155" i="5"/>
  <c r="BO68" i="5"/>
  <c r="EN14" i="5"/>
  <c r="BO119" i="5"/>
  <c r="BP146" i="5"/>
  <c r="BP68" i="5"/>
  <c r="EO14" i="5"/>
  <c r="BP19" i="5"/>
  <c r="ET19" i="5" s="1"/>
  <c r="BP119" i="5"/>
  <c r="BP156" i="5"/>
  <c r="BQ150" i="5"/>
  <c r="AR112" i="28" s="1"/>
  <c r="BQ155" i="5"/>
  <c r="P11" i="29" l="1"/>
  <c r="P13" i="29" s="1"/>
  <c r="BP21" i="5"/>
  <c r="BP118" i="5"/>
  <c r="BQ147" i="5"/>
  <c r="BQ162" i="5"/>
  <c r="BO138" i="5"/>
  <c r="AQ103" i="28"/>
  <c r="BP138" i="5"/>
  <c r="BP148" i="5"/>
  <c r="BP162" i="5"/>
  <c r="L5" i="29"/>
  <c r="L13" i="29" s="1"/>
  <c r="AP103" i="28"/>
  <c r="BP157" i="5"/>
  <c r="BP147" i="5"/>
  <c r="BP152" i="5"/>
  <c r="EN19" i="5"/>
  <c r="EO19" i="5"/>
  <c r="EP14" i="5"/>
  <c r="BQ19" i="5"/>
  <c r="EU19" i="5" s="1"/>
  <c r="BQ68" i="5"/>
  <c r="BQ119" i="5"/>
  <c r="BQ152" i="5"/>
  <c r="BQ148" i="5"/>
  <c r="BQ157" i="5"/>
  <c r="O4" i="30" l="1"/>
  <c r="ET20" i="5"/>
  <c r="BU21" i="5"/>
  <c r="S4" i="30" s="1"/>
  <c r="Q11" i="29"/>
  <c r="Q13" i="29" s="1"/>
  <c r="BQ138" i="5"/>
  <c r="AR103" i="28"/>
  <c r="BQ21" i="5"/>
  <c r="BQ118" i="5"/>
  <c r="BR19" i="5"/>
  <c r="BR68" i="5"/>
  <c r="BR132" i="5"/>
  <c r="EQ14" i="5"/>
  <c r="M5" i="29"/>
  <c r="M13" i="29" s="1"/>
  <c r="BR119" i="5"/>
  <c r="EP19" i="5"/>
  <c r="EO21" i="5"/>
  <c r="P4" i="30" l="1"/>
  <c r="BU123" i="5"/>
  <c r="AM208" i="28" s="1"/>
  <c r="EY21" i="5"/>
  <c r="ET21" i="5"/>
  <c r="BU71" i="5"/>
  <c r="BU72" i="5"/>
  <c r="EU20" i="5"/>
  <c r="BV21" i="5"/>
  <c r="BR138" i="5"/>
  <c r="AS103" i="28"/>
  <c r="EQ19" i="5"/>
  <c r="CE54" i="28"/>
  <c r="BR21" i="5"/>
  <c r="Q4" i="30" s="1"/>
  <c r="BR118" i="5"/>
  <c r="EP21" i="5"/>
  <c r="EZ21" i="5" l="1"/>
  <c r="T4" i="30"/>
  <c r="EY72" i="5"/>
  <c r="EY71" i="5"/>
  <c r="EU21" i="5"/>
  <c r="BV123" i="5"/>
  <c r="AN208" i="28" s="1"/>
  <c r="BV71" i="5"/>
  <c r="EZ71" i="5" s="1"/>
  <c r="BV72" i="5"/>
  <c r="EZ72" i="5" s="1"/>
  <c r="EQ21" i="5"/>
  <c r="CE61" i="28"/>
  <c r="S198" i="13"/>
  <c r="S212" i="13"/>
  <c r="S213" i="13" s="1"/>
  <c r="S215" i="13" s="1"/>
  <c r="S228" i="13"/>
  <c r="S229" i="13" s="1"/>
  <c r="S230" i="13" s="1"/>
  <c r="CE53" i="28" l="1"/>
  <c r="S200" i="13"/>
  <c r="S201" i="13" s="1"/>
  <c r="S216" i="13"/>
  <c r="S217" i="13" s="1"/>
  <c r="S197" i="13"/>
  <c r="S33" i="13" s="1"/>
  <c r="S38" i="13" s="1"/>
  <c r="S40" i="13" l="1"/>
  <c r="S39" i="13"/>
  <c r="S34" i="13"/>
  <c r="S35" i="13"/>
  <c r="S204" i="13"/>
  <c r="S222" i="13"/>
  <c r="S220" i="13" l="1"/>
  <c r="BN114" i="5"/>
  <c r="C2799" i="16"/>
  <c r="C2738" i="16"/>
  <c r="C2768" i="16"/>
  <c r="C2714" i="16"/>
  <c r="Q48" i="26"/>
  <c r="C2744" i="16" l="1"/>
  <c r="O2744" i="16" s="1"/>
  <c r="O2738" i="16"/>
  <c r="M51" i="9"/>
  <c r="O2799" i="16"/>
  <c r="Y2799" i="16"/>
  <c r="C2805" i="16"/>
  <c r="Q55" i="26"/>
  <c r="Q52" i="26"/>
  <c r="O2768" i="16"/>
  <c r="C2774" i="16"/>
  <c r="O2774" i="16" s="1"/>
  <c r="O2805" i="16" l="1"/>
  <c r="Y2805" i="16"/>
  <c r="Q59" i="26"/>
  <c r="Q20" i="26" l="1"/>
  <c r="Q23" i="26"/>
  <c r="Q21" i="26"/>
  <c r="Q22" i="26"/>
  <c r="Q19" i="26"/>
  <c r="F1822" i="16"/>
  <c r="F1829" i="16" s="1"/>
  <c r="P289" i="10"/>
  <c r="P299" i="10" s="1"/>
  <c r="BI108" i="5"/>
  <c r="O2027" i="16"/>
  <c r="L52" i="9" l="1"/>
  <c r="P291" i="10"/>
  <c r="H23" i="22" s="1"/>
  <c r="F2080" i="16"/>
  <c r="F2082" i="16" s="1"/>
  <c r="L58" i="9"/>
  <c r="P314" i="10"/>
  <c r="P315" i="10" s="1"/>
  <c r="P317" i="10" s="1"/>
  <c r="P301" i="10" l="1"/>
  <c r="J1694" i="16" s="1"/>
  <c r="F657" i="16"/>
  <c r="F660" i="16" s="1"/>
  <c r="F661" i="16" s="1"/>
  <c r="F664" i="16" s="1"/>
  <c r="F665" i="16" s="1"/>
  <c r="P305" i="10"/>
  <c r="P306" i="10" s="1"/>
  <c r="J1695" i="16" s="1"/>
  <c r="P292" i="10"/>
  <c r="P318" i="10"/>
  <c r="P319" i="10" s="1"/>
  <c r="F686" i="16" l="1"/>
  <c r="F687" i="16" s="1"/>
  <c r="P323" i="10"/>
  <c r="P321" i="10" l="1"/>
  <c r="P309" i="10" s="1"/>
  <c r="Q309" i="10" s="1"/>
  <c r="P308" i="10" l="1"/>
  <c r="Q308" i="10"/>
  <c r="BN90" i="5" l="1"/>
  <c r="BS90" i="5" l="1"/>
  <c r="BX90" i="5" l="1"/>
  <c r="S31" i="7"/>
  <c r="AB186" i="18" s="1"/>
  <c r="BR172" i="5" l="1"/>
  <c r="U31" i="7" l="1"/>
  <c r="AD186" i="18" s="1"/>
  <c r="V31" i="7" l="1"/>
  <c r="AE186" i="18" s="1"/>
  <c r="W31" i="7" l="1"/>
  <c r="AF186" i="18" s="1"/>
  <c r="X31" i="7" l="1"/>
  <c r="AG186" i="18" s="1"/>
  <c r="Y31" i="7" l="1"/>
  <c r="AH186" i="18" s="1"/>
  <c r="Z31" i="7"/>
  <c r="AI186" i="18" s="1"/>
  <c r="F1820" i="16"/>
  <c r="F1823" i="16" s="1"/>
  <c r="K1822" i="16" s="1"/>
  <c r="O97" i="14"/>
  <c r="O96" i="14" s="1"/>
  <c r="O101" i="14" s="1"/>
  <c r="BI115" i="5"/>
  <c r="L50" i="9"/>
  <c r="Q26" i="7" l="1"/>
  <c r="F1827" i="16"/>
  <c r="F1830" i="16" s="1"/>
  <c r="K1827" i="16" s="1"/>
  <c r="C2871" i="16"/>
  <c r="C2872" i="16" s="1"/>
  <c r="BI107" i="5"/>
  <c r="BI118" i="5" s="1"/>
  <c r="D2213" i="16"/>
  <c r="E1768" i="16"/>
  <c r="K1823" i="16"/>
  <c r="K1820" i="16"/>
  <c r="K1821" i="16"/>
  <c r="O102" i="14"/>
  <c r="O106" i="14"/>
  <c r="Q33" i="7" l="1"/>
  <c r="Z184" i="18"/>
  <c r="Z188" i="18" s="1"/>
  <c r="Z192" i="18" s="1"/>
  <c r="Z195" i="18" s="1"/>
  <c r="E1789" i="16"/>
  <c r="E1790" i="16" s="1"/>
  <c r="E1769" i="16"/>
  <c r="K1828" i="16"/>
  <c r="K1829" i="16"/>
  <c r="K1830" i="16"/>
  <c r="O107" i="14"/>
  <c r="O111" i="14"/>
  <c r="D2214" i="16"/>
  <c r="D2230" i="16"/>
  <c r="D2215" i="16"/>
  <c r="D2231" i="16" s="1"/>
  <c r="Q49" i="7" l="1"/>
  <c r="E2088" i="16" s="1"/>
  <c r="Z31" i="18"/>
  <c r="Z202" i="18"/>
  <c r="C3370" i="16"/>
  <c r="E1770" i="16"/>
  <c r="F646" i="16"/>
  <c r="F647" i="16"/>
  <c r="F652" i="16" s="1"/>
  <c r="F2075" i="16"/>
  <c r="F2077" i="16" s="1"/>
  <c r="D2216" i="16"/>
  <c r="E1771" i="16"/>
  <c r="Q54" i="7"/>
  <c r="O112" i="14"/>
  <c r="C3372" i="16" l="1"/>
  <c r="BB3370" i="16"/>
  <c r="BB3372" i="16" s="1"/>
  <c r="Q48" i="7"/>
  <c r="F653" i="16"/>
  <c r="F640" i="16"/>
  <c r="F644" i="16" s="1"/>
  <c r="Q15" i="7"/>
  <c r="E1772" i="16"/>
  <c r="K1772" i="16" s="1"/>
  <c r="P97" i="14"/>
  <c r="P96" i="14" s="1"/>
  <c r="BN115" i="5"/>
  <c r="R26" i="7"/>
  <c r="AA184" i="18" s="1"/>
  <c r="C2713" i="16"/>
  <c r="M50" i="9"/>
  <c r="G79" i="9" s="1"/>
  <c r="G5" i="9" s="1"/>
  <c r="C17" i="26" l="1"/>
  <c r="C18" i="26" s="1"/>
  <c r="M54" i="9"/>
  <c r="D5" i="9"/>
  <c r="D2111" i="16"/>
  <c r="E5" i="9"/>
  <c r="C2741" i="16"/>
  <c r="F1768" i="16"/>
  <c r="E2213" i="16"/>
  <c r="D2871" i="16"/>
  <c r="C2434" i="16"/>
  <c r="C2435" i="16" s="1"/>
  <c r="C2709" i="16"/>
  <c r="C2802" i="16"/>
  <c r="C2771" i="16"/>
  <c r="C2716" i="16"/>
  <c r="AD32" i="29"/>
  <c r="BN107" i="5"/>
  <c r="BN118" i="5" s="1"/>
  <c r="C27" i="26" l="1"/>
  <c r="C28" i="26" s="1"/>
  <c r="C29" i="26" s="1"/>
  <c r="C2718" i="16"/>
  <c r="C2111" i="16"/>
  <c r="F1769" i="16"/>
  <c r="F1789" i="16"/>
  <c r="F1790" i="16" s="1"/>
  <c r="C2777" i="16"/>
  <c r="O2777" i="16" s="1"/>
  <c r="O2771" i="16"/>
  <c r="Y2802" i="16"/>
  <c r="O2802" i="16"/>
  <c r="C2808" i="16"/>
  <c r="E2230" i="16"/>
  <c r="E2214" i="16"/>
  <c r="E2215" i="16"/>
  <c r="E2231" i="16" s="1"/>
  <c r="O2741" i="16"/>
  <c r="C2747" i="16"/>
  <c r="O2747" i="16" s="1"/>
  <c r="O2808" i="16" l="1"/>
  <c r="Y2808" i="16"/>
  <c r="BS39" i="5" l="1"/>
  <c r="N26" i="29" l="1"/>
  <c r="M26" i="29"/>
  <c r="EQ39" i="5"/>
  <c r="BN79" i="5" l="1"/>
  <c r="BN78" i="5"/>
  <c r="AD33" i="29" l="1"/>
  <c r="AA182" i="18" l="1"/>
  <c r="R27" i="7"/>
  <c r="AA190" i="18" s="1"/>
  <c r="C2436" i="16" l="1"/>
  <c r="BN81" i="5"/>
  <c r="C19" i="26" l="1"/>
  <c r="C20" i="26" s="1"/>
  <c r="Q9" i="26" s="1"/>
  <c r="C2438" i="16"/>
  <c r="BN86" i="5"/>
  <c r="BN84" i="5"/>
  <c r="R29" i="7" l="1"/>
  <c r="BN91" i="5"/>
  <c r="BN92" i="5" s="1"/>
  <c r="BN87" i="5"/>
  <c r="R33" i="7" l="1"/>
  <c r="AA183" i="18"/>
  <c r="AA188" i="18" s="1"/>
  <c r="AA192" i="18" s="1"/>
  <c r="AA195" i="18" s="1"/>
  <c r="AD31" i="29"/>
  <c r="AD35" i="29" s="1"/>
  <c r="R34" i="7" l="1"/>
  <c r="AA31" i="18"/>
  <c r="AA202" i="18"/>
  <c r="D3370" i="16"/>
  <c r="G2075" i="16"/>
  <c r="G2077" i="16" s="1"/>
  <c r="F1770" i="16"/>
  <c r="G647" i="16"/>
  <c r="G652" i="16" s="1"/>
  <c r="C2779" i="16"/>
  <c r="O2779" i="16" s="1"/>
  <c r="R49" i="7"/>
  <c r="AD168" i="28" s="1"/>
  <c r="C2749" i="16"/>
  <c r="O2749" i="16" s="1"/>
  <c r="G646" i="16"/>
  <c r="C2810" i="16"/>
  <c r="O2810" i="16" s="1"/>
  <c r="E2216" i="16"/>
  <c r="R54" i="7"/>
  <c r="F1771" i="16"/>
  <c r="F1772" i="16" s="1"/>
  <c r="L1772" i="16" s="1"/>
  <c r="D3372" i="16" l="1"/>
  <c r="BC3370" i="16"/>
  <c r="BC3372" i="16" s="1"/>
  <c r="G653" i="16"/>
  <c r="Q10" i="26"/>
  <c r="R48" i="7"/>
  <c r="R15" i="7"/>
  <c r="G640" i="16"/>
  <c r="G644" i="16" s="1"/>
  <c r="C2442" i="16"/>
  <c r="C2444" i="16" s="1"/>
  <c r="C2874" i="16"/>
  <c r="R59" i="7" l="1"/>
  <c r="C7" i="26"/>
  <c r="R68" i="7"/>
  <c r="R70" i="7" s="1"/>
  <c r="C2445" i="16"/>
  <c r="C2449" i="16"/>
  <c r="C2450" i="16" s="1"/>
  <c r="C22" i="26" l="1"/>
  <c r="D2584" i="16" l="1"/>
  <c r="AD39" i="29"/>
  <c r="C25" i="26"/>
  <c r="F139" i="25"/>
  <c r="D2585" i="16" s="1"/>
  <c r="F140" i="25"/>
  <c r="D2586" i="16" s="1"/>
  <c r="F166" i="25"/>
  <c r="D2589" i="16" s="1"/>
  <c r="F168" i="25"/>
  <c r="D2591" i="16" s="1"/>
  <c r="F175" i="25"/>
  <c r="F196" i="25"/>
  <c r="F206" i="25"/>
  <c r="D2595" i="16" s="1"/>
  <c r="F243" i="25"/>
  <c r="G6" i="27"/>
  <c r="H6" i="27"/>
  <c r="I6" i="27"/>
  <c r="J6" i="27"/>
  <c r="F245" i="25" l="1"/>
  <c r="F248" i="25"/>
  <c r="F244" i="25"/>
  <c r="F169" i="25"/>
  <c r="D2592" i="16" s="1"/>
  <c r="E2595" i="16" l="1"/>
  <c r="F2595" i="16" l="1"/>
  <c r="G2595" i="16" l="1"/>
  <c r="H2595" i="16" l="1"/>
  <c r="I2595" i="16" l="1"/>
  <c r="J2595" i="16" l="1"/>
  <c r="K2595" i="16" l="1"/>
  <c r="O205" i="25" l="1"/>
  <c r="Z51" i="26" s="1"/>
  <c r="L2595" i="16"/>
  <c r="D2581" i="16"/>
  <c r="F240" i="25"/>
  <c r="E2581" i="16"/>
  <c r="F2581" i="16"/>
  <c r="G2581" i="16"/>
  <c r="H2581" i="16"/>
  <c r="G2584" i="16"/>
  <c r="J205" i="25"/>
  <c r="AA134" i="27" s="1"/>
  <c r="Z134" i="27" s="1"/>
  <c r="G240" i="25"/>
  <c r="H240" i="25"/>
  <c r="I240" i="25"/>
  <c r="J240" i="25"/>
  <c r="P205" i="25" l="1"/>
  <c r="AA51" i="26" s="1"/>
  <c r="BU19" i="27"/>
  <c r="BU33" i="27" s="1"/>
  <c r="R6" i="27"/>
  <c r="H2584" i="16"/>
  <c r="Y39" i="29"/>
  <c r="P6" i="27"/>
  <c r="Q6" i="27"/>
  <c r="F2584" i="16"/>
  <c r="O6" i="27"/>
  <c r="N19" i="27"/>
  <c r="AN19" i="27" s="1"/>
  <c r="M39" i="29"/>
  <c r="N39" i="29"/>
  <c r="L6" i="27"/>
  <c r="K6" i="27"/>
  <c r="I243" i="25"/>
  <c r="H243" i="25"/>
  <c r="J243" i="25"/>
  <c r="T51" i="26"/>
  <c r="F2594" i="16"/>
  <c r="J174" i="25"/>
  <c r="AA149" i="27" s="1"/>
  <c r="J140" i="25"/>
  <c r="I140" i="25"/>
  <c r="H140" i="25"/>
  <c r="I139" i="25"/>
  <c r="G140" i="25"/>
  <c r="E2586" i="16" s="1"/>
  <c r="H139" i="25"/>
  <c r="G168" i="25"/>
  <c r="G139" i="25"/>
  <c r="G166" i="25"/>
  <c r="G243" i="25"/>
  <c r="K135" i="25"/>
  <c r="L135" i="25" s="1"/>
  <c r="J139" i="25"/>
  <c r="E2584" i="16"/>
  <c r="X39" i="29"/>
  <c r="S39" i="29"/>
  <c r="Q205" i="25" l="1"/>
  <c r="G169" i="25"/>
  <c r="E2592" i="16" s="1"/>
  <c r="H169" i="25"/>
  <c r="F2592" i="16" s="1"/>
  <c r="H2594" i="16"/>
  <c r="U51" i="26"/>
  <c r="R92" i="27"/>
  <c r="R80" i="27"/>
  <c r="R93" i="27" s="1"/>
  <c r="R111" i="27" s="1"/>
  <c r="N31" i="27"/>
  <c r="N92" i="27"/>
  <c r="N150" i="27"/>
  <c r="AI150" i="27" s="1"/>
  <c r="N79" i="27"/>
  <c r="N30" i="27"/>
  <c r="G245" i="25"/>
  <c r="N122" i="27"/>
  <c r="N34" i="27"/>
  <c r="N160" i="27" s="1"/>
  <c r="R51" i="26"/>
  <c r="G213" i="25"/>
  <c r="E2594" i="16"/>
  <c r="G2594" i="16"/>
  <c r="S51" i="26"/>
  <c r="H209" i="25"/>
  <c r="H210" i="25" s="1"/>
  <c r="I209" i="25"/>
  <c r="I210" i="25" s="1"/>
  <c r="G2585" i="16"/>
  <c r="I244" i="25"/>
  <c r="F2586" i="16"/>
  <c r="H245" i="25"/>
  <c r="G2586" i="16"/>
  <c r="I245" i="25"/>
  <c r="H2586" i="16"/>
  <c r="J245" i="25"/>
  <c r="G218" i="25"/>
  <c r="E2589" i="16"/>
  <c r="G248" i="25"/>
  <c r="E2585" i="16"/>
  <c r="G244" i="25"/>
  <c r="E2591" i="16"/>
  <c r="G209" i="25"/>
  <c r="G210" i="25" s="1"/>
  <c r="F2585" i="16"/>
  <c r="H244" i="25"/>
  <c r="H2585" i="16"/>
  <c r="J244" i="25"/>
  <c r="I2581" i="16"/>
  <c r="K240" i="25"/>
  <c r="L240" i="25"/>
  <c r="J2581" i="16"/>
  <c r="M135" i="25"/>
  <c r="Q129" i="27" l="1"/>
  <c r="Q130" i="27" s="1"/>
  <c r="R123" i="27"/>
  <c r="S205" i="25"/>
  <c r="R205" i="25"/>
  <c r="O129" i="27"/>
  <c r="P129" i="27"/>
  <c r="P130" i="27" s="1"/>
  <c r="BN150" i="27"/>
  <c r="N153" i="27"/>
  <c r="N155" i="27" s="1"/>
  <c r="N80" i="27"/>
  <c r="N93" i="27" s="1"/>
  <c r="BN79" i="27"/>
  <c r="N129" i="27"/>
  <c r="T130" i="27" s="1"/>
  <c r="BN122" i="27"/>
  <c r="G187" i="25"/>
  <c r="G189" i="25"/>
  <c r="G192" i="25" s="1"/>
  <c r="R58" i="26"/>
  <c r="E2597" i="16"/>
  <c r="C2439" i="16"/>
  <c r="C2440" i="16" s="1"/>
  <c r="F2591" i="16"/>
  <c r="I2584" i="16"/>
  <c r="K139" i="25"/>
  <c r="K243" i="25"/>
  <c r="K205" i="25"/>
  <c r="AB134" i="27" s="1"/>
  <c r="K140" i="25"/>
  <c r="K174" i="25"/>
  <c r="M240" i="25"/>
  <c r="K2581" i="16"/>
  <c r="N135" i="25"/>
  <c r="O135" i="25" s="1"/>
  <c r="L243" i="25"/>
  <c r="L139" i="25"/>
  <c r="L140" i="25"/>
  <c r="L174" i="25"/>
  <c r="J2584" i="16"/>
  <c r="L205" i="25"/>
  <c r="O130" i="27" l="1"/>
  <c r="U130" i="27"/>
  <c r="O240" i="25"/>
  <c r="P135" i="25"/>
  <c r="J2594" i="16"/>
  <c r="W51" i="26"/>
  <c r="I2594" i="16"/>
  <c r="V51" i="26"/>
  <c r="R13" i="27"/>
  <c r="Q13" i="27"/>
  <c r="P13" i="27"/>
  <c r="BN153" i="27"/>
  <c r="H178" i="25"/>
  <c r="H184" i="25" s="1"/>
  <c r="O13" i="27"/>
  <c r="N111" i="27"/>
  <c r="N130" i="27"/>
  <c r="BN130" i="27" s="1"/>
  <c r="BN129" i="27"/>
  <c r="BN155" i="27"/>
  <c r="H218" i="25"/>
  <c r="N40" i="29"/>
  <c r="H247" i="25"/>
  <c r="H166" i="25"/>
  <c r="F2588" i="16"/>
  <c r="S43" i="26"/>
  <c r="S32" i="7"/>
  <c r="AB185" i="18" s="1"/>
  <c r="G196" i="25"/>
  <c r="I2586" i="16"/>
  <c r="K245" i="25"/>
  <c r="I2585" i="16"/>
  <c r="K244" i="25"/>
  <c r="M205" i="25"/>
  <c r="M243" i="25"/>
  <c r="M139" i="25"/>
  <c r="M140" i="25"/>
  <c r="M174" i="25"/>
  <c r="K2584" i="16"/>
  <c r="L245" i="25"/>
  <c r="J2586" i="16"/>
  <c r="L244" i="25"/>
  <c r="J2585" i="16"/>
  <c r="N240" i="25"/>
  <c r="L2581" i="16"/>
  <c r="K2594" i="16" l="1"/>
  <c r="X51" i="26"/>
  <c r="P240" i="25"/>
  <c r="Q135" i="25"/>
  <c r="S58" i="26"/>
  <c r="H248" i="25"/>
  <c r="F2589" i="16"/>
  <c r="N205" i="25"/>
  <c r="N243" i="25"/>
  <c r="N139" i="25"/>
  <c r="N140" i="25"/>
  <c r="N174" i="25"/>
  <c r="L2584" i="16"/>
  <c r="M245" i="25"/>
  <c r="K2586" i="16"/>
  <c r="M244" i="25"/>
  <c r="K2585" i="16"/>
  <c r="L2594" i="16" l="1"/>
  <c r="Y51" i="26"/>
  <c r="W40" i="29"/>
  <c r="I165" i="25"/>
  <c r="Q240" i="25"/>
  <c r="R135" i="25"/>
  <c r="N145" i="27"/>
  <c r="BN145" i="27" s="1"/>
  <c r="N140" i="27"/>
  <c r="D8" i="26"/>
  <c r="H213" i="25"/>
  <c r="G216" i="25"/>
  <c r="E2600" i="16" s="1"/>
  <c r="E2599" i="16"/>
  <c r="BS83" i="5"/>
  <c r="N245" i="25"/>
  <c r="L2586" i="16"/>
  <c r="N244" i="25"/>
  <c r="L2585" i="16"/>
  <c r="I177" i="25" l="1"/>
  <c r="I178" i="25" s="1"/>
  <c r="I168" i="25"/>
  <c r="I218" i="25"/>
  <c r="BU12" i="27"/>
  <c r="V13" i="27" s="1"/>
  <c r="S40" i="29"/>
  <c r="G2588" i="16"/>
  <c r="I247" i="25"/>
  <c r="U13" i="27"/>
  <c r="X40" i="29"/>
  <c r="T13" i="27"/>
  <c r="I166" i="25"/>
  <c r="S13" i="27"/>
  <c r="T43" i="26"/>
  <c r="V122" i="27"/>
  <c r="V123" i="27" s="1"/>
  <c r="V161" i="27"/>
  <c r="W163" i="27" s="1"/>
  <c r="V133" i="27"/>
  <c r="V150" i="27"/>
  <c r="V153" i="27" s="1"/>
  <c r="V155" i="27" s="1"/>
  <c r="V139" i="27"/>
  <c r="V145" i="27"/>
  <c r="V34" i="27"/>
  <c r="V118" i="27"/>
  <c r="R240" i="25"/>
  <c r="S135" i="25"/>
  <c r="S240" i="25" s="1"/>
  <c r="N139" i="27"/>
  <c r="BN139" i="27" s="1"/>
  <c r="BN140" i="27"/>
  <c r="V129" i="27" l="1"/>
  <c r="V130" i="27" s="1"/>
  <c r="W129" i="27"/>
  <c r="W130" i="27" s="1"/>
  <c r="AB43" i="26"/>
  <c r="T58" i="26"/>
  <c r="G2589" i="16"/>
  <c r="I248" i="25"/>
  <c r="I169" i="25"/>
  <c r="G2592" i="16" s="1"/>
  <c r="J168" i="25"/>
  <c r="G2591" i="16"/>
  <c r="V162" i="27"/>
  <c r="V163" i="27"/>
  <c r="U167" i="25"/>
  <c r="V160" i="27"/>
  <c r="F2597" i="16"/>
  <c r="D2439" i="16"/>
  <c r="H187" i="25"/>
  <c r="H189" i="25"/>
  <c r="J165" i="25" l="1"/>
  <c r="H2591" i="16"/>
  <c r="K168" i="25"/>
  <c r="H192" i="25"/>
  <c r="AA133" i="27" l="1"/>
  <c r="X13" i="27"/>
  <c r="Y13" i="27"/>
  <c r="W13" i="27"/>
  <c r="AA33" i="27"/>
  <c r="Z33" i="27" s="1"/>
  <c r="AV33" i="27" s="1"/>
  <c r="L168" i="25"/>
  <c r="K165" i="25"/>
  <c r="AB133" i="27" s="1"/>
  <c r="I2591" i="16"/>
  <c r="AA12" i="27"/>
  <c r="Y40" i="29"/>
  <c r="H2588" i="16"/>
  <c r="J247" i="25"/>
  <c r="J166" i="25"/>
  <c r="J178" i="25"/>
  <c r="AA150" i="27" s="1"/>
  <c r="U43" i="26"/>
  <c r="U58" i="26" s="1"/>
  <c r="W218" i="1"/>
  <c r="H196" i="25"/>
  <c r="Z34" i="27" l="1"/>
  <c r="Z12" i="27"/>
  <c r="Z13" i="27" s="1"/>
  <c r="Z133" i="27"/>
  <c r="Z150" i="27"/>
  <c r="Z153" i="27" s="1"/>
  <c r="Z155" i="27" s="1"/>
  <c r="Z161" i="27"/>
  <c r="H2589" i="16"/>
  <c r="J248" i="25"/>
  <c r="L165" i="25"/>
  <c r="W43" i="26" s="1"/>
  <c r="M168" i="25"/>
  <c r="J2591" i="16"/>
  <c r="Z40" i="29"/>
  <c r="K166" i="25"/>
  <c r="K178" i="25"/>
  <c r="V43" i="26"/>
  <c r="V58" i="26" s="1"/>
  <c r="AB12" i="27"/>
  <c r="K247" i="25"/>
  <c r="I2588" i="16"/>
  <c r="T32" i="7"/>
  <c r="AC185" i="18" s="1"/>
  <c r="Z160" i="27" l="1"/>
  <c r="Z163" i="27"/>
  <c r="Z162" i="27"/>
  <c r="I2589" i="16"/>
  <c r="K248" i="25"/>
  <c r="K2591" i="16"/>
  <c r="M165" i="25"/>
  <c r="X43" i="26" s="1"/>
  <c r="X58" i="26" s="1"/>
  <c r="N168" i="25"/>
  <c r="L166" i="25"/>
  <c r="L247" i="25"/>
  <c r="W58" i="26"/>
  <c r="J2588" i="16"/>
  <c r="L178" i="25"/>
  <c r="BU22" i="28"/>
  <c r="F2599" i="16"/>
  <c r="H216" i="25"/>
  <c r="F2600" i="16" s="1"/>
  <c r="E8" i="26"/>
  <c r="L248" i="25" l="1"/>
  <c r="J2589" i="16"/>
  <c r="O168" i="25"/>
  <c r="L2591" i="16"/>
  <c r="N165" i="25"/>
  <c r="Y43" i="26" s="1"/>
  <c r="Y58" i="26" s="1"/>
  <c r="M178" i="25"/>
  <c r="K2588" i="16"/>
  <c r="M166" i="25"/>
  <c r="M247" i="25"/>
  <c r="I213" i="25"/>
  <c r="G2597" i="16" s="1"/>
  <c r="I184" i="25"/>
  <c r="K2589" i="16" l="1"/>
  <c r="M248" i="25"/>
  <c r="O165" i="25"/>
  <c r="Z43" i="26" s="1"/>
  <c r="P168" i="25"/>
  <c r="N178" i="25"/>
  <c r="L2588" i="16"/>
  <c r="N166" i="25"/>
  <c r="N247" i="25"/>
  <c r="I189" i="25"/>
  <c r="I192" i="25" s="1"/>
  <c r="E2439" i="16"/>
  <c r="I187" i="25"/>
  <c r="Z58" i="26" l="1"/>
  <c r="L2589" i="16"/>
  <c r="N248" i="25"/>
  <c r="Q168" i="25"/>
  <c r="P165" i="25"/>
  <c r="AA43" i="26" s="1"/>
  <c r="O178" i="25"/>
  <c r="O166" i="25"/>
  <c r="O248" i="25" s="1"/>
  <c r="O247" i="25"/>
  <c r="X505" i="1"/>
  <c r="I196" i="25"/>
  <c r="X218" i="1"/>
  <c r="AA58" i="26" l="1"/>
  <c r="P166" i="25"/>
  <c r="P248" i="25" s="1"/>
  <c r="P178" i="25"/>
  <c r="P247" i="25"/>
  <c r="Q165" i="25"/>
  <c r="R168" i="25"/>
  <c r="X152" i="1"/>
  <c r="X385" i="1" s="1"/>
  <c r="U32" i="7"/>
  <c r="AD185" i="18" s="1"/>
  <c r="S168" i="25" l="1"/>
  <c r="S165" i="25" s="1"/>
  <c r="R165" i="25"/>
  <c r="Q178" i="25"/>
  <c r="Q166" i="25"/>
  <c r="Q248" i="25" s="1"/>
  <c r="Q247" i="25"/>
  <c r="CC83" i="5"/>
  <c r="I216" i="25"/>
  <c r="G2600" i="16" s="1"/>
  <c r="G2599" i="16"/>
  <c r="F8" i="26"/>
  <c r="J180" i="25"/>
  <c r="J184" i="25" l="1"/>
  <c r="J189" i="25" s="1"/>
  <c r="J186" i="25" s="1"/>
  <c r="AA135" i="27"/>
  <c r="Z135" i="27" s="1"/>
  <c r="AA151" i="27"/>
  <c r="R247" i="25"/>
  <c r="R178" i="25"/>
  <c r="R166" i="25"/>
  <c r="R248" i="25" s="1"/>
  <c r="S247" i="25"/>
  <c r="S178" i="25"/>
  <c r="S166" i="25"/>
  <c r="S248" i="25" s="1"/>
  <c r="J218" i="25" l="1"/>
  <c r="AA136" i="27"/>
  <c r="Z136" i="27" s="1"/>
  <c r="AA154" i="27"/>
  <c r="J213" i="25"/>
  <c r="J195" i="25"/>
  <c r="Y434" i="1" s="1"/>
  <c r="J187" i="25"/>
  <c r="J209" i="25"/>
  <c r="J210" i="25" s="1"/>
  <c r="J192" i="25"/>
  <c r="Y505" i="1" l="1"/>
  <c r="Y432" i="1"/>
  <c r="J203" i="25"/>
  <c r="J196" i="25"/>
  <c r="F2439" i="16"/>
  <c r="H2597" i="16"/>
  <c r="Y436" i="1" l="1"/>
  <c r="Y218" i="1" s="1"/>
  <c r="Y152" i="1"/>
  <c r="Y438" i="1"/>
  <c r="V32" i="7"/>
  <c r="AE185" i="18" s="1"/>
  <c r="J215" i="25"/>
  <c r="AA144" i="27" s="1"/>
  <c r="Z144" i="27" l="1"/>
  <c r="Y385" i="1"/>
  <c r="CH83" i="5"/>
  <c r="F17" i="9"/>
  <c r="F227" i="25"/>
  <c r="J216" i="25"/>
  <c r="H2600" i="16" s="1"/>
  <c r="G8" i="26"/>
  <c r="H2599" i="16"/>
  <c r="K180" i="25"/>
  <c r="K184" i="25" l="1"/>
  <c r="K189" i="25" s="1"/>
  <c r="K195" i="25" s="1"/>
  <c r="Z434" i="1" s="1"/>
  <c r="AB135" i="27"/>
  <c r="Z139" i="27"/>
  <c r="Z140" i="27" s="1"/>
  <c r="Z142" i="27"/>
  <c r="Z145" i="27"/>
  <c r="HR83" i="5"/>
  <c r="BZ22" i="28" s="1"/>
  <c r="CA22" i="28" s="1"/>
  <c r="CG83" i="5"/>
  <c r="F2914" i="16"/>
  <c r="AK5" i="9"/>
  <c r="CG22" i="28" l="1"/>
  <c r="AK7" i="9"/>
  <c r="AK10" i="9" s="1"/>
  <c r="AL5" i="9"/>
  <c r="Z505" i="1"/>
  <c r="Z432" i="1"/>
  <c r="K186" i="25"/>
  <c r="K203" i="25"/>
  <c r="Z436" i="1" s="1"/>
  <c r="K196" i="25"/>
  <c r="CH22" i="28" l="1"/>
  <c r="Z218" i="1"/>
  <c r="K213" i="25"/>
  <c r="AB136" i="27"/>
  <c r="AL6" i="9"/>
  <c r="AM5" i="9"/>
  <c r="AN5" i="9" s="1"/>
  <c r="Z152" i="1"/>
  <c r="Z385" i="1" s="1"/>
  <c r="Z438" i="1"/>
  <c r="W32" i="7"/>
  <c r="AF185" i="18" s="1"/>
  <c r="K192" i="25"/>
  <c r="K187" i="25"/>
  <c r="K209" i="25"/>
  <c r="K210" i="25" s="1"/>
  <c r="K218" i="25"/>
  <c r="I2597" i="16" l="1"/>
  <c r="K215" i="25"/>
  <c r="H8" i="26" l="1"/>
  <c r="AB144" i="27"/>
  <c r="K216" i="25"/>
  <c r="I2600" i="16" s="1"/>
  <c r="L180" i="25"/>
  <c r="L184" i="25" s="1"/>
  <c r="I2599" i="16"/>
  <c r="L189" i="25" l="1"/>
  <c r="L186" i="25" l="1"/>
  <c r="L213" i="25" s="1"/>
  <c r="L195" i="25"/>
  <c r="AA434" i="1" s="1"/>
  <c r="AA505" i="1" l="1"/>
  <c r="AA432" i="1"/>
  <c r="L192" i="25"/>
  <c r="L196" i="25"/>
  <c r="L203" i="25"/>
  <c r="AA436" i="1" s="1"/>
  <c r="AA218" i="1" s="1"/>
  <c r="L218" i="25"/>
  <c r="L187" i="25"/>
  <c r="L209" i="25"/>
  <c r="L210" i="25" s="1"/>
  <c r="AA152" i="1" l="1"/>
  <c r="AA385" i="1" s="1"/>
  <c r="AA438" i="1"/>
  <c r="X32" i="7"/>
  <c r="AG185" i="18" s="1"/>
  <c r="J2597" i="16"/>
  <c r="L215" i="25"/>
  <c r="I8" i="26" s="1"/>
  <c r="M180" i="25" l="1"/>
  <c r="M184" i="25" s="1"/>
  <c r="L216" i="25"/>
  <c r="J2600" i="16" s="1"/>
  <c r="J2599" i="16"/>
  <c r="M189" i="25" l="1"/>
  <c r="M195" i="25" s="1"/>
  <c r="AB434" i="1" s="1"/>
  <c r="AB505" i="1" l="1"/>
  <c r="AB432" i="1"/>
  <c r="M196" i="25"/>
  <c r="M203" i="25"/>
  <c r="AB436" i="1" s="1"/>
  <c r="AB218" i="1" s="1"/>
  <c r="M186" i="25"/>
  <c r="AB152" i="1" l="1"/>
  <c r="AB385" i="1" s="1"/>
  <c r="AB438" i="1"/>
  <c r="Y32" i="7"/>
  <c r="AH185" i="18" s="1"/>
  <c r="M192" i="25"/>
  <c r="M213" i="25"/>
  <c r="M187" i="25"/>
  <c r="M209" i="25"/>
  <c r="M210" i="25" s="1"/>
  <c r="M218" i="25"/>
  <c r="K2597" i="16" l="1"/>
  <c r="M215" i="25"/>
  <c r="J8" i="26" s="1"/>
  <c r="M216" i="25" l="1"/>
  <c r="K2600" i="16" s="1"/>
  <c r="K2599" i="16"/>
  <c r="N180" i="25"/>
  <c r="N184" i="25" s="1"/>
  <c r="N189" i="25" l="1"/>
  <c r="N186" i="25" l="1"/>
  <c r="N195" i="25"/>
  <c r="AC434" i="1" s="1"/>
  <c r="AC432" i="1" l="1"/>
  <c r="AC505" i="1"/>
  <c r="N192" i="25"/>
  <c r="N213" i="25"/>
  <c r="N196" i="25"/>
  <c r="N203" i="25"/>
  <c r="AC436" i="1" s="1"/>
  <c r="AC218" i="1" s="1"/>
  <c r="N187" i="25"/>
  <c r="N218" i="25"/>
  <c r="N209" i="25"/>
  <c r="N210" i="25" s="1"/>
  <c r="AC152" i="1" l="1"/>
  <c r="AC385" i="1" s="1"/>
  <c r="AC438" i="1"/>
  <c r="Z32" i="7"/>
  <c r="AI185" i="18" s="1"/>
  <c r="L2597" i="16"/>
  <c r="N215" i="25"/>
  <c r="O180" i="25" l="1"/>
  <c r="O184" i="25" s="1"/>
  <c r="K8" i="26"/>
  <c r="N216" i="25"/>
  <c r="L2600" i="16" s="1"/>
  <c r="L2599" i="16"/>
  <c r="O189" i="25" l="1"/>
  <c r="O195" i="25" s="1"/>
  <c r="AD434" i="1" s="1"/>
  <c r="AD432" i="1" l="1"/>
  <c r="AD505" i="1"/>
  <c r="O196" i="25"/>
  <c r="O203" i="25"/>
  <c r="O186" i="25"/>
  <c r="AD436" i="1" l="1"/>
  <c r="AD218" i="1" s="1"/>
  <c r="AA32" i="7"/>
  <c r="AJ185" i="18" s="1"/>
  <c r="AD152" i="1"/>
  <c r="AD385" i="1" s="1"/>
  <c r="AD438" i="1"/>
  <c r="O187" i="25"/>
  <c r="O209" i="25"/>
  <c r="O210" i="25" s="1"/>
  <c r="O218" i="25"/>
  <c r="O213" i="25"/>
  <c r="O215" i="25" s="1"/>
  <c r="L8" i="26" s="1"/>
  <c r="O192" i="25"/>
  <c r="O216" i="25" l="1"/>
  <c r="P180" i="25"/>
  <c r="P184" i="25" l="1"/>
  <c r="P189" i="25" s="1"/>
  <c r="P195" i="25" l="1"/>
  <c r="AE434" i="1" s="1"/>
  <c r="P186" i="25"/>
  <c r="P192" i="25" s="1"/>
  <c r="AE432" i="1" l="1"/>
  <c r="AE505" i="1"/>
  <c r="P209" i="25"/>
  <c r="P210" i="25" s="1"/>
  <c r="P187" i="25"/>
  <c r="P218" i="25"/>
  <c r="P213" i="25"/>
  <c r="P203" i="25"/>
  <c r="P196" i="25"/>
  <c r="AE436" i="1" l="1"/>
  <c r="AE218" i="1" s="1"/>
  <c r="AB32" i="7"/>
  <c r="AK185" i="18" s="1"/>
  <c r="AE152" i="1"/>
  <c r="AE385" i="1" s="1"/>
  <c r="AE438" i="1"/>
  <c r="P215" i="25"/>
  <c r="Q180" i="25" l="1"/>
  <c r="Q184" i="25" s="1"/>
  <c r="Q189" i="25" s="1"/>
  <c r="M8" i="26"/>
  <c r="P216" i="25"/>
  <c r="Q195" i="25" l="1"/>
  <c r="AF434" i="1" s="1"/>
  <c r="Q186" i="25"/>
  <c r="AF505" i="1" l="1"/>
  <c r="AF432" i="1"/>
  <c r="Q187" i="25"/>
  <c r="Q209" i="25"/>
  <c r="Q210" i="25" s="1"/>
  <c r="Q218" i="25"/>
  <c r="Q213" i="25"/>
  <c r="Q192" i="25"/>
  <c r="Q203" i="25"/>
  <c r="Q196" i="25"/>
  <c r="AF436" i="1" l="1"/>
  <c r="AF218" i="1" s="1"/>
  <c r="AC32" i="7"/>
  <c r="AL185" i="18" s="1"/>
  <c r="AF152" i="1"/>
  <c r="AF385" i="1" s="1"/>
  <c r="AF438" i="1"/>
  <c r="Q215" i="25"/>
  <c r="Q216" i="25" l="1"/>
  <c r="R180" i="25"/>
  <c r="R184" i="25" l="1"/>
  <c r="R189" i="25" l="1"/>
  <c r="R195" i="25" s="1"/>
  <c r="AG434" i="1" s="1"/>
  <c r="AG432" i="1" l="1"/>
  <c r="AG505" i="1"/>
  <c r="R203" i="25"/>
  <c r="R196" i="25"/>
  <c r="R186" i="25"/>
  <c r="R192" i="25" s="1"/>
  <c r="AG436" i="1" l="1"/>
  <c r="AG218" i="1" s="1"/>
  <c r="AD32" i="7"/>
  <c r="AM185" i="18" s="1"/>
  <c r="AG152" i="1"/>
  <c r="AG385" i="1" s="1"/>
  <c r="AG438" i="1"/>
  <c r="R187" i="25"/>
  <c r="R209" i="25"/>
  <c r="R210" i="25" s="1"/>
  <c r="R218" i="25"/>
  <c r="R213" i="25"/>
  <c r="R215" i="25" s="1"/>
  <c r="X116" i="18"/>
  <c r="X117" i="18" s="1"/>
  <c r="M31" i="29"/>
  <c r="BR179" i="5"/>
  <c r="R216" i="25" l="1"/>
  <c r="S180" i="25"/>
  <c r="M33" i="29"/>
  <c r="M35" i="29" s="1"/>
  <c r="S184" i="25" l="1"/>
  <c r="H681" i="16"/>
  <c r="D2727" i="16"/>
  <c r="P2727" i="16" s="1"/>
  <c r="D2757" i="16"/>
  <c r="P2757" i="16" s="1"/>
  <c r="D2788" i="16"/>
  <c r="Z2788" i="16" s="1"/>
  <c r="R244" i="10"/>
  <c r="N5" i="29"/>
  <c r="N13" i="29" s="1"/>
  <c r="BS14" i="5"/>
  <c r="BS19" i="5" s="1"/>
  <c r="BS21" i="5" s="1"/>
  <c r="S189" i="25" l="1"/>
  <c r="S195" i="25" s="1"/>
  <c r="AH434" i="1" s="1"/>
  <c r="R252" i="10"/>
  <c r="S245" i="10"/>
  <c r="D2713" i="16"/>
  <c r="T133" i="13"/>
  <c r="J20" i="22"/>
  <c r="J15" i="22"/>
  <c r="J17" i="22" s="1"/>
  <c r="R245" i="10"/>
  <c r="J1607" i="16" s="1"/>
  <c r="P2788" i="16"/>
  <c r="R256" i="10"/>
  <c r="R257" i="10" s="1"/>
  <c r="D2432" i="16"/>
  <c r="E2869" i="16"/>
  <c r="D2729" i="16"/>
  <c r="D2759" i="16"/>
  <c r="D2790" i="16"/>
  <c r="D15" i="26"/>
  <c r="D25" i="26" s="1"/>
  <c r="R250" i="10" l="1"/>
  <c r="R251" i="10" s="1"/>
  <c r="S252" i="10"/>
  <c r="T252" i="10" s="1"/>
  <c r="AH505" i="1"/>
  <c r="AH432" i="1"/>
  <c r="S203" i="25"/>
  <c r="S196" i="25"/>
  <c r="S186" i="25"/>
  <c r="S192" i="25" s="1"/>
  <c r="S291" i="10"/>
  <c r="J19" i="22"/>
  <c r="K15" i="22"/>
  <c r="K17" i="22" s="1"/>
  <c r="S256" i="10"/>
  <c r="S257" i="10" s="1"/>
  <c r="K20" i="22"/>
  <c r="P2790" i="16"/>
  <c r="Z2790" i="16"/>
  <c r="D2789" i="16"/>
  <c r="P2759" i="16"/>
  <c r="D2758" i="16"/>
  <c r="P2758" i="16" s="1"/>
  <c r="P2729" i="16"/>
  <c r="D2728" i="16"/>
  <c r="P2728" i="16" s="1"/>
  <c r="C2886" i="16"/>
  <c r="C2902" i="16" s="1"/>
  <c r="E2941" i="16"/>
  <c r="F2210" i="16"/>
  <c r="S250" i="10" l="1"/>
  <c r="S251" i="10" s="1"/>
  <c r="CC14" i="5"/>
  <c r="CC19" i="5" s="1"/>
  <c r="AH436" i="1"/>
  <c r="AH218" i="1" s="1"/>
  <c r="AE32" i="7"/>
  <c r="AN185" i="18" s="1"/>
  <c r="AH152" i="1"/>
  <c r="AH385" i="1" s="1"/>
  <c r="AH438" i="1"/>
  <c r="S209" i="25"/>
  <c r="S210" i="25" s="1"/>
  <c r="S187" i="25"/>
  <c r="S218" i="25"/>
  <c r="F221" i="25" s="1"/>
  <c r="S213" i="25"/>
  <c r="S215" i="25" s="1"/>
  <c r="S216" i="25" s="1"/>
  <c r="D2977" i="16"/>
  <c r="D3029" i="16" s="1"/>
  <c r="D3031" i="16" s="1"/>
  <c r="D3033" i="16" s="1"/>
  <c r="S314" i="10"/>
  <c r="S315" i="10" s="1"/>
  <c r="T289" i="10"/>
  <c r="T291" i="10" s="1"/>
  <c r="I681" i="16"/>
  <c r="BX14" i="5"/>
  <c r="BX19" i="5" s="1"/>
  <c r="K19" i="22"/>
  <c r="L15" i="22"/>
  <c r="L17" i="22" s="1"/>
  <c r="L20" i="22"/>
  <c r="T250" i="10"/>
  <c r="E2788" i="16"/>
  <c r="E2757" i="16"/>
  <c r="Q2757" i="16" s="1"/>
  <c r="S5" i="29"/>
  <c r="E2727" i="16"/>
  <c r="Q2727" i="16" s="1"/>
  <c r="T256" i="10"/>
  <c r="T257" i="10" s="1"/>
  <c r="I657" i="16"/>
  <c r="I660" i="16" s="1"/>
  <c r="S292" i="10"/>
  <c r="K23" i="22"/>
  <c r="S301" i="10"/>
  <c r="F2228" i="16"/>
  <c r="P2789" i="16"/>
  <c r="Z2789" i="16"/>
  <c r="T251" i="10" l="1"/>
  <c r="F224" i="25"/>
  <c r="F225" i="25" s="1"/>
  <c r="CB138" i="5"/>
  <c r="CC131" i="5"/>
  <c r="X27" i="1"/>
  <c r="AD131" i="18" s="1"/>
  <c r="D3051" i="16"/>
  <c r="D2978" i="16"/>
  <c r="E2977" i="16"/>
  <c r="E3029" i="16" s="1"/>
  <c r="E3031" i="16" s="1"/>
  <c r="F2727" i="16"/>
  <c r="R2727" i="16" s="1"/>
  <c r="T314" i="10"/>
  <c r="F2757" i="16"/>
  <c r="R2757" i="16" s="1"/>
  <c r="J681" i="16"/>
  <c r="X5" i="29"/>
  <c r="X6" i="29" s="1"/>
  <c r="BX108" i="5"/>
  <c r="D2990" i="16"/>
  <c r="L23" i="22"/>
  <c r="BX20" i="5"/>
  <c r="L19" i="22"/>
  <c r="U289" i="10"/>
  <c r="U291" i="10" s="1"/>
  <c r="U256" i="10"/>
  <c r="U257" i="10" s="1"/>
  <c r="U252" i="10"/>
  <c r="V289" i="10"/>
  <c r="Q2788" i="16"/>
  <c r="AA2788" i="16"/>
  <c r="E2800" i="16"/>
  <c r="E2739" i="16"/>
  <c r="Q2739" i="16" s="1"/>
  <c r="E2769" i="16"/>
  <c r="Q2769" i="16" s="1"/>
  <c r="I686" i="16"/>
  <c r="I687" i="16" s="1"/>
  <c r="S11" i="29"/>
  <c r="S13" i="29" s="1"/>
  <c r="E3051" i="16" l="1"/>
  <c r="E3053" i="16" s="1"/>
  <c r="E3055" i="16" s="1"/>
  <c r="AD148" i="18"/>
  <c r="T49" i="26"/>
  <c r="T52" i="26" s="1"/>
  <c r="Y27" i="1"/>
  <c r="CH14" i="5"/>
  <c r="CH131" i="5"/>
  <c r="F226" i="25"/>
  <c r="E17" i="9" s="1"/>
  <c r="D17" i="9" s="1"/>
  <c r="W5" i="29"/>
  <c r="G2757" i="16"/>
  <c r="S2757" i="16" s="1"/>
  <c r="X92" i="1"/>
  <c r="X105" i="1"/>
  <c r="G35" i="30"/>
  <c r="CC108" i="5"/>
  <c r="F2977" i="16"/>
  <c r="F3029" i="16" s="1"/>
  <c r="F3031" i="16" s="1"/>
  <c r="Y5" i="29"/>
  <c r="G2727" i="16"/>
  <c r="S2727" i="16" s="1"/>
  <c r="AG241" i="10"/>
  <c r="BU6" i="28"/>
  <c r="BX97" i="5"/>
  <c r="BW108" i="5" s="1"/>
  <c r="BW119" i="5" s="1"/>
  <c r="E2978" i="16"/>
  <c r="R5" i="29"/>
  <c r="BW19" i="5"/>
  <c r="EV19" i="5" s="1"/>
  <c r="F2713" i="16"/>
  <c r="T292" i="10"/>
  <c r="J657" i="16"/>
  <c r="J660" i="16" s="1"/>
  <c r="J686" i="16" s="1"/>
  <c r="J687" i="16" s="1"/>
  <c r="E2713" i="16"/>
  <c r="U133" i="13"/>
  <c r="E2990" i="16"/>
  <c r="E2991" i="16" s="1"/>
  <c r="T301" i="10"/>
  <c r="BX107" i="5"/>
  <c r="V252" i="10"/>
  <c r="V250" i="10" s="1"/>
  <c r="U314" i="10"/>
  <c r="EV14" i="5"/>
  <c r="AW103" i="28" s="1"/>
  <c r="E2432" i="16"/>
  <c r="F2869" i="16"/>
  <c r="E15" i="26"/>
  <c r="E2790" i="16"/>
  <c r="E2789" i="16" s="1"/>
  <c r="E2759" i="16"/>
  <c r="Q2759" i="16" s="1"/>
  <c r="E2729" i="16"/>
  <c r="E2728" i="16" s="1"/>
  <c r="Q2728" i="16" s="1"/>
  <c r="BU8" i="28"/>
  <c r="BX21" i="5"/>
  <c r="U250" i="10"/>
  <c r="U251" i="10" s="1"/>
  <c r="V256" i="10"/>
  <c r="V257" i="10" s="1"/>
  <c r="V291" i="10"/>
  <c r="O2848" i="16"/>
  <c r="R2027" i="16"/>
  <c r="E2715" i="16"/>
  <c r="F2871" i="16"/>
  <c r="E17" i="26"/>
  <c r="E2716" i="16"/>
  <c r="E2771" i="16"/>
  <c r="Q2771" i="16" s="1"/>
  <c r="E2434" i="16"/>
  <c r="D2890" i="16"/>
  <c r="D2906" i="16" s="1"/>
  <c r="G2213" i="16"/>
  <c r="S32" i="29"/>
  <c r="E2802" i="16"/>
  <c r="E2741" i="16"/>
  <c r="Q2741" i="16" s="1"/>
  <c r="E2709" i="16"/>
  <c r="N2848" i="16"/>
  <c r="BS97" i="5"/>
  <c r="F2739" i="16"/>
  <c r="R2739" i="16" s="1"/>
  <c r="F2769" i="16"/>
  <c r="R2769" i="16" s="1"/>
  <c r="AA2800" i="16"/>
  <c r="Q2800" i="16"/>
  <c r="U292" i="10"/>
  <c r="U301" i="10"/>
  <c r="CH20" i="5" l="1"/>
  <c r="CG20" i="5" s="1"/>
  <c r="CG21" i="5" s="1"/>
  <c r="AE131" i="18"/>
  <c r="Z27" i="1"/>
  <c r="CB21" i="5"/>
  <c r="FA19" i="5"/>
  <c r="FA21" i="5" s="1"/>
  <c r="CB70" i="5"/>
  <c r="CB118" i="5"/>
  <c r="AG244" i="10"/>
  <c r="X96" i="1"/>
  <c r="T294" i="10"/>
  <c r="F228" i="25"/>
  <c r="E2914" i="16"/>
  <c r="G17" i="9"/>
  <c r="D2914" i="16"/>
  <c r="F230" i="25"/>
  <c r="C2644" i="16"/>
  <c r="Z5" i="29"/>
  <c r="Y6" i="29"/>
  <c r="Y7" i="29" s="1"/>
  <c r="W6" i="29"/>
  <c r="X7" i="29"/>
  <c r="W7" i="29" s="1"/>
  <c r="U26" i="7"/>
  <c r="AD184" i="18" s="1"/>
  <c r="CC97" i="5"/>
  <c r="X11" i="29"/>
  <c r="X13" i="29" s="1"/>
  <c r="CC20" i="5"/>
  <c r="CC21" i="5" s="1"/>
  <c r="E3032" i="16"/>
  <c r="E3033" i="16" s="1"/>
  <c r="E3056" i="16" s="1"/>
  <c r="G33" i="30"/>
  <c r="X592" i="1"/>
  <c r="X475" i="1"/>
  <c r="AD22" i="18" s="1"/>
  <c r="X241" i="1"/>
  <c r="CC107" i="5"/>
  <c r="Y28" i="1"/>
  <c r="CC96" i="5"/>
  <c r="W256" i="10"/>
  <c r="W257" i="10" s="1"/>
  <c r="W289" i="10"/>
  <c r="W291" i="10" s="1"/>
  <c r="F2978" i="16"/>
  <c r="E27" i="26"/>
  <c r="E25" i="26"/>
  <c r="BU5" i="28"/>
  <c r="BX96" i="5"/>
  <c r="BW107" i="5" s="1"/>
  <c r="R11" i="29"/>
  <c r="R13" i="29" s="1"/>
  <c r="G2977" i="16"/>
  <c r="G3029" i="16" s="1"/>
  <c r="G3031" i="16" s="1"/>
  <c r="W252" i="10"/>
  <c r="W250" i="10" s="1"/>
  <c r="W251" i="10" s="1"/>
  <c r="E2758" i="16"/>
  <c r="Q2758" i="16" s="1"/>
  <c r="Q2790" i="16"/>
  <c r="AA2790" i="16"/>
  <c r="V314" i="10"/>
  <c r="Q2729" i="16"/>
  <c r="BW138" i="5"/>
  <c r="G2210" i="16"/>
  <c r="G2228" i="16" s="1"/>
  <c r="D2886" i="16"/>
  <c r="D2902" i="16" s="1"/>
  <c r="EV20" i="5"/>
  <c r="BW21" i="5"/>
  <c r="V251" i="10"/>
  <c r="F2715" i="16"/>
  <c r="S2027" i="16"/>
  <c r="P2848" i="16"/>
  <c r="BS96" i="5"/>
  <c r="D2710" i="16"/>
  <c r="Q2802" i="16"/>
  <c r="AA2802" i="16"/>
  <c r="F2434" i="16"/>
  <c r="F17" i="26"/>
  <c r="F2741" i="16"/>
  <c r="R2741" i="16" s="1"/>
  <c r="X32" i="29"/>
  <c r="E2890" i="16"/>
  <c r="E2906" i="16" s="1"/>
  <c r="H2213" i="16"/>
  <c r="F2709" i="16"/>
  <c r="F2771" i="16"/>
  <c r="R2771" i="16" s="1"/>
  <c r="G2871" i="16"/>
  <c r="V301" i="10"/>
  <c r="V292" i="10"/>
  <c r="G2230" i="16"/>
  <c r="E2710" i="16"/>
  <c r="AA2789" i="16"/>
  <c r="Q2789" i="16"/>
  <c r="H3364" i="16" l="1"/>
  <c r="BG3364" i="16" s="1"/>
  <c r="AE134" i="18"/>
  <c r="Z28" i="1"/>
  <c r="AF131" i="18"/>
  <c r="CH21" i="5"/>
  <c r="Y58" i="1"/>
  <c r="Y87" i="1"/>
  <c r="Y84" i="1" s="1"/>
  <c r="CB71" i="5"/>
  <c r="FF21" i="5"/>
  <c r="H2977" i="16"/>
  <c r="H2978" i="16" s="1"/>
  <c r="I2978" i="16" s="1"/>
  <c r="AA27" i="1"/>
  <c r="BX5" i="28"/>
  <c r="BX14" i="28" s="1"/>
  <c r="CB123" i="5"/>
  <c r="AS208" i="28" s="1"/>
  <c r="CB72" i="5"/>
  <c r="H33" i="30"/>
  <c r="EV21" i="5"/>
  <c r="U4" i="30"/>
  <c r="R32" i="29"/>
  <c r="U6" i="30"/>
  <c r="U10" i="30" s="1"/>
  <c r="U14" i="30" s="1"/>
  <c r="F231" i="25"/>
  <c r="F233" i="25" s="1"/>
  <c r="F234" i="25" s="1"/>
  <c r="I17" i="9"/>
  <c r="AH17" i="9"/>
  <c r="G19" i="9"/>
  <c r="G2914" i="16"/>
  <c r="G2917" i="16" s="1"/>
  <c r="Z11" i="29"/>
  <c r="Z13" i="29" s="1"/>
  <c r="W32" i="29"/>
  <c r="X35" i="1"/>
  <c r="F2729" i="16"/>
  <c r="R2729" i="16" s="1"/>
  <c r="F2759" i="16"/>
  <c r="R2759" i="16" s="1"/>
  <c r="F15" i="26"/>
  <c r="F25" i="26" s="1"/>
  <c r="X106" i="1"/>
  <c r="F2796" i="16" s="1"/>
  <c r="F2432" i="16"/>
  <c r="V133" i="13"/>
  <c r="U303" i="10"/>
  <c r="X88" i="1"/>
  <c r="X132" i="1"/>
  <c r="AD18" i="18" s="1"/>
  <c r="G2869" i="16"/>
  <c r="X29" i="1"/>
  <c r="X122" i="1"/>
  <c r="X476" i="1"/>
  <c r="Y29" i="1"/>
  <c r="Y122" i="1"/>
  <c r="Y35" i="1"/>
  <c r="Y132" i="1"/>
  <c r="AE18" i="18" s="1"/>
  <c r="W314" i="10"/>
  <c r="X256" i="10"/>
  <c r="X257" i="10" s="1"/>
  <c r="X289" i="10"/>
  <c r="X314" i="10" s="1"/>
  <c r="G3032" i="16"/>
  <c r="G3033" i="16" s="1"/>
  <c r="Y11" i="29"/>
  <c r="Y13" i="29" s="1"/>
  <c r="F3032" i="16"/>
  <c r="F3033" i="16" s="1"/>
  <c r="G15" i="26"/>
  <c r="G25" i="26" s="1"/>
  <c r="G2713" i="16"/>
  <c r="BW118" i="5"/>
  <c r="X252" i="10"/>
  <c r="X250" i="10" s="1"/>
  <c r="X251" i="10" s="1"/>
  <c r="G2978" i="16"/>
  <c r="G2214" i="16"/>
  <c r="F27" i="26"/>
  <c r="H2230" i="16"/>
  <c r="F2710" i="16"/>
  <c r="F2794" i="16"/>
  <c r="F2806" i="16" s="1"/>
  <c r="F2793" i="16"/>
  <c r="W301" i="10"/>
  <c r="W292" i="10"/>
  <c r="Y106" i="1" l="1"/>
  <c r="U45" i="10"/>
  <c r="Y92" i="1"/>
  <c r="U49" i="26"/>
  <c r="U52" i="26" s="1"/>
  <c r="AE148" i="18"/>
  <c r="CH108" i="5"/>
  <c r="Y105" i="1"/>
  <c r="G2739" i="16"/>
  <c r="S2739" i="16" s="1"/>
  <c r="F2990" i="16"/>
  <c r="F2991" i="16" s="1"/>
  <c r="G2769" i="16"/>
  <c r="S2769" i="16" s="1"/>
  <c r="F3051" i="16"/>
  <c r="F3053" i="16" s="1"/>
  <c r="F3055" i="16" s="1"/>
  <c r="F3056" i="16" s="1"/>
  <c r="Y56" i="1"/>
  <c r="AF134" i="18"/>
  <c r="Z58" i="1"/>
  <c r="Z56" i="1" s="1"/>
  <c r="V40" i="10" s="1"/>
  <c r="V42" i="10" s="1"/>
  <c r="Y236" i="1"/>
  <c r="G2771" i="16"/>
  <c r="S2771" i="16" s="1"/>
  <c r="F2890" i="16"/>
  <c r="F2906" i="16" s="1"/>
  <c r="G2709" i="16"/>
  <c r="G2741" i="16"/>
  <c r="S2741" i="16" s="1"/>
  <c r="AA28" i="1"/>
  <c r="AG131" i="18"/>
  <c r="H3366" i="16"/>
  <c r="BG3366" i="16" s="1"/>
  <c r="AE149" i="18"/>
  <c r="I3364" i="16"/>
  <c r="Z87" i="1"/>
  <c r="Z84" i="1" s="1"/>
  <c r="CH107" i="5"/>
  <c r="CG107" i="5" s="1"/>
  <c r="CG118" i="5" s="1"/>
  <c r="V26" i="7"/>
  <c r="AE184" i="18" s="1"/>
  <c r="Y32" i="29"/>
  <c r="H35" i="30"/>
  <c r="Y592" i="1"/>
  <c r="Y475" i="1"/>
  <c r="G17" i="26"/>
  <c r="G27" i="26" s="1"/>
  <c r="X133" i="1"/>
  <c r="X351" i="1"/>
  <c r="Y351" i="1" s="1"/>
  <c r="X341" i="1"/>
  <c r="Y341" i="1" s="1"/>
  <c r="X344" i="1"/>
  <c r="Y344" i="1" s="1"/>
  <c r="X354" i="1"/>
  <c r="I2977" i="16"/>
  <c r="H3029" i="16"/>
  <c r="I3029" i="16" s="1"/>
  <c r="AB27" i="1"/>
  <c r="BX19" i="28"/>
  <c r="Y61" i="1"/>
  <c r="CH37" i="5"/>
  <c r="I33" i="30"/>
  <c r="AH19" i="9"/>
  <c r="N122" i="18"/>
  <c r="O122" i="18" s="1"/>
  <c r="P122" i="18" s="1"/>
  <c r="Q122" i="18" s="1"/>
  <c r="R122" i="18" s="1"/>
  <c r="S122" i="18" s="1"/>
  <c r="T122" i="18" s="1"/>
  <c r="U122" i="18" s="1"/>
  <c r="V122" i="18" s="1"/>
  <c r="W122" i="18" s="1"/>
  <c r="X122" i="18" s="1"/>
  <c r="Y122" i="18" s="1"/>
  <c r="Z122" i="18" s="1"/>
  <c r="AA122" i="18" s="1"/>
  <c r="AB122" i="18" s="1"/>
  <c r="AC122" i="18" s="1"/>
  <c r="AD122" i="18" s="1"/>
  <c r="AE122" i="18" s="1"/>
  <c r="AF122" i="18" s="1"/>
  <c r="AG122" i="18" s="1"/>
  <c r="AH122" i="18" s="1"/>
  <c r="AI122" i="18" s="1"/>
  <c r="AJ122" i="18" s="1"/>
  <c r="AK122" i="18" s="1"/>
  <c r="AL122" i="18" s="1"/>
  <c r="AM122" i="18" s="1"/>
  <c r="AN122" i="18" s="1"/>
  <c r="F11" i="7"/>
  <c r="N9" i="18"/>
  <c r="O9" i="18" s="1"/>
  <c r="P9" i="18" s="1"/>
  <c r="Q9" i="18" s="1"/>
  <c r="R9" i="18" s="1"/>
  <c r="S9" i="18" s="1"/>
  <c r="T9" i="18" s="1"/>
  <c r="U9" i="18" s="1"/>
  <c r="V9" i="18" s="1"/>
  <c r="W9" i="18" s="1"/>
  <c r="X9" i="18" s="1"/>
  <c r="Y9" i="18" s="1"/>
  <c r="Z9" i="18" s="1"/>
  <c r="AA9" i="18" s="1"/>
  <c r="AB9" i="18" s="1"/>
  <c r="AC9" i="18" s="1"/>
  <c r="AD9" i="18" s="1"/>
  <c r="AE9" i="18" s="1"/>
  <c r="AF9" i="18" s="1"/>
  <c r="AG9" i="18" s="1"/>
  <c r="AH9" i="18" s="1"/>
  <c r="AI9" i="18" s="1"/>
  <c r="AJ9" i="18" s="1"/>
  <c r="AK9" i="18" s="1"/>
  <c r="AL9" i="18" s="1"/>
  <c r="AM9" i="18" s="1"/>
  <c r="AN9" i="18" s="1"/>
  <c r="Z289" i="10"/>
  <c r="Z256" i="10"/>
  <c r="Z271" i="10"/>
  <c r="Z132" i="1"/>
  <c r="Z35" i="1"/>
  <c r="Z122" i="1"/>
  <c r="Z29" i="1"/>
  <c r="W11" i="29"/>
  <c r="W13" i="29" s="1"/>
  <c r="F2716" i="16"/>
  <c r="F2758" i="16"/>
  <c r="R2758" i="16" s="1"/>
  <c r="F2728" i="16"/>
  <c r="R2728" i="16" s="1"/>
  <c r="H2210" i="16"/>
  <c r="H2228" i="16" s="1"/>
  <c r="E2886" i="16"/>
  <c r="E2902" i="16" s="1"/>
  <c r="Z353" i="1"/>
  <c r="Z355" i="1" s="1"/>
  <c r="X477" i="1"/>
  <c r="AA353" i="1"/>
  <c r="Y133" i="1"/>
  <c r="X239" i="1"/>
  <c r="X275" i="1"/>
  <c r="X277" i="1" s="1"/>
  <c r="Y232" i="1"/>
  <c r="X179" i="1"/>
  <c r="AD33" i="18" s="1"/>
  <c r="X230" i="1"/>
  <c r="X291" i="10"/>
  <c r="Y289" i="10"/>
  <c r="Y291" i="10" s="1"/>
  <c r="Y256" i="10"/>
  <c r="Y257" i="10" s="1"/>
  <c r="G2729" i="16"/>
  <c r="G2728" i="16" s="1"/>
  <c r="S2728" i="16" s="1"/>
  <c r="W133" i="13"/>
  <c r="G2759" i="16"/>
  <c r="G2758" i="16" s="1"/>
  <c r="S2758" i="16" s="1"/>
  <c r="F2886" i="16"/>
  <c r="F2902" i="16" s="1"/>
  <c r="G2796" i="16"/>
  <c r="H2713" i="16"/>
  <c r="H15" i="26"/>
  <c r="Y252" i="10"/>
  <c r="F2795" i="16"/>
  <c r="F2807" i="16" s="1"/>
  <c r="F2808" i="16"/>
  <c r="I3384" i="16" l="1"/>
  <c r="BH3364" i="16"/>
  <c r="T2027" i="16"/>
  <c r="G2715" i="16"/>
  <c r="CH97" i="5"/>
  <c r="Y94" i="1"/>
  <c r="Q2848" i="16"/>
  <c r="U47" i="10"/>
  <c r="U46" i="10"/>
  <c r="V45" i="10"/>
  <c r="V49" i="26"/>
  <c r="V52" i="26" s="1"/>
  <c r="AF148" i="18"/>
  <c r="Z105" i="1"/>
  <c r="H2715" i="16" s="1"/>
  <c r="Z92" i="1"/>
  <c r="Z94" i="1" s="1"/>
  <c r="G2990" i="16"/>
  <c r="G2991" i="16" s="1"/>
  <c r="G3051" i="16"/>
  <c r="G3053" i="16" s="1"/>
  <c r="G3055" i="16" s="1"/>
  <c r="G3056" i="16" s="1"/>
  <c r="AE141" i="18"/>
  <c r="AE154" i="18" s="1"/>
  <c r="U40" i="10"/>
  <c r="AG134" i="18"/>
  <c r="AA58" i="1"/>
  <c r="AA56" i="1" s="1"/>
  <c r="W40" i="10" s="1"/>
  <c r="J3364" i="16"/>
  <c r="AA87" i="1"/>
  <c r="H2709" i="16"/>
  <c r="Z106" i="1"/>
  <c r="H2716" i="16" s="1"/>
  <c r="G2890" i="16"/>
  <c r="G2906" i="16" s="1"/>
  <c r="Y476" i="1"/>
  <c r="AE22" i="18"/>
  <c r="I3366" i="16"/>
  <c r="AF149" i="18"/>
  <c r="Z475" i="1"/>
  <c r="AF22" i="18" s="1"/>
  <c r="H17" i="26"/>
  <c r="H27" i="26" s="1"/>
  <c r="W26" i="7"/>
  <c r="AF184" i="18" s="1"/>
  <c r="Z592" i="1"/>
  <c r="Z32" i="29"/>
  <c r="I35" i="30"/>
  <c r="CH35" i="5"/>
  <c r="HR35" i="5" s="1"/>
  <c r="HR36" i="5" s="1"/>
  <c r="AE139" i="18"/>
  <c r="AE152" i="18" s="1"/>
  <c r="AB353" i="1"/>
  <c r="AF18" i="18"/>
  <c r="AB28" i="1"/>
  <c r="AB58" i="1" s="1"/>
  <c r="AB56" i="1" s="1"/>
  <c r="X40" i="10" s="1"/>
  <c r="AH131" i="18"/>
  <c r="Z236" i="1"/>
  <c r="Y477" i="1"/>
  <c r="Y343" i="1"/>
  <c r="Z344" i="1"/>
  <c r="Z341" i="1"/>
  <c r="Y340" i="1"/>
  <c r="Z351" i="1"/>
  <c r="Y350" i="1"/>
  <c r="HR37" i="5"/>
  <c r="BZ17" i="28" s="1"/>
  <c r="CA17" i="28" s="1"/>
  <c r="CG37" i="5"/>
  <c r="FF37" i="5" s="1"/>
  <c r="AA271" i="10"/>
  <c r="H3031" i="16"/>
  <c r="I3031" i="16" s="1"/>
  <c r="AC27" i="1"/>
  <c r="AI131" i="18" s="1"/>
  <c r="Z62" i="1"/>
  <c r="Z61" i="1"/>
  <c r="Y25" i="29"/>
  <c r="F3042" i="16"/>
  <c r="G11" i="7"/>
  <c r="H11" i="7" s="1"/>
  <c r="I11" i="7" s="1"/>
  <c r="J11" i="7" s="1"/>
  <c r="K11" i="7" s="1"/>
  <c r="L11" i="7" s="1"/>
  <c r="M11" i="7" s="1"/>
  <c r="N11" i="7" s="1"/>
  <c r="O11" i="7" s="1"/>
  <c r="P11" i="7" s="1"/>
  <c r="Q11" i="7" s="1"/>
  <c r="R11" i="7" s="1"/>
  <c r="S11" i="7" s="1"/>
  <c r="T11" i="7" s="1"/>
  <c r="U11" i="7" s="1"/>
  <c r="V11" i="7" s="1"/>
  <c r="W11" i="7" s="1"/>
  <c r="X11" i="7" s="1"/>
  <c r="Y11" i="7" s="1"/>
  <c r="Z11" i="7" s="1"/>
  <c r="AA11" i="7" s="1"/>
  <c r="AB11" i="7" s="1"/>
  <c r="AC11" i="7" s="1"/>
  <c r="AD11" i="7" s="1"/>
  <c r="AE11" i="7" s="1"/>
  <c r="E11" i="7"/>
  <c r="AA289" i="10"/>
  <c r="AA256" i="10"/>
  <c r="AA257" i="10" s="1"/>
  <c r="Y250" i="10"/>
  <c r="Y251" i="10" s="1"/>
  <c r="Z252" i="10"/>
  <c r="Z250" i="10" s="1"/>
  <c r="Z257" i="10"/>
  <c r="Z314" i="10"/>
  <c r="Z315" i="10" s="1"/>
  <c r="Z317" i="10" s="1"/>
  <c r="Z291" i="10"/>
  <c r="Z133" i="1"/>
  <c r="H2214" i="16"/>
  <c r="Z185" i="1"/>
  <c r="AA355" i="1"/>
  <c r="AA185" i="1"/>
  <c r="Y502" i="1"/>
  <c r="Y590" i="1" s="1"/>
  <c r="Y382" i="1"/>
  <c r="Y228" i="1"/>
  <c r="X292" i="10"/>
  <c r="X301" i="10"/>
  <c r="S2759" i="16"/>
  <c r="Y314" i="10"/>
  <c r="S2729" i="16"/>
  <c r="X133" i="13"/>
  <c r="G2716" i="16"/>
  <c r="H3032" i="16"/>
  <c r="I2713" i="16"/>
  <c r="H25" i="26"/>
  <c r="G2886" i="16"/>
  <c r="G2902" i="16" s="1"/>
  <c r="Y301" i="10"/>
  <c r="Y292" i="10"/>
  <c r="G2808" i="16"/>
  <c r="AA236" i="1" l="1"/>
  <c r="I3406" i="16"/>
  <c r="BH3366" i="16"/>
  <c r="J3384" i="16"/>
  <c r="BI3364" i="16"/>
  <c r="V47" i="10"/>
  <c r="V46" i="10"/>
  <c r="AG149" i="18"/>
  <c r="AA84" i="1"/>
  <c r="Z96" i="1"/>
  <c r="H2710" i="16"/>
  <c r="Y96" i="1"/>
  <c r="G2794" i="16" s="1"/>
  <c r="G2806" i="16" s="1"/>
  <c r="CH96" i="5"/>
  <c r="CG96" i="5" s="1"/>
  <c r="G2793" i="16"/>
  <c r="G2710" i="16"/>
  <c r="H2890" i="16"/>
  <c r="H2906" i="16" s="1"/>
  <c r="W41" i="10"/>
  <c r="W42" i="10"/>
  <c r="V41" i="10"/>
  <c r="U42" i="10"/>
  <c r="U41" i="10"/>
  <c r="X41" i="10"/>
  <c r="X42" i="10"/>
  <c r="J35" i="30"/>
  <c r="AA475" i="1"/>
  <c r="AG22" i="18" s="1"/>
  <c r="J3366" i="16"/>
  <c r="I2709" i="16"/>
  <c r="AA592" i="1"/>
  <c r="I17" i="26"/>
  <c r="X26" i="7"/>
  <c r="AG184" i="18" s="1"/>
  <c r="K33" i="30"/>
  <c r="AB29" i="1"/>
  <c r="AB355" i="1"/>
  <c r="AB132" i="1"/>
  <c r="AH18" i="18" s="1"/>
  <c r="AB35" i="1"/>
  <c r="AB185" i="1"/>
  <c r="Z476" i="1"/>
  <c r="Z477" i="1"/>
  <c r="AB122" i="1"/>
  <c r="K3364" i="16"/>
  <c r="AB87" i="1"/>
  <c r="AB84" i="1" s="1"/>
  <c r="AF139" i="18"/>
  <c r="AF152" i="18" s="1"/>
  <c r="Y142" i="1"/>
  <c r="CH39" i="5" s="1"/>
  <c r="CG39" i="5" s="1"/>
  <c r="FF39" i="5" s="1"/>
  <c r="AE20" i="18"/>
  <c r="CG35" i="5"/>
  <c r="FF35" i="5" s="1"/>
  <c r="AH134" i="18"/>
  <c r="J15" i="26"/>
  <c r="BZ16" i="28"/>
  <c r="CA16" i="28" s="1"/>
  <c r="Y352" i="1"/>
  <c r="Y186" i="1"/>
  <c r="Y188" i="1" s="1"/>
  <c r="AA351" i="1"/>
  <c r="Z350" i="1"/>
  <c r="Y342" i="1"/>
  <c r="Y174" i="1"/>
  <c r="AA341" i="1"/>
  <c r="Z340" i="1"/>
  <c r="HR40" i="5"/>
  <c r="HR51" i="5" s="1"/>
  <c r="HR84" i="5" s="1"/>
  <c r="BZ23" i="28" s="1"/>
  <c r="CG23" i="28" s="1"/>
  <c r="AA344" i="1"/>
  <c r="Z343" i="1"/>
  <c r="Y345" i="1"/>
  <c r="Y175" i="1"/>
  <c r="HR38" i="5"/>
  <c r="BZ18" i="28" s="1"/>
  <c r="CA18" i="28" s="1"/>
  <c r="AD27" i="1"/>
  <c r="AC28" i="1"/>
  <c r="AC58" i="1" s="1"/>
  <c r="AC56" i="1" s="1"/>
  <c r="Y40" i="10" s="1"/>
  <c r="H3033" i="16"/>
  <c r="I3033" i="16" s="1"/>
  <c r="AA35" i="1"/>
  <c r="AA122" i="1"/>
  <c r="AA132" i="1"/>
  <c r="AA106" i="1"/>
  <c r="I2716" i="16" s="1"/>
  <c r="J33" i="30"/>
  <c r="AA29" i="1"/>
  <c r="AA61" i="1" s="1"/>
  <c r="Z25" i="29"/>
  <c r="Z116" i="1"/>
  <c r="R54" i="9" s="1"/>
  <c r="V42" i="26"/>
  <c r="V57" i="26" s="1"/>
  <c r="G3042" i="16"/>
  <c r="Z27" i="29"/>
  <c r="Z139" i="1"/>
  <c r="G3043" i="16"/>
  <c r="Z251" i="10"/>
  <c r="AB289" i="10"/>
  <c r="AB256" i="10"/>
  <c r="AB257" i="10" s="1"/>
  <c r="AB271" i="10"/>
  <c r="AA252" i="10"/>
  <c r="AA272" i="10"/>
  <c r="Z283" i="10"/>
  <c r="AA314" i="10"/>
  <c r="AA315" i="10" s="1"/>
  <c r="AA317" i="10" s="1"/>
  <c r="AA318" i="10" s="1"/>
  <c r="AA319" i="10" s="1"/>
  <c r="AA291" i="10"/>
  <c r="AA305" i="10" s="1"/>
  <c r="Z305" i="10"/>
  <c r="Z306" i="10" s="1"/>
  <c r="Z301" i="10"/>
  <c r="Z292" i="10"/>
  <c r="Z318" i="10"/>
  <c r="Y237" i="1"/>
  <c r="Y229" i="1"/>
  <c r="Y241" i="1"/>
  <c r="Y133" i="13"/>
  <c r="I15" i="26"/>
  <c r="N15" i="26" s="1"/>
  <c r="K2713" i="16"/>
  <c r="J2713" i="16"/>
  <c r="Z133" i="13"/>
  <c r="K3384" i="16" l="1"/>
  <c r="BJ3364" i="16"/>
  <c r="J3406" i="16"/>
  <c r="BI3366" i="16"/>
  <c r="BS3331" i="16"/>
  <c r="BH3406" i="16"/>
  <c r="BB3331" i="16" s="1"/>
  <c r="G2795" i="16"/>
  <c r="G2807" i="16" s="1"/>
  <c r="X45" i="10"/>
  <c r="AB92" i="1"/>
  <c r="AB94" i="1" s="1"/>
  <c r="AH148" i="18"/>
  <c r="X49" i="26"/>
  <c r="X52" i="26" s="1"/>
  <c r="AB105" i="1"/>
  <c r="J2715" i="16" s="1"/>
  <c r="W45" i="10"/>
  <c r="AA105" i="1"/>
  <c r="I2715" i="16" s="1"/>
  <c r="AG148" i="18"/>
  <c r="AA92" i="1"/>
  <c r="AA94" i="1" s="1"/>
  <c r="W49" i="26"/>
  <c r="W52" i="26" s="1"/>
  <c r="H2990" i="16"/>
  <c r="H2991" i="16" s="1"/>
  <c r="H3051" i="16"/>
  <c r="I27" i="26"/>
  <c r="N27" i="26" s="1"/>
  <c r="N17" i="26"/>
  <c r="Y41" i="10"/>
  <c r="Y42" i="10"/>
  <c r="AA476" i="1"/>
  <c r="K3366" i="16"/>
  <c r="AD353" i="1"/>
  <c r="AH149" i="18"/>
  <c r="K35" i="30"/>
  <c r="J17" i="26"/>
  <c r="AB236" i="1"/>
  <c r="Y26" i="7"/>
  <c r="AH184" i="18" s="1"/>
  <c r="AB592" i="1"/>
  <c r="AB475" i="1"/>
  <c r="AH22" i="18" s="1"/>
  <c r="AB106" i="1"/>
  <c r="J2716" i="16" s="1"/>
  <c r="I2890" i="16"/>
  <c r="I2906" i="16" s="1"/>
  <c r="J2709" i="16"/>
  <c r="AD28" i="1"/>
  <c r="L15" i="26" s="1"/>
  <c r="L25" i="26" s="1"/>
  <c r="AJ131" i="18"/>
  <c r="J25" i="26"/>
  <c r="AB133" i="1"/>
  <c r="AG18" i="18"/>
  <c r="K15" i="26"/>
  <c r="K25" i="26" s="1"/>
  <c r="AI134" i="18"/>
  <c r="AC87" i="1"/>
  <c r="AC84" i="1" s="1"/>
  <c r="L3364" i="16"/>
  <c r="BZ21" i="28"/>
  <c r="CG21" i="28" s="1"/>
  <c r="CG19" i="28"/>
  <c r="BU35" i="28"/>
  <c r="BV35" i="28" s="1"/>
  <c r="BZ19" i="28"/>
  <c r="Z352" i="1"/>
  <c r="Z186" i="1"/>
  <c r="Z188" i="1" s="1"/>
  <c r="AE27" i="1"/>
  <c r="Z175" i="1"/>
  <c r="Z345" i="1"/>
  <c r="AB351" i="1"/>
  <c r="AA350" i="1"/>
  <c r="AA352" i="1" s="1"/>
  <c r="AB344" i="1"/>
  <c r="AA343" i="1"/>
  <c r="AA175" i="1" s="1"/>
  <c r="Z342" i="1"/>
  <c r="Z174" i="1"/>
  <c r="AB341" i="1"/>
  <c r="AA340" i="1"/>
  <c r="AA174" i="1" s="1"/>
  <c r="CH23" i="28"/>
  <c r="AA62" i="1"/>
  <c r="AB62" i="1" s="1"/>
  <c r="AA133" i="1"/>
  <c r="AC353" i="1"/>
  <c r="AA477" i="1"/>
  <c r="AB61" i="1"/>
  <c r="H3042" i="16"/>
  <c r="AC132" i="1"/>
  <c r="L33" i="30"/>
  <c r="AC122" i="1"/>
  <c r="AC29" i="1"/>
  <c r="Z323" i="10"/>
  <c r="Z321" i="10" s="1"/>
  <c r="AA250" i="10"/>
  <c r="AA251" i="10" s="1"/>
  <c r="AB252" i="10"/>
  <c r="AA306" i="10"/>
  <c r="AA323" i="10"/>
  <c r="AA321" i="10" s="1"/>
  <c r="AB272" i="10"/>
  <c r="AC35" i="1"/>
  <c r="AA301" i="10"/>
  <c r="AA292" i="10"/>
  <c r="AC289" i="10"/>
  <c r="AC256" i="10"/>
  <c r="AC257" i="10" s="1"/>
  <c r="AC271" i="10"/>
  <c r="AB291" i="10"/>
  <c r="AB314" i="10"/>
  <c r="AB315" i="10" s="1"/>
  <c r="AB317" i="10" s="1"/>
  <c r="AB318" i="10" s="1"/>
  <c r="AB319" i="10" s="1"/>
  <c r="Z319" i="10"/>
  <c r="I25" i="26"/>
  <c r="N25" i="26" s="1"/>
  <c r="Y238" i="1"/>
  <c r="H2886" i="16"/>
  <c r="H2902" i="16" s="1"/>
  <c r="AA133" i="13"/>
  <c r="I2886" i="16"/>
  <c r="I2902" i="16" s="1"/>
  <c r="BT3331" i="16" l="1"/>
  <c r="BI3406" i="16"/>
  <c r="BC3331" i="16" s="1"/>
  <c r="L3384" i="16"/>
  <c r="BK3364" i="16"/>
  <c r="K3406" i="16"/>
  <c r="BJ3366" i="16"/>
  <c r="Y45" i="10"/>
  <c r="AC105" i="1"/>
  <c r="K2715" i="16" s="1"/>
  <c r="AI148" i="18"/>
  <c r="Y49" i="26"/>
  <c r="Y52" i="26" s="1"/>
  <c r="AC92" i="1"/>
  <c r="AC94" i="1" s="1"/>
  <c r="H3053" i="16"/>
  <c r="H3055" i="16" s="1"/>
  <c r="H3056" i="16" s="1"/>
  <c r="I3051" i="16"/>
  <c r="AB96" i="1"/>
  <c r="J2710" i="16"/>
  <c r="W47" i="10"/>
  <c r="W46" i="10"/>
  <c r="AA96" i="1"/>
  <c r="I2710" i="16"/>
  <c r="X47" i="10"/>
  <c r="X46" i="10"/>
  <c r="AJ134" i="18"/>
  <c r="AD58" i="1"/>
  <c r="AD56" i="1" s="1"/>
  <c r="AB476" i="1"/>
  <c r="AB477" i="1"/>
  <c r="AD185" i="1"/>
  <c r="AD355" i="1"/>
  <c r="J27" i="26"/>
  <c r="K2709" i="16"/>
  <c r="J2890" i="16"/>
  <c r="J2906" i="16" s="1"/>
  <c r="M3364" i="16"/>
  <c r="AD87" i="1"/>
  <c r="X42" i="26"/>
  <c r="X57" i="26" s="1"/>
  <c r="AH139" i="18"/>
  <c r="AH152" i="18" s="1"/>
  <c r="AF27" i="1"/>
  <c r="AL131" i="18" s="1"/>
  <c r="AK131" i="18"/>
  <c r="AC106" i="1"/>
  <c r="K2716" i="16" s="1"/>
  <c r="AI149" i="18"/>
  <c r="K17" i="26"/>
  <c r="K27" i="26" s="1"/>
  <c r="AE353" i="1"/>
  <c r="AE185" i="1" s="1"/>
  <c r="AI18" i="18"/>
  <c r="AG139" i="18"/>
  <c r="AG152" i="18" s="1"/>
  <c r="CA21" i="28"/>
  <c r="BU36" i="28"/>
  <c r="BV36" i="28" s="1"/>
  <c r="L35" i="30"/>
  <c r="L3366" i="16"/>
  <c r="Z26" i="7"/>
  <c r="AI184" i="18" s="1"/>
  <c r="AC475" i="1"/>
  <c r="AC592" i="1"/>
  <c r="AC236" i="1"/>
  <c r="AA342" i="1"/>
  <c r="AA345" i="1"/>
  <c r="CH19" i="28"/>
  <c r="AE28" i="1"/>
  <c r="M15" i="26" s="1"/>
  <c r="M25" i="26" s="1"/>
  <c r="AC341" i="1"/>
  <c r="AB340" i="1"/>
  <c r="AC351" i="1"/>
  <c r="AB350" i="1"/>
  <c r="AB186" i="1" s="1"/>
  <c r="AB188" i="1" s="1"/>
  <c r="AC344" i="1"/>
  <c r="AB343" i="1"/>
  <c r="AA186" i="1"/>
  <c r="AA188" i="1" s="1"/>
  <c r="CH21" i="28"/>
  <c r="W42" i="26"/>
  <c r="W57" i="26" s="1"/>
  <c r="AA116" i="1"/>
  <c r="S54" i="9" s="1"/>
  <c r="H3043" i="16"/>
  <c r="AA139" i="1"/>
  <c r="AC355" i="1"/>
  <c r="AC185" i="1"/>
  <c r="AC61" i="1"/>
  <c r="AB116" i="1"/>
  <c r="T54" i="9" s="1"/>
  <c r="AC62" i="1"/>
  <c r="AB139" i="1"/>
  <c r="AC133" i="1"/>
  <c r="M33" i="30"/>
  <c r="AB283" i="10"/>
  <c r="AB305" i="10"/>
  <c r="AB306" i="10" s="1"/>
  <c r="AD289" i="10"/>
  <c r="AD256" i="10"/>
  <c r="AD257" i="10" s="1"/>
  <c r="AD271" i="10"/>
  <c r="AB250" i="10"/>
  <c r="AB251" i="10" s="1"/>
  <c r="AC252" i="10"/>
  <c r="AB301" i="10"/>
  <c r="AB292" i="10"/>
  <c r="AD35" i="1"/>
  <c r="AD132" i="1"/>
  <c r="AJ18" i="18" s="1"/>
  <c r="AD29" i="1"/>
  <c r="AD122" i="1"/>
  <c r="AB133" i="13"/>
  <c r="AC291" i="10"/>
  <c r="AC314" i="10"/>
  <c r="AC315" i="10" s="1"/>
  <c r="AC317" i="10" s="1"/>
  <c r="AC318" i="10" s="1"/>
  <c r="AC319" i="10" s="1"/>
  <c r="AA283" i="10"/>
  <c r="AC272" i="10"/>
  <c r="Y275" i="1"/>
  <c r="Y277" i="1" s="1"/>
  <c r="Y239" i="1"/>
  <c r="Z232" i="1"/>
  <c r="Y179" i="1"/>
  <c r="AE33" i="18" s="1"/>
  <c r="Y230" i="1"/>
  <c r="J2886" i="16"/>
  <c r="J2902" i="16" s="1"/>
  <c r="L3406" i="16" l="1"/>
  <c r="BK3366" i="16"/>
  <c r="M3384" i="16"/>
  <c r="BL3364" i="16"/>
  <c r="BU3331" i="16"/>
  <c r="BJ3406" i="16"/>
  <c r="BD3331" i="16" s="1"/>
  <c r="AC96" i="1"/>
  <c r="K2710" i="16"/>
  <c r="L17" i="26"/>
  <c r="L27" i="26" s="1"/>
  <c r="AD84" i="1"/>
  <c r="Z40" i="10"/>
  <c r="Z41" i="10" s="1"/>
  <c r="Z41" i="26"/>
  <c r="Y47" i="10"/>
  <c r="Y46" i="10"/>
  <c r="AK134" i="18"/>
  <c r="AE58" i="1"/>
  <c r="AE56" i="1" s="1"/>
  <c r="M35" i="30"/>
  <c r="AD236" i="1"/>
  <c r="AD106" i="1"/>
  <c r="M3366" i="16"/>
  <c r="AJ149" i="18"/>
  <c r="AE355" i="1"/>
  <c r="AG27" i="1"/>
  <c r="AA26" i="7"/>
  <c r="AJ184" i="18" s="1"/>
  <c r="AD592" i="1"/>
  <c r="AD475" i="1"/>
  <c r="AJ22" i="18" s="1"/>
  <c r="AI139" i="18"/>
  <c r="AI152" i="18" s="1"/>
  <c r="Y42" i="26"/>
  <c r="Y57" i="26" s="1"/>
  <c r="AF28" i="1"/>
  <c r="AC476" i="1"/>
  <c r="AI22" i="18"/>
  <c r="AC477" i="1"/>
  <c r="AE87" i="1"/>
  <c r="M17" i="26" s="1"/>
  <c r="M27" i="26" s="1"/>
  <c r="N3364" i="16"/>
  <c r="AB352" i="1"/>
  <c r="AB345" i="1"/>
  <c r="AB175" i="1"/>
  <c r="AD351" i="1"/>
  <c r="AC350" i="1"/>
  <c r="AC352" i="1" s="1"/>
  <c r="AD344" i="1"/>
  <c r="AC343" i="1"/>
  <c r="AB342" i="1"/>
  <c r="AB174" i="1"/>
  <c r="AD341" i="1"/>
  <c r="AC340" i="1"/>
  <c r="AD61" i="1"/>
  <c r="AC116" i="1"/>
  <c r="U54" i="9" s="1"/>
  <c r="AD62" i="1"/>
  <c r="AC139" i="1"/>
  <c r="AE132" i="1"/>
  <c r="N33" i="30"/>
  <c r="AE122" i="1"/>
  <c r="AC133" i="13"/>
  <c r="AC283" i="10"/>
  <c r="AF353" i="1"/>
  <c r="AE35" i="1"/>
  <c r="AC305" i="10"/>
  <c r="AC306" i="10" s="1"/>
  <c r="AE29" i="1"/>
  <c r="AB323" i="10"/>
  <c r="AB321" i="10" s="1"/>
  <c r="AD133" i="1"/>
  <c r="AD252" i="10"/>
  <c r="AD250" i="10" s="1"/>
  <c r="AC250" i="10"/>
  <c r="AC251" i="10" s="1"/>
  <c r="AD272" i="10"/>
  <c r="AD291" i="10"/>
  <c r="AD314" i="10"/>
  <c r="AD315" i="10" s="1"/>
  <c r="AD317" i="10" s="1"/>
  <c r="AD318" i="10" s="1"/>
  <c r="AD319" i="10" s="1"/>
  <c r="AC292" i="10"/>
  <c r="AC301" i="10"/>
  <c r="Z502" i="1"/>
  <c r="Z590" i="1" s="1"/>
  <c r="Z382" i="1"/>
  <c r="Z228" i="1"/>
  <c r="AF20" i="18" s="1"/>
  <c r="D2733" i="16"/>
  <c r="D2763" i="16"/>
  <c r="D2794" i="16"/>
  <c r="Z2794" i="16" s="1"/>
  <c r="R271" i="10"/>
  <c r="N16" i="29"/>
  <c r="N22" i="29" s="1"/>
  <c r="BS32" i="5"/>
  <c r="R41" i="26"/>
  <c r="M3406" i="16" l="1"/>
  <c r="BL3366" i="16"/>
  <c r="N3384" i="16"/>
  <c r="BM3364" i="16"/>
  <c r="BV3331" i="16"/>
  <c r="BK3406" i="16"/>
  <c r="BE3331" i="16" s="1"/>
  <c r="Z42" i="26"/>
  <c r="Z44" i="26" s="1"/>
  <c r="Z15" i="26" s="1"/>
  <c r="AA40" i="10"/>
  <c r="AA42" i="10" s="1"/>
  <c r="AA41" i="26"/>
  <c r="Z45" i="10"/>
  <c r="Z49" i="26"/>
  <c r="Z52" i="26" s="1"/>
  <c r="AD105" i="1"/>
  <c r="AJ148" i="18"/>
  <c r="AD92" i="1"/>
  <c r="AD94" i="1" s="1"/>
  <c r="AD96" i="1" s="1"/>
  <c r="Z42" i="10"/>
  <c r="AE475" i="1"/>
  <c r="AK22" i="18" s="1"/>
  <c r="AE84" i="1"/>
  <c r="AA49" i="26" s="1"/>
  <c r="AA52" i="26" s="1"/>
  <c r="AF122" i="1"/>
  <c r="AF58" i="1"/>
  <c r="AF56" i="1" s="1"/>
  <c r="AB40" i="10" s="1"/>
  <c r="AM131" i="18"/>
  <c r="AD476" i="1"/>
  <c r="AD477" i="1"/>
  <c r="AH27" i="1"/>
  <c r="AG28" i="1"/>
  <c r="AG58" i="1" s="1"/>
  <c r="AG56" i="1" s="1"/>
  <c r="AC40" i="10" s="1"/>
  <c r="AE106" i="1"/>
  <c r="AF87" i="1"/>
  <c r="AF29" i="1"/>
  <c r="AJ139" i="18"/>
  <c r="AJ152" i="18" s="1"/>
  <c r="O33" i="30"/>
  <c r="AF132" i="1"/>
  <c r="AL18" i="18" s="1"/>
  <c r="AF35" i="1"/>
  <c r="AG353" i="1"/>
  <c r="AG185" i="1" s="1"/>
  <c r="AK18" i="18"/>
  <c r="O3364" i="16"/>
  <c r="AL134" i="18"/>
  <c r="AE236" i="1"/>
  <c r="AK149" i="18"/>
  <c r="N35" i="30"/>
  <c r="N3366" i="16"/>
  <c r="AE592" i="1"/>
  <c r="AB26" i="7"/>
  <c r="AK184" i="18" s="1"/>
  <c r="AC345" i="1"/>
  <c r="AC175" i="1"/>
  <c r="AE344" i="1"/>
  <c r="AD343" i="1"/>
  <c r="AC186" i="1"/>
  <c r="AC188" i="1" s="1"/>
  <c r="AE351" i="1"/>
  <c r="AD350" i="1"/>
  <c r="AD186" i="1" s="1"/>
  <c r="AD188" i="1" s="1"/>
  <c r="AC342" i="1"/>
  <c r="AC174" i="1"/>
  <c r="AE341" i="1"/>
  <c r="AD340" i="1"/>
  <c r="BS68" i="5"/>
  <c r="BS34" i="5"/>
  <c r="BS70" i="5" s="1"/>
  <c r="AE62" i="1"/>
  <c r="AD139" i="1"/>
  <c r="AE61" i="1"/>
  <c r="AD116" i="1"/>
  <c r="AE133" i="1"/>
  <c r="AD283" i="10"/>
  <c r="AC323" i="10"/>
  <c r="AC321" i="10" s="1"/>
  <c r="AF185" i="1"/>
  <c r="AF355" i="1"/>
  <c r="AD133" i="13"/>
  <c r="AD305" i="10"/>
  <c r="AD306" i="10" s="1"/>
  <c r="AD251" i="10"/>
  <c r="AD301" i="10"/>
  <c r="AD292" i="10"/>
  <c r="Z142" i="1"/>
  <c r="Z26" i="29" s="1"/>
  <c r="Z229" i="1"/>
  <c r="Z241" i="1"/>
  <c r="Z237" i="1"/>
  <c r="S65" i="7"/>
  <c r="R272" i="10"/>
  <c r="R282" i="10"/>
  <c r="R44" i="26"/>
  <c r="R13" i="26" s="1"/>
  <c r="N29" i="29"/>
  <c r="J22" i="22"/>
  <c r="P2794" i="16"/>
  <c r="P2733" i="16"/>
  <c r="H656" i="16"/>
  <c r="H659" i="16" s="1"/>
  <c r="P2763" i="16"/>
  <c r="N3406" i="16" l="1"/>
  <c r="BM3366" i="16"/>
  <c r="O3384" i="16"/>
  <c r="BN3364" i="16"/>
  <c r="BW3331" i="16"/>
  <c r="BL3406" i="16"/>
  <c r="BF3331" i="16" s="1"/>
  <c r="Z56" i="26"/>
  <c r="Z57" i="26"/>
  <c r="AA41" i="10"/>
  <c r="AE477" i="1"/>
  <c r="Z47" i="10"/>
  <c r="Z46" i="10"/>
  <c r="AE476" i="1"/>
  <c r="Z17" i="26"/>
  <c r="Z13" i="26"/>
  <c r="Z16" i="26"/>
  <c r="AA56" i="26"/>
  <c r="AA42" i="26"/>
  <c r="Z14" i="26"/>
  <c r="AA45" i="10"/>
  <c r="AK148" i="18"/>
  <c r="AE105" i="1"/>
  <c r="AE92" i="1"/>
  <c r="AE94" i="1" s="1"/>
  <c r="AE96" i="1" s="1"/>
  <c r="AF106" i="1"/>
  <c r="AF84" i="1"/>
  <c r="AB41" i="10"/>
  <c r="AB42" i="10"/>
  <c r="AC42" i="10"/>
  <c r="AC41" i="10"/>
  <c r="AG87" i="1"/>
  <c r="AG84" i="1" s="1"/>
  <c r="AK139" i="18"/>
  <c r="AK152" i="18" s="1"/>
  <c r="P3364" i="16"/>
  <c r="AC26" i="7"/>
  <c r="AL184" i="18" s="1"/>
  <c r="AH28" i="1"/>
  <c r="AH58" i="1" s="1"/>
  <c r="AH56" i="1" s="1"/>
  <c r="AD40" i="10" s="1"/>
  <c r="AN131" i="18"/>
  <c r="AF236" i="1"/>
  <c r="AF475" i="1"/>
  <c r="AL22" i="18" s="1"/>
  <c r="AL149" i="18"/>
  <c r="O35" i="30"/>
  <c r="P33" i="30"/>
  <c r="AM134" i="18"/>
  <c r="O3366" i="16"/>
  <c r="AF592" i="1"/>
  <c r="AG132" i="1"/>
  <c r="AM18" i="18" s="1"/>
  <c r="AG122" i="1"/>
  <c r="AG35" i="1"/>
  <c r="AG29" i="1"/>
  <c r="AH353" i="1"/>
  <c r="AH185" i="1" s="1"/>
  <c r="AF133" i="1"/>
  <c r="AG355" i="1"/>
  <c r="AD352" i="1"/>
  <c r="AD174" i="1"/>
  <c r="AF351" i="1"/>
  <c r="AE350" i="1"/>
  <c r="AF341" i="1"/>
  <c r="AE340" i="1"/>
  <c r="AD175" i="1"/>
  <c r="AD342" i="1"/>
  <c r="AF344" i="1"/>
  <c r="AE343" i="1"/>
  <c r="AD345" i="1"/>
  <c r="V54" i="9"/>
  <c r="AF61" i="1"/>
  <c r="AE116" i="1"/>
  <c r="AF62" i="1"/>
  <c r="AE139" i="1"/>
  <c r="AD323" i="10"/>
  <c r="AD321" i="10" s="1"/>
  <c r="AE133" i="13"/>
  <c r="Z238" i="1"/>
  <c r="H642" i="16"/>
  <c r="D2796" i="16"/>
  <c r="D2795" i="16" s="1"/>
  <c r="D2707" i="16"/>
  <c r="D16" i="26"/>
  <c r="D26" i="26" s="1"/>
  <c r="D2705" i="16"/>
  <c r="D2765" i="16"/>
  <c r="D2764" i="16" s="1"/>
  <c r="D2735" i="16"/>
  <c r="D2734" i="16" s="1"/>
  <c r="D2433" i="16"/>
  <c r="D2870" i="16"/>
  <c r="D2872" i="16" s="1"/>
  <c r="BS40" i="5"/>
  <c r="BS36" i="5"/>
  <c r="BS71" i="5" s="1"/>
  <c r="L1693" i="16"/>
  <c r="R15" i="26"/>
  <c r="R14" i="26"/>
  <c r="R16" i="26"/>
  <c r="R17" i="26"/>
  <c r="H683" i="16"/>
  <c r="H684" i="16" s="1"/>
  <c r="O3406" i="16" l="1"/>
  <c r="BN3366" i="16"/>
  <c r="BX3331" i="16"/>
  <c r="BM3406" i="16"/>
  <c r="BG3331" i="16" s="1"/>
  <c r="P3384" i="16"/>
  <c r="BO3364" i="16"/>
  <c r="Z59" i="26"/>
  <c r="Z21" i="26" s="1"/>
  <c r="AA57" i="26"/>
  <c r="AA59" i="26" s="1"/>
  <c r="AA44" i="26"/>
  <c r="AA47" i="10"/>
  <c r="AA46" i="10"/>
  <c r="AC45" i="10"/>
  <c r="AM148" i="18"/>
  <c r="AG105" i="1"/>
  <c r="AG92" i="1"/>
  <c r="AG94" i="1" s="1"/>
  <c r="AG96" i="1" s="1"/>
  <c r="AB45" i="10"/>
  <c r="AL148" i="18"/>
  <c r="AF105" i="1"/>
  <c r="AF92" i="1"/>
  <c r="AF94" i="1" s="1"/>
  <c r="AF96" i="1" s="1"/>
  <c r="AD42" i="10"/>
  <c r="AD41" i="10"/>
  <c r="AG592" i="1"/>
  <c r="AG475" i="1"/>
  <c r="AG106" i="1"/>
  <c r="AD26" i="7"/>
  <c r="AM184" i="18" s="1"/>
  <c r="P3366" i="16"/>
  <c r="AM149" i="18"/>
  <c r="P35" i="30"/>
  <c r="Q33" i="30"/>
  <c r="AH87" i="1"/>
  <c r="AH84" i="1" s="1"/>
  <c r="AF476" i="1"/>
  <c r="AH35" i="1"/>
  <c r="AH132" i="1"/>
  <c r="AN18" i="18" s="1"/>
  <c r="AH122" i="1"/>
  <c r="AF133" i="13"/>
  <c r="AH29" i="1"/>
  <c r="Q3364" i="16"/>
  <c r="AN134" i="18"/>
  <c r="AG236" i="1"/>
  <c r="AF477" i="1"/>
  <c r="AH355" i="1"/>
  <c r="AG133" i="1"/>
  <c r="AL139" i="18"/>
  <c r="AL152" i="18" s="1"/>
  <c r="AE174" i="1"/>
  <c r="AG341" i="1"/>
  <c r="AF340" i="1"/>
  <c r="AE175" i="1"/>
  <c r="AE352" i="1"/>
  <c r="AE186" i="1"/>
  <c r="AE188" i="1" s="1"/>
  <c r="AG344" i="1"/>
  <c r="AF343" i="1"/>
  <c r="AF345" i="1" s="1"/>
  <c r="AG351" i="1"/>
  <c r="AF350" i="1"/>
  <c r="AF186" i="1" s="1"/>
  <c r="AF188" i="1" s="1"/>
  <c r="AE342" i="1"/>
  <c r="AE345" i="1"/>
  <c r="AG62" i="1"/>
  <c r="AF139" i="1"/>
  <c r="W54" i="9"/>
  <c r="AG61" i="1"/>
  <c r="AF116" i="1"/>
  <c r="Z275" i="1"/>
  <c r="Z277" i="1" s="1"/>
  <c r="Z239" i="1"/>
  <c r="AA232" i="1"/>
  <c r="Z179" i="1"/>
  <c r="AF33" i="18" s="1"/>
  <c r="Z230" i="1"/>
  <c r="E2942" i="16"/>
  <c r="P2796" i="16"/>
  <c r="E2945" i="16"/>
  <c r="Z2796" i="16"/>
  <c r="S24" i="7"/>
  <c r="AB181" i="18" s="1"/>
  <c r="P2765" i="16"/>
  <c r="P2735" i="16"/>
  <c r="F2211" i="16"/>
  <c r="F2212" i="16" s="1"/>
  <c r="C2887" i="16"/>
  <c r="C2903" i="16" s="1"/>
  <c r="BS38" i="5"/>
  <c r="BS72" i="5" s="1"/>
  <c r="P2795" i="16"/>
  <c r="D2807" i="16"/>
  <c r="Z2795" i="16"/>
  <c r="D2776" i="16"/>
  <c r="P2776" i="16" s="1"/>
  <c r="P2764" i="16"/>
  <c r="P2734" i="16"/>
  <c r="D2746" i="16"/>
  <c r="P2746" i="16" s="1"/>
  <c r="Z20" i="26" l="1"/>
  <c r="Z22" i="26"/>
  <c r="Z19" i="26"/>
  <c r="Z23" i="26"/>
  <c r="P3406" i="16"/>
  <c r="BO3366" i="16"/>
  <c r="Q3384" i="16"/>
  <c r="BP3364" i="16"/>
  <c r="BY3331" i="16"/>
  <c r="BN3406" i="16"/>
  <c r="BH3331" i="16" s="1"/>
  <c r="AA23" i="26"/>
  <c r="AA19" i="26"/>
  <c r="AA22" i="26"/>
  <c r="AA20" i="26"/>
  <c r="AA17" i="26"/>
  <c r="AA13" i="26"/>
  <c r="AA16" i="26"/>
  <c r="AA14" i="26"/>
  <c r="AA15" i="26"/>
  <c r="AA21" i="26"/>
  <c r="AB47" i="10"/>
  <c r="AB46" i="10"/>
  <c r="AD45" i="10"/>
  <c r="AN148" i="18"/>
  <c r="AH105" i="1"/>
  <c r="AH92" i="1"/>
  <c r="AH94" i="1" s="1"/>
  <c r="AH96" i="1" s="1"/>
  <c r="AC46" i="10"/>
  <c r="AC47" i="10"/>
  <c r="AG476" i="1"/>
  <c r="AM22" i="18"/>
  <c r="AG477" i="1"/>
  <c r="Q3366" i="16"/>
  <c r="AN149" i="18"/>
  <c r="AH592" i="1"/>
  <c r="AH475" i="1"/>
  <c r="Q35" i="30"/>
  <c r="AH106" i="1"/>
  <c r="AH236" i="1"/>
  <c r="AH133" i="1"/>
  <c r="AE26" i="7"/>
  <c r="AN184" i="18" s="1"/>
  <c r="AM139" i="18"/>
  <c r="AM152" i="18" s="1"/>
  <c r="AH351" i="1"/>
  <c r="AH350" i="1" s="1"/>
  <c r="AH186" i="1" s="1"/>
  <c r="AH188" i="1" s="1"/>
  <c r="AG350" i="1"/>
  <c r="AF174" i="1"/>
  <c r="AH341" i="1"/>
  <c r="AH340" i="1" s="1"/>
  <c r="AH174" i="1" s="1"/>
  <c r="AG340" i="1"/>
  <c r="AF175" i="1"/>
  <c r="AH344" i="1"/>
  <c r="AH343" i="1" s="1"/>
  <c r="AH175" i="1" s="1"/>
  <c r="AG343" i="1"/>
  <c r="AF342" i="1"/>
  <c r="AF352" i="1"/>
  <c r="X54" i="9"/>
  <c r="AH61" i="1"/>
  <c r="AG116" i="1"/>
  <c r="AH62" i="1"/>
  <c r="AH139" i="1" s="1"/>
  <c r="AG139" i="1"/>
  <c r="AA228" i="1"/>
  <c r="AG20" i="18" s="1"/>
  <c r="AA502" i="1"/>
  <c r="AA590" i="1" s="1"/>
  <c r="AA382" i="1"/>
  <c r="S69" i="7"/>
  <c r="C2888" i="16"/>
  <c r="C2904" i="16" s="1"/>
  <c r="F2229" i="16"/>
  <c r="K22" i="22"/>
  <c r="S305" i="10"/>
  <c r="I656" i="16"/>
  <c r="I659" i="16" s="1"/>
  <c r="I661" i="16" s="1"/>
  <c r="I664" i="16" s="1"/>
  <c r="I665" i="16" s="1"/>
  <c r="S317" i="10"/>
  <c r="S272" i="10"/>
  <c r="T271" i="10"/>
  <c r="P2807" i="16"/>
  <c r="Z2807" i="16"/>
  <c r="Q3406" i="16" l="1"/>
  <c r="BP3366" i="16"/>
  <c r="BZ3331" i="16"/>
  <c r="BO3406" i="16"/>
  <c r="BI3331" i="16" s="1"/>
  <c r="AD47" i="10"/>
  <c r="AD46" i="10"/>
  <c r="AH477" i="1"/>
  <c r="AH476" i="1"/>
  <c r="AN22" i="18"/>
  <c r="AN139" i="18"/>
  <c r="AN152" i="18" s="1"/>
  <c r="AD140" i="18"/>
  <c r="AD153" i="18" s="1"/>
  <c r="AD141" i="18"/>
  <c r="AD154" i="18" s="1"/>
  <c r="AG174" i="1"/>
  <c r="AH342" i="1"/>
  <c r="AG342" i="1"/>
  <c r="AG175" i="1"/>
  <c r="AH345" i="1"/>
  <c r="AG352" i="1"/>
  <c r="AH352" i="1"/>
  <c r="AG186" i="1"/>
  <c r="AG188" i="1" s="1"/>
  <c r="AG345" i="1"/>
  <c r="F2732" i="16"/>
  <c r="AH116" i="1"/>
  <c r="Y54" i="9"/>
  <c r="X115" i="1"/>
  <c r="X74" i="1"/>
  <c r="X41" i="1"/>
  <c r="AA229" i="1"/>
  <c r="AA142" i="1"/>
  <c r="AA241" i="1"/>
  <c r="AA237" i="1"/>
  <c r="F7" i="9"/>
  <c r="D2981" i="16"/>
  <c r="S318" i="10"/>
  <c r="S319" i="10" s="1"/>
  <c r="E2763" i="16"/>
  <c r="S16" i="29"/>
  <c r="E2733" i="16"/>
  <c r="S41" i="26"/>
  <c r="E2794" i="16"/>
  <c r="I683" i="16"/>
  <c r="I684" i="16" s="1"/>
  <c r="S306" i="10"/>
  <c r="U271" i="10"/>
  <c r="L22" i="22"/>
  <c r="J656" i="16"/>
  <c r="J659" i="16" s="1"/>
  <c r="T305" i="10"/>
  <c r="T315" i="10"/>
  <c r="T317" i="10" s="1"/>
  <c r="T318" i="10" s="1"/>
  <c r="T319" i="10" s="1"/>
  <c r="T272" i="10"/>
  <c r="CA3331" i="16" l="1"/>
  <c r="BP3406" i="16"/>
  <c r="BJ3331" i="16" s="1"/>
  <c r="X40" i="1"/>
  <c r="Y46" i="1" s="1"/>
  <c r="T40" i="26"/>
  <c r="T55" i="26" s="1"/>
  <c r="X19" i="29"/>
  <c r="F2762" i="16"/>
  <c r="R2762" i="16" s="1"/>
  <c r="E2980" i="16"/>
  <c r="E2993" i="16" s="1"/>
  <c r="X73" i="1"/>
  <c r="X114" i="1"/>
  <c r="X123" i="1" s="1"/>
  <c r="R2732" i="16"/>
  <c r="F2744" i="16"/>
  <c r="R2744" i="16" s="1"/>
  <c r="AB40" i="26"/>
  <c r="D2910" i="16"/>
  <c r="AK21" i="9"/>
  <c r="C2112" i="16"/>
  <c r="Y115" i="1"/>
  <c r="Z54" i="9"/>
  <c r="W22" i="29"/>
  <c r="FA34" i="5"/>
  <c r="CH34" i="5"/>
  <c r="CG34" i="5" s="1"/>
  <c r="FF34" i="5" s="1"/>
  <c r="Y74" i="1"/>
  <c r="Y41" i="1"/>
  <c r="X47" i="1"/>
  <c r="X135" i="1"/>
  <c r="X59" i="1"/>
  <c r="T283" i="10" s="1"/>
  <c r="X76" i="1"/>
  <c r="X63" i="1"/>
  <c r="G3365" i="16" s="1"/>
  <c r="BF3365" i="16" s="1"/>
  <c r="BF3369" i="16" s="1"/>
  <c r="AA238" i="1"/>
  <c r="X124" i="1"/>
  <c r="CC36" i="5"/>
  <c r="CC70" i="5"/>
  <c r="CC40" i="5"/>
  <c r="U41" i="26"/>
  <c r="E2981" i="16"/>
  <c r="E3036" i="16" s="1"/>
  <c r="D3036" i="16"/>
  <c r="D3038" i="16" s="1"/>
  <c r="D3041" i="16" s="1"/>
  <c r="D3044" i="16" s="1"/>
  <c r="S323" i="10"/>
  <c r="S321" i="10" s="1"/>
  <c r="D2994" i="16"/>
  <c r="D2982" i="16"/>
  <c r="D2986" i="16"/>
  <c r="V271" i="10"/>
  <c r="Q2733" i="16"/>
  <c r="E2745" i="16"/>
  <c r="Q2745" i="16" s="1"/>
  <c r="I2080" i="16"/>
  <c r="I2082" i="16" s="1"/>
  <c r="O52" i="9"/>
  <c r="O58" i="9"/>
  <c r="Y16" i="29"/>
  <c r="U272" i="10"/>
  <c r="U315" i="10"/>
  <c r="U317" i="10" s="1"/>
  <c r="U318" i="10" s="1"/>
  <c r="U319" i="10" s="1"/>
  <c r="U305" i="10"/>
  <c r="S22" i="29"/>
  <c r="S29" i="29"/>
  <c r="Q2763" i="16"/>
  <c r="E2775" i="16"/>
  <c r="Q2775" i="16" s="1"/>
  <c r="S44" i="26"/>
  <c r="S14" i="26" s="1"/>
  <c r="S56" i="26"/>
  <c r="X16" i="29"/>
  <c r="X29" i="29" s="1"/>
  <c r="F2763" i="16"/>
  <c r="F2733" i="16"/>
  <c r="T41" i="26"/>
  <c r="T323" i="10"/>
  <c r="T321" i="10" s="1"/>
  <c r="T306" i="10"/>
  <c r="J683" i="16"/>
  <c r="J684" i="16" s="1"/>
  <c r="J661" i="16"/>
  <c r="J664" i="16" s="1"/>
  <c r="J665" i="16" s="1"/>
  <c r="C667" i="16" s="1"/>
  <c r="C668" i="16" s="1"/>
  <c r="Q2794" i="16"/>
  <c r="AA2794" i="16"/>
  <c r="E2806" i="16"/>
  <c r="X42" i="1" l="1"/>
  <c r="X46" i="1"/>
  <c r="E2985" i="16"/>
  <c r="F2774" i="16"/>
  <c r="R2774" i="16" s="1"/>
  <c r="E3037" i="16"/>
  <c r="E3038" i="16" s="1"/>
  <c r="E3041" i="16" s="1"/>
  <c r="E3044" i="16" s="1"/>
  <c r="E3048" i="16" s="1"/>
  <c r="X117" i="1"/>
  <c r="AD23" i="18" s="1"/>
  <c r="AD24" i="18" s="1"/>
  <c r="P51" i="9"/>
  <c r="G34" i="30"/>
  <c r="G38" i="30" s="1"/>
  <c r="AD142" i="18"/>
  <c r="AD155" i="18" s="1"/>
  <c r="CG70" i="5"/>
  <c r="CG36" i="5"/>
  <c r="FF36" i="5" s="1"/>
  <c r="CG40" i="5"/>
  <c r="FF40" i="5" s="1"/>
  <c r="CH36" i="5"/>
  <c r="CH70" i="5"/>
  <c r="CH40" i="5"/>
  <c r="E82" i="9"/>
  <c r="F82" i="9" s="1"/>
  <c r="C82" i="9"/>
  <c r="V171" i="13"/>
  <c r="BA110" i="28"/>
  <c r="BU10" i="28"/>
  <c r="BU14" i="28" s="1"/>
  <c r="CB190" i="5"/>
  <c r="W29" i="29"/>
  <c r="T281" i="10"/>
  <c r="X48" i="1"/>
  <c r="X43" i="1"/>
  <c r="X381" i="1"/>
  <c r="X136" i="1"/>
  <c r="Y47" i="1"/>
  <c r="Y42" i="1"/>
  <c r="AA275" i="1"/>
  <c r="AA277" i="1" s="1"/>
  <c r="AA239" i="1"/>
  <c r="AB232" i="1"/>
  <c r="AA179" i="1"/>
  <c r="AG33" i="18" s="1"/>
  <c r="AA230" i="1"/>
  <c r="X77" i="1"/>
  <c r="X68" i="1"/>
  <c r="X140" i="1"/>
  <c r="AD19" i="18" s="1"/>
  <c r="X64" i="1"/>
  <c r="Y135" i="1"/>
  <c r="U283" i="10"/>
  <c r="Y76" i="1"/>
  <c r="Y124" i="1"/>
  <c r="CC38" i="5"/>
  <c r="CC72" i="5" s="1"/>
  <c r="CC71" i="5"/>
  <c r="U56" i="26"/>
  <c r="Y22" i="29"/>
  <c r="R22" i="29"/>
  <c r="BX70" i="5"/>
  <c r="BX36" i="5"/>
  <c r="E2986" i="16"/>
  <c r="E2982" i="16"/>
  <c r="E2995" i="16" s="1"/>
  <c r="E2996" i="16" s="1"/>
  <c r="E2994" i="16"/>
  <c r="F2981" i="16"/>
  <c r="F2982" i="16" s="1"/>
  <c r="D3047" i="16"/>
  <c r="D3048" i="16"/>
  <c r="D3045" i="16"/>
  <c r="D3007" i="16"/>
  <c r="D2983" i="16"/>
  <c r="D2987" i="16"/>
  <c r="X22" i="29"/>
  <c r="Q2806" i="16"/>
  <c r="AA2806" i="16"/>
  <c r="J2080" i="16"/>
  <c r="J2082" i="16" s="1"/>
  <c r="P52" i="9"/>
  <c r="P58" i="9"/>
  <c r="T44" i="26"/>
  <c r="AB41" i="26"/>
  <c r="T56" i="26"/>
  <c r="E2796" i="16"/>
  <c r="E2707" i="16"/>
  <c r="E2433" i="16"/>
  <c r="E2435" i="16" s="1"/>
  <c r="E2705" i="16"/>
  <c r="E2735" i="16"/>
  <c r="E2765" i="16"/>
  <c r="I642" i="16"/>
  <c r="E2870" i="16"/>
  <c r="E16" i="26"/>
  <c r="F2788" i="16"/>
  <c r="F2789" i="16" s="1"/>
  <c r="R2733" i="16"/>
  <c r="F2745" i="16"/>
  <c r="R2745" i="16" s="1"/>
  <c r="R2763" i="16"/>
  <c r="F2775" i="16"/>
  <c r="R2775" i="16" s="1"/>
  <c r="G2733" i="16"/>
  <c r="G2763" i="16"/>
  <c r="V272" i="10"/>
  <c r="V315" i="10"/>
  <c r="V317" i="10" s="1"/>
  <c r="V305" i="10"/>
  <c r="U306" i="10"/>
  <c r="U323" i="10"/>
  <c r="U321" i="10" s="1"/>
  <c r="S13" i="26"/>
  <c r="S15" i="26"/>
  <c r="S17" i="26"/>
  <c r="S16" i="26"/>
  <c r="W271" i="10"/>
  <c r="G36" i="30" l="1"/>
  <c r="X125" i="1"/>
  <c r="F2799" i="16" s="1"/>
  <c r="F2805" i="16" s="1"/>
  <c r="X207" i="1"/>
  <c r="AD109" i="18" s="1"/>
  <c r="X119" i="1"/>
  <c r="U24" i="7"/>
  <c r="G3369" i="16"/>
  <c r="BX38" i="5"/>
  <c r="BX72" i="5" s="1"/>
  <c r="BX43" i="5"/>
  <c r="BX44" i="5" s="1"/>
  <c r="BX45" i="5"/>
  <c r="CG51" i="5"/>
  <c r="CG38" i="5"/>
  <c r="CG71" i="5"/>
  <c r="E3047" i="16"/>
  <c r="E3045" i="16"/>
  <c r="U65" i="7" s="1"/>
  <c r="CH38" i="5"/>
  <c r="CH72" i="5" s="1"/>
  <c r="CH71" i="5"/>
  <c r="V9" i="30"/>
  <c r="G39" i="30"/>
  <c r="X191" i="1"/>
  <c r="Y48" i="1"/>
  <c r="Y43" i="1"/>
  <c r="V283" i="10"/>
  <c r="Y381" i="1"/>
  <c r="Y136" i="1"/>
  <c r="Y369" i="1" s="1"/>
  <c r="AB228" i="1"/>
  <c r="AH20" i="18" s="1"/>
  <c r="AB382" i="1"/>
  <c r="AB502" i="1"/>
  <c r="AB590" i="1" s="1"/>
  <c r="X138" i="1"/>
  <c r="X501" i="1"/>
  <c r="X145" i="1"/>
  <c r="BX71" i="5"/>
  <c r="E2983" i="16"/>
  <c r="E2987" i="16"/>
  <c r="E3007" i="16"/>
  <c r="E3008" i="16" s="1"/>
  <c r="F3036" i="16"/>
  <c r="F3038" i="16" s="1"/>
  <c r="F3041" i="16" s="1"/>
  <c r="F2994" i="16"/>
  <c r="F2986" i="16"/>
  <c r="D3008" i="16"/>
  <c r="BW36" i="5"/>
  <c r="T65" i="7"/>
  <c r="R18" i="29"/>
  <c r="BW70" i="5"/>
  <c r="FA70" i="5" s="1"/>
  <c r="F3007" i="16"/>
  <c r="F2995" i="16"/>
  <c r="F2996" i="16" s="1"/>
  <c r="F2983" i="16"/>
  <c r="F2987" i="16"/>
  <c r="V306" i="10"/>
  <c r="E2795" i="16"/>
  <c r="AA2796" i="16"/>
  <c r="E2808" i="16"/>
  <c r="Q2796" i="16"/>
  <c r="Y271" i="10"/>
  <c r="X271" i="10"/>
  <c r="V318" i="10"/>
  <c r="V323" i="10" s="1"/>
  <c r="V321" i="10" s="1"/>
  <c r="S2733" i="16"/>
  <c r="G2745" i="16"/>
  <c r="S2745" i="16" s="1"/>
  <c r="W272" i="10"/>
  <c r="W305" i="10"/>
  <c r="W315" i="10"/>
  <c r="W317" i="10" s="1"/>
  <c r="W318" i="10" s="1"/>
  <c r="W319" i="10" s="1"/>
  <c r="S2763" i="16"/>
  <c r="G2775" i="16"/>
  <c r="S2775" i="16" s="1"/>
  <c r="V202" i="13"/>
  <c r="F2718" i="16"/>
  <c r="D2887" i="16"/>
  <c r="D2903" i="16" s="1"/>
  <c r="G2211" i="16"/>
  <c r="Q58" i="9"/>
  <c r="Q52" i="9"/>
  <c r="Q2735" i="16"/>
  <c r="E2734" i="16"/>
  <c r="E2747" i="16"/>
  <c r="Q2747" i="16" s="1"/>
  <c r="T59" i="26"/>
  <c r="T20" i="26" s="1"/>
  <c r="E2777" i="16"/>
  <c r="Q2777" i="16" s="1"/>
  <c r="E2764" i="16"/>
  <c r="Q2765" i="16"/>
  <c r="T14" i="26"/>
  <c r="T16" i="26"/>
  <c r="AB44" i="26"/>
  <c r="T15" i="26"/>
  <c r="T13" i="26"/>
  <c r="T17" i="26"/>
  <c r="G2788" i="16"/>
  <c r="G2789" i="16" s="1"/>
  <c r="F2735" i="16"/>
  <c r="F2705" i="16"/>
  <c r="F2433" i="16"/>
  <c r="F2435" i="16" s="1"/>
  <c r="F16" i="26"/>
  <c r="F2765" i="16"/>
  <c r="F2870" i="16"/>
  <c r="F2872" i="16" s="1"/>
  <c r="J642" i="16"/>
  <c r="F2707" i="16"/>
  <c r="V170" i="13"/>
  <c r="E18" i="26"/>
  <c r="E26" i="26"/>
  <c r="AD181" i="18" l="1"/>
  <c r="CG72" i="5"/>
  <c r="CG42" i="5"/>
  <c r="CG122" i="5"/>
  <c r="FA36" i="5"/>
  <c r="CB45" i="5"/>
  <c r="BW43" i="5"/>
  <c r="CB44" i="5" s="1"/>
  <c r="W9" i="30"/>
  <c r="V10" i="30"/>
  <c r="Z272" i="10"/>
  <c r="AB229" i="1"/>
  <c r="AB142" i="1"/>
  <c r="AB241" i="1"/>
  <c r="AB237" i="1"/>
  <c r="W283" i="10"/>
  <c r="Y191" i="1"/>
  <c r="E28" i="26"/>
  <c r="T69" i="7"/>
  <c r="E3010" i="16"/>
  <c r="E3011" i="16" s="1"/>
  <c r="F3047" i="16"/>
  <c r="BW38" i="5"/>
  <c r="BW122" i="5" s="1"/>
  <c r="BW71" i="5"/>
  <c r="FA71" i="5" s="1"/>
  <c r="F3008" i="16"/>
  <c r="F3010" i="16"/>
  <c r="F3011" i="16" s="1"/>
  <c r="V319" i="10"/>
  <c r="Q2808" i="16"/>
  <c r="AA2808" i="16"/>
  <c r="E2887" i="16"/>
  <c r="E2903" i="16" s="1"/>
  <c r="H2211" i="16"/>
  <c r="U69" i="7"/>
  <c r="Q2795" i="16"/>
  <c r="AA2795" i="16"/>
  <c r="E2807" i="16"/>
  <c r="R2735" i="16"/>
  <c r="F2734" i="16"/>
  <c r="F2747" i="16"/>
  <c r="R2747" i="16" s="1"/>
  <c r="W323" i="10"/>
  <c r="W321" i="10" s="1"/>
  <c r="W306" i="10"/>
  <c r="R2765" i="16"/>
  <c r="F2777" i="16"/>
  <c r="R2777" i="16" s="1"/>
  <c r="F2764" i="16"/>
  <c r="T22" i="26"/>
  <c r="T23" i="26"/>
  <c r="T21" i="26"/>
  <c r="T19" i="26"/>
  <c r="X272" i="10"/>
  <c r="X315" i="10"/>
  <c r="X317" i="10" s="1"/>
  <c r="X318" i="10" s="1"/>
  <c r="X319" i="10" s="1"/>
  <c r="X305" i="10"/>
  <c r="F18" i="26"/>
  <c r="F26" i="26"/>
  <c r="E2776" i="16"/>
  <c r="Q2776" i="16" s="1"/>
  <c r="Q2764" i="16"/>
  <c r="G2229" i="16"/>
  <c r="G2215" i="16"/>
  <c r="G2231" i="16" s="1"/>
  <c r="G2212" i="16"/>
  <c r="Y272" i="10"/>
  <c r="Y315" i="10"/>
  <c r="Y317" i="10" s="1"/>
  <c r="Y305" i="10"/>
  <c r="Y306" i="10" s="1"/>
  <c r="Q2734" i="16"/>
  <c r="E2746" i="16"/>
  <c r="Q2746" i="16" s="1"/>
  <c r="CG123" i="5" l="1"/>
  <c r="CG124" i="5"/>
  <c r="X9" i="30"/>
  <c r="X10" i="30" s="1"/>
  <c r="W10" i="30"/>
  <c r="CA187" i="5"/>
  <c r="U5" i="30"/>
  <c r="U7" i="30" s="1"/>
  <c r="BY187" i="5"/>
  <c r="BW167" i="5"/>
  <c r="K3115" i="16" s="1"/>
  <c r="BW187" i="5"/>
  <c r="X283" i="10"/>
  <c r="AB238" i="1"/>
  <c r="BZ187" i="5"/>
  <c r="E29" i="26"/>
  <c r="BU18" i="28"/>
  <c r="BU19" i="28" s="1"/>
  <c r="CB124" i="5"/>
  <c r="R29" i="29"/>
  <c r="BW72" i="5"/>
  <c r="FA72" i="5" s="1"/>
  <c r="H2215" i="16"/>
  <c r="H2231" i="16" s="1"/>
  <c r="H2229" i="16"/>
  <c r="H2212" i="16"/>
  <c r="F28" i="26"/>
  <c r="AA2807" i="16"/>
  <c r="Q2807" i="16"/>
  <c r="F2776" i="16"/>
  <c r="R2776" i="16" s="1"/>
  <c r="R2764" i="16"/>
  <c r="X323" i="10"/>
  <c r="X321" i="10" s="1"/>
  <c r="X306" i="10"/>
  <c r="Y318" i="10"/>
  <c r="Y323" i="10" s="1"/>
  <c r="Y321" i="10" s="1"/>
  <c r="R2734" i="16"/>
  <c r="F2746" i="16"/>
  <c r="R2746" i="16" s="1"/>
  <c r="N33" i="29"/>
  <c r="BS79" i="5"/>
  <c r="AB239" i="1" l="1"/>
  <c r="AB275" i="1"/>
  <c r="AB277" i="1" s="1"/>
  <c r="AC232" i="1"/>
  <c r="AB179" i="1"/>
  <c r="AH33" i="18" s="1"/>
  <c r="AB230" i="1"/>
  <c r="AO211" i="28"/>
  <c r="AO207" i="28" s="1"/>
  <c r="AO208" i="28" s="1"/>
  <c r="BW123" i="5"/>
  <c r="AO212" i="28" s="1"/>
  <c r="Y319" i="10"/>
  <c r="F29" i="26"/>
  <c r="S27" i="7"/>
  <c r="AB190" i="18" s="1"/>
  <c r="AC502" i="1" l="1"/>
  <c r="AC590" i="1" s="1"/>
  <c r="AC382" i="1"/>
  <c r="AC228" i="1"/>
  <c r="AI20" i="18" s="1"/>
  <c r="D2436" i="16"/>
  <c r="BS81" i="5"/>
  <c r="BS84" i="5" s="1"/>
  <c r="AC142" i="1" l="1"/>
  <c r="AC241" i="1"/>
  <c r="AC229" i="1"/>
  <c r="AC237" i="1"/>
  <c r="AC238" i="1" l="1"/>
  <c r="AD232" i="1" s="1"/>
  <c r="BS86" i="5"/>
  <c r="D2438" i="16"/>
  <c r="AC230" i="1" l="1"/>
  <c r="AC179" i="1"/>
  <c r="AI33" i="18" s="1"/>
  <c r="AC275" i="1"/>
  <c r="AC277" i="1" s="1"/>
  <c r="AC239" i="1"/>
  <c r="AD502" i="1"/>
  <c r="AD590" i="1" s="1"/>
  <c r="AD228" i="1"/>
  <c r="AJ20" i="18" s="1"/>
  <c r="AD382" i="1"/>
  <c r="D19" i="26"/>
  <c r="D20" i="26" s="1"/>
  <c r="C2889" i="16"/>
  <c r="C2905" i="16" s="1"/>
  <c r="BS87" i="5"/>
  <c r="BS91" i="5"/>
  <c r="BS92" i="5" s="1"/>
  <c r="S29" i="7"/>
  <c r="AB183" i="18" s="1"/>
  <c r="AD229" i="1" l="1"/>
  <c r="AD142" i="1"/>
  <c r="AD241" i="1"/>
  <c r="AD237" i="1"/>
  <c r="N31" i="29"/>
  <c r="AD238" i="1" l="1"/>
  <c r="S54" i="7"/>
  <c r="AD239" i="1" l="1"/>
  <c r="AD179" i="1"/>
  <c r="AJ33" i="18" s="1"/>
  <c r="AD275" i="1"/>
  <c r="AD277" i="1" s="1"/>
  <c r="AE232" i="1"/>
  <c r="AD230" i="1"/>
  <c r="D2874" i="16"/>
  <c r="D2877" i="16" s="1"/>
  <c r="D2878" i="16" s="1"/>
  <c r="S15" i="7"/>
  <c r="H640" i="16"/>
  <c r="H644" i="16" s="1"/>
  <c r="AE382" i="1" l="1"/>
  <c r="AE228" i="1"/>
  <c r="AK20" i="18" s="1"/>
  <c r="AE502" i="1"/>
  <c r="AE590" i="1" s="1"/>
  <c r="D7" i="26"/>
  <c r="S59" i="7"/>
  <c r="S68" i="7"/>
  <c r="S70" i="7" s="1"/>
  <c r="AE142" i="1" l="1"/>
  <c r="AE229" i="1"/>
  <c r="AE241" i="1"/>
  <c r="AE237" i="1"/>
  <c r="D22" i="26"/>
  <c r="AE238" i="1" l="1"/>
  <c r="AF232" i="1" s="1"/>
  <c r="AE230" i="1" l="1"/>
  <c r="AE275" i="1"/>
  <c r="AE277" i="1" s="1"/>
  <c r="AF382" i="1"/>
  <c r="AF502" i="1"/>
  <c r="AF228" i="1"/>
  <c r="AL20" i="18" s="1"/>
  <c r="AE179" i="1"/>
  <c r="AK33" i="18" s="1"/>
  <c r="AE239" i="1"/>
  <c r="BX39" i="5"/>
  <c r="S26" i="29"/>
  <c r="AF229" i="1" l="1"/>
  <c r="AF142" i="1"/>
  <c r="AF241" i="1"/>
  <c r="AF237" i="1"/>
  <c r="AF590" i="1"/>
  <c r="D2888" i="16"/>
  <c r="D2904" i="16" s="1"/>
  <c r="D2738" i="16"/>
  <c r="P2738" i="16" s="1"/>
  <c r="D2768" i="16"/>
  <c r="P2768" i="16" s="1"/>
  <c r="D2799" i="16"/>
  <c r="Z2799" i="16" s="1"/>
  <c r="BS114" i="5"/>
  <c r="D2714" i="16"/>
  <c r="N51" i="9"/>
  <c r="T177" i="13"/>
  <c r="R48" i="26"/>
  <c r="V2879" i="16" l="1"/>
  <c r="V2880" i="16" s="1"/>
  <c r="V2881" i="16" s="1"/>
  <c r="V2882" i="16" s="1"/>
  <c r="V2883" i="16" s="1"/>
  <c r="V2889" i="16" s="1"/>
  <c r="V2894" i="16" s="1"/>
  <c r="V2895" i="16" s="1"/>
  <c r="T181" i="13"/>
  <c r="T200" i="13" s="1"/>
  <c r="AF238" i="1"/>
  <c r="P2799" i="16"/>
  <c r="D2744" i="16"/>
  <c r="P2744" i="16" s="1"/>
  <c r="BW40" i="5"/>
  <c r="FA40" i="5" s="1"/>
  <c r="R26" i="29"/>
  <c r="T178" i="13"/>
  <c r="EV39" i="5"/>
  <c r="T212" i="13"/>
  <c r="T213" i="13" s="1"/>
  <c r="T215" i="13" s="1"/>
  <c r="T216" i="13" s="1"/>
  <c r="T217" i="13" s="1"/>
  <c r="T228" i="13"/>
  <c r="T229" i="13" s="1"/>
  <c r="T230" i="13" s="1"/>
  <c r="D2774" i="16"/>
  <c r="P2774" i="16" s="1"/>
  <c r="D2805" i="16"/>
  <c r="Z2805" i="16" s="1"/>
  <c r="R55" i="26"/>
  <c r="AG232" i="1" l="1"/>
  <c r="AF275" i="1"/>
  <c r="AF277" i="1" s="1"/>
  <c r="AF239" i="1"/>
  <c r="AF179" i="1"/>
  <c r="AL33" i="18" s="1"/>
  <c r="AF230" i="1"/>
  <c r="BW51" i="5"/>
  <c r="BU21" i="28"/>
  <c r="T198" i="13"/>
  <c r="T197" i="13"/>
  <c r="P2805" i="16"/>
  <c r="T201" i="13"/>
  <c r="T222" i="13"/>
  <c r="T220" i="13" s="1"/>
  <c r="D2739" i="16"/>
  <c r="P2739" i="16" s="1"/>
  <c r="D2769" i="16"/>
  <c r="D2775" i="16" s="1"/>
  <c r="P2775" i="16" s="1"/>
  <c r="D2800" i="16"/>
  <c r="P2800" i="16" s="1"/>
  <c r="R289" i="10"/>
  <c r="R299" i="10" s="1"/>
  <c r="BS108" i="5"/>
  <c r="D2709" i="16"/>
  <c r="D2715" i="16"/>
  <c r="R49" i="26"/>
  <c r="R52" i="26" s="1"/>
  <c r="T204" i="13" l="1"/>
  <c r="T33" i="13"/>
  <c r="T38" i="13" s="1"/>
  <c r="AG382" i="1"/>
  <c r="AG502" i="1"/>
  <c r="AG228" i="1"/>
  <c r="AM20" i="18" s="1"/>
  <c r="N58" i="9"/>
  <c r="N52" i="9"/>
  <c r="D2745" i="16"/>
  <c r="P2745" i="16" s="1"/>
  <c r="P2769" i="16"/>
  <c r="S26" i="7"/>
  <c r="AB184" i="18" s="1"/>
  <c r="AB188" i="18" s="1"/>
  <c r="AB192" i="18" s="1"/>
  <c r="AB195" i="18" s="1"/>
  <c r="E3370" i="16" s="1"/>
  <c r="D17" i="26"/>
  <c r="D18" i="26" s="1"/>
  <c r="Z2800" i="16"/>
  <c r="D2806" i="16"/>
  <c r="P2806" i="16" s="1"/>
  <c r="D2716" i="16"/>
  <c r="R291" i="10"/>
  <c r="R292" i="10" s="1"/>
  <c r="R56" i="26"/>
  <c r="R59" i="26" s="1"/>
  <c r="R19" i="26" s="1"/>
  <c r="R314" i="10"/>
  <c r="R315" i="10" s="1"/>
  <c r="R317" i="10" s="1"/>
  <c r="D2802" i="16"/>
  <c r="Q2027" i="16"/>
  <c r="BS107" i="5"/>
  <c r="E2871" i="16"/>
  <c r="E2872" i="16" s="1"/>
  <c r="D2771" i="16"/>
  <c r="D2741" i="16"/>
  <c r="D2434" i="16"/>
  <c r="D2435" i="16" s="1"/>
  <c r="D2440" i="16" s="1"/>
  <c r="F2213" i="16"/>
  <c r="H2080" i="16"/>
  <c r="H2082" i="16" s="1"/>
  <c r="N32" i="29"/>
  <c r="N35" i="29" s="1"/>
  <c r="C2890" i="16"/>
  <c r="C2906" i="16" s="1"/>
  <c r="E2955" i="16"/>
  <c r="E3372" i="16" l="1"/>
  <c r="BD3370" i="16"/>
  <c r="BD3372" i="16" s="1"/>
  <c r="T40" i="13"/>
  <c r="T39" i="13"/>
  <c r="T35" i="13"/>
  <c r="T34" i="13"/>
  <c r="AG229" i="1"/>
  <c r="AG142" i="1"/>
  <c r="AG241" i="1"/>
  <c r="AG237" i="1"/>
  <c r="AG590" i="1"/>
  <c r="S33" i="7"/>
  <c r="H657" i="16"/>
  <c r="H660" i="16" s="1"/>
  <c r="H686" i="16" s="1"/>
  <c r="H687" i="16" s="1"/>
  <c r="R301" i="10"/>
  <c r="L1694" i="16" s="1"/>
  <c r="R305" i="10"/>
  <c r="R306" i="10" s="1"/>
  <c r="L1695" i="16" s="1"/>
  <c r="D27" i="26"/>
  <c r="D28" i="26" s="1"/>
  <c r="D29" i="26" s="1"/>
  <c r="J23" i="22"/>
  <c r="Z2806" i="16"/>
  <c r="R23" i="26"/>
  <c r="R21" i="26"/>
  <c r="R22" i="26"/>
  <c r="R20" i="26"/>
  <c r="D2777" i="16"/>
  <c r="P2777" i="16" s="1"/>
  <c r="P2771" i="16"/>
  <c r="E2956" i="16"/>
  <c r="D2718" i="16"/>
  <c r="P2802" i="16"/>
  <c r="Z2802" i="16"/>
  <c r="D2808" i="16"/>
  <c r="R318" i="10"/>
  <c r="R319" i="10" s="1"/>
  <c r="F2215" i="16"/>
  <c r="F2231" i="16" s="1"/>
  <c r="F2230" i="16"/>
  <c r="F2214" i="16"/>
  <c r="D2747" i="16"/>
  <c r="P2747" i="16" s="1"/>
  <c r="P2741" i="16"/>
  <c r="H647" i="16" l="1"/>
  <c r="H652" i="16" s="1"/>
  <c r="AB31" i="18"/>
  <c r="AG238" i="1"/>
  <c r="H646" i="16"/>
  <c r="S49" i="7"/>
  <c r="D2749" i="16"/>
  <c r="P2749" i="16" s="1"/>
  <c r="D2779" i="16"/>
  <c r="P2779" i="16" s="1"/>
  <c r="H2075" i="16"/>
  <c r="H2077" i="16" s="1"/>
  <c r="S34" i="7"/>
  <c r="D2810" i="16"/>
  <c r="P2810" i="16" s="1"/>
  <c r="F2216" i="16"/>
  <c r="H661" i="16"/>
  <c r="H664" i="16" s="1"/>
  <c r="H665" i="16" s="1"/>
  <c r="C666" i="16" s="1"/>
  <c r="C669" i="16" s="1"/>
  <c r="I672" i="16" s="1"/>
  <c r="I673" i="16" s="1"/>
  <c r="R323" i="10"/>
  <c r="R321" i="10" s="1"/>
  <c r="R309" i="10" s="1"/>
  <c r="P2808" i="16"/>
  <c r="Z2808" i="16"/>
  <c r="H653" i="16" l="1"/>
  <c r="AG275" i="1"/>
  <c r="AG277" i="1" s="1"/>
  <c r="AG239" i="1"/>
  <c r="AH232" i="1"/>
  <c r="AG179" i="1"/>
  <c r="AM33" i="18" s="1"/>
  <c r="AG230" i="1"/>
  <c r="S48" i="7"/>
  <c r="AE168" i="28"/>
  <c r="H672" i="16"/>
  <c r="H673" i="16" s="1"/>
  <c r="G672" i="16"/>
  <c r="G673" i="16" s="1"/>
  <c r="F672" i="16"/>
  <c r="F673" i="16" s="1"/>
  <c r="E672" i="16"/>
  <c r="E673" i="16" s="1"/>
  <c r="D672" i="16"/>
  <c r="D673" i="16" s="1"/>
  <c r="C672" i="16"/>
  <c r="C673" i="16" s="1"/>
  <c r="C670" i="16"/>
  <c r="C676" i="16"/>
  <c r="C677" i="16" s="1"/>
  <c r="C678" i="16" s="1"/>
  <c r="J672" i="16"/>
  <c r="J673" i="16" s="1"/>
  <c r="S309" i="10"/>
  <c r="R308" i="10"/>
  <c r="AH382" i="1" l="1"/>
  <c r="AH502" i="1"/>
  <c r="AH228" i="1"/>
  <c r="AN20" i="18" s="1"/>
  <c r="S308" i="10"/>
  <c r="T309" i="10"/>
  <c r="AH229" i="1" l="1"/>
  <c r="AH142" i="1"/>
  <c r="AH241" i="1"/>
  <c r="AH237" i="1"/>
  <c r="AH238" i="1" s="1"/>
  <c r="AH230" i="1" s="1"/>
  <c r="AH590" i="1"/>
  <c r="T308" i="10"/>
  <c r="U309" i="10"/>
  <c r="AH239" i="1" l="1"/>
  <c r="AH179" i="1"/>
  <c r="AN33" i="18" s="1"/>
  <c r="AH275" i="1"/>
  <c r="AH277" i="1" s="1"/>
  <c r="U308" i="10"/>
  <c r="V309" i="10"/>
  <c r="V308" i="10" l="1"/>
  <c r="W309" i="10"/>
  <c r="W308" i="10" l="1"/>
  <c r="X309" i="10"/>
  <c r="X308" i="10" l="1"/>
  <c r="Y309" i="10"/>
  <c r="Y308" i="10" l="1"/>
  <c r="Z309" i="10"/>
  <c r="Z308" i="10" l="1"/>
  <c r="AA309" i="10"/>
  <c r="AA308" i="10" l="1"/>
  <c r="AB309" i="10"/>
  <c r="AB308" i="10" l="1"/>
  <c r="AC309" i="10"/>
  <c r="AC308" i="10" l="1"/>
  <c r="AD309" i="10"/>
  <c r="AD308" i="10" s="1"/>
  <c r="F186" i="25" l="1"/>
  <c r="F187" i="25" s="1"/>
  <c r="F210" i="25"/>
  <c r="BX40" i="5"/>
  <c r="F213" i="25" l="1"/>
  <c r="D2597" i="16" s="1"/>
  <c r="F192" i="25"/>
  <c r="F193" i="25" s="1"/>
  <c r="G193" i="25" s="1"/>
  <c r="H193" i="25" s="1"/>
  <c r="I193" i="25" s="1"/>
  <c r="J193" i="25" s="1"/>
  <c r="K193" i="25" s="1"/>
  <c r="L193" i="25" s="1"/>
  <c r="M193" i="25" s="1"/>
  <c r="N193" i="25" s="1"/>
  <c r="O193" i="25" s="1"/>
  <c r="P193" i="25" s="1"/>
  <c r="Q193" i="25" s="1"/>
  <c r="R193" i="25" s="1"/>
  <c r="S193" i="25" s="1"/>
  <c r="F218" i="25"/>
  <c r="X26" i="29" l="1"/>
  <c r="E2888" i="16" l="1"/>
  <c r="E2904" i="16" s="1"/>
  <c r="Y26" i="29" l="1"/>
  <c r="R6" i="29" l="1"/>
  <c r="S6" i="29" s="1"/>
  <c r="BW131" i="5"/>
  <c r="BW140" i="5"/>
  <c r="FA140" i="5" s="1"/>
  <c r="BW141" i="5"/>
  <c r="FA141" i="5" s="1"/>
  <c r="BW277" i="5"/>
  <c r="BW279" i="5" s="1"/>
  <c r="FA131" i="5" l="1"/>
  <c r="CB137" i="5"/>
  <c r="EV131" i="5"/>
  <c r="EV140" i="5"/>
  <c r="EV141" i="5"/>
  <c r="BW132" i="5"/>
  <c r="BW137" i="5"/>
  <c r="R7" i="29"/>
  <c r="S7" i="29" s="1"/>
  <c r="N59" i="9" l="1"/>
  <c r="M59" i="9"/>
  <c r="S52" i="7"/>
  <c r="R41" i="7"/>
  <c r="R52" i="7"/>
  <c r="Z7" i="29" l="1"/>
  <c r="Z6" i="29" s="1"/>
  <c r="S41" i="7"/>
  <c r="T29" i="7" l="1"/>
  <c r="AC183" i="18" s="1"/>
  <c r="S31" i="29"/>
  <c r="CG26" i="28" l="1"/>
  <c r="CH26" i="28" s="1"/>
  <c r="CG27" i="28"/>
  <c r="CH27" i="28" s="1"/>
  <c r="BT26" i="28"/>
  <c r="BV179" i="5"/>
  <c r="BV173" i="5" s="1"/>
  <c r="BV174" i="5" s="1"/>
  <c r="BV188" i="5"/>
  <c r="J3145" i="16" l="1"/>
  <c r="BV175" i="5"/>
  <c r="BW81" i="5"/>
  <c r="BX81" i="5" s="1"/>
  <c r="R33" i="29" l="1"/>
  <c r="BW84" i="5"/>
  <c r="BU23" i="28" s="1"/>
  <c r="BU26" i="28" l="1"/>
  <c r="BW179" i="5"/>
  <c r="BW173" i="5" s="1"/>
  <c r="BW174" i="5" s="1"/>
  <c r="BU27" i="28"/>
  <c r="CA27" i="28" s="1"/>
  <c r="BW188" i="5"/>
  <c r="BW185" i="5"/>
  <c r="R31" i="29"/>
  <c r="R35" i="29" s="1"/>
  <c r="BW87" i="5"/>
  <c r="BW91" i="5"/>
  <c r="BU24" i="28" l="1"/>
  <c r="BX91" i="5"/>
  <c r="BX93" i="5" s="1"/>
  <c r="BW175" i="5"/>
  <c r="K3145" i="16"/>
  <c r="BW92" i="5"/>
  <c r="BU25" i="28" s="1"/>
  <c r="BW93" i="5"/>
  <c r="D2889" i="16"/>
  <c r="D2905" i="16" s="1"/>
  <c r="E19" i="26"/>
  <c r="E20" i="26" s="1"/>
  <c r="I640" i="16" l="1"/>
  <c r="I644" i="16" s="1"/>
  <c r="BX79" i="5"/>
  <c r="T15" i="7"/>
  <c r="E7" i="26" s="1"/>
  <c r="T68" i="7" l="1"/>
  <c r="T70" i="7" s="1"/>
  <c r="D3075" i="16" s="1"/>
  <c r="E22" i="26"/>
  <c r="T59" i="7"/>
  <c r="T27" i="7" l="1"/>
  <c r="AC190" i="18" s="1"/>
  <c r="S33" i="29"/>
  <c r="S35" i="29" s="1"/>
  <c r="E2436" i="16" l="1"/>
  <c r="BX84" i="5"/>
  <c r="T52" i="7" l="1"/>
  <c r="T41" i="7" l="1"/>
  <c r="E2438" i="16"/>
  <c r="E2440" i="16" s="1"/>
  <c r="BX92" i="5" l="1"/>
  <c r="BX87" i="5"/>
  <c r="E2738" i="16" l="1"/>
  <c r="Q2738" i="16" s="1"/>
  <c r="E2768" i="16"/>
  <c r="E2799" i="16"/>
  <c r="Q2799" i="16" s="1"/>
  <c r="D2989" i="16"/>
  <c r="D2991" i="16" s="1"/>
  <c r="D3052" i="16"/>
  <c r="I3052" i="16" s="1"/>
  <c r="BX114" i="5"/>
  <c r="E2714" i="16"/>
  <c r="U177" i="13"/>
  <c r="O51" i="9"/>
  <c r="S48" i="26"/>
  <c r="S52" i="26" s="1"/>
  <c r="U181" i="13" l="1"/>
  <c r="U212" i="13"/>
  <c r="U178" i="13"/>
  <c r="U228" i="13"/>
  <c r="U229" i="13" s="1"/>
  <c r="U230" i="13" s="1"/>
  <c r="E2744" i="16"/>
  <c r="Q2744" i="16" s="1"/>
  <c r="U198" i="13"/>
  <c r="D3053" i="16"/>
  <c r="I3053" i="16" s="1"/>
  <c r="D2995" i="16"/>
  <c r="D2996" i="16" s="1"/>
  <c r="D3010" i="16"/>
  <c r="D3011" i="16" s="1"/>
  <c r="S55" i="26"/>
  <c r="S59" i="26" s="1"/>
  <c r="D2993" i="16"/>
  <c r="E2718" i="16"/>
  <c r="E2774" i="16"/>
  <c r="Q2774" i="16" s="1"/>
  <c r="Q2768" i="16"/>
  <c r="E2805" i="16"/>
  <c r="AA2799" i="16"/>
  <c r="D3055" i="16" l="1"/>
  <c r="I3055" i="16" s="1"/>
  <c r="U197" i="13"/>
  <c r="U33" i="13" s="1"/>
  <c r="U38" i="13" s="1"/>
  <c r="Q2805" i="16"/>
  <c r="AA2805" i="16"/>
  <c r="S22" i="26"/>
  <c r="S23" i="26"/>
  <c r="S20" i="26"/>
  <c r="S21" i="26"/>
  <c r="S19" i="26"/>
  <c r="U40" i="13" l="1"/>
  <c r="U39" i="13"/>
  <c r="V39" i="13"/>
  <c r="U35" i="13"/>
  <c r="U34" i="13"/>
  <c r="V34" i="13"/>
  <c r="D3056" i="16"/>
  <c r="T54" i="7"/>
  <c r="CG9" i="28" l="1"/>
  <c r="CG12" i="28"/>
  <c r="CH12" i="28" s="1"/>
  <c r="CH9" i="28" l="1"/>
  <c r="CF53" i="28"/>
  <c r="CI53" i="28" s="1"/>
  <c r="F2438" i="16" l="1"/>
  <c r="CC86" i="5"/>
  <c r="P59" i="9" l="1"/>
  <c r="C87" i="9" s="1"/>
  <c r="E87" i="9" l="1"/>
  <c r="F87" i="9" s="1"/>
  <c r="G87" i="9" s="1"/>
  <c r="H87" i="9" s="1"/>
  <c r="W213" i="1"/>
  <c r="AC116" i="18" s="1"/>
  <c r="W457" i="1"/>
  <c r="T31" i="7"/>
  <c r="AC186" i="18" s="1"/>
  <c r="AC188" i="18" s="1"/>
  <c r="AC192" i="18" s="1"/>
  <c r="AC195" i="18" s="1"/>
  <c r="F3370" i="16" s="1"/>
  <c r="F3372" i="16" l="1"/>
  <c r="BE3370" i="16"/>
  <c r="BE3372" i="16" s="1"/>
  <c r="W219" i="1"/>
  <c r="AC114" i="18" s="1"/>
  <c r="AC117" i="18" s="1"/>
  <c r="T33" i="7"/>
  <c r="E2749" i="16" l="1"/>
  <c r="Q2749" i="16" s="1"/>
  <c r="AC31" i="18"/>
  <c r="T49" i="7"/>
  <c r="D3092" i="16" s="1"/>
  <c r="G2216" i="16"/>
  <c r="I647" i="16"/>
  <c r="I652" i="16" s="1"/>
  <c r="E2779" i="16"/>
  <c r="Q2779" i="16" s="1"/>
  <c r="T34" i="7"/>
  <c r="I646" i="16"/>
  <c r="E2810" i="16"/>
  <c r="Q2810" i="16" s="1"/>
  <c r="W220" i="1"/>
  <c r="W222" i="1" s="1"/>
  <c r="I2075" i="16"/>
  <c r="I2077" i="16" s="1"/>
  <c r="D3061" i="16" l="1"/>
  <c r="T48" i="7"/>
  <c r="AF168" i="28"/>
  <c r="I653" i="16"/>
  <c r="U173" i="13"/>
  <c r="U204" i="13"/>
  <c r="BZ91" i="5"/>
  <c r="BZ93" i="5" l="1"/>
  <c r="BW24" i="28"/>
  <c r="BW25" i="28"/>
  <c r="T144" i="27"/>
  <c r="U140" i="27" s="1"/>
  <c r="U139" i="27" s="1"/>
  <c r="BX37" i="28" l="1"/>
  <c r="T145" i="27"/>
  <c r="T140" i="27"/>
  <c r="T139" i="27" s="1"/>
  <c r="W31" i="29" l="1"/>
  <c r="CF25" i="28" l="1"/>
  <c r="CF24" i="28"/>
  <c r="BY44" i="5"/>
  <c r="BZ44" i="5"/>
  <c r="CA44" i="5"/>
  <c r="G3192" i="16" l="1"/>
  <c r="S3193" i="16" s="1"/>
  <c r="E3192" i="16"/>
  <c r="Q3193" i="16" s="1"/>
  <c r="D3192" i="16"/>
  <c r="P3193" i="16" s="1"/>
  <c r="F3192" i="16"/>
  <c r="R3193" i="16" s="1"/>
  <c r="BQ36" i="5"/>
  <c r="BQ70" i="5" l="1"/>
  <c r="EU70" i="5" s="1"/>
  <c r="BQ43" i="5"/>
  <c r="BV44" i="5" s="1"/>
  <c r="EU36" i="5"/>
  <c r="BQ71" i="5"/>
  <c r="EU71" i="5" s="1"/>
  <c r="BV45" i="5"/>
  <c r="BQ38" i="5"/>
  <c r="BQ40" i="5"/>
  <c r="BQ84" i="5" l="1"/>
  <c r="BQ51" i="5"/>
  <c r="BQ72" i="5"/>
  <c r="EU72" i="5" s="1"/>
  <c r="P5" i="30"/>
  <c r="P7" i="30" s="1"/>
  <c r="EU38" i="5"/>
  <c r="BQ188" i="5"/>
  <c r="BQ167" i="5"/>
  <c r="BQ122" i="5"/>
  <c r="BQ91" i="5" l="1"/>
  <c r="BQ87" i="5"/>
  <c r="F3115" i="16"/>
  <c r="BQ173" i="5"/>
  <c r="BQ174" i="5" s="1"/>
  <c r="BQ123" i="5"/>
  <c r="AJ208" i="28" s="1"/>
  <c r="BV124" i="5"/>
  <c r="AJ207" i="28"/>
  <c r="F3145" i="16" l="1"/>
  <c r="BQ175" i="5"/>
  <c r="BQ93" i="5"/>
  <c r="BQ92" i="5"/>
  <c r="W33" i="29"/>
  <c r="W35" i="29" s="1"/>
  <c r="F3043" i="16"/>
  <c r="F3044" i="16" s="1"/>
  <c r="F3045" i="16" s="1"/>
  <c r="V65" i="7" s="1"/>
  <c r="Y27" i="29"/>
  <c r="Y29" i="29" s="1"/>
  <c r="Y63" i="1"/>
  <c r="Y116" i="1"/>
  <c r="Y139" i="1"/>
  <c r="U42" i="26"/>
  <c r="AE142" i="18" l="1"/>
  <c r="AE155" i="18" s="1"/>
  <c r="H3365" i="16"/>
  <c r="BG3365" i="16" s="1"/>
  <c r="G2765" i="16"/>
  <c r="S2765" i="16" s="1"/>
  <c r="Y117" i="1"/>
  <c r="G16" i="26"/>
  <c r="G18" i="26" s="1"/>
  <c r="W170" i="13"/>
  <c r="Q54" i="9"/>
  <c r="G82" i="9" s="1"/>
  <c r="G10" i="9" s="1"/>
  <c r="D10" i="9" s="1"/>
  <c r="Y64" i="1"/>
  <c r="G2705" i="16"/>
  <c r="F3048" i="16"/>
  <c r="U57" i="26"/>
  <c r="U44" i="26"/>
  <c r="U15" i="26" s="1"/>
  <c r="G2735" i="16"/>
  <c r="Y77" i="1"/>
  <c r="H34" i="30"/>
  <c r="Y140" i="1"/>
  <c r="Y68" i="1"/>
  <c r="G2707" i="16" s="1"/>
  <c r="G2870" i="16"/>
  <c r="G2872" i="16" s="1"/>
  <c r="G2718" i="16" l="1"/>
  <c r="W202" i="13"/>
  <c r="Y119" i="1"/>
  <c r="AE23" i="18"/>
  <c r="AE24" i="18" s="1"/>
  <c r="AE19" i="18"/>
  <c r="Y125" i="1"/>
  <c r="G2799" i="16" s="1"/>
  <c r="G2805" i="16" s="1"/>
  <c r="Y207" i="1"/>
  <c r="AE109" i="18" s="1"/>
  <c r="G2764" i="16"/>
  <c r="S2764" i="16" s="1"/>
  <c r="G2777" i="16"/>
  <c r="S2777" i="16" s="1"/>
  <c r="G2911" i="16"/>
  <c r="G26" i="26"/>
  <c r="G28" i="26" s="1"/>
  <c r="G29" i="26" s="1"/>
  <c r="Y138" i="1"/>
  <c r="Y145" i="1"/>
  <c r="F2887" i="16"/>
  <c r="F2903" i="16" s="1"/>
  <c r="Y501" i="1"/>
  <c r="V24" i="7"/>
  <c r="AE181" i="18" s="1"/>
  <c r="H36" i="30"/>
  <c r="H38" i="30"/>
  <c r="H39" i="30" s="1"/>
  <c r="G2747" i="16"/>
  <c r="S2747" i="16" s="1"/>
  <c r="G2734" i="16"/>
  <c r="S2735" i="16"/>
  <c r="U13" i="26"/>
  <c r="U16" i="26"/>
  <c r="U17" i="26"/>
  <c r="U14" i="26"/>
  <c r="U59" i="26"/>
  <c r="U21" i="26" s="1"/>
  <c r="G2776" i="16" l="1"/>
  <c r="S2776" i="16" s="1"/>
  <c r="CH51" i="5"/>
  <c r="Y154" i="1"/>
  <c r="D2114" i="16"/>
  <c r="E10" i="9"/>
  <c r="E2911" i="16" s="1"/>
  <c r="AH10" i="9"/>
  <c r="C2114" i="16"/>
  <c r="V69" i="7"/>
  <c r="S2734" i="16"/>
  <c r="G2746" i="16"/>
  <c r="S2746" i="16" s="1"/>
  <c r="F2888" i="16"/>
  <c r="F2904" i="16" s="1"/>
  <c r="U20" i="26"/>
  <c r="U19" i="26"/>
  <c r="U22" i="26"/>
  <c r="U23" i="26"/>
  <c r="G40" i="30"/>
  <c r="CC79" i="5"/>
  <c r="X33" i="29"/>
  <c r="X335" i="1"/>
  <c r="D2911" i="16" l="1"/>
  <c r="X384" i="1"/>
  <c r="X387" i="1" s="1"/>
  <c r="X285" i="1"/>
  <c r="X504" i="1"/>
  <c r="U27" i="7" s="1"/>
  <c r="X282" i="1"/>
  <c r="V11" i="30"/>
  <c r="AD190" i="18" l="1"/>
  <c r="X389" i="1"/>
  <c r="X392" i="1"/>
  <c r="X396" i="1" s="1"/>
  <c r="X390" i="1"/>
  <c r="X148" i="1"/>
  <c r="AD28" i="18" s="1"/>
  <c r="X208" i="1"/>
  <c r="AD110" i="18" s="1"/>
  <c r="W11" i="30"/>
  <c r="X398" i="1" l="1"/>
  <c r="X400" i="1" s="1"/>
  <c r="H401" i="1" s="1"/>
  <c r="X379" i="1"/>
  <c r="X506" i="1"/>
  <c r="X508" i="1" s="1"/>
  <c r="X11" i="30"/>
  <c r="F2436" i="16"/>
  <c r="F2440" i="16" s="1"/>
  <c r="X154" i="1"/>
  <c r="X158" i="1" s="1"/>
  <c r="X161" i="1" s="1"/>
  <c r="X163" i="1" s="1"/>
  <c r="CC81" i="5"/>
  <c r="CC84" i="5" s="1"/>
  <c r="X404" i="1" l="1"/>
  <c r="X405" i="1" s="1"/>
  <c r="X209" i="1" s="1"/>
  <c r="AD111" i="18" s="1"/>
  <c r="X589" i="1"/>
  <c r="X509" i="1"/>
  <c r="X585" i="1"/>
  <c r="X165" i="1"/>
  <c r="U52" i="7"/>
  <c r="CC87" i="5"/>
  <c r="CC91" i="5"/>
  <c r="CC92" i="5" s="1"/>
  <c r="E2889" i="16"/>
  <c r="E2905" i="16" s="1"/>
  <c r="X164" i="1"/>
  <c r="AD14" i="18" s="1"/>
  <c r="X465" i="1"/>
  <c r="F19" i="26"/>
  <c r="F20" i="26" s="1"/>
  <c r="T9" i="26" s="1"/>
  <c r="U41" i="7" l="1"/>
  <c r="AD15" i="18"/>
  <c r="X593" i="1"/>
  <c r="X594" i="1" s="1"/>
  <c r="AD30" i="18"/>
  <c r="X31" i="29"/>
  <c r="X35" i="29" s="1"/>
  <c r="U29" i="7"/>
  <c r="U33" i="7" s="1"/>
  <c r="AD31" i="18" s="1"/>
  <c r="G41" i="30"/>
  <c r="V12" i="30" s="1"/>
  <c r="CC165" i="5"/>
  <c r="CB165" i="5" s="1"/>
  <c r="CB167" i="5" s="1"/>
  <c r="CB174" i="5" s="1"/>
  <c r="CB175" i="5" s="1"/>
  <c r="X586" i="1"/>
  <c r="X510" i="1"/>
  <c r="X194" i="1"/>
  <c r="X196" i="1" s="1"/>
  <c r="X587" i="1" l="1"/>
  <c r="F2749" i="16"/>
  <c r="R2749" i="16" s="1"/>
  <c r="AD183" i="18"/>
  <c r="AD188" i="18" s="1"/>
  <c r="AD192" i="18" s="1"/>
  <c r="AD195" i="18" s="1"/>
  <c r="G43" i="30"/>
  <c r="X199" i="1"/>
  <c r="CC178" i="5" s="1"/>
  <c r="U54" i="7"/>
  <c r="D3225" i="16" s="1"/>
  <c r="X595" i="1"/>
  <c r="X167" i="1"/>
  <c r="J640" i="16"/>
  <c r="J644" i="16" s="1"/>
  <c r="X334" i="1"/>
  <c r="X300" i="1"/>
  <c r="X298" i="1" s="1"/>
  <c r="X299" i="1" s="1"/>
  <c r="U15" i="7"/>
  <c r="W12" i="30"/>
  <c r="V14" i="30"/>
  <c r="G3370" i="16" l="1"/>
  <c r="AD204" i="18"/>
  <c r="T10" i="26" s="1"/>
  <c r="G3372" i="16"/>
  <c r="BF3370" i="16"/>
  <c r="BF3372" i="16" s="1"/>
  <c r="J647" i="16"/>
  <c r="J652" i="16" s="1"/>
  <c r="U34" i="7"/>
  <c r="H2216" i="16"/>
  <c r="J2075" i="16"/>
  <c r="J2077" i="16" s="1"/>
  <c r="U49" i="7"/>
  <c r="E3061" i="16" s="1"/>
  <c r="J646" i="16"/>
  <c r="F2779" i="16"/>
  <c r="R2779" i="16" s="1"/>
  <c r="X200" i="1"/>
  <c r="CC184" i="5"/>
  <c r="G46" i="30"/>
  <c r="X309" i="1"/>
  <c r="F7" i="26"/>
  <c r="U68" i="7"/>
  <c r="U70" i="7" s="1"/>
  <c r="E3075" i="16" s="1"/>
  <c r="U59" i="7"/>
  <c r="X12" i="30"/>
  <c r="X14" i="30" s="1"/>
  <c r="W14" i="30"/>
  <c r="X219" i="1" l="1"/>
  <c r="AG168" i="28"/>
  <c r="J653" i="16"/>
  <c r="E3092" i="16"/>
  <c r="U48" i="7"/>
  <c r="X173" i="1"/>
  <c r="X289" i="1"/>
  <c r="F22" i="26"/>
  <c r="G51" i="30"/>
  <c r="G52" i="30" s="1"/>
  <c r="G47" i="30"/>
  <c r="G48" i="30" s="1"/>
  <c r="X220" i="1" l="1"/>
  <c r="X223" i="1" s="1"/>
  <c r="AD114" i="18"/>
  <c r="AD117" i="18" s="1"/>
  <c r="X346" i="1"/>
  <c r="X290" i="1"/>
  <c r="Y290" i="1"/>
  <c r="X222" i="1" l="1"/>
  <c r="X347" i="1"/>
  <c r="Y347" i="1" s="1"/>
  <c r="X348" i="1"/>
  <c r="X358" i="1" s="1"/>
  <c r="X176" i="1"/>
  <c r="X177" i="1" s="1"/>
  <c r="X332" i="1" s="1"/>
  <c r="X330" i="1" s="1"/>
  <c r="X181" i="1" s="1"/>
  <c r="X183" i="1" s="1"/>
  <c r="X197" i="1" s="1"/>
  <c r="Y332" i="1" l="1"/>
  <c r="Z332" i="1" s="1"/>
  <c r="AA332" i="1" s="1"/>
  <c r="AB332" i="1" s="1"/>
  <c r="AC332" i="1" s="1"/>
  <c r="AD332" i="1" s="1"/>
  <c r="AE332" i="1" s="1"/>
  <c r="AF332" i="1" s="1"/>
  <c r="AG332" i="1" s="1"/>
  <c r="AH332" i="1" s="1"/>
  <c r="Z347" i="1"/>
  <c r="Y346" i="1"/>
  <c r="T319" i="1"/>
  <c r="T321" i="1" s="1"/>
  <c r="T217" i="1" s="1"/>
  <c r="T220" i="1" s="1"/>
  <c r="T222" i="1" s="1"/>
  <c r="S318" i="1"/>
  <c r="S319" i="1"/>
  <c r="S321" i="1" s="1"/>
  <c r="S217" i="1" s="1"/>
  <c r="T318" i="1"/>
  <c r="U319" i="1"/>
  <c r="U321" i="1" s="1"/>
  <c r="U217" i="1" s="1"/>
  <c r="U220" i="1" s="1"/>
  <c r="U222" i="1" s="1"/>
  <c r="Y176" i="1" l="1"/>
  <c r="Y348" i="1"/>
  <c r="AA347" i="1"/>
  <c r="Z346" i="1"/>
  <c r="S220" i="1"/>
  <c r="S222" i="1" s="1"/>
  <c r="BC173" i="5"/>
  <c r="BC174" i="5" s="1"/>
  <c r="Z348" i="1" l="1"/>
  <c r="Z176" i="1"/>
  <c r="AB347" i="1"/>
  <c r="AA346" i="1"/>
  <c r="Y357" i="1"/>
  <c r="Y210" i="1" s="1"/>
  <c r="Y358" i="1"/>
  <c r="P56" i="14"/>
  <c r="P24" i="14"/>
  <c r="P48" i="14"/>
  <c r="U30" i="1"/>
  <c r="U31" i="1" s="1"/>
  <c r="V30" i="1"/>
  <c r="V31" i="1" s="1"/>
  <c r="Q48" i="14"/>
  <c r="Q56" i="14"/>
  <c r="W30" i="1"/>
  <c r="W31" i="1" s="1"/>
  <c r="O48" i="14"/>
  <c r="O56" i="14"/>
  <c r="O24" i="14"/>
  <c r="S56" i="14"/>
  <c r="S48" i="14"/>
  <c r="T30" i="1"/>
  <c r="T31" i="1" s="1"/>
  <c r="X30" i="1"/>
  <c r="X31" i="1" s="1"/>
  <c r="Q11" i="14"/>
  <c r="R48" i="14"/>
  <c r="R56" i="14"/>
  <c r="S11" i="14"/>
  <c r="S22" i="14" s="1"/>
  <c r="S81" i="14" s="1"/>
  <c r="P11" i="14"/>
  <c r="P12" i="14" s="1"/>
  <c r="R11" i="14"/>
  <c r="R22" i="14" s="1"/>
  <c r="O49" i="14"/>
  <c r="O50" i="14" s="1"/>
  <c r="V25" i="7" l="1"/>
  <c r="AE112" i="18"/>
  <c r="H42" i="30"/>
  <c r="AE182" i="18"/>
  <c r="AA176" i="1"/>
  <c r="AC347" i="1"/>
  <c r="AB346" i="1"/>
  <c r="AA348" i="1"/>
  <c r="Z357" i="1"/>
  <c r="Z210" i="1" s="1"/>
  <c r="Z358" i="1"/>
  <c r="P22" i="14"/>
  <c r="P23" i="14" s="1"/>
  <c r="P49" i="14"/>
  <c r="Q49" i="14" s="1"/>
  <c r="R49" i="14" s="1"/>
  <c r="S49" i="14" s="1"/>
  <c r="T49" i="14" s="1"/>
  <c r="U49" i="14" s="1"/>
  <c r="V49" i="14" s="1"/>
  <c r="W49" i="14" s="1"/>
  <c r="X49" i="14" s="1"/>
  <c r="Y49" i="14" s="1"/>
  <c r="Z49" i="14" s="1"/>
  <c r="S12" i="14"/>
  <c r="S42" i="14"/>
  <c r="Q12" i="14"/>
  <c r="S27" i="14"/>
  <c r="S34" i="14" s="1"/>
  <c r="S37" i="14" s="1"/>
  <c r="S14" i="14"/>
  <c r="S15" i="14" s="1"/>
  <c r="S24" i="14"/>
  <c r="R27" i="14"/>
  <c r="R34" i="14" s="1"/>
  <c r="R81" i="14"/>
  <c r="S23" i="14"/>
  <c r="R42" i="14"/>
  <c r="R14" i="14"/>
  <c r="R15" i="14" s="1"/>
  <c r="R12" i="14"/>
  <c r="Q14" i="14"/>
  <c r="Q15" i="14" s="1"/>
  <c r="Q22" i="14"/>
  <c r="S80" i="14"/>
  <c r="S82" i="14"/>
  <c r="P14" i="14"/>
  <c r="P15" i="14" s="1"/>
  <c r="W25" i="7" l="1"/>
  <c r="AF112" i="18"/>
  <c r="I42" i="30"/>
  <c r="AF182" i="18"/>
  <c r="AB176" i="1"/>
  <c r="AD347" i="1"/>
  <c r="AC346" i="1"/>
  <c r="AB348" i="1"/>
  <c r="AA358" i="1"/>
  <c r="AA357" i="1"/>
  <c r="AA210" i="1" s="1"/>
  <c r="Q24" i="14"/>
  <c r="P27" i="14"/>
  <c r="P34" i="14" s="1"/>
  <c r="P81" i="14"/>
  <c r="P82" i="14" s="1"/>
  <c r="P42" i="14"/>
  <c r="S87" i="14"/>
  <c r="S92" i="14" s="1"/>
  <c r="S28" i="14"/>
  <c r="S30" i="14"/>
  <c r="R37" i="14"/>
  <c r="S38" i="14" s="1"/>
  <c r="S36" i="14"/>
  <c r="S35" i="14"/>
  <c r="Q23" i="14"/>
  <c r="Q81" i="14"/>
  <c r="Q27" i="14"/>
  <c r="R28" i="14" s="1"/>
  <c r="R24" i="14"/>
  <c r="Q42" i="14"/>
  <c r="AA49" i="14"/>
  <c r="R82" i="14"/>
  <c r="R80" i="14"/>
  <c r="R30" i="14"/>
  <c r="R87" i="14"/>
  <c r="R23" i="14"/>
  <c r="X25" i="7" l="1"/>
  <c r="AG112" i="18"/>
  <c r="AC176" i="1"/>
  <c r="AE347" i="1"/>
  <c r="AD346" i="1"/>
  <c r="AD176" i="1" s="1"/>
  <c r="AB358" i="1"/>
  <c r="AB357" i="1"/>
  <c r="AB210" i="1" s="1"/>
  <c r="AC348" i="1"/>
  <c r="J42" i="30"/>
  <c r="AG182" i="18"/>
  <c r="P30" i="14"/>
  <c r="P87" i="14"/>
  <c r="P92" i="14" s="1"/>
  <c r="P28" i="14"/>
  <c r="S86" i="14"/>
  <c r="S91" i="14" s="1"/>
  <c r="P80" i="14"/>
  <c r="Q28" i="14"/>
  <c r="Q87" i="14"/>
  <c r="Q30" i="14"/>
  <c r="P36" i="14"/>
  <c r="P37" i="14"/>
  <c r="P38" i="14" s="1"/>
  <c r="P35" i="14"/>
  <c r="AB49" i="14"/>
  <c r="Q80" i="14"/>
  <c r="Q82" i="14"/>
  <c r="Q34" i="14"/>
  <c r="R92" i="14"/>
  <c r="R86" i="14"/>
  <c r="Y25" i="7" l="1"/>
  <c r="AH112" i="18"/>
  <c r="S101" i="14"/>
  <c r="S102" i="14" s="1"/>
  <c r="AF347" i="1"/>
  <c r="AE346" i="1"/>
  <c r="AC358" i="1"/>
  <c r="AC357" i="1"/>
  <c r="AC210" i="1" s="1"/>
  <c r="K42" i="30"/>
  <c r="AH182" i="18"/>
  <c r="AD348" i="1"/>
  <c r="P86" i="14"/>
  <c r="P91" i="14" s="1"/>
  <c r="Q36" i="14"/>
  <c r="Q35" i="14"/>
  <c r="Q37" i="14"/>
  <c r="R36" i="14"/>
  <c r="R35" i="14"/>
  <c r="Q92" i="14"/>
  <c r="Q86" i="14"/>
  <c r="R101" i="14"/>
  <c r="R91" i="14"/>
  <c r="AC49" i="14"/>
  <c r="S106" i="14" l="1"/>
  <c r="Z25" i="7"/>
  <c r="AI112" i="18"/>
  <c r="L42" i="30"/>
  <c r="AI182" i="18"/>
  <c r="AD357" i="1"/>
  <c r="AD210" i="1" s="1"/>
  <c r="AD358" i="1"/>
  <c r="AE348" i="1"/>
  <c r="AE176" i="1"/>
  <c r="P101" i="14"/>
  <c r="P106" i="14" s="1"/>
  <c r="AG347" i="1"/>
  <c r="AF346" i="1"/>
  <c r="AF348" i="1" s="1"/>
  <c r="S107" i="14"/>
  <c r="S111" i="14"/>
  <c r="Q91" i="14"/>
  <c r="Q101" i="14"/>
  <c r="R102" i="14"/>
  <c r="R106" i="14"/>
  <c r="Q38" i="14"/>
  <c r="R38" i="14"/>
  <c r="AA25" i="7" l="1"/>
  <c r="AJ112" i="18"/>
  <c r="AJ182" i="18"/>
  <c r="M42" i="30"/>
  <c r="AE358" i="1"/>
  <c r="AE357" i="1"/>
  <c r="AE210" i="1" s="1"/>
  <c r="P102" i="14"/>
  <c r="AF176" i="1"/>
  <c r="AF358" i="1"/>
  <c r="AF357" i="1"/>
  <c r="AF210" i="1" s="1"/>
  <c r="AH347" i="1"/>
  <c r="AH346" i="1" s="1"/>
  <c r="AH176" i="1" s="1"/>
  <c r="AG346" i="1"/>
  <c r="AG348" i="1" s="1"/>
  <c r="R111" i="14"/>
  <c r="R112" i="14" s="1"/>
  <c r="R107" i="14"/>
  <c r="Q102" i="14"/>
  <c r="Q106" i="14"/>
  <c r="P111" i="14"/>
  <c r="P107" i="14"/>
  <c r="S112" i="14"/>
  <c r="E119" i="14"/>
  <c r="F119" i="14" s="1"/>
  <c r="AB25" i="7" l="1"/>
  <c r="AK112" i="18"/>
  <c r="AK182" i="18"/>
  <c r="AC25" i="7"/>
  <c r="AL112" i="18"/>
  <c r="AL182" i="18"/>
  <c r="N42" i="30"/>
  <c r="O42" i="30"/>
  <c r="AG358" i="1"/>
  <c r="AG357" i="1"/>
  <c r="AG210" i="1" s="1"/>
  <c r="AG176" i="1"/>
  <c r="AH348" i="1"/>
  <c r="P112" i="14"/>
  <c r="Q107" i="14"/>
  <c r="Q111" i="14"/>
  <c r="Q112" i="14" s="1"/>
  <c r="AD25" i="7" l="1"/>
  <c r="AM112" i="18"/>
  <c r="AM182" i="18"/>
  <c r="P42" i="30"/>
  <c r="AH358" i="1"/>
  <c r="AH357" i="1"/>
  <c r="AH210" i="1" s="1"/>
  <c r="C119" i="14"/>
  <c r="H119" i="14" s="1"/>
  <c r="H120" i="14" s="1"/>
  <c r="CH81" i="5"/>
  <c r="CH84" i="5" s="1"/>
  <c r="EI34" i="5"/>
  <c r="BJ70" i="5"/>
  <c r="AD65" i="28" s="1"/>
  <c r="BJ36" i="5"/>
  <c r="BJ43" i="5" s="1"/>
  <c r="BJ44" i="5" s="1"/>
  <c r="BJ40" i="5"/>
  <c r="AE25" i="7" l="1"/>
  <c r="AN112" i="18"/>
  <c r="AN182" i="18"/>
  <c r="Q42" i="30"/>
  <c r="BJ38" i="5"/>
  <c r="BJ167" i="5" s="1"/>
  <c r="BJ174" i="5" s="1"/>
  <c r="BJ45" i="5"/>
  <c r="AD51" i="28" s="1"/>
  <c r="AD55" i="28" s="1"/>
  <c r="AD58" i="28" s="1"/>
  <c r="BJ51" i="5"/>
  <c r="EI40" i="5"/>
  <c r="BJ84" i="5"/>
  <c r="EI36" i="5"/>
  <c r="BJ71" i="5"/>
  <c r="EI38" i="5" l="1"/>
  <c r="J5" i="30"/>
  <c r="J7" i="30" s="1"/>
  <c r="BJ72" i="5"/>
  <c r="AD67" i="28" s="1"/>
  <c r="BJ187" i="5"/>
  <c r="AD178" i="28" s="1"/>
  <c r="BJ87" i="5"/>
  <c r="BJ91" i="5"/>
  <c r="BJ92" i="5" s="1"/>
  <c r="BP70" i="5"/>
  <c r="ET70" i="5" s="1"/>
  <c r="BQ190" i="5"/>
  <c r="BM70" i="5"/>
  <c r="EL34" i="5"/>
  <c r="BO40" i="5"/>
  <c r="BO70" i="5"/>
  <c r="ES70" i="5" s="1"/>
  <c r="BR70" i="5"/>
  <c r="EV70" i="5" s="1"/>
  <c r="EP34" i="5"/>
  <c r="EK34" i="5"/>
  <c r="BP190" i="5"/>
  <c r="BL70" i="5"/>
  <c r="BR40" i="5"/>
  <c r="C2820" i="16"/>
  <c r="C2821" i="16" s="1"/>
  <c r="BP40" i="5"/>
  <c r="BP51" i="5" s="1"/>
  <c r="BO190" i="5"/>
  <c r="BK70" i="5"/>
  <c r="EJ34" i="5"/>
  <c r="EO34" i="5"/>
  <c r="BP36" i="5"/>
  <c r="BT190" i="5"/>
  <c r="BK36" i="5"/>
  <c r="BK45" i="5" s="1"/>
  <c r="BK40" i="5"/>
  <c r="BK51" i="5" s="1"/>
  <c r="BL36" i="5"/>
  <c r="BL45" i="5" s="1"/>
  <c r="BL40" i="5"/>
  <c r="BL84" i="5" s="1"/>
  <c r="BL91" i="5" s="1"/>
  <c r="BL92" i="5" s="1"/>
  <c r="BR190" i="5"/>
  <c r="EN34" i="5"/>
  <c r="BM36" i="5"/>
  <c r="BM45" i="5" s="1"/>
  <c r="BM40" i="5"/>
  <c r="BM84" i="5" s="1"/>
  <c r="BM91" i="5" s="1"/>
  <c r="BM92" i="5" s="1"/>
  <c r="BU190" i="5"/>
  <c r="BV190" i="5"/>
  <c r="BR36" i="5"/>
  <c r="BR43" i="5" s="1"/>
  <c r="BW44" i="5" s="1"/>
  <c r="EQ34" i="5"/>
  <c r="BO36" i="5"/>
  <c r="BO45" i="5" s="1"/>
  <c r="BP84" i="5" l="1"/>
  <c r="BP87" i="5" s="1"/>
  <c r="BM87" i="5"/>
  <c r="BO38" i="5"/>
  <c r="ES38" i="5" s="1"/>
  <c r="EP36" i="5"/>
  <c r="BL71" i="5"/>
  <c r="D2820" i="16"/>
  <c r="D2819" i="16" s="1"/>
  <c r="D2825" i="16" s="1"/>
  <c r="D2826" i="16" s="1"/>
  <c r="BM38" i="5"/>
  <c r="EL36" i="5"/>
  <c r="BR45" i="5"/>
  <c r="BM71" i="5"/>
  <c r="BM43" i="5"/>
  <c r="BM44" i="5" s="1"/>
  <c r="BK43" i="5"/>
  <c r="BK44" i="5" s="1"/>
  <c r="EJ36" i="5"/>
  <c r="BK38" i="5"/>
  <c r="BK71" i="5"/>
  <c r="BT45" i="5"/>
  <c r="BP45" i="5"/>
  <c r="BP43" i="5"/>
  <c r="BU44" i="5" s="1"/>
  <c r="EO36" i="5"/>
  <c r="BP38" i="5"/>
  <c r="ET36" i="5"/>
  <c r="BU45" i="5"/>
  <c r="BP71" i="5"/>
  <c r="ET71" i="5" s="1"/>
  <c r="BO43" i="5"/>
  <c r="BT44" i="5" s="1"/>
  <c r="BO71" i="5"/>
  <c r="ES71" i="5" s="1"/>
  <c r="ES36" i="5"/>
  <c r="EN36" i="5"/>
  <c r="EJ40" i="5"/>
  <c r="EO40" i="5"/>
  <c r="BK84" i="5"/>
  <c r="BR71" i="5"/>
  <c r="EV71" i="5" s="1"/>
  <c r="EV36" i="5"/>
  <c r="EQ36" i="5"/>
  <c r="BR38" i="5"/>
  <c r="BL87" i="5"/>
  <c r="BR84" i="5"/>
  <c r="BR51" i="5"/>
  <c r="EQ40" i="5"/>
  <c r="BL51" i="5"/>
  <c r="EP40" i="5"/>
  <c r="EK40" i="5"/>
  <c r="BW45" i="5"/>
  <c r="EL40" i="5"/>
  <c r="BM51" i="5"/>
  <c r="BL38" i="5"/>
  <c r="EK36" i="5"/>
  <c r="BL43" i="5"/>
  <c r="BL44" i="5" s="1"/>
  <c r="EN40" i="5"/>
  <c r="BO51" i="5"/>
  <c r="BO84" i="5" s="1"/>
  <c r="BP91" i="5" l="1"/>
  <c r="BO122" i="5"/>
  <c r="AH207" i="28" s="1"/>
  <c r="BO188" i="5"/>
  <c r="EN38" i="5"/>
  <c r="E2825" i="16"/>
  <c r="E2826" i="16" s="1"/>
  <c r="BR187" i="5"/>
  <c r="BO167" i="5"/>
  <c r="BO72" i="5"/>
  <c r="ES72" i="5" s="1"/>
  <c r="N5" i="30"/>
  <c r="N7" i="30" s="1"/>
  <c r="BK187" i="5"/>
  <c r="AE178" i="28" s="1"/>
  <c r="K5" i="30"/>
  <c r="K7" i="30" s="1"/>
  <c r="BO187" i="5"/>
  <c r="AH178" i="28" s="1"/>
  <c r="BK167" i="5"/>
  <c r="BK174" i="5" s="1"/>
  <c r="EJ38" i="5"/>
  <c r="BK72" i="5"/>
  <c r="BP187" i="5"/>
  <c r="AI178" i="28" s="1"/>
  <c r="BL167" i="5"/>
  <c r="BL174" i="5" s="1"/>
  <c r="L5" i="30"/>
  <c r="L7" i="30" s="1"/>
  <c r="BL72" i="5"/>
  <c r="EP38" i="5"/>
  <c r="EK38" i="5"/>
  <c r="BL187" i="5"/>
  <c r="AF178" i="28" s="1"/>
  <c r="BR91" i="5"/>
  <c r="BR87" i="5"/>
  <c r="BK91" i="5"/>
  <c r="BK92" i="5" s="1"/>
  <c r="BK87" i="5"/>
  <c r="BR72" i="5"/>
  <c r="EV72" i="5" s="1"/>
  <c r="BU187" i="5"/>
  <c r="BS27" i="28" s="1"/>
  <c r="BV187" i="5"/>
  <c r="BT27" i="28" s="1"/>
  <c r="BR167" i="5"/>
  <c r="BR122" i="5"/>
  <c r="Q5" i="30"/>
  <c r="Q7" i="30" s="1"/>
  <c r="EQ38" i="5"/>
  <c r="BR188" i="5"/>
  <c r="EV38" i="5"/>
  <c r="BO87" i="5"/>
  <c r="BO91" i="5"/>
  <c r="O5" i="30"/>
  <c r="O7" i="30" s="1"/>
  <c r="BT187" i="5"/>
  <c r="BR27" i="28" s="1"/>
  <c r="BP122" i="5"/>
  <c r="BP167" i="5"/>
  <c r="BP188" i="5"/>
  <c r="ET38" i="5"/>
  <c r="EO38" i="5"/>
  <c r="BP72" i="5"/>
  <c r="ET72" i="5" s="1"/>
  <c r="M5" i="30"/>
  <c r="M7" i="30" s="1"/>
  <c r="EL38" i="5"/>
  <c r="BM167" i="5"/>
  <c r="BQ187" i="5"/>
  <c r="AJ178" i="28" s="1"/>
  <c r="BM187" i="5"/>
  <c r="AG178" i="28" s="1"/>
  <c r="BM72" i="5"/>
  <c r="BO123" i="5" l="1"/>
  <c r="AH208" i="28" s="1"/>
  <c r="BT124" i="5"/>
  <c r="H2825" i="16"/>
  <c r="H2830" i="16" s="1"/>
  <c r="BP92" i="5"/>
  <c r="BP93" i="5"/>
  <c r="D3115" i="16"/>
  <c r="BO173" i="5"/>
  <c r="BO174" i="5" s="1"/>
  <c r="BR92" i="5"/>
  <c r="BR93" i="5"/>
  <c r="E3115" i="16"/>
  <c r="BP173" i="5"/>
  <c r="BP174" i="5" s="1"/>
  <c r="G3115" i="16"/>
  <c r="BR173" i="5"/>
  <c r="BR174" i="5" s="1"/>
  <c r="C3115" i="16"/>
  <c r="BM174" i="5"/>
  <c r="C3145" i="16" s="1"/>
  <c r="BU124" i="5"/>
  <c r="BP123" i="5"/>
  <c r="AI208" i="28" s="1"/>
  <c r="AI207" i="28"/>
  <c r="BO92" i="5"/>
  <c r="BO93" i="5"/>
  <c r="BW124" i="5"/>
  <c r="AK207" i="28"/>
  <c r="BR123" i="5"/>
  <c r="AK208" i="28" s="1"/>
  <c r="H2833" i="16" l="1"/>
  <c r="H2826" i="16"/>
  <c r="BO175" i="5"/>
  <c r="D3145" i="16"/>
  <c r="BR175" i="5"/>
  <c r="G3145" i="16"/>
  <c r="BP175" i="5"/>
  <c r="E3145" i="16"/>
  <c r="U140" i="13"/>
  <c r="V142" i="13" s="1"/>
  <c r="U213" i="13" l="1"/>
  <c r="U215" i="13" s="1"/>
  <c r="U216" i="13" s="1"/>
  <c r="U217" i="13" s="1"/>
  <c r="U142" i="13"/>
  <c r="U200" i="13"/>
  <c r="U201" i="13" s="1"/>
  <c r="U169" i="13"/>
  <c r="U222" i="13" l="1"/>
  <c r="U220" i="13" s="1"/>
  <c r="H176" i="16"/>
  <c r="J186" i="16"/>
  <c r="K176" i="16"/>
  <c r="J182" i="16"/>
  <c r="H182" i="16"/>
  <c r="J176" i="16"/>
  <c r="J181" i="16"/>
  <c r="K177" i="16"/>
  <c r="I182" i="16"/>
  <c r="G181" i="16"/>
  <c r="G186" i="16"/>
  <c r="J184" i="16"/>
  <c r="G495" i="16"/>
  <c r="J177" i="16"/>
  <c r="I176" i="16"/>
  <c r="D493" i="16"/>
  <c r="E492" i="16" s="1"/>
  <c r="I181" i="16"/>
  <c r="H177" i="16"/>
  <c r="K182" i="16"/>
  <c r="K184" i="16"/>
  <c r="D177" i="16"/>
  <c r="D179" i="16" s="1"/>
  <c r="K181" i="16"/>
  <c r="G493" i="16"/>
  <c r="G492" i="16" s="1"/>
  <c r="G184" i="16"/>
  <c r="G182" i="16"/>
  <c r="I177" i="16"/>
  <c r="D184" i="16"/>
  <c r="H184" i="16"/>
  <c r="D181" i="16"/>
  <c r="H186" i="16"/>
  <c r="H181" i="16"/>
  <c r="G176" i="16"/>
  <c r="D182" i="16"/>
  <c r="D495" i="16"/>
  <c r="I186" i="16"/>
  <c r="D186" i="16"/>
  <c r="K186" i="16"/>
  <c r="G177" i="16"/>
  <c r="G487" i="16"/>
  <c r="I184" i="16"/>
  <c r="D487" i="16"/>
  <c r="G179" i="16" l="1"/>
  <c r="H179" i="16"/>
  <c r="D492" i="16"/>
  <c r="I179" i="16"/>
  <c r="J179" i="16"/>
  <c r="K179" i="16"/>
  <c r="P198" i="13" l="1"/>
  <c r="P200" i="13"/>
  <c r="P197" i="13"/>
  <c r="P204" i="13" l="1"/>
  <c r="P33" i="13"/>
  <c r="P38" i="13" s="1"/>
  <c r="P222" i="13"/>
  <c r="P220" i="13" s="1"/>
  <c r="P207" i="13" s="1"/>
  <c r="P201" i="13"/>
  <c r="P40" i="13" l="1"/>
  <c r="Q39" i="13"/>
  <c r="P35" i="13"/>
  <c r="Q34" i="13"/>
  <c r="P206" i="13"/>
  <c r="Q207" i="13"/>
  <c r="R207" i="13" l="1"/>
  <c r="Q206" i="13"/>
  <c r="S207" i="13" l="1"/>
  <c r="R206" i="13"/>
  <c r="S206" i="13" l="1"/>
  <c r="T207" i="13"/>
  <c r="U207" i="13" l="1"/>
  <c r="T206" i="13"/>
  <c r="U206" i="13" l="1"/>
  <c r="V207" i="13"/>
  <c r="V206" i="13" l="1"/>
  <c r="W207" i="13"/>
  <c r="X207" i="13" l="1"/>
  <c r="W206" i="13"/>
  <c r="F6" i="9" s="1"/>
  <c r="F11" i="9" s="1"/>
  <c r="F9" i="9" l="1"/>
  <c r="F2910" i="16"/>
  <c r="F25" i="19"/>
  <c r="E6" i="9"/>
  <c r="Y207" i="13"/>
  <c r="X206" i="13"/>
  <c r="Y206" i="13" l="1"/>
  <c r="Z207" i="13"/>
  <c r="G22" i="9"/>
  <c r="E2910" i="16"/>
  <c r="AH22" i="9" l="1"/>
  <c r="D2112" i="16"/>
  <c r="G2920" i="16"/>
  <c r="G2921" i="16" s="1"/>
  <c r="G2923" i="16" s="1"/>
  <c r="Z206" i="13"/>
  <c r="AA207" i="13"/>
  <c r="AA206" i="13" l="1"/>
  <c r="AB207" i="13"/>
  <c r="AB206" i="13" l="1"/>
  <c r="AC207" i="13"/>
  <c r="AD207" i="13" l="1"/>
  <c r="AC206" i="13"/>
  <c r="AE207" i="13" l="1"/>
  <c r="AD206" i="13"/>
  <c r="AF207" i="13" l="1"/>
  <c r="AF206" i="13" s="1"/>
  <c r="AE206" i="13"/>
  <c r="P46" i="12" l="1"/>
  <c r="P48" i="12" s="1"/>
  <c r="P50" i="12" s="1"/>
  <c r="O46" i="12"/>
  <c r="O48" i="12" s="1"/>
  <c r="O50" i="12" s="1"/>
  <c r="Q46" i="12"/>
  <c r="R46" i="12"/>
  <c r="M46" i="12"/>
  <c r="L46" i="12"/>
  <c r="C1780" i="16" s="1"/>
  <c r="N46" i="12"/>
  <c r="F1780" i="16" l="1"/>
  <c r="N48" i="12"/>
  <c r="N50" i="12" s="1"/>
  <c r="N57" i="12"/>
  <c r="L100" i="12"/>
  <c r="L124" i="12" s="1"/>
  <c r="L57" i="12"/>
  <c r="M48" i="12"/>
  <c r="M50" i="12" s="1"/>
  <c r="M57" i="12"/>
  <c r="R48" i="12"/>
  <c r="R50" i="12" s="1"/>
  <c r="R57" i="12"/>
  <c r="O100" i="12"/>
  <c r="O124" i="12" s="1"/>
  <c r="O57" i="12"/>
  <c r="Q100" i="12"/>
  <c r="Q124" i="12" s="1"/>
  <c r="Q57" i="12"/>
  <c r="P100" i="12"/>
  <c r="P124" i="12" s="1"/>
  <c r="P57" i="12"/>
  <c r="E1780" i="16"/>
  <c r="Q48" i="12"/>
  <c r="Q50" i="12" s="1"/>
  <c r="R100" i="12"/>
  <c r="N100" i="12"/>
  <c r="N124" i="12" s="1"/>
  <c r="L48" i="12"/>
  <c r="L50" i="12" s="1"/>
  <c r="D1780" i="16"/>
  <c r="M100" i="12"/>
  <c r="M124" i="12" s="1"/>
  <c r="C104" i="12" l="1"/>
  <c r="C107" i="12"/>
  <c r="C108" i="12" s="1"/>
  <c r="R124" i="12"/>
  <c r="C126" i="12" s="1"/>
  <c r="C127" i="12" s="1"/>
  <c r="C110" i="12" l="1"/>
  <c r="D16" i="9" s="1"/>
  <c r="D94" i="9" s="1"/>
  <c r="C125" i="12"/>
  <c r="C128" i="12" s="1"/>
  <c r="C114" i="12" l="1"/>
  <c r="D15" i="9"/>
  <c r="D93" i="9" s="1"/>
  <c r="E15" i="9"/>
  <c r="E93" i="9" s="1"/>
  <c r="L96" i="12"/>
  <c r="L97" i="12" s="1"/>
  <c r="E16" i="9" l="1"/>
  <c r="E94" i="9" s="1"/>
  <c r="C1782" i="16"/>
  <c r="C1792" i="16" s="1"/>
  <c r="C1793" i="16" s="1"/>
  <c r="I1773" i="16" s="1"/>
  <c r="M96" i="12"/>
  <c r="L95" i="12"/>
  <c r="L37" i="12" l="1"/>
  <c r="D1782" i="16"/>
  <c r="D1792" i="16" s="1"/>
  <c r="D1793" i="16" s="1"/>
  <c r="J1773" i="16" s="1"/>
  <c r="N96" i="12"/>
  <c r="M97" i="12"/>
  <c r="M95" i="12"/>
  <c r="E1782" i="16" l="1"/>
  <c r="E1792" i="16" s="1"/>
  <c r="E1793" i="16" s="1"/>
  <c r="K1773" i="16" s="1"/>
  <c r="O96" i="12"/>
  <c r="C111" i="12"/>
  <c r="N95" i="12"/>
  <c r="N97" i="12"/>
  <c r="M37" i="12"/>
  <c r="L39" i="12"/>
  <c r="C1779" i="16"/>
  <c r="C1781" i="16" s="1"/>
  <c r="C1791" i="16" s="1"/>
  <c r="M39" i="12" l="1"/>
  <c r="D1779" i="16"/>
  <c r="D1781" i="16" s="1"/>
  <c r="D1791" i="16" s="1"/>
  <c r="C112" i="12"/>
  <c r="C908" i="16" s="1"/>
  <c r="C129" i="12"/>
  <c r="C130" i="12" s="1"/>
  <c r="F15" i="9"/>
  <c r="C119" i="12"/>
  <c r="C120" i="12" s="1"/>
  <c r="C121" i="12" s="1"/>
  <c r="E525" i="3"/>
  <c r="F525" i="3" s="1"/>
  <c r="F16" i="9"/>
  <c r="O95" i="12"/>
  <c r="P96" i="12"/>
  <c r="F1782" i="16"/>
  <c r="F1792" i="16" s="1"/>
  <c r="F1793" i="16" s="1"/>
  <c r="L1773" i="16" s="1"/>
  <c r="O97" i="12"/>
  <c r="N37" i="12"/>
  <c r="P95" i="12" l="1"/>
  <c r="P37" i="12" s="1"/>
  <c r="P39" i="12" s="1"/>
  <c r="Q96" i="12"/>
  <c r="P97" i="12"/>
  <c r="G15" i="9"/>
  <c r="F93" i="9"/>
  <c r="E1779" i="16"/>
  <c r="E1781" i="16" s="1"/>
  <c r="E1791" i="16" s="1"/>
  <c r="N39" i="12"/>
  <c r="G16" i="9"/>
  <c r="F94" i="9"/>
  <c r="O37" i="12"/>
  <c r="D2115" i="16" l="1"/>
  <c r="C1063" i="16"/>
  <c r="C177" i="12"/>
  <c r="C178" i="12" s="1"/>
  <c r="C179" i="12" s="1"/>
  <c r="G93" i="9"/>
  <c r="AH15" i="9"/>
  <c r="Q95" i="12"/>
  <c r="Q37" i="12" s="1"/>
  <c r="Q39" i="12" s="1"/>
  <c r="R96" i="12"/>
  <c r="Q97" i="12"/>
  <c r="O39" i="12"/>
  <c r="F1779" i="16"/>
  <c r="F1781" i="16" s="1"/>
  <c r="F1791" i="16" s="1"/>
  <c r="F999" i="16"/>
  <c r="G94" i="9"/>
  <c r="AH16" i="9"/>
  <c r="R97" i="12" l="1"/>
  <c r="R95" i="12"/>
  <c r="R37" i="12" s="1"/>
  <c r="R39" i="12" s="1"/>
  <c r="G96" i="9"/>
  <c r="H1063" i="16"/>
  <c r="H1070" i="16" s="1"/>
  <c r="D1063" i="16"/>
  <c r="D1064" i="16" s="1"/>
  <c r="D1070" i="16" s="1"/>
  <c r="C1064" i="16"/>
  <c r="C1070" i="16" s="1"/>
  <c r="C1072" i="16" s="1"/>
  <c r="C1073" i="16" s="1"/>
  <c r="D1072" i="16" l="1"/>
  <c r="D1071" i="16"/>
  <c r="D1074" i="16" l="1"/>
  <c r="D1073" i="16"/>
  <c r="O53" i="14" l="1"/>
  <c r="S51" i="14"/>
  <c r="Q51" i="14"/>
  <c r="P51" i="14"/>
  <c r="T52" i="14"/>
  <c r="U52" i="14" s="1"/>
  <c r="V52" i="14" s="1"/>
  <c r="O51" i="14"/>
  <c r="R51" i="14"/>
  <c r="T51" i="14" l="1"/>
  <c r="T47" i="14" s="1"/>
  <c r="T56" i="14" s="1"/>
  <c r="W52" i="14"/>
  <c r="V51" i="14"/>
  <c r="V47" i="14" s="1"/>
  <c r="U51" i="14"/>
  <c r="U47" i="14" s="1"/>
  <c r="T48" i="14" l="1"/>
  <c r="Y30" i="1"/>
  <c r="Y31" i="1" s="1"/>
  <c r="T11" i="14"/>
  <c r="T14" i="14" s="1"/>
  <c r="T15" i="14" s="1"/>
  <c r="T24" i="14"/>
  <c r="Z30" i="1"/>
  <c r="Z31" i="1" s="1"/>
  <c r="U11" i="14"/>
  <c r="U48" i="14"/>
  <c r="U56" i="14"/>
  <c r="AA30" i="1"/>
  <c r="AA31" i="1" s="1"/>
  <c r="V11" i="14"/>
  <c r="V48" i="14"/>
  <c r="V56" i="14"/>
  <c r="X52" i="14"/>
  <c r="W51" i="14"/>
  <c r="W47" i="14" s="1"/>
  <c r="T12" i="14" l="1"/>
  <c r="T22" i="14"/>
  <c r="U24" i="14" s="1"/>
  <c r="Y52" i="14"/>
  <c r="X51" i="14"/>
  <c r="X47" i="14" s="1"/>
  <c r="V14" i="14"/>
  <c r="V15" i="14" s="1"/>
  <c r="V12" i="14"/>
  <c r="V22" i="14"/>
  <c r="W24" i="14" s="1"/>
  <c r="U12" i="14"/>
  <c r="U14" i="14"/>
  <c r="U15" i="14" s="1"/>
  <c r="U22" i="14"/>
  <c r="W56" i="14"/>
  <c r="AB30" i="1"/>
  <c r="AB31" i="1" s="1"/>
  <c r="W48" i="14"/>
  <c r="W11" i="14"/>
  <c r="T42" i="14" l="1"/>
  <c r="T23" i="14"/>
  <c r="T27" i="14"/>
  <c r="T34" i="14" s="1"/>
  <c r="T36" i="14" s="1"/>
  <c r="U23" i="14"/>
  <c r="U27" i="14"/>
  <c r="V24" i="14"/>
  <c r="W22" i="14"/>
  <c r="X24" i="14" s="1"/>
  <c r="W14" i="14"/>
  <c r="W15" i="14" s="1"/>
  <c r="W12" i="14"/>
  <c r="U42" i="14"/>
  <c r="V23" i="14"/>
  <c r="V27" i="14"/>
  <c r="V42" i="14"/>
  <c r="X56" i="14"/>
  <c r="X48" i="14"/>
  <c r="X11" i="14"/>
  <c r="AC30" i="1"/>
  <c r="AC31" i="1" s="1"/>
  <c r="Z52" i="14"/>
  <c r="Y51" i="14"/>
  <c r="Y47" i="14" s="1"/>
  <c r="T28" i="14" l="1"/>
  <c r="T30" i="14"/>
  <c r="T37" i="14"/>
  <c r="T38" i="14" s="1"/>
  <c r="T35" i="14"/>
  <c r="V30" i="14"/>
  <c r="V28" i="14"/>
  <c r="V34" i="14"/>
  <c r="W23" i="14"/>
  <c r="W27" i="14"/>
  <c r="Y48" i="14"/>
  <c r="Y11" i="14"/>
  <c r="Y56" i="14"/>
  <c r="AD30" i="1"/>
  <c r="AD31" i="1" s="1"/>
  <c r="Z51" i="14"/>
  <c r="Z47" i="14" s="1"/>
  <c r="AA52" i="14"/>
  <c r="X14" i="14"/>
  <c r="X15" i="14" s="1"/>
  <c r="X12" i="14"/>
  <c r="X22" i="14"/>
  <c r="W42" i="14"/>
  <c r="U28" i="14"/>
  <c r="U30" i="14"/>
  <c r="U34" i="14"/>
  <c r="U35" i="14" l="1"/>
  <c r="U36" i="14"/>
  <c r="U37" i="14"/>
  <c r="U38" i="14" s="1"/>
  <c r="X27" i="14"/>
  <c r="X34" i="14" s="1"/>
  <c r="X23" i="14"/>
  <c r="X42" i="14"/>
  <c r="Z56" i="14"/>
  <c r="Z48" i="14"/>
  <c r="Z11" i="14"/>
  <c r="AE30" i="1"/>
  <c r="AE31" i="1" s="1"/>
  <c r="AA51" i="14"/>
  <c r="AA47" i="14" s="1"/>
  <c r="AB52" i="14"/>
  <c r="Y22" i="14"/>
  <c r="Y42" i="14" s="1"/>
  <c r="Y12" i="14"/>
  <c r="Y14" i="14"/>
  <c r="Y15" i="14" s="1"/>
  <c r="Y24" i="14"/>
  <c r="W30" i="14"/>
  <c r="W28" i="14"/>
  <c r="W34" i="14"/>
  <c r="V36" i="14"/>
  <c r="V37" i="14"/>
  <c r="V35" i="14"/>
  <c r="Y27" i="14" l="1"/>
  <c r="Y34" i="14" s="1"/>
  <c r="Y23" i="14"/>
  <c r="Z12" i="14"/>
  <c r="Z14" i="14"/>
  <c r="Z15" i="14" s="1"/>
  <c r="Z22" i="14"/>
  <c r="AA24" i="14" s="1"/>
  <c r="X37" i="14"/>
  <c r="X35" i="14"/>
  <c r="X36" i="14"/>
  <c r="W36" i="14"/>
  <c r="W37" i="14"/>
  <c r="W38" i="14" s="1"/>
  <c r="W35" i="14"/>
  <c r="AC52" i="14"/>
  <c r="AC51" i="14" s="1"/>
  <c r="AC47" i="14" s="1"/>
  <c r="AB51" i="14"/>
  <c r="AB47" i="14" s="1"/>
  <c r="AA11" i="14"/>
  <c r="AF30" i="1"/>
  <c r="AF31" i="1" s="1"/>
  <c r="AA56" i="14"/>
  <c r="AA48" i="14"/>
  <c r="Z24" i="14"/>
  <c r="X30" i="14"/>
  <c r="X28" i="14"/>
  <c r="V38" i="14"/>
  <c r="AB48" i="14" l="1"/>
  <c r="AG30" i="1"/>
  <c r="AG31" i="1" s="1"/>
  <c r="AB56" i="14"/>
  <c r="AB11" i="14"/>
  <c r="X38" i="14"/>
  <c r="Z23" i="14"/>
  <c r="Z27" i="14"/>
  <c r="AA22" i="14"/>
  <c r="AA42" i="14" s="1"/>
  <c r="AA12" i="14"/>
  <c r="AA14" i="14"/>
  <c r="AA15" i="14" s="1"/>
  <c r="AH30" i="1"/>
  <c r="AH31" i="1" s="1"/>
  <c r="AC56" i="14"/>
  <c r="AC48" i="14"/>
  <c r="AC11" i="14"/>
  <c r="Z42" i="14"/>
  <c r="Y36" i="14"/>
  <c r="Y35" i="14"/>
  <c r="Y37" i="14"/>
  <c r="Y38" i="14" s="1"/>
  <c r="Y30" i="14"/>
  <c r="Y28" i="14"/>
  <c r="AC14" i="14" l="1"/>
  <c r="AC15" i="14" s="1"/>
  <c r="AC22" i="14"/>
  <c r="AC12" i="14"/>
  <c r="Z28" i="14"/>
  <c r="Z30" i="14"/>
  <c r="AA27" i="14"/>
  <c r="AA23" i="14"/>
  <c r="Z34" i="14"/>
  <c r="AB12" i="14"/>
  <c r="AB22" i="14"/>
  <c r="AB42" i="14" s="1"/>
  <c r="AB14" i="14"/>
  <c r="AB15" i="14" s="1"/>
  <c r="AB24" i="14"/>
  <c r="Z35" i="14" l="1"/>
  <c r="Z37" i="14"/>
  <c r="Z38" i="14" s="1"/>
  <c r="Z36" i="14"/>
  <c r="AA30" i="14"/>
  <c r="AA28" i="14"/>
  <c r="AB23" i="14"/>
  <c r="AB27" i="14"/>
  <c r="AB34" i="14" s="1"/>
  <c r="AC24" i="14"/>
  <c r="AA34" i="14"/>
  <c r="AC27" i="14"/>
  <c r="AC34" i="14" s="1"/>
  <c r="AC23" i="14"/>
  <c r="AC42" i="14"/>
  <c r="AC35" i="14" l="1"/>
  <c r="AC37" i="14"/>
  <c r="AC36" i="14"/>
  <c r="AC28" i="14"/>
  <c r="AC30" i="14"/>
  <c r="AA35" i="14"/>
  <c r="AA37" i="14"/>
  <c r="AA38" i="14" s="1"/>
  <c r="AA36" i="14"/>
  <c r="AB35" i="14"/>
  <c r="AB37" i="14"/>
  <c r="AB36" i="14"/>
  <c r="AB30" i="14"/>
  <c r="AB28" i="14"/>
  <c r="AB38" i="14" l="1"/>
  <c r="AC38" i="14"/>
  <c r="T331" i="10"/>
  <c r="U330" i="10"/>
  <c r="U331" i="10" s="1"/>
  <c r="S331" i="10"/>
  <c r="R331" i="10"/>
  <c r="Q331" i="10"/>
  <c r="P331" i="10"/>
  <c r="O331" i="10"/>
  <c r="N331" i="10"/>
  <c r="L331" i="10"/>
  <c r="M331" i="10"/>
  <c r="V330" i="10" l="1"/>
  <c r="V331" i="10" l="1"/>
  <c r="W330" i="10"/>
  <c r="X330" i="10" l="1"/>
  <c r="W331" i="10"/>
  <c r="X331" i="10" l="1"/>
  <c r="Y330" i="10"/>
  <c r="AP55" i="5"/>
  <c r="AP62" i="5" s="1"/>
  <c r="AP64" i="5"/>
  <c r="AP57" i="5"/>
  <c r="AP49" i="5" s="1"/>
  <c r="Y331" i="10" l="1"/>
  <c r="Z330" i="10"/>
  <c r="DT41" i="5"/>
  <c r="DO41" i="5"/>
  <c r="AU63" i="5"/>
  <c r="AP63" i="5"/>
  <c r="AP75" i="5"/>
  <c r="AP76" i="5" s="1"/>
  <c r="AP74" i="5"/>
  <c r="J240" i="10"/>
  <c r="J241" i="10" s="1"/>
  <c r="Z331" i="10" l="1"/>
  <c r="AA330" i="10"/>
  <c r="AB330" i="10" l="1"/>
  <c r="AA331" i="10"/>
  <c r="AB331" i="10" l="1"/>
  <c r="AC330" i="10"/>
  <c r="AD330" i="10" l="1"/>
  <c r="AD331" i="10" s="1"/>
  <c r="AC331" i="10"/>
  <c r="Z5" i="13"/>
  <c r="AA5" i="13" s="1"/>
  <c r="AB5" i="13" s="1"/>
  <c r="AC5" i="13" s="1"/>
  <c r="AD5" i="13" s="1"/>
  <c r="W8" i="13"/>
  <c r="X6" i="13"/>
  <c r="Y6" i="13" s="1"/>
  <c r="Z6" i="13" s="1"/>
  <c r="AA6" i="13" s="1"/>
  <c r="AB6" i="13" s="1"/>
  <c r="AC6" i="13" s="1"/>
  <c r="AD6" i="13" s="1"/>
  <c r="AE6" i="13" s="1"/>
  <c r="AF6" i="13" s="1"/>
  <c r="Y283" i="10"/>
  <c r="AE11" i="13" l="1"/>
  <c r="AE5" i="13" s="1"/>
  <c r="X8" i="13"/>
  <c r="Y8" i="13" s="1"/>
  <c r="Z8" i="13" s="1"/>
  <c r="AA8" i="13" s="1"/>
  <c r="AB8" i="13" s="1"/>
  <c r="AC8" i="13" s="1"/>
  <c r="AD8" i="13" s="1"/>
  <c r="AE8" i="13" s="1"/>
  <c r="AF8" i="13" s="1"/>
  <c r="CH290" i="5"/>
  <c r="CG290" i="5" s="1"/>
  <c r="CG297" i="5" s="1"/>
  <c r="J3416" i="16"/>
  <c r="AF11" i="13" l="1"/>
  <c r="AF5" i="13" s="1"/>
  <c r="CM24" i="28"/>
  <c r="CM23" i="28"/>
  <c r="CM22" i="28"/>
  <c r="CM21" i="28"/>
  <c r="CB21" i="28" s="1"/>
  <c r="CM18" i="28"/>
  <c r="CM12" i="28"/>
  <c r="CM11" i="28"/>
  <c r="CM8" i="28"/>
  <c r="CM7" i="28"/>
  <c r="CB7" i="28" s="1"/>
  <c r="CM6" i="28"/>
  <c r="CM5" i="28"/>
  <c r="CB5" i="28" s="1"/>
  <c r="AF174" i="13"/>
  <c r="AF175" i="13" s="1"/>
  <c r="AE174" i="13"/>
  <c r="AE175" i="13" s="1"/>
  <c r="AD174" i="13"/>
  <c r="AD175" i="13" s="1"/>
  <c r="AC174" i="13"/>
  <c r="AC175" i="13" s="1"/>
  <c r="AB174" i="13"/>
  <c r="AB175" i="13" s="1"/>
  <c r="AA174" i="13"/>
  <c r="AA175" i="13" s="1"/>
  <c r="Z174" i="13"/>
  <c r="Z175" i="13" s="1"/>
  <c r="Y174" i="13"/>
  <c r="Y175" i="13" s="1"/>
  <c r="X174" i="13"/>
  <c r="X175" i="13" s="1"/>
  <c r="W174" i="13"/>
  <c r="W175" i="13" s="1"/>
  <c r="V174" i="13"/>
  <c r="V175" i="13" s="1"/>
  <c r="AF137" i="13"/>
  <c r="AF138" i="13" s="1"/>
  <c r="AE137" i="13"/>
  <c r="AE138" i="13" s="1"/>
  <c r="AD137" i="13"/>
  <c r="AD138" i="13" s="1"/>
  <c r="AC137" i="13"/>
  <c r="AC138" i="13" s="1"/>
  <c r="AB137" i="13"/>
  <c r="AB138" i="13" s="1"/>
  <c r="AA137" i="13"/>
  <c r="AA138" i="13" s="1"/>
  <c r="Z137" i="13"/>
  <c r="Z138" i="13" s="1"/>
  <c r="Y137" i="13"/>
  <c r="Y138" i="13" s="1"/>
  <c r="X137" i="13"/>
  <c r="X138" i="13" s="1"/>
  <c r="W137" i="13"/>
  <c r="W138" i="13" s="1"/>
  <c r="Z247" i="10"/>
  <c r="Z248" i="10" s="1"/>
  <c r="Y247" i="10"/>
  <c r="Y248" i="10" s="1"/>
  <c r="X247" i="10"/>
  <c r="X248" i="10" s="1"/>
  <c r="W247" i="10"/>
  <c r="W248" i="10" s="1"/>
  <c r="V247" i="10"/>
  <c r="V248" i="10" s="1"/>
  <c r="U247" i="10"/>
  <c r="U248" i="10" s="1"/>
  <c r="AC108" i="1"/>
  <c r="AB108" i="1"/>
  <c r="AA108" i="1"/>
  <c r="Z108" i="1"/>
  <c r="Y108" i="1"/>
  <c r="AC66" i="1"/>
  <c r="AB66" i="1"/>
  <c r="AA66" i="1"/>
  <c r="Z66" i="1"/>
  <c r="Y66" i="1"/>
  <c r="Y67" i="1" s="1"/>
  <c r="AC33" i="1"/>
  <c r="AC34" i="1" s="1"/>
  <c r="AB33" i="1"/>
  <c r="AB34" i="1" s="1"/>
  <c r="AA33" i="1"/>
  <c r="AA34" i="1" s="1"/>
  <c r="Z33" i="1"/>
  <c r="Z34" i="1" s="1"/>
  <c r="Y33" i="1"/>
  <c r="Y34" i="1" s="1"/>
  <c r="CC21" i="28" l="1"/>
  <c r="BX36" i="28" s="1"/>
  <c r="BW36" i="28"/>
  <c r="BZ36" i="28" s="1"/>
  <c r="CI21" i="28"/>
  <c r="Y110" i="1"/>
  <c r="Y109" i="1"/>
  <c r="CC5" i="28"/>
  <c r="CB8" i="28" s="1"/>
  <c r="CI12" i="28" s="1"/>
  <c r="CI9" i="28"/>
  <c r="CG53" i="28"/>
  <c r="Z110" i="1"/>
  <c r="Z109" i="1"/>
  <c r="AA110" i="1"/>
  <c r="AA109" i="1"/>
  <c r="CC7" i="28"/>
  <c r="CB6" i="28" s="1"/>
  <c r="CI11" i="28"/>
  <c r="AB110" i="1"/>
  <c r="AB109" i="1"/>
  <c r="AC110" i="1"/>
  <c r="AC109" i="1"/>
  <c r="CM10" i="28"/>
  <c r="CB10" i="28" s="1"/>
  <c r="CJ9" i="28" l="1"/>
  <c r="CK9" i="28"/>
  <c r="CJ11" i="28"/>
  <c r="CK11" i="28"/>
  <c r="CC6" i="28"/>
  <c r="CB18" i="28" s="1"/>
  <c r="CI10" i="28"/>
  <c r="CJ12" i="28"/>
  <c r="CK12" i="28"/>
  <c r="CC10" i="28"/>
  <c r="CB14" i="28"/>
  <c r="CI14" i="28"/>
  <c r="CG61" i="28"/>
  <c r="CJ21" i="28"/>
  <c r="CK21" i="28"/>
  <c r="CJ10" i="28" l="1"/>
  <c r="CK10" i="28"/>
  <c r="CC18" i="28"/>
  <c r="BW35" i="28"/>
  <c r="BZ35" i="28" s="1"/>
  <c r="CI19" i="28"/>
  <c r="CK14" i="28"/>
  <c r="CJ14" i="28"/>
  <c r="CJ19" i="28" l="1"/>
  <c r="CK19" i="28"/>
  <c r="CB22" i="28"/>
  <c r="BX35" i="28"/>
  <c r="CC22" i="28" l="1"/>
  <c r="CB23" i="28" s="1"/>
  <c r="CI22" i="28"/>
  <c r="CJ22" i="28" l="1"/>
  <c r="CK22" i="28"/>
  <c r="CB24" i="28"/>
  <c r="CI23" i="28"/>
  <c r="CJ23" i="28" l="1"/>
  <c r="CK23" i="28"/>
  <c r="CB25" i="28"/>
  <c r="BW37" i="28"/>
  <c r="BZ37" i="28" s="1"/>
  <c r="CI24" i="28"/>
  <c r="CJ24" i="28" s="1"/>
  <c r="AG141" i="18"/>
  <c r="AG154" i="18" s="1"/>
  <c r="AM141" i="18"/>
  <c r="AM154" i="18" s="1"/>
  <c r="Z41" i="1"/>
  <c r="AB41" i="1"/>
  <c r="AH41" i="1"/>
  <c r="G2981" i="16"/>
  <c r="G2994" i="16" s="1"/>
  <c r="H2981" i="16"/>
  <c r="I2981" i="16" s="1"/>
  <c r="AH141" i="18"/>
  <c r="AH154" i="18" s="1"/>
  <c r="AJ141" i="18"/>
  <c r="AJ154" i="18" s="1"/>
  <c r="AF41" i="1"/>
  <c r="AG41" i="1"/>
  <c r="AG42" i="1" s="1"/>
  <c r="AN141" i="18"/>
  <c r="AN154" i="18" s="1"/>
  <c r="Z63" i="1"/>
  <c r="AA63" i="1"/>
  <c r="AB63" i="1"/>
  <c r="AC63" i="1"/>
  <c r="AD63" i="1"/>
  <c r="M3365" i="16" s="1"/>
  <c r="BL3365" i="16" s="1"/>
  <c r="AE63" i="1"/>
  <c r="N3365" i="16" s="1"/>
  <c r="BM3365" i="16" s="1"/>
  <c r="AF63" i="1"/>
  <c r="AG63" i="1"/>
  <c r="AH63" i="1"/>
  <c r="Z74" i="1"/>
  <c r="AA74" i="1"/>
  <c r="AB74" i="1"/>
  <c r="AD74" i="1"/>
  <c r="AE74" i="1"/>
  <c r="AF74" i="1"/>
  <c r="AG74" i="1"/>
  <c r="AH74" i="1"/>
  <c r="Z76" i="1"/>
  <c r="AA76" i="1"/>
  <c r="AB76" i="1"/>
  <c r="AC76" i="1"/>
  <c r="AD76" i="1"/>
  <c r="AE76" i="1"/>
  <c r="AF76" i="1"/>
  <c r="AG76" i="1"/>
  <c r="AH76" i="1"/>
  <c r="Z115" i="1"/>
  <c r="Z124" i="1" s="1"/>
  <c r="AA115" i="1"/>
  <c r="AA124" i="1" s="1"/>
  <c r="AB115" i="1"/>
  <c r="AB124" i="1" s="1"/>
  <c r="AD115" i="1"/>
  <c r="V52" i="9" s="1"/>
  <c r="AF115" i="1"/>
  <c r="AF124" i="1" s="1"/>
  <c r="AG115" i="1"/>
  <c r="Y52" i="9" s="1"/>
  <c r="AH115" i="1"/>
  <c r="AH124" i="1" s="1"/>
  <c r="Z135" i="1"/>
  <c r="Z381" i="1" s="1"/>
  <c r="AA135" i="1"/>
  <c r="AA381" i="1" s="1"/>
  <c r="AB135" i="1"/>
  <c r="AC135" i="1"/>
  <c r="AC381" i="1" s="1"/>
  <c r="AD135" i="1"/>
  <c r="AD381" i="1" s="1"/>
  <c r="AE135" i="1"/>
  <c r="AF135" i="1"/>
  <c r="AF381" i="1" s="1"/>
  <c r="AG135" i="1"/>
  <c r="AH135" i="1"/>
  <c r="AH381" i="1" s="1"/>
  <c r="V41" i="26"/>
  <c r="V56" i="26" s="1"/>
  <c r="W41" i="26"/>
  <c r="W56" i="26" s="1"/>
  <c r="X41" i="26"/>
  <c r="X44" i="26" s="1"/>
  <c r="O34" i="30" l="1"/>
  <c r="O36" i="30" s="1"/>
  <c r="O3365" i="16"/>
  <c r="BN3365" i="16" s="1"/>
  <c r="I2705" i="16"/>
  <c r="J3365" i="16"/>
  <c r="BI3365" i="16" s="1"/>
  <c r="Z170" i="13"/>
  <c r="K3365" i="16"/>
  <c r="BJ3365" i="16" s="1"/>
  <c r="Q34" i="30"/>
  <c r="Q36" i="30" s="1"/>
  <c r="Q3365" i="16"/>
  <c r="BP3365" i="16" s="1"/>
  <c r="H2705" i="16"/>
  <c r="I3365" i="16"/>
  <c r="BH3365" i="16" s="1"/>
  <c r="K2705" i="16"/>
  <c r="L3365" i="16"/>
  <c r="BK3365" i="16" s="1"/>
  <c r="P34" i="30"/>
  <c r="P38" i="30" s="1"/>
  <c r="P39" i="30" s="1"/>
  <c r="P3365" i="16"/>
  <c r="BO3365" i="16" s="1"/>
  <c r="Z140" i="1"/>
  <c r="Z501" i="1" s="1"/>
  <c r="AE65" i="7"/>
  <c r="AF170" i="13"/>
  <c r="N34" i="30"/>
  <c r="N38" i="30" s="1"/>
  <c r="N39" i="30" s="1"/>
  <c r="M16" i="26"/>
  <c r="AD68" i="1"/>
  <c r="L16" i="26"/>
  <c r="I16" i="26"/>
  <c r="Y65" i="7"/>
  <c r="AE170" i="13"/>
  <c r="AD65" i="7"/>
  <c r="AG140" i="1"/>
  <c r="AG145" i="1" s="1"/>
  <c r="AG154" i="1" s="1"/>
  <c r="J16" i="26"/>
  <c r="J18" i="26" s="1"/>
  <c r="AG117" i="1"/>
  <c r="AE202" i="13" s="1"/>
  <c r="H16" i="26"/>
  <c r="H18" i="26" s="1"/>
  <c r="R52" i="9"/>
  <c r="Z136" i="1"/>
  <c r="Z369" i="1" s="1"/>
  <c r="Z191" i="1" s="1"/>
  <c r="X58" i="9"/>
  <c r="X52" i="9"/>
  <c r="S52" i="9"/>
  <c r="AA65" i="7"/>
  <c r="AB170" i="13"/>
  <c r="S58" i="9"/>
  <c r="AE68" i="1"/>
  <c r="T52" i="9"/>
  <c r="AH117" i="1"/>
  <c r="AN23" i="18" s="1"/>
  <c r="AN24" i="18" s="1"/>
  <c r="AF117" i="1"/>
  <c r="AF125" i="1" s="1"/>
  <c r="AF77" i="1"/>
  <c r="AC65" i="7"/>
  <c r="AF140" i="1"/>
  <c r="AF501" i="1" s="1"/>
  <c r="AD136" i="1"/>
  <c r="AB136" i="1"/>
  <c r="AF64" i="1"/>
  <c r="Z64" i="1"/>
  <c r="AF68" i="1"/>
  <c r="AD170" i="13"/>
  <c r="X56" i="26"/>
  <c r="X59" i="26" s="1"/>
  <c r="AD124" i="1"/>
  <c r="AA77" i="1"/>
  <c r="Y58" i="9"/>
  <c r="Z77" i="1"/>
  <c r="AA64" i="1"/>
  <c r="T58" i="9"/>
  <c r="AB381" i="1"/>
  <c r="AH140" i="1"/>
  <c r="AH145" i="1" s="1"/>
  <c r="AH154" i="1" s="1"/>
  <c r="Y170" i="13"/>
  <c r="AH136" i="1"/>
  <c r="AA117" i="1"/>
  <c r="AA125" i="1" s="1"/>
  <c r="V58" i="9"/>
  <c r="X170" i="13"/>
  <c r="AG124" i="1"/>
  <c r="Z117" i="1"/>
  <c r="AG77" i="1"/>
  <c r="AA68" i="1"/>
  <c r="I2707" i="16" s="1"/>
  <c r="AA140" i="1"/>
  <c r="AA138" i="1" s="1"/>
  <c r="Z67" i="1"/>
  <c r="I34" i="30"/>
  <c r="I36" i="30" s="1"/>
  <c r="AG381" i="1"/>
  <c r="AE140" i="1"/>
  <c r="G3036" i="16"/>
  <c r="G3038" i="16" s="1"/>
  <c r="G3041" i="16" s="1"/>
  <c r="G3047" i="16" s="1"/>
  <c r="K16" i="26"/>
  <c r="AC140" i="1"/>
  <c r="AC136" i="1"/>
  <c r="AE77" i="1"/>
  <c r="AC68" i="1"/>
  <c r="K2707" i="16" s="1"/>
  <c r="AB65" i="7"/>
  <c r="R58" i="9"/>
  <c r="AC170" i="13"/>
  <c r="AA136" i="1"/>
  <c r="AC77" i="1"/>
  <c r="AH64" i="1"/>
  <c r="AN142" i="18"/>
  <c r="AN155" i="18" s="1"/>
  <c r="AG136" i="1"/>
  <c r="AE117" i="1"/>
  <c r="AC67" i="1"/>
  <c r="AL142" i="18"/>
  <c r="AL155" i="18" s="1"/>
  <c r="Z65" i="7"/>
  <c r="AA170" i="13"/>
  <c r="AC117" i="1"/>
  <c r="AI23" i="18" s="1"/>
  <c r="AI24" i="18" s="1"/>
  <c r="AA67" i="1"/>
  <c r="AF142" i="18"/>
  <c r="AF155" i="18" s="1"/>
  <c r="AH77" i="1"/>
  <c r="AG64" i="1"/>
  <c r="Z52" i="9"/>
  <c r="E81" i="9" s="1"/>
  <c r="F81" i="9" s="1"/>
  <c r="Z58" i="9"/>
  <c r="E85" i="9" s="1"/>
  <c r="F85" i="9" s="1"/>
  <c r="AG47" i="1"/>
  <c r="V59" i="26"/>
  <c r="V20" i="26" s="1"/>
  <c r="V44" i="26"/>
  <c r="V14" i="26" s="1"/>
  <c r="X13" i="26"/>
  <c r="X15" i="26"/>
  <c r="X16" i="26"/>
  <c r="X17" i="26"/>
  <c r="X14" i="26"/>
  <c r="J2705" i="16"/>
  <c r="AB68" i="1"/>
  <c r="J2707" i="16" s="1"/>
  <c r="AB64" i="1"/>
  <c r="AB77" i="1"/>
  <c r="AB117" i="1"/>
  <c r="AH142" i="18"/>
  <c r="AH155" i="18" s="1"/>
  <c r="AC64" i="1"/>
  <c r="K34" i="30"/>
  <c r="AB140" i="1"/>
  <c r="AB138" i="1" s="1"/>
  <c r="AB67" i="1"/>
  <c r="AC41" i="1"/>
  <c r="AC115" i="1"/>
  <c r="AI141" i="18"/>
  <c r="AI154" i="18" s="1"/>
  <c r="Y41" i="26"/>
  <c r="AC74" i="1"/>
  <c r="W59" i="26"/>
  <c r="W44" i="26"/>
  <c r="W14" i="26" s="1"/>
  <c r="AE136" i="1"/>
  <c r="AF136" i="1"/>
  <c r="AE381" i="1"/>
  <c r="G2887" i="16"/>
  <c r="G2903" i="16" s="1"/>
  <c r="AF42" i="1"/>
  <c r="AH42" i="1"/>
  <c r="AH47" i="1"/>
  <c r="AD117" i="1"/>
  <c r="AJ142" i="18"/>
  <c r="AJ155" i="18" s="1"/>
  <c r="AD64" i="1"/>
  <c r="AD77" i="1"/>
  <c r="M34" i="30"/>
  <c r="AE64" i="1"/>
  <c r="AD140" i="1"/>
  <c r="AE41" i="1"/>
  <c r="AF47" i="1" s="1"/>
  <c r="AE115" i="1"/>
  <c r="AK141" i="18"/>
  <c r="AK154" i="18" s="1"/>
  <c r="AB42" i="1"/>
  <c r="Z42" i="1"/>
  <c r="Z47" i="1"/>
  <c r="O38" i="30"/>
  <c r="O39" i="30" s="1"/>
  <c r="AH68" i="1"/>
  <c r="Z68" i="1"/>
  <c r="H2707" i="16" s="1"/>
  <c r="AD41" i="1"/>
  <c r="Z16" i="29"/>
  <c r="AG68" i="1"/>
  <c r="L34" i="30"/>
  <c r="AG142" i="18"/>
  <c r="AG155" i="18" s="1"/>
  <c r="AA41" i="1"/>
  <c r="AB47" i="1" s="1"/>
  <c r="J34" i="30"/>
  <c r="AM142" i="18"/>
  <c r="AM155" i="18" s="1"/>
  <c r="AF141" i="18"/>
  <c r="AF154" i="18" s="1"/>
  <c r="AK142" i="18"/>
  <c r="AK155" i="18" s="1"/>
  <c r="AL141" i="18"/>
  <c r="AL154" i="18" s="1"/>
  <c r="H2994" i="16"/>
  <c r="H2986" i="16"/>
  <c r="H3036" i="16"/>
  <c r="G2986" i="16"/>
  <c r="G2982" i="16"/>
  <c r="AI142" i="18"/>
  <c r="AI155" i="18" s="1"/>
  <c r="H2982" i="16"/>
  <c r="Z145" i="1" l="1"/>
  <c r="Q38" i="30"/>
  <c r="Q39" i="30" s="1"/>
  <c r="AF19" i="18"/>
  <c r="P36" i="30"/>
  <c r="Z138" i="1"/>
  <c r="W24" i="7"/>
  <c r="AF181" i="18" s="1"/>
  <c r="N36" i="30"/>
  <c r="AM19" i="18"/>
  <c r="I26" i="26"/>
  <c r="N16" i="26"/>
  <c r="L18" i="26"/>
  <c r="L26" i="26"/>
  <c r="L28" i="26" s="1"/>
  <c r="L29" i="26" s="1"/>
  <c r="M26" i="26"/>
  <c r="M28" i="26" s="1"/>
  <c r="M29" i="26" s="1"/>
  <c r="M18" i="26"/>
  <c r="I18" i="26"/>
  <c r="N18" i="26" s="1"/>
  <c r="H26" i="26"/>
  <c r="H28" i="26" s="1"/>
  <c r="H29" i="26" s="1"/>
  <c r="AG125" i="1"/>
  <c r="AM23" i="18"/>
  <c r="AM24" i="18" s="1"/>
  <c r="AG119" i="1"/>
  <c r="AD24" i="7"/>
  <c r="AM181" i="18" s="1"/>
  <c r="O3386" i="16"/>
  <c r="AL19" i="18"/>
  <c r="AG138" i="1"/>
  <c r="AF138" i="1"/>
  <c r="AC24" i="7"/>
  <c r="AL181" i="18" s="1"/>
  <c r="AG501" i="1"/>
  <c r="AH138" i="1"/>
  <c r="AA369" i="1"/>
  <c r="AB369" i="1" s="1"/>
  <c r="J26" i="26"/>
  <c r="H2887" i="16"/>
  <c r="H2903" i="16" s="1"/>
  <c r="J3386" i="16"/>
  <c r="K2718" i="16"/>
  <c r="AF119" i="1"/>
  <c r="Y60" i="9"/>
  <c r="AG207" i="1"/>
  <c r="AM109" i="18" s="1"/>
  <c r="AA119" i="1"/>
  <c r="AG23" i="18"/>
  <c r="AG24" i="18" s="1"/>
  <c r="AF145" i="1"/>
  <c r="AF154" i="1" s="1"/>
  <c r="X23" i="26"/>
  <c r="X22" i="26"/>
  <c r="X20" i="26"/>
  <c r="X19" i="26"/>
  <c r="Z60" i="9"/>
  <c r="AF202" i="13"/>
  <c r="AH125" i="1"/>
  <c r="AH207" i="1"/>
  <c r="AN109" i="18" s="1"/>
  <c r="AH119" i="1"/>
  <c r="AN19" i="18"/>
  <c r="Q3386" i="16"/>
  <c r="I38" i="30"/>
  <c r="I39" i="30" s="1"/>
  <c r="X21" i="26"/>
  <c r="AL23" i="18"/>
  <c r="AL24" i="18" s="1"/>
  <c r="AF207" i="1"/>
  <c r="AL109" i="18" s="1"/>
  <c r="X60" i="9"/>
  <c r="AD202" i="13"/>
  <c r="G3044" i="16"/>
  <c r="G3048" i="16" s="1"/>
  <c r="S60" i="9"/>
  <c r="Y202" i="13"/>
  <c r="H2718" i="16"/>
  <c r="X202" i="13"/>
  <c r="R60" i="9"/>
  <c r="Z207" i="1"/>
  <c r="AF109" i="18" s="1"/>
  <c r="Z119" i="1"/>
  <c r="Z125" i="1"/>
  <c r="AE138" i="1"/>
  <c r="I2718" i="16"/>
  <c r="AF23" i="18"/>
  <c r="AF24" i="18" s="1"/>
  <c r="AH501" i="1"/>
  <c r="AE24" i="7"/>
  <c r="AK19" i="18"/>
  <c r="AA207" i="1"/>
  <c r="AG109" i="18" s="1"/>
  <c r="AA145" i="1"/>
  <c r="AG19" i="18"/>
  <c r="AA501" i="1"/>
  <c r="X24" i="7"/>
  <c r="AC501" i="1"/>
  <c r="AC145" i="1"/>
  <c r="Z24" i="7"/>
  <c r="AC138" i="1"/>
  <c r="AC119" i="1"/>
  <c r="AC207" i="1"/>
  <c r="AI109" i="18" s="1"/>
  <c r="AA202" i="13"/>
  <c r="U60" i="9"/>
  <c r="AC125" i="1"/>
  <c r="K18" i="26"/>
  <c r="K26" i="26"/>
  <c r="K28" i="26" s="1"/>
  <c r="K29" i="26" s="1"/>
  <c r="J2887" i="16"/>
  <c r="J2903" i="16" s="1"/>
  <c r="AK23" i="18"/>
  <c r="AK24" i="18" s="1"/>
  <c r="AE125" i="1"/>
  <c r="AE119" i="1"/>
  <c r="AE207" i="1"/>
  <c r="AK109" i="18" s="1"/>
  <c r="AC202" i="13"/>
  <c r="W60" i="9"/>
  <c r="AE501" i="1"/>
  <c r="AE145" i="1"/>
  <c r="AE154" i="1" s="1"/>
  <c r="AB24" i="7"/>
  <c r="AI19" i="18"/>
  <c r="Z22" i="29"/>
  <c r="Z29" i="29"/>
  <c r="I3386" i="16"/>
  <c r="I3405" i="16"/>
  <c r="BS3330" i="16" s="1"/>
  <c r="Z48" i="1"/>
  <c r="Z43" i="1"/>
  <c r="AE124" i="1"/>
  <c r="W52" i="9"/>
  <c r="W58" i="9"/>
  <c r="Y56" i="26"/>
  <c r="Y44" i="26"/>
  <c r="Y14" i="26" s="1"/>
  <c r="K36" i="30"/>
  <c r="K38" i="30"/>
  <c r="K39" i="30" s="1"/>
  <c r="AJ23" i="18"/>
  <c r="AJ24" i="18" s="1"/>
  <c r="AD119" i="1"/>
  <c r="AD207" i="1"/>
  <c r="AB202" i="13"/>
  <c r="V60" i="9"/>
  <c r="AD125" i="1"/>
  <c r="G2983" i="16"/>
  <c r="G2995" i="16"/>
  <c r="G2996" i="16" s="1"/>
  <c r="G2987" i="16"/>
  <c r="G3007" i="16"/>
  <c r="AE42" i="1"/>
  <c r="AE47" i="1"/>
  <c r="AH48" i="1"/>
  <c r="AH43" i="1"/>
  <c r="W13" i="26"/>
  <c r="W15" i="26"/>
  <c r="W16" i="26"/>
  <c r="W17" i="26"/>
  <c r="J2718" i="16"/>
  <c r="AH23" i="18"/>
  <c r="AH24" i="18" s="1"/>
  <c r="AB125" i="1"/>
  <c r="AB119" i="1"/>
  <c r="Z202" i="13"/>
  <c r="T60" i="9"/>
  <c r="AB207" i="1"/>
  <c r="AD42" i="1"/>
  <c r="AD47" i="1"/>
  <c r="L38" i="30"/>
  <c r="L39" i="30" s="1"/>
  <c r="L36" i="30"/>
  <c r="AJ19" i="18"/>
  <c r="AD145" i="1"/>
  <c r="AD154" i="1" s="1"/>
  <c r="AD501" i="1"/>
  <c r="AA24" i="7"/>
  <c r="W21" i="26"/>
  <c r="W22" i="26"/>
  <c r="W19" i="26"/>
  <c r="W23" i="26"/>
  <c r="AC124" i="1"/>
  <c r="U58" i="9"/>
  <c r="U52" i="9"/>
  <c r="V22" i="26"/>
  <c r="V19" i="26"/>
  <c r="V23" i="26"/>
  <c r="V21" i="26"/>
  <c r="AG48" i="1"/>
  <c r="AC47" i="1"/>
  <c r="AC42" i="1"/>
  <c r="N3386" i="16"/>
  <c r="N3405" i="16"/>
  <c r="BX3330" i="16" s="1"/>
  <c r="AG43" i="1"/>
  <c r="V16" i="26"/>
  <c r="V17" i="26"/>
  <c r="V13" i="26"/>
  <c r="V15" i="26"/>
  <c r="P3386" i="16"/>
  <c r="P3405" i="16"/>
  <c r="BZ3330" i="16" s="1"/>
  <c r="J38" i="30"/>
  <c r="J39" i="30" s="1"/>
  <c r="J36" i="30"/>
  <c r="M36" i="30"/>
  <c r="M38" i="30"/>
  <c r="M39" i="30" s="1"/>
  <c r="I2982" i="16"/>
  <c r="H2983" i="16"/>
  <c r="H2995" i="16"/>
  <c r="H2996" i="16" s="1"/>
  <c r="H2987" i="16"/>
  <c r="H3007" i="16"/>
  <c r="H3038" i="16"/>
  <c r="I3036" i="16"/>
  <c r="AA47" i="1"/>
  <c r="AA42" i="1"/>
  <c r="AB48" i="1" s="1"/>
  <c r="G2888" i="16"/>
  <c r="G2904" i="16" s="1"/>
  <c r="Z154" i="1"/>
  <c r="AD138" i="1"/>
  <c r="W20" i="26"/>
  <c r="I2887" i="16"/>
  <c r="I2903" i="16" s="1"/>
  <c r="AH19" i="18"/>
  <c r="AB145" i="1"/>
  <c r="AB501" i="1"/>
  <c r="Y24" i="7"/>
  <c r="AD69" i="7" l="1"/>
  <c r="W69" i="7"/>
  <c r="BO3405" i="16"/>
  <c r="BI3330" i="16" s="1"/>
  <c r="BH3405" i="16"/>
  <c r="BM3405" i="16"/>
  <c r="BG3330" i="16" s="1"/>
  <c r="AC69" i="7"/>
  <c r="O3405" i="16"/>
  <c r="BY3330" i="16" s="1"/>
  <c r="I28" i="26"/>
  <c r="N26" i="26"/>
  <c r="J28" i="26"/>
  <c r="J29" i="26" s="1"/>
  <c r="AA191" i="1"/>
  <c r="AC369" i="1"/>
  <c r="AD369" i="1" s="1"/>
  <c r="AB191" i="1"/>
  <c r="E89" i="9"/>
  <c r="F89" i="9" s="1"/>
  <c r="C89" i="9"/>
  <c r="Q3405" i="16"/>
  <c r="J3405" i="16"/>
  <c r="G3045" i="16"/>
  <c r="I3068" i="16" s="1"/>
  <c r="AN181" i="18"/>
  <c r="AE69" i="7"/>
  <c r="AG181" i="18"/>
  <c r="X69" i="7"/>
  <c r="AL24" i="7"/>
  <c r="I3200" i="16" s="1"/>
  <c r="H2888" i="16"/>
  <c r="H2904" i="16" s="1"/>
  <c r="AA154" i="1"/>
  <c r="AK181" i="18"/>
  <c r="AB69" i="7"/>
  <c r="AI181" i="18"/>
  <c r="Z69" i="7"/>
  <c r="J2888" i="16"/>
  <c r="J2904" i="16" s="1"/>
  <c r="AC154" i="1"/>
  <c r="L3386" i="16"/>
  <c r="L3405" i="16"/>
  <c r="G3010" i="16"/>
  <c r="G3011" i="16" s="1"/>
  <c r="G3008" i="16"/>
  <c r="K3405" i="16"/>
  <c r="BU3330" i="16" s="1"/>
  <c r="K3386" i="16"/>
  <c r="AB43" i="1"/>
  <c r="C81" i="9"/>
  <c r="G81" i="9" s="1"/>
  <c r="Y59" i="26"/>
  <c r="Y20" i="26" s="1"/>
  <c r="Y13" i="26"/>
  <c r="Y15" i="26"/>
  <c r="Y16" i="26"/>
  <c r="Y17" i="26"/>
  <c r="I2888" i="16"/>
  <c r="I2904" i="16" s="1"/>
  <c r="AB154" i="1"/>
  <c r="N3407" i="16"/>
  <c r="C85" i="9"/>
  <c r="G85" i="9" s="1"/>
  <c r="H85" i="9" s="1"/>
  <c r="G7" i="9" s="1"/>
  <c r="I3038" i="16"/>
  <c r="H3041" i="16"/>
  <c r="AH181" i="18"/>
  <c r="Y69" i="7"/>
  <c r="AH109" i="18"/>
  <c r="AA48" i="1"/>
  <c r="AA43" i="1"/>
  <c r="I3407" i="16"/>
  <c r="H3008" i="16"/>
  <c r="H3010" i="16"/>
  <c r="H3011" i="16" s="1"/>
  <c r="AE43" i="1"/>
  <c r="AE48" i="1"/>
  <c r="AJ109" i="18"/>
  <c r="AF43" i="1"/>
  <c r="AJ181" i="18"/>
  <c r="AA69" i="7"/>
  <c r="P3407" i="16"/>
  <c r="AC43" i="1"/>
  <c r="AC48" i="1"/>
  <c r="AF48" i="1"/>
  <c r="AD43" i="1"/>
  <c r="AD48" i="1"/>
  <c r="M3405" i="16"/>
  <c r="BW3330" i="16" s="1"/>
  <c r="M3386" i="16"/>
  <c r="BP3405" i="16" l="1"/>
  <c r="BJ3330" i="16" s="1"/>
  <c r="CA3330" i="16"/>
  <c r="BI3405" i="16"/>
  <c r="BC3330" i="16" s="1"/>
  <c r="BT3330" i="16"/>
  <c r="BH3407" i="16"/>
  <c r="BB3332" i="16" s="1"/>
  <c r="BB3330" i="16"/>
  <c r="BK3405" i="16"/>
  <c r="BE3330" i="16" s="1"/>
  <c r="BV3330" i="16"/>
  <c r="BM3407" i="16"/>
  <c r="BG3332" i="16" s="1"/>
  <c r="BJ3405" i="16"/>
  <c r="BD3330" i="16" s="1"/>
  <c r="BL3405" i="16"/>
  <c r="BF3330" i="16" s="1"/>
  <c r="BX3332" i="16"/>
  <c r="N3410" i="16"/>
  <c r="BZ3332" i="16"/>
  <c r="P3410" i="16"/>
  <c r="BZ3335" i="16" s="1"/>
  <c r="BI3407" i="16"/>
  <c r="BC3332" i="16" s="1"/>
  <c r="BO3407" i="16"/>
  <c r="BI3332" i="16" s="1"/>
  <c r="BN3405" i="16"/>
  <c r="BH3330" i="16" s="1"/>
  <c r="BP3407" i="16"/>
  <c r="BJ3332" i="16" s="1"/>
  <c r="Q3407" i="16"/>
  <c r="O3407" i="16"/>
  <c r="I3415" i="16"/>
  <c r="BS3332" i="16"/>
  <c r="L3407" i="16"/>
  <c r="L3410" i="16" s="1"/>
  <c r="J3407" i="16"/>
  <c r="I29" i="26"/>
  <c r="N29" i="26" s="1"/>
  <c r="N28" i="26"/>
  <c r="AC191" i="1"/>
  <c r="I3099" i="16"/>
  <c r="W65" i="7"/>
  <c r="G89" i="9"/>
  <c r="H89" i="9" s="1"/>
  <c r="G11" i="9" s="1"/>
  <c r="D11" i="9" s="1"/>
  <c r="G9" i="9"/>
  <c r="D7" i="9"/>
  <c r="C2113" i="16" s="1"/>
  <c r="E7" i="9"/>
  <c r="AJ22" i="9"/>
  <c r="D49" i="21"/>
  <c r="AH7" i="9"/>
  <c r="G108" i="9"/>
  <c r="Y21" i="26"/>
  <c r="Y19" i="26"/>
  <c r="Y22" i="26"/>
  <c r="Y23" i="26"/>
  <c r="I3414" i="16"/>
  <c r="K3407" i="16"/>
  <c r="H3044" i="16"/>
  <c r="H3047" i="16"/>
  <c r="I3041" i="16"/>
  <c r="M3407" i="16"/>
  <c r="AE369" i="1"/>
  <c r="AD191" i="1"/>
  <c r="BH3415" i="16" l="1"/>
  <c r="BH3414" i="16"/>
  <c r="BK3407" i="16"/>
  <c r="BE3332" i="16" s="1"/>
  <c r="BL3407" i="16"/>
  <c r="BF3332" i="16" s="1"/>
  <c r="BP3410" i="16"/>
  <c r="BP3415" i="16"/>
  <c r="BK3410" i="16"/>
  <c r="BE3335" i="16" s="1"/>
  <c r="CA3332" i="16"/>
  <c r="Q3410" i="16"/>
  <c r="Q3415" i="16" s="1"/>
  <c r="BJ3407" i="16"/>
  <c r="BD3332" i="16" s="1"/>
  <c r="BU3332" i="16"/>
  <c r="K3410" i="16"/>
  <c r="BW3332" i="16"/>
  <c r="M3410" i="16"/>
  <c r="BI3410" i="16"/>
  <c r="BC3335" i="16" s="1"/>
  <c r="BT3332" i="16"/>
  <c r="J3410" i="16"/>
  <c r="I3411" i="16" s="1"/>
  <c r="BN3407" i="16"/>
  <c r="BH3332" i="16" s="1"/>
  <c r="BY3332" i="16"/>
  <c r="O3410" i="16"/>
  <c r="O3415" i="16" s="1"/>
  <c r="BO3410" i="16"/>
  <c r="BI3335" i="16" s="1"/>
  <c r="BM3410" i="16"/>
  <c r="BG3335" i="16" s="1"/>
  <c r="BV3332" i="16"/>
  <c r="N3415" i="16"/>
  <c r="BX3335" i="16"/>
  <c r="E11" i="9"/>
  <c r="AK22" i="9"/>
  <c r="N3412" i="16"/>
  <c r="N3414" i="16"/>
  <c r="N3428" i="16" s="1"/>
  <c r="AJ25" i="9"/>
  <c r="G23" i="9"/>
  <c r="G103" i="9"/>
  <c r="H103" i="9" s="1"/>
  <c r="J103" i="9" s="1"/>
  <c r="H108" i="9"/>
  <c r="G106" i="9"/>
  <c r="H106" i="9" s="1"/>
  <c r="J106" i="9" s="1"/>
  <c r="G104" i="9"/>
  <c r="H104" i="9" s="1"/>
  <c r="J104" i="9" s="1"/>
  <c r="G107" i="9"/>
  <c r="H107" i="9" s="1"/>
  <c r="J107" i="9" s="1"/>
  <c r="G105" i="9"/>
  <c r="H105" i="9" s="1"/>
  <c r="J105" i="9" s="1"/>
  <c r="G102" i="9"/>
  <c r="H102" i="9" s="1"/>
  <c r="J102" i="9" s="1"/>
  <c r="AF369" i="1"/>
  <c r="AE191" i="1"/>
  <c r="P3412" i="16"/>
  <c r="P3414" i="16"/>
  <c r="P3428" i="16" s="1"/>
  <c r="I3044" i="16"/>
  <c r="H3045" i="16"/>
  <c r="H3048" i="16"/>
  <c r="P3415" i="16"/>
  <c r="D9" i="9"/>
  <c r="E9" i="9"/>
  <c r="BM3415" i="16" l="1"/>
  <c r="BK3415" i="16"/>
  <c r="CA3335" i="16"/>
  <c r="Q3412" i="16"/>
  <c r="CA3337" i="16" s="1"/>
  <c r="BX3343" i="16"/>
  <c r="BM3428" i="16"/>
  <c r="BG3343" i="16" s="1"/>
  <c r="Q3414" i="16"/>
  <c r="Q3428" i="16" s="1"/>
  <c r="BZ3343" i="16"/>
  <c r="BO3428" i="16"/>
  <c r="BI3343" i="16" s="1"/>
  <c r="BP3414" i="16"/>
  <c r="BJ3335" i="16"/>
  <c r="BK3412" i="16"/>
  <c r="BK3414" i="16"/>
  <c r="BO3412" i="16"/>
  <c r="BO3414" i="16"/>
  <c r="BN3410" i="16"/>
  <c r="BH3335" i="16" s="1"/>
  <c r="BP3412" i="16"/>
  <c r="BT3335" i="16"/>
  <c r="BH3411" i="16"/>
  <c r="BB3336" i="16" s="1"/>
  <c r="BI3412" i="16"/>
  <c r="BI3414" i="16"/>
  <c r="BM3412" i="16"/>
  <c r="BM3414" i="16"/>
  <c r="BJ3410" i="16"/>
  <c r="BJ3415" i="16" s="1"/>
  <c r="BO3415" i="16"/>
  <c r="BI3415" i="16"/>
  <c r="BL3410" i="16"/>
  <c r="BF3335" i="16" s="1"/>
  <c r="J3414" i="16"/>
  <c r="J3428" i="16" s="1"/>
  <c r="BS3336" i="16"/>
  <c r="J3412" i="16"/>
  <c r="BT3337" i="16" s="1"/>
  <c r="J3415" i="16"/>
  <c r="O3412" i="16"/>
  <c r="O3420" i="16" s="1"/>
  <c r="O3421" i="16" s="1"/>
  <c r="BY3338" i="16" s="1"/>
  <c r="O3414" i="16"/>
  <c r="O3428" i="16" s="1"/>
  <c r="BY3335" i="16"/>
  <c r="P3420" i="16"/>
  <c r="P3421" i="16" s="1"/>
  <c r="BZ3338" i="16" s="1"/>
  <c r="BZ3337" i="16"/>
  <c r="N3420" i="16"/>
  <c r="N3421" i="16" s="1"/>
  <c r="BX3338" i="16" s="1"/>
  <c r="BX3337" i="16"/>
  <c r="K3412" i="16"/>
  <c r="BU3335" i="16"/>
  <c r="BV3335" i="16"/>
  <c r="L3412" i="16"/>
  <c r="L3415" i="16"/>
  <c r="L3414" i="16"/>
  <c r="L3428" i="16" s="1"/>
  <c r="M3415" i="16"/>
  <c r="BW3335" i="16"/>
  <c r="Q3420" i="16"/>
  <c r="Q3421" i="16" s="1"/>
  <c r="K3414" i="16"/>
  <c r="K3428" i="16" s="1"/>
  <c r="I3045" i="16"/>
  <c r="X65" i="7"/>
  <c r="M3412" i="16"/>
  <c r="M3414" i="16"/>
  <c r="M3428" i="16" s="1"/>
  <c r="AG369" i="1"/>
  <c r="AF191" i="1"/>
  <c r="G24" i="9"/>
  <c r="AH23" i="9"/>
  <c r="D2113" i="16"/>
  <c r="D2117" i="16" s="1"/>
  <c r="J108" i="9"/>
  <c r="I3416" i="16"/>
  <c r="I3428" i="16" s="1"/>
  <c r="I3412" i="16"/>
  <c r="K3415" i="16"/>
  <c r="BL3415" i="16" l="1"/>
  <c r="J3420" i="16"/>
  <c r="J3421" i="16" s="1"/>
  <c r="BT3338" i="16" s="1"/>
  <c r="BJ3414" i="16"/>
  <c r="BD3335" i="16"/>
  <c r="BN3415" i="16"/>
  <c r="BV3343" i="16"/>
  <c r="BK3428" i="16"/>
  <c r="BE3343" i="16" s="1"/>
  <c r="BM3420" i="16"/>
  <c r="BM3421" i="16" s="1"/>
  <c r="BG3338" i="16" s="1"/>
  <c r="BG3337" i="16"/>
  <c r="CA3343" i="16"/>
  <c r="BP3428" i="16"/>
  <c r="BJ3343" i="16" s="1"/>
  <c r="BW3343" i="16"/>
  <c r="BL3428" i="16"/>
  <c r="BF3343" i="16" s="1"/>
  <c r="BO3420" i="16"/>
  <c r="BO3421" i="16" s="1"/>
  <c r="BI3338" i="16" s="1"/>
  <c r="BI3337" i="16"/>
  <c r="BT3343" i="16"/>
  <c r="BI3428" i="16"/>
  <c r="BC3343" i="16" s="1"/>
  <c r="BU3343" i="16"/>
  <c r="BJ3428" i="16"/>
  <c r="BD3343" i="16" s="1"/>
  <c r="BI3420" i="16"/>
  <c r="BI3421" i="16" s="1"/>
  <c r="BC3338" i="16" s="1"/>
  <c r="BC3337" i="16"/>
  <c r="BP3420" i="16"/>
  <c r="BP3421" i="16" s="1"/>
  <c r="BJ3337" i="16"/>
  <c r="BY3343" i="16"/>
  <c r="BN3428" i="16"/>
  <c r="BH3343" i="16" s="1"/>
  <c r="BK3420" i="16"/>
  <c r="BK3421" i="16" s="1"/>
  <c r="BE3338" i="16" s="1"/>
  <c r="BE3337" i="16"/>
  <c r="BS3343" i="16"/>
  <c r="BH3428" i="16"/>
  <c r="BB3343" i="16" s="1"/>
  <c r="BJ3412" i="16"/>
  <c r="BN3412" i="16"/>
  <c r="BN3414" i="16"/>
  <c r="BL3412" i="16"/>
  <c r="BL3414" i="16"/>
  <c r="BH3416" i="16"/>
  <c r="BH3412" i="16"/>
  <c r="BY3337" i="16"/>
  <c r="K3420" i="16"/>
  <c r="K3421" i="16" s="1"/>
  <c r="BU3338" i="16" s="1"/>
  <c r="BU3337" i="16"/>
  <c r="M3420" i="16"/>
  <c r="M3421" i="16" s="1"/>
  <c r="BW3338" i="16" s="1"/>
  <c r="BW3337" i="16"/>
  <c r="I3420" i="16"/>
  <c r="I3421" i="16" s="1"/>
  <c r="BS3338" i="16" s="1"/>
  <c r="BS3337" i="16"/>
  <c r="L3420" i="16"/>
  <c r="L3421" i="16" s="1"/>
  <c r="BV3338" i="16" s="1"/>
  <c r="BV3337" i="16"/>
  <c r="C3454" i="16"/>
  <c r="E3454" i="16" s="1"/>
  <c r="CA3338" i="16"/>
  <c r="N10" i="18"/>
  <c r="O10" i="18" s="1"/>
  <c r="P10" i="18" s="1"/>
  <c r="Q10" i="18" s="1"/>
  <c r="R10" i="18" s="1"/>
  <c r="S10" i="18" s="1"/>
  <c r="T10" i="18" s="1"/>
  <c r="U10" i="18" s="1"/>
  <c r="V10" i="18" s="1"/>
  <c r="W10" i="18" s="1"/>
  <c r="X10" i="18" s="1"/>
  <c r="Y10" i="18" s="1"/>
  <c r="Z10" i="18" s="1"/>
  <c r="AA10" i="18" s="1"/>
  <c r="AB10" i="18" s="1"/>
  <c r="AC10" i="18" s="1"/>
  <c r="AD10" i="18" s="1"/>
  <c r="AE10" i="18" s="1"/>
  <c r="AF10" i="18" s="1"/>
  <c r="AG10" i="18" s="1"/>
  <c r="AH10" i="18" s="1"/>
  <c r="AI10" i="18" s="1"/>
  <c r="AJ10" i="18" s="1"/>
  <c r="AK10" i="18" s="1"/>
  <c r="AL10" i="18" s="1"/>
  <c r="AM10" i="18" s="1"/>
  <c r="AN10" i="18" s="1"/>
  <c r="F13" i="7"/>
  <c r="AH24" i="9"/>
  <c r="G27" i="9"/>
  <c r="AH369" i="1"/>
  <c r="AH191" i="1" s="1"/>
  <c r="AG191" i="1"/>
  <c r="BL3420" i="16" l="1"/>
  <c r="BL3421" i="16" s="1"/>
  <c r="BF3338" i="16" s="1"/>
  <c r="BF3337" i="16"/>
  <c r="BN3420" i="16"/>
  <c r="BN3421" i="16" s="1"/>
  <c r="BH3338" i="16" s="1"/>
  <c r="BH3337" i="16"/>
  <c r="BJ3420" i="16"/>
  <c r="BJ3421" i="16" s="1"/>
  <c r="BD3338" i="16" s="1"/>
  <c r="BD3337" i="16"/>
  <c r="BJ3338" i="16"/>
  <c r="H3454" i="16"/>
  <c r="H3455" i="16" s="1"/>
  <c r="BM3333" i="16"/>
  <c r="E3455" i="16"/>
  <c r="BM3334" i="16" s="1"/>
  <c r="BH3420" i="16"/>
  <c r="BH3421" i="16" s="1"/>
  <c r="BB3337" i="16"/>
  <c r="C3453" i="16"/>
  <c r="E3453" i="16" s="1"/>
  <c r="C3455" i="16"/>
  <c r="CD3334" i="16" s="1"/>
  <c r="CD3333" i="16"/>
  <c r="G13" i="7"/>
  <c r="F17" i="7"/>
  <c r="E13" i="7"/>
  <c r="E17" i="7" s="1"/>
  <c r="D81" i="30"/>
  <c r="H16" i="9"/>
  <c r="AH27" i="9"/>
  <c r="H15" i="9"/>
  <c r="H5" i="9"/>
  <c r="AN34" i="9" s="1"/>
  <c r="BM3332" i="16" l="1"/>
  <c r="E3456" i="16"/>
  <c r="BB3338" i="16"/>
  <c r="H3453" i="16"/>
  <c r="H3456" i="16" s="1"/>
  <c r="C3456" i="16"/>
  <c r="BM3336" i="16" s="1"/>
  <c r="CD3332" i="16"/>
  <c r="AN38" i="9"/>
  <c r="E45" i="7"/>
  <c r="E46" i="7" s="1"/>
  <c r="E44" i="7"/>
  <c r="F45" i="7"/>
  <c r="F46" i="7" s="1"/>
  <c r="F44" i="7"/>
  <c r="H13" i="7"/>
  <c r="G17" i="7"/>
  <c r="E3465" i="16" l="1"/>
  <c r="BM3344" i="16" s="1"/>
  <c r="BM3335" i="16"/>
  <c r="C3336" i="16"/>
  <c r="E3336" i="16" s="1"/>
  <c r="BS3303" i="16" s="1"/>
  <c r="CD3335" i="16"/>
  <c r="CD3336" i="16" s="1"/>
  <c r="C3465" i="16"/>
  <c r="CD3344" i="16" s="1"/>
  <c r="H17" i="7"/>
  <c r="I13" i="7"/>
  <c r="G45" i="7"/>
  <c r="G46" i="7" s="1"/>
  <c r="G44" i="7"/>
  <c r="C3337" i="16" l="1"/>
  <c r="J13" i="7"/>
  <c r="I17" i="7"/>
  <c r="H44" i="7"/>
  <c r="H45" i="7"/>
  <c r="H46" i="7" s="1"/>
  <c r="C3338" i="16" l="1"/>
  <c r="BS3305" i="16"/>
  <c r="C3342" i="16"/>
  <c r="E3342" i="16" s="1"/>
  <c r="C3464" i="16"/>
  <c r="I44" i="7"/>
  <c r="I45" i="7"/>
  <c r="I46" i="7" s="1"/>
  <c r="J17" i="7"/>
  <c r="K13" i="7"/>
  <c r="D3338" i="16" l="1"/>
  <c r="E3464" i="16"/>
  <c r="C3343" i="16"/>
  <c r="C3345" i="16" s="1"/>
  <c r="I3431" i="16" s="1"/>
  <c r="BS3304" i="16"/>
  <c r="CD3343" i="16"/>
  <c r="C3467" i="16"/>
  <c r="J44" i="7"/>
  <c r="J45" i="7"/>
  <c r="J46" i="7" s="1"/>
  <c r="L13" i="7"/>
  <c r="K17" i="7"/>
  <c r="BM3343" i="16" l="1"/>
  <c r="E3467" i="16"/>
  <c r="E3343" i="16"/>
  <c r="E3345" i="16" s="1"/>
  <c r="L3431" i="16"/>
  <c r="O3389" i="16"/>
  <c r="O3393" i="16" s="1"/>
  <c r="N3389" i="16"/>
  <c r="N3393" i="16" s="1"/>
  <c r="K3431" i="16"/>
  <c r="M3431" i="16"/>
  <c r="M3389" i="16"/>
  <c r="M3393" i="16" s="1"/>
  <c r="J3431" i="16"/>
  <c r="I3389" i="16"/>
  <c r="I3393" i="16" s="1"/>
  <c r="P3389" i="16"/>
  <c r="P3393" i="16" s="1"/>
  <c r="P3431" i="16"/>
  <c r="N3431" i="16"/>
  <c r="J3389" i="16"/>
  <c r="J3393" i="16" s="1"/>
  <c r="Q3431" i="16"/>
  <c r="O3431" i="16"/>
  <c r="L3389" i="16"/>
  <c r="L3393" i="16" s="1"/>
  <c r="Q3389" i="16"/>
  <c r="Q3393" i="16" s="1"/>
  <c r="K3389" i="16"/>
  <c r="K3393" i="16" s="1"/>
  <c r="CD3346" i="16"/>
  <c r="L17" i="7"/>
  <c r="M13" i="7"/>
  <c r="K44" i="7"/>
  <c r="K45" i="7"/>
  <c r="K46" i="7" s="1"/>
  <c r="BH3431" i="16" l="1"/>
  <c r="BJ3431" i="16"/>
  <c r="BI3431" i="16"/>
  <c r="BK3431" i="16"/>
  <c r="BL3431" i="16"/>
  <c r="BM3431" i="16"/>
  <c r="BO3431" i="16"/>
  <c r="BN3431" i="16"/>
  <c r="BP3431" i="16"/>
  <c r="BM3346" i="16"/>
  <c r="O3437" i="16"/>
  <c r="BY3352" i="16" s="1"/>
  <c r="BY3347" i="16"/>
  <c r="J3437" i="16"/>
  <c r="BT3352" i="16" s="1"/>
  <c r="BT3347" i="16"/>
  <c r="Q3437" i="16"/>
  <c r="CA3352" i="16" s="1"/>
  <c r="CA3347" i="16"/>
  <c r="L3437" i="16"/>
  <c r="BV3352" i="16" s="1"/>
  <c r="BV3347" i="16"/>
  <c r="C3457" i="16"/>
  <c r="BS3347" i="16"/>
  <c r="I3437" i="16"/>
  <c r="BS3352" i="16" s="1"/>
  <c r="M3437" i="16"/>
  <c r="BW3352" i="16" s="1"/>
  <c r="BW3347" i="16"/>
  <c r="K3437" i="16"/>
  <c r="BU3352" i="16" s="1"/>
  <c r="BU3347" i="16"/>
  <c r="N3437" i="16"/>
  <c r="BX3352" i="16" s="1"/>
  <c r="BX3347" i="16"/>
  <c r="P3437" i="16"/>
  <c r="BZ3352" i="16" s="1"/>
  <c r="BZ3347" i="16"/>
  <c r="L44" i="7"/>
  <c r="L45" i="7"/>
  <c r="L46" i="7" s="1"/>
  <c r="N13" i="7"/>
  <c r="M17" i="7"/>
  <c r="BH3347" i="16" l="1"/>
  <c r="BN3437" i="16"/>
  <c r="BH3352" i="16" s="1"/>
  <c r="BI3347" i="16"/>
  <c r="BO3437" i="16"/>
  <c r="BI3352" i="16" s="1"/>
  <c r="BG3347" i="16"/>
  <c r="BM3437" i="16"/>
  <c r="BG3352" i="16" s="1"/>
  <c r="BF3347" i="16"/>
  <c r="BL3437" i="16"/>
  <c r="BF3352" i="16" s="1"/>
  <c r="BE3347" i="16"/>
  <c r="BK3437" i="16"/>
  <c r="BE3352" i="16" s="1"/>
  <c r="BI3437" i="16"/>
  <c r="BC3352" i="16" s="1"/>
  <c r="BC3347" i="16"/>
  <c r="BJ3437" i="16"/>
  <c r="BD3352" i="16" s="1"/>
  <c r="BD3347" i="16"/>
  <c r="BP3437" i="16"/>
  <c r="BJ3352" i="16" s="1"/>
  <c r="BJ3347" i="16"/>
  <c r="E3457" i="16"/>
  <c r="H3457" i="16"/>
  <c r="H3458" i="16" s="1"/>
  <c r="H3459" i="16" s="1"/>
  <c r="BH3437" i="16"/>
  <c r="BB3352" i="16" s="1"/>
  <c r="BB3347" i="16"/>
  <c r="C3458" i="16"/>
  <c r="C3459" i="16" s="1"/>
  <c r="C3468" i="16"/>
  <c r="M45" i="7"/>
  <c r="M46" i="7" s="1"/>
  <c r="M44" i="7"/>
  <c r="O13" i="7"/>
  <c r="N17" i="7"/>
  <c r="E3458" i="16" l="1"/>
  <c r="E3459" i="16" s="1"/>
  <c r="E3469" i="16"/>
  <c r="E3470" i="16" s="1"/>
  <c r="BM3347" i="16" s="1"/>
  <c r="BM3348" i="16" s="1"/>
  <c r="C3469" i="16"/>
  <c r="CD3347" i="16"/>
  <c r="N45" i="7"/>
  <c r="N46" i="7" s="1"/>
  <c r="N44" i="7"/>
  <c r="P13" i="7"/>
  <c r="O17" i="7"/>
  <c r="G40" i="9" l="1"/>
  <c r="CD3348" i="16"/>
  <c r="CD3349" i="16" s="1"/>
  <c r="Q13" i="7"/>
  <c r="P17" i="7"/>
  <c r="C1600" i="16"/>
  <c r="C1558" i="16"/>
  <c r="O45" i="7"/>
  <c r="O46" i="7" s="1"/>
  <c r="O44" i="7"/>
  <c r="C1559" i="16"/>
  <c r="C1601" i="16"/>
  <c r="D1600" i="16" l="1"/>
  <c r="D1558" i="16"/>
  <c r="D1559" i="16"/>
  <c r="D1601" i="16"/>
  <c r="P44" i="7"/>
  <c r="P45" i="7"/>
  <c r="P46" i="7" s="1"/>
  <c r="R13" i="7"/>
  <c r="Q17" i="7"/>
  <c r="R62" i="7" l="1"/>
  <c r="S13" i="7"/>
  <c r="R17" i="7"/>
  <c r="E1601" i="16"/>
  <c r="E1559" i="16"/>
  <c r="Q44" i="7"/>
  <c r="C3374" i="16" s="1"/>
  <c r="Q45" i="7"/>
  <c r="Q46" i="7" s="1"/>
  <c r="E1558" i="16"/>
  <c r="E1600" i="16"/>
  <c r="C3373" i="16" l="1"/>
  <c r="BB3374" i="16"/>
  <c r="BB3373" i="16" s="1"/>
  <c r="R44" i="7"/>
  <c r="D3374" i="16" s="1"/>
  <c r="R45" i="7"/>
  <c r="R46" i="7" s="1"/>
  <c r="T13" i="7"/>
  <c r="S62" i="7"/>
  <c r="S17" i="7"/>
  <c r="C10" i="26"/>
  <c r="C12" i="26" s="1"/>
  <c r="R63" i="7"/>
  <c r="D3373" i="16" l="1"/>
  <c r="BC3374" i="16"/>
  <c r="BC3373" i="16" s="1"/>
  <c r="S45" i="7"/>
  <c r="S46" i="7" s="1"/>
  <c r="S44" i="7"/>
  <c r="E3374" i="16" s="1"/>
  <c r="T62" i="7"/>
  <c r="U13" i="7"/>
  <c r="T17" i="7"/>
  <c r="Q6" i="26"/>
  <c r="Q5" i="26"/>
  <c r="Q8" i="26"/>
  <c r="Q7" i="26"/>
  <c r="C2649" i="16"/>
  <c r="R66" i="7"/>
  <c r="D10" i="26"/>
  <c r="D12" i="26" s="1"/>
  <c r="S63" i="7"/>
  <c r="S66" i="7" s="1"/>
  <c r="E3373" i="16" l="1"/>
  <c r="BD3374" i="16"/>
  <c r="BD3373" i="16" s="1"/>
  <c r="T44" i="7"/>
  <c r="F3374" i="16" s="1"/>
  <c r="T45" i="7"/>
  <c r="T46" i="7" s="1"/>
  <c r="U62" i="7"/>
  <c r="V13" i="7"/>
  <c r="U17" i="7"/>
  <c r="E10" i="26"/>
  <c r="E12" i="26" s="1"/>
  <c r="T63" i="7"/>
  <c r="T66" i="7" s="1"/>
  <c r="F3373" i="16" l="1"/>
  <c r="BE3374" i="16"/>
  <c r="BE3373" i="16" s="1"/>
  <c r="D3068" i="16"/>
  <c r="D3099" i="16"/>
  <c r="U45" i="7"/>
  <c r="U46" i="7" s="1"/>
  <c r="U44" i="7"/>
  <c r="F10" i="26"/>
  <c r="F12" i="26" s="1"/>
  <c r="U63" i="7"/>
  <c r="U66" i="7" s="1"/>
  <c r="W13" i="7"/>
  <c r="V62" i="7"/>
  <c r="G10" i="26" s="1"/>
  <c r="F2810" i="16" l="1"/>
  <c r="E3068" i="16"/>
  <c r="E3099" i="16"/>
  <c r="D3200" i="16"/>
  <c r="P3201" i="16" s="1"/>
  <c r="G3374" i="16"/>
  <c r="AL66" i="7"/>
  <c r="T6" i="26"/>
  <c r="T5" i="26"/>
  <c r="T7" i="26"/>
  <c r="T8" i="26"/>
  <c r="X13" i="7"/>
  <c r="W62" i="7"/>
  <c r="H10" i="26" s="1"/>
  <c r="G3373" i="16" l="1"/>
  <c r="BF3374" i="16"/>
  <c r="BF3373" i="16" s="1"/>
  <c r="X62" i="7"/>
  <c r="I10" i="26" s="1"/>
  <c r="Y13" i="7"/>
  <c r="Z13" i="7" l="1"/>
  <c r="Y62" i="7"/>
  <c r="J10" i="26" s="1"/>
  <c r="Z62" i="7" l="1"/>
  <c r="K10" i="26" s="1"/>
  <c r="AA13" i="7"/>
  <c r="AB13" i="7" l="1"/>
  <c r="AA62" i="7"/>
  <c r="L10" i="26" s="1"/>
  <c r="AB62" i="7" l="1"/>
  <c r="M10" i="26" s="1"/>
  <c r="AC13" i="7"/>
  <c r="AD13" i="7" l="1"/>
  <c r="AC62" i="7"/>
  <c r="AE13" i="7" l="1"/>
  <c r="AD62" i="7"/>
  <c r="AE62" i="7" l="1"/>
  <c r="D2119" i="16" l="1"/>
  <c r="D2121" i="16"/>
  <c r="D2122" i="16"/>
  <c r="G2749" i="16"/>
  <c r="S2749" i="16"/>
  <c r="G2779" i="16"/>
  <c r="S2779" i="16"/>
  <c r="G2810" i="16"/>
  <c r="F2889" i="16"/>
  <c r="G2889" i="16"/>
  <c r="H2889" i="16"/>
  <c r="I2889" i="16"/>
  <c r="J2889" i="16"/>
  <c r="F2905" i="16"/>
  <c r="G2905" i="16"/>
  <c r="H2905" i="16"/>
  <c r="I2905" i="16"/>
  <c r="J2905" i="16"/>
  <c r="G2924" i="16"/>
  <c r="G2928" i="16"/>
  <c r="H2928" i="16"/>
  <c r="I2928" i="16"/>
  <c r="G2931" i="16"/>
  <c r="G2933" i="16"/>
  <c r="G2935" i="16"/>
  <c r="F3061" i="16"/>
  <c r="G3061" i="16"/>
  <c r="I3061" i="16"/>
  <c r="F3068" i="16"/>
  <c r="G3068" i="16"/>
  <c r="F3075" i="16"/>
  <c r="G3075" i="16"/>
  <c r="F3092" i="16"/>
  <c r="G3092" i="16"/>
  <c r="I3092" i="16"/>
  <c r="F3099" i="16"/>
  <c r="G3099" i="16"/>
  <c r="I3137" i="16"/>
  <c r="J3137" i="16"/>
  <c r="K3137" i="16"/>
  <c r="L3137" i="16"/>
  <c r="M3137" i="16"/>
  <c r="N3137" i="16"/>
  <c r="O3137" i="16"/>
  <c r="P3137" i="16"/>
  <c r="I3138" i="16"/>
  <c r="J3138" i="16"/>
  <c r="K3138" i="16"/>
  <c r="L3138" i="16"/>
  <c r="M3138" i="16"/>
  <c r="N3138" i="16"/>
  <c r="O3138" i="16"/>
  <c r="P3138" i="16"/>
  <c r="I3139" i="16"/>
  <c r="J3139" i="16"/>
  <c r="K3139" i="16"/>
  <c r="L3139" i="16"/>
  <c r="M3139" i="16"/>
  <c r="N3139" i="16"/>
  <c r="O3139" i="16"/>
  <c r="P3139" i="16"/>
  <c r="I3192" i="16"/>
  <c r="E3200" i="16"/>
  <c r="F3200" i="16"/>
  <c r="G3200" i="16"/>
  <c r="Q3201" i="16"/>
  <c r="R3201" i="16"/>
  <c r="S3201" i="16"/>
  <c r="E3225" i="16"/>
  <c r="F3225" i="16"/>
  <c r="G3225" i="16"/>
  <c r="BB3342" i="16"/>
  <c r="BC3342" i="16"/>
  <c r="BD3342" i="16"/>
  <c r="BE3342" i="16"/>
  <c r="BF3342" i="16"/>
  <c r="BG3342" i="16"/>
  <c r="BH3342" i="16"/>
  <c r="BI3342" i="16"/>
  <c r="BJ3342" i="16"/>
  <c r="BS3342" i="16"/>
  <c r="BT3342" i="16"/>
  <c r="BU3342" i="16"/>
  <c r="BV3342" i="16"/>
  <c r="BW3342" i="16"/>
  <c r="BX3342" i="16"/>
  <c r="BY3342" i="16"/>
  <c r="BZ3342" i="16"/>
  <c r="CA3342" i="16"/>
  <c r="BB3344" i="16"/>
  <c r="BC3344" i="16"/>
  <c r="BD3344" i="16"/>
  <c r="BE3344" i="16"/>
  <c r="BF3344" i="16"/>
  <c r="BG3344" i="16"/>
  <c r="BH3344" i="16"/>
  <c r="BI3344" i="16"/>
  <c r="BJ3344" i="16"/>
  <c r="BS3344" i="16"/>
  <c r="BT3344" i="16"/>
  <c r="BU3344" i="16"/>
  <c r="BV3344" i="16"/>
  <c r="BW3344" i="16"/>
  <c r="BX3344" i="16"/>
  <c r="BY3344" i="16"/>
  <c r="BZ3344" i="16"/>
  <c r="CA3344" i="16"/>
  <c r="BB3346" i="16"/>
  <c r="BC3346" i="16"/>
  <c r="BD3346" i="16"/>
  <c r="BE3346" i="16"/>
  <c r="BF3346" i="16"/>
  <c r="BG3346" i="16"/>
  <c r="BH3346" i="16"/>
  <c r="BI3346" i="16"/>
  <c r="BJ3346" i="16"/>
  <c r="BS3346" i="16"/>
  <c r="BT3346" i="16"/>
  <c r="BU3346" i="16"/>
  <c r="BV3346" i="16"/>
  <c r="BW3346" i="16"/>
  <c r="BX3346" i="16"/>
  <c r="BY3346" i="16"/>
  <c r="BZ3346" i="16"/>
  <c r="CA3346" i="16"/>
  <c r="C3347" i="16"/>
  <c r="E3347" i="16"/>
  <c r="C3348" i="16"/>
  <c r="BB3348" i="16"/>
  <c r="BC3348" i="16"/>
  <c r="BD3348" i="16"/>
  <c r="BE3348" i="16"/>
  <c r="BF3348" i="16"/>
  <c r="BG3348" i="16"/>
  <c r="BH3348" i="16"/>
  <c r="BI3348" i="16"/>
  <c r="BJ3348" i="16"/>
  <c r="BS3348" i="16"/>
  <c r="BT3348" i="16"/>
  <c r="BU3348" i="16"/>
  <c r="BV3348" i="16"/>
  <c r="BW3348" i="16"/>
  <c r="BX3348" i="16"/>
  <c r="BY3348" i="16"/>
  <c r="BZ3348" i="16"/>
  <c r="CA3348" i="16"/>
  <c r="BB3349" i="16"/>
  <c r="BC3349" i="16"/>
  <c r="BD3349" i="16"/>
  <c r="BE3349" i="16"/>
  <c r="BF3349" i="16"/>
  <c r="BG3349" i="16"/>
  <c r="BH3349" i="16"/>
  <c r="BI3349" i="16"/>
  <c r="BJ3349" i="16"/>
  <c r="BS3349" i="16"/>
  <c r="BT3349" i="16"/>
  <c r="BU3349" i="16"/>
  <c r="BV3349" i="16"/>
  <c r="BW3349" i="16"/>
  <c r="BX3349" i="16"/>
  <c r="BY3349" i="16"/>
  <c r="BZ3349" i="16"/>
  <c r="CA3349" i="16"/>
  <c r="BB3350" i="16"/>
  <c r="BC3350" i="16"/>
  <c r="BD3350" i="16"/>
  <c r="BE3350" i="16"/>
  <c r="BF3350" i="16"/>
  <c r="BG3350" i="16"/>
  <c r="BH3350" i="16"/>
  <c r="BI3350" i="16"/>
  <c r="BJ3350" i="16"/>
  <c r="BS3350" i="16"/>
  <c r="BT3350" i="16"/>
  <c r="BU3350" i="16"/>
  <c r="BV3350" i="16"/>
  <c r="BW3350" i="16"/>
  <c r="BX3350" i="16"/>
  <c r="BY3350" i="16"/>
  <c r="BZ3350" i="16"/>
  <c r="CA3350" i="16"/>
  <c r="BB3353" i="16"/>
  <c r="BC3353" i="16"/>
  <c r="BD3353" i="16"/>
  <c r="BE3353" i="16"/>
  <c r="BF3353" i="16"/>
  <c r="BG3353" i="16"/>
  <c r="BH3353" i="16"/>
  <c r="BI3353" i="16"/>
  <c r="BJ3353" i="16"/>
  <c r="BS3353" i="16"/>
  <c r="BT3353" i="16"/>
  <c r="BU3353" i="16"/>
  <c r="BV3353" i="16"/>
  <c r="BW3353" i="16"/>
  <c r="BX3353" i="16"/>
  <c r="BY3353" i="16"/>
  <c r="BZ3353" i="16"/>
  <c r="CA3353" i="16"/>
  <c r="F3354" i="16"/>
  <c r="G3354" i="16"/>
  <c r="H3354" i="16"/>
  <c r="I3354" i="16"/>
  <c r="J3354" i="16"/>
  <c r="K3354" i="16"/>
  <c r="L3354" i="16"/>
  <c r="M3354" i="16"/>
  <c r="N3354" i="16"/>
  <c r="BB3354" i="16"/>
  <c r="BC3354" i="16"/>
  <c r="BD3354" i="16"/>
  <c r="BE3354" i="16"/>
  <c r="BF3354" i="16"/>
  <c r="BG3354" i="16"/>
  <c r="BH3354" i="16"/>
  <c r="BI3354" i="16"/>
  <c r="BJ3354" i="16"/>
  <c r="BS3354" i="16"/>
  <c r="BT3354" i="16"/>
  <c r="BU3354" i="16"/>
  <c r="BV3354" i="16"/>
  <c r="BW3354" i="16"/>
  <c r="BX3354" i="16"/>
  <c r="BY3354" i="16"/>
  <c r="BZ3354" i="16"/>
  <c r="CA3354" i="16"/>
  <c r="F3355" i="16"/>
  <c r="G3355" i="16"/>
  <c r="H3355" i="16"/>
  <c r="I3355" i="16"/>
  <c r="J3355" i="16"/>
  <c r="K3355" i="16"/>
  <c r="L3355" i="16"/>
  <c r="M3355" i="16"/>
  <c r="N3355" i="16"/>
  <c r="BB3355" i="16"/>
  <c r="BC3355" i="16"/>
  <c r="BD3355" i="16"/>
  <c r="BE3355" i="16"/>
  <c r="BF3355" i="16"/>
  <c r="BG3355" i="16"/>
  <c r="BH3355" i="16"/>
  <c r="BI3355" i="16"/>
  <c r="BJ3355" i="16"/>
  <c r="BS3355" i="16"/>
  <c r="BT3355" i="16"/>
  <c r="BU3355" i="16"/>
  <c r="BV3355" i="16"/>
  <c r="BW3355" i="16"/>
  <c r="BX3355" i="16"/>
  <c r="BY3355" i="16"/>
  <c r="BZ3355" i="16"/>
  <c r="CA3355" i="16"/>
  <c r="BB3356" i="16"/>
  <c r="BC3356" i="16"/>
  <c r="BD3356" i="16"/>
  <c r="BE3356" i="16"/>
  <c r="BF3356" i="16"/>
  <c r="BG3356" i="16"/>
  <c r="BH3356" i="16"/>
  <c r="BI3356" i="16"/>
  <c r="BJ3356" i="16"/>
  <c r="BS3356" i="16"/>
  <c r="BT3356" i="16"/>
  <c r="BU3356" i="16"/>
  <c r="BV3356" i="16"/>
  <c r="BW3356" i="16"/>
  <c r="BX3356" i="16"/>
  <c r="BY3356" i="16"/>
  <c r="BZ3356" i="16"/>
  <c r="CA3356" i="16"/>
  <c r="H3368" i="16"/>
  <c r="I3368" i="16"/>
  <c r="J3368" i="16"/>
  <c r="K3368" i="16"/>
  <c r="L3368" i="16"/>
  <c r="M3368" i="16"/>
  <c r="N3368" i="16"/>
  <c r="O3368" i="16"/>
  <c r="P3368" i="16"/>
  <c r="Q3368" i="16"/>
  <c r="BG3368" i="16"/>
  <c r="BH3368" i="16"/>
  <c r="BI3368" i="16"/>
  <c r="BJ3368" i="16"/>
  <c r="BK3368" i="16"/>
  <c r="BL3368" i="16"/>
  <c r="BM3368" i="16"/>
  <c r="BN3368" i="16"/>
  <c r="BO3368" i="16"/>
  <c r="BP3368" i="16"/>
  <c r="H3369" i="16"/>
  <c r="I3369" i="16"/>
  <c r="J3369" i="16"/>
  <c r="K3369" i="16"/>
  <c r="L3369" i="16"/>
  <c r="M3369" i="16"/>
  <c r="N3369" i="16"/>
  <c r="O3369" i="16"/>
  <c r="P3369" i="16"/>
  <c r="Q3369" i="16"/>
  <c r="BG3369" i="16"/>
  <c r="BH3369" i="16"/>
  <c r="BI3369" i="16"/>
  <c r="BJ3369" i="16"/>
  <c r="BK3369" i="16"/>
  <c r="BL3369" i="16"/>
  <c r="BM3369" i="16"/>
  <c r="BN3369" i="16"/>
  <c r="BO3369" i="16"/>
  <c r="BP3369" i="16"/>
  <c r="H3370" i="16"/>
  <c r="I3370" i="16"/>
  <c r="J3370" i="16"/>
  <c r="K3370" i="16"/>
  <c r="L3370" i="16"/>
  <c r="M3370" i="16"/>
  <c r="N3370" i="16"/>
  <c r="O3370" i="16"/>
  <c r="P3370" i="16"/>
  <c r="Q3370" i="16"/>
  <c r="BG3370" i="16"/>
  <c r="BH3370" i="16"/>
  <c r="BI3370" i="16"/>
  <c r="BJ3370" i="16"/>
  <c r="BK3370" i="16"/>
  <c r="BL3370" i="16"/>
  <c r="BM3370" i="16"/>
  <c r="BN3370" i="16"/>
  <c r="BO3370" i="16"/>
  <c r="BP3370" i="16"/>
  <c r="H3372" i="16"/>
  <c r="I3372" i="16"/>
  <c r="J3372" i="16"/>
  <c r="K3372" i="16"/>
  <c r="L3372" i="16"/>
  <c r="M3372" i="16"/>
  <c r="N3372" i="16"/>
  <c r="O3372" i="16"/>
  <c r="P3372" i="16"/>
  <c r="Q3372" i="16"/>
  <c r="BG3372" i="16"/>
  <c r="BH3372" i="16"/>
  <c r="BI3372" i="16"/>
  <c r="BJ3372" i="16"/>
  <c r="BK3372" i="16"/>
  <c r="BL3372" i="16"/>
  <c r="BM3372" i="16"/>
  <c r="BN3372" i="16"/>
  <c r="BO3372" i="16"/>
  <c r="BP3372" i="16"/>
  <c r="H3373" i="16"/>
  <c r="I3373" i="16"/>
  <c r="J3373" i="16"/>
  <c r="K3373" i="16"/>
  <c r="L3373" i="16"/>
  <c r="M3373" i="16"/>
  <c r="N3373" i="16"/>
  <c r="O3373" i="16"/>
  <c r="P3373" i="16"/>
  <c r="Q3373" i="16"/>
  <c r="BG3373" i="16"/>
  <c r="BH3373" i="16"/>
  <c r="BI3373" i="16"/>
  <c r="BJ3373" i="16"/>
  <c r="BK3373" i="16"/>
  <c r="BL3373" i="16"/>
  <c r="BM3373" i="16"/>
  <c r="BN3373" i="16"/>
  <c r="BO3373" i="16"/>
  <c r="BP3373" i="16"/>
  <c r="H3374" i="16"/>
  <c r="I3374" i="16"/>
  <c r="J3374" i="16"/>
  <c r="K3374" i="16"/>
  <c r="L3374" i="16"/>
  <c r="M3374" i="16"/>
  <c r="N3374" i="16"/>
  <c r="O3374" i="16"/>
  <c r="P3374" i="16"/>
  <c r="Q3374" i="16"/>
  <c r="BG3374" i="16"/>
  <c r="BH3374" i="16"/>
  <c r="BI3374" i="16"/>
  <c r="BJ3374" i="16"/>
  <c r="BK3374" i="16"/>
  <c r="BL3374" i="16"/>
  <c r="BM3374" i="16"/>
  <c r="BN3374" i="16"/>
  <c r="BO3374" i="16"/>
  <c r="BP3374" i="16"/>
  <c r="I3385" i="16"/>
  <c r="J3385" i="16"/>
  <c r="K3385" i="16"/>
  <c r="L3385" i="16"/>
  <c r="M3385" i="16"/>
  <c r="N3385" i="16"/>
  <c r="O3385" i="16"/>
  <c r="P3385" i="16"/>
  <c r="Q3385" i="16"/>
  <c r="I3387" i="16"/>
  <c r="J3387" i="16"/>
  <c r="K3387" i="16"/>
  <c r="L3387" i="16"/>
  <c r="M3387" i="16"/>
  <c r="N3387" i="16"/>
  <c r="O3387" i="16"/>
  <c r="P3387" i="16"/>
  <c r="Q3387" i="16"/>
  <c r="I3388" i="16"/>
  <c r="J3388" i="16"/>
  <c r="K3388" i="16"/>
  <c r="L3388" i="16"/>
  <c r="M3388" i="16"/>
  <c r="N3388" i="16"/>
  <c r="O3388" i="16"/>
  <c r="P3388" i="16"/>
  <c r="Q3388" i="16"/>
  <c r="I3390" i="16"/>
  <c r="J3390" i="16"/>
  <c r="K3390" i="16"/>
  <c r="L3390" i="16"/>
  <c r="M3390" i="16"/>
  <c r="N3390" i="16"/>
  <c r="O3390" i="16"/>
  <c r="P3390" i="16"/>
  <c r="Q3390" i="16"/>
  <c r="I3391" i="16"/>
  <c r="J3391" i="16"/>
  <c r="K3391" i="16"/>
  <c r="L3391" i="16"/>
  <c r="M3391" i="16"/>
  <c r="N3391" i="16"/>
  <c r="O3391" i="16"/>
  <c r="P3391" i="16"/>
  <c r="Q3391" i="16"/>
  <c r="I3394" i="16"/>
  <c r="J3394" i="16"/>
  <c r="K3394" i="16"/>
  <c r="L3394" i="16"/>
  <c r="M3394" i="16"/>
  <c r="N3394" i="16"/>
  <c r="O3394" i="16"/>
  <c r="P3394" i="16"/>
  <c r="Q3394" i="16"/>
  <c r="I3395" i="16"/>
  <c r="J3395" i="16"/>
  <c r="K3395" i="16"/>
  <c r="L3395" i="16"/>
  <c r="M3395" i="16"/>
  <c r="N3395" i="16"/>
  <c r="O3395" i="16"/>
  <c r="P3395" i="16"/>
  <c r="Q3395" i="16"/>
  <c r="I3396" i="16"/>
  <c r="J3396" i="16"/>
  <c r="K3396" i="16"/>
  <c r="L3396" i="16"/>
  <c r="M3396" i="16"/>
  <c r="N3396" i="16"/>
  <c r="O3396" i="16"/>
  <c r="P3396" i="16"/>
  <c r="Q3396" i="16"/>
  <c r="I3397" i="16"/>
  <c r="J3397" i="16"/>
  <c r="K3397" i="16"/>
  <c r="L3397" i="16"/>
  <c r="M3397" i="16"/>
  <c r="N3397" i="16"/>
  <c r="O3397" i="16"/>
  <c r="P3397" i="16"/>
  <c r="Q3397" i="16"/>
  <c r="I3427" i="16"/>
  <c r="J3427" i="16"/>
  <c r="K3427" i="16"/>
  <c r="L3427" i="16"/>
  <c r="M3427" i="16"/>
  <c r="N3427" i="16"/>
  <c r="O3427" i="16"/>
  <c r="P3427" i="16"/>
  <c r="Q3427" i="16"/>
  <c r="BH3427" i="16"/>
  <c r="BI3427" i="16"/>
  <c r="BJ3427" i="16"/>
  <c r="BK3427" i="16"/>
  <c r="BL3427" i="16"/>
  <c r="BM3427" i="16"/>
  <c r="BN3427" i="16"/>
  <c r="BO3427" i="16"/>
  <c r="BP3427" i="16"/>
  <c r="I3429" i="16"/>
  <c r="J3429" i="16"/>
  <c r="K3429" i="16"/>
  <c r="L3429" i="16"/>
  <c r="M3429" i="16"/>
  <c r="N3429" i="16"/>
  <c r="O3429" i="16"/>
  <c r="P3429" i="16"/>
  <c r="Q3429" i="16"/>
  <c r="BH3429" i="16"/>
  <c r="BI3429" i="16"/>
  <c r="BJ3429" i="16"/>
  <c r="BK3429" i="16"/>
  <c r="BL3429" i="16"/>
  <c r="BM3429" i="16"/>
  <c r="BN3429" i="16"/>
  <c r="BO3429" i="16"/>
  <c r="BP3429" i="16"/>
  <c r="I3430" i="16"/>
  <c r="J3430" i="16"/>
  <c r="K3430" i="16"/>
  <c r="L3430" i="16"/>
  <c r="M3430" i="16"/>
  <c r="N3430" i="16"/>
  <c r="O3430" i="16"/>
  <c r="P3430" i="16"/>
  <c r="Q3430" i="16"/>
  <c r="BH3430" i="16"/>
  <c r="BI3430" i="16"/>
  <c r="BJ3430" i="16"/>
  <c r="BK3430" i="16"/>
  <c r="BL3430" i="16"/>
  <c r="BM3430" i="16"/>
  <c r="BN3430" i="16"/>
  <c r="BO3430" i="16"/>
  <c r="BP3430" i="16"/>
  <c r="I3432" i="16"/>
  <c r="J3432" i="16"/>
  <c r="K3432" i="16"/>
  <c r="L3432" i="16"/>
  <c r="M3432" i="16"/>
  <c r="N3432" i="16"/>
  <c r="O3432" i="16"/>
  <c r="P3432" i="16"/>
  <c r="Q3432" i="16"/>
  <c r="BH3432" i="16"/>
  <c r="BI3432" i="16"/>
  <c r="BJ3432" i="16"/>
  <c r="BK3432" i="16"/>
  <c r="BL3432" i="16"/>
  <c r="BM3432" i="16"/>
  <c r="BN3432" i="16"/>
  <c r="BO3432" i="16"/>
  <c r="BP3432" i="16"/>
  <c r="I3433" i="16"/>
  <c r="J3433" i="16"/>
  <c r="K3433" i="16"/>
  <c r="L3433" i="16"/>
  <c r="M3433" i="16"/>
  <c r="N3433" i="16"/>
  <c r="O3433" i="16"/>
  <c r="P3433" i="16"/>
  <c r="Q3433" i="16"/>
  <c r="BH3433" i="16"/>
  <c r="BI3433" i="16"/>
  <c r="BJ3433" i="16"/>
  <c r="BK3433" i="16"/>
  <c r="BL3433" i="16"/>
  <c r="BM3433" i="16"/>
  <c r="BN3433" i="16"/>
  <c r="BO3433" i="16"/>
  <c r="BP3433" i="16"/>
  <c r="I3434" i="16"/>
  <c r="J3434" i="16"/>
  <c r="K3434" i="16"/>
  <c r="L3434" i="16"/>
  <c r="M3434" i="16"/>
  <c r="N3434" i="16"/>
  <c r="O3434" i="16"/>
  <c r="P3434" i="16"/>
  <c r="Q3434" i="16"/>
  <c r="BH3434" i="16"/>
  <c r="BI3434" i="16"/>
  <c r="BJ3434" i="16"/>
  <c r="BK3434" i="16"/>
  <c r="BL3434" i="16"/>
  <c r="BM3434" i="16"/>
  <c r="BN3434" i="16"/>
  <c r="BO3434" i="16"/>
  <c r="BP3434" i="16"/>
  <c r="I3438" i="16"/>
  <c r="J3438" i="16"/>
  <c r="K3438" i="16"/>
  <c r="L3438" i="16"/>
  <c r="M3438" i="16"/>
  <c r="N3438" i="16"/>
  <c r="O3438" i="16"/>
  <c r="P3438" i="16"/>
  <c r="Q3438" i="16"/>
  <c r="BH3438" i="16"/>
  <c r="BI3438" i="16"/>
  <c r="BJ3438" i="16"/>
  <c r="BK3438" i="16"/>
  <c r="BL3438" i="16"/>
  <c r="BM3438" i="16"/>
  <c r="BN3438" i="16"/>
  <c r="BO3438" i="16"/>
  <c r="BP3438" i="16"/>
  <c r="I3439" i="16"/>
  <c r="J3439" i="16"/>
  <c r="K3439" i="16"/>
  <c r="L3439" i="16"/>
  <c r="M3439" i="16"/>
  <c r="N3439" i="16"/>
  <c r="O3439" i="16"/>
  <c r="P3439" i="16"/>
  <c r="Q3439" i="16"/>
  <c r="BH3439" i="16"/>
  <c r="BI3439" i="16"/>
  <c r="BJ3439" i="16"/>
  <c r="BK3439" i="16"/>
  <c r="BL3439" i="16"/>
  <c r="BM3439" i="16"/>
  <c r="BN3439" i="16"/>
  <c r="BO3439" i="16"/>
  <c r="BP3439" i="16"/>
  <c r="I3440" i="16"/>
  <c r="J3440" i="16"/>
  <c r="K3440" i="16"/>
  <c r="L3440" i="16"/>
  <c r="M3440" i="16"/>
  <c r="N3440" i="16"/>
  <c r="O3440" i="16"/>
  <c r="P3440" i="16"/>
  <c r="Q3440" i="16"/>
  <c r="BH3440" i="16"/>
  <c r="BI3440" i="16"/>
  <c r="BJ3440" i="16"/>
  <c r="BK3440" i="16"/>
  <c r="BL3440" i="16"/>
  <c r="BM3440" i="16"/>
  <c r="BN3440" i="16"/>
  <c r="BO3440" i="16"/>
  <c r="BP3440" i="16"/>
  <c r="I3441" i="16"/>
  <c r="J3441" i="16"/>
  <c r="K3441" i="16"/>
  <c r="L3441" i="16"/>
  <c r="M3441" i="16"/>
  <c r="N3441" i="16"/>
  <c r="O3441" i="16"/>
  <c r="P3441" i="16"/>
  <c r="Q3441" i="16"/>
  <c r="BH3441" i="16"/>
  <c r="BI3441" i="16"/>
  <c r="BJ3441" i="16"/>
  <c r="BK3441" i="16"/>
  <c r="BL3441" i="16"/>
  <c r="BM3441" i="16"/>
  <c r="BN3441" i="16"/>
  <c r="BO3441" i="16"/>
  <c r="BP3441" i="16"/>
  <c r="I3442" i="16"/>
  <c r="J3442" i="16"/>
  <c r="K3442" i="16"/>
  <c r="L3442" i="16"/>
  <c r="M3442" i="16"/>
  <c r="N3442" i="16"/>
  <c r="O3442" i="16"/>
  <c r="P3442" i="16"/>
  <c r="Q3442" i="16"/>
  <c r="BH3442" i="16"/>
  <c r="BI3442" i="16"/>
  <c r="BJ3442" i="16"/>
  <c r="BK3442" i="16"/>
  <c r="BL3442" i="16"/>
  <c r="BM3442" i="16"/>
  <c r="BN3442" i="16"/>
  <c r="BO3442" i="16"/>
  <c r="BP3442" i="16"/>
  <c r="AE7" i="18"/>
  <c r="AF7" i="18"/>
  <c r="AG7" i="18"/>
  <c r="AH7" i="18"/>
  <c r="AI7" i="18"/>
  <c r="AJ7" i="18"/>
  <c r="AK7" i="18"/>
  <c r="AL7" i="18"/>
  <c r="AM7" i="18"/>
  <c r="AN7" i="18"/>
  <c r="AE14" i="18"/>
  <c r="AF14" i="18"/>
  <c r="AG14" i="18"/>
  <c r="AH14" i="18"/>
  <c r="AI14" i="18"/>
  <c r="AJ14" i="18"/>
  <c r="AK14" i="18"/>
  <c r="AL14" i="18"/>
  <c r="AM14" i="18"/>
  <c r="AN14" i="18"/>
  <c r="AE15" i="18"/>
  <c r="AF15" i="18"/>
  <c r="AG15" i="18"/>
  <c r="AH15" i="18"/>
  <c r="AI15" i="18"/>
  <c r="AJ15" i="18"/>
  <c r="AK15" i="18"/>
  <c r="AL15" i="18"/>
  <c r="AM15" i="18"/>
  <c r="AN15" i="18"/>
  <c r="AE25" i="18"/>
  <c r="AF25" i="18"/>
  <c r="AG25" i="18"/>
  <c r="AH25" i="18"/>
  <c r="AI25" i="18"/>
  <c r="AJ25" i="18"/>
  <c r="AK25" i="18"/>
  <c r="AL25" i="18"/>
  <c r="AM25" i="18"/>
  <c r="AN25" i="18"/>
  <c r="AE27" i="18"/>
  <c r="AF27" i="18"/>
  <c r="AG27" i="18"/>
  <c r="AH27" i="18"/>
  <c r="AI27" i="18"/>
  <c r="AJ27" i="18"/>
  <c r="AK27" i="18"/>
  <c r="AL27" i="18"/>
  <c r="AM27" i="18"/>
  <c r="AN27" i="18"/>
  <c r="AE30" i="18"/>
  <c r="AF30" i="18"/>
  <c r="AG30" i="18"/>
  <c r="AH30" i="18"/>
  <c r="AI30" i="18"/>
  <c r="AJ30" i="18"/>
  <c r="AK30" i="18"/>
  <c r="AL30" i="18"/>
  <c r="AM30" i="18"/>
  <c r="AN30" i="18"/>
  <c r="AE31" i="18"/>
  <c r="AF31" i="18"/>
  <c r="AG31" i="18"/>
  <c r="AH31" i="18"/>
  <c r="AI31" i="18"/>
  <c r="AJ31" i="18"/>
  <c r="AK31" i="18"/>
  <c r="AL31" i="18"/>
  <c r="AM31" i="18"/>
  <c r="AN31" i="18"/>
  <c r="AE111" i="18"/>
  <c r="AF111" i="18"/>
  <c r="AG111" i="18"/>
  <c r="AH111" i="18"/>
  <c r="AI111" i="18"/>
  <c r="AJ111" i="18"/>
  <c r="AK111" i="18"/>
  <c r="AL111" i="18"/>
  <c r="AM111" i="18"/>
  <c r="AN111" i="18"/>
  <c r="AE117" i="18"/>
  <c r="AF117" i="18"/>
  <c r="AG117" i="18"/>
  <c r="AH117" i="18"/>
  <c r="AI117" i="18"/>
  <c r="AJ117" i="18"/>
  <c r="AK117" i="18"/>
  <c r="AL117" i="18"/>
  <c r="AM117" i="18"/>
  <c r="AN117" i="18"/>
  <c r="AE118" i="18"/>
  <c r="AF118" i="18"/>
  <c r="AG118" i="18"/>
  <c r="AH118" i="18"/>
  <c r="AI118" i="18"/>
  <c r="AJ118" i="18"/>
  <c r="AK118" i="18"/>
  <c r="AL118" i="18"/>
  <c r="AM118" i="18"/>
  <c r="AN118" i="18"/>
  <c r="AE119" i="18"/>
  <c r="AF119" i="18"/>
  <c r="AG119" i="18"/>
  <c r="AH119" i="18"/>
  <c r="AI119" i="18"/>
  <c r="AJ119" i="18"/>
  <c r="AK119" i="18"/>
  <c r="AL119" i="18"/>
  <c r="AM119" i="18"/>
  <c r="AN119" i="18"/>
  <c r="AE183" i="18"/>
  <c r="AF183" i="18"/>
  <c r="AG183" i="18"/>
  <c r="AH183" i="18"/>
  <c r="AI183" i="18"/>
  <c r="AJ183" i="18"/>
  <c r="AK183" i="18"/>
  <c r="AL183" i="18"/>
  <c r="AM183" i="18"/>
  <c r="AN183" i="18"/>
  <c r="AE188" i="18"/>
  <c r="AF188" i="18"/>
  <c r="AG188" i="18"/>
  <c r="AH188" i="18"/>
  <c r="AI188" i="18"/>
  <c r="AJ188" i="18"/>
  <c r="AK188" i="18"/>
  <c r="AL188" i="18"/>
  <c r="AM188" i="18"/>
  <c r="AN188" i="18"/>
  <c r="AE190" i="18"/>
  <c r="AF190" i="18"/>
  <c r="AG190" i="18"/>
  <c r="AH190" i="18"/>
  <c r="AI190" i="18"/>
  <c r="AJ190" i="18"/>
  <c r="AK190" i="18"/>
  <c r="AL190" i="18"/>
  <c r="AM190" i="18"/>
  <c r="AN190" i="18"/>
  <c r="AE192" i="18"/>
  <c r="AF192" i="18"/>
  <c r="AG192" i="18"/>
  <c r="AH192" i="18"/>
  <c r="AI192" i="18"/>
  <c r="AJ192" i="18"/>
  <c r="AK192" i="18"/>
  <c r="AL192" i="18"/>
  <c r="AM192" i="18"/>
  <c r="AN192" i="18"/>
  <c r="AE195" i="18"/>
  <c r="AF195" i="18"/>
  <c r="AG195" i="18"/>
  <c r="AH195" i="18"/>
  <c r="AI195" i="18"/>
  <c r="AJ195" i="18"/>
  <c r="AK195" i="18"/>
  <c r="AL195" i="18"/>
  <c r="AM195" i="18"/>
  <c r="AN195" i="18"/>
  <c r="AQ195" i="18"/>
  <c r="AE204" i="18"/>
  <c r="AF204" i="18"/>
  <c r="AG204" i="18"/>
  <c r="AH204" i="18"/>
  <c r="AI204" i="18"/>
  <c r="AJ204" i="18"/>
  <c r="AK204" i="18"/>
  <c r="AL204" i="18"/>
  <c r="AM204" i="18"/>
  <c r="AN204" i="18"/>
  <c r="AF1" i="10"/>
  <c r="Y31" i="29"/>
  <c r="Z31" i="29"/>
  <c r="Y33" i="29"/>
  <c r="Z33" i="29"/>
  <c r="Y35" i="29"/>
  <c r="Z35" i="29"/>
  <c r="BZ24" i="28"/>
  <c r="CG24" i="28"/>
  <c r="CH24" i="28"/>
  <c r="CK24" i="28"/>
  <c r="BZ25" i="28"/>
  <c r="CA25" i="28"/>
  <c r="CG25" i="28"/>
  <c r="CH25" i="28"/>
  <c r="BU37" i="28"/>
  <c r="BV37" i="28"/>
  <c r="AH168" i="28"/>
  <c r="H40" i="30"/>
  <c r="I40" i="30"/>
  <c r="J40" i="30"/>
  <c r="K40" i="30"/>
  <c r="L40" i="30"/>
  <c r="M40" i="30"/>
  <c r="N40" i="30"/>
  <c r="O40" i="30"/>
  <c r="P40" i="30"/>
  <c r="Q40" i="30"/>
  <c r="H41" i="30"/>
  <c r="I41" i="30"/>
  <c r="J41" i="30"/>
  <c r="K41" i="30"/>
  <c r="L41" i="30"/>
  <c r="M41" i="30"/>
  <c r="N41" i="30"/>
  <c r="O41" i="30"/>
  <c r="P41" i="30"/>
  <c r="Q41" i="30"/>
  <c r="H43" i="30"/>
  <c r="I43" i="30"/>
  <c r="J43" i="30"/>
  <c r="K43" i="30"/>
  <c r="L43" i="30"/>
  <c r="M43" i="30"/>
  <c r="N43" i="30"/>
  <c r="O43" i="30"/>
  <c r="P43" i="30"/>
  <c r="Q43" i="30"/>
  <c r="H46" i="30"/>
  <c r="I46" i="30"/>
  <c r="J46" i="30"/>
  <c r="K46" i="30"/>
  <c r="L46" i="30"/>
  <c r="M46" i="30"/>
  <c r="N46" i="30"/>
  <c r="O46" i="30"/>
  <c r="P46" i="30"/>
  <c r="Q46" i="30"/>
  <c r="H47" i="30"/>
  <c r="I47" i="30"/>
  <c r="J47" i="30"/>
  <c r="K47" i="30"/>
  <c r="L47" i="30"/>
  <c r="M47" i="30"/>
  <c r="N47" i="30"/>
  <c r="O47" i="30"/>
  <c r="P47" i="30"/>
  <c r="Q47" i="30"/>
  <c r="H48" i="30"/>
  <c r="I48" i="30"/>
  <c r="J48" i="30"/>
  <c r="K48" i="30"/>
  <c r="L48" i="30"/>
  <c r="M48" i="30"/>
  <c r="N48" i="30"/>
  <c r="O48" i="30"/>
  <c r="P48" i="30"/>
  <c r="Q48" i="30"/>
  <c r="H51" i="30"/>
  <c r="I51" i="30"/>
  <c r="J51" i="30"/>
  <c r="K51" i="30"/>
  <c r="L51" i="30"/>
  <c r="M51" i="30"/>
  <c r="N51" i="30"/>
  <c r="O51" i="30"/>
  <c r="P51" i="30"/>
  <c r="Q51" i="30"/>
  <c r="H52" i="30"/>
  <c r="I52" i="30"/>
  <c r="J52" i="30"/>
  <c r="K52" i="30"/>
  <c r="L52" i="30"/>
  <c r="M52" i="30"/>
  <c r="N52" i="30"/>
  <c r="O52" i="30"/>
  <c r="P52" i="30"/>
  <c r="Q52" i="30"/>
  <c r="D82" i="30"/>
  <c r="D83" i="30"/>
  <c r="D84" i="30"/>
  <c r="D85" i="30"/>
  <c r="D86" i="30"/>
  <c r="D87" i="30"/>
  <c r="CG79" i="5"/>
  <c r="CH79" i="5"/>
  <c r="CG81" i="5"/>
  <c r="CG84" i="5"/>
  <c r="CG86" i="5"/>
  <c r="CH86" i="5"/>
  <c r="HR86" i="5"/>
  <c r="CG87" i="5"/>
  <c r="CH87" i="5"/>
  <c r="CG91" i="5"/>
  <c r="CH91" i="5"/>
  <c r="HR91" i="5"/>
  <c r="CG92" i="5"/>
  <c r="CH92" i="5"/>
  <c r="HR92" i="5"/>
  <c r="CG93" i="5"/>
  <c r="CG165" i="5"/>
  <c r="CH165" i="5"/>
  <c r="CG167" i="5"/>
  <c r="CG174" i="5"/>
  <c r="CG178" i="5"/>
  <c r="CH178" i="5"/>
  <c r="CG179" i="5"/>
  <c r="CG184" i="5"/>
  <c r="CH184" i="5"/>
  <c r="CG185" i="5"/>
  <c r="CG187" i="5"/>
  <c r="CG188" i="5"/>
  <c r="CG190" i="5"/>
  <c r="CG289" i="5"/>
  <c r="CH289" i="5"/>
  <c r="CG291" i="5"/>
  <c r="CH291" i="5"/>
  <c r="CG296" i="5"/>
  <c r="AI1" i="1"/>
  <c r="Y147" i="1"/>
  <c r="Z147" i="1"/>
  <c r="AA147" i="1"/>
  <c r="AB147" i="1"/>
  <c r="AC147" i="1"/>
  <c r="AD147" i="1"/>
  <c r="AE147" i="1"/>
  <c r="AF147" i="1"/>
  <c r="AG147" i="1"/>
  <c r="AH147" i="1"/>
  <c r="Y156" i="1"/>
  <c r="Z156" i="1"/>
  <c r="AA156" i="1"/>
  <c r="AB156" i="1"/>
  <c r="AC156" i="1"/>
  <c r="AD156" i="1"/>
  <c r="AE156" i="1"/>
  <c r="AF156" i="1"/>
  <c r="AG156" i="1"/>
  <c r="AH156" i="1"/>
  <c r="Y158" i="1"/>
  <c r="Z158" i="1"/>
  <c r="AA158" i="1"/>
  <c r="AB158" i="1"/>
  <c r="AC158" i="1"/>
  <c r="AD158" i="1"/>
  <c r="AE158" i="1"/>
  <c r="AF158" i="1"/>
  <c r="AG158" i="1"/>
  <c r="AH158" i="1"/>
  <c r="Y161" i="1"/>
  <c r="Z161" i="1"/>
  <c r="AA161" i="1"/>
  <c r="AB161" i="1"/>
  <c r="AC161" i="1"/>
  <c r="AD161" i="1"/>
  <c r="AE161" i="1"/>
  <c r="AF161" i="1"/>
  <c r="AG161" i="1"/>
  <c r="AH161" i="1"/>
  <c r="Y163" i="1"/>
  <c r="Z163" i="1"/>
  <c r="AA163" i="1"/>
  <c r="AB163" i="1"/>
  <c r="AC163" i="1"/>
  <c r="AD163" i="1"/>
  <c r="AE163" i="1"/>
  <c r="AF163" i="1"/>
  <c r="AG163" i="1"/>
  <c r="AH163" i="1"/>
  <c r="Y164" i="1"/>
  <c r="Z164" i="1"/>
  <c r="AA164" i="1"/>
  <c r="AB164" i="1"/>
  <c r="AC164" i="1"/>
  <c r="AD164" i="1"/>
  <c r="AE164" i="1"/>
  <c r="AF164" i="1"/>
  <c r="AG164" i="1"/>
  <c r="AH164" i="1"/>
  <c r="Y165" i="1"/>
  <c r="Z165" i="1"/>
  <c r="AA165" i="1"/>
  <c r="AB165" i="1"/>
  <c r="AC165" i="1"/>
  <c r="AD165" i="1"/>
  <c r="AE165" i="1"/>
  <c r="AF165" i="1"/>
  <c r="AG165" i="1"/>
  <c r="AH165" i="1"/>
  <c r="Y167" i="1"/>
  <c r="Z167" i="1"/>
  <c r="AA167" i="1"/>
  <c r="AB167" i="1"/>
  <c r="AC167" i="1"/>
  <c r="AD167" i="1"/>
  <c r="AE167" i="1"/>
  <c r="AF167" i="1"/>
  <c r="AG167" i="1"/>
  <c r="AH167" i="1"/>
  <c r="Y173" i="1"/>
  <c r="Z173" i="1"/>
  <c r="AA173" i="1"/>
  <c r="AB173" i="1"/>
  <c r="AC173" i="1"/>
  <c r="AD173" i="1"/>
  <c r="AE173" i="1"/>
  <c r="AF173" i="1"/>
  <c r="AG173" i="1"/>
  <c r="AH173" i="1"/>
  <c r="Y177" i="1"/>
  <c r="Z177" i="1"/>
  <c r="AA177" i="1"/>
  <c r="AB177" i="1"/>
  <c r="AC177" i="1"/>
  <c r="AD177" i="1"/>
  <c r="AE177" i="1"/>
  <c r="AF177" i="1"/>
  <c r="AG177" i="1"/>
  <c r="AH177" i="1"/>
  <c r="Y181" i="1"/>
  <c r="Z181" i="1"/>
  <c r="AA181" i="1"/>
  <c r="AB181" i="1"/>
  <c r="AC181" i="1"/>
  <c r="AD181" i="1"/>
  <c r="AE181" i="1"/>
  <c r="AF181" i="1"/>
  <c r="AG181" i="1"/>
  <c r="AH181" i="1"/>
  <c r="Y183" i="1"/>
  <c r="Z183" i="1"/>
  <c r="AA183" i="1"/>
  <c r="AB183" i="1"/>
  <c r="AC183" i="1"/>
  <c r="AD183" i="1"/>
  <c r="AE183" i="1"/>
  <c r="AF183" i="1"/>
  <c r="AG183" i="1"/>
  <c r="AH183" i="1"/>
  <c r="Y194" i="1"/>
  <c r="Z194" i="1"/>
  <c r="AA194" i="1"/>
  <c r="AB194" i="1"/>
  <c r="AC194" i="1"/>
  <c r="AD194" i="1"/>
  <c r="AE194" i="1"/>
  <c r="AF194" i="1"/>
  <c r="AG194" i="1"/>
  <c r="AH194" i="1"/>
  <c r="Y196" i="1"/>
  <c r="Z196" i="1"/>
  <c r="AA196" i="1"/>
  <c r="AB196" i="1"/>
  <c r="AC196" i="1"/>
  <c r="AD196" i="1"/>
  <c r="AE196" i="1"/>
  <c r="AF196" i="1"/>
  <c r="AG196" i="1"/>
  <c r="AH196" i="1"/>
  <c r="Y197" i="1"/>
  <c r="Z197" i="1"/>
  <c r="AA197" i="1"/>
  <c r="AB197" i="1"/>
  <c r="AC197" i="1"/>
  <c r="AD197" i="1"/>
  <c r="AE197" i="1"/>
  <c r="AF197" i="1"/>
  <c r="AG197" i="1"/>
  <c r="AH197" i="1"/>
  <c r="Y199" i="1"/>
  <c r="Z199" i="1"/>
  <c r="AA199" i="1"/>
  <c r="AB199" i="1"/>
  <c r="AC199" i="1"/>
  <c r="AD199" i="1"/>
  <c r="AE199" i="1"/>
  <c r="AF199" i="1"/>
  <c r="AG199" i="1"/>
  <c r="AH199" i="1"/>
  <c r="Y200" i="1"/>
  <c r="Z200" i="1"/>
  <c r="AA200" i="1"/>
  <c r="AB200" i="1"/>
  <c r="AC200" i="1"/>
  <c r="AD200" i="1"/>
  <c r="AE200" i="1"/>
  <c r="AF200" i="1"/>
  <c r="AG200" i="1"/>
  <c r="AH200" i="1"/>
  <c r="Y209" i="1"/>
  <c r="Z209" i="1"/>
  <c r="AA209" i="1"/>
  <c r="AB209" i="1"/>
  <c r="AC209" i="1"/>
  <c r="AD209" i="1"/>
  <c r="AE209" i="1"/>
  <c r="AF209" i="1"/>
  <c r="AG209" i="1"/>
  <c r="AH209" i="1"/>
  <c r="Y220" i="1"/>
  <c r="Z220" i="1"/>
  <c r="AA220" i="1"/>
  <c r="AB220" i="1"/>
  <c r="AC220" i="1"/>
  <c r="AD220" i="1"/>
  <c r="AE220" i="1"/>
  <c r="AF220" i="1"/>
  <c r="AG220" i="1"/>
  <c r="AH220" i="1"/>
  <c r="Y221" i="1"/>
  <c r="Z221" i="1"/>
  <c r="AA221" i="1"/>
  <c r="AB221" i="1"/>
  <c r="AC221" i="1"/>
  <c r="AD221" i="1"/>
  <c r="AE221" i="1"/>
  <c r="AF221" i="1"/>
  <c r="AG221" i="1"/>
  <c r="AH221" i="1"/>
  <c r="Y222" i="1"/>
  <c r="Z222" i="1"/>
  <c r="AA222" i="1"/>
  <c r="AB222" i="1"/>
  <c r="AC222" i="1"/>
  <c r="AD222" i="1"/>
  <c r="AE222" i="1"/>
  <c r="AF222" i="1"/>
  <c r="AG222" i="1"/>
  <c r="AH222" i="1"/>
  <c r="Y223" i="1"/>
  <c r="Z223" i="1"/>
  <c r="AA223" i="1"/>
  <c r="AB223" i="1"/>
  <c r="AC223" i="1"/>
  <c r="AD223" i="1"/>
  <c r="AE223" i="1"/>
  <c r="AF223" i="1"/>
  <c r="AG223" i="1"/>
  <c r="AH223" i="1"/>
  <c r="Y282" i="1"/>
  <c r="Z282" i="1"/>
  <c r="AA282" i="1"/>
  <c r="AB282" i="1"/>
  <c r="AC282" i="1"/>
  <c r="AD282" i="1"/>
  <c r="AE282" i="1"/>
  <c r="AF282" i="1"/>
  <c r="AG282" i="1"/>
  <c r="AH282" i="1"/>
  <c r="Y284" i="1"/>
  <c r="Z284" i="1"/>
  <c r="AA284" i="1"/>
  <c r="AB284" i="1"/>
  <c r="AC284" i="1"/>
  <c r="AD284" i="1"/>
  <c r="AE284" i="1"/>
  <c r="AF284" i="1"/>
  <c r="AG284" i="1"/>
  <c r="AH284" i="1"/>
  <c r="Y285" i="1"/>
  <c r="Z285" i="1"/>
  <c r="AA285" i="1"/>
  <c r="AB285" i="1"/>
  <c r="AC285" i="1"/>
  <c r="AD285" i="1"/>
  <c r="AE285" i="1"/>
  <c r="AF285" i="1"/>
  <c r="AG285" i="1"/>
  <c r="AH285" i="1"/>
  <c r="Y287" i="1"/>
  <c r="Z287" i="1"/>
  <c r="AA287" i="1"/>
  <c r="AB287" i="1"/>
  <c r="AC287" i="1"/>
  <c r="AD287" i="1"/>
  <c r="AE287" i="1"/>
  <c r="AF287" i="1"/>
  <c r="AG287" i="1"/>
  <c r="AH287" i="1"/>
  <c r="Y298" i="1"/>
  <c r="Z298" i="1"/>
  <c r="AA298" i="1"/>
  <c r="AB298" i="1"/>
  <c r="AC298" i="1"/>
  <c r="AD298" i="1"/>
  <c r="AE298" i="1"/>
  <c r="AF298" i="1"/>
  <c r="AG298" i="1"/>
  <c r="AH298" i="1"/>
  <c r="Y299" i="1"/>
  <c r="Z299" i="1"/>
  <c r="AA299" i="1"/>
  <c r="AB299" i="1"/>
  <c r="AC299" i="1"/>
  <c r="AD299" i="1"/>
  <c r="AE299" i="1"/>
  <c r="AF299" i="1"/>
  <c r="AG299" i="1"/>
  <c r="AH299" i="1"/>
  <c r="Y300" i="1"/>
  <c r="Z300" i="1"/>
  <c r="AA300" i="1"/>
  <c r="AB300" i="1"/>
  <c r="AC300" i="1"/>
  <c r="AD300" i="1"/>
  <c r="AE300" i="1"/>
  <c r="AF300" i="1"/>
  <c r="AG300" i="1"/>
  <c r="AH300" i="1"/>
  <c r="Y307" i="1"/>
  <c r="Z307" i="1"/>
  <c r="AA307" i="1"/>
  <c r="AB307" i="1"/>
  <c r="AC307" i="1"/>
  <c r="AD307" i="1"/>
  <c r="AE307" i="1"/>
  <c r="AF307" i="1"/>
  <c r="AG307" i="1"/>
  <c r="AH307" i="1"/>
  <c r="Y308" i="1"/>
  <c r="Z308" i="1"/>
  <c r="AA308" i="1"/>
  <c r="AB308" i="1"/>
  <c r="AC308" i="1"/>
  <c r="AD308" i="1"/>
  <c r="AE308" i="1"/>
  <c r="AF308" i="1"/>
  <c r="AG308" i="1"/>
  <c r="AH308" i="1"/>
  <c r="Y309" i="1"/>
  <c r="Z309" i="1"/>
  <c r="AA309" i="1"/>
  <c r="AB309" i="1"/>
  <c r="AC309" i="1"/>
  <c r="AD309" i="1"/>
  <c r="AE309" i="1"/>
  <c r="AF309" i="1"/>
  <c r="AG309" i="1"/>
  <c r="AH309" i="1"/>
  <c r="Y325" i="1"/>
  <c r="Z325" i="1"/>
  <c r="AA325" i="1"/>
  <c r="AB325" i="1"/>
  <c r="AC325" i="1"/>
  <c r="AD325" i="1"/>
  <c r="AE325" i="1"/>
  <c r="AF325" i="1"/>
  <c r="AG325" i="1"/>
  <c r="AH325" i="1"/>
  <c r="Y330" i="1"/>
  <c r="Z330" i="1"/>
  <c r="AA330" i="1"/>
  <c r="AB330" i="1"/>
  <c r="AC330" i="1"/>
  <c r="AD330" i="1"/>
  <c r="AE330" i="1"/>
  <c r="AF330" i="1"/>
  <c r="AG330" i="1"/>
  <c r="AH330" i="1"/>
  <c r="Y331" i="1"/>
  <c r="Z331" i="1"/>
  <c r="AA331" i="1"/>
  <c r="AB331" i="1"/>
  <c r="AC331" i="1"/>
  <c r="AD331" i="1"/>
  <c r="AE331" i="1"/>
  <c r="AF331" i="1"/>
  <c r="AG331" i="1"/>
  <c r="AH331" i="1"/>
  <c r="Y334" i="1"/>
  <c r="Z334" i="1"/>
  <c r="AA334" i="1"/>
  <c r="AB334" i="1"/>
  <c r="AC334" i="1"/>
  <c r="AD334" i="1"/>
  <c r="AE334" i="1"/>
  <c r="AF334" i="1"/>
  <c r="AG334" i="1"/>
  <c r="AH334" i="1"/>
  <c r="Y335" i="1"/>
  <c r="Z335" i="1"/>
  <c r="AA335" i="1"/>
  <c r="AB335" i="1"/>
  <c r="AC335" i="1"/>
  <c r="AD335" i="1"/>
  <c r="AE335" i="1"/>
  <c r="AF335" i="1"/>
  <c r="AG335" i="1"/>
  <c r="AH335" i="1"/>
  <c r="Y377" i="1"/>
  <c r="Z377" i="1"/>
  <c r="AA377" i="1"/>
  <c r="AB377" i="1"/>
  <c r="AC377" i="1"/>
  <c r="AD377" i="1"/>
  <c r="AE377" i="1"/>
  <c r="AF377" i="1"/>
  <c r="AG377" i="1"/>
  <c r="AH377" i="1"/>
  <c r="Y379" i="1"/>
  <c r="Z379" i="1"/>
  <c r="AA379" i="1"/>
  <c r="AB379" i="1"/>
  <c r="AC379" i="1"/>
  <c r="AD379" i="1"/>
  <c r="AE379" i="1"/>
  <c r="AF379" i="1"/>
  <c r="AG379" i="1"/>
  <c r="AH379" i="1"/>
  <c r="Y384" i="1"/>
  <c r="Z384" i="1"/>
  <c r="AA384" i="1"/>
  <c r="AB384" i="1"/>
  <c r="AC384" i="1"/>
  <c r="AD384" i="1"/>
  <c r="AE384" i="1"/>
  <c r="AF384" i="1"/>
  <c r="AG384" i="1"/>
  <c r="AH384" i="1"/>
  <c r="Y387" i="1"/>
  <c r="Z387" i="1"/>
  <c r="AA387" i="1"/>
  <c r="AB387" i="1"/>
  <c r="AC387" i="1"/>
  <c r="AD387" i="1"/>
  <c r="AE387" i="1"/>
  <c r="AF387" i="1"/>
  <c r="AG387" i="1"/>
  <c r="AH387" i="1"/>
  <c r="Y389" i="1"/>
  <c r="Z389" i="1"/>
  <c r="AA389" i="1"/>
  <c r="AB389" i="1"/>
  <c r="AC389" i="1"/>
  <c r="AD389" i="1"/>
  <c r="AE389" i="1"/>
  <c r="AF389" i="1"/>
  <c r="AG389" i="1"/>
  <c r="AH389" i="1"/>
  <c r="Y390" i="1"/>
  <c r="Z390" i="1"/>
  <c r="AA390" i="1"/>
  <c r="AB390" i="1"/>
  <c r="AC390" i="1"/>
  <c r="AD390" i="1"/>
  <c r="AE390" i="1"/>
  <c r="AF390" i="1"/>
  <c r="AG390" i="1"/>
  <c r="AH390" i="1"/>
  <c r="Y392" i="1"/>
  <c r="Z392" i="1"/>
  <c r="AA392" i="1"/>
  <c r="AB392" i="1"/>
  <c r="AC392" i="1"/>
  <c r="AD392" i="1"/>
  <c r="AE392" i="1"/>
  <c r="AF392" i="1"/>
  <c r="AG392" i="1"/>
  <c r="AH392" i="1"/>
  <c r="Y396" i="1"/>
  <c r="Z396" i="1"/>
  <c r="AA396" i="1"/>
  <c r="AB396" i="1"/>
  <c r="AC396" i="1"/>
  <c r="AD396" i="1"/>
  <c r="AE396" i="1"/>
  <c r="AF396" i="1"/>
  <c r="AG396" i="1"/>
  <c r="AH396" i="1"/>
  <c r="Y398" i="1"/>
  <c r="Z398" i="1"/>
  <c r="AA398" i="1"/>
  <c r="AB398" i="1"/>
  <c r="AC398" i="1"/>
  <c r="AD398" i="1"/>
  <c r="AE398" i="1"/>
  <c r="AF398" i="1"/>
  <c r="AG398" i="1"/>
  <c r="AH398" i="1"/>
  <c r="Y400" i="1"/>
  <c r="Z400" i="1"/>
  <c r="AA400" i="1"/>
  <c r="AB400" i="1"/>
  <c r="AC400" i="1"/>
  <c r="AD400" i="1"/>
  <c r="AE400" i="1"/>
  <c r="AF400" i="1"/>
  <c r="AG400" i="1"/>
  <c r="AH400" i="1"/>
  <c r="I401" i="1"/>
  <c r="J401" i="1"/>
  <c r="K401" i="1"/>
  <c r="L401" i="1"/>
  <c r="M401" i="1"/>
  <c r="N401" i="1"/>
  <c r="O401" i="1"/>
  <c r="P401" i="1"/>
  <c r="Q401" i="1"/>
  <c r="R401" i="1"/>
  <c r="S401" i="1"/>
  <c r="T401" i="1"/>
  <c r="U401" i="1"/>
  <c r="V401" i="1"/>
  <c r="W401" i="1"/>
  <c r="X401" i="1"/>
  <c r="Y401" i="1"/>
  <c r="Z401" i="1"/>
  <c r="AA401" i="1"/>
  <c r="AB401" i="1"/>
  <c r="AC401" i="1"/>
  <c r="AD401" i="1"/>
  <c r="AE401" i="1"/>
  <c r="AF401" i="1"/>
  <c r="AG401" i="1"/>
  <c r="AH401" i="1"/>
  <c r="Y404" i="1"/>
  <c r="Z404" i="1"/>
  <c r="AA404" i="1"/>
  <c r="AB404" i="1"/>
  <c r="AC404" i="1"/>
  <c r="AD404" i="1"/>
  <c r="AE404" i="1"/>
  <c r="AF404" i="1"/>
  <c r="AG404" i="1"/>
  <c r="AH404" i="1"/>
  <c r="Y405" i="1"/>
  <c r="Z405" i="1"/>
  <c r="AA405" i="1"/>
  <c r="AB405" i="1"/>
  <c r="AC405" i="1"/>
  <c r="AD405" i="1"/>
  <c r="AE405" i="1"/>
  <c r="AF405" i="1"/>
  <c r="AG405" i="1"/>
  <c r="AH405" i="1"/>
  <c r="Y464" i="1"/>
  <c r="Z464" i="1"/>
  <c r="AA464" i="1"/>
  <c r="AB464" i="1"/>
  <c r="AC464" i="1"/>
  <c r="AD464" i="1"/>
  <c r="AE464" i="1"/>
  <c r="AF464" i="1"/>
  <c r="AG464" i="1"/>
  <c r="AH464" i="1"/>
  <c r="Y465" i="1"/>
  <c r="Z465" i="1"/>
  <c r="AA465" i="1"/>
  <c r="AB465" i="1"/>
  <c r="AC465" i="1"/>
  <c r="AD465" i="1"/>
  <c r="AE465" i="1"/>
  <c r="AF465" i="1"/>
  <c r="AG465" i="1"/>
  <c r="AH465" i="1"/>
  <c r="Y504" i="1"/>
  <c r="Z504" i="1"/>
  <c r="AA504" i="1"/>
  <c r="AB504" i="1"/>
  <c r="AC504" i="1"/>
  <c r="AD504" i="1"/>
  <c r="AE504" i="1"/>
  <c r="AF504" i="1"/>
  <c r="AG504" i="1"/>
  <c r="AH504" i="1"/>
  <c r="Y506" i="1"/>
  <c r="Z506" i="1"/>
  <c r="AA506" i="1"/>
  <c r="AB506" i="1"/>
  <c r="AC506" i="1"/>
  <c r="AD506" i="1"/>
  <c r="AE506" i="1"/>
  <c r="AF506" i="1"/>
  <c r="AG506" i="1"/>
  <c r="AH506" i="1"/>
  <c r="Y508" i="1"/>
  <c r="Z508" i="1"/>
  <c r="AA508" i="1"/>
  <c r="AB508" i="1"/>
  <c r="AC508" i="1"/>
  <c r="AD508" i="1"/>
  <c r="AE508" i="1"/>
  <c r="AF508" i="1"/>
  <c r="AG508" i="1"/>
  <c r="AH508" i="1"/>
  <c r="Y509" i="1"/>
  <c r="Z509" i="1"/>
  <c r="AA509" i="1"/>
  <c r="AB509" i="1"/>
  <c r="AC509" i="1"/>
  <c r="AD509" i="1"/>
  <c r="AE509" i="1"/>
  <c r="AF509" i="1"/>
  <c r="AG509" i="1"/>
  <c r="AH509" i="1"/>
  <c r="Y510" i="1"/>
  <c r="Z510" i="1"/>
  <c r="AA510" i="1"/>
  <c r="AB510" i="1"/>
  <c r="AC510" i="1"/>
  <c r="AD510" i="1"/>
  <c r="AE510" i="1"/>
  <c r="AF510" i="1"/>
  <c r="AG510" i="1"/>
  <c r="AH510" i="1"/>
  <c r="Y585" i="1"/>
  <c r="Z585" i="1"/>
  <c r="AA585" i="1"/>
  <c r="AB585" i="1"/>
  <c r="AC585" i="1"/>
  <c r="AD585" i="1"/>
  <c r="AE585" i="1"/>
  <c r="AF585" i="1"/>
  <c r="AG585" i="1"/>
  <c r="AH585" i="1"/>
  <c r="Y586" i="1"/>
  <c r="Z586" i="1"/>
  <c r="AA586" i="1"/>
  <c r="AB586" i="1"/>
  <c r="AC586" i="1"/>
  <c r="AD586" i="1"/>
  <c r="AE586" i="1"/>
  <c r="AF586" i="1"/>
  <c r="AG586" i="1"/>
  <c r="AH586" i="1"/>
  <c r="Y587" i="1"/>
  <c r="Z587" i="1"/>
  <c r="AA587" i="1"/>
  <c r="AB587" i="1"/>
  <c r="AC587" i="1"/>
  <c r="AD587" i="1"/>
  <c r="AE587" i="1"/>
  <c r="AF587" i="1"/>
  <c r="AG587" i="1"/>
  <c r="AH587" i="1"/>
  <c r="Y589" i="1"/>
  <c r="Z589" i="1"/>
  <c r="AA589" i="1"/>
  <c r="AB589" i="1"/>
  <c r="AC589" i="1"/>
  <c r="AD589" i="1"/>
  <c r="AE589" i="1"/>
  <c r="AF589" i="1"/>
  <c r="AG589" i="1"/>
  <c r="AH589" i="1"/>
  <c r="Y593" i="1"/>
  <c r="Z593" i="1"/>
  <c r="AA593" i="1"/>
  <c r="AB593" i="1"/>
  <c r="AC593" i="1"/>
  <c r="AD593" i="1"/>
  <c r="AE593" i="1"/>
  <c r="AF593" i="1"/>
  <c r="AG593" i="1"/>
  <c r="AH593" i="1"/>
  <c r="Y594" i="1"/>
  <c r="Z594" i="1"/>
  <c r="AA594" i="1"/>
  <c r="AB594" i="1"/>
  <c r="AC594" i="1"/>
  <c r="AD594" i="1"/>
  <c r="AE594" i="1"/>
  <c r="AF594" i="1"/>
  <c r="AG594" i="1"/>
  <c r="AH594" i="1"/>
  <c r="Y595" i="1"/>
  <c r="Z595" i="1"/>
  <c r="AA595" i="1"/>
  <c r="AB595" i="1"/>
  <c r="AC595" i="1"/>
  <c r="AD595" i="1"/>
  <c r="AE595" i="1"/>
  <c r="AF595" i="1"/>
  <c r="AG595" i="1"/>
  <c r="AH595" i="1"/>
  <c r="AH1" i="13"/>
  <c r="W7" i="13"/>
  <c r="X7" i="13"/>
  <c r="Y7" i="13"/>
  <c r="Z7" i="13"/>
  <c r="AA7" i="13"/>
  <c r="AB7" i="13"/>
  <c r="AC7" i="13"/>
  <c r="AD7" i="13"/>
  <c r="AE7" i="13"/>
  <c r="AF7" i="13"/>
  <c r="W13" i="13"/>
  <c r="X13" i="13"/>
  <c r="Y13" i="13"/>
  <c r="Z13" i="13"/>
  <c r="AA13" i="13"/>
  <c r="AB13" i="13"/>
  <c r="AC13" i="13"/>
  <c r="AD13" i="13"/>
  <c r="AE13" i="13"/>
  <c r="AF13" i="13"/>
  <c r="W16" i="13"/>
  <c r="X16" i="13"/>
  <c r="Y16" i="13"/>
  <c r="Z16" i="13"/>
  <c r="AA16" i="13"/>
  <c r="AB16" i="13"/>
  <c r="AC16" i="13"/>
  <c r="AD16" i="13"/>
  <c r="AE16" i="13"/>
  <c r="AF16" i="13"/>
  <c r="W17" i="13"/>
  <c r="X17" i="13"/>
  <c r="Y17" i="13"/>
  <c r="Z17" i="13"/>
  <c r="AA17" i="13"/>
  <c r="AB17" i="13"/>
  <c r="AC17" i="13"/>
  <c r="AD17" i="13"/>
  <c r="AE17" i="13"/>
  <c r="AF17" i="13"/>
  <c r="W24" i="13"/>
  <c r="X24" i="13"/>
  <c r="Y24" i="13"/>
  <c r="Z24" i="13"/>
  <c r="AA24" i="13"/>
  <c r="AB24" i="13"/>
  <c r="AC24" i="13"/>
  <c r="AD24" i="13"/>
  <c r="AE24" i="13"/>
  <c r="AF24" i="13"/>
  <c r="W25" i="13"/>
  <c r="X25" i="13"/>
  <c r="Y25" i="13"/>
  <c r="Z25" i="13"/>
  <c r="AA25" i="13"/>
  <c r="AB25" i="13"/>
  <c r="AC25" i="13"/>
  <c r="AD25" i="13"/>
  <c r="AE25" i="13"/>
  <c r="H6" i="9"/>
  <c r="H7" i="9"/>
  <c r="H9" i="9"/>
  <c r="H10" i="9"/>
  <c r="H11" i="9"/>
  <c r="AP15" i="9"/>
  <c r="H17" i="9"/>
  <c r="H18" i="9"/>
  <c r="G28" i="9"/>
  <c r="AH28" i="9"/>
  <c r="G31" i="9"/>
  <c r="AH31" i="9"/>
  <c r="G35" i="9"/>
  <c r="AH35" i="9"/>
  <c r="AN35" i="9"/>
  <c r="AN36" i="9"/>
  <c r="G42" i="9"/>
  <c r="AH42" i="9"/>
  <c r="AN42" i="9"/>
  <c r="G44" i="9"/>
  <c r="U5" i="26"/>
  <c r="V5" i="26"/>
  <c r="W5" i="26"/>
  <c r="X5" i="26"/>
  <c r="Y5" i="26"/>
  <c r="Z5" i="26"/>
  <c r="AA5" i="26"/>
  <c r="U6" i="26"/>
  <c r="V6" i="26"/>
  <c r="W6" i="26"/>
  <c r="X6" i="26"/>
  <c r="Y6" i="26"/>
  <c r="Z6" i="26"/>
  <c r="AA6" i="26"/>
  <c r="G7" i="26"/>
  <c r="H7" i="26"/>
  <c r="I7" i="26"/>
  <c r="J7" i="26"/>
  <c r="K7" i="26"/>
  <c r="L7" i="26"/>
  <c r="M7" i="26"/>
  <c r="U7" i="26"/>
  <c r="V7" i="26"/>
  <c r="W7" i="26"/>
  <c r="X7" i="26"/>
  <c r="Y7" i="26"/>
  <c r="Z7" i="26"/>
  <c r="AA7" i="26"/>
  <c r="U8" i="26"/>
  <c r="V8" i="26"/>
  <c r="W8" i="26"/>
  <c r="X8" i="26"/>
  <c r="Y8" i="26"/>
  <c r="Z8" i="26"/>
  <c r="AA8" i="26"/>
  <c r="U9" i="26"/>
  <c r="V9" i="26"/>
  <c r="W9" i="26"/>
  <c r="X9" i="26"/>
  <c r="Y9" i="26"/>
  <c r="Z9" i="26"/>
  <c r="AA9" i="26"/>
  <c r="U10" i="26"/>
  <c r="V10" i="26"/>
  <c r="W10" i="26"/>
  <c r="X10" i="26"/>
  <c r="Y10" i="26"/>
  <c r="Z10" i="26"/>
  <c r="AA10" i="26"/>
  <c r="G12" i="26"/>
  <c r="H12" i="26"/>
  <c r="I12" i="26"/>
  <c r="J12" i="26"/>
  <c r="K12" i="26"/>
  <c r="L12" i="26"/>
  <c r="M12" i="26"/>
  <c r="G19" i="26"/>
  <c r="H19" i="26"/>
  <c r="I19" i="26"/>
  <c r="J19" i="26"/>
  <c r="K19" i="26"/>
  <c r="L19" i="26"/>
  <c r="M19" i="26"/>
  <c r="G20" i="26"/>
  <c r="H20" i="26"/>
  <c r="I20" i="26"/>
  <c r="J20" i="26"/>
  <c r="K20" i="26"/>
  <c r="L20" i="26"/>
  <c r="M20" i="26"/>
  <c r="G22" i="26"/>
  <c r="H22" i="26"/>
  <c r="I22" i="26"/>
  <c r="J22" i="26"/>
  <c r="K22" i="26"/>
  <c r="L22" i="26"/>
  <c r="M22" i="26"/>
  <c r="V15" i="7"/>
  <c r="W15" i="7"/>
  <c r="X15" i="7"/>
  <c r="Y15" i="7"/>
  <c r="Z15" i="7"/>
  <c r="AA15" i="7"/>
  <c r="AB15" i="7"/>
  <c r="AC15" i="7"/>
  <c r="AD15" i="7"/>
  <c r="AE15" i="7"/>
  <c r="V17" i="7"/>
  <c r="W17" i="7"/>
  <c r="X17" i="7"/>
  <c r="Y17" i="7"/>
  <c r="Z17" i="7"/>
  <c r="AA17" i="7"/>
  <c r="AB17" i="7"/>
  <c r="AC17" i="7"/>
  <c r="AD17" i="7"/>
  <c r="AE17" i="7"/>
  <c r="V27" i="7"/>
  <c r="W27" i="7"/>
  <c r="X27" i="7"/>
  <c r="Y27" i="7"/>
  <c r="Z27" i="7"/>
  <c r="AA27" i="7"/>
  <c r="AB27" i="7"/>
  <c r="AC27" i="7"/>
  <c r="AD27" i="7"/>
  <c r="AE27" i="7"/>
  <c r="V29" i="7"/>
  <c r="W29" i="7"/>
  <c r="X29" i="7"/>
  <c r="Y29" i="7"/>
  <c r="Z29" i="7"/>
  <c r="AA29" i="7"/>
  <c r="AB29" i="7"/>
  <c r="AC29" i="7"/>
  <c r="AD29" i="7"/>
  <c r="AE29" i="7"/>
  <c r="V33" i="7"/>
  <c r="W33" i="7"/>
  <c r="X33" i="7"/>
  <c r="Y33" i="7"/>
  <c r="Z33" i="7"/>
  <c r="AA33" i="7"/>
  <c r="AB33" i="7"/>
  <c r="AC33" i="7"/>
  <c r="AD33" i="7"/>
  <c r="AE33" i="7"/>
  <c r="V34" i="7"/>
  <c r="W34" i="7"/>
  <c r="X34" i="7"/>
  <c r="Y34" i="7"/>
  <c r="Z34" i="7"/>
  <c r="AA34" i="7"/>
  <c r="AB34" i="7"/>
  <c r="AC34" i="7"/>
  <c r="AD34" i="7"/>
  <c r="AE34" i="7"/>
  <c r="V41" i="7"/>
  <c r="W41" i="7"/>
  <c r="X41" i="7"/>
  <c r="Y41" i="7"/>
  <c r="Z41" i="7"/>
  <c r="AA41" i="7"/>
  <c r="AB41" i="7"/>
  <c r="AC41" i="7"/>
  <c r="AD41" i="7"/>
  <c r="AE41" i="7"/>
  <c r="V44" i="7"/>
  <c r="W44" i="7"/>
  <c r="X44" i="7"/>
  <c r="Y44" i="7"/>
  <c r="Z44" i="7"/>
  <c r="AA44" i="7"/>
  <c r="AB44" i="7"/>
  <c r="AC44" i="7"/>
  <c r="AD44" i="7"/>
  <c r="AE44" i="7"/>
  <c r="V45" i="7"/>
  <c r="W45" i="7"/>
  <c r="X45" i="7"/>
  <c r="Y45" i="7"/>
  <c r="Z45" i="7"/>
  <c r="AA45" i="7"/>
  <c r="AB45" i="7"/>
  <c r="AC45" i="7"/>
  <c r="AD45" i="7"/>
  <c r="AE45" i="7"/>
  <c r="V46" i="7"/>
  <c r="W46" i="7"/>
  <c r="X46" i="7"/>
  <c r="Y46" i="7"/>
  <c r="Z46" i="7"/>
  <c r="AA46" i="7"/>
  <c r="AB46" i="7"/>
  <c r="AC46" i="7"/>
  <c r="AD46" i="7"/>
  <c r="AE46" i="7"/>
  <c r="V48" i="7"/>
  <c r="W48" i="7"/>
  <c r="X48" i="7"/>
  <c r="Y48" i="7"/>
  <c r="Z48" i="7"/>
  <c r="AA48" i="7"/>
  <c r="AB48" i="7"/>
  <c r="AC48" i="7"/>
  <c r="AD48" i="7"/>
  <c r="AE48" i="7"/>
  <c r="V49" i="7"/>
  <c r="W49" i="7"/>
  <c r="X49" i="7"/>
  <c r="Y49" i="7"/>
  <c r="Z49" i="7"/>
  <c r="AA49" i="7"/>
  <c r="AB49" i="7"/>
  <c r="AC49" i="7"/>
  <c r="AD49" i="7"/>
  <c r="AE49" i="7"/>
  <c r="V52" i="7"/>
  <c r="W52" i="7"/>
  <c r="X52" i="7"/>
  <c r="Y52" i="7"/>
  <c r="Z52" i="7"/>
  <c r="AA52" i="7"/>
  <c r="AB52" i="7"/>
  <c r="AC52" i="7"/>
  <c r="AD52" i="7"/>
  <c r="AE52" i="7"/>
  <c r="V54" i="7"/>
  <c r="W54" i="7"/>
  <c r="X54" i="7"/>
  <c r="Y54" i="7"/>
  <c r="Z54" i="7"/>
  <c r="AA54" i="7"/>
  <c r="AB54" i="7"/>
  <c r="AC54" i="7"/>
  <c r="AD54" i="7"/>
  <c r="AE54" i="7"/>
  <c r="V59" i="7"/>
  <c r="W59" i="7"/>
  <c r="X59" i="7"/>
  <c r="Y59" i="7"/>
  <c r="Z59" i="7"/>
  <c r="AA59" i="7"/>
  <c r="AB59" i="7"/>
  <c r="AC59" i="7"/>
  <c r="AD59" i="7"/>
  <c r="AE59" i="7"/>
  <c r="V63" i="7"/>
  <c r="W63" i="7"/>
  <c r="X63" i="7"/>
  <c r="Y63" i="7"/>
  <c r="Z63" i="7"/>
  <c r="AA63" i="7"/>
  <c r="AB63" i="7"/>
  <c r="AC63" i="7"/>
  <c r="AD63" i="7"/>
  <c r="AE63" i="7"/>
  <c r="V66" i="7"/>
  <c r="W66" i="7"/>
  <c r="X66" i="7"/>
  <c r="Y66" i="7"/>
  <c r="Z66" i="7"/>
  <c r="AA66" i="7"/>
  <c r="AB66" i="7"/>
  <c r="AC66" i="7"/>
  <c r="AD66" i="7"/>
  <c r="AE66" i="7"/>
  <c r="V68" i="7"/>
  <c r="W68" i="7"/>
  <c r="X68" i="7"/>
  <c r="Y68" i="7"/>
  <c r="Z68" i="7"/>
  <c r="AA68" i="7"/>
  <c r="AB68" i="7"/>
  <c r="AC68" i="7"/>
  <c r="AD68" i="7"/>
  <c r="AE68" i="7"/>
  <c r="V70" i="7"/>
  <c r="W70" i="7"/>
  <c r="X70" i="7"/>
  <c r="Y70" i="7"/>
  <c r="Z70" i="7"/>
  <c r="AA70" i="7"/>
  <c r="AB70" i="7"/>
  <c r="AC70" i="7"/>
  <c r="AD70" i="7"/>
  <c r="AE70" i="7"/>
  <c r="T1"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B18" authorId="0" shapeId="0" xr:uid="{007787DC-BA6B-49BC-8296-9FAD1EB7D199}">
      <text>
        <r>
          <rPr>
            <sz val="9"/>
            <color indexed="81"/>
            <rFont val="Tahoma"/>
            <family val="2"/>
          </rPr>
          <t xml:space="preserve">
Consortium leasing 20,000 km of dark fibre using DWDM</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jboorman</author>
    <author>James Ratzer</author>
    <author>Soomit Datta</author>
    <author>David</author>
  </authors>
  <commentList>
    <comment ref="C1310" authorId="0" shapeId="0" xr:uid="{00000000-0006-0000-0B00-000001000000}">
      <text>
        <r>
          <rPr>
            <b/>
            <sz val="10"/>
            <color indexed="81"/>
            <rFont val="Tahoma"/>
            <family val="2"/>
          </rPr>
          <t>jboorman:</t>
        </r>
        <r>
          <rPr>
            <sz val="10"/>
            <color indexed="81"/>
            <rFont val="Tahoma"/>
            <family val="2"/>
          </rPr>
          <t xml:space="preserve">
2001 census number</t>
        </r>
        <r>
          <rPr>
            <sz val="8"/>
            <color indexed="81"/>
            <rFont val="Tahoma"/>
            <family val="2"/>
          </rPr>
          <t xml:space="preserve">
</t>
        </r>
      </text>
    </comment>
    <comment ref="I1316" authorId="0" shapeId="0" xr:uid="{00000000-0006-0000-0B00-000002000000}">
      <text>
        <r>
          <rPr>
            <b/>
            <sz val="8"/>
            <color indexed="81"/>
            <rFont val="Tahoma"/>
            <family val="2"/>
          </rPr>
          <t>jboorman:</t>
        </r>
        <r>
          <rPr>
            <sz val="8"/>
            <color indexed="81"/>
            <rFont val="Tahoma"/>
            <family val="2"/>
          </rPr>
          <t xml:space="preserve">
adjusted up by 75k for q1 not q4 from vmed
</t>
        </r>
      </text>
    </comment>
    <comment ref="J1316" authorId="0" shapeId="0" xr:uid="{00000000-0006-0000-0B00-000003000000}">
      <text>
        <r>
          <rPr>
            <b/>
            <sz val="8"/>
            <color indexed="81"/>
            <rFont val="Tahoma"/>
            <family val="2"/>
          </rPr>
          <t>jboorman:</t>
        </r>
        <r>
          <rPr>
            <sz val="8"/>
            <color indexed="81"/>
            <rFont val="Tahoma"/>
            <family val="2"/>
          </rPr>
          <t xml:space="preserve">
adjusted up by 75k for q1 not q4 from vmed
</t>
        </r>
      </text>
    </comment>
    <comment ref="K1316" authorId="0" shapeId="0" xr:uid="{00000000-0006-0000-0B00-000004000000}">
      <text>
        <r>
          <rPr>
            <b/>
            <sz val="8"/>
            <color indexed="81"/>
            <rFont val="Tahoma"/>
            <family val="2"/>
          </rPr>
          <t>jboorman:</t>
        </r>
        <r>
          <rPr>
            <sz val="8"/>
            <color indexed="81"/>
            <rFont val="Tahoma"/>
            <family val="2"/>
          </rPr>
          <t xml:space="preserve">
adjusted up by 75k for q1 not q4 from vmed
</t>
        </r>
      </text>
    </comment>
    <comment ref="L1316" authorId="0" shapeId="0" xr:uid="{00000000-0006-0000-0B00-000005000000}">
      <text>
        <r>
          <rPr>
            <b/>
            <sz val="8"/>
            <color indexed="81"/>
            <rFont val="Tahoma"/>
            <family val="2"/>
          </rPr>
          <t>jboorman:</t>
        </r>
        <r>
          <rPr>
            <sz val="8"/>
            <color indexed="81"/>
            <rFont val="Tahoma"/>
            <family val="2"/>
          </rPr>
          <t xml:space="preserve">
adjusted up by 75k for q1 not q4 from vmed
</t>
        </r>
      </text>
    </comment>
    <comment ref="M1316" authorId="0" shapeId="0" xr:uid="{00000000-0006-0000-0B00-000006000000}">
      <text>
        <r>
          <rPr>
            <b/>
            <sz val="8"/>
            <color indexed="81"/>
            <rFont val="Tahoma"/>
            <family val="2"/>
          </rPr>
          <t>jboorman:</t>
        </r>
        <r>
          <rPr>
            <sz val="8"/>
            <color indexed="81"/>
            <rFont val="Tahoma"/>
            <family val="2"/>
          </rPr>
          <t xml:space="preserve">
adjusted up by 75k for q1 not q4 from vmed
</t>
        </r>
      </text>
    </comment>
    <comment ref="N1316" authorId="0" shapeId="0" xr:uid="{00000000-0006-0000-0B00-000007000000}">
      <text>
        <r>
          <rPr>
            <b/>
            <sz val="8"/>
            <color indexed="81"/>
            <rFont val="Tahoma"/>
            <family val="2"/>
          </rPr>
          <t>jboorman:</t>
        </r>
        <r>
          <rPr>
            <sz val="8"/>
            <color indexed="81"/>
            <rFont val="Tahoma"/>
            <family val="2"/>
          </rPr>
          <t xml:space="preserve">
adjusted up by 75k for q1 not q4 from vmed
</t>
        </r>
      </text>
    </comment>
    <comment ref="O1316" authorId="0" shapeId="0" xr:uid="{00000000-0006-0000-0B00-000008000000}">
      <text>
        <r>
          <rPr>
            <b/>
            <sz val="8"/>
            <color indexed="81"/>
            <rFont val="Tahoma"/>
            <family val="2"/>
          </rPr>
          <t>jboorman:</t>
        </r>
        <r>
          <rPr>
            <sz val="8"/>
            <color indexed="81"/>
            <rFont val="Tahoma"/>
            <family val="2"/>
          </rPr>
          <t xml:space="preserve">
adjusted up by 75k for q1 not q4 from vmed
</t>
        </r>
      </text>
    </comment>
    <comment ref="P1316" authorId="0" shapeId="0" xr:uid="{00000000-0006-0000-0B00-000009000000}">
      <text>
        <r>
          <rPr>
            <b/>
            <sz val="8"/>
            <color indexed="81"/>
            <rFont val="Tahoma"/>
            <family val="2"/>
          </rPr>
          <t>jboorman:</t>
        </r>
        <r>
          <rPr>
            <sz val="8"/>
            <color indexed="81"/>
            <rFont val="Tahoma"/>
            <family val="2"/>
          </rPr>
          <t xml:space="preserve">
adjusted up by 75k for q1 not q4 from vmed
</t>
        </r>
      </text>
    </comment>
    <comment ref="P1330" authorId="1" shapeId="0" xr:uid="{00000000-0006-0000-0B00-00000A000000}">
      <text>
        <r>
          <rPr>
            <b/>
            <sz val="9"/>
            <color indexed="81"/>
            <rFont val="Tahoma"/>
            <family val="2"/>
          </rPr>
          <t>James Ratzer:</t>
        </r>
        <r>
          <rPr>
            <sz val="9"/>
            <color indexed="81"/>
            <rFont val="Tahoma"/>
            <family val="2"/>
          </rPr>
          <t xml:space="preserve">
Strips out EE</t>
        </r>
      </text>
    </comment>
    <comment ref="C1364" authorId="0" shapeId="0" xr:uid="{00000000-0006-0000-0B00-00000B000000}">
      <text>
        <r>
          <rPr>
            <b/>
            <sz val="10"/>
            <color indexed="81"/>
            <rFont val="Tahoma"/>
            <family val="2"/>
          </rPr>
          <t>jboorman:</t>
        </r>
        <r>
          <rPr>
            <sz val="10"/>
            <color indexed="81"/>
            <rFont val="Tahoma"/>
            <family val="2"/>
          </rPr>
          <t xml:space="preserve">
2001 census number</t>
        </r>
        <r>
          <rPr>
            <sz val="8"/>
            <color indexed="81"/>
            <rFont val="Tahoma"/>
            <family val="2"/>
          </rPr>
          <t xml:space="preserve">
</t>
        </r>
      </text>
    </comment>
    <comment ref="D1428" authorId="2" shapeId="0" xr:uid="{00000000-0006-0000-0B00-00000C000000}">
      <text>
        <r>
          <rPr>
            <b/>
            <sz val="9"/>
            <color indexed="81"/>
            <rFont val="Tahoma"/>
            <family val="2"/>
          </rPr>
          <t>Soomit Datta:</t>
        </r>
        <r>
          <rPr>
            <sz val="9"/>
            <color indexed="81"/>
            <rFont val="Tahoma"/>
            <family val="2"/>
          </rPr>
          <t xml:space="preserve">
From IR</t>
        </r>
      </text>
    </comment>
    <comment ref="O3132" authorId="3" shapeId="0" xr:uid="{3C2A884A-8B80-41B7-91B4-42ABEF3E6ACB}">
      <text>
        <r>
          <rPr>
            <b/>
            <sz val="9"/>
            <color indexed="81"/>
            <rFont val="Tahoma"/>
            <family val="2"/>
          </rPr>
          <t>David:</t>
        </r>
        <r>
          <rPr>
            <sz val="9"/>
            <color indexed="81"/>
            <rFont val="Tahoma"/>
            <family val="2"/>
          </rPr>
          <t xml:space="preserve">
Received from a subsidiary of Televisa Univision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Soomit Datta</author>
  </authors>
  <commentList>
    <comment ref="L20" authorId="0" shapeId="0" xr:uid="{00000000-0006-0000-0100-000001000000}">
      <text>
        <r>
          <rPr>
            <b/>
            <sz val="9"/>
            <color indexed="81"/>
            <rFont val="Tahoma"/>
            <family val="2"/>
          </rPr>
          <t>Soomit Datta:</t>
        </r>
        <r>
          <rPr>
            <sz val="9"/>
            <color indexed="81"/>
            <rFont val="Tahoma"/>
            <family val="2"/>
          </rPr>
          <t xml:space="preserve">
re-selling of World Cup digital rights</t>
        </r>
      </text>
    </comment>
    <comment ref="L32" authorId="0" shapeId="0" xr:uid="{1D28F149-6B8B-41D6-98F7-E92638888AA1}">
      <text>
        <r>
          <rPr>
            <b/>
            <sz val="9"/>
            <color indexed="81"/>
            <rFont val="Tahoma"/>
            <family val="2"/>
          </rPr>
          <t>Soomit Datta:</t>
        </r>
        <r>
          <rPr>
            <sz val="9"/>
            <color indexed="81"/>
            <rFont val="Tahoma"/>
            <family val="2"/>
          </rPr>
          <t xml:space="preserve">
re-selling of World Cup digital rights</t>
        </r>
      </text>
    </comment>
    <comment ref="B47" authorId="0" shapeId="0" xr:uid="{00000000-0006-0000-0100-000003000000}">
      <text>
        <r>
          <rPr>
            <b/>
            <sz val="9"/>
            <color indexed="81"/>
            <rFont val="Tahoma"/>
            <family val="2"/>
          </rPr>
          <t>Soomit Datta:</t>
        </r>
        <r>
          <rPr>
            <sz val="9"/>
            <color indexed="81"/>
            <rFont val="Tahoma"/>
            <family val="2"/>
          </rPr>
          <t xml:space="preserve">
50/50 in USD/MXN</t>
        </r>
      </text>
    </comment>
    <comment ref="B59" authorId="0" shapeId="0" xr:uid="{00000000-0006-0000-0100-000004000000}">
      <text>
        <r>
          <rPr>
            <b/>
            <sz val="9"/>
            <color indexed="81"/>
            <rFont val="Tahoma"/>
            <family val="2"/>
          </rPr>
          <t>Soomit Datta:</t>
        </r>
        <r>
          <rPr>
            <sz val="9"/>
            <color indexed="81"/>
            <rFont val="Tahoma"/>
            <family val="2"/>
          </rPr>
          <t xml:space="preserve">
Netflix and exports to other 88 countries</t>
        </r>
      </text>
    </comment>
    <comment ref="E60" authorId="0" shapeId="0" xr:uid="{00000000-0006-0000-0100-000005000000}">
      <text>
        <r>
          <rPr>
            <b/>
            <sz val="9"/>
            <color indexed="81"/>
            <rFont val="Tahoma"/>
            <family val="2"/>
          </rPr>
          <t>Soomit Datta:</t>
        </r>
        <r>
          <rPr>
            <sz val="9"/>
            <color indexed="81"/>
            <rFont val="Tahoma"/>
            <family val="2"/>
          </rPr>
          <t xml:space="preserve">
Netflix included from Q3 2011</t>
        </r>
      </text>
    </comment>
    <comment ref="M71" authorId="0" shapeId="0" xr:uid="{00000000-0006-0000-0100-000006000000}">
      <text>
        <r>
          <rPr>
            <b/>
            <sz val="9"/>
            <color indexed="81"/>
            <rFont val="Tahoma"/>
            <family val="2"/>
          </rPr>
          <t>Soomit Datta:</t>
        </r>
        <r>
          <rPr>
            <sz val="9"/>
            <color indexed="81"/>
            <rFont val="Tahoma"/>
            <family val="2"/>
          </rPr>
          <t xml:space="preserve">
step up in univision payment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Soomit Datta</author>
  </authors>
  <commentList>
    <comment ref="E4827" authorId="0" shapeId="0" xr:uid="{1906A786-0FBB-4552-B79D-3E20F67FC496}">
      <text>
        <r>
          <rPr>
            <b/>
            <sz val="9"/>
            <color indexed="81"/>
            <rFont val="Tahoma"/>
            <family val="2"/>
          </rPr>
          <t>Soomit Datta:</t>
        </r>
        <r>
          <rPr>
            <sz val="9"/>
            <color indexed="81"/>
            <rFont val="Tahoma"/>
            <family val="2"/>
          </rPr>
          <t xml:space="preserve">
2.5 billion streamed hours in 2020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Soomit Datta</author>
  </authors>
  <commentList>
    <comment ref="W22" authorId="0" shapeId="0" xr:uid="{00000000-0006-0000-0800-000001000000}">
      <text>
        <r>
          <rPr>
            <b/>
            <sz val="9"/>
            <color indexed="81"/>
            <rFont val="Tahoma"/>
            <family val="2"/>
          </rPr>
          <t>Soomit Datta:</t>
        </r>
        <r>
          <rPr>
            <sz val="9"/>
            <color indexed="81"/>
            <rFont val="Tahoma"/>
            <family val="2"/>
          </rPr>
          <t xml:space="preserve">
599 is naked BB</t>
        </r>
      </text>
    </comment>
    <comment ref="X22" authorId="0" shapeId="0" xr:uid="{00000000-0006-0000-0800-000002000000}">
      <text>
        <r>
          <rPr>
            <b/>
            <sz val="9"/>
            <color indexed="81"/>
            <rFont val="Tahoma"/>
            <family val="2"/>
          </rPr>
          <t>Soomit Datta:</t>
        </r>
        <r>
          <rPr>
            <sz val="9"/>
            <color indexed="81"/>
            <rFont val="Tahoma"/>
            <family val="2"/>
          </rPr>
          <t xml:space="preserve">
749 is the naked BB list price</t>
        </r>
      </text>
    </comment>
    <comment ref="AB25" authorId="0" shapeId="0" xr:uid="{00000000-0006-0000-0800-000003000000}">
      <text>
        <r>
          <rPr>
            <b/>
            <sz val="9"/>
            <color indexed="81"/>
            <rFont val="Tahoma"/>
            <family val="2"/>
          </rPr>
          <t>Soomit Datta:</t>
        </r>
        <r>
          <rPr>
            <sz val="9"/>
            <color indexed="81"/>
            <rFont val="Tahoma"/>
            <family val="2"/>
          </rPr>
          <t xml:space="preserve">
or LD</t>
        </r>
      </text>
    </comment>
    <comment ref="O42" authorId="0" shapeId="0" xr:uid="{00000000-0006-0000-0800-000004000000}">
      <text>
        <r>
          <rPr>
            <b/>
            <sz val="9"/>
            <color indexed="81"/>
            <rFont val="Tahoma"/>
            <family val="2"/>
          </rPr>
          <t>Soomit Datta:</t>
        </r>
        <r>
          <rPr>
            <sz val="9"/>
            <color indexed="81"/>
            <rFont val="Tahoma"/>
            <family val="2"/>
          </rPr>
          <t xml:space="preserve">
Include 17 HD</t>
        </r>
      </text>
    </comment>
    <comment ref="P42" authorId="0" shapeId="0" xr:uid="{00000000-0006-0000-0800-000005000000}">
      <text>
        <r>
          <rPr>
            <b/>
            <sz val="9"/>
            <color indexed="81"/>
            <rFont val="Tahoma"/>
            <family val="2"/>
          </rPr>
          <t>Soomit Datta:</t>
        </r>
        <r>
          <rPr>
            <sz val="9"/>
            <color indexed="81"/>
            <rFont val="Tahoma"/>
            <family val="2"/>
          </rPr>
          <t xml:space="preserve">
Include 43 HD</t>
        </r>
      </text>
    </comment>
    <comment ref="Q42" authorId="0" shapeId="0" xr:uid="{00000000-0006-0000-0800-000006000000}">
      <text>
        <r>
          <rPr>
            <b/>
            <sz val="9"/>
            <color indexed="81"/>
            <rFont val="Tahoma"/>
            <family val="2"/>
          </rPr>
          <t>Soomit Datta:</t>
        </r>
        <r>
          <rPr>
            <sz val="9"/>
            <color indexed="81"/>
            <rFont val="Tahoma"/>
            <family val="2"/>
          </rPr>
          <t xml:space="preserve">
Include 47 HD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Soomit Datta</author>
  </authors>
  <commentList>
    <comment ref="O30" authorId="0" shapeId="0" xr:uid="{00000000-0006-0000-0E00-000001000000}">
      <text>
        <r>
          <rPr>
            <b/>
            <sz val="9"/>
            <color indexed="81"/>
            <rFont val="Tahoma"/>
            <family val="2"/>
          </rPr>
          <t>Soomit Datta:</t>
        </r>
        <r>
          <rPr>
            <sz val="9"/>
            <color indexed="81"/>
            <rFont val="Tahoma"/>
            <family val="2"/>
          </rPr>
          <t xml:space="preserve">
ARPU of P$299 end 2009 according to last reported numbers</t>
        </r>
      </text>
    </comment>
    <comment ref="T58" authorId="0" shapeId="0" xr:uid="{00000000-0006-0000-0E00-000002000000}">
      <text>
        <r>
          <rPr>
            <b/>
            <sz val="9"/>
            <color indexed="81"/>
            <rFont val="Tahoma"/>
            <family val="2"/>
          </rPr>
          <t>Soomit Datta:</t>
        </r>
        <r>
          <rPr>
            <sz val="9"/>
            <color indexed="81"/>
            <rFont val="Tahoma"/>
            <family val="2"/>
          </rPr>
          <t xml:space="preserve">
Televisa said MTR cut will save Ps200m</t>
        </r>
      </text>
    </comment>
    <comment ref="U59" authorId="0" shapeId="0" xr:uid="{00000000-0006-0000-0E00-000003000000}">
      <text>
        <r>
          <rPr>
            <b/>
            <sz val="9"/>
            <color indexed="81"/>
            <rFont val="Tahoma"/>
            <family val="2"/>
          </rPr>
          <t>Soomit Datta:</t>
        </r>
        <r>
          <rPr>
            <sz val="9"/>
            <color indexed="81"/>
            <rFont val="Tahoma"/>
            <family val="2"/>
          </rPr>
          <t xml:space="preserve">
to reflect outbound cost to TEF</t>
        </r>
      </text>
    </comment>
    <comment ref="O76" authorId="0" shapeId="0" xr:uid="{00000000-0006-0000-0E00-000004000000}">
      <text>
        <r>
          <rPr>
            <b/>
            <sz val="9"/>
            <color indexed="81"/>
            <rFont val="Tahoma"/>
            <family val="2"/>
          </rPr>
          <t>Soomit Datta:</t>
        </r>
        <r>
          <rPr>
            <sz val="9"/>
            <color indexed="81"/>
            <rFont val="Tahoma"/>
            <family val="2"/>
          </rPr>
          <t xml:space="preserve">
assume maintenance</t>
        </r>
      </text>
    </comment>
    <comment ref="P76" authorId="0" shapeId="0" xr:uid="{00000000-0006-0000-0E00-000005000000}">
      <text>
        <r>
          <rPr>
            <b/>
            <sz val="9"/>
            <color indexed="81"/>
            <rFont val="Tahoma"/>
            <family val="2"/>
          </rPr>
          <t>Soomit Datta:</t>
        </r>
        <r>
          <rPr>
            <sz val="9"/>
            <color indexed="81"/>
            <rFont val="Tahoma"/>
            <family val="2"/>
          </rPr>
          <t xml:space="preserve">
assume maintenance</t>
        </r>
      </text>
    </comment>
    <comment ref="Q81" authorId="0" shapeId="0" xr:uid="{00000000-0006-0000-0E00-000006000000}">
      <text>
        <r>
          <rPr>
            <b/>
            <sz val="9"/>
            <color indexed="81"/>
            <rFont val="Tahoma"/>
            <family val="2"/>
          </rPr>
          <t>Soomit Datta:</t>
        </r>
        <r>
          <rPr>
            <sz val="9"/>
            <color indexed="81"/>
            <rFont val="Tahoma"/>
            <family val="2"/>
          </rPr>
          <t xml:space="preserve">
from AMX model</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Soomit Datta</author>
  </authors>
  <commentList>
    <comment ref="G8" authorId="0" shapeId="0" xr:uid="{00000000-0006-0000-0F00-000001000000}">
      <text>
        <r>
          <rPr>
            <b/>
            <sz val="9"/>
            <color indexed="81"/>
            <rFont val="Tahoma"/>
            <family val="2"/>
          </rPr>
          <t>Soomit Datta:</t>
        </r>
        <r>
          <rPr>
            <sz val="9"/>
            <color indexed="81"/>
            <rFont val="Tahoma"/>
            <family val="2"/>
          </rPr>
          <t xml:space="preserve">
$600-$700m for 2014: IR (March 2015)</t>
        </r>
      </text>
    </comment>
    <comment ref="M8" authorId="0" shapeId="0" xr:uid="{00000000-0006-0000-0F00-000002000000}">
      <text>
        <r>
          <rPr>
            <b/>
            <sz val="9"/>
            <color indexed="81"/>
            <rFont val="Tahoma"/>
            <family val="2"/>
          </rPr>
          <t>Soomit Datta:</t>
        </r>
        <r>
          <rPr>
            <sz val="9"/>
            <color indexed="81"/>
            <rFont val="Tahoma"/>
            <family val="2"/>
          </rPr>
          <t xml:space="preserve">
Retrans could x2 by end of decade (CFO, March 2015)</t>
        </r>
      </text>
    </comment>
    <comment ref="H9" authorId="0" shapeId="0" xr:uid="{00000000-0006-0000-0F00-000003000000}">
      <text>
        <r>
          <rPr>
            <b/>
            <sz val="9"/>
            <color indexed="81"/>
            <rFont val="Tahoma"/>
            <family val="2"/>
          </rPr>
          <t>Soomit Datta:</t>
        </r>
        <r>
          <rPr>
            <sz val="9"/>
            <color indexed="81"/>
            <rFont val="Tahoma"/>
            <family val="2"/>
          </rPr>
          <t xml:space="preserve">
no resets in 2015</t>
        </r>
      </text>
    </comment>
    <comment ref="H16" authorId="0" shapeId="0" xr:uid="{00000000-0006-0000-0F00-000004000000}">
      <text>
        <r>
          <rPr>
            <b/>
            <sz val="9"/>
            <color indexed="81"/>
            <rFont val="Tahoma"/>
            <family val="2"/>
          </rPr>
          <t>Soomit Datta:</t>
        </r>
        <r>
          <rPr>
            <sz val="9"/>
            <color indexed="81"/>
            <rFont val="Tahoma"/>
            <family val="2"/>
          </rPr>
          <t xml:space="preserve">
 incremental impact of the
2014 FIFA World Cup, the estimated incremental impact of the 2015 Gold Cup, political/advocacy
advertising revenue, content licensing revenue and 2015 revenue associated with the concurrent use of
adjacent spectrum in one of our existing markets for comparability, revenue for the year ended
December 31, 2015, increased by 2.6% to $2,704.2 million from $2,636.7 million</t>
        </r>
      </text>
    </comment>
    <comment ref="K27" authorId="0" shapeId="0" xr:uid="{00000000-0006-0000-0F00-000005000000}">
      <text>
        <r>
          <rPr>
            <b/>
            <sz val="9"/>
            <color indexed="81"/>
            <rFont val="Tahoma"/>
            <family val="2"/>
          </rPr>
          <t>Soomit Datta:</t>
        </r>
        <r>
          <rPr>
            <sz val="9"/>
            <color indexed="81"/>
            <rFont val="Tahoma"/>
            <family val="2"/>
          </rPr>
          <t xml:space="preserve">
Stop paying 4% to Venevision</t>
        </r>
      </text>
    </comment>
    <comment ref="C32" authorId="0" shapeId="0" xr:uid="{00000000-0006-0000-0F00-000006000000}">
      <text>
        <r>
          <rPr>
            <b/>
            <sz val="9"/>
            <color indexed="81"/>
            <rFont val="Tahoma"/>
            <family val="2"/>
          </rPr>
          <t>Soomit Datta:</t>
        </r>
        <r>
          <rPr>
            <sz val="9"/>
            <color indexed="81"/>
            <rFont val="Tahoma"/>
            <family val="2"/>
          </rPr>
          <t xml:space="preserve">
Largely Televisa settlements</t>
        </r>
      </text>
    </comment>
    <comment ref="F32" authorId="0" shapeId="0" xr:uid="{00000000-0006-0000-0F00-000007000000}">
      <text>
        <r>
          <rPr>
            <b/>
            <sz val="9"/>
            <color indexed="81"/>
            <rFont val="Tahoma"/>
            <family val="2"/>
          </rPr>
          <t>Soomit Datta:</t>
        </r>
        <r>
          <rPr>
            <sz val="9"/>
            <color indexed="81"/>
            <rFont val="Tahoma"/>
            <family val="2"/>
          </rPr>
          <t xml:space="preserve">
Impairment loss of $439.4</t>
        </r>
      </text>
    </comment>
    <comment ref="G32" authorId="0" shapeId="0" xr:uid="{00000000-0006-0000-0F00-000008000000}">
      <text>
        <r>
          <rPr>
            <b/>
            <sz val="9"/>
            <color indexed="81"/>
            <rFont val="Tahoma"/>
            <family val="2"/>
          </rPr>
          <t>Soomit Datta:</t>
        </r>
        <r>
          <rPr>
            <sz val="9"/>
            <color indexed="81"/>
            <rFont val="Tahoma"/>
            <family val="2"/>
          </rPr>
          <t xml:space="preserve">
impairment loss of $340.5m</t>
        </r>
      </text>
    </comment>
    <comment ref="H32" authorId="0" shapeId="0" xr:uid="{00000000-0006-0000-0F00-000009000000}">
      <text>
        <r>
          <rPr>
            <b/>
            <sz val="9"/>
            <color indexed="81"/>
            <rFont val="Tahoma"/>
            <family val="2"/>
          </rPr>
          <t>Soomit Datta:</t>
        </r>
        <r>
          <rPr>
            <sz val="9"/>
            <color indexed="81"/>
            <rFont val="Tahoma"/>
            <family val="2"/>
          </rPr>
          <t xml:space="preserve">
impairment loss of $224.4m</t>
        </r>
      </text>
    </comment>
    <comment ref="I32" authorId="0" shapeId="0" xr:uid="{00000000-0006-0000-0F00-00000A000000}">
      <text>
        <r>
          <rPr>
            <b/>
            <sz val="9"/>
            <color indexed="81"/>
            <rFont val="Tahoma"/>
            <family val="2"/>
          </rPr>
          <t>Soomit Datta:</t>
        </r>
        <r>
          <rPr>
            <sz val="9"/>
            <color indexed="81"/>
            <rFont val="Tahoma"/>
            <family val="2"/>
          </rPr>
          <t xml:space="preserve">
impairment loss of $224.4m</t>
        </r>
      </text>
    </comment>
    <comment ref="F58" authorId="0" shapeId="0" xr:uid="{00000000-0006-0000-0F00-00000B000000}">
      <text>
        <r>
          <rPr>
            <b/>
            <sz val="9"/>
            <color indexed="81"/>
            <rFont val="Tahoma"/>
            <family val="2"/>
          </rPr>
          <t>Soomit Datta:</t>
        </r>
        <r>
          <rPr>
            <sz val="9"/>
            <color indexed="81"/>
            <rFont val="Tahoma"/>
            <family val="2"/>
          </rPr>
          <t xml:space="preserve">
includes US$125m on World Cup</t>
        </r>
      </text>
    </comment>
    <comment ref="E63" authorId="0" shapeId="0" xr:uid="{00000000-0006-0000-0F00-00000C000000}">
      <text>
        <r>
          <rPr>
            <b/>
            <sz val="9"/>
            <color indexed="81"/>
            <rFont val="Tahoma"/>
            <family val="2"/>
          </rPr>
          <t>Soomit Datta:</t>
        </r>
        <r>
          <rPr>
            <sz val="9"/>
            <color indexed="81"/>
            <rFont val="Tahoma"/>
            <family val="2"/>
          </rPr>
          <t xml:space="preserve">
Extra US$600m in Sept 12</t>
        </r>
      </text>
    </comment>
    <comment ref="H65" authorId="0" shapeId="0" xr:uid="{00000000-0006-0000-0F00-00000D000000}">
      <text>
        <r>
          <rPr>
            <b/>
            <sz val="9"/>
            <color indexed="81"/>
            <rFont val="Tahoma"/>
            <family val="2"/>
          </rPr>
          <t>Soomit Datta:</t>
        </r>
        <r>
          <rPr>
            <sz val="9"/>
            <color indexed="81"/>
            <rFont val="Tahoma"/>
            <family val="2"/>
          </rPr>
          <t xml:space="preserve">
Tendered in Fen 2015</t>
        </r>
      </text>
    </comment>
    <comment ref="D67" authorId="0" shapeId="0" xr:uid="{00000000-0006-0000-0F00-00000E000000}">
      <text>
        <r>
          <rPr>
            <b/>
            <sz val="9"/>
            <color indexed="81"/>
            <rFont val="Tahoma"/>
            <family val="2"/>
          </rPr>
          <t>Soomit Datta:</t>
        </r>
        <r>
          <rPr>
            <sz val="9"/>
            <color indexed="81"/>
            <rFont val="Tahoma"/>
            <family val="2"/>
          </rPr>
          <t xml:space="preserve">
May 2011</t>
        </r>
      </text>
    </comment>
    <comment ref="E68" authorId="0" shapeId="0" xr:uid="{00000000-0006-0000-0F00-00000F000000}">
      <text>
        <r>
          <rPr>
            <b/>
            <sz val="9"/>
            <color indexed="81"/>
            <rFont val="Tahoma"/>
            <family val="2"/>
          </rPr>
          <t>Soomit Datta:</t>
        </r>
        <r>
          <rPr>
            <sz val="9"/>
            <color indexed="81"/>
            <rFont val="Tahoma"/>
            <family val="2"/>
          </rPr>
          <t xml:space="preserve">
Feb 12</t>
        </r>
      </text>
    </comment>
    <comment ref="H73" authorId="0" shapeId="0" xr:uid="{00000000-0006-0000-0F00-000010000000}">
      <text>
        <r>
          <rPr>
            <b/>
            <sz val="9"/>
            <color indexed="81"/>
            <rFont val="Tahoma"/>
            <family val="2"/>
          </rPr>
          <t>Soomit Datta:</t>
        </r>
        <r>
          <rPr>
            <sz val="9"/>
            <color indexed="81"/>
            <rFont val="Tahoma"/>
            <family val="2"/>
          </rPr>
          <t xml:space="preserve">
Feb 15</t>
        </r>
      </text>
    </comment>
    <comment ref="H74" authorId="0" shapeId="0" xr:uid="{00000000-0006-0000-0F00-000011000000}">
      <text>
        <r>
          <rPr>
            <b/>
            <sz val="9"/>
            <color indexed="81"/>
            <rFont val="Tahoma"/>
            <family val="2"/>
          </rPr>
          <t>Soomit Datta:</t>
        </r>
        <r>
          <rPr>
            <sz val="9"/>
            <color indexed="81"/>
            <rFont val="Tahoma"/>
            <family val="2"/>
          </rPr>
          <t xml:space="preserve">
Feb 15</t>
        </r>
      </text>
    </comment>
    <comment ref="H82" authorId="0" shapeId="0" xr:uid="{00000000-0006-0000-0F00-000012000000}">
      <text>
        <r>
          <rPr>
            <b/>
            <sz val="9"/>
            <color indexed="81"/>
            <rFont val="Tahoma"/>
            <family val="2"/>
          </rPr>
          <t>Soomit Datta:</t>
        </r>
        <r>
          <rPr>
            <sz val="9"/>
            <color indexed="81"/>
            <rFont val="Tahoma"/>
            <family val="2"/>
          </rPr>
          <t xml:space="preserve">
tendered Feb 15</t>
        </r>
      </text>
    </comment>
    <comment ref="B136" authorId="0" shapeId="0" xr:uid="{00000000-0006-0000-0F00-000013000000}">
      <text>
        <r>
          <rPr>
            <b/>
            <sz val="9"/>
            <color indexed="81"/>
            <rFont val="Tahoma"/>
            <family val="2"/>
          </rPr>
          <t>Soomit Datta:</t>
        </r>
        <r>
          <rPr>
            <sz val="9"/>
            <color indexed="81"/>
            <rFont val="Tahoma"/>
            <family val="2"/>
          </rPr>
          <t xml:space="preserve">
Ex certain soccer games. Set to fit in with guidance for US$245m of royalty payments in 2012 (as of Q2 12)</t>
        </r>
      </text>
    </comment>
    <comment ref="B280" authorId="0" shapeId="0" xr:uid="{00000000-0006-0000-0F00-000014000000}">
      <text>
        <r>
          <rPr>
            <b/>
            <sz val="9"/>
            <color indexed="81"/>
            <rFont val="Tahoma"/>
            <family val="2"/>
          </rPr>
          <t>Soomit Datta:</t>
        </r>
        <r>
          <rPr>
            <sz val="9"/>
            <color indexed="81"/>
            <rFont val="Tahoma"/>
            <family val="2"/>
          </rPr>
          <t xml:space="preserve">
Top 10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Soomit Datta</author>
  </authors>
  <commentList>
    <comment ref="T29" authorId="0" shapeId="0" xr:uid="{03EE75A1-576B-4DDF-AFD5-20B181EDA354}">
      <text>
        <r>
          <rPr>
            <b/>
            <sz val="9"/>
            <color indexed="81"/>
            <rFont val="Tahoma"/>
            <family val="2"/>
          </rPr>
          <t>Soomit Datta:</t>
        </r>
        <r>
          <rPr>
            <sz val="9"/>
            <color indexed="81"/>
            <rFont val="Tahoma"/>
            <family val="2"/>
          </rPr>
          <t xml:space="preserve">
$150m recurring less ~$100m from TVUNI recovery. Oct-23/24/25</t>
        </r>
      </text>
    </comment>
    <comment ref="U29" authorId="0" shapeId="0" xr:uid="{AA7DC94B-3DE3-4B98-AE4B-16F1995869A8}">
      <text>
        <r>
          <rPr>
            <b/>
            <sz val="9"/>
            <color indexed="81"/>
            <rFont val="Tahoma"/>
            <family val="2"/>
          </rPr>
          <t>Soomit Datta:</t>
        </r>
        <r>
          <rPr>
            <sz val="9"/>
            <color indexed="81"/>
            <rFont val="Tahoma"/>
            <family val="2"/>
          </rPr>
          <t xml:space="preserve">
$150m recurring less ~$100m from TVUNI recovery. Oct-23/24/25</t>
        </r>
      </text>
    </comment>
    <comment ref="V29" authorId="0" shapeId="0" xr:uid="{D1FBF3B0-0F62-45E9-A86C-476C252A43F9}">
      <text>
        <r>
          <rPr>
            <b/>
            <sz val="9"/>
            <color indexed="81"/>
            <rFont val="Tahoma"/>
            <family val="2"/>
          </rPr>
          <t>Soomit Datta:</t>
        </r>
        <r>
          <rPr>
            <sz val="9"/>
            <color indexed="81"/>
            <rFont val="Tahoma"/>
            <family val="2"/>
          </rPr>
          <t xml:space="preserve">
$150m recurring less ~$100m from TVUNI recovery. Oct-23/24/25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Soomit Datta</author>
    <author>David</author>
  </authors>
  <commentList>
    <comment ref="B15" authorId="0" shapeId="0" xr:uid="{00000000-0006-0000-0000-000002000000}">
      <text>
        <r>
          <rPr>
            <b/>
            <sz val="9"/>
            <color indexed="81"/>
            <rFont val="Tahoma"/>
            <family val="2"/>
          </rPr>
          <t>Soomit Datta:</t>
        </r>
        <r>
          <rPr>
            <sz val="9"/>
            <color indexed="81"/>
            <rFont val="Tahoma"/>
            <family val="2"/>
          </rPr>
          <t xml:space="preserve">
Around 50% of this (Q2 12) comes from Univision. This is USD denominated. Also includes Netflix from late Q4 11</t>
        </r>
      </text>
    </comment>
    <comment ref="B16" authorId="0" shapeId="0" xr:uid="{00000000-0006-0000-0000-000003000000}">
      <text>
        <r>
          <rPr>
            <b/>
            <sz val="9"/>
            <color indexed="81"/>
            <rFont val="Tahoma"/>
            <family val="2"/>
          </rPr>
          <t>Soomit Datta:</t>
        </r>
        <r>
          <rPr>
            <sz val="9"/>
            <color indexed="81"/>
            <rFont val="Tahoma"/>
            <family val="2"/>
          </rPr>
          <t xml:space="preserve">
Around 50% of this (Q2 12) comes from Univision. This is USD denominated. Also includes Netflix from late Q4 11</t>
        </r>
      </text>
    </comment>
    <comment ref="M20" authorId="0" shapeId="0" xr:uid="{00000000-0006-0000-0000-000004000000}">
      <text>
        <r>
          <rPr>
            <b/>
            <sz val="9"/>
            <color indexed="81"/>
            <rFont val="Tahoma"/>
            <family val="2"/>
          </rPr>
          <t>Soomit Datta:</t>
        </r>
        <r>
          <rPr>
            <sz val="9"/>
            <color indexed="81"/>
            <rFont val="Tahoma"/>
            <family val="2"/>
          </rPr>
          <t xml:space="preserve">
Moved into Other</t>
        </r>
      </text>
    </comment>
    <comment ref="W29" authorId="1" shapeId="0" xr:uid="{9220A050-51F6-4CD0-9881-B7741476EBF8}">
      <text>
        <r>
          <rPr>
            <b/>
            <sz val="9"/>
            <color indexed="81"/>
            <rFont val="Tahoma"/>
            <family val="2"/>
          </rPr>
          <t>David:</t>
        </r>
        <r>
          <rPr>
            <sz val="9"/>
            <color indexed="81"/>
            <rFont val="Tahoma"/>
            <family val="2"/>
          </rPr>
          <t xml:space="preserve">
Ollamani spin off</t>
        </r>
      </text>
    </comment>
    <comment ref="W40" authorId="1" shapeId="0" xr:uid="{2B71CE4B-FF62-46DA-B08A-0E73A597FAEA}">
      <text>
        <r>
          <rPr>
            <b/>
            <sz val="9"/>
            <color indexed="81"/>
            <rFont val="Tahoma"/>
            <family val="2"/>
          </rPr>
          <t>David:</t>
        </r>
        <r>
          <rPr>
            <sz val="9"/>
            <color indexed="81"/>
            <rFont val="Tahoma"/>
            <family val="2"/>
          </rPr>
          <t xml:space="preserve">
Include synergies</t>
        </r>
      </text>
    </comment>
    <comment ref="M54" authorId="0" shapeId="0" xr:uid="{00000000-0006-0000-0000-000005000000}">
      <text>
        <r>
          <rPr>
            <b/>
            <sz val="9"/>
            <color indexed="81"/>
            <rFont val="Tahoma"/>
            <family val="2"/>
          </rPr>
          <t>Soomit Datta:</t>
        </r>
        <r>
          <rPr>
            <sz val="9"/>
            <color indexed="81"/>
            <rFont val="Tahoma"/>
            <family val="2"/>
          </rPr>
          <t xml:space="preserve">
Moved into Other</t>
        </r>
      </text>
    </comment>
    <comment ref="W57" authorId="1" shapeId="0" xr:uid="{E0B39BD8-BD43-4B3B-910E-2102CCAB1470}">
      <text>
        <r>
          <rPr>
            <b/>
            <sz val="9"/>
            <color indexed="81"/>
            <rFont val="Tahoma"/>
            <family val="2"/>
          </rPr>
          <t>David:</t>
        </r>
        <r>
          <rPr>
            <sz val="9"/>
            <color indexed="81"/>
            <rFont val="Tahoma"/>
            <family val="2"/>
          </rPr>
          <t xml:space="preserve">
Spined off</t>
        </r>
      </text>
    </comment>
    <comment ref="I91" authorId="0" shapeId="0" xr:uid="{00000000-0006-0000-0000-000006000000}">
      <text>
        <r>
          <rPr>
            <b/>
            <sz val="9"/>
            <color indexed="81"/>
            <rFont val="Tahoma"/>
            <family val="2"/>
          </rPr>
          <t>Soomit Datta:</t>
        </r>
        <r>
          <rPr>
            <sz val="9"/>
            <color indexed="81"/>
            <rFont val="Tahoma"/>
            <family val="2"/>
          </rPr>
          <t xml:space="preserve">
US$36m relates to satellite launch of IS-16</t>
        </r>
      </text>
    </comment>
    <comment ref="J91" authorId="0" shapeId="0" xr:uid="{00000000-0006-0000-0000-000007000000}">
      <text>
        <r>
          <rPr>
            <b/>
            <sz val="9"/>
            <color indexed="81"/>
            <rFont val="Tahoma"/>
            <family val="2"/>
          </rPr>
          <t>Soomit Datta:</t>
        </r>
        <r>
          <rPr>
            <sz val="9"/>
            <color indexed="81"/>
            <rFont val="Tahoma"/>
            <family val="2"/>
          </rPr>
          <t xml:space="preserve">
US$111m relates to satellite launch of IS-16</t>
        </r>
      </text>
    </comment>
    <comment ref="I94" authorId="0" shapeId="0" xr:uid="{00000000-0006-0000-0000-000008000000}">
      <text>
        <r>
          <rPr>
            <b/>
            <sz val="9"/>
            <color indexed="81"/>
            <rFont val="Tahoma"/>
            <family val="2"/>
          </rPr>
          <t>Soomit Datta:</t>
        </r>
        <r>
          <rPr>
            <sz val="9"/>
            <color indexed="81"/>
            <rFont val="Tahoma"/>
            <family val="2"/>
          </rPr>
          <t xml:space="preserve">
$110m accrued for satellite launch but cash paid in 2011</t>
        </r>
      </text>
    </comment>
    <comment ref="X94" authorId="1" shapeId="0" xr:uid="{3909F212-FBF1-4BFA-911F-4B2DC775356B}">
      <text>
        <r>
          <rPr>
            <b/>
            <sz val="9"/>
            <color indexed="81"/>
            <rFont val="Tahoma"/>
            <family val="2"/>
          </rPr>
          <t>David:</t>
        </r>
        <r>
          <rPr>
            <sz val="9"/>
            <color indexed="81"/>
            <rFont val="Tahoma"/>
            <family val="2"/>
          </rPr>
          <t xml:space="preserve">
Guide now 600 (was 665)</t>
        </r>
      </text>
    </comment>
    <comment ref="J96" authorId="0" shapeId="0" xr:uid="{00000000-0006-0000-0000-000009000000}">
      <text>
        <r>
          <rPr>
            <b/>
            <sz val="9"/>
            <color indexed="81"/>
            <rFont val="Tahoma"/>
            <family val="2"/>
          </rPr>
          <t>Soomit Datta:</t>
        </r>
        <r>
          <rPr>
            <sz val="9"/>
            <color indexed="81"/>
            <rFont val="Tahoma"/>
            <family val="2"/>
          </rPr>
          <t xml:space="preserve">
Includes cash for satellite paid in 2011</t>
        </r>
      </text>
    </comment>
    <comment ref="W99" authorId="1" shapeId="0" xr:uid="{3D0BCCBA-97A6-4380-B5CB-DEE709F26EA7}">
      <text>
        <r>
          <rPr>
            <b/>
            <sz val="9"/>
            <color indexed="81"/>
            <rFont val="Tahoma"/>
            <family val="2"/>
          </rPr>
          <t>David:</t>
        </r>
        <r>
          <rPr>
            <sz val="9"/>
            <color indexed="81"/>
            <rFont val="Tahoma"/>
            <family val="2"/>
          </rPr>
          <t xml:space="preserve">
30m for Acapulco reconstruction, expected to be reimbursed</t>
        </r>
      </text>
    </comment>
    <comment ref="T132" authorId="1" shapeId="0" xr:uid="{1D4478E5-5461-4458-A244-FA043911A977}">
      <text>
        <r>
          <rPr>
            <b/>
            <sz val="9"/>
            <color indexed="81"/>
            <rFont val="Tahoma"/>
            <family val="2"/>
          </rPr>
          <t>David:</t>
        </r>
        <r>
          <rPr>
            <sz val="9"/>
            <color indexed="81"/>
            <rFont val="Tahoma"/>
            <family val="2"/>
          </rPr>
          <t xml:space="preserve">
73,915 PF</t>
        </r>
      </text>
    </comment>
    <comment ref="T135" authorId="1" shapeId="0" xr:uid="{A4743B73-EDF6-4569-BEB1-2B4EC3CA51C8}">
      <text>
        <r>
          <rPr>
            <b/>
            <sz val="9"/>
            <color indexed="81"/>
            <rFont val="Tahoma"/>
            <family val="2"/>
          </rPr>
          <t>David:</t>
        </r>
        <r>
          <rPr>
            <sz val="9"/>
            <color indexed="81"/>
            <rFont val="Tahoma"/>
            <family val="2"/>
          </rPr>
          <t xml:space="preserve">
29,379 PF</t>
        </r>
      </text>
    </comment>
    <comment ref="M151" authorId="0" shapeId="0" xr:uid="{00000000-0006-0000-0000-000001000000}">
      <text>
        <r>
          <rPr>
            <b/>
            <sz val="9"/>
            <color indexed="81"/>
            <rFont val="Tahoma"/>
            <family val="2"/>
          </rPr>
          <t>Soomit Datta:</t>
        </r>
        <r>
          <rPr>
            <sz val="9"/>
            <color indexed="81"/>
            <rFont val="Tahoma"/>
            <family val="2"/>
          </rPr>
          <t xml:space="preserve">
Argentine publishing charge</t>
        </r>
      </text>
    </comment>
    <comment ref="W236" authorId="1" shapeId="0" xr:uid="{B2AB8170-FFFA-4061-8E4C-81A7FA8E70E1}">
      <text>
        <r>
          <rPr>
            <b/>
            <sz val="9"/>
            <color indexed="81"/>
            <rFont val="Tahoma"/>
            <family val="2"/>
          </rPr>
          <t>David:</t>
        </r>
        <r>
          <rPr>
            <sz val="9"/>
            <color indexed="81"/>
            <rFont val="Tahoma"/>
            <family val="2"/>
          </rPr>
          <t xml:space="preserve">
Ollamani 6,506</t>
        </r>
      </text>
    </comment>
    <comment ref="W262" authorId="1" shapeId="0" xr:uid="{05A53875-2C27-4381-99BF-2E5D92385399}">
      <text>
        <r>
          <rPr>
            <b/>
            <sz val="9"/>
            <color indexed="81"/>
            <rFont val="Tahoma"/>
            <family val="2"/>
          </rPr>
          <t>David:</t>
        </r>
        <r>
          <rPr>
            <sz val="9"/>
            <color indexed="81"/>
            <rFont val="Tahoma"/>
            <family val="2"/>
          </rPr>
          <t xml:space="preserve">
Ollamani</t>
        </r>
      </text>
    </comment>
    <comment ref="L283" authorId="0" shapeId="0" xr:uid="{00000000-0006-0000-0000-00000A000000}">
      <text>
        <r>
          <rPr>
            <b/>
            <sz val="9"/>
            <color indexed="81"/>
            <rFont val="Tahoma"/>
            <family val="2"/>
          </rPr>
          <t>Soomit Datta:</t>
        </r>
        <r>
          <rPr>
            <sz val="9"/>
            <color indexed="81"/>
            <rFont val="Tahoma"/>
            <family val="2"/>
          </rPr>
          <t xml:space="preserve">
Option re-evaluation in Univision following 1.5% stake taken by undisclosed financial investor</t>
        </r>
      </text>
    </comment>
    <comment ref="M283" authorId="0" shapeId="0" xr:uid="{00000000-0006-0000-0000-00000B000000}">
      <text>
        <r>
          <rPr>
            <b/>
            <sz val="9"/>
            <color indexed="81"/>
            <rFont val="Tahoma"/>
            <family val="2"/>
          </rPr>
          <t>Soomit Datta:</t>
        </r>
        <r>
          <rPr>
            <sz val="9"/>
            <color indexed="81"/>
            <rFont val="Tahoma"/>
            <family val="2"/>
          </rPr>
          <t xml:space="preserve">
Includes option re-evaluation in Univision of c.Ps800m</t>
        </r>
      </text>
    </comment>
    <comment ref="N283" authorId="0" shapeId="0" xr:uid="{00000000-0006-0000-0000-00000C000000}">
      <text>
        <r>
          <rPr>
            <b/>
            <sz val="9"/>
            <color indexed="81"/>
            <rFont val="Tahoma"/>
            <family val="2"/>
          </rPr>
          <t>Soomit Datta:</t>
        </r>
        <r>
          <rPr>
            <sz val="9"/>
            <color indexed="81"/>
            <rFont val="Tahoma"/>
            <family val="2"/>
          </rPr>
          <t xml:space="preserve">
(i)  exchange in July 2015 of Convertible Debentures issued by Univision Holdings, Inc.
or “UHI” (formerly, Broadcasting Media Partners, Inc.), the controlling company of Univision, for Warrants
that are exercisable for UHI’s common stock, which included, as a consideration for such exchange, a
cash amount of US$135.1 million (Ps.2,195 million) received from UHI; and (ii) a Ps.4,718.2 million
reclassification from accumulated other comprehensive income in consolidated equity in connection with a
cumulative gain related to changes in fair value of such Convertible Debentures, which effect was partially
offset by the absence of a favorable change in fair value in 2014 resulting of an embedded derivative
related to our former option of converting such Debentures into an equity stake of UHI.</t>
        </r>
      </text>
    </comment>
    <comment ref="Y314" authorId="1" shapeId="0" xr:uid="{2D2FBECD-A3D4-4F50-8E92-F3CC64BC4144}">
      <text>
        <r>
          <rPr>
            <b/>
            <sz val="9"/>
            <color indexed="81"/>
            <rFont val="Tahoma"/>
            <family val="2"/>
          </rPr>
          <t>David:</t>
        </r>
        <r>
          <rPr>
            <sz val="9"/>
            <color indexed="81"/>
            <rFont val="Tahoma"/>
            <family val="2"/>
          </rPr>
          <t xml:space="preserve">
Ps6,917m Mandatory convertible</t>
        </r>
      </text>
    </comment>
    <comment ref="H325" authorId="0" shapeId="0" xr:uid="{00000000-0006-0000-0000-00000D000000}">
      <text>
        <r>
          <rPr>
            <b/>
            <sz val="9"/>
            <color indexed="81"/>
            <rFont val="Tahoma"/>
            <family val="2"/>
          </rPr>
          <t>Soomit Datta:</t>
        </r>
        <r>
          <rPr>
            <sz val="9"/>
            <color indexed="81"/>
            <rFont val="Tahoma"/>
            <family val="2"/>
          </rPr>
          <t xml:space="preserve">
Includes assets held for sale</t>
        </r>
      </text>
    </comment>
    <comment ref="I325" authorId="0" shapeId="0" xr:uid="{00000000-0006-0000-0000-00000E000000}">
      <text>
        <r>
          <rPr>
            <b/>
            <sz val="9"/>
            <color indexed="81"/>
            <rFont val="Tahoma"/>
            <family val="2"/>
          </rPr>
          <t>Soomit Datta:</t>
        </r>
        <r>
          <rPr>
            <sz val="9"/>
            <color indexed="81"/>
            <rFont val="Tahoma"/>
            <family val="2"/>
          </rPr>
          <t xml:space="preserve">
Includes assets held for sale</t>
        </r>
      </text>
    </comment>
    <comment ref="J325" authorId="0" shapeId="0" xr:uid="{00000000-0006-0000-0000-00000F000000}">
      <text>
        <r>
          <rPr>
            <b/>
            <sz val="9"/>
            <color indexed="81"/>
            <rFont val="Tahoma"/>
            <family val="2"/>
          </rPr>
          <t>Soomit Datta:</t>
        </r>
        <r>
          <rPr>
            <sz val="9"/>
            <color indexed="81"/>
            <rFont val="Tahoma"/>
            <family val="2"/>
          </rPr>
          <t xml:space="preserve">
Includes assets held for sale</t>
        </r>
      </text>
    </comment>
    <comment ref="K325" authorId="0" shapeId="0" xr:uid="{00000000-0006-0000-0000-000010000000}">
      <text>
        <r>
          <rPr>
            <b/>
            <sz val="9"/>
            <color indexed="81"/>
            <rFont val="Tahoma"/>
            <family val="2"/>
          </rPr>
          <t>Soomit Datta:</t>
        </r>
        <r>
          <rPr>
            <sz val="9"/>
            <color indexed="81"/>
            <rFont val="Tahoma"/>
            <family val="2"/>
          </rPr>
          <t xml:space="preserve">
Includes assets held for sale</t>
        </r>
      </text>
    </comment>
    <comment ref="L325" authorId="0" shapeId="0" xr:uid="{00000000-0006-0000-0000-000011000000}">
      <text>
        <r>
          <rPr>
            <b/>
            <sz val="9"/>
            <color indexed="81"/>
            <rFont val="Tahoma"/>
            <family val="2"/>
          </rPr>
          <t>Soomit Datta:</t>
        </r>
        <r>
          <rPr>
            <sz val="9"/>
            <color indexed="81"/>
            <rFont val="Tahoma"/>
            <family val="2"/>
          </rPr>
          <t xml:space="preserve">
includes non-current held-to-maturity and available-for-sale assets</t>
        </r>
      </text>
    </comment>
    <comment ref="M325" authorId="0" shapeId="0" xr:uid="{00000000-0006-0000-0000-000012000000}">
      <text>
        <r>
          <rPr>
            <b/>
            <sz val="9"/>
            <color indexed="81"/>
            <rFont val="Tahoma"/>
            <family val="2"/>
          </rPr>
          <t>Soomit Datta:</t>
        </r>
        <r>
          <rPr>
            <sz val="9"/>
            <color indexed="81"/>
            <rFont val="Tahoma"/>
            <family val="2"/>
          </rPr>
          <t xml:space="preserve">
includes non-current held-to-maturity and available-for-sale assets</t>
        </r>
      </text>
    </comment>
    <comment ref="W328" authorId="1" shapeId="0" xr:uid="{8601CD32-1FA2-4A0A-AFD9-F10F83D56E95}">
      <text>
        <r>
          <rPr>
            <b/>
            <sz val="9"/>
            <color indexed="81"/>
            <rFont val="Tahoma"/>
            <family val="2"/>
          </rPr>
          <t>David:</t>
        </r>
        <r>
          <rPr>
            <sz val="9"/>
            <color indexed="81"/>
            <rFont val="Tahoma"/>
            <family val="2"/>
          </rPr>
          <t xml:space="preserve">
Ex 1674 of interest payable</t>
        </r>
      </text>
    </comment>
    <comment ref="U407" authorId="1" shapeId="0" xr:uid="{CD403D22-7FFC-49D5-ADF0-F5366CA0EC66}">
      <text>
        <r>
          <rPr>
            <b/>
            <sz val="9"/>
            <color indexed="81"/>
            <rFont val="Tahoma"/>
            <family val="2"/>
          </rPr>
          <t>David:</t>
        </r>
        <r>
          <rPr>
            <sz val="9"/>
            <color indexed="81"/>
            <rFont val="Tahoma"/>
            <family val="2"/>
          </rPr>
          <t xml:space="preserve">
Waiting for CF statement</t>
        </r>
      </text>
    </comment>
    <comment ref="V407" authorId="0" shapeId="0" xr:uid="{218B8653-9304-406D-AB09-0D1D2F9331A2}">
      <text>
        <r>
          <rPr>
            <b/>
            <sz val="9"/>
            <color indexed="81"/>
            <rFont val="Tahoma"/>
            <family val="2"/>
          </rPr>
          <t>Soomit Datta:</t>
        </r>
        <r>
          <rPr>
            <sz val="9"/>
            <color indexed="81"/>
            <rFont val="Tahoma"/>
            <family val="2"/>
          </rPr>
          <t xml:space="preserve">
Balance of TU tax to pay</t>
        </r>
      </text>
    </comment>
    <comment ref="K412" authorId="0" shapeId="0" xr:uid="{00000000-0006-0000-0000-000013000000}">
      <text>
        <r>
          <rPr>
            <b/>
            <sz val="9"/>
            <color indexed="81"/>
            <rFont val="Tahoma"/>
            <family val="2"/>
          </rPr>
          <t>Soomit Datta:</t>
        </r>
        <r>
          <rPr>
            <sz val="9"/>
            <color indexed="81"/>
            <rFont val="Tahoma"/>
            <family val="2"/>
          </rPr>
          <t xml:space="preserve">
Half a year</t>
        </r>
      </text>
    </comment>
    <comment ref="L433" authorId="0" shapeId="0" xr:uid="{00000000-0006-0000-0000-000014000000}">
      <text>
        <r>
          <rPr>
            <b/>
            <sz val="9"/>
            <color indexed="81"/>
            <rFont val="Tahoma"/>
            <family val="2"/>
          </rPr>
          <t>Soomit Datta:</t>
        </r>
        <r>
          <rPr>
            <sz val="9"/>
            <color indexed="81"/>
            <rFont val="Tahoma"/>
            <family val="2"/>
          </rPr>
          <t xml:space="preserve">
estimate for Iusacell write-down</t>
        </r>
      </text>
    </comment>
    <comment ref="M433" authorId="0" shapeId="0" xr:uid="{00000000-0006-0000-0000-000015000000}">
      <text>
        <r>
          <rPr>
            <b/>
            <sz val="9"/>
            <color indexed="81"/>
            <rFont val="Tahoma"/>
            <family val="2"/>
          </rPr>
          <t>Soomit Datta:</t>
        </r>
        <r>
          <rPr>
            <sz val="9"/>
            <color indexed="81"/>
            <rFont val="Tahoma"/>
            <family val="2"/>
          </rPr>
          <t xml:space="preserve">
Loss on sale of Iusacell</t>
        </r>
      </text>
    </comment>
    <comment ref="L444" authorId="0" shapeId="0" xr:uid="{00000000-0006-0000-0000-000016000000}">
      <text>
        <r>
          <rPr>
            <b/>
            <sz val="9"/>
            <color indexed="81"/>
            <rFont val="Tahoma"/>
            <family val="2"/>
          </rPr>
          <t>Soomit Datta:</t>
        </r>
        <r>
          <rPr>
            <sz val="9"/>
            <color indexed="81"/>
            <rFont val="Tahoma"/>
            <family val="2"/>
          </rPr>
          <t xml:space="preserve">
estimate for deferred tax asset recognition at Cable and SKY following 2014 tax reform</t>
        </r>
      </text>
    </comment>
    <comment ref="R469" authorId="0" shapeId="0" xr:uid="{A4D5DB9D-3A0B-44D2-BB5E-709AB201586C}">
      <text>
        <r>
          <rPr>
            <b/>
            <sz val="9"/>
            <color indexed="81"/>
            <rFont val="Tahoma"/>
            <family val="2"/>
          </rPr>
          <t>Soomit Datta:</t>
        </r>
        <r>
          <rPr>
            <sz val="9"/>
            <color indexed="81"/>
            <rFont val="Tahoma"/>
            <family val="2"/>
          </rPr>
          <t xml:space="preserve">
MXN1,386m from CF</t>
        </r>
      </text>
    </comment>
    <comment ref="S469" authorId="0" shapeId="0" xr:uid="{AD9688EE-42FD-4B36-858E-6AEA896D1868}">
      <text>
        <r>
          <rPr>
            <b/>
            <sz val="9"/>
            <color indexed="81"/>
            <rFont val="Tahoma"/>
            <family val="2"/>
          </rPr>
          <t>Soomit Datta:</t>
        </r>
        <r>
          <rPr>
            <sz val="9"/>
            <color indexed="81"/>
            <rFont val="Tahoma"/>
            <family val="2"/>
          </rPr>
          <t xml:space="preserve">
MXN392m from CF</t>
        </r>
      </text>
    </comment>
    <comment ref="M487" authorId="0" shapeId="0" xr:uid="{00000000-0006-0000-0000-000017000000}">
      <text>
        <r>
          <rPr>
            <b/>
            <sz val="9"/>
            <color indexed="81"/>
            <rFont val="Tahoma"/>
            <family val="2"/>
          </rPr>
          <t>Soomit Datta:</t>
        </r>
        <r>
          <rPr>
            <sz val="9"/>
            <color indexed="81"/>
            <rFont val="Tahoma"/>
            <family val="2"/>
          </rPr>
          <t xml:space="preserve">
Remaining 49% of Cablecom. Payment takes Televisa to 100% direct and indirect. Also reflects the consolidation of the cash lent to Cablecom by Televisa in 2013</t>
        </r>
      </text>
    </comment>
    <comment ref="N487" authorId="0" shapeId="0" xr:uid="{00000000-0006-0000-0000-000018000000}">
      <text>
        <r>
          <rPr>
            <b/>
            <sz val="9"/>
            <color indexed="81"/>
            <rFont val="Tahoma"/>
            <family val="2"/>
          </rPr>
          <t>Soomit Datta:</t>
        </r>
        <r>
          <rPr>
            <sz val="9"/>
            <color indexed="81"/>
            <rFont val="Tahoma"/>
            <family val="2"/>
          </rPr>
          <t xml:space="preserve">
Cabelvision Red, of which Ps3bn in equity and Ps7.2bn in debt</t>
        </r>
      </text>
    </comment>
    <comment ref="O487" authorId="0" shapeId="0" xr:uid="{00000000-0006-0000-0000-000019000000}">
      <text>
        <r>
          <rPr>
            <b/>
            <sz val="9"/>
            <color indexed="81"/>
            <rFont val="Tahoma"/>
            <family val="2"/>
          </rPr>
          <t>Soomit Datta:</t>
        </r>
        <r>
          <rPr>
            <sz val="9"/>
            <color indexed="81"/>
            <rFont val="Tahoma"/>
            <family val="2"/>
          </rPr>
          <t xml:space="preserve">
TVI, of which Ps1.258bn in equity and Ps5.492bn in debt</t>
        </r>
      </text>
    </comment>
    <comment ref="Z487" authorId="1" shapeId="0" xr:uid="{2EAB7D65-DC6B-48D3-89A7-5340F5DE595E}">
      <text>
        <r>
          <rPr>
            <b/>
            <sz val="9"/>
            <color indexed="81"/>
            <rFont val="Tahoma"/>
            <family val="2"/>
          </rPr>
          <t>David:</t>
        </r>
        <r>
          <rPr>
            <sz val="9"/>
            <color indexed="81"/>
            <rFont val="Tahoma"/>
            <family val="2"/>
          </rPr>
          <t xml:space="preserve">
Acquisition of AT&amp;T mino stake in Sky,  Payments in 2027 and 2028. Amount not disclosed, assumed will pay $50m</t>
        </r>
      </text>
    </comment>
    <comment ref="AA487" authorId="1" shapeId="0" xr:uid="{6028C99D-0C3B-4654-A1E7-A687C0F34FEF}">
      <text>
        <r>
          <rPr>
            <b/>
            <sz val="9"/>
            <color indexed="81"/>
            <rFont val="Tahoma"/>
            <family val="2"/>
          </rPr>
          <t>David:</t>
        </r>
        <r>
          <rPr>
            <sz val="9"/>
            <color indexed="81"/>
            <rFont val="Tahoma"/>
            <family val="2"/>
          </rPr>
          <t xml:space="preserve">
Acquisition of AT&amp;T mino stake in Sky,  Payments in 2027 and 2028. Amount not disclosed, assumed will pay $50m</t>
        </r>
      </text>
    </comment>
    <comment ref="I488" authorId="0" shapeId="0" xr:uid="{00000000-0006-0000-0000-00001A000000}">
      <text>
        <r>
          <rPr>
            <b/>
            <sz val="9"/>
            <color indexed="81"/>
            <rFont val="Tahoma"/>
            <family val="2"/>
          </rPr>
          <t>Soomit Datta:</t>
        </r>
        <r>
          <rPr>
            <sz val="9"/>
            <color indexed="81"/>
            <rFont val="Tahoma"/>
            <family val="2"/>
          </rPr>
          <t xml:space="preserve">
Univision</t>
        </r>
      </text>
    </comment>
    <comment ref="J488" authorId="0" shapeId="0" xr:uid="{00000000-0006-0000-0000-00001B000000}">
      <text>
        <r>
          <rPr>
            <b/>
            <sz val="9"/>
            <color indexed="81"/>
            <rFont val="Tahoma"/>
            <family val="2"/>
          </rPr>
          <t>Soomit Datta:</t>
        </r>
        <r>
          <rPr>
            <sz val="9"/>
            <color indexed="81"/>
            <rFont val="Tahoma"/>
            <family val="2"/>
          </rPr>
          <t xml:space="preserve">
Iusacell</t>
        </r>
      </text>
    </comment>
    <comment ref="L488" authorId="0" shapeId="0" xr:uid="{00000000-0006-0000-0000-00001C000000}">
      <text>
        <r>
          <rPr>
            <b/>
            <sz val="9"/>
            <color indexed="81"/>
            <rFont val="Tahoma"/>
            <family val="2"/>
          </rPr>
          <t>Soomit Datta:</t>
        </r>
        <r>
          <rPr>
            <sz val="9"/>
            <color indexed="81"/>
            <rFont val="Tahoma"/>
            <family val="2"/>
          </rPr>
          <t xml:space="preserve">
Cablecom (95% of Tenedora Ares, which holds a 51% stake in Cablecom). The $195 is a Televisa loan to Cablecom</t>
        </r>
      </text>
    </comment>
    <comment ref="Q492" authorId="0" shapeId="0" xr:uid="{00000000-0006-0000-0000-00001D000000}">
      <text>
        <r>
          <rPr>
            <b/>
            <sz val="9"/>
            <color indexed="81"/>
            <rFont val="Tahoma"/>
            <family val="2"/>
          </rPr>
          <t>Soomit Datta:</t>
        </r>
        <r>
          <rPr>
            <sz val="9"/>
            <color indexed="81"/>
            <rFont val="Tahoma"/>
            <family val="2"/>
          </rPr>
          <t xml:space="preserve">
Imagine plus Argentina publishing</t>
        </r>
      </text>
    </comment>
    <comment ref="B569" authorId="0" shapeId="0" xr:uid="{00000000-0006-0000-0000-00001E000000}">
      <text>
        <r>
          <rPr>
            <b/>
            <sz val="9"/>
            <color indexed="81"/>
            <rFont val="Tahoma"/>
            <family val="2"/>
          </rPr>
          <t>Soomit Datta:</t>
        </r>
        <r>
          <rPr>
            <sz val="9"/>
            <color indexed="81"/>
            <rFont val="Tahoma"/>
            <family val="2"/>
          </rPr>
          <t xml:space="preserve">
Only have voting rights on the corresponding L shares</t>
        </r>
      </text>
    </comment>
    <comment ref="Y579" authorId="1" shapeId="0" xr:uid="{8E237810-E7C2-4BE5-B0E9-B10449D3FA30}">
      <text>
        <r>
          <rPr>
            <b/>
            <sz val="9"/>
            <color indexed="81"/>
            <rFont val="Tahoma"/>
            <family val="2"/>
          </rPr>
          <t>David:</t>
        </r>
        <r>
          <rPr>
            <sz val="9"/>
            <color indexed="81"/>
            <rFont val="Tahoma"/>
            <family val="2"/>
          </rPr>
          <t xml:space="preserve">
Not paying divi this year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Eduardo</author>
    <author>Soomit Datta</author>
    <author>David</author>
  </authors>
  <commentList>
    <comment ref="O68" authorId="0" shapeId="0" xr:uid="{FCDE42AD-7E25-41D1-8FEC-9E29EC837E52}">
      <text>
        <r>
          <rPr>
            <b/>
            <sz val="9"/>
            <color indexed="81"/>
            <rFont val="Tahoma"/>
            <family val="2"/>
          </rPr>
          <t>Eduardo:</t>
        </r>
        <r>
          <rPr>
            <sz val="9"/>
            <color indexed="81"/>
            <rFont val="Tahoma"/>
            <family val="2"/>
          </rPr>
          <t xml:space="preserve">
From Inv Day Oct 21 - assume BB subs = unique subs</t>
        </r>
      </text>
    </comment>
    <comment ref="P68" authorId="0" shapeId="0" xr:uid="{090FCA69-0442-4B32-A5F5-544EC82B08EE}">
      <text>
        <r>
          <rPr>
            <b/>
            <sz val="9"/>
            <color indexed="81"/>
            <rFont val="Tahoma"/>
            <family val="2"/>
          </rPr>
          <t>Eduardo:</t>
        </r>
        <r>
          <rPr>
            <sz val="9"/>
            <color indexed="81"/>
            <rFont val="Tahoma"/>
            <family val="2"/>
          </rPr>
          <t xml:space="preserve">
From Inv Day Oct 21 - assume BB subs = unique subs</t>
        </r>
      </text>
    </comment>
    <comment ref="P96" authorId="0" shapeId="0" xr:uid="{00C06E06-53B5-4019-AD6E-5B8498635959}">
      <text>
        <r>
          <rPr>
            <b/>
            <sz val="9"/>
            <color indexed="81"/>
            <rFont val="Tahoma"/>
            <family val="2"/>
          </rPr>
          <t>Eduardo:</t>
        </r>
        <r>
          <rPr>
            <sz val="9"/>
            <color indexed="81"/>
            <rFont val="Tahoma"/>
            <family val="2"/>
          </rPr>
          <t xml:space="preserve">
7729 in Q2 21</t>
        </r>
      </text>
    </comment>
    <comment ref="I117" authorId="1" shapeId="0" xr:uid="{00000000-0006-0000-0D00-000001000000}">
      <text>
        <r>
          <rPr>
            <b/>
            <sz val="9"/>
            <color indexed="81"/>
            <rFont val="Tahoma"/>
            <family val="2"/>
          </rPr>
          <t>Soomit Datta:</t>
        </r>
        <r>
          <rPr>
            <sz val="9"/>
            <color indexed="81"/>
            <rFont val="Tahoma"/>
            <family val="2"/>
          </rPr>
          <t xml:space="preserve">
based on Cablecom RGU split</t>
        </r>
      </text>
    </comment>
    <comment ref="P118" authorId="0" shapeId="0" xr:uid="{8EC5B0D1-8474-4574-BF2C-D1539B870C91}">
      <text>
        <r>
          <rPr>
            <b/>
            <sz val="9"/>
            <color indexed="81"/>
            <rFont val="Tahoma"/>
            <family val="2"/>
          </rPr>
          <t>Eduardo:</t>
        </r>
        <r>
          <rPr>
            <sz val="9"/>
            <color indexed="81"/>
            <rFont val="Tahoma"/>
            <family val="2"/>
          </rPr>
          <t xml:space="preserve">
2866 in Q2 21</t>
        </r>
      </text>
    </comment>
    <comment ref="Q120" authorId="2" shapeId="0" xr:uid="{4501387D-4B8F-4A1F-9C11-A37B6796498D}">
      <text>
        <r>
          <rPr>
            <b/>
            <sz val="9"/>
            <color indexed="81"/>
            <rFont val="Tahoma"/>
            <family val="2"/>
          </rPr>
          <t>David:</t>
        </r>
        <r>
          <rPr>
            <sz val="9"/>
            <color indexed="81"/>
            <rFont val="Tahoma"/>
            <family val="2"/>
          </rPr>
          <t xml:space="preserve">
Sept-22</t>
        </r>
      </text>
    </comment>
    <comment ref="I162" authorId="1" shapeId="0" xr:uid="{00000000-0006-0000-0D00-000002000000}">
      <text>
        <r>
          <rPr>
            <b/>
            <sz val="9"/>
            <color indexed="81"/>
            <rFont val="Tahoma"/>
            <family val="2"/>
          </rPr>
          <t>Soomit Datta:</t>
        </r>
        <r>
          <rPr>
            <sz val="9"/>
            <color indexed="81"/>
            <rFont val="Tahoma"/>
            <family val="2"/>
          </rPr>
          <t xml:space="preserve">
based on Cablecom RGU split</t>
        </r>
      </text>
    </comment>
    <comment ref="H219" authorId="1" shapeId="0" xr:uid="{00000000-0006-0000-0D00-000003000000}">
      <text>
        <r>
          <rPr>
            <b/>
            <sz val="9"/>
            <color indexed="81"/>
            <rFont val="Tahoma"/>
            <family val="2"/>
          </rPr>
          <t>Soomit Datta:</t>
        </r>
        <r>
          <rPr>
            <sz val="9"/>
            <color indexed="81"/>
            <rFont val="Tahoma"/>
            <family val="2"/>
          </rPr>
          <t xml:space="preserve">
estimate</t>
        </r>
      </text>
    </comment>
    <comment ref="I234" authorId="1" shapeId="0" xr:uid="{00000000-0006-0000-0D00-000004000000}">
      <text>
        <r>
          <rPr>
            <b/>
            <sz val="9"/>
            <color indexed="81"/>
            <rFont val="Tahoma"/>
            <family val="2"/>
          </rPr>
          <t>Soomit Datta:</t>
        </r>
        <r>
          <rPr>
            <sz val="9"/>
            <color indexed="81"/>
            <rFont val="Tahoma"/>
            <family val="2"/>
          </rPr>
          <t xml:space="preserve">
In-line with guidance given at the time of the deal (August 2013), consolidation from 1 Sept </t>
        </r>
      </text>
    </comment>
    <comment ref="J267" authorId="1" shapeId="0" xr:uid="{00000000-0006-0000-0D00-000005000000}">
      <text>
        <r>
          <rPr>
            <b/>
            <sz val="9"/>
            <color indexed="81"/>
            <rFont val="Tahoma"/>
            <family val="2"/>
          </rPr>
          <t>Soomit Datta:</t>
        </r>
        <r>
          <rPr>
            <sz val="9"/>
            <color indexed="81"/>
            <rFont val="Tahoma"/>
            <family val="2"/>
          </rPr>
          <t xml:space="preserve">
Assume consolidation from 1 April, and 5% discount to potential 15 expectations</t>
        </r>
      </text>
    </comment>
    <comment ref="U299" authorId="2" shapeId="0" xr:uid="{70702DC1-A461-44E0-9C11-3723E21D71E9}">
      <text>
        <r>
          <rPr>
            <b/>
            <sz val="9"/>
            <color indexed="81"/>
            <rFont val="Tahoma"/>
            <family val="2"/>
          </rPr>
          <t>David:</t>
        </r>
        <r>
          <rPr>
            <sz val="9"/>
            <color indexed="81"/>
            <rFont val="Tahoma"/>
            <family val="2"/>
          </rPr>
          <t xml:space="preserve">
Upgrade 6m homes</t>
        </r>
      </text>
    </comment>
    <comment ref="V299" authorId="2" shapeId="0" xr:uid="{1E658C18-8E4D-4097-9A1C-C5B1E0E0A53E}">
      <text>
        <r>
          <rPr>
            <b/>
            <sz val="9"/>
            <color indexed="81"/>
            <rFont val="Tahoma"/>
            <family val="2"/>
          </rPr>
          <t>David:</t>
        </r>
        <r>
          <rPr>
            <sz val="9"/>
            <color indexed="81"/>
            <rFont val="Tahoma"/>
            <family val="2"/>
          </rPr>
          <t xml:space="preserve">
Upgrading remaining homes</t>
        </r>
      </text>
    </comment>
    <comment ref="G310" authorId="1" shapeId="0" xr:uid="{00000000-0006-0000-0D00-000006000000}">
      <text>
        <r>
          <rPr>
            <b/>
            <sz val="9"/>
            <color indexed="81"/>
            <rFont val="Tahoma"/>
            <family val="2"/>
          </rPr>
          <t>Soomit Datta:</t>
        </r>
        <r>
          <rPr>
            <sz val="9"/>
            <color indexed="81"/>
            <rFont val="Tahoma"/>
            <family val="2"/>
          </rPr>
          <t xml:space="preserve">
Maturities in 2012 and 2013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David</author>
    <author>Soomit Datta</author>
    <author>Eduardo</author>
  </authors>
  <commentList>
    <comment ref="P60" authorId="0" shapeId="0" xr:uid="{CD63D820-72DD-43C8-868F-9FC1A1744258}">
      <text>
        <r>
          <rPr>
            <b/>
            <sz val="9"/>
            <color indexed="81"/>
            <rFont val="Tahoma"/>
            <family val="2"/>
          </rPr>
          <t>David:</t>
        </r>
        <r>
          <rPr>
            <sz val="9"/>
            <color indexed="81"/>
            <rFont val="Tahoma"/>
            <family val="2"/>
          </rPr>
          <t xml:space="preserve">
169.692 video RGUs in Central America and the Dominican Republic</t>
        </r>
      </text>
    </comment>
    <comment ref="Q60" authorId="1" shapeId="0" xr:uid="{CBE64977-15F9-46E5-AF37-2E1F81887377}">
      <text>
        <r>
          <rPr>
            <b/>
            <sz val="9"/>
            <color indexed="81"/>
            <rFont val="Tahoma"/>
            <family val="2"/>
          </rPr>
          <t>Soomit Datta:</t>
        </r>
        <r>
          <rPr>
            <sz val="9"/>
            <color indexed="81"/>
            <rFont val="Tahoma"/>
            <family val="2"/>
          </rPr>
          <t xml:space="preserve">
estimate</t>
        </r>
      </text>
    </comment>
    <comment ref="R60" authorId="1" shapeId="0" xr:uid="{F2E3FD33-1DEB-4C74-9BC3-4DDF38117F8D}">
      <text>
        <r>
          <rPr>
            <b/>
            <sz val="9"/>
            <color indexed="81"/>
            <rFont val="Tahoma"/>
            <family val="2"/>
          </rPr>
          <t>Soomit Datta:</t>
        </r>
        <r>
          <rPr>
            <sz val="9"/>
            <color indexed="81"/>
            <rFont val="Tahoma"/>
            <family val="2"/>
          </rPr>
          <t xml:space="preserve">
estimate</t>
        </r>
      </text>
    </comment>
    <comment ref="S60" authorId="1" shapeId="0" xr:uid="{69455BC7-F709-4A01-AC9B-F3FAFC376ACC}">
      <text>
        <r>
          <rPr>
            <b/>
            <sz val="9"/>
            <color indexed="81"/>
            <rFont val="Tahoma"/>
            <family val="2"/>
          </rPr>
          <t>Soomit Datta:</t>
        </r>
        <r>
          <rPr>
            <sz val="9"/>
            <color indexed="81"/>
            <rFont val="Tahoma"/>
            <family val="2"/>
          </rPr>
          <t xml:space="preserve">
estimate</t>
        </r>
      </text>
    </comment>
    <comment ref="M61" authorId="1" shapeId="0" xr:uid="{00000000-0006-0000-0500-000001000000}">
      <text>
        <r>
          <rPr>
            <b/>
            <sz val="9"/>
            <color indexed="81"/>
            <rFont val="Tahoma"/>
            <family val="2"/>
          </rPr>
          <t>Soomit Datta:</t>
        </r>
        <r>
          <rPr>
            <sz val="9"/>
            <color indexed="81"/>
            <rFont val="Tahoma"/>
            <family val="2"/>
          </rPr>
          <t xml:space="preserve">
4275 back out from IFT. Looks odd.</t>
        </r>
      </text>
    </comment>
    <comment ref="R69" authorId="2" shapeId="0" xr:uid="{015732CB-F2A3-4E30-96F8-190337E01CA4}">
      <text>
        <r>
          <rPr>
            <b/>
            <sz val="9"/>
            <color indexed="81"/>
            <rFont val="Tahoma"/>
            <family val="2"/>
          </rPr>
          <t>Eduardo:</t>
        </r>
        <r>
          <rPr>
            <sz val="9"/>
            <color indexed="81"/>
            <rFont val="Tahoma"/>
            <family val="2"/>
          </rPr>
          <t xml:space="preserve">
1933 in Q2 21</t>
        </r>
      </text>
    </comment>
    <comment ref="N144" authorId="1" shapeId="0" xr:uid="{00000000-0006-0000-0500-000002000000}">
      <text>
        <r>
          <rPr>
            <b/>
            <sz val="9"/>
            <color indexed="81"/>
            <rFont val="Tahoma"/>
            <family val="2"/>
          </rPr>
          <t>Soomit Datta:</t>
        </r>
        <r>
          <rPr>
            <sz val="9"/>
            <color indexed="81"/>
            <rFont val="Tahoma"/>
            <family val="2"/>
          </rPr>
          <t xml:space="preserve">
23-28% according to the CFO</t>
        </r>
      </text>
    </comment>
    <comment ref="N145" authorId="1" shapeId="0" xr:uid="{00000000-0006-0000-0500-000003000000}">
      <text>
        <r>
          <rPr>
            <b/>
            <sz val="9"/>
            <color indexed="81"/>
            <rFont val="Tahoma"/>
            <family val="2"/>
          </rPr>
          <t>Soomit Datta:</t>
        </r>
        <r>
          <rPr>
            <sz val="9"/>
            <color indexed="81"/>
            <rFont val="Tahoma"/>
            <family val="2"/>
          </rPr>
          <t xml:space="preserve">
Telmex voice line, ex-VAT</t>
        </r>
      </text>
    </comment>
    <comment ref="N150" authorId="1" shapeId="0" xr:uid="{00000000-0006-0000-0500-000004000000}">
      <text>
        <r>
          <rPr>
            <b/>
            <sz val="9"/>
            <color indexed="81"/>
            <rFont val="Tahoma"/>
            <family val="2"/>
          </rPr>
          <t>Soomit Datta:</t>
        </r>
        <r>
          <rPr>
            <sz val="9"/>
            <color indexed="81"/>
            <rFont val="Tahoma"/>
            <family val="2"/>
          </rPr>
          <t xml:space="preserve">
&gt;40% according to the CFO</t>
        </r>
      </text>
    </comment>
    <comment ref="N159" authorId="1" shapeId="0" xr:uid="{00000000-0006-0000-0500-000005000000}">
      <text>
        <r>
          <rPr>
            <b/>
            <sz val="9"/>
            <color indexed="81"/>
            <rFont val="Tahoma"/>
            <family val="2"/>
          </rPr>
          <t>Soomit Datta:</t>
        </r>
        <r>
          <rPr>
            <sz val="9"/>
            <color indexed="81"/>
            <rFont val="Tahoma"/>
            <family val="2"/>
          </rPr>
          <t xml:space="preserve">
from AMX</t>
        </r>
      </text>
    </comment>
    <comment ref="V177" authorId="0" shapeId="0" xr:uid="{7E7414B8-46A7-439B-8EDE-78189BCCB2C0}">
      <text>
        <r>
          <rPr>
            <b/>
            <sz val="9"/>
            <color indexed="81"/>
            <rFont val="Tahoma"/>
            <family val="2"/>
          </rPr>
          <t>David:</t>
        </r>
        <r>
          <rPr>
            <sz val="9"/>
            <color indexed="81"/>
            <rFont val="Tahoma"/>
            <family val="2"/>
          </rPr>
          <t xml:space="preserve">
132 synergies</t>
        </r>
      </text>
    </comment>
    <comment ref="I180" authorId="1" shapeId="0" xr:uid="{00000000-0006-0000-0500-000006000000}">
      <text>
        <r>
          <rPr>
            <b/>
            <sz val="9"/>
            <color indexed="81"/>
            <rFont val="Tahoma"/>
            <family val="2"/>
          </rPr>
          <t>Soomit Datta:</t>
        </r>
        <r>
          <rPr>
            <sz val="9"/>
            <color indexed="81"/>
            <rFont val="Tahoma"/>
            <family val="2"/>
          </rPr>
          <t xml:space="preserve">
capitalised transponder lease agreement</t>
        </r>
      </text>
    </comment>
    <comment ref="M208" authorId="1" shapeId="0" xr:uid="{00000000-0006-0000-0500-000007000000}">
      <text>
        <r>
          <rPr>
            <b/>
            <sz val="9"/>
            <color indexed="81"/>
            <rFont val="Tahoma"/>
            <family val="2"/>
          </rPr>
          <t>Soomit Datta:</t>
        </r>
        <r>
          <rPr>
            <sz val="9"/>
            <color indexed="81"/>
            <rFont val="Tahoma"/>
            <family val="2"/>
          </rPr>
          <t xml:space="preserve">
Current loan matures</t>
        </r>
      </text>
    </comment>
    <comment ref="J218" authorId="1" shapeId="0" xr:uid="{00000000-0006-0000-0500-000008000000}">
      <text>
        <r>
          <rPr>
            <b/>
            <sz val="9"/>
            <color indexed="81"/>
            <rFont val="Tahoma"/>
            <family val="2"/>
          </rPr>
          <t>Soomit Datta:</t>
        </r>
        <r>
          <rPr>
            <sz val="9"/>
            <color indexed="81"/>
            <rFont val="Tahoma"/>
            <family val="2"/>
          </rPr>
          <t xml:space="preserve">
Adjusted for an estimate of deferred tax gain of MXN1,150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Soomit Datta</author>
    <author>David</author>
  </authors>
  <commentList>
    <comment ref="AX8" authorId="0" shapeId="0" xr:uid="{780216D1-C24A-4E6F-8A2D-E9D506F54C50}">
      <text>
        <r>
          <rPr>
            <b/>
            <sz val="9"/>
            <color indexed="81"/>
            <rFont val="Tahoma"/>
            <family val="2"/>
          </rPr>
          <t>Soomit Datta:</t>
        </r>
        <r>
          <rPr>
            <sz val="9"/>
            <color indexed="81"/>
            <rFont val="Tahoma"/>
            <family val="2"/>
          </rPr>
          <t xml:space="preserve">
Assets held for sale
</t>
        </r>
      </text>
    </comment>
    <comment ref="BZ15" authorId="1" shapeId="0" xr:uid="{8A1089E8-44C0-42B1-BD63-7AD08A4A6270}">
      <text>
        <r>
          <rPr>
            <b/>
            <sz val="9"/>
            <color indexed="81"/>
            <rFont val="Tahoma"/>
            <family val="2"/>
          </rPr>
          <t>David:</t>
        </r>
        <r>
          <rPr>
            <sz val="9"/>
            <color indexed="81"/>
            <rFont val="Tahoma"/>
            <family val="2"/>
          </rPr>
          <t xml:space="preserve">
Waiting for Q2/Q3 26 releases</t>
        </r>
      </text>
    </comment>
    <comment ref="AX18" authorId="0" shapeId="0" xr:uid="{1CAB5B80-06B2-47A0-B400-73247CDAF0A7}">
      <text>
        <r>
          <rPr>
            <b/>
            <sz val="9"/>
            <color indexed="81"/>
            <rFont val="Tahoma"/>
            <family val="2"/>
          </rPr>
          <t>Soomit Datta:</t>
        </r>
        <r>
          <rPr>
            <sz val="9"/>
            <color indexed="81"/>
            <rFont val="Tahoma"/>
            <family val="2"/>
          </rPr>
          <t xml:space="preserve">
Assets held for sale</t>
        </r>
      </text>
    </comment>
    <comment ref="ET19" authorId="0" shapeId="0" xr:uid="{22CECBA2-642D-411C-844D-6AAD906421E7}">
      <text>
        <r>
          <rPr>
            <b/>
            <sz val="9"/>
            <color indexed="81"/>
            <rFont val="Tahoma"/>
            <family val="2"/>
          </rPr>
          <t>Soomit Datta:</t>
        </r>
        <r>
          <rPr>
            <sz val="9"/>
            <color indexed="81"/>
            <rFont val="Tahoma"/>
            <family val="2"/>
          </rPr>
          <t xml:space="preserve">
adj for Spin</t>
        </r>
      </text>
    </comment>
    <comment ref="EU19" authorId="0" shapeId="0" xr:uid="{2F604A32-105D-4258-854F-49F76893790B}">
      <text>
        <r>
          <rPr>
            <b/>
            <sz val="9"/>
            <color indexed="81"/>
            <rFont val="Tahoma"/>
            <family val="2"/>
          </rPr>
          <t>Soomit Datta:</t>
        </r>
        <r>
          <rPr>
            <sz val="9"/>
            <color indexed="81"/>
            <rFont val="Tahoma"/>
            <family val="2"/>
          </rPr>
          <t xml:space="preserve">
adj for Spin</t>
        </r>
      </text>
    </comment>
    <comment ref="EV19" authorId="0" shapeId="0" xr:uid="{1C065F6D-1C70-43E4-BF4C-83B562658D43}">
      <text>
        <r>
          <rPr>
            <b/>
            <sz val="9"/>
            <color indexed="81"/>
            <rFont val="Tahoma"/>
            <family val="2"/>
          </rPr>
          <t>Soomit Datta:</t>
        </r>
        <r>
          <rPr>
            <sz val="9"/>
            <color indexed="81"/>
            <rFont val="Tahoma"/>
            <family val="2"/>
          </rPr>
          <t xml:space="preserve">
adj for Spin</t>
        </r>
      </text>
    </comment>
    <comment ref="ET21" authorId="0" shapeId="0" xr:uid="{980E7DC2-DD2C-4963-9C47-D923F15D78E8}">
      <text>
        <r>
          <rPr>
            <b/>
            <sz val="9"/>
            <color indexed="81"/>
            <rFont val="Tahoma"/>
            <family val="2"/>
          </rPr>
          <t>Soomit Datta:</t>
        </r>
        <r>
          <rPr>
            <sz val="9"/>
            <color indexed="81"/>
            <rFont val="Tahoma"/>
            <family val="2"/>
          </rPr>
          <t xml:space="preserve">
adj for spin</t>
        </r>
      </text>
    </comment>
    <comment ref="EU21" authorId="0" shapeId="0" xr:uid="{C36B352B-4FEE-49B0-933E-F231DEA8D209}">
      <text>
        <r>
          <rPr>
            <b/>
            <sz val="9"/>
            <color indexed="81"/>
            <rFont val="Tahoma"/>
            <family val="2"/>
          </rPr>
          <t>Soomit Datta:</t>
        </r>
        <r>
          <rPr>
            <sz val="9"/>
            <color indexed="81"/>
            <rFont val="Tahoma"/>
            <family val="2"/>
          </rPr>
          <t xml:space="preserve">
adj for spin</t>
        </r>
      </text>
    </comment>
    <comment ref="EV21" authorId="0" shapeId="0" xr:uid="{EF9E04BF-89F4-403B-8DAA-ADCFC82CDB35}">
      <text>
        <r>
          <rPr>
            <b/>
            <sz val="9"/>
            <color indexed="81"/>
            <rFont val="Tahoma"/>
            <family val="2"/>
          </rPr>
          <t>Soomit Datta:</t>
        </r>
        <r>
          <rPr>
            <sz val="9"/>
            <color indexed="81"/>
            <rFont val="Tahoma"/>
            <family val="2"/>
          </rPr>
          <t xml:space="preserve">
adj for spin</t>
        </r>
      </text>
    </comment>
    <comment ref="S23" authorId="0" shapeId="0" xr:uid="{00000000-0006-0000-0200-000001000000}">
      <text>
        <r>
          <rPr>
            <b/>
            <sz val="9"/>
            <color indexed="81"/>
            <rFont val="Tahoma"/>
            <family val="2"/>
          </rPr>
          <t>Soomit Datta:</t>
        </r>
        <r>
          <rPr>
            <sz val="9"/>
            <color indexed="81"/>
            <rFont val="Tahoma"/>
            <family val="2"/>
          </rPr>
          <t xml:space="preserve">
15 days of Q3</t>
        </r>
      </text>
    </comment>
    <comment ref="T23" authorId="0" shapeId="0" xr:uid="{00000000-0006-0000-0200-000002000000}">
      <text>
        <r>
          <rPr>
            <b/>
            <sz val="9"/>
            <color indexed="81"/>
            <rFont val="Tahoma"/>
            <family val="2"/>
          </rPr>
          <t>Soomit Datta:</t>
        </r>
        <r>
          <rPr>
            <sz val="9"/>
            <color indexed="81"/>
            <rFont val="Tahoma"/>
            <family val="2"/>
          </rPr>
          <t xml:space="preserve">
full impact in Q4</t>
        </r>
      </text>
    </comment>
    <comment ref="AQ37" authorId="0" shapeId="0" xr:uid="{438B6684-2B8D-419A-85D3-891BFFAA0BEA}">
      <text>
        <r>
          <rPr>
            <b/>
            <sz val="9"/>
            <color indexed="81"/>
            <rFont val="Tahoma"/>
            <family val="2"/>
          </rPr>
          <t>Soomit Datta:</t>
        </r>
        <r>
          <rPr>
            <sz val="9"/>
            <color indexed="81"/>
            <rFont val="Tahoma"/>
            <family val="2"/>
          </rPr>
          <t xml:space="preserve">
Sale of Imagina</t>
        </r>
      </text>
    </comment>
    <comment ref="AS37" authorId="0" shapeId="0" xr:uid="{4C35979B-D4DD-4145-9EB0-CCE25A8FE5F8}">
      <text>
        <r>
          <rPr>
            <b/>
            <sz val="9"/>
            <color indexed="81"/>
            <rFont val="Tahoma"/>
            <family val="2"/>
          </rPr>
          <t>Soomit Datta:</t>
        </r>
        <r>
          <rPr>
            <sz val="9"/>
            <color indexed="81"/>
            <rFont val="Tahoma"/>
            <family val="2"/>
          </rPr>
          <t xml:space="preserve">
 Approximately two-thirds of the quarterly increase are non-cash and originated from the impairment of certain trademarks in our publishing
business and from the disposition of obsolete infrastructure in our Cable segment, as a result of the ongoing
upgrades to our network</t>
        </r>
      </text>
    </comment>
    <comment ref="BT37" authorId="1" shapeId="0" xr:uid="{E674C94A-7EF4-4AD7-8715-F4BF649F788A}">
      <text>
        <r>
          <rPr>
            <b/>
            <sz val="9"/>
            <color indexed="81"/>
            <rFont val="Tahoma"/>
            <family val="2"/>
          </rPr>
          <t>David:</t>
        </r>
        <r>
          <rPr>
            <sz val="9"/>
            <color indexed="81"/>
            <rFont val="Tahoma"/>
            <family val="2"/>
          </rPr>
          <t xml:space="preserve">
Gain on sale of property to certain companies in our
former Other Businesses segment that was recognized on January 31, 2024, in connection with
the spin-off that we carried out on that date</t>
        </r>
      </text>
    </comment>
    <comment ref="BU37" authorId="1" shapeId="0" xr:uid="{2AD174AF-AD46-4BD4-8A5A-0450609E0D50}">
      <text>
        <r>
          <rPr>
            <b/>
            <sz val="9"/>
            <color indexed="81"/>
            <rFont val="Tahoma"/>
            <family val="2"/>
          </rPr>
          <t>David:</t>
        </r>
        <r>
          <rPr>
            <sz val="9"/>
            <color indexed="81"/>
            <rFont val="Tahoma"/>
            <family val="2"/>
          </rPr>
          <t xml:space="preserve">
increase in non-recurring severance expense in connection with headcount reductions in our
Cable and Sky segments; and (ii) an increase in loss on disposal of property and equipment</t>
        </r>
      </text>
    </comment>
    <comment ref="AP61" authorId="0" shapeId="0" xr:uid="{00000000-0006-0000-0200-000003000000}">
      <text>
        <r>
          <rPr>
            <b/>
            <sz val="9"/>
            <color indexed="81"/>
            <rFont val="Tahoma"/>
            <family val="2"/>
          </rPr>
          <t>Soomit Datta:</t>
        </r>
        <r>
          <rPr>
            <sz val="9"/>
            <color indexed="81"/>
            <rFont val="Tahoma"/>
            <family val="2"/>
          </rPr>
          <t xml:space="preserve">
last year fx</t>
        </r>
      </text>
    </comment>
    <comment ref="AQ61" authorId="0" shapeId="0" xr:uid="{00000000-0006-0000-0200-000004000000}">
      <text>
        <r>
          <rPr>
            <b/>
            <sz val="9"/>
            <color indexed="81"/>
            <rFont val="Tahoma"/>
            <family val="2"/>
          </rPr>
          <t>Soomit Datta:</t>
        </r>
        <r>
          <rPr>
            <sz val="9"/>
            <color indexed="81"/>
            <rFont val="Tahoma"/>
            <family val="2"/>
          </rPr>
          <t xml:space="preserve">
last year fx</t>
        </r>
      </text>
    </comment>
    <comment ref="BM67" authorId="0" shapeId="0" xr:uid="{98463205-0CF8-4E69-AC20-0ADD6FC40547}">
      <text>
        <r>
          <rPr>
            <b/>
            <sz val="9"/>
            <color indexed="81"/>
            <rFont val="Tahoma"/>
            <family val="2"/>
          </rPr>
          <t>Soomit Datta:</t>
        </r>
        <r>
          <rPr>
            <sz val="9"/>
            <color indexed="81"/>
            <rFont val="Tahoma"/>
            <family val="2"/>
          </rPr>
          <t xml:space="preserve">
34.3% clean for World Cup expenses and amortisation costs</t>
        </r>
      </text>
    </comment>
    <comment ref="CA86" authorId="1" shapeId="0" xr:uid="{3CE98358-CCDD-4BBB-AD1E-066B7E7CFD5D}">
      <text>
        <r>
          <rPr>
            <b/>
            <sz val="9"/>
            <color indexed="81"/>
            <rFont val="Tahoma"/>
            <family val="2"/>
          </rPr>
          <t>David:</t>
        </r>
        <r>
          <rPr>
            <sz val="9"/>
            <color indexed="81"/>
            <rFont val="Tahoma"/>
            <family val="2"/>
          </rPr>
          <t xml:space="preserve">
This unfavorable change reflected primarily a Ps.2,837.1 million increase in income taxes, which included a non-cash write-off of a deferred income tax asset for the amount of Ps.2,658.2 million derived from capital tax losses that are expected to remain unused at their maturity at consolidated level, although a significant portion of these capital tax losses are intended to be converted into a tax investment cost on a non-consolidated basis before maturity; as well as (i) a Ps.893.1 million decrease in share of income of associates and joint ventures; and (ii) a Ps.16.8 million increase in net income attributable to non-controlling interests.</t>
        </r>
      </text>
    </comment>
    <comment ref="X92" authorId="0" shapeId="0" xr:uid="{00000000-0006-0000-0200-000008000000}">
      <text>
        <r>
          <rPr>
            <b/>
            <sz val="9"/>
            <color indexed="81"/>
            <rFont val="Tahoma"/>
            <family val="2"/>
          </rPr>
          <t>Soomit Datta:</t>
        </r>
        <r>
          <rPr>
            <sz val="9"/>
            <color indexed="81"/>
            <rFont val="Tahoma"/>
            <family val="2"/>
          </rPr>
          <t xml:space="preserve">
Iusacell write off, BMP option </t>
        </r>
      </text>
    </comment>
    <comment ref="AA92" authorId="0" shapeId="0" xr:uid="{00000000-0006-0000-0200-000009000000}">
      <text>
        <r>
          <rPr>
            <b/>
            <sz val="9"/>
            <color indexed="81"/>
            <rFont val="Tahoma"/>
            <family val="2"/>
          </rPr>
          <t>Soomit Datta:</t>
        </r>
        <r>
          <rPr>
            <sz val="9"/>
            <color indexed="81"/>
            <rFont val="Tahoma"/>
            <family val="2"/>
          </rPr>
          <t xml:space="preserve">
</t>
        </r>
      </text>
    </comment>
    <comment ref="AD178" authorId="0" shapeId="0" xr:uid="{00000000-0006-0000-0200-00000A000000}">
      <text>
        <r>
          <rPr>
            <b/>
            <sz val="9"/>
            <color indexed="81"/>
            <rFont val="Tahoma"/>
            <family val="2"/>
          </rPr>
          <t>Soomit Datta:</t>
        </r>
        <r>
          <rPr>
            <sz val="9"/>
            <color indexed="81"/>
            <rFont val="Tahoma"/>
            <family val="2"/>
          </rPr>
          <t xml:space="preserve">
restated to include finance leases</t>
        </r>
      </text>
    </comment>
    <comment ref="BT178" authorId="1" shapeId="0" xr:uid="{9C4FD297-C531-4A1D-8721-BCD4FE310506}">
      <text>
        <r>
          <rPr>
            <b/>
            <sz val="9"/>
            <color indexed="81"/>
            <rFont val="Tahoma"/>
            <family val="2"/>
          </rPr>
          <t>David:</t>
        </r>
        <r>
          <rPr>
            <sz val="9"/>
            <color indexed="81"/>
            <rFont val="Tahoma"/>
            <family val="2"/>
          </rPr>
          <t xml:space="preserve">
Includes NC investments in financial instruments</t>
        </r>
      </text>
    </comment>
    <comment ref="AU187" authorId="0" shapeId="0" xr:uid="{5C795B5A-359B-418B-99D1-03FB9A693A63}">
      <text>
        <r>
          <rPr>
            <b/>
            <sz val="9"/>
            <color indexed="81"/>
            <rFont val="Tahoma"/>
            <family val="2"/>
          </rPr>
          <t>Soomit Datta:</t>
        </r>
        <r>
          <rPr>
            <sz val="9"/>
            <color indexed="81"/>
            <rFont val="Tahoma"/>
            <family val="2"/>
          </rPr>
          <t xml:space="preserve">
IFRS16 adjusted for historics</t>
        </r>
      </text>
    </comment>
    <comment ref="AV187" authorId="0" shapeId="0" xr:uid="{AFE8618E-EC6D-48AD-830E-1ED09E687C34}">
      <text>
        <r>
          <rPr>
            <b/>
            <sz val="9"/>
            <color indexed="81"/>
            <rFont val="Tahoma"/>
            <family val="2"/>
          </rPr>
          <t>Soomit Datta:</t>
        </r>
        <r>
          <rPr>
            <sz val="9"/>
            <color indexed="81"/>
            <rFont val="Tahoma"/>
            <family val="2"/>
          </rPr>
          <t xml:space="preserve">
IFRS16 adjusted for historics</t>
        </r>
      </text>
    </comment>
    <comment ref="AW187" authorId="0" shapeId="0" xr:uid="{AA029715-DFE8-4D9F-80E7-CC63BC1DBBF4}">
      <text>
        <r>
          <rPr>
            <b/>
            <sz val="9"/>
            <color indexed="81"/>
            <rFont val="Tahoma"/>
            <family val="2"/>
          </rPr>
          <t>Soomit Datta:</t>
        </r>
        <r>
          <rPr>
            <sz val="9"/>
            <color indexed="81"/>
            <rFont val="Tahoma"/>
            <family val="2"/>
          </rPr>
          <t xml:space="preserve">
IFRS16 adjusted for historics</t>
        </r>
      </text>
    </comment>
    <comment ref="CB187" authorId="1" shapeId="0" xr:uid="{D1BCA312-3726-4A7A-9603-9A5A2496AB33}">
      <text>
        <r>
          <rPr>
            <b/>
            <sz val="9"/>
            <color indexed="81"/>
            <rFont val="Tahoma"/>
            <family val="2"/>
          </rPr>
          <t>David:</t>
        </r>
        <r>
          <rPr>
            <sz val="9"/>
            <color indexed="81"/>
            <rFont val="Tahoma"/>
            <family val="2"/>
          </rPr>
          <t xml:space="preserve">
Lapping large other expense</t>
        </r>
      </text>
    </comment>
    <comment ref="HO187" authorId="1" shapeId="0" xr:uid="{3CD700D3-770D-4F6C-826D-03A4B627FDC1}">
      <text>
        <r>
          <rPr>
            <b/>
            <sz val="9"/>
            <color indexed="81"/>
            <rFont val="Tahoma"/>
            <family val="2"/>
          </rPr>
          <t>David:</t>
        </r>
        <r>
          <rPr>
            <sz val="9"/>
            <color indexed="81"/>
            <rFont val="Tahoma"/>
            <family val="2"/>
          </rPr>
          <t xml:space="preserve">
Lapping large other expense</t>
        </r>
      </text>
    </comment>
    <comment ref="S206" authorId="0" shapeId="0" xr:uid="{00000000-0006-0000-0200-00000B000000}">
      <text>
        <r>
          <rPr>
            <b/>
            <sz val="9"/>
            <color indexed="81"/>
            <rFont val="Tahoma"/>
            <family val="2"/>
          </rPr>
          <t>Soomit Datta:</t>
        </r>
        <r>
          <rPr>
            <sz val="9"/>
            <color indexed="81"/>
            <rFont val="Tahoma"/>
            <family val="2"/>
          </rPr>
          <t xml:space="preserve">
Adjusted to estimate revenue charge for Sep 15 charging</t>
        </r>
      </text>
    </comment>
    <comment ref="AS210" authorId="0" shapeId="0" xr:uid="{ABD41C12-8803-4CF7-BC56-15A0E1DEDB94}">
      <text>
        <r>
          <rPr>
            <b/>
            <sz val="9"/>
            <color indexed="81"/>
            <rFont val="Tahoma"/>
            <family val="2"/>
          </rPr>
          <t>Soomit Datta:</t>
        </r>
        <r>
          <rPr>
            <sz val="9"/>
            <color indexed="81"/>
            <rFont val="Tahoma"/>
            <family val="2"/>
          </rPr>
          <t xml:space="preserve">
one time negative $65m revenue adjustment at UNI. Works out at $10m of UNI royalties hit</t>
        </r>
      </text>
    </comment>
    <comment ref="AN211" authorId="0" shapeId="0" xr:uid="{00000000-0006-0000-0200-00000C000000}">
      <text>
        <r>
          <rPr>
            <b/>
            <sz val="9"/>
            <color indexed="81"/>
            <rFont val="Tahoma"/>
            <family val="2"/>
          </rPr>
          <t>Soomit Datta:</t>
        </r>
        <r>
          <rPr>
            <sz val="9"/>
            <color indexed="81"/>
            <rFont val="Tahoma"/>
            <family val="2"/>
          </rPr>
          <t xml:space="preserve">
Isaac trying to optimise use of library. </t>
        </r>
      </text>
    </comment>
    <comment ref="A264" authorId="1" shapeId="0" xr:uid="{A3B9B807-3F18-4A8D-9624-CC337E6D716F}">
      <text>
        <r>
          <rPr>
            <b/>
            <sz val="9"/>
            <color indexed="81"/>
            <rFont val="Tahoma"/>
            <family val="2"/>
          </rPr>
          <t>David:</t>
        </r>
        <r>
          <rPr>
            <sz val="9"/>
            <color indexed="81"/>
            <rFont val="Tahoma"/>
            <family val="2"/>
          </rPr>
          <t xml:space="preserve">
Using MEGA</t>
        </r>
      </text>
    </comment>
    <comment ref="AU264" authorId="0" shapeId="0" xr:uid="{7D923E4C-5681-46DF-8C83-515D6DD56A59}">
      <text>
        <r>
          <rPr>
            <b/>
            <sz val="9"/>
            <color indexed="81"/>
            <rFont val="Tahoma"/>
            <family val="2"/>
          </rPr>
          <t>Soomit Datta:</t>
        </r>
        <r>
          <rPr>
            <sz val="9"/>
            <color indexed="81"/>
            <rFont val="Tahoma"/>
            <family val="2"/>
          </rPr>
          <t xml:space="preserve">
use MEGA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BA103" authorId="0" shapeId="0" xr:uid="{094EE5A0-E1A5-45D2-B6FD-ED57EA1B9058}">
      <text>
        <r>
          <rPr>
            <b/>
            <sz val="9"/>
            <color indexed="81"/>
            <rFont val="Tahoma"/>
            <family val="2"/>
          </rPr>
          <t>David:</t>
        </r>
        <r>
          <rPr>
            <sz val="9"/>
            <color indexed="81"/>
            <rFont val="Tahoma"/>
            <family val="2"/>
          </rPr>
          <t xml:space="preserve">
Change of reporting
Ex Satelilte</t>
        </r>
      </text>
    </comment>
    <comment ref="AX105" authorId="0" shapeId="0" xr:uid="{679DD555-1499-44F7-9AD2-992026F58B54}">
      <text>
        <r>
          <rPr>
            <b/>
            <sz val="9"/>
            <color indexed="81"/>
            <rFont val="Tahoma"/>
            <family val="2"/>
          </rPr>
          <t>David:</t>
        </r>
        <r>
          <rPr>
            <sz val="9"/>
            <color indexed="81"/>
            <rFont val="Tahoma"/>
            <family val="2"/>
          </rPr>
          <t xml:space="preserve">
move to mass mkt as cable not reported anymore</t>
        </r>
      </text>
    </comment>
    <comment ref="AX113" authorId="0" shapeId="0" xr:uid="{9D5C3CE3-B671-4DE7-8889-B26E19E00C4F}">
      <text>
        <r>
          <rPr>
            <b/>
            <sz val="9"/>
            <color indexed="81"/>
            <rFont val="Tahoma"/>
            <family val="2"/>
          </rPr>
          <t>David:</t>
        </r>
        <r>
          <rPr>
            <sz val="9"/>
            <color indexed="81"/>
            <rFont val="Tahoma"/>
            <family val="2"/>
          </rPr>
          <t xml:space="preserve">
Moving to consolidated as cable not reported anymore</t>
        </r>
      </text>
    </comment>
    <comment ref="BA113" authorId="0" shapeId="0" xr:uid="{771315EE-EBAA-4DF0-BB91-B258347AE2BD}">
      <text>
        <r>
          <rPr>
            <b/>
            <sz val="9"/>
            <color indexed="81"/>
            <rFont val="Tahoma"/>
            <family val="2"/>
          </rPr>
          <t>David:</t>
        </r>
        <r>
          <rPr>
            <sz val="9"/>
            <color indexed="81"/>
            <rFont val="Tahoma"/>
            <family val="2"/>
          </rPr>
          <t xml:space="preserve">
ex one-off
Reported: 15.3%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I153" authorId="0" shapeId="0" xr:uid="{27820176-4C32-4DDA-A7A7-0E8961A08B85}">
      <text>
        <r>
          <rPr>
            <b/>
            <sz val="9"/>
            <color indexed="81"/>
            <rFont val="Tahoma"/>
            <family val="2"/>
          </rPr>
          <t>David:</t>
        </r>
        <r>
          <rPr>
            <sz val="9"/>
            <color indexed="81"/>
            <rFont val="Tahoma"/>
            <family val="2"/>
          </rPr>
          <t xml:space="preserve">
Tariffs impact
Last year US election, Copa America, Olympics
Lost TP as distribu</t>
        </r>
      </text>
    </comment>
    <comment ref="J153" authorId="0" shapeId="0" xr:uid="{C81B46A8-1251-4106-A765-27657A9BFE22}">
      <text>
        <r>
          <rPr>
            <b/>
            <sz val="9"/>
            <color indexed="81"/>
            <rFont val="Tahoma"/>
            <family val="2"/>
          </rPr>
          <t>David:</t>
        </r>
        <r>
          <rPr>
            <sz val="9"/>
            <color indexed="81"/>
            <rFont val="Tahoma"/>
            <family val="2"/>
          </rPr>
          <t xml:space="preserve">
World Cup
Mid term elections</t>
        </r>
      </text>
    </comment>
    <comment ref="L153" authorId="0" shapeId="0" xr:uid="{345F3E6A-7B6A-4EA2-BEFC-BC294E2B45F8}">
      <text>
        <r>
          <rPr>
            <b/>
            <sz val="9"/>
            <color indexed="81"/>
            <rFont val="Tahoma"/>
            <family val="2"/>
          </rPr>
          <t>David:</t>
        </r>
        <r>
          <rPr>
            <sz val="9"/>
            <color indexed="81"/>
            <rFont val="Tahoma"/>
            <family val="2"/>
          </rPr>
          <t xml:space="preserve">
US election</t>
        </r>
      </text>
    </comment>
    <comment ref="I158" authorId="0" shapeId="0" xr:uid="{7BBA565E-DFD8-421D-9460-DA5E7BF05D57}">
      <text>
        <r>
          <rPr>
            <b/>
            <sz val="9"/>
            <color indexed="81"/>
            <rFont val="Tahoma"/>
            <family val="2"/>
          </rPr>
          <t>David:</t>
        </r>
        <r>
          <rPr>
            <sz val="9"/>
            <color indexed="81"/>
            <rFont val="Tahoma"/>
            <family val="2"/>
          </rPr>
          <t xml:space="preserve">
Lost Totalplay as redistributor.</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David</author>
  </authors>
  <commentList>
    <comment ref="S45" authorId="0" shapeId="0" xr:uid="{C5E8A262-22AD-4175-AEF9-5E33AF81339B}">
      <text>
        <r>
          <rPr>
            <b/>
            <sz val="9"/>
            <color indexed="81"/>
            <rFont val="Tahoma"/>
            <family val="2"/>
          </rPr>
          <t>David:</t>
        </r>
        <r>
          <rPr>
            <sz val="9"/>
            <color indexed="81"/>
            <rFont val="Tahoma"/>
            <family val="2"/>
          </rPr>
          <t xml:space="preserve">
Also ex Super Bowl last year</t>
        </r>
      </text>
    </comment>
    <comment ref="S58" authorId="0" shapeId="0" xr:uid="{36E4DDF3-4446-44C2-B590-F5AA63FAB4EE}">
      <text>
        <r>
          <rPr>
            <b/>
            <sz val="9"/>
            <color indexed="81"/>
            <rFont val="Tahoma"/>
            <family val="2"/>
          </rPr>
          <t>David:</t>
        </r>
        <r>
          <rPr>
            <sz val="9"/>
            <color indexed="81"/>
            <rFont val="Tahoma"/>
            <family val="2"/>
          </rPr>
          <t xml:space="preserve">
1% ex Super Bowl</t>
        </r>
      </text>
    </comment>
    <comment ref="W61" authorId="0" shapeId="0" xr:uid="{0C0567E0-A0A7-4A45-AC52-7303A3A15B3C}">
      <text>
        <r>
          <rPr>
            <b/>
            <sz val="9"/>
            <color indexed="81"/>
            <rFont val="Tahoma"/>
            <family val="2"/>
          </rPr>
          <t>David:</t>
        </r>
        <r>
          <rPr>
            <sz val="9"/>
            <color indexed="81"/>
            <rFont val="Tahoma"/>
            <family val="2"/>
          </rPr>
          <t xml:space="preserve">
Favorable foreign exchange rates produced a 500bps
benefit to the consolidated total revenue increase.</t>
        </r>
      </text>
    </comment>
    <comment ref="N92" authorId="0" shapeId="0" xr:uid="{79C26CC4-77F4-43DD-8530-6EBDBFE92B8D}">
      <text>
        <r>
          <rPr>
            <b/>
            <sz val="9"/>
            <color indexed="81"/>
            <rFont val="Tahoma"/>
            <family val="2"/>
          </rPr>
          <t>David:</t>
        </r>
        <r>
          <rPr>
            <sz val="9"/>
            <color indexed="81"/>
            <rFont val="Tahoma"/>
            <family val="2"/>
          </rPr>
          <t xml:space="preserve">
Tougher comp, WC last year, ex non-recurring rev growth 9% FY23, 7.6% in Q4</t>
        </r>
      </text>
    </comment>
    <comment ref="M96" authorId="0" shapeId="0" xr:uid="{11D60786-D665-4B4D-B4BD-8EAB4CEBA682}">
      <text>
        <r>
          <rPr>
            <b/>
            <sz val="9"/>
            <color indexed="81"/>
            <rFont val="Tahoma"/>
            <family val="2"/>
          </rPr>
          <t>David:</t>
        </r>
        <r>
          <rPr>
            <sz val="9"/>
            <color indexed="81"/>
            <rFont val="Tahoma"/>
            <family val="2"/>
          </rPr>
          <t xml:space="preserve">
+3% ex political and advocacy</t>
        </r>
      </text>
    </comment>
    <comment ref="N96" authorId="0" shapeId="0" xr:uid="{C6FC684F-EDEF-47F5-8F6F-1394E0DA1C3B}">
      <text>
        <r>
          <rPr>
            <b/>
            <sz val="9"/>
            <color indexed="81"/>
            <rFont val="Tahoma"/>
            <family val="2"/>
          </rPr>
          <t>David:</t>
        </r>
        <r>
          <rPr>
            <sz val="9"/>
            <color indexed="81"/>
            <rFont val="Tahoma"/>
            <family val="2"/>
          </rPr>
          <t xml:space="preserve">
Excluding political and advocacy and the impact of divested radio stations, U.S. advertising
revenue increased 4%</t>
        </r>
      </text>
    </comment>
    <comment ref="O96" authorId="0" shapeId="0" xr:uid="{E5F42977-3E1E-4E8B-BE5F-72EDE0AAA0ED}">
      <text>
        <r>
          <rPr>
            <b/>
            <sz val="9"/>
            <color indexed="81"/>
            <rFont val="Tahoma"/>
            <family val="2"/>
          </rPr>
          <t>David:</t>
        </r>
        <r>
          <rPr>
            <sz val="9"/>
            <color indexed="81"/>
            <rFont val="Tahoma"/>
            <family val="2"/>
          </rPr>
          <t xml:space="preserve">
Growth in DTC offset by some weakness in linear</t>
        </r>
      </text>
    </comment>
    <comment ref="O99" authorId="0" shapeId="0" xr:uid="{C9803C34-DAC1-46DF-8E70-0C66BA0AFCD9}">
      <text>
        <r>
          <rPr>
            <b/>
            <sz val="9"/>
            <color indexed="81"/>
            <rFont val="Tahoma"/>
            <family val="2"/>
          </rPr>
          <t>David:</t>
        </r>
        <r>
          <rPr>
            <sz val="9"/>
            <color indexed="81"/>
            <rFont val="Tahoma"/>
            <family val="2"/>
          </rPr>
          <t xml:space="preserve">
13% ex FX</t>
        </r>
      </text>
    </comment>
    <comment ref="Q104" authorId="0" shapeId="0" xr:uid="{4BC9B23E-A128-485F-BA2B-D9B1992BF07B}">
      <text>
        <r>
          <rPr>
            <b/>
            <sz val="9"/>
            <color indexed="81"/>
            <rFont val="Tahoma"/>
            <family val="2"/>
          </rPr>
          <t>David:</t>
        </r>
        <r>
          <rPr>
            <sz val="9"/>
            <color indexed="81"/>
            <rFont val="Tahoma"/>
            <family val="2"/>
          </rPr>
          <t xml:space="preserve">
reflecting the acquisition of third-party
ad inventory and popular sports content including Copa America and the Olympics</t>
        </r>
      </text>
    </comment>
    <comment ref="K118" authorId="0" shapeId="0" xr:uid="{EC7337F1-780E-438C-8123-A54159AE9771}">
      <text>
        <r>
          <rPr>
            <b/>
            <sz val="9"/>
            <color indexed="81"/>
            <rFont val="Tahoma"/>
            <family val="2"/>
          </rPr>
          <t>David:</t>
        </r>
        <r>
          <rPr>
            <sz val="9"/>
            <color indexed="81"/>
            <rFont val="Tahoma"/>
            <family val="2"/>
          </rPr>
          <t xml:space="preserve">
Last year did not have the ViX costs</t>
        </r>
      </text>
    </comment>
    <comment ref="N118" authorId="0" shapeId="0" xr:uid="{89CBF5B7-DD73-462F-A13F-9B14936A8200}">
      <text>
        <r>
          <rPr>
            <b/>
            <sz val="9"/>
            <color indexed="81"/>
            <rFont val="Tahoma"/>
            <family val="2"/>
          </rPr>
          <t>David:</t>
        </r>
        <r>
          <rPr>
            <sz val="9"/>
            <color indexed="81"/>
            <rFont val="Tahoma"/>
            <family val="2"/>
          </rPr>
          <t xml:space="preserve">
Tougher comp, WC last year, ex non-recurring rev growth 3% FY23, 22% in Q4</t>
        </r>
      </text>
    </comment>
    <comment ref="O118" authorId="0" shapeId="0" xr:uid="{A7EE716D-1BAF-40F3-84C3-5540ACA2AF20}">
      <text>
        <r>
          <rPr>
            <b/>
            <sz val="9"/>
            <color indexed="81"/>
            <rFont val="Tahoma"/>
            <family val="2"/>
          </rPr>
          <t>David:</t>
        </r>
        <r>
          <rPr>
            <sz val="9"/>
            <color indexed="81"/>
            <rFont val="Tahoma"/>
            <family val="2"/>
          </rPr>
          <t xml:space="preserve">
-5% when adjusted for a one-time accounting-related benefit in the prior year</t>
        </r>
      </text>
    </comment>
    <comment ref="Q139" authorId="0" shapeId="0" xr:uid="{386DAC48-D68B-46B2-835E-257AD65AAB08}">
      <text>
        <r>
          <rPr>
            <b/>
            <sz val="9"/>
            <color indexed="81"/>
            <rFont val="Tahoma"/>
            <family val="2"/>
          </rPr>
          <t>David:</t>
        </r>
        <r>
          <rPr>
            <sz val="9"/>
            <color indexed="81"/>
            <rFont val="Tahoma"/>
            <family val="2"/>
          </rPr>
          <t xml:space="preserve">
Reduced outstanding debt by $150 million, utilizing net proceeds from the non-core tower portfolio sale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<sst xmlns="http://schemas.openxmlformats.org/spreadsheetml/2006/main" count="12524" uniqueCount="8218">
  <si>
    <t>Televisa (TV US)</t>
  </si>
  <si>
    <t>Chris Hoare</t>
  </si>
  <si>
    <t>New Street Research</t>
  </si>
  <si>
    <t>+44 20 7375 9130</t>
  </si>
  <si>
    <t>chris@newstreetresearch.com</t>
  </si>
  <si>
    <t>Ticker</t>
  </si>
  <si>
    <t>TV</t>
  </si>
  <si>
    <t>Rating</t>
  </si>
  <si>
    <t>Neutral</t>
  </si>
  <si>
    <t>Target Price</t>
  </si>
  <si>
    <t>USD m</t>
  </si>
  <si>
    <t>2025e</t>
  </si>
  <si>
    <t>2026e</t>
  </si>
  <si>
    <t>2027e</t>
  </si>
  <si>
    <t>2028e</t>
  </si>
  <si>
    <t>25-28e CAGR</t>
  </si>
  <si>
    <t>24-27e CAGR</t>
  </si>
  <si>
    <t>Price, USD</t>
  </si>
  <si>
    <t>Proportionate multiples</t>
  </si>
  <si>
    <t>SHOUT, millions</t>
  </si>
  <si>
    <t>EV/Revenue</t>
  </si>
  <si>
    <t>Market Cap</t>
  </si>
  <si>
    <t>EV/EBITDA</t>
  </si>
  <si>
    <t>Net debt (cons)</t>
  </si>
  <si>
    <t>EV/OpFCF</t>
  </si>
  <si>
    <t>Prop net debt at TVUNI</t>
  </si>
  <si>
    <t>EV/FCF</t>
  </si>
  <si>
    <t>P/E</t>
  </si>
  <si>
    <t>EFCF yield</t>
  </si>
  <si>
    <t>Cumulative dividend</t>
  </si>
  <si>
    <t>Proportionate EV</t>
  </si>
  <si>
    <t>Fully proportionate EBITDA split **</t>
  </si>
  <si>
    <t>Consolidated financials</t>
  </si>
  <si>
    <t>Revenue</t>
  </si>
  <si>
    <t>EBITDA</t>
  </si>
  <si>
    <t>Capex</t>
  </si>
  <si>
    <t>OpFCF</t>
  </si>
  <si>
    <t>Fully proportionate OpFCF split **</t>
  </si>
  <si>
    <t>Net income</t>
  </si>
  <si>
    <t>EPS, USD</t>
  </si>
  <si>
    <t>DPS, USD</t>
  </si>
  <si>
    <t>Net debt to EBITDA</t>
  </si>
  <si>
    <t>Proportionate financials *</t>
  </si>
  <si>
    <t>Cable net adds, 000s</t>
  </si>
  <si>
    <t>Broadband</t>
  </si>
  <si>
    <t>Video</t>
  </si>
  <si>
    <t>Telephony</t>
  </si>
  <si>
    <t>FCF</t>
  </si>
  <si>
    <t>Mobile</t>
  </si>
  <si>
    <t>* We take proportionate TV-UNI contribution but not for Cable/SKY, in part as we don't have visiblity on the net debt position at the distribution businesses</t>
  </si>
  <si>
    <t>** EBITDA split shown here is proportionate for all the business units</t>
  </si>
  <si>
    <t xml:space="preserve">SKY </t>
  </si>
  <si>
    <t>Cable</t>
  </si>
  <si>
    <t>HQ/other</t>
  </si>
  <si>
    <t>TelevisaUnivision</t>
  </si>
  <si>
    <t>Group Prop</t>
  </si>
  <si>
    <t>Fully proportionate Capex split **</t>
  </si>
  <si>
    <t xml:space="preserve"> </t>
  </si>
  <si>
    <t>Ownership %</t>
  </si>
  <si>
    <t>100% equity</t>
  </si>
  <si>
    <t>100% EV</t>
  </si>
  <si>
    <t>% of Eq</t>
  </si>
  <si>
    <t>Methodology</t>
  </si>
  <si>
    <t>24 EBITDA</t>
  </si>
  <si>
    <t>2023 debt</t>
  </si>
  <si>
    <t>ev</t>
  </si>
  <si>
    <t>debt</t>
  </si>
  <si>
    <t>eq</t>
  </si>
  <si>
    <t xml:space="preserve">Content </t>
  </si>
  <si>
    <t>DCF</t>
  </si>
  <si>
    <t>Sky</t>
  </si>
  <si>
    <t>Cable cos</t>
  </si>
  <si>
    <t>Spin Co (Ollamani)</t>
  </si>
  <si>
    <t>Cable and Sky</t>
  </si>
  <si>
    <t>HQ/other central</t>
  </si>
  <si>
    <t>from 5.9x</t>
  </si>
  <si>
    <t>Plus associates:</t>
  </si>
  <si>
    <t>EV</t>
  </si>
  <si>
    <t>Debt</t>
  </si>
  <si>
    <t>Equity</t>
  </si>
  <si>
    <t>Univision (equity)</t>
  </si>
  <si>
    <t>Spanish language content in US</t>
  </si>
  <si>
    <t>Univision  (warrants)</t>
  </si>
  <si>
    <t>GTAC</t>
  </si>
  <si>
    <t>Book value</t>
  </si>
  <si>
    <t>Total</t>
  </si>
  <si>
    <t>Less minorities:</t>
  </si>
  <si>
    <t>Less minorities</t>
  </si>
  <si>
    <t>Total value</t>
  </si>
  <si>
    <t>2023e net debt</t>
  </si>
  <si>
    <t>Tax liability</t>
  </si>
  <si>
    <t>Future licence / intangibles</t>
  </si>
  <si>
    <t>Equity value</t>
  </si>
  <si>
    <t>Number of shares</t>
  </si>
  <si>
    <t>Content</t>
  </si>
  <si>
    <t>Value per share</t>
  </si>
  <si>
    <t>Deal upside at 50%</t>
  </si>
  <si>
    <t>SKY</t>
  </si>
  <si>
    <t>Synergies from cable/DTH deal</t>
  </si>
  <si>
    <t>2023 dividend</t>
  </si>
  <si>
    <t>Univision</t>
  </si>
  <si>
    <t>Target price, ADR</t>
  </si>
  <si>
    <t>Current price</t>
  </si>
  <si>
    <t>Upside</t>
  </si>
  <si>
    <t>* Cable is weighted by 2015 EBITDA</t>
  </si>
  <si>
    <t>FCF $</t>
  </si>
  <si>
    <t>Iusacell</t>
  </si>
  <si>
    <t>Other</t>
  </si>
  <si>
    <t>FCF Local</t>
  </si>
  <si>
    <t>SKY ULL only</t>
  </si>
  <si>
    <t>WACC</t>
  </si>
  <si>
    <t>Rf</t>
  </si>
  <si>
    <t>Spread</t>
  </si>
  <si>
    <t>Cd</t>
  </si>
  <si>
    <t>Tax</t>
  </si>
  <si>
    <t>Post-tax Cd</t>
  </si>
  <si>
    <t>ERP</t>
  </si>
  <si>
    <t>Beta</t>
  </si>
  <si>
    <t>CoE</t>
  </si>
  <si>
    <t>D/E</t>
  </si>
  <si>
    <t>UNI</t>
  </si>
  <si>
    <t>Local WACC</t>
  </si>
  <si>
    <t>PV FCF</t>
  </si>
  <si>
    <t>g</t>
  </si>
  <si>
    <t>PV TV</t>
  </si>
  <si>
    <t>Local EV</t>
  </si>
  <si>
    <t>$</t>
  </si>
  <si>
    <t>SKY ULL</t>
  </si>
  <si>
    <t>US$m</t>
  </si>
  <si>
    <t>Equity share</t>
  </si>
  <si>
    <t>% Gp equity</t>
  </si>
  <si>
    <t xml:space="preserve">Total Univision </t>
  </si>
  <si>
    <t>Content (ex-royalties)</t>
  </si>
  <si>
    <t>Minority calculation for cable</t>
  </si>
  <si>
    <t>EBITDA MXN</t>
  </si>
  <si>
    <t>leverage, x</t>
  </si>
  <si>
    <t>debt, $</t>
  </si>
  <si>
    <t>EV $</t>
  </si>
  <si>
    <t>equity</t>
  </si>
  <si>
    <t>stake</t>
  </si>
  <si>
    <t>mins</t>
  </si>
  <si>
    <t>TV US (ADR)</t>
  </si>
  <si>
    <t>MXN/$</t>
  </si>
  <si>
    <t>TV US</t>
  </si>
  <si>
    <t>EV calculation, US$</t>
  </si>
  <si>
    <t>Market Cap (fully diluted)</t>
  </si>
  <si>
    <t>Less: associates</t>
  </si>
  <si>
    <t>Plus: NPV of future licence costs</t>
  </si>
  <si>
    <t>Plus: Value of minorities</t>
  </si>
  <si>
    <t>Plus: Other liabilities</t>
  </si>
  <si>
    <t xml:space="preserve">Plus: Net debt </t>
  </si>
  <si>
    <t>Less: Accumulated dividend</t>
  </si>
  <si>
    <t>Enterprise value</t>
  </si>
  <si>
    <t>Mkt cap, MXN</t>
  </si>
  <si>
    <t>EFCF</t>
  </si>
  <si>
    <t>Post synergies clean EBITDA</t>
  </si>
  <si>
    <t xml:space="preserve">Less Capex </t>
  </si>
  <si>
    <t>Less: IFRS 16 leases in D&amp;A</t>
  </si>
  <si>
    <t>Less cash tax</t>
  </si>
  <si>
    <t>Less Licences/other intangibles</t>
  </si>
  <si>
    <t>Less Minority dividend</t>
  </si>
  <si>
    <t>Plus TVUNI (pref equity + leasing)</t>
  </si>
  <si>
    <t>Ex-TVUNI</t>
  </si>
  <si>
    <t>Less: Value of associates</t>
  </si>
  <si>
    <t>Plus liabilities</t>
  </si>
  <si>
    <t>Adjusted Market Cap</t>
  </si>
  <si>
    <t>Adjusted EPS</t>
  </si>
  <si>
    <t>DPS, US$</t>
  </si>
  <si>
    <t>P/EFCF</t>
  </si>
  <si>
    <t>Equity FCF yield</t>
  </si>
  <si>
    <t>Dividend yield</t>
  </si>
  <si>
    <t>Buy-back</t>
  </si>
  <si>
    <t>P/E adj</t>
  </si>
  <si>
    <t>Debt/EBITDA</t>
  </si>
  <si>
    <t>Prop Calculation</t>
  </si>
  <si>
    <t xml:space="preserve">Net debt, prop for UNI </t>
  </si>
  <si>
    <t>Accumulated dividend</t>
  </si>
  <si>
    <t>Associates</t>
  </si>
  <si>
    <t>Minorities</t>
  </si>
  <si>
    <t>EV (USD million)</t>
  </si>
  <si>
    <t>EBITDA (Group less Content)</t>
  </si>
  <si>
    <t>Prop net debt</t>
  </si>
  <si>
    <t>Prop EBITDA</t>
  </si>
  <si>
    <t>Prop leverage</t>
  </si>
  <si>
    <t>Ollamani spin off --&gt;</t>
  </si>
  <si>
    <t>AT&amp;T minority acq --&gt;</t>
  </si>
  <si>
    <t>Sky/Izzy integration --&gt;</t>
  </si>
  <si>
    <t>MXN/$ (average)</t>
  </si>
  <si>
    <t>MXN/$ (YE)</t>
  </si>
  <si>
    <t>Advertising</t>
  </si>
  <si>
    <t>Network Subscription Revenue</t>
  </si>
  <si>
    <t>Licensing and Syndication</t>
  </si>
  <si>
    <t>% change</t>
  </si>
  <si>
    <t>Publishing</t>
  </si>
  <si>
    <t>Cable and Telecom</t>
  </si>
  <si>
    <t>Other Businesses</t>
  </si>
  <si>
    <t>Segment Net Sales</t>
  </si>
  <si>
    <t>Intersegment Operations</t>
  </si>
  <si>
    <t>Consolidated Net Sales</t>
  </si>
  <si>
    <t>constant FX revs ex-other</t>
  </si>
  <si>
    <t>pro-forma constant FX growth</t>
  </si>
  <si>
    <t>Revenue, US$m</t>
  </si>
  <si>
    <t>Opex</t>
  </si>
  <si>
    <t>Sky opex</t>
  </si>
  <si>
    <t>Combined (inc. synergies)</t>
  </si>
  <si>
    <t>Change</t>
  </si>
  <si>
    <t>Opex y/y:</t>
  </si>
  <si>
    <t>Operating Segment Income</t>
  </si>
  <si>
    <t>OSI margin</t>
  </si>
  <si>
    <t>Corporate Expenses</t>
  </si>
  <si>
    <t>Other expenses</t>
  </si>
  <si>
    <t>Clean EBITDA</t>
  </si>
  <si>
    <t>Clean EBITDA, US$m</t>
  </si>
  <si>
    <t>% EBITDA margin</t>
  </si>
  <si>
    <t>Reported EBITDA</t>
  </si>
  <si>
    <t>Corporate purposes</t>
  </si>
  <si>
    <t>Group capex</t>
  </si>
  <si>
    <t>Capex to sales</t>
  </si>
  <si>
    <t>Content/other</t>
  </si>
  <si>
    <t xml:space="preserve">Corporate </t>
  </si>
  <si>
    <t>US$ denominated (booked)</t>
  </si>
  <si>
    <t>Cash capex</t>
  </si>
  <si>
    <t>Group</t>
  </si>
  <si>
    <t>Likely to be 600-650</t>
  </si>
  <si>
    <t>Likely to be less</t>
  </si>
  <si>
    <t>14%</t>
  </si>
  <si>
    <t>5-10</t>
  </si>
  <si>
    <t>Corpo</t>
  </si>
  <si>
    <t>Capex/sales</t>
  </si>
  <si>
    <t>Group OpFCF</t>
  </si>
  <si>
    <t>OpFCF, $m</t>
  </si>
  <si>
    <t>OpFCF margin</t>
  </si>
  <si>
    <t>P&amp;L, P$</t>
  </si>
  <si>
    <t>Reported revenues</t>
  </si>
  <si>
    <t>Corporate expenses</t>
  </si>
  <si>
    <t>Other expenses net</t>
  </si>
  <si>
    <t>Depreciation</t>
  </si>
  <si>
    <t>Amortisation</t>
  </si>
  <si>
    <t>EBIT</t>
  </si>
  <si>
    <t>Financial income and expense</t>
  </si>
  <si>
    <t>FX gains/losses</t>
  </si>
  <si>
    <t>Income from affiliates/other</t>
  </si>
  <si>
    <t>PBT</t>
  </si>
  <si>
    <t>Discontinued</t>
  </si>
  <si>
    <t>Minority interest</t>
  </si>
  <si>
    <t>Net income owners</t>
  </si>
  <si>
    <t>Reported EPS</t>
  </si>
  <si>
    <t>Clean EPS</t>
  </si>
  <si>
    <t>DPS</t>
  </si>
  <si>
    <t>EFCF/ share</t>
  </si>
  <si>
    <t>Balance sheet</t>
  </si>
  <si>
    <t>Ollamani</t>
  </si>
  <si>
    <t>Cash/ marketable securities</t>
  </si>
  <si>
    <t>Inventory</t>
  </si>
  <si>
    <t>Receivables</t>
  </si>
  <si>
    <t>Prepayments</t>
  </si>
  <si>
    <t>Current assets</t>
  </si>
  <si>
    <t>Net PP&amp;E</t>
  </si>
  <si>
    <t>Net intangible assets</t>
  </si>
  <si>
    <t>Non-current other assets</t>
  </si>
  <si>
    <t>Total assets</t>
  </si>
  <si>
    <t>Other current liabilities</t>
  </si>
  <si>
    <t>Accounts payable</t>
  </si>
  <si>
    <t>ST interest-bearing debt</t>
  </si>
  <si>
    <t>Current liabilites</t>
  </si>
  <si>
    <t>LT interest-bearing debt</t>
  </si>
  <si>
    <t>Other long-term liabilities</t>
  </si>
  <si>
    <t>Minority interests</t>
  </si>
  <si>
    <t>Book equity</t>
  </si>
  <si>
    <t>Total liabilities and book equity</t>
  </si>
  <si>
    <t>Check</t>
  </si>
  <si>
    <t>Net debt</t>
  </si>
  <si>
    <t>Change in net debt</t>
  </si>
  <si>
    <t>Cash flow statement</t>
  </si>
  <si>
    <t>Less: Interest payments</t>
  </si>
  <si>
    <t>Less: Tax</t>
  </si>
  <si>
    <t>Less: Working capital movements</t>
  </si>
  <si>
    <t>Less: Restructuring payments</t>
  </si>
  <si>
    <t>Less: Dividends paid</t>
  </si>
  <si>
    <t>Less: Minority dividends</t>
  </si>
  <si>
    <t>Less: Share buyback/ special dividend</t>
  </si>
  <si>
    <t>Less: FX move on debt</t>
  </si>
  <si>
    <t>Plus: M&amp;A/ other</t>
  </si>
  <si>
    <t>Difference</t>
  </si>
  <si>
    <t>as % of Net PP&amp;E</t>
  </si>
  <si>
    <t>Less: extraordinary depreciation</t>
  </si>
  <si>
    <t>Clean depreciation</t>
  </si>
  <si>
    <t>Av. asset life</t>
  </si>
  <si>
    <t>Gross PP&amp;E</t>
  </si>
  <si>
    <t>Acc. Depreciation</t>
  </si>
  <si>
    <t>Capex/ depreciation</t>
  </si>
  <si>
    <t>IFRS 16 lease liabilities</t>
  </si>
  <si>
    <t>In interest</t>
  </si>
  <si>
    <t>Amortisation of right of use asset</t>
  </si>
  <si>
    <t>Cash lease costs</t>
  </si>
  <si>
    <t>Less: extraordinary amortisation</t>
  </si>
  <si>
    <t>Clean amortisation</t>
  </si>
  <si>
    <t>as % of net intangibles</t>
  </si>
  <si>
    <t>Gross intangible assets</t>
  </si>
  <si>
    <t>Accumulated amortisation</t>
  </si>
  <si>
    <t>Acquisition of intangibles</t>
  </si>
  <si>
    <t>Post-tax intangibles</t>
  </si>
  <si>
    <t>NPV of licence/intangibles</t>
  </si>
  <si>
    <t>Gross goodwill</t>
  </si>
  <si>
    <t>Accumulated goodwill amort</t>
  </si>
  <si>
    <t>Net goodwill</t>
  </si>
  <si>
    <t>Acquisition of goodwill</t>
  </si>
  <si>
    <t>Write-down of goodwill</t>
  </si>
  <si>
    <t>Asset breakdown</t>
  </si>
  <si>
    <t>NFA</t>
  </si>
  <si>
    <t>Intangible assets</t>
  </si>
  <si>
    <t>Interest/ debt</t>
  </si>
  <si>
    <t>Interest payments</t>
  </si>
  <si>
    <t>Exceptional interest charges</t>
  </si>
  <si>
    <t>Clean interest payments</t>
  </si>
  <si>
    <t>Interest income</t>
  </si>
  <si>
    <t>Other financial income</t>
  </si>
  <si>
    <t>Average interest rate on cash</t>
  </si>
  <si>
    <t>Interest expense</t>
  </si>
  <si>
    <t>Other financial expenses</t>
  </si>
  <si>
    <t>Average interest rate on debt</t>
  </si>
  <si>
    <t>Average interest rate</t>
  </si>
  <si>
    <t>Average debt</t>
  </si>
  <si>
    <t>&lt;-IAS17</t>
  </si>
  <si>
    <t>Gross debt</t>
  </si>
  <si>
    <t xml:space="preserve">Cash </t>
  </si>
  <si>
    <t>Cash as % of sales</t>
  </si>
  <si>
    <t xml:space="preserve"> - of which short-term debt</t>
  </si>
  <si>
    <t xml:space="preserve"> - of which long-term debt</t>
  </si>
  <si>
    <t xml:space="preserve"> - of which MXN debt</t>
  </si>
  <si>
    <t xml:space="preserve"> - of which USD debt</t>
  </si>
  <si>
    <t xml:space="preserve"> - USD as %</t>
  </si>
  <si>
    <t>YE MXN/USD</t>
  </si>
  <si>
    <t>USD debt in USD</t>
  </si>
  <si>
    <t>FX move on USD debt</t>
  </si>
  <si>
    <t>Assumed hedge on debt</t>
  </si>
  <si>
    <t>Impact on BS</t>
  </si>
  <si>
    <t>Lease liabilities</t>
  </si>
  <si>
    <t>Net cash</t>
  </si>
  <si>
    <t>Investment in financial instruments (NC)</t>
  </si>
  <si>
    <t>Reported net debt (inc NC invest in fi inst)</t>
  </si>
  <si>
    <t>Non-current financial assets</t>
  </si>
  <si>
    <t>Deferred tax assets</t>
  </si>
  <si>
    <t>Working capital analysis</t>
  </si>
  <si>
    <t>% of sales</t>
  </si>
  <si>
    <t>Change in inventory</t>
  </si>
  <si>
    <t>Change in receivables</t>
  </si>
  <si>
    <t>Other current assets</t>
  </si>
  <si>
    <t>Change in other assets</t>
  </si>
  <si>
    <t>Change in payables</t>
  </si>
  <si>
    <t>Change in other liabilities</t>
  </si>
  <si>
    <t>Change in working capital</t>
  </si>
  <si>
    <t>Pension provisions</t>
  </si>
  <si>
    <t>Release</t>
  </si>
  <si>
    <t>Pension and post-employment benefits</t>
  </si>
  <si>
    <t>Cash outflow</t>
  </si>
  <si>
    <t>Provisions</t>
  </si>
  <si>
    <t>Restructuring release</t>
  </si>
  <si>
    <t>Exceptional items</t>
  </si>
  <si>
    <t>Clean tax</t>
  </si>
  <si>
    <t>Less: clean depreciation</t>
  </si>
  <si>
    <t>Less: amortisation</t>
  </si>
  <si>
    <t>Less: interest</t>
  </si>
  <si>
    <t>Adjustments</t>
  </si>
  <si>
    <t>Clean PBT</t>
  </si>
  <si>
    <t>Effective tax rate</t>
  </si>
  <si>
    <t>Group PBT</t>
  </si>
  <si>
    <t xml:space="preserve">Tax loss carryforwards </t>
  </si>
  <si>
    <t>Amount used in year</t>
  </si>
  <si>
    <t>Taxable PBT</t>
  </si>
  <si>
    <t>Cash tax paid</t>
  </si>
  <si>
    <t>Tax credit remaining</t>
  </si>
  <si>
    <t>Difference with normalised tax</t>
  </si>
  <si>
    <t>NPV</t>
  </si>
  <si>
    <t>Cash tax</t>
  </si>
  <si>
    <t xml:space="preserve">Cash tax </t>
  </si>
  <si>
    <t>Total cash tax</t>
  </si>
  <si>
    <t>Income tax payables</t>
  </si>
  <si>
    <t>Income from affiliates</t>
  </si>
  <si>
    <t>%</t>
  </si>
  <si>
    <t>BMP (Univision)</t>
  </si>
  <si>
    <t>La Sexta</t>
  </si>
  <si>
    <t>Imagina</t>
  </si>
  <si>
    <t>Ocesa</t>
  </si>
  <si>
    <t>Clean income from affiliates</t>
  </si>
  <si>
    <t>Associate dividends / leasing</t>
  </si>
  <si>
    <t>Financial investments</t>
  </si>
  <si>
    <t>Clean minority interests</t>
  </si>
  <si>
    <t>% ownership</t>
  </si>
  <si>
    <t>Minority dividend</t>
  </si>
  <si>
    <t>as % net income</t>
  </si>
  <si>
    <t>Minority (Balance sheet)</t>
  </si>
  <si>
    <t>Total dividend (to TV shareholders)</t>
  </si>
  <si>
    <t>Buy-back price (on CP)</t>
  </si>
  <si>
    <t>Share buyback</t>
  </si>
  <si>
    <t>change</t>
  </si>
  <si>
    <t>as % sales</t>
  </si>
  <si>
    <t>Exceptional cash-flow items</t>
  </si>
  <si>
    <t>Minority disposal</t>
  </si>
  <si>
    <t>Licences</t>
  </si>
  <si>
    <t>Special dividend</t>
  </si>
  <si>
    <t>Pension top-up</t>
  </si>
  <si>
    <t>Acquisitions</t>
  </si>
  <si>
    <t>Converts</t>
  </si>
  <si>
    <t>Future Iusacell capital injections</t>
  </si>
  <si>
    <t>Iusacell exit</t>
  </si>
  <si>
    <t>Axtel assets</t>
  </si>
  <si>
    <t>Disposals</t>
  </si>
  <si>
    <t>IFRS 16 / other</t>
  </si>
  <si>
    <t>OCEN exit</t>
  </si>
  <si>
    <t>Cash in from UNI deal</t>
  </si>
  <si>
    <t>Exceptional cash flow items</t>
  </si>
  <si>
    <t>Per share analysis</t>
  </si>
  <si>
    <t>Less: depreciation</t>
  </si>
  <si>
    <t>Less: clean interest</t>
  </si>
  <si>
    <t>Less: clean associates charges</t>
  </si>
  <si>
    <t>Less: clean tax</t>
  </si>
  <si>
    <t>Less: minority interests</t>
  </si>
  <si>
    <t>Clean earnings</t>
  </si>
  <si>
    <t>A (common) shares</t>
  </si>
  <si>
    <t>Change in common shares in issue</t>
  </si>
  <si>
    <t>Average shares in issue</t>
  </si>
  <si>
    <t>Common treasury shares</t>
  </si>
  <si>
    <t>Common shares outstanding</t>
  </si>
  <si>
    <t>B (common) shares</t>
  </si>
  <si>
    <t>D (preferred) shares</t>
  </si>
  <si>
    <t>L (limited voting) shares</t>
  </si>
  <si>
    <t>Total outstanding</t>
  </si>
  <si>
    <t>Average</t>
  </si>
  <si>
    <t>Total ex-Treasury</t>
  </si>
  <si>
    <t>Total COP equivalents</t>
  </si>
  <si>
    <t>COPs in Treasury</t>
  </si>
  <si>
    <t>Total ex-Treasury COP equivalents</t>
  </si>
  <si>
    <t>Azcarraga</t>
  </si>
  <si>
    <t>Economic interest</t>
  </si>
  <si>
    <t>CPO component of shares</t>
  </si>
  <si>
    <t>A</t>
  </si>
  <si>
    <t>B</t>
  </si>
  <si>
    <t>D</t>
  </si>
  <si>
    <t>L</t>
  </si>
  <si>
    <t>Fully diluted shares in the form of CPO's</t>
  </si>
  <si>
    <t>Actual CPO (trade in Mexico)</t>
  </si>
  <si>
    <t>Fully diluted shares not part of CPO's</t>
  </si>
  <si>
    <t>GDS (US) from CPO's</t>
  </si>
  <si>
    <t>GDS outstanding</t>
  </si>
  <si>
    <t>GDS in Treasury</t>
  </si>
  <si>
    <t>GDS (US), ex Treasury</t>
  </si>
  <si>
    <t>Average GDP</t>
  </si>
  <si>
    <t>YE change in GDS</t>
  </si>
  <si>
    <t>as % stock</t>
  </si>
  <si>
    <t>DPS on CPO, P$</t>
  </si>
  <si>
    <t>Dividend payments</t>
  </si>
  <si>
    <t>as % of clean EPS</t>
  </si>
  <si>
    <t>as % of reported EPS</t>
  </si>
  <si>
    <t>as % of EFCF</t>
  </si>
  <si>
    <t>Add: depreciation</t>
  </si>
  <si>
    <t>Add: amortisation</t>
  </si>
  <si>
    <t>Less: capex</t>
  </si>
  <si>
    <t>Clean EFCF</t>
  </si>
  <si>
    <t>Clean EFCF/ share</t>
  </si>
  <si>
    <t xml:space="preserve">Debt </t>
  </si>
  <si>
    <t>xx</t>
  </si>
  <si>
    <t>New borrowings</t>
  </si>
  <si>
    <t>Repayments</t>
  </si>
  <si>
    <t>Interest rates</t>
  </si>
  <si>
    <t>High speed HPs, m</t>
  </si>
  <si>
    <t>Telmex</t>
  </si>
  <si>
    <t>Televisa</t>
  </si>
  <si>
    <t>Megacable</t>
  </si>
  <si>
    <t>Total Play</t>
  </si>
  <si>
    <t>Total market</t>
  </si>
  <si>
    <t>High speed HPs added, m</t>
  </si>
  <si>
    <t>Unique subs, m</t>
  </si>
  <si>
    <t>High speed BB subs, m</t>
  </si>
  <si>
    <t>Check: implied Telmex copper / VDSL</t>
  </si>
  <si>
    <t>Check: implied market copper/other</t>
  </si>
  <si>
    <t>Penetration</t>
  </si>
  <si>
    <t>% penetration</t>
  </si>
  <si>
    <t>RGU, m</t>
  </si>
  <si>
    <t>RGUs per unique sub</t>
  </si>
  <si>
    <t>Voice lines</t>
  </si>
  <si>
    <t>Axtel</t>
  </si>
  <si>
    <t>Maxcom</t>
  </si>
  <si>
    <t>Cablevision</t>
  </si>
  <si>
    <t>Cablemas</t>
  </si>
  <si>
    <t>TVI</t>
  </si>
  <si>
    <t>Cablecom</t>
  </si>
  <si>
    <t>Cablevision Red</t>
  </si>
  <si>
    <t xml:space="preserve">Others </t>
  </si>
  <si>
    <t>Total voice (from Cofetel)</t>
  </si>
  <si>
    <t>Total ex-others</t>
  </si>
  <si>
    <t>Market line loss (Cofetel)</t>
  </si>
  <si>
    <t>Teleevisa net adds</t>
  </si>
  <si>
    <t>Residential lines</t>
  </si>
  <si>
    <t>Corporate lines</t>
  </si>
  <si>
    <t>Households</t>
  </si>
  <si>
    <t>Voice pen of HH</t>
  </si>
  <si>
    <t>Voice share of lines</t>
  </si>
  <si>
    <t>Televisa voice</t>
  </si>
  <si>
    <t>Televisa net voice adds</t>
  </si>
  <si>
    <t>Televisa total fixed voice share</t>
  </si>
  <si>
    <t>Broadband lines</t>
  </si>
  <si>
    <t>Other cable</t>
  </si>
  <si>
    <t>Other non-cable BB</t>
  </si>
  <si>
    <t>Cofetel broadband numbers</t>
  </si>
  <si>
    <t>Market adds</t>
  </si>
  <si>
    <t>Televisa net adds</t>
  </si>
  <si>
    <t>SKY Mexico</t>
  </si>
  <si>
    <t>Estimate for corporate</t>
  </si>
  <si>
    <t>Corporate adds</t>
  </si>
  <si>
    <t>Implied residential</t>
  </si>
  <si>
    <t>Residential penetration</t>
  </si>
  <si>
    <t>pen added</t>
  </si>
  <si>
    <t>Total Televisa BB</t>
  </si>
  <si>
    <t>Televisa BB adds</t>
  </si>
  <si>
    <t>Share of adds</t>
  </si>
  <si>
    <t>Televisa total share</t>
  </si>
  <si>
    <t>Televisa RGUs</t>
  </si>
  <si>
    <t>Voice</t>
  </si>
  <si>
    <t>Internet</t>
  </si>
  <si>
    <t>Total RGUs</t>
  </si>
  <si>
    <t>RGU/unique user (from MEGA)</t>
  </si>
  <si>
    <t>Unique users</t>
  </si>
  <si>
    <t>Cable homes covered</t>
  </si>
  <si>
    <t>Total cable</t>
  </si>
  <si>
    <t>Incremental homes passed</t>
  </si>
  <si>
    <t>Homes passed as % HH</t>
  </si>
  <si>
    <t>% own</t>
  </si>
  <si>
    <t>Revenue, P$m</t>
  </si>
  <si>
    <t>Carso Globo</t>
  </si>
  <si>
    <t>Monterrey family</t>
  </si>
  <si>
    <t xml:space="preserve">Total cable </t>
  </si>
  <si>
    <t>Elims</t>
  </si>
  <si>
    <t>Net cable</t>
  </si>
  <si>
    <t>underlying</t>
  </si>
  <si>
    <t xml:space="preserve"> - of which retail</t>
  </si>
  <si>
    <t xml:space="preserve"> - of which corporate/other</t>
  </si>
  <si>
    <t>Total Televisa RGUs</t>
  </si>
  <si>
    <t>Total RGU adds</t>
  </si>
  <si>
    <t>Implied ARPU</t>
  </si>
  <si>
    <t>EBITDA margin</t>
  </si>
  <si>
    <t>Mobile capex</t>
  </si>
  <si>
    <t>Total capex</t>
  </si>
  <si>
    <t>US$ capex</t>
  </si>
  <si>
    <t>vs gross sales underlying</t>
  </si>
  <si>
    <t>mobile capex/sales</t>
  </si>
  <si>
    <t>Total capex/sales</t>
  </si>
  <si>
    <t>OpFCF, pre corp exp</t>
  </si>
  <si>
    <t>% margin</t>
  </si>
  <si>
    <t>Cash</t>
  </si>
  <si>
    <t>Interest rate</t>
  </si>
  <si>
    <t>Interest expenses</t>
  </si>
  <si>
    <t>D&amp;A</t>
  </si>
  <si>
    <t>PTP</t>
  </si>
  <si>
    <t>Dividend</t>
  </si>
  <si>
    <t>Pen of CATV housholds</t>
  </si>
  <si>
    <t>Region split, HH</t>
  </si>
  <si>
    <t>MEGA</t>
  </si>
  <si>
    <t>Non cable</t>
  </si>
  <si>
    <t>Total Mexican HH</t>
  </si>
  <si>
    <t>BB subs in MEGA region</t>
  </si>
  <si>
    <t>BB share in MEGA region</t>
  </si>
  <si>
    <t>Res subs</t>
  </si>
  <si>
    <t>Corp subs</t>
  </si>
  <si>
    <t>BB pen in MEGA region</t>
  </si>
  <si>
    <t>BB share in TV region</t>
  </si>
  <si>
    <t>Pay TV model</t>
  </si>
  <si>
    <t>Pay TV subs</t>
  </si>
  <si>
    <t>Televisa group (pro forma)</t>
  </si>
  <si>
    <t>Televisa % of cable</t>
  </si>
  <si>
    <t>Other DTH (Dish)</t>
  </si>
  <si>
    <t>Claro</t>
  </si>
  <si>
    <t>Total DTH</t>
  </si>
  <si>
    <t>SKY as % DTH</t>
  </si>
  <si>
    <t>Other (MMDS, other fixed wireless)</t>
  </si>
  <si>
    <t>Adds</t>
  </si>
  <si>
    <t>No of households</t>
  </si>
  <si>
    <t>Pay TV pen</t>
  </si>
  <si>
    <t>Pen added</t>
  </si>
  <si>
    <t>Market share</t>
  </si>
  <si>
    <t>Televisa market share</t>
  </si>
  <si>
    <t>Televisa prop subs</t>
  </si>
  <si>
    <t>P$m</t>
  </si>
  <si>
    <t>VeTV (Pre-pay)</t>
  </si>
  <si>
    <t>Mid-level</t>
  </si>
  <si>
    <t>HD</t>
  </si>
  <si>
    <t>Total subs, 000's</t>
  </si>
  <si>
    <t>Net adds</t>
  </si>
  <si>
    <t>TV revenue</t>
  </si>
  <si>
    <t>ARPU, MXN</t>
  </si>
  <si>
    <t>ARPU, US$</t>
  </si>
  <si>
    <t>Bitstream / re-selling subs, 000s</t>
  </si>
  <si>
    <t>as % total</t>
  </si>
  <si>
    <t>ULL subs, 000s</t>
  </si>
  <si>
    <t>BB subs, 000s</t>
  </si>
  <si>
    <t>as % TV</t>
  </si>
  <si>
    <t>Voice subs, 000s</t>
  </si>
  <si>
    <t>Est dual-play ARPU of Telmex, MXN / m</t>
  </si>
  <si>
    <t>discount</t>
  </si>
  <si>
    <t>SKY dual-play price, MXN / m</t>
  </si>
  <si>
    <t>Bitstream / re-selling revenue</t>
  </si>
  <si>
    <t>FULL revenue</t>
  </si>
  <si>
    <t>SKY BB / voice revenue</t>
  </si>
  <si>
    <t>upside to TV revenue</t>
  </si>
  <si>
    <t>upside to group revenue</t>
  </si>
  <si>
    <t>Total SKY revenue</t>
  </si>
  <si>
    <t>EBITDA on TV</t>
  </si>
  <si>
    <t>WLR regulated return</t>
  </si>
  <si>
    <t>Retail voice compenent off monthly fee, MXN</t>
  </si>
  <si>
    <t>WLR fees/line/month</t>
  </si>
  <si>
    <t>Total WLR cost, MXN mn</t>
  </si>
  <si>
    <t>Bitstream return</t>
  </si>
  <si>
    <t>Retail data compenent, MXN</t>
  </si>
  <si>
    <t>Bitstream fees/line/month</t>
  </si>
  <si>
    <t>Total bitstream cost, MXN mn</t>
  </si>
  <si>
    <t>EBITDA from Bitstream / re-selling</t>
  </si>
  <si>
    <t>FULL wholesale price per line per month (MXN)</t>
  </si>
  <si>
    <t>Implied allowed return on ULL</t>
  </si>
  <si>
    <t>FULL costs (MXNm)</t>
  </si>
  <si>
    <t>Other ULL costs (backhaul, ancillaries etc.) MXN per line/month</t>
  </si>
  <si>
    <t>FULL other costs (MXNm)</t>
  </si>
  <si>
    <t>EBITDA from ULL</t>
  </si>
  <si>
    <t>EBITDA margin on ULL</t>
  </si>
  <si>
    <t>SKY BB / voice EBITDA</t>
  </si>
  <si>
    <t>BB / ULL margin</t>
  </si>
  <si>
    <t>upside to TV EBITDA</t>
  </si>
  <si>
    <t>upside to Group</t>
  </si>
  <si>
    <t>Total SKY EBITDA</t>
  </si>
  <si>
    <t>Total SKY margin</t>
  </si>
  <si>
    <t>TV Capex</t>
  </si>
  <si>
    <t>Inc satellite</t>
  </si>
  <si>
    <t xml:space="preserve">Total booked </t>
  </si>
  <si>
    <t>Bitstream capex/add</t>
  </si>
  <si>
    <t>Bistream add</t>
  </si>
  <si>
    <t>Bitstream capex</t>
  </si>
  <si>
    <t>ULL capex/add</t>
  </si>
  <si>
    <t>Net FULL add</t>
  </si>
  <si>
    <t>ULL capex</t>
  </si>
  <si>
    <t>as % voice/BB revs</t>
  </si>
  <si>
    <t>SKY BB / voice capex</t>
  </si>
  <si>
    <t>SKY BB / ULL OpFCF</t>
  </si>
  <si>
    <t>Total SKY capex</t>
  </si>
  <si>
    <t>upside to TV capex</t>
  </si>
  <si>
    <t xml:space="preserve">TV OpFCF </t>
  </si>
  <si>
    <t>upside to TV OpFCF</t>
  </si>
  <si>
    <t>upside to group OpFCF</t>
  </si>
  <si>
    <t>Total SKY OpFCF</t>
  </si>
  <si>
    <t>Churn per month</t>
  </si>
  <si>
    <t xml:space="preserve">Churn </t>
  </si>
  <si>
    <t>Gross adds</t>
  </si>
  <si>
    <t>Box costs</t>
  </si>
  <si>
    <t>Costs per gross add</t>
  </si>
  <si>
    <t>Costs per gross add, US$</t>
  </si>
  <si>
    <t>For publishing</t>
  </si>
  <si>
    <t>MXN mn</t>
  </si>
  <si>
    <t>Televisa DTH subs</t>
  </si>
  <si>
    <t>TV subs</t>
  </si>
  <si>
    <t>Total broadband subs</t>
  </si>
  <si>
    <t>as % total BB</t>
  </si>
  <si>
    <t>SKY BB subs</t>
  </si>
  <si>
    <t>BB market share</t>
  </si>
  <si>
    <t>Cable/other</t>
  </si>
  <si>
    <t>MXN m</t>
  </si>
  <si>
    <t>Market subs, m</t>
  </si>
  <si>
    <t>POPs, m</t>
  </si>
  <si>
    <t>Subs, 000s</t>
  </si>
  <si>
    <t>Unique TV subs, 000s</t>
  </si>
  <si>
    <t>As % unique users (TV)</t>
  </si>
  <si>
    <t>As % of BB</t>
  </si>
  <si>
    <t>AMX ARPU</t>
  </si>
  <si>
    <t>Discount to AMX</t>
  </si>
  <si>
    <t>TV ARPU</t>
  </si>
  <si>
    <t>Service revenue</t>
  </si>
  <si>
    <t>Traffic on MVNO</t>
  </si>
  <si>
    <t>% MVNO EBITDA margin</t>
  </si>
  <si>
    <t>WiFi margin</t>
  </si>
  <si>
    <t>Blended EBITDA margin</t>
  </si>
  <si>
    <t>Mobile, MXN m</t>
  </si>
  <si>
    <t>NPV cash flows</t>
  </si>
  <si>
    <t>Growth</t>
  </si>
  <si>
    <t>Terminal multiple</t>
  </si>
  <si>
    <t>Terminal value</t>
  </si>
  <si>
    <t>PV of terminal value</t>
  </si>
  <si>
    <t>EV mobile</t>
  </si>
  <si>
    <t>EV, $</t>
  </si>
  <si>
    <t>per share</t>
  </si>
  <si>
    <t>NSRe</t>
  </si>
  <si>
    <t>Millions of Mexican Pesos</t>
  </si>
  <si>
    <t>1Q</t>
  </si>
  <si>
    <t>2Q</t>
  </si>
  <si>
    <t>3Q</t>
  </si>
  <si>
    <t>4Q</t>
  </si>
  <si>
    <t>FY</t>
  </si>
  <si>
    <t>3QE</t>
  </si>
  <si>
    <t>4QE</t>
  </si>
  <si>
    <t>Net Sales</t>
  </si>
  <si>
    <t>World Cup digital</t>
  </si>
  <si>
    <t>OIBDA post corp expenses</t>
  </si>
  <si>
    <t>Other Expense, net</t>
  </si>
  <si>
    <t>Clean OIBDA</t>
  </si>
  <si>
    <t>Depreciation and Amortization</t>
  </si>
  <si>
    <t>Operating Income</t>
  </si>
  <si>
    <t>Clean OIBDA ex WC</t>
  </si>
  <si>
    <t>Intersegment</t>
  </si>
  <si>
    <t>WC sales EBITDA in MXN</t>
  </si>
  <si>
    <t>WC sales in USD</t>
  </si>
  <si>
    <t>Content EBITDA underlying</t>
  </si>
  <si>
    <t>Content opex</t>
  </si>
  <si>
    <t>Content opex, USD</t>
  </si>
  <si>
    <t>Clean, USD</t>
  </si>
  <si>
    <t>Content ex-WC digital sales</t>
  </si>
  <si>
    <t>Content ex-UNI</t>
  </si>
  <si>
    <t>Other fin charges</t>
  </si>
  <si>
    <t>Net fin expense</t>
  </si>
  <si>
    <t>as % PBT</t>
  </si>
  <si>
    <t>Income from discontinued ops</t>
  </si>
  <si>
    <t>Mins</t>
  </si>
  <si>
    <t>Net income (owners)</t>
  </si>
  <si>
    <t>Clean net</t>
  </si>
  <si>
    <t>Capex, US$m</t>
  </si>
  <si>
    <t xml:space="preserve"> of which telecoms</t>
  </si>
  <si>
    <t xml:space="preserve"> - of which Cablevision</t>
  </si>
  <si>
    <t xml:space="preserve"> - of which Cablemas</t>
  </si>
  <si>
    <t xml:space="preserve"> - of which TVI</t>
  </si>
  <si>
    <t xml:space="preserve"> - of which Bestel</t>
  </si>
  <si>
    <t xml:space="preserve"> - of which Cablecom</t>
  </si>
  <si>
    <t xml:space="preserve"> of which SKY</t>
  </si>
  <si>
    <t xml:space="preserve"> of which Content/other</t>
  </si>
  <si>
    <t>Capex, MXN m</t>
  </si>
  <si>
    <t>Capex % sales</t>
  </si>
  <si>
    <t>Cable % sales</t>
  </si>
  <si>
    <t>Margin</t>
  </si>
  <si>
    <t>y/y</t>
  </si>
  <si>
    <t>Q1 15</t>
  </si>
  <si>
    <t>Q2 15</t>
  </si>
  <si>
    <t>Q3 15</t>
  </si>
  <si>
    <t>Q4 15</t>
  </si>
  <si>
    <t>Q1 16</t>
  </si>
  <si>
    <t>Q2 16</t>
  </si>
  <si>
    <t>Q3 16</t>
  </si>
  <si>
    <t>Q4 16</t>
  </si>
  <si>
    <t>Q1 17</t>
  </si>
  <si>
    <t>Q2 17</t>
  </si>
  <si>
    <t>Q3 17</t>
  </si>
  <si>
    <t>Q4 17</t>
  </si>
  <si>
    <t>Q1 18</t>
  </si>
  <si>
    <t>Q2 18</t>
  </si>
  <si>
    <t>Q3 18</t>
  </si>
  <si>
    <t>Q4 18</t>
  </si>
  <si>
    <t>Q1 19</t>
  </si>
  <si>
    <t>Q2 19</t>
  </si>
  <si>
    <t>Q3 19</t>
  </si>
  <si>
    <t>Q4 19</t>
  </si>
  <si>
    <t>Q1 20</t>
  </si>
  <si>
    <t>Q2 20</t>
  </si>
  <si>
    <t>Q3 20</t>
  </si>
  <si>
    <t>Q4 20</t>
  </si>
  <si>
    <t>Q1 21</t>
  </si>
  <si>
    <t>Q2 21</t>
  </si>
  <si>
    <t>Q3 21</t>
  </si>
  <si>
    <t>Q4 21</t>
  </si>
  <si>
    <t>Q1 22</t>
  </si>
  <si>
    <t>Q2 22</t>
  </si>
  <si>
    <t>Q3 22</t>
  </si>
  <si>
    <t>Q4 22</t>
  </si>
  <si>
    <t>Q1 23</t>
  </si>
  <si>
    <t>Q2 23</t>
  </si>
  <si>
    <t>Q3 23</t>
  </si>
  <si>
    <t>Q4 23</t>
  </si>
  <si>
    <t>Retail</t>
  </si>
  <si>
    <t>Wholesale</t>
  </si>
  <si>
    <t>Total cable (gross)</t>
  </si>
  <si>
    <t>elims</t>
  </si>
  <si>
    <t>y/y revenue</t>
  </si>
  <si>
    <t>Total gross</t>
  </si>
  <si>
    <t>Total net</t>
  </si>
  <si>
    <t>Retail ARPU (per RGU)</t>
  </si>
  <si>
    <t>Retail ARPU (per sub)</t>
  </si>
  <si>
    <t>y/y EBITDA</t>
  </si>
  <si>
    <t>OpEx</t>
  </si>
  <si>
    <t>Cash flow</t>
  </si>
  <si>
    <t>Cash taxes</t>
  </si>
  <si>
    <t>IFRS 16 leases</t>
  </si>
  <si>
    <t>Intangibles</t>
  </si>
  <si>
    <t>Dividends paid</t>
  </si>
  <si>
    <t>Buy back</t>
  </si>
  <si>
    <t>value</t>
  </si>
  <si>
    <t>Min dividends</t>
  </si>
  <si>
    <t xml:space="preserve">price </t>
  </si>
  <si>
    <t>shares</t>
  </si>
  <si>
    <t>Total cash flow</t>
  </si>
  <si>
    <t>Net debt, $ billion</t>
  </si>
  <si>
    <t xml:space="preserve"> - Gross debt</t>
  </si>
  <si>
    <t xml:space="preserve"> - Finance leases</t>
  </si>
  <si>
    <t xml:space="preserve"> - Other liabilities (TVI)</t>
  </si>
  <si>
    <t xml:space="preserve"> - Cash/equivs/</t>
  </si>
  <si>
    <t xml:space="preserve"> - Cash, US$m</t>
  </si>
  <si>
    <t>Net debt/EBITDA</t>
  </si>
  <si>
    <t>Net debt / LQA</t>
  </si>
  <si>
    <t>Net debt / OSI</t>
  </si>
  <si>
    <t>Customer deposits</t>
  </si>
  <si>
    <t>(1) Information for the year 2011 and forward has been prepared in accordance with International Financial Reporting Standards and is expressed in nominal Mexican pesos.</t>
  </si>
  <si>
    <t>(2) All information is presented in millions of Mexican pesos.</t>
  </si>
  <si>
    <t>(3) Some non-material differences may exist between the information here presented and the information included in our press releases.</t>
  </si>
  <si>
    <t>MXN/USD</t>
  </si>
  <si>
    <t>USD revs</t>
  </si>
  <si>
    <t xml:space="preserve"> Subs (assume 90% @ $1.96/m)</t>
  </si>
  <si>
    <t xml:space="preserve"> of which Univision</t>
  </si>
  <si>
    <t xml:space="preserve"> of which other</t>
  </si>
  <si>
    <t>Content in local FX</t>
  </si>
  <si>
    <t>Calculated Univision</t>
  </si>
  <si>
    <t>Incremental network subs revs added</t>
  </si>
  <si>
    <t>Normalised revs added</t>
  </si>
  <si>
    <t>Normalised Net and Subs revs</t>
  </si>
  <si>
    <t>Estimated revenue deduction</t>
  </si>
  <si>
    <t>Full quarter lost revs</t>
  </si>
  <si>
    <t>Estimate for Q4 revs</t>
  </si>
  <si>
    <t>Homes passed</t>
  </si>
  <si>
    <t>TVI (Cablevision de Monterey)</t>
  </si>
  <si>
    <t xml:space="preserve">Total Televisa </t>
  </si>
  <si>
    <t>Cable KPIs</t>
  </si>
  <si>
    <t>RGUs per subs</t>
  </si>
  <si>
    <t>Unique subs</t>
  </si>
  <si>
    <t>Total adds</t>
  </si>
  <si>
    <t>Ex mobile</t>
  </si>
  <si>
    <t>Retail cable revenue</t>
  </si>
  <si>
    <t>Avg subs</t>
  </si>
  <si>
    <t>ARPU (calc)</t>
  </si>
  <si>
    <t>Sky KPIs</t>
  </si>
  <si>
    <t>Sales</t>
  </si>
  <si>
    <t>FY 13</t>
  </si>
  <si>
    <t>FY 14</t>
  </si>
  <si>
    <t>Bestel</t>
  </si>
  <si>
    <t>Total (gross)</t>
  </si>
  <si>
    <t>margin</t>
  </si>
  <si>
    <t>BB</t>
  </si>
  <si>
    <t>RGUs</t>
  </si>
  <si>
    <t>RGU adds</t>
  </si>
  <si>
    <t>Cablevision revenue per RGU</t>
  </si>
  <si>
    <t>Ex-Cablevision</t>
  </si>
  <si>
    <t>Revenue/RGU</t>
  </si>
  <si>
    <t>Consolidation adjustments</t>
  </si>
  <si>
    <t>Ex-Cablecom EBITDA</t>
  </si>
  <si>
    <t>Ex-Cablecom margin</t>
  </si>
  <si>
    <t>Underling</t>
  </si>
  <si>
    <t>Axtel support</t>
  </si>
  <si>
    <t>Q3 21e</t>
  </si>
  <si>
    <t>Q4 21e</t>
  </si>
  <si>
    <t>Cable revenue</t>
  </si>
  <si>
    <t>Retail revs</t>
  </si>
  <si>
    <t>Enterprise revs</t>
  </si>
  <si>
    <t>Cable EBITDA</t>
  </si>
  <si>
    <t>SKY revenue</t>
  </si>
  <si>
    <t>SKY EBITDA</t>
  </si>
  <si>
    <t>FOR SNAPS</t>
  </si>
  <si>
    <t>NSR</t>
  </si>
  <si>
    <t>Cons</t>
  </si>
  <si>
    <t>Earnings</t>
  </si>
  <si>
    <t>Grupo Televisa - MXN m</t>
  </si>
  <si>
    <t>Q1 24</t>
  </si>
  <si>
    <t>Q2 24</t>
  </si>
  <si>
    <t>Q3 24</t>
  </si>
  <si>
    <t>Q4 24</t>
  </si>
  <si>
    <t>Q1 25</t>
  </si>
  <si>
    <t>Q2 25</t>
  </si>
  <si>
    <t>diff</t>
  </si>
  <si>
    <t xml:space="preserve">Total Revenue </t>
  </si>
  <si>
    <t>Q1 10</t>
  </si>
  <si>
    <t>Q2 10</t>
  </si>
  <si>
    <t>Q3 10</t>
  </si>
  <si>
    <t>Q4 10</t>
  </si>
  <si>
    <t>Q1 11</t>
  </si>
  <si>
    <t>Q2 11</t>
  </si>
  <si>
    <t>Q3 11</t>
  </si>
  <si>
    <t>Q4 11</t>
  </si>
  <si>
    <t>Q1 12</t>
  </si>
  <si>
    <t>Q2 12</t>
  </si>
  <si>
    <t>Q3 12</t>
  </si>
  <si>
    <t>Q4 12</t>
  </si>
  <si>
    <t>Q1 13</t>
  </si>
  <si>
    <t>Q2 13</t>
  </si>
  <si>
    <t>Q3 13</t>
  </si>
  <si>
    <t>Q4 13</t>
  </si>
  <si>
    <t>Q1 14</t>
  </si>
  <si>
    <t>Q2 14</t>
  </si>
  <si>
    <t>Q3 14</t>
  </si>
  <si>
    <t>Q4 14</t>
  </si>
  <si>
    <t>Revenue (Cable)</t>
  </si>
  <si>
    <t>NSR v</t>
  </si>
  <si>
    <t>Revenue (SKY)</t>
  </si>
  <si>
    <t>Revenue, y/y</t>
  </si>
  <si>
    <t>Total Revenue (ex content)</t>
  </si>
  <si>
    <t>EBITDA, y/y</t>
  </si>
  <si>
    <t>Total OSI</t>
  </si>
  <si>
    <t>Subs</t>
  </si>
  <si>
    <t>OSI (Cable)</t>
  </si>
  <si>
    <t>Net adds, 000s</t>
  </si>
  <si>
    <t>OSI (SKY)</t>
  </si>
  <si>
    <t>Revenue (Other)</t>
  </si>
  <si>
    <t>OSI (Other)</t>
  </si>
  <si>
    <t>ARPU, y/y</t>
  </si>
  <si>
    <t>Broadband subs, 000s</t>
  </si>
  <si>
    <t>Broadband adds, 000s</t>
  </si>
  <si>
    <t>EBITDA (with one offs)</t>
  </si>
  <si>
    <t>Operating income</t>
  </si>
  <si>
    <t>ARPU estimate for SKY BB</t>
  </si>
  <si>
    <t>Associate</t>
  </si>
  <si>
    <t>Revs</t>
  </si>
  <si>
    <t>difference, y/y</t>
  </si>
  <si>
    <t>Rep net income</t>
  </si>
  <si>
    <t>as SKY</t>
  </si>
  <si>
    <t>Clean net income</t>
  </si>
  <si>
    <t>Net debt / annualised Q EBITDA</t>
  </si>
  <si>
    <t>Televisa Univision - USD m</t>
  </si>
  <si>
    <t xml:space="preserve">Rep EBITDA </t>
  </si>
  <si>
    <t xml:space="preserve"> - of which</t>
  </si>
  <si>
    <t>Network Subs</t>
  </si>
  <si>
    <t>Net sales ex-one off World Cup sales</t>
  </si>
  <si>
    <t>Local FX</t>
  </si>
  <si>
    <t>EARNINGS</t>
  </si>
  <si>
    <t>EBITDA, MXN m</t>
  </si>
  <si>
    <t xml:space="preserve">y/y  </t>
  </si>
  <si>
    <t>Q2 22e</t>
  </si>
  <si>
    <t>EBITDA after corp/other</t>
  </si>
  <si>
    <t>Total EBITDA</t>
  </si>
  <si>
    <t>EBITDA (Cable)</t>
  </si>
  <si>
    <t>Rep EBITDA</t>
  </si>
  <si>
    <t>MEGA - MXN m</t>
  </si>
  <si>
    <t>Total Revenue</t>
  </si>
  <si>
    <t>Izzy (Televisa cable), 000s</t>
  </si>
  <si>
    <t>Q4 18*</t>
  </si>
  <si>
    <t>000s</t>
  </si>
  <si>
    <t>* Strips out Axtel acq</t>
  </si>
  <si>
    <t>Megacable, 000s</t>
  </si>
  <si>
    <t>Televisa MSO</t>
  </si>
  <si>
    <t>MEGA cable</t>
  </si>
  <si>
    <t>Totalplay Residential</t>
  </si>
  <si>
    <t>Izzy</t>
  </si>
  <si>
    <t>Totalplay</t>
  </si>
  <si>
    <t>Total Cable (gross)</t>
  </si>
  <si>
    <t>EFCF Yield</t>
  </si>
  <si>
    <t>updated</t>
  </si>
  <si>
    <t>1Q23</t>
  </si>
  <si>
    <t>2Q23</t>
  </si>
  <si>
    <t>3Q23</t>
  </si>
  <si>
    <t>4Q23</t>
  </si>
  <si>
    <t>1Q24</t>
  </si>
  <si>
    <t>2Q24</t>
  </si>
  <si>
    <t>3Q24</t>
  </si>
  <si>
    <t>4Q24</t>
  </si>
  <si>
    <t>4Q24 ex other exp</t>
  </si>
  <si>
    <t>1Q25</t>
  </si>
  <si>
    <t>2Q25</t>
  </si>
  <si>
    <t>OpFCF margin (RHS)</t>
  </si>
  <si>
    <t>US market, USD million</t>
  </si>
  <si>
    <t>SVOD</t>
  </si>
  <si>
    <t>US streaming revenue</t>
  </si>
  <si>
    <t>US streaming revenue (cons)</t>
  </si>
  <si>
    <t>https://www.businessofapps.com/data/video-streaming-app-market/</t>
  </si>
  <si>
    <t>SVOD subs, million</t>
  </si>
  <si>
    <t>US Population</t>
  </si>
  <si>
    <t xml:space="preserve">Growth </t>
  </si>
  <si>
    <t>Implied subscriptions / POP</t>
  </si>
  <si>
    <t>Persons / HH</t>
  </si>
  <si>
    <t>Implied subsriptions/HH</t>
  </si>
  <si>
    <t>SVOD ARPU</t>
  </si>
  <si>
    <t>You Tube revenue</t>
  </si>
  <si>
    <t>UNI / TV</t>
  </si>
  <si>
    <t>Subs, millions</t>
  </si>
  <si>
    <t>% share US streaming subs</t>
  </si>
  <si>
    <t>ARPU</t>
  </si>
  <si>
    <t>discount to market</t>
  </si>
  <si>
    <t>SVOD revenue</t>
  </si>
  <si>
    <t>AVOD</t>
  </si>
  <si>
    <t>US AVOD market</t>
  </si>
  <si>
    <t>UNI - TV subs</t>
  </si>
  <si>
    <t>https://www.spglobal.com/marketintelligence/en/news-insights/latest-news-headlines/univision-aims-to-offer-more-spanish-language-content-than-any-other-streamer-65180831</t>
  </si>
  <si>
    <t>as % AVOD</t>
  </si>
  <si>
    <t>You Tube</t>
  </si>
  <si>
    <t>UNI - TV</t>
  </si>
  <si>
    <t>Roku Channel</t>
  </si>
  <si>
    <t>Viacomcbs</t>
  </si>
  <si>
    <t>Pluto TV</t>
  </si>
  <si>
    <t>Fox</t>
  </si>
  <si>
    <t>Tubi</t>
  </si>
  <si>
    <t>Comcast</t>
  </si>
  <si>
    <t>Xumo</t>
  </si>
  <si>
    <t>Crackle and PopcornFlix</t>
  </si>
  <si>
    <t>Large AVOD players</t>
  </si>
  <si>
    <t>% growth</t>
  </si>
  <si>
    <t>US AVOD market (ex You Tube)</t>
  </si>
  <si>
    <t>Revenue / MAU</t>
  </si>
  <si>
    <t>As discount to Pluto TV</t>
  </si>
  <si>
    <t>UNI - TV AVOD US revenue</t>
  </si>
  <si>
    <t>LatAm , USD million</t>
  </si>
  <si>
    <t>LatAm streaming revenue (incs audio)</t>
  </si>
  <si>
    <t>https://www.marketdataforecast.com/market-reports/latin-america-media-streaming-market</t>
  </si>
  <si>
    <t>SVOD subs LatAm (inc Br), million</t>
  </si>
  <si>
    <t>https://www.statista.com/statistics/867041/share-tv-streaming-subscribers-latin-america-platform/</t>
  </si>
  <si>
    <t xml:space="preserve"> - of which Netflix</t>
  </si>
  <si>
    <t>SVOD subs, ex Brazil</t>
  </si>
  <si>
    <t>as % Latin America</t>
  </si>
  <si>
    <t>POPs, ex-Br</t>
  </si>
  <si>
    <t>Subscriptions/POP</t>
  </si>
  <si>
    <t>discount to US</t>
  </si>
  <si>
    <t>Video streaming revenue, ex-Brazil</t>
  </si>
  <si>
    <t>% share LatAm (ex-Br) streaming subs</t>
  </si>
  <si>
    <t>UNI-TV subs</t>
  </si>
  <si>
    <t>As % ex-Br POPs</t>
  </si>
  <si>
    <t>ARPU discount to US</t>
  </si>
  <si>
    <t>UNI-TV AVOD ARPU</t>
  </si>
  <si>
    <t>UNI-TV AVOD revenue LatAm</t>
  </si>
  <si>
    <t>Subs, million</t>
  </si>
  <si>
    <t>US SVOD</t>
  </si>
  <si>
    <t>LatAm SVOD</t>
  </si>
  <si>
    <t>US AVOD</t>
  </si>
  <si>
    <t>LatAm AVOD</t>
  </si>
  <si>
    <t>Total Subs</t>
  </si>
  <si>
    <t>Revenue, USD million</t>
  </si>
  <si>
    <t>Total TelevisaUnivision VOD revenue</t>
  </si>
  <si>
    <t>% split of revs</t>
  </si>
  <si>
    <t>TelevisaUnivision, USD million</t>
  </si>
  <si>
    <t>NewCo revenue</t>
  </si>
  <si>
    <t xml:space="preserve"> of which Mexico core</t>
  </si>
  <si>
    <t xml:space="preserve"> of which UNI  core</t>
  </si>
  <si>
    <t xml:space="preserve"> of which VOD</t>
  </si>
  <si>
    <t>VOD as %</t>
  </si>
  <si>
    <t>US Advert</t>
  </si>
  <si>
    <t>US Subscription</t>
  </si>
  <si>
    <t>US Other</t>
  </si>
  <si>
    <t>US revenue</t>
  </si>
  <si>
    <t>Mexico Advert</t>
  </si>
  <si>
    <t>Mexico Subscription</t>
  </si>
  <si>
    <t>Mexico Other</t>
  </si>
  <si>
    <t>Mexico revenue</t>
  </si>
  <si>
    <t>YoY:</t>
  </si>
  <si>
    <t>EBITDA (pf for synergies)</t>
  </si>
  <si>
    <t xml:space="preserve"> of which leasing paid to TV</t>
  </si>
  <si>
    <t>Share based compensation</t>
  </si>
  <si>
    <t>% sales</t>
  </si>
  <si>
    <t>Others</t>
  </si>
  <si>
    <t>Interest</t>
  </si>
  <si>
    <t>as % debt</t>
  </si>
  <si>
    <t>Theoretical tax</t>
  </si>
  <si>
    <t>Theoretical tax rate</t>
  </si>
  <si>
    <t>Tax saving</t>
  </si>
  <si>
    <t>Cumulative tax saving</t>
  </si>
  <si>
    <t>Series B pref equity payout (to TV)</t>
  </si>
  <si>
    <t>Payout ratio</t>
  </si>
  <si>
    <t>Dividend payout</t>
  </si>
  <si>
    <t>Check:</t>
  </si>
  <si>
    <t>Capex/taxes</t>
  </si>
  <si>
    <t>as % revs</t>
  </si>
  <si>
    <t>Working Capital / other</t>
  </si>
  <si>
    <t>NPV FCFs</t>
  </si>
  <si>
    <t>Term multiple</t>
  </si>
  <si>
    <t>Term value</t>
  </si>
  <si>
    <t>PV term value</t>
  </si>
  <si>
    <t>Vs SOP/deal construction value</t>
  </si>
  <si>
    <t>TV share</t>
  </si>
  <si>
    <t>TV upside</t>
  </si>
  <si>
    <t>EBITDA (pro-forma for synergies)</t>
  </si>
  <si>
    <t>USD million</t>
  </si>
  <si>
    <t>Q3 25</t>
  </si>
  <si>
    <t>Q4 25</t>
  </si>
  <si>
    <t>Q4 24e</t>
  </si>
  <si>
    <t>US</t>
  </si>
  <si>
    <t>Mexico</t>
  </si>
  <si>
    <t>% of FY</t>
  </si>
  <si>
    <t>Split</t>
  </si>
  <si>
    <t>MAUs (m)</t>
  </si>
  <si>
    <t>Subscription &amp; Licensing</t>
  </si>
  <si>
    <t>Advertising ex FX</t>
  </si>
  <si>
    <t>Subscription ex FX</t>
  </si>
  <si>
    <t>Total ex FX</t>
  </si>
  <si>
    <t>Mexico ex FX</t>
  </si>
  <si>
    <t>USD / MXN</t>
  </si>
  <si>
    <t>Mexico in 12m prior FX</t>
  </si>
  <si>
    <t>Group in 12m prior FX</t>
  </si>
  <si>
    <t>Growth rates</t>
  </si>
  <si>
    <t>Revenue (constant FX)</t>
  </si>
  <si>
    <t>Total US</t>
  </si>
  <si>
    <t>Mexico (USD)</t>
  </si>
  <si>
    <t>Total Mexico</t>
  </si>
  <si>
    <t>Mexico (constant FX)</t>
  </si>
  <si>
    <t>Mexican Ad revenues y/y growth</t>
  </si>
  <si>
    <t>Total Group</t>
  </si>
  <si>
    <t>EBITDA YoY</t>
  </si>
  <si>
    <t>Ex FX</t>
  </si>
  <si>
    <t>Rolling 12m</t>
  </si>
  <si>
    <t>IS</t>
  </si>
  <si>
    <t>Working capital</t>
  </si>
  <si>
    <t>Acquisitions / other invs (net)</t>
  </si>
  <si>
    <t>Other (incs Content prepay vs Amort)</t>
  </si>
  <si>
    <t>cash/year</t>
  </si>
  <si>
    <t>total amort</t>
  </si>
  <si>
    <t>Other charges</t>
  </si>
  <si>
    <t>EBITDA (USD million)</t>
  </si>
  <si>
    <t>Pay TV exposure</t>
  </si>
  <si>
    <t>2012e</t>
  </si>
  <si>
    <t>Pay TV advertising</t>
  </si>
  <si>
    <t>National networks</t>
  </si>
  <si>
    <t>Total advertising</t>
  </si>
  <si>
    <t>pay TV as % total advertising</t>
  </si>
  <si>
    <t xml:space="preserve">Cable </t>
  </si>
  <si>
    <t>Total revenue</t>
  </si>
  <si>
    <t>pay TV as % total</t>
  </si>
  <si>
    <t>Prop pay TV revs</t>
  </si>
  <si>
    <t>Prop group revs</t>
  </si>
  <si>
    <t>pay TV as % total (prop)</t>
  </si>
  <si>
    <t>DOCSIS 3.0</t>
  </si>
  <si>
    <t>Digital</t>
  </si>
  <si>
    <t>TVI Cablevision*</t>
  </si>
  <si>
    <t>Revenue, P$ m</t>
  </si>
  <si>
    <t>Prop SKY</t>
  </si>
  <si>
    <t>Prop cable</t>
  </si>
  <si>
    <t>Total prop pay TV revs</t>
  </si>
  <si>
    <t>Total prop group revenue</t>
  </si>
  <si>
    <t>US Pay TV homes</t>
  </si>
  <si>
    <t>Video revs</t>
  </si>
  <si>
    <t>% Video revs growth</t>
  </si>
  <si>
    <t>GDP growth (RHS)</t>
  </si>
  <si>
    <t>Subs added</t>
  </si>
  <si>
    <t>Quart GDP growth</t>
  </si>
  <si>
    <t>Subs driven capex</t>
  </si>
  <si>
    <t>Cablemas upgrade</t>
  </si>
  <si>
    <t>Maintenance capex</t>
  </si>
  <si>
    <t>Consolidation</t>
  </si>
  <si>
    <t>Televisa inc. Cablevision Red</t>
  </si>
  <si>
    <t>MEGA EV at 10x 2015e EBITDA</t>
  </si>
  <si>
    <t>Post tax financing  rate (USD)</t>
  </si>
  <si>
    <t>Financial charges</t>
  </si>
  <si>
    <t>New net debt</t>
  </si>
  <si>
    <t>New EBITDA</t>
  </si>
  <si>
    <t>NSR MEGA, MXN m</t>
  </si>
  <si>
    <t>EBITDA, $m</t>
  </si>
  <si>
    <t>Trades on 5.9x 2013e EBITDA</t>
  </si>
  <si>
    <t>10x 2015e EBITDA</t>
  </si>
  <si>
    <t>in USD</t>
  </si>
  <si>
    <t>Mexican mobile</t>
  </si>
  <si>
    <t>Telcel</t>
  </si>
  <si>
    <t>TEF</t>
  </si>
  <si>
    <t>Nextel</t>
  </si>
  <si>
    <t>As % sales</t>
  </si>
  <si>
    <t>Revenue share</t>
  </si>
  <si>
    <t>% change on old ests</t>
  </si>
  <si>
    <t>Capex in USD</t>
  </si>
  <si>
    <t>Cumulative 11-14, in USD</t>
  </si>
  <si>
    <t>Licence spend</t>
  </si>
  <si>
    <t>Equity injection</t>
  </si>
  <si>
    <t>Net debt in USD</t>
  </si>
  <si>
    <t>Gross debt, in USD</t>
  </si>
  <si>
    <t>Cash in USD</t>
  </si>
  <si>
    <t>Nominal GDP</t>
  </si>
  <si>
    <t>TV broadcasting</t>
  </si>
  <si>
    <t>2013e</t>
  </si>
  <si>
    <t>2014e</t>
  </si>
  <si>
    <t>Real GDP growth</t>
  </si>
  <si>
    <t>CPI</t>
  </si>
  <si>
    <t>Nominal GDP growth</t>
  </si>
  <si>
    <t>TV broadcasting revs growth</t>
  </si>
  <si>
    <t>Advertising revenue</t>
  </si>
  <si>
    <t>Consensus, P$m</t>
  </si>
  <si>
    <t>NSR vs consensus</t>
  </si>
  <si>
    <t>Share of broadcast audience</t>
  </si>
  <si>
    <t>Pay TV penetration</t>
  </si>
  <si>
    <t>Televisa share of distribution</t>
  </si>
  <si>
    <t>Content pro-forma constant FX</t>
  </si>
  <si>
    <t>Group adj (pro forma, constant FX, ex Other</t>
  </si>
  <si>
    <t>Group adj inc prop Iusacell</t>
  </si>
  <si>
    <t>Contribution to growth</t>
  </si>
  <si>
    <t>Acquisition of TEF Mexico</t>
  </si>
  <si>
    <t>EUR</t>
  </si>
  <si>
    <t>US$</t>
  </si>
  <si>
    <t>TEF Mexico EV, €</t>
  </si>
  <si>
    <t>eur/$</t>
  </si>
  <si>
    <t>TEF Mexico fair value</t>
  </si>
  <si>
    <t>premium</t>
  </si>
  <si>
    <t>TEF Mexico take-out EV</t>
  </si>
  <si>
    <t>Implied 2013e EBITDA, x</t>
  </si>
  <si>
    <t>Implied 2013e OpFCF, x</t>
  </si>
  <si>
    <t>50% funding of TEF Mexico in cash</t>
  </si>
  <si>
    <t>Interest charge post-tax</t>
  </si>
  <si>
    <t>Pre-deal</t>
  </si>
  <si>
    <t>Post-deal</t>
  </si>
  <si>
    <t>EBITDA (consolidated)</t>
  </si>
  <si>
    <t xml:space="preserve">Net debt </t>
  </si>
  <si>
    <t>Net debt to EBITDA pre-deal</t>
  </si>
  <si>
    <t xml:space="preserve">Proportionate EBITDA </t>
  </si>
  <si>
    <t>Proportionate debt</t>
  </si>
  <si>
    <t>Prop debt to EBITDA</t>
  </si>
  <si>
    <t>loss of OTA revenue</t>
  </si>
  <si>
    <t>cut to group revenue</t>
  </si>
  <si>
    <t>OpEx saving for pay TV platforms</t>
  </si>
  <si>
    <t>EBITDA impact</t>
  </si>
  <si>
    <t>cut to group EBITDA</t>
  </si>
  <si>
    <t>Post Q1 13</t>
  </si>
  <si>
    <t>NEW</t>
  </si>
  <si>
    <t>OpFCf</t>
  </si>
  <si>
    <t>OLD</t>
  </si>
  <si>
    <t>Post Q2 13</t>
  </si>
  <si>
    <t>Cablecom (Grupo Cable) deal</t>
  </si>
  <si>
    <t xml:space="preserve"> of which TV</t>
  </si>
  <si>
    <t xml:space="preserve"> of which broadband</t>
  </si>
  <si>
    <t xml:space="preserve"> of which voice</t>
  </si>
  <si>
    <t>Revs, 2014e</t>
  </si>
  <si>
    <t>EBITDA, 2014e</t>
  </si>
  <si>
    <t>Ps m</t>
  </si>
  <si>
    <t>TV stake in Tenedora Ares</t>
  </si>
  <si>
    <t>Tenedora Ares stake in Cablecom</t>
  </si>
  <si>
    <t>Implied 100% Cablecom</t>
  </si>
  <si>
    <t>2014e EV/EBITDA</t>
  </si>
  <si>
    <t>Option to buy remaining 49% at 9.3 previous 12m EBITDA</t>
  </si>
  <si>
    <t>Existing TV net debt, $</t>
  </si>
  <si>
    <t>(includes debt but no Cablecom EBITDA)</t>
  </si>
  <si>
    <t>Assume Ares moves to 100%</t>
  </si>
  <si>
    <t>@ 9.3x EBITDA</t>
  </si>
  <si>
    <t>FX</t>
  </si>
  <si>
    <t>Cablecom convert, $</t>
  </si>
  <si>
    <t>Existing consol EBITDA</t>
  </si>
  <si>
    <t>Cablecom EBITDA</t>
  </si>
  <si>
    <t>Current debt to EBITDA</t>
  </si>
  <si>
    <t>Cablecom EV</t>
  </si>
  <si>
    <t>Part I</t>
  </si>
  <si>
    <t>Part II</t>
  </si>
  <si>
    <t>Total paid</t>
  </si>
  <si>
    <t>Grupo Hevi</t>
  </si>
  <si>
    <t>, 000s</t>
  </si>
  <si>
    <t>Estimated EBITDA</t>
  </si>
  <si>
    <t>Net debt with 100% Hevi</t>
  </si>
  <si>
    <t>Megacable, $m</t>
  </si>
  <si>
    <t>Price</t>
  </si>
  <si>
    <t>Shares</t>
  </si>
  <si>
    <t>Series A (2 As for each CPO)</t>
  </si>
  <si>
    <t>CPO</t>
  </si>
  <si>
    <t>Market cap, Ps</t>
  </si>
  <si>
    <t>Cap, $</t>
  </si>
  <si>
    <t>Premium</t>
  </si>
  <si>
    <t>Take out price</t>
  </si>
  <si>
    <t>2014e EV</t>
  </si>
  <si>
    <t>Implied 2014e EBITDA</t>
  </si>
  <si>
    <t>New Televisa net debt</t>
  </si>
  <si>
    <t>Today</t>
  </si>
  <si>
    <t>Hevi</t>
  </si>
  <si>
    <t xml:space="preserve">(49% Ares) </t>
  </si>
  <si>
    <t>EV paid</t>
  </si>
  <si>
    <t>Incremental consolidated EBITDA</t>
  </si>
  <si>
    <t>Consolidated EBITDA</t>
  </si>
  <si>
    <t>Televisa 2014 net debt to EBITDA</t>
  </si>
  <si>
    <t>Acquisition of SKY minority</t>
  </si>
  <si>
    <t>2015 EV/EBITDA</t>
  </si>
  <si>
    <t>Fair value equity (100%), US$m</t>
  </si>
  <si>
    <t>Stake</t>
  </si>
  <si>
    <t>Implied 2015 PE</t>
  </si>
  <si>
    <t>Post-tax interest</t>
  </si>
  <si>
    <t>Cumulative</t>
  </si>
  <si>
    <t>New consolidated debt/EBITDA</t>
  </si>
  <si>
    <t>Prop debt/EBITDA</t>
  </si>
  <si>
    <t>40% of post-tax SKY income</t>
  </si>
  <si>
    <t>less interest</t>
  </si>
  <si>
    <t>Uplift to net income</t>
  </si>
  <si>
    <t>% net income</t>
  </si>
  <si>
    <t>Iusacell, MXN m</t>
  </si>
  <si>
    <t>2010e</t>
  </si>
  <si>
    <t>2011e</t>
  </si>
  <si>
    <t>2012a</t>
  </si>
  <si>
    <t>2013a</t>
  </si>
  <si>
    <t xml:space="preserve"> of which inbound</t>
  </si>
  <si>
    <t xml:space="preserve"> as % total</t>
  </si>
  <si>
    <t xml:space="preserve"> of which outbound/handsets</t>
  </si>
  <si>
    <t xml:space="preserve"> of which IC costs</t>
  </si>
  <si>
    <t>as % total opex</t>
  </si>
  <si>
    <t>Net termination</t>
  </si>
  <si>
    <t>Tax (assume zero)</t>
  </si>
  <si>
    <t>Capex (or WC/other cash)</t>
  </si>
  <si>
    <t>C3 vs C7</t>
  </si>
  <si>
    <t>Retrans side remains good</t>
  </si>
  <si>
    <t>CBS over $1bn</t>
  </si>
  <si>
    <t xml:space="preserve">Comcast </t>
  </si>
  <si>
    <t>Changes to numbers (post Q2 15)</t>
  </si>
  <si>
    <t>Corporate</t>
  </si>
  <si>
    <t>Changes</t>
  </si>
  <si>
    <t>Debt exposire</t>
  </si>
  <si>
    <t xml:space="preserve"> of which $</t>
  </si>
  <si>
    <t xml:space="preserve"> of which peso</t>
  </si>
  <si>
    <t xml:space="preserve"> of which peso/other</t>
  </si>
  <si>
    <t>Issuance</t>
  </si>
  <si>
    <t>Jan 2015 pricing</t>
  </si>
  <si>
    <t>MXN</t>
  </si>
  <si>
    <t>Old Telmex</t>
  </si>
  <si>
    <t>New Telmex</t>
  </si>
  <si>
    <t>Local calls</t>
  </si>
  <si>
    <t>unlimited</t>
  </si>
  <si>
    <t>100 (Ps1.55/min)</t>
  </si>
  <si>
    <t>200 (Ps1.55/min)</t>
  </si>
  <si>
    <t>Mobile (44)</t>
  </si>
  <si>
    <t>100 (Ps0.81/min)</t>
  </si>
  <si>
    <t>Mobile (45)</t>
  </si>
  <si>
    <t>Ps2.0/min</t>
  </si>
  <si>
    <t>LD national</t>
  </si>
  <si>
    <t>100 (Ps1.19/min)</t>
  </si>
  <si>
    <t>Ps1.19/min</t>
  </si>
  <si>
    <t>USA</t>
  </si>
  <si>
    <t>200 (Ps1.19/min)</t>
  </si>
  <si>
    <t>Canada, South America</t>
  </si>
  <si>
    <t>Europe</t>
  </si>
  <si>
    <t>Ps9.55/min</t>
  </si>
  <si>
    <t>Speed</t>
  </si>
  <si>
    <t>10 Mbps</t>
  </si>
  <si>
    <t>&lt;3Mbps</t>
  </si>
  <si>
    <t>&lt;5Mbps</t>
  </si>
  <si>
    <t>5-20 Mbps*</t>
  </si>
  <si>
    <t>5 Mbps</t>
  </si>
  <si>
    <t>* customers get max available</t>
  </si>
  <si>
    <t>Time Warner</t>
  </si>
  <si>
    <t>Revs split</t>
  </si>
  <si>
    <t>Turner</t>
  </si>
  <si>
    <t>CNN, TNT, TBS, Adult Swim, Cartoon Network, Boomerang</t>
  </si>
  <si>
    <t>HBO</t>
  </si>
  <si>
    <t>Game of Thrones</t>
  </si>
  <si>
    <t>Warner Bros</t>
  </si>
  <si>
    <t>Disney</t>
  </si>
  <si>
    <t>ESPN (80%)</t>
  </si>
  <si>
    <t>Disney channels</t>
  </si>
  <si>
    <t>ABC Family</t>
  </si>
  <si>
    <t>ABC, broadcast TV</t>
  </si>
  <si>
    <t>Ad driven revs</t>
  </si>
  <si>
    <t>Parks, resorts</t>
  </si>
  <si>
    <t>Discovery</t>
  </si>
  <si>
    <t>disne</t>
  </si>
  <si>
    <t>Megacable acquisition</t>
  </si>
  <si>
    <t>MEGA, MXN m</t>
  </si>
  <si>
    <t>OpEX</t>
  </si>
  <si>
    <t>Bid price</t>
  </si>
  <si>
    <t>Premium to MEGA price</t>
  </si>
  <si>
    <t>MEGA SHOUT</t>
  </si>
  <si>
    <t>MEGA EV at bid</t>
  </si>
  <si>
    <t>Stock</t>
  </si>
  <si>
    <t>Assumed rate</t>
  </si>
  <si>
    <t>Incremental interest</t>
  </si>
  <si>
    <t>New debt</t>
  </si>
  <si>
    <t>NewCo EBITDA</t>
  </si>
  <si>
    <t>NewCo debt/EBITDA</t>
  </si>
  <si>
    <t>EFCF/share today, $</t>
  </si>
  <si>
    <t>New EFCF</t>
  </si>
  <si>
    <t>Stock issue price (ADR)</t>
  </si>
  <si>
    <t>SHOUT issued</t>
  </si>
  <si>
    <t>New SHOUT</t>
  </si>
  <si>
    <t>MEGA stake in TV</t>
  </si>
  <si>
    <t>New EFCF/share, $</t>
  </si>
  <si>
    <t>dilution</t>
  </si>
  <si>
    <t>Synergies, MXN m</t>
  </si>
  <si>
    <t>Televisa cable opex</t>
  </si>
  <si>
    <t>Televisa cable capex</t>
  </si>
  <si>
    <t>Combined (TV + MEGA) opex</t>
  </si>
  <si>
    <t>Combined (TV + MEGA) capex</t>
  </si>
  <si>
    <t>Combined (TV + MEGA) opex/capex</t>
  </si>
  <si>
    <t>% saving</t>
  </si>
  <si>
    <t>Opex/Capex saving</t>
  </si>
  <si>
    <t>After tax saving</t>
  </si>
  <si>
    <t>NPV of synergies, 100%</t>
  </si>
  <si>
    <t>In USD million</t>
  </si>
  <si>
    <t xml:space="preserve">Synergy adjusted bid EV </t>
  </si>
  <si>
    <t>Synergy adj. EV/EBITDA</t>
  </si>
  <si>
    <t>Fair value  of MEGA</t>
  </si>
  <si>
    <t>Value creation, MXN</t>
  </si>
  <si>
    <t>Value creation, $</t>
  </si>
  <si>
    <t>per TV share, $</t>
  </si>
  <si>
    <t>Pro-forma company post-synergies</t>
  </si>
  <si>
    <t>TVI deal</t>
  </si>
  <si>
    <t>Equity for 50%</t>
  </si>
  <si>
    <t>Additional liabilities</t>
  </si>
  <si>
    <t>Existing net debt (est)</t>
  </si>
  <si>
    <t>2015 ebitda (NSR est)</t>
  </si>
  <si>
    <t>net debt to ebitda</t>
  </si>
  <si>
    <t>Pricing analyis</t>
  </si>
  <si>
    <t>VeTV</t>
  </si>
  <si>
    <t>VeTV Plus</t>
  </si>
  <si>
    <t>Basico</t>
  </si>
  <si>
    <t>Fun</t>
  </si>
  <si>
    <t>Fox+</t>
  </si>
  <si>
    <t>HBO Max</t>
  </si>
  <si>
    <t>Universe</t>
  </si>
  <si>
    <t>Netflix</t>
  </si>
  <si>
    <t>Blim</t>
  </si>
  <si>
    <t>Before</t>
  </si>
  <si>
    <t>1st Oct 15</t>
  </si>
  <si>
    <t>Average increase</t>
  </si>
  <si>
    <t>TV bundles</t>
  </si>
  <si>
    <t>Increase of 14-40</t>
  </si>
  <si>
    <t>OpFCF (MXN m)</t>
  </si>
  <si>
    <t>OpFCF as % sales (RHS)</t>
  </si>
  <si>
    <t>Buenos Aires-based consultancy and market research company Business Bureau (BB)</t>
  </si>
  <si>
    <t>ClaroVideo</t>
  </si>
  <si>
    <t>not all paying</t>
  </si>
  <si>
    <t>Network upgrade</t>
  </si>
  <si>
    <t>Growth/CPE</t>
  </si>
  <si>
    <t>Maintenance/other</t>
  </si>
  <si>
    <t>SKY growth</t>
  </si>
  <si>
    <t>SKY maintenance</t>
  </si>
  <si>
    <t>Cable network upgrade</t>
  </si>
  <si>
    <t>Cable CPE/growth</t>
  </si>
  <si>
    <t>Cable maintenance</t>
  </si>
  <si>
    <t xml:space="preserve">New </t>
  </si>
  <si>
    <t>Old</t>
  </si>
  <si>
    <t>How much was pricing up on average (or pricing down)</t>
  </si>
  <si>
    <t>How many customers on VeTV?</t>
  </si>
  <si>
    <t>How do synergies get allocated as regards Cablevision…and why is this asset releasing  financials</t>
  </si>
  <si>
    <t>66% coverage for Izzi - guarantee speeds &gt;10 Mbps. What % need to get to?</t>
  </si>
  <si>
    <t>1000 headcount cut in cable..what % of total, when will benefits feed through</t>
  </si>
  <si>
    <t>MXN350m</t>
  </si>
  <si>
    <t>more headcount to come?</t>
  </si>
  <si>
    <t>Latest thinking on AMX offering TV?</t>
  </si>
  <si>
    <t>Increase in 2017 volumes</t>
  </si>
  <si>
    <t>Rev uplift, MXN</t>
  </si>
  <si>
    <t>% Gp EBITDA</t>
  </si>
  <si>
    <t>Per share, $</t>
  </si>
  <si>
    <t>US$m, NEW</t>
  </si>
  <si>
    <t>Core service revs</t>
  </si>
  <si>
    <t>Original assets*</t>
  </si>
  <si>
    <t xml:space="preserve">Cablevision (50%) </t>
  </si>
  <si>
    <t>TVI (50%)</t>
  </si>
  <si>
    <t>Cablemas (100%)</t>
  </si>
  <si>
    <t>Acquistions</t>
  </si>
  <si>
    <t>100% Cablecom</t>
  </si>
  <si>
    <t>(Q3 2014)</t>
  </si>
  <si>
    <t xml:space="preserve">100% Cablevision Red </t>
  </si>
  <si>
    <t>(1 Jan 2015)</t>
  </si>
  <si>
    <t>50% of TVI</t>
  </si>
  <si>
    <t>(6 March 2016)</t>
  </si>
  <si>
    <t>Capex, %</t>
  </si>
  <si>
    <t>homes passed</t>
  </si>
  <si>
    <t>VTR</t>
  </si>
  <si>
    <t>Com Hem €</t>
  </si>
  <si>
    <t>NOS €</t>
  </si>
  <si>
    <t>LBTY-BEL (Telenet) €</t>
  </si>
  <si>
    <t>LBTY-GER (Unity Media) €</t>
  </si>
  <si>
    <t>LBTY-UK (Virgin Media) €</t>
  </si>
  <si>
    <t>LBTY-ZIGGO €</t>
  </si>
  <si>
    <t>Charter €</t>
  </si>
  <si>
    <t>Comcast €</t>
  </si>
  <si>
    <t>Cablevision €</t>
  </si>
  <si>
    <t>TWC €</t>
  </si>
  <si>
    <t>Parent</t>
  </si>
  <si>
    <t>Asset</t>
  </si>
  <si>
    <t>DTH (SkY)</t>
  </si>
  <si>
    <t>Country</t>
  </si>
  <si>
    <t>Millicom</t>
  </si>
  <si>
    <t>LiLAC</t>
  </si>
  <si>
    <t>Mobile +  cable</t>
  </si>
  <si>
    <t>Cable + mobile</t>
  </si>
  <si>
    <t xml:space="preserve">LatAm </t>
  </si>
  <si>
    <t>Chile/PR</t>
  </si>
  <si>
    <t>Caribbean</t>
  </si>
  <si>
    <t>MEGA core</t>
  </si>
  <si>
    <t>TV vs MEGA</t>
  </si>
  <si>
    <t>RGUs/sub*</t>
  </si>
  <si>
    <t>Q2 revs</t>
  </si>
  <si>
    <t>Rev/RGU</t>
  </si>
  <si>
    <t>Q2 EBITDA</t>
  </si>
  <si>
    <t>Cable revenue growth</t>
  </si>
  <si>
    <t>Univision history</t>
  </si>
  <si>
    <t>Mar 29, 2007</t>
  </si>
  <si>
    <t>Saban, Madison Dearborn, Texas Pacific</t>
  </si>
  <si>
    <t>Previously, TV owned 11.3% equity interest</t>
  </si>
  <si>
    <t>Cancelled when PE bought  the asset. TV's equity stake zero</t>
  </si>
  <si>
    <t>PE</t>
  </si>
  <si>
    <t>Exit</t>
  </si>
  <si>
    <t>Dec 20, 2010</t>
  </si>
  <si>
    <t>Cash investment of $1.255bn in return for 5% equity and convert for 30%</t>
  </si>
  <si>
    <t>5% to 7.1% stake increase, $49.1m</t>
  </si>
  <si>
    <t>7.1% to 8.0% increase, $22.5m</t>
  </si>
  <si>
    <t xml:space="preserve">David Goel: </t>
  </si>
  <si>
    <t>$125m for 5%</t>
  </si>
  <si>
    <t>TV stake diluted down from 8.0% to 7.8%</t>
  </si>
  <si>
    <t>Excercised warrants, taking stake from 7.8% to 10.0%</t>
  </si>
  <si>
    <t>TV paid $135.1</t>
  </si>
  <si>
    <t>Total out</t>
  </si>
  <si>
    <t>PE stake</t>
  </si>
  <si>
    <t>Value needed to PE to be in the money</t>
  </si>
  <si>
    <t>In (2007), US$m</t>
  </si>
  <si>
    <t>Multiple</t>
  </si>
  <si>
    <t>2017 EBITDA</t>
  </si>
  <si>
    <t xml:space="preserve">EV </t>
  </si>
  <si>
    <t>Q3 19 debt</t>
  </si>
  <si>
    <t>PE share</t>
  </si>
  <si>
    <t>PE share of</t>
  </si>
  <si>
    <t>Cash flows</t>
  </si>
  <si>
    <t>FCF/acquisition</t>
  </si>
  <si>
    <t>Exits</t>
  </si>
  <si>
    <t>IRR</t>
  </si>
  <si>
    <t>Out</t>
  </si>
  <si>
    <t>In</t>
  </si>
  <si>
    <t>Description of Debt</t>
  </si>
  <si>
    <t>December 31,</t>
  </si>
  <si>
    <t>Interest Rate(2)</t>
  </si>
  <si>
    <t>Denomination</t>
  </si>
  <si>
    <t>Maturity of Debt</t>
  </si>
  <si>
    <t>2015 Actual</t>
  </si>
  <si>
    <t>6% Senior Notes(2)</t>
  </si>
  <si>
    <t>Ps.</t>
  </si>
  <si>
    <t>U.S. Dollars</t>
  </si>
  <si>
    <t>8.5% Senior Notes(2)</t>
  </si>
  <si>
    <t>6.625% Senior Notes(2)</t>
  </si>
  <si>
    <t>8.49% Senior Notes(2)</t>
  </si>
  <si>
    <t>Pesos</t>
  </si>
  <si>
    <t>7.25% Senior Notes(2)</t>
  </si>
  <si>
    <t>5.000% Senior Notes (2)</t>
  </si>
  <si>
    <t>4.625% Senior Notes (2)</t>
  </si>
  <si>
    <t>6.125% Senior Notes (2)</t>
  </si>
  <si>
    <t>7.38% Notes(3)</t>
  </si>
  <si>
    <t>TIIE+ 0.35% Notes (3)</t>
  </si>
  <si>
    <t>Santander loan (4)</t>
  </si>
  <si>
    <t>HSBC loan(4)</t>
  </si>
  <si>
    <t>Santander loan (5)</t>
  </si>
  <si>
    <t>Banco Mercantil del Norte loan (“Banorte”) (5)</t>
  </si>
  <si>
    <t>HSBC loan (5)</t>
  </si>
  <si>
    <t>Other debt (5)</t>
  </si>
  <si>
    <t>Total debt</t>
  </si>
  <si>
    <t>16.9 years</t>
  </si>
  <si>
    <t>Less: Current maturities of long-term debt</t>
  </si>
  <si>
    <t>Total long-term debt</t>
  </si>
  <si>
    <t>Finance lease obligations:</t>
  </si>
  <si>
    <t>Satellite transponder lease obligations (7)</t>
  </si>
  <si>
    <t>Other (8)</t>
  </si>
  <si>
    <t>Various</t>
  </si>
  <si>
    <t>2016 to 2022</t>
  </si>
  <si>
    <t>Total finance lease obligations</t>
  </si>
  <si>
    <t>Less: Current portion</t>
  </si>
  <si>
    <t>Finance lease obligations, net of current portion</t>
  </si>
  <si>
    <t>US dollar denominated debt</t>
  </si>
  <si>
    <t>Changes to estimates (Nov 16)</t>
  </si>
  <si>
    <t>NEW, MXN m</t>
  </si>
  <si>
    <t>CHANGE</t>
  </si>
  <si>
    <t>Dom Ad</t>
  </si>
  <si>
    <t>Other Content</t>
  </si>
  <si>
    <t xml:space="preserve">Other </t>
  </si>
  <si>
    <t>OPFCF</t>
  </si>
  <si>
    <t>FX sensitivity</t>
  </si>
  <si>
    <t xml:space="preserve"> - of which Uni</t>
  </si>
  <si>
    <t xml:space="preserve"> - of which other</t>
  </si>
  <si>
    <t xml:space="preserve"> - of which USD content</t>
  </si>
  <si>
    <t xml:space="preserve"> - of which USD </t>
  </si>
  <si>
    <t>Peso exposure for equity</t>
  </si>
  <si>
    <t>Now</t>
  </si>
  <si>
    <t>USD/peso</t>
  </si>
  <si>
    <t>USD strength vs MXN</t>
  </si>
  <si>
    <t>Comments</t>
  </si>
  <si>
    <t>2018 EBITDA, MXN</t>
  </si>
  <si>
    <t>USD opex  (content, other) = USD revs (royalties, other)</t>
  </si>
  <si>
    <t>2018 capex, MXN</t>
  </si>
  <si>
    <t>Over 50% of capex is USD denominated. However,</t>
  </si>
  <si>
    <t>assumed USD capex exposure</t>
  </si>
  <si>
    <t>FX hit will be shared with vendors, renegotiated</t>
  </si>
  <si>
    <t>2018 OpFCF</t>
  </si>
  <si>
    <t>OpFCF cut by capex increase</t>
  </si>
  <si>
    <t>EV/OpFCF ex-Univision</t>
  </si>
  <si>
    <t>Assume same multiple on business, ex-Uni</t>
  </si>
  <si>
    <t>EV ex Univision</t>
  </si>
  <si>
    <t>Univision (36% equity/convert)</t>
  </si>
  <si>
    <t>Univision revalued in MXN terms</t>
  </si>
  <si>
    <t>EV, MXN</t>
  </si>
  <si>
    <t>Limited impact on MXN EV</t>
  </si>
  <si>
    <t>Debt, MXN</t>
  </si>
  <si>
    <t xml:space="preserve"> of which US denominated</t>
  </si>
  <si>
    <t>65% is USD denominated. Limited hedging in place</t>
  </si>
  <si>
    <t xml:space="preserve"> of which MXN denominated</t>
  </si>
  <si>
    <t>Equity, MXN</t>
  </si>
  <si>
    <t>MXN equity has a modest impact</t>
  </si>
  <si>
    <t>Equity, USD (spot translation)</t>
  </si>
  <si>
    <t>per ADR</t>
  </si>
  <si>
    <t>Main driver to ADR cut is MXN spot translation</t>
  </si>
  <si>
    <t>SKY TV breakdown</t>
  </si>
  <si>
    <t>Average subs</t>
  </si>
  <si>
    <t>ARPU ex VAT</t>
  </si>
  <si>
    <t>2016e revenue</t>
  </si>
  <si>
    <t xml:space="preserve"> - of which VeTV/pre-pay</t>
  </si>
  <si>
    <t xml:space="preserve"> - of which Other</t>
  </si>
  <si>
    <t xml:space="preserve">Total </t>
  </si>
  <si>
    <t>Average income</t>
  </si>
  <si>
    <t>Upper class</t>
  </si>
  <si>
    <t>Middle class</t>
  </si>
  <si>
    <t>Lower class</t>
  </si>
  <si>
    <t>Total HH</t>
  </si>
  <si>
    <t>Upfronts/ Ad spend</t>
  </si>
  <si>
    <t>Deposits</t>
  </si>
  <si>
    <t>TV Broadcasting/Advertising</t>
  </si>
  <si>
    <t>Upfront Deposits For Television Advertising</t>
  </si>
  <si>
    <t>Source for Upfront deposits growth</t>
  </si>
  <si>
    <t>Ad</t>
  </si>
  <si>
    <t>Upfronts</t>
  </si>
  <si>
    <t>Spot</t>
  </si>
  <si>
    <t>PR 4Q'01</t>
  </si>
  <si>
    <t>PR 4Q'02</t>
  </si>
  <si>
    <t>PR 4Q'03</t>
  </si>
  <si>
    <t>PR 4Q'04</t>
  </si>
  <si>
    <t>PR 4Q'05</t>
  </si>
  <si>
    <t>PR 4Q'06</t>
  </si>
  <si>
    <t>PR 4Q'07</t>
  </si>
  <si>
    <t>PR 4Q'08</t>
  </si>
  <si>
    <t>PR 4Q'09</t>
  </si>
  <si>
    <t>2010 20-F</t>
  </si>
  <si>
    <t>2011 20-F</t>
  </si>
  <si>
    <t>2012 20-F</t>
  </si>
  <si>
    <t>2013 20-F</t>
  </si>
  <si>
    <t>2014 20-F</t>
  </si>
  <si>
    <t>Estimate</t>
  </si>
  <si>
    <t>2017 guidance</t>
  </si>
  <si>
    <t>NEW (March 17, after trip)</t>
  </si>
  <si>
    <t>Revenue, MXN m</t>
  </si>
  <si>
    <t>Total Content</t>
  </si>
  <si>
    <t>Group revenue</t>
  </si>
  <si>
    <t>Group EBITDA</t>
  </si>
  <si>
    <t>New Capex</t>
  </si>
  <si>
    <t>New OpFCF</t>
  </si>
  <si>
    <t>Originally</t>
  </si>
  <si>
    <t>receives</t>
  </si>
  <si>
    <t>pays</t>
  </si>
  <si>
    <t>FTA</t>
  </si>
  <si>
    <t>share</t>
  </si>
  <si>
    <t>Pay TV</t>
  </si>
  <si>
    <t>Azteca</t>
  </si>
  <si>
    <t>MEGA/other</t>
  </si>
  <si>
    <t>TV  revs</t>
  </si>
  <si>
    <t>TV  cost</t>
  </si>
  <si>
    <t>TV  EBITDA</t>
  </si>
  <si>
    <t>Must offer/carry (TV FTA can't charge)</t>
  </si>
  <si>
    <t>Pay TV dominance (TV pay TV has to pay for FTA)</t>
  </si>
  <si>
    <t>SKY UK comparisons</t>
  </si>
  <si>
    <t>Launched in 2006/07 following Easy Jet acquisition</t>
  </si>
  <si>
    <t>US - UNEP</t>
  </si>
  <si>
    <t>VZ and AT&amp;T said we can't offer BB as our lines are too long</t>
  </si>
  <si>
    <t>If you cancel it, we'll build fibre</t>
  </si>
  <si>
    <t>AT&amp;T not much fibre, some to the cabinet. Promised FTTH as remedy for Direct TV</t>
  </si>
  <si>
    <t>VZ sold off a lot of fixed, built fibre to one third</t>
  </si>
  <si>
    <t>EUR/month</t>
  </si>
  <si>
    <t>FULL</t>
  </si>
  <si>
    <t>Dual-play ARPU</t>
  </si>
  <si>
    <t>Return on ULL</t>
  </si>
  <si>
    <t>Belgium</t>
  </si>
  <si>
    <t>Sweden</t>
  </si>
  <si>
    <t>Mexico (EUR)</t>
  </si>
  <si>
    <t>Mexico (MXN)</t>
  </si>
  <si>
    <t>Greece</t>
  </si>
  <si>
    <t>Spain</t>
  </si>
  <si>
    <t>UK</t>
  </si>
  <si>
    <t>Austria</t>
  </si>
  <si>
    <t>Italy</t>
  </si>
  <si>
    <t>Germany</t>
  </si>
  <si>
    <t>France</t>
  </si>
  <si>
    <t>Population coverage</t>
  </si>
  <si>
    <t>&gt;3 Mbps</t>
  </si>
  <si>
    <t>c.10 Mbps</t>
  </si>
  <si>
    <t>&gt;10 Mbps</t>
  </si>
  <si>
    <t>1 GHz</t>
  </si>
  <si>
    <t>870 MHz</t>
  </si>
  <si>
    <t>750 MHz</t>
  </si>
  <si>
    <t>550 MHz</t>
  </si>
  <si>
    <t>Gpon</t>
  </si>
  <si>
    <t>&lt; 870 MHz</t>
  </si>
  <si>
    <t>a</t>
  </si>
  <si>
    <t>UK Broadband model</t>
  </si>
  <si>
    <t>Partial ULL (SMPF)</t>
  </si>
  <si>
    <t>Full ULL (MPF)</t>
  </si>
  <si>
    <t>Bitstream</t>
  </si>
  <si>
    <t>BT Retail</t>
  </si>
  <si>
    <t>Market broadband</t>
  </si>
  <si>
    <t>UK homes (000s)</t>
  </si>
  <si>
    <t>UK business sites (000s)</t>
  </si>
  <si>
    <t>UK Telco sites</t>
  </si>
  <si>
    <t>DSL based connections</t>
  </si>
  <si>
    <t>Cable (updated 14 may 2010)</t>
  </si>
  <si>
    <t>Total UK Broadband accesses</t>
  </si>
  <si>
    <t>Business site penetration</t>
  </si>
  <si>
    <t>Business connections</t>
  </si>
  <si>
    <t>Residential connections</t>
  </si>
  <si>
    <t>DSL share of broadband</t>
  </si>
  <si>
    <t>BT Retail connections</t>
  </si>
  <si>
    <t>Wholesale connections</t>
  </si>
  <si>
    <t>Market broadband model</t>
  </si>
  <si>
    <t>BT Retail DSL connections (ex-EE)</t>
  </si>
  <si>
    <t>Full ULL connections (MPF)</t>
  </si>
  <si>
    <t>Partial ULL connections (SMPF)</t>
  </si>
  <si>
    <t>Total LLU connections</t>
  </si>
  <si>
    <t>Bitstream DSL connections</t>
  </si>
  <si>
    <t>DSL-based broadband connections</t>
  </si>
  <si>
    <t>Virgin Media broadband subs</t>
  </si>
  <si>
    <t>Total broadband market</t>
  </si>
  <si>
    <t>as % of channels</t>
  </si>
  <si>
    <t>Cable as % of broadband net adds</t>
  </si>
  <si>
    <t>As % of DSL net adds</t>
  </si>
  <si>
    <t>Full ULL</t>
  </si>
  <si>
    <t>Partial ULL</t>
  </si>
  <si>
    <t>Broadband market share</t>
  </si>
  <si>
    <t>BT broadband as % of BT lines</t>
  </si>
  <si>
    <t>BT market share gain</t>
  </si>
  <si>
    <t>Residential households</t>
  </si>
  <si>
    <t>Business sites</t>
  </si>
  <si>
    <t>UK telecoms sites</t>
  </si>
  <si>
    <t>Penetration added</t>
  </si>
  <si>
    <t>FT</t>
  </si>
  <si>
    <t>Iliad</t>
  </si>
  <si>
    <t>Other, inc cable</t>
  </si>
  <si>
    <t>ULL</t>
  </si>
  <si>
    <t>Wholesale/bitstream</t>
  </si>
  <si>
    <t>TV Ad spend</t>
  </si>
  <si>
    <t>GDP</t>
  </si>
  <si>
    <t>as %</t>
  </si>
  <si>
    <t>TV spend, 2013</t>
  </si>
  <si>
    <t xml:space="preserve">USD </t>
  </si>
  <si>
    <t>in MXN</t>
  </si>
  <si>
    <t>check</t>
  </si>
  <si>
    <t>2013 - 60% of all Ad spend in Mexico is on TV</t>
  </si>
  <si>
    <t>Ad spend, 2017e</t>
  </si>
  <si>
    <t>USD estimate for 2017 from statista.com</t>
  </si>
  <si>
    <t>GDP, MXN m</t>
  </si>
  <si>
    <t>As spend as % GDP</t>
  </si>
  <si>
    <t>TV spend as % GDP over time</t>
  </si>
  <si>
    <t>Australia</t>
  </si>
  <si>
    <t>Japan</t>
  </si>
  <si>
    <t>Brazil</t>
  </si>
  <si>
    <t>Canada</t>
  </si>
  <si>
    <t>China</t>
  </si>
  <si>
    <t>India</t>
  </si>
  <si>
    <t>WARC</t>
  </si>
  <si>
    <t>12 top markets</t>
  </si>
  <si>
    <t>tv</t>
  </si>
  <si>
    <t>other digital</t>
  </si>
  <si>
    <t>non digital</t>
  </si>
  <si>
    <t>total</t>
  </si>
  <si>
    <t>Charter</t>
  </si>
  <si>
    <t xml:space="preserve">Disney </t>
  </si>
  <si>
    <t>CBS</t>
  </si>
  <si>
    <t>Changes to estimates - Jun-19</t>
  </si>
  <si>
    <t>OLD, MXN m</t>
  </si>
  <si>
    <t>Change as % group</t>
  </si>
  <si>
    <t>Cable as % group</t>
  </si>
  <si>
    <t>FTA TV</t>
  </si>
  <si>
    <t>Radio</t>
  </si>
  <si>
    <t>Press</t>
  </si>
  <si>
    <t>Journals</t>
  </si>
  <si>
    <t>Outdoor ads</t>
  </si>
  <si>
    <t>Cinema</t>
  </si>
  <si>
    <t>Content costs - new</t>
  </si>
  <si>
    <t>Content costs - old</t>
  </si>
  <si>
    <t>Q4 18e</t>
  </si>
  <si>
    <t>Net Subsc</t>
  </si>
  <si>
    <t>Lic, syndication</t>
  </si>
  <si>
    <t>y/y (clean for WC digital)</t>
  </si>
  <si>
    <t>Govt Ad spend to hit Q4 and take ~3% off 2019 revenue</t>
  </si>
  <si>
    <t>Price rises annualised from Q4 18</t>
  </si>
  <si>
    <t>One off Q4 17 library sales offsets last Q of UNI hike</t>
  </si>
  <si>
    <t>$110m extra FY content largely spent by Q3 18</t>
  </si>
  <si>
    <t>Forecasts, US$m</t>
  </si>
  <si>
    <t>EFCF/Share</t>
  </si>
  <si>
    <t>Multiples</t>
  </si>
  <si>
    <t>Div Yield</t>
  </si>
  <si>
    <t xml:space="preserve"> 80/20 mix</t>
  </si>
  <si>
    <t>Index = 2016</t>
  </si>
  <si>
    <t>Scatter</t>
  </si>
  <si>
    <t>2018 growth in Ad</t>
  </si>
  <si>
    <t>Additional 2018 Ad revs, MXN m</t>
  </si>
  <si>
    <t>Change vs NSR</t>
  </si>
  <si>
    <t>as % Content EBITDA</t>
  </si>
  <si>
    <t>as % Group EBITDA</t>
  </si>
  <si>
    <t>Cable RGUs</t>
  </si>
  <si>
    <t>Template</t>
  </si>
  <si>
    <t xml:space="preserve">Izzy </t>
  </si>
  <si>
    <t>Ad growth</t>
  </si>
  <si>
    <t xml:space="preserve">Underlying </t>
  </si>
  <si>
    <t>Political Ad impact</t>
  </si>
  <si>
    <t>Q3 18e</t>
  </si>
  <si>
    <t>LBTY Global</t>
  </si>
  <si>
    <t>Wireless SIMs as % base</t>
  </si>
  <si>
    <t>Switz</t>
  </si>
  <si>
    <t>Ireland</t>
  </si>
  <si>
    <t>Hungary</t>
  </si>
  <si>
    <t>Revenue (MXN m)</t>
  </si>
  <si>
    <t>Inorganic</t>
  </si>
  <si>
    <t>Ookla Speed Score</t>
  </si>
  <si>
    <t>Trimean*</t>
  </si>
  <si>
    <t>90th pc</t>
  </si>
  <si>
    <t>50th pc</t>
  </si>
  <si>
    <t>10th pc</t>
  </si>
  <si>
    <t>TotalPlay</t>
  </si>
  <si>
    <t>Izzi (Televisa)</t>
  </si>
  <si>
    <t>Retail cable</t>
  </si>
  <si>
    <t>Fixed wholesale</t>
  </si>
  <si>
    <t>UNI royalties</t>
  </si>
  <si>
    <t>Clean UNI</t>
  </si>
  <si>
    <t>Buy-in UNI</t>
  </si>
  <si>
    <t>PE stake (non TV) stake</t>
  </si>
  <si>
    <t>Stake acquired, USD</t>
  </si>
  <si>
    <t>Stake acquired, MXN</t>
  </si>
  <si>
    <t>Cumulative interest</t>
  </si>
  <si>
    <t>Televisa, MXN m</t>
  </si>
  <si>
    <t xml:space="preserve">Televisa </t>
  </si>
  <si>
    <t>NewCo</t>
  </si>
  <si>
    <t>UNI, MXN m</t>
  </si>
  <si>
    <t>Proportionate revenue, USD m</t>
  </si>
  <si>
    <t>UNI royalties (16.5% of UNI revs)</t>
  </si>
  <si>
    <t>Sky (58.7%)</t>
  </si>
  <si>
    <t>Cable and Telecom (blended 84%)</t>
  </si>
  <si>
    <t>Prop EBITDA, USD m</t>
  </si>
  <si>
    <t>Prop capex, USD m</t>
  </si>
  <si>
    <t>Content / other</t>
  </si>
  <si>
    <t>Prop OpFCF, USD m</t>
  </si>
  <si>
    <t>Fixed pricing</t>
  </si>
  <si>
    <t>Mbps</t>
  </si>
  <si>
    <t>Headline</t>
  </si>
  <si>
    <t>Promo</t>
  </si>
  <si>
    <t>12m</t>
  </si>
  <si>
    <t>Notes</t>
  </si>
  <si>
    <t>Naked broadband</t>
  </si>
  <si>
    <t>Dual-play (Voice, BB)</t>
  </si>
  <si>
    <t>Claro Video, 3m promo</t>
  </si>
  <si>
    <t>Prompt payment promo</t>
  </si>
  <si>
    <t>promo based on early payment, 6m stay</t>
  </si>
  <si>
    <t>TV  offering</t>
  </si>
  <si>
    <t>3-play (Voice, BB, TV)</t>
  </si>
  <si>
    <t>Telmex + DISH Basico</t>
  </si>
  <si>
    <t>Telmex + DISH Basico Mas</t>
  </si>
  <si>
    <t>Conecta, Conecta HD (142 channels), XVIEW Conecta</t>
  </si>
  <si>
    <t>Basico (228 channels), XVIEW</t>
  </si>
  <si>
    <t>MEGA TOTAL XVIEW + HBO + FOX</t>
  </si>
  <si>
    <t>60 channels</t>
  </si>
  <si>
    <t>Prices to move up 4-5% from 1st September 2019</t>
  </si>
  <si>
    <t>200 channels</t>
  </si>
  <si>
    <t>Izzy Unlimited 1 (inc Netflix)</t>
  </si>
  <si>
    <t>Izzy TV (60 channels) + Netflix x1 sub</t>
  </si>
  <si>
    <t>Izzy Unlimited 2</t>
  </si>
  <si>
    <t>Izzy TV (60 channels) + Netflix x2 sub</t>
  </si>
  <si>
    <t>Izzy Unlimited 3</t>
  </si>
  <si>
    <t>Izzy TV (200 channels) + Netflix x2 sub</t>
  </si>
  <si>
    <t>Izzy Unlimited 4</t>
  </si>
  <si>
    <t>Izzy TV (200 channels) + Netflix x4 sub</t>
  </si>
  <si>
    <t>80 channels, 21 HD</t>
  </si>
  <si>
    <t>promo based on early payment</t>
  </si>
  <si>
    <t>* Data originally taken from:</t>
  </si>
  <si>
    <t>Izzy (TV)</t>
  </si>
  <si>
    <t>* Updated Sept 20 2019</t>
  </si>
  <si>
    <t>Prices to move up 1st September 2019</t>
  </si>
  <si>
    <t>Price up MXN20 since then on 40 Mbps and 80 Mbps offers</t>
  </si>
  <si>
    <t xml:space="preserve">DTH / wireless </t>
  </si>
  <si>
    <t>Internet only</t>
  </si>
  <si>
    <t>DISH</t>
  </si>
  <si>
    <t>Blue Telecom</t>
  </si>
  <si>
    <t>MXN849 up front for router</t>
  </si>
  <si>
    <t>TV only</t>
  </si>
  <si>
    <t>DISH Mexico Basico</t>
  </si>
  <si>
    <t>57 channels</t>
  </si>
  <si>
    <t>DISH Mexico Basico Mas</t>
  </si>
  <si>
    <t>74 channels</t>
  </si>
  <si>
    <t>DISH HD</t>
  </si>
  <si>
    <t>424-482</t>
  </si>
  <si>
    <t>103 channels</t>
  </si>
  <si>
    <t>All Access</t>
  </si>
  <si>
    <t>94 channels</t>
  </si>
  <si>
    <t>TV/Internet</t>
  </si>
  <si>
    <t>DISH Basico</t>
  </si>
  <si>
    <t>SKY HD Gold</t>
  </si>
  <si>
    <t>111 channels</t>
  </si>
  <si>
    <t>SKY HD Platinum</t>
  </si>
  <si>
    <t>137 channels</t>
  </si>
  <si>
    <t>SKY HD Black</t>
  </si>
  <si>
    <t>160 channels</t>
  </si>
  <si>
    <t>LBTY bid for TV</t>
  </si>
  <si>
    <t>Equity raise price</t>
  </si>
  <si>
    <t>Amount to raise, USD</t>
  </si>
  <si>
    <t>SHOUT</t>
  </si>
  <si>
    <t>as % TV SHOUT</t>
  </si>
  <si>
    <t>SHOUT analysis</t>
  </si>
  <si>
    <t>Common</t>
  </si>
  <si>
    <t>CPO equivs</t>
  </si>
  <si>
    <t xml:space="preserve">Azcarraga </t>
  </si>
  <si>
    <t>Class</t>
  </si>
  <si>
    <t>Status</t>
  </si>
  <si>
    <t>OUT</t>
  </si>
  <si>
    <t>Treasury</t>
  </si>
  <si>
    <t>GDS OUT</t>
  </si>
  <si>
    <t>Full voting</t>
  </si>
  <si>
    <t>D (div pref)</t>
  </si>
  <si>
    <t>Vote 2 Board</t>
  </si>
  <si>
    <t>Part voting</t>
  </si>
  <si>
    <t>No of CPOs</t>
  </si>
  <si>
    <t>No  OUT</t>
  </si>
  <si>
    <t xml:space="preserve">Total not </t>
  </si>
  <si>
    <t>1 CPO  rep</t>
  </si>
  <si>
    <t>in CPOs</t>
  </si>
  <si>
    <t>in CPO</t>
  </si>
  <si>
    <t>Azcarraga Series A represent most of the shares not held in CPO</t>
  </si>
  <si>
    <t>Non-Mexican CPO holders cannot vote underlying shares</t>
  </si>
  <si>
    <t>Azcarraga appoints 11 of 20 board members</t>
  </si>
  <si>
    <t>Can prevent majority of corporate activity</t>
  </si>
  <si>
    <t>GDS</t>
  </si>
  <si>
    <t>Total, million</t>
  </si>
  <si>
    <t>Held at US address, million (can't vote)</t>
  </si>
  <si>
    <t>C</t>
  </si>
  <si>
    <t>US address in CPO, million</t>
  </si>
  <si>
    <t>US address in SHOUT, million</t>
  </si>
  <si>
    <t>as % total Series A</t>
  </si>
  <si>
    <t>Max voting shares (total ex-US)</t>
  </si>
  <si>
    <t>Azcarraga Series A as % voting</t>
  </si>
  <si>
    <t>Azcarraga Series A + B as % voting</t>
  </si>
  <si>
    <t>Equity raise</t>
  </si>
  <si>
    <t>Target as % total SHOUT (ex Treasury)</t>
  </si>
  <si>
    <t>No of GDS equivalent</t>
  </si>
  <si>
    <t>Equity raise, US$ bn</t>
  </si>
  <si>
    <t>No of CPO equivalent</t>
  </si>
  <si>
    <t>Shares to be issued</t>
  </si>
  <si>
    <t>Total SHOUT</t>
  </si>
  <si>
    <t>US addess in SHOUT</t>
  </si>
  <si>
    <t>Max voting shares</t>
  </si>
  <si>
    <t>New issue</t>
  </si>
  <si>
    <t>Capex split</t>
  </si>
  <si>
    <t>Construction/upgrades</t>
  </si>
  <si>
    <t>CPE</t>
  </si>
  <si>
    <t>Data network</t>
  </si>
  <si>
    <t>Other, special projects</t>
  </si>
  <si>
    <t>Corporate segment</t>
  </si>
  <si>
    <t>Transport, GTAC</t>
  </si>
  <si>
    <t>CTC, tooling, IT</t>
  </si>
  <si>
    <t>Capex, 2019e (MXN m)</t>
  </si>
  <si>
    <t>CPE/sub, MXN</t>
  </si>
  <si>
    <t>CPE/sub, US$</t>
  </si>
  <si>
    <t xml:space="preserve">MEGA </t>
  </si>
  <si>
    <t>Telenet - Belgium</t>
  </si>
  <si>
    <t>UPC - Switz</t>
  </si>
  <si>
    <t>Altice US</t>
  </si>
  <si>
    <t>LCPR - Puerto Rico</t>
  </si>
  <si>
    <t>Charter - US</t>
  </si>
  <si>
    <t>VTR - Chile</t>
  </si>
  <si>
    <t>NOS - Portugal</t>
  </si>
  <si>
    <t>EFCF, MXN m</t>
  </si>
  <si>
    <t>Target, MXN</t>
  </si>
  <si>
    <t>MEGA Base EFCF</t>
  </si>
  <si>
    <t>MEGA EFCF flat capex / sales</t>
  </si>
  <si>
    <t>%  cut</t>
  </si>
  <si>
    <t>Televisa Base EFCF</t>
  </si>
  <si>
    <t xml:space="preserve">Televisa EFCF Flat Izzy Capex </t>
  </si>
  <si>
    <t>Izzy Base OpFCF</t>
  </si>
  <si>
    <t>Izzy OpFCF flat capex</t>
  </si>
  <si>
    <t>Liquidity schedule</t>
  </si>
  <si>
    <t>US$ m</t>
  </si>
  <si>
    <t>UNI equity</t>
  </si>
  <si>
    <t>Total prop EV</t>
  </si>
  <si>
    <t>Less 2020e net debt</t>
  </si>
  <si>
    <t>Other liability</t>
  </si>
  <si>
    <t>Current price (US$ GDS)</t>
  </si>
  <si>
    <t>2019</t>
  </si>
  <si>
    <t>2020</t>
  </si>
  <si>
    <t>2021</t>
  </si>
  <si>
    <t>2022</t>
  </si>
  <si>
    <t>2023</t>
  </si>
  <si>
    <t>2024</t>
  </si>
  <si>
    <t>2025</t>
  </si>
  <si>
    <t>2026</t>
  </si>
  <si>
    <t>2027</t>
  </si>
  <si>
    <t>..</t>
  </si>
  <si>
    <t>2032</t>
  </si>
  <si>
    <t>Media Comps</t>
  </si>
  <si>
    <t>EBITA margin</t>
  </si>
  <si>
    <t>Organic growth</t>
  </si>
  <si>
    <t>Atresmedia</t>
  </si>
  <si>
    <t>ITV</t>
  </si>
  <si>
    <t>French</t>
  </si>
  <si>
    <t>M6</t>
  </si>
  <si>
    <t>Germany, Austria, Switz</t>
  </si>
  <si>
    <t>ProSieben</t>
  </si>
  <si>
    <t>RTL</t>
  </si>
  <si>
    <t>TF1</t>
  </si>
  <si>
    <t>Entertainment One</t>
  </si>
  <si>
    <t>Vivendi</t>
  </si>
  <si>
    <t>EOne (@ Hasbro bid)</t>
  </si>
  <si>
    <t>TV implied Content</t>
  </si>
  <si>
    <t>Other intangibles</t>
  </si>
  <si>
    <t>Total intangible acquisitions</t>
  </si>
  <si>
    <t>PPE / sales</t>
  </si>
  <si>
    <t>In October 2008, we entered into license agreements to distribute Telemundo’s original content through digital and wireless platforms in Mexico.  As part of the agreements, Telemundo provides us with original content, including its highly popular telenovelas currently broadcast on our Channel 9, on all of our digital platforms. The agreements complement and are part of the strategic alliance to distribute Telemundo’s original content in Mexico across multiple platforms, including broadcast television, pay-TV and emerging digital platforms.</t>
  </si>
  <si>
    <t>Mexican BB (IFT - Jun-19)</t>
  </si>
  <si>
    <t>&lt;2</t>
  </si>
  <si>
    <t>10-100</t>
  </si>
  <si>
    <t>&gt;100</t>
  </si>
  <si>
    <t>Coax</t>
  </si>
  <si>
    <t>DSL</t>
  </si>
  <si>
    <t>Fibre</t>
  </si>
  <si>
    <t>of which Totalplay</t>
  </si>
  <si>
    <t>implied Telmex/other</t>
  </si>
  <si>
    <t>Total Telmex</t>
  </si>
  <si>
    <t>Changes of estimates (post Corona, post Q1)</t>
  </si>
  <si>
    <t>Liquidity analysis</t>
  </si>
  <si>
    <t>&gt;2029</t>
  </si>
  <si>
    <t>Cash/other</t>
  </si>
  <si>
    <t>Mar-24th</t>
  </si>
  <si>
    <t>AMX</t>
  </si>
  <si>
    <t>20 vs 19</t>
  </si>
  <si>
    <t>Chile</t>
  </si>
  <si>
    <t>Peru</t>
  </si>
  <si>
    <t>Colombia</t>
  </si>
  <si>
    <t>Thailand</t>
  </si>
  <si>
    <t>Nigeria</t>
  </si>
  <si>
    <t>Sub-Saharan Africa</t>
  </si>
  <si>
    <t>Indonesia</t>
  </si>
  <si>
    <t>Malaysia</t>
  </si>
  <si>
    <t>Tourism dep Carib</t>
  </si>
  <si>
    <t>Comm exps Carib</t>
  </si>
  <si>
    <t>Bolivia</t>
  </si>
  <si>
    <t>Costa Rica</t>
  </si>
  <si>
    <t>Ecuador</t>
  </si>
  <si>
    <t>Guatemala</t>
  </si>
  <si>
    <t>Honduras</t>
  </si>
  <si>
    <t>Panama</t>
  </si>
  <si>
    <t>Paraguay</t>
  </si>
  <si>
    <t>Nicaragua</t>
  </si>
  <si>
    <t>El Salvador</t>
  </si>
  <si>
    <t>Philippines</t>
  </si>
  <si>
    <t>Sub-Sah Africa</t>
  </si>
  <si>
    <t>Ad revs</t>
  </si>
  <si>
    <t>UNI deal</t>
  </si>
  <si>
    <t>Cash in for UNI</t>
  </si>
  <si>
    <t>Mult</t>
  </si>
  <si>
    <t>45% Content</t>
  </si>
  <si>
    <t>45% UNI</t>
  </si>
  <si>
    <t>TV stake</t>
  </si>
  <si>
    <t>Stake after $1bn</t>
  </si>
  <si>
    <t>Dilution</t>
  </si>
  <si>
    <t>Searchlight</t>
  </si>
  <si>
    <t>Mexico Content 2020</t>
  </si>
  <si>
    <t>UNIVISION 2020</t>
  </si>
  <si>
    <t>less royalties (2020)</t>
  </si>
  <si>
    <t>TV-UNI guide (2021 pf)</t>
  </si>
  <si>
    <t>earnings</t>
  </si>
  <si>
    <t>Content revs as % group</t>
  </si>
  <si>
    <t>Televisa post UNI</t>
  </si>
  <si>
    <t>Base interest</t>
  </si>
  <si>
    <t>After-tax interest on cash</t>
  </si>
  <si>
    <t>JV  EFCF</t>
  </si>
  <si>
    <t>Cons net debt</t>
  </si>
  <si>
    <t>Cash from UNI</t>
  </si>
  <si>
    <t>Pro-forma</t>
  </si>
  <si>
    <t>US streaming market</t>
  </si>
  <si>
    <t>Users</t>
  </si>
  <si>
    <t>Amazon Prime</t>
  </si>
  <si>
    <t>Disney +</t>
  </si>
  <si>
    <t>Apple TV+</t>
  </si>
  <si>
    <t>Hulu</t>
  </si>
  <si>
    <t>NBC Universal Peacock</t>
  </si>
  <si>
    <t>You Tube premium</t>
  </si>
  <si>
    <t>ESPN +</t>
  </si>
  <si>
    <t>CBS All Access</t>
  </si>
  <si>
    <t>Britbox</t>
  </si>
  <si>
    <t>21-26</t>
  </si>
  <si>
    <t>Telmex FTTH</t>
  </si>
  <si>
    <t>Telmex DSL</t>
  </si>
  <si>
    <t>Penetration of HPs</t>
  </si>
  <si>
    <t>Telmex (DSL/FTTH)</t>
  </si>
  <si>
    <t>Broadband adds</t>
  </si>
  <si>
    <t>Homes passed per household</t>
  </si>
  <si>
    <t>Penetration forecasts</t>
  </si>
  <si>
    <t>Subs / MAUs, millions</t>
  </si>
  <si>
    <t>Total subs</t>
  </si>
  <si>
    <t>TAM (POPs)</t>
  </si>
  <si>
    <t>TAM (HH)</t>
  </si>
  <si>
    <t>Subs/MAUs as % TAM</t>
  </si>
  <si>
    <t>ARPU, USD</t>
  </si>
  <si>
    <t>UNI quarterlies</t>
  </si>
  <si>
    <t xml:space="preserve">Revenue </t>
  </si>
  <si>
    <t>Adj Revenue</t>
  </si>
  <si>
    <t>Adj EBITDA</t>
  </si>
  <si>
    <t>MXN million</t>
  </si>
  <si>
    <t>`</t>
  </si>
  <si>
    <t>ROKU-US</t>
  </si>
  <si>
    <t>NFLX-US</t>
  </si>
  <si>
    <t>DIS-US</t>
  </si>
  <si>
    <t>LGF.A-US</t>
  </si>
  <si>
    <t>TelevisaUnivision at target</t>
  </si>
  <si>
    <t>CHTR-US</t>
  </si>
  <si>
    <t>CMCSA-US</t>
  </si>
  <si>
    <t>DISCA-US</t>
  </si>
  <si>
    <t>VIAC-US</t>
  </si>
  <si>
    <t>Televisa Group</t>
  </si>
  <si>
    <t>Old estimates</t>
  </si>
  <si>
    <t>New estimates</t>
  </si>
  <si>
    <t>Diff</t>
  </si>
  <si>
    <t>EFCF, USD</t>
  </si>
  <si>
    <t>Post Q2 22</t>
  </si>
  <si>
    <t>Other Spin</t>
  </si>
  <si>
    <t>9m 2022</t>
  </si>
  <si>
    <t>Guide</t>
  </si>
  <si>
    <t>Other revs</t>
  </si>
  <si>
    <t>Group revs</t>
  </si>
  <si>
    <t>Other EBITDA</t>
  </si>
  <si>
    <t>Annualised</t>
  </si>
  <si>
    <t>USD</t>
  </si>
  <si>
    <t>Capex USD m</t>
  </si>
  <si>
    <t>Pantaya</t>
  </si>
  <si>
    <t>Annual revenue, USD m</t>
  </si>
  <si>
    <t>MEGA bid for Izzy (Nov-22)</t>
  </si>
  <si>
    <t xml:space="preserve">Group less "Other" less Izzy </t>
  </si>
  <si>
    <t>(mainly SKY)</t>
  </si>
  <si>
    <t>Cash in from Sales (5x EBITDA)</t>
  </si>
  <si>
    <t>(assume no debt with Spin Co)</t>
  </si>
  <si>
    <t>Sky capex</t>
  </si>
  <si>
    <t>Opex + capex</t>
  </si>
  <si>
    <t>Tax @ 28%</t>
  </si>
  <si>
    <t>Post tax</t>
  </si>
  <si>
    <t>Intergration costs</t>
  </si>
  <si>
    <t>New</t>
  </si>
  <si>
    <t>NI</t>
  </si>
  <si>
    <t>$m</t>
  </si>
  <si>
    <t>Per share</t>
  </si>
  <si>
    <t>Diff.</t>
  </si>
  <si>
    <t>Stake in Cable New Co</t>
  </si>
  <si>
    <t>less deconsolidated debt (into Cable NewCo)</t>
  </si>
  <si>
    <t>9m 2023a</t>
  </si>
  <si>
    <t>FY 23e</t>
  </si>
  <si>
    <t>as % Group</t>
  </si>
  <si>
    <t xml:space="preserve">EBITDA </t>
  </si>
  <si>
    <t>Operating profit</t>
  </si>
  <si>
    <t>nm</t>
  </si>
  <si>
    <t xml:space="preserve">Capex </t>
  </si>
  <si>
    <t xml:space="preserve">OpFCF </t>
  </si>
  <si>
    <t>EFCF Q4e</t>
  </si>
  <si>
    <t>Cash/equivalents</t>
  </si>
  <si>
    <t>current lease</t>
  </si>
  <si>
    <t>LT lease</t>
  </si>
  <si>
    <t>Multiple to EBITDA</t>
  </si>
  <si>
    <t>Implied EV/OpFCF</t>
  </si>
  <si>
    <t>Implied PE</t>
  </si>
  <si>
    <t>Equity $</t>
  </si>
  <si>
    <t>per TV ADR</t>
  </si>
  <si>
    <t>24-28e CAGR</t>
  </si>
  <si>
    <t>Synergies</t>
  </si>
  <si>
    <t>OpEx guide of MXN400m in Q3 / 15% of SKY OpEx discounted to 10% of Opex</t>
  </si>
  <si>
    <t>Capex guide of 15% of SKY Capex discounted to 5%</t>
  </si>
  <si>
    <t>Integration cost (severance)</t>
  </si>
  <si>
    <t>Total savings</t>
  </si>
  <si>
    <t>Synergies DCF</t>
  </si>
  <si>
    <t>After-tax</t>
  </si>
  <si>
    <t>PV of term value</t>
  </si>
  <si>
    <t>NPV synergies</t>
  </si>
  <si>
    <t>in $</t>
  </si>
  <si>
    <t>New Televisa</t>
  </si>
  <si>
    <t>Cable Izzy</t>
  </si>
  <si>
    <t>New Izzy</t>
  </si>
  <si>
    <t>Intercompany</t>
  </si>
  <si>
    <t>New Izzy pre-synergies</t>
  </si>
  <si>
    <t>Integration (severance)</t>
  </si>
  <si>
    <t>Izzy OSI (Operating Segment income)</t>
  </si>
  <si>
    <t>Other (inc gain / provisions)</t>
  </si>
  <si>
    <t>EBITDA - ex-one offs</t>
  </si>
  <si>
    <t>New Izzy OSI</t>
  </si>
  <si>
    <t>Izzy pre-synergies</t>
  </si>
  <si>
    <t>Group Capex</t>
  </si>
  <si>
    <t>TIM</t>
  </si>
  <si>
    <t>Vivo</t>
  </si>
  <si>
    <t>Ollamani SHOUT</t>
  </si>
  <si>
    <t>-</t>
  </si>
  <si>
    <t>4Q22</t>
  </si>
  <si>
    <t>EFCF (calc.)</t>
  </si>
  <si>
    <t>Cash and CE</t>
  </si>
  <si>
    <t>Change in cash balance</t>
  </si>
  <si>
    <t>Proportion of cash in USD</t>
  </si>
  <si>
    <t>Proportion of cash in MXN</t>
  </si>
  <si>
    <t>1/3</t>
  </si>
  <si>
    <t>MXN/USD spot</t>
  </si>
  <si>
    <t>$ appreciation</t>
  </si>
  <si>
    <t>Formula</t>
  </si>
  <si>
    <t>Contribution from $ appreciation</t>
  </si>
  <si>
    <t>Clean change in cash balance</t>
  </si>
  <si>
    <t>Dividends</t>
  </si>
  <si>
    <t>Debt issued</t>
  </si>
  <si>
    <t>From press release (maybe incomplete?)</t>
  </si>
  <si>
    <t>Debt reimbursed</t>
  </si>
  <si>
    <t>FCF estimate</t>
  </si>
  <si>
    <t>L2QA FCF</t>
  </si>
  <si>
    <t>LTM FCF</t>
  </si>
  <si>
    <t>Market cap</t>
  </si>
  <si>
    <t>EFCF yield (L2QA)</t>
  </si>
  <si>
    <t>EFCF yield (LTM)</t>
  </si>
  <si>
    <t>Investments in financial instruments</t>
  </si>
  <si>
    <t>Change in invest in fi inst.</t>
  </si>
  <si>
    <t>FCF (calc.)</t>
  </si>
  <si>
    <t>IRR, USD</t>
  </si>
  <si>
    <t>Cost of HFC home overlaid</t>
  </si>
  <si>
    <t>Take-up of upgrade</t>
  </si>
  <si>
    <t>Cost passing new customer</t>
  </si>
  <si>
    <t>Cost to connect</t>
  </si>
  <si>
    <t>Total capex per overlaid customer</t>
  </si>
  <si>
    <t>Yr 1</t>
  </si>
  <si>
    <t>Yr 2</t>
  </si>
  <si>
    <t>Yr 3</t>
  </si>
  <si>
    <t>Yr 4</t>
  </si>
  <si>
    <t>Yr 5</t>
  </si>
  <si>
    <t>Total ARPU (per Unique sub)</t>
  </si>
  <si>
    <t>Revenue per sub per year</t>
  </si>
  <si>
    <t>Uplift to ARPU</t>
  </si>
  <si>
    <t>Overlay uplift to EBITDA as pp margin</t>
  </si>
  <si>
    <t>Implied new EBITDA margin</t>
  </si>
  <si>
    <t xml:space="preserve">Uplift to EBITDA </t>
  </si>
  <si>
    <t>Capex/sales underlying</t>
  </si>
  <si>
    <t>Capex saving as % sales</t>
  </si>
  <si>
    <t>New capex/sales</t>
  </si>
  <si>
    <t>Capex saving</t>
  </si>
  <si>
    <t>Pre-tax IRR</t>
  </si>
  <si>
    <t>DCF per customer invested in</t>
  </si>
  <si>
    <t>Investment capex</t>
  </si>
  <si>
    <t>Underlying capex</t>
  </si>
  <si>
    <t>Taxed FCF</t>
  </si>
  <si>
    <t>NPV per customer</t>
  </si>
  <si>
    <t>EV/EBITDA (x)</t>
  </si>
  <si>
    <t>Buyback yield</t>
  </si>
  <si>
    <t>Net debt to EBITDA (x)</t>
  </si>
  <si>
    <t>AMX iAS 17</t>
  </si>
  <si>
    <t>Telcos</t>
  </si>
  <si>
    <t>Rec</t>
  </si>
  <si>
    <t>Price target</t>
  </si>
  <si>
    <t>Stock/company view</t>
  </si>
  <si>
    <t>Buy</t>
  </si>
  <si>
    <t>MXN75</t>
  </si>
  <si>
    <t>Solid execution. Strong FCF in sight as FTTH build completes</t>
  </si>
  <si>
    <t>US$22</t>
  </si>
  <si>
    <t>Some overhang but healthy blend of value and growth, solid BS and diversified</t>
  </si>
  <si>
    <t>US$2.3</t>
  </si>
  <si>
    <t>Cheap but poorly positioned in the tough Mexican market</t>
  </si>
  <si>
    <t>High Yield</t>
  </si>
  <si>
    <t>Modern network. Solid execution. Focused on improving FCF</t>
  </si>
  <si>
    <t>TVUNI</t>
  </si>
  <si>
    <t>SN</t>
  </si>
  <si>
    <t>TL A</t>
  </si>
  <si>
    <t>TL</t>
  </si>
  <si>
    <t>TL B</t>
  </si>
  <si>
    <t>SSN</t>
  </si>
  <si>
    <t>AR fac.</t>
  </si>
  <si>
    <t>Bank loans</t>
  </si>
  <si>
    <t>Intra</t>
  </si>
  <si>
    <t>Bank loans (sky)</t>
  </si>
  <si>
    <t>New SSN</t>
  </si>
  <si>
    <t>MX$ mm</t>
  </si>
  <si>
    <t>Annual</t>
  </si>
  <si>
    <t>Quarter</t>
  </si>
  <si>
    <t>2021 FY</t>
  </si>
  <si>
    <t>1Q 2022</t>
  </si>
  <si>
    <t>2Q 2022</t>
  </si>
  <si>
    <t>3Q 2022</t>
  </si>
  <si>
    <t>4Q 2022</t>
  </si>
  <si>
    <t>2022 FY</t>
  </si>
  <si>
    <t>1Q 2023</t>
  </si>
  <si>
    <t>2Q 2023</t>
  </si>
  <si>
    <t>3Q 2023</t>
  </si>
  <si>
    <t>4Q 2023</t>
  </si>
  <si>
    <t>2023 FY</t>
  </si>
  <si>
    <t>1Q 2024</t>
  </si>
  <si>
    <t>2Q 2024</t>
  </si>
  <si>
    <t>3Q 2024</t>
  </si>
  <si>
    <t>4Q 2024</t>
  </si>
  <si>
    <t>2024 FY</t>
  </si>
  <si>
    <t>1Q 2025</t>
  </si>
  <si>
    <t>2Q 2025</t>
  </si>
  <si>
    <t>3Q 2025</t>
  </si>
  <si>
    <t>4Q 2025</t>
  </si>
  <si>
    <t>2025 FY</t>
  </si>
  <si>
    <t>2026 FY</t>
  </si>
  <si>
    <t>2027 FY</t>
  </si>
  <si>
    <t>REVENUE</t>
  </si>
  <si>
    <t xml:space="preserve">     Residential (w/o consolidation)</t>
  </si>
  <si>
    <t xml:space="preserve">     Enterprise (w/o consolidation)</t>
  </si>
  <si>
    <t>Total Other Businesses</t>
  </si>
  <si>
    <t>Other Expense, Net</t>
  </si>
  <si>
    <t>Cash Income Taxes</t>
  </si>
  <si>
    <t>Not cash</t>
  </si>
  <si>
    <t>Interest, net</t>
  </si>
  <si>
    <t>Free cash flow</t>
  </si>
  <si>
    <t>Revenues</t>
  </si>
  <si>
    <t>Operational Data</t>
  </si>
  <si>
    <t>TOTAL CABLE RGUs ('000)</t>
  </si>
  <si>
    <t>CABLE - Video</t>
  </si>
  <si>
    <t xml:space="preserve">     CABLE - Video net-adds</t>
  </si>
  <si>
    <t>CABLE - Broadband</t>
  </si>
  <si>
    <t xml:space="preserve">     CABLE - Broadband net-adds</t>
  </si>
  <si>
    <t>CABLE - Voice</t>
  </si>
  <si>
    <t xml:space="preserve">     CABLE - Voice net-adds</t>
  </si>
  <si>
    <t>CABLE - Mobile</t>
  </si>
  <si>
    <t xml:space="preserve">     CABLE - Mobile net-adds</t>
  </si>
  <si>
    <t>TOTAL SKY RGUs ('000)</t>
  </si>
  <si>
    <t>SKY - Video</t>
  </si>
  <si>
    <t xml:space="preserve">     SKY - Video net-adds</t>
  </si>
  <si>
    <t>SKY - Broadband</t>
  </si>
  <si>
    <t xml:space="preserve">     SKY - Broadband net-adds</t>
  </si>
  <si>
    <t>SKY - Voice</t>
  </si>
  <si>
    <t xml:space="preserve">     SKY - Voice net-adds</t>
  </si>
  <si>
    <t>SKY - Mobile</t>
  </si>
  <si>
    <t xml:space="preserve">     SKY - Mobile net-adds</t>
  </si>
  <si>
    <t>SOTP Multiples</t>
  </si>
  <si>
    <t>Value USDmm</t>
  </si>
  <si>
    <t>Minorities &amp; Other Equity</t>
  </si>
  <si>
    <t>Net Debt</t>
  </si>
  <si>
    <t>Total Enterprise Value</t>
  </si>
  <si>
    <t>Valuation</t>
  </si>
  <si>
    <t>Number of shares, ords</t>
  </si>
  <si>
    <t>Average number of shares, ords</t>
  </si>
  <si>
    <t>Number of shares, Savs</t>
  </si>
  <si>
    <t>Average number of shares, Savs</t>
  </si>
  <si>
    <t>Consolidated Net debt</t>
  </si>
  <si>
    <t>Other financial liabilities</t>
  </si>
  <si>
    <t>Associates (for EV calc)</t>
  </si>
  <si>
    <t>Minorities (for EV calc)</t>
  </si>
  <si>
    <t>Cumulative dividends</t>
  </si>
  <si>
    <t>Tax credit</t>
  </si>
  <si>
    <t>Group forecasts</t>
  </si>
  <si>
    <t>Consolidated Revenues</t>
  </si>
  <si>
    <t>Consolidated Depreciation</t>
  </si>
  <si>
    <t>Consolidated Amortisation</t>
  </si>
  <si>
    <t>Consolidated Capex</t>
  </si>
  <si>
    <t>Consolidated OpFCF</t>
  </si>
  <si>
    <t>Consolidated FCF (OpFCF * (1-tax rate))</t>
  </si>
  <si>
    <t>Minority interests (b/s)</t>
  </si>
  <si>
    <t>Net interest</t>
  </si>
  <si>
    <t>Reported earnings</t>
  </si>
  <si>
    <t>Equity free cash flow</t>
  </si>
  <si>
    <t>Employees</t>
  </si>
  <si>
    <t>Net fixed assets</t>
  </si>
  <si>
    <t>Group Consolidated SACs</t>
  </si>
  <si>
    <t>Group consolidated SRCs</t>
  </si>
  <si>
    <t>Group Prop. SACs</t>
  </si>
  <si>
    <t>Group Prop. SRCs</t>
  </si>
  <si>
    <t>Prop. Revenues</t>
  </si>
  <si>
    <t>Prop. EBITDA</t>
  </si>
  <si>
    <t>Prop. Depreciation</t>
  </si>
  <si>
    <t>Prop. Amortisation</t>
  </si>
  <si>
    <t>Prop. Capex</t>
  </si>
  <si>
    <t>Prop. OpFCF</t>
  </si>
  <si>
    <t>Prop. FCF (OpFCF * (1-tax rate))</t>
  </si>
  <si>
    <t>Prop. Net debt</t>
  </si>
  <si>
    <t>Consolidated service revenue</t>
  </si>
  <si>
    <t>Prop. Service revenue</t>
  </si>
  <si>
    <t>Prop. Subscribers</t>
  </si>
  <si>
    <t>Prop. Pre-pay subs</t>
  </si>
  <si>
    <t>Prop. Contract subs</t>
  </si>
  <si>
    <t>Consolidated subscribers</t>
  </si>
  <si>
    <t>Consolidated Contract subs</t>
  </si>
  <si>
    <t>Consolidated pre-pay subs</t>
  </si>
  <si>
    <t>Prop. Pops</t>
  </si>
  <si>
    <t>Consolidated Pops</t>
  </si>
  <si>
    <t>Domestic Pops</t>
  </si>
  <si>
    <t>Domestic prepay subs</t>
  </si>
  <si>
    <t>Domestic contract subs</t>
  </si>
  <si>
    <t>Domestic mkt share</t>
  </si>
  <si>
    <t>Domestic voice ARPU</t>
  </si>
  <si>
    <t>Domestic data ARPU</t>
  </si>
  <si>
    <t>Domestic MOU</t>
  </si>
  <si>
    <t>Domestic revenue</t>
  </si>
  <si>
    <t>Domestic service revenue</t>
  </si>
  <si>
    <t>Domestic EBITDA</t>
  </si>
  <si>
    <t>Domestic capex</t>
  </si>
  <si>
    <t>Domestic FCF</t>
  </si>
  <si>
    <t>Cumulative Gp consolidated capex</t>
  </si>
  <si>
    <t>Cumulative Gp prop. capex</t>
  </si>
  <si>
    <t>Debt analysis</t>
  </si>
  <si>
    <t>Less: Tax paid</t>
  </si>
  <si>
    <t>Less: Change in WC</t>
  </si>
  <si>
    <t>Less: leases amortised</t>
  </si>
  <si>
    <t>Less: Disposals/acquis.</t>
  </si>
  <si>
    <t>Less: Other</t>
  </si>
  <si>
    <t>EFCF adjustments</t>
  </si>
  <si>
    <t>Adj 1</t>
  </si>
  <si>
    <t>Adj 2</t>
  </si>
  <si>
    <t>Adj 3</t>
  </si>
  <si>
    <t>Adj 4</t>
  </si>
  <si>
    <t>Adj 5</t>
  </si>
  <si>
    <t>Adj 6</t>
  </si>
  <si>
    <t>Divisional (from 2009 onwards)</t>
  </si>
  <si>
    <t>Sum of the parts</t>
  </si>
  <si>
    <t>EBITDA 2016</t>
  </si>
  <si>
    <t>EBITDA 2017</t>
  </si>
  <si>
    <t>EBITDA 2018</t>
  </si>
  <si>
    <t>OpFCF 2016</t>
  </si>
  <si>
    <t>OpFCF 2017</t>
  </si>
  <si>
    <t>OpFCF 2018</t>
  </si>
  <si>
    <t>Change in WC</t>
  </si>
  <si>
    <t>Tax paid</t>
  </si>
  <si>
    <t>Dividends from associates</t>
  </si>
  <si>
    <t>NCI</t>
  </si>
  <si>
    <t>Unlevered FCF</t>
  </si>
  <si>
    <t>Net interests</t>
  </si>
  <si>
    <t>Lease payments on principal</t>
  </si>
  <si>
    <t xml:space="preserve">EFCF before license payments </t>
  </si>
  <si>
    <t>License payments</t>
  </si>
  <si>
    <t>Ad spend (LHS)</t>
  </si>
  <si>
    <t>Real GDP</t>
  </si>
  <si>
    <t>Content margins (RHS)</t>
  </si>
  <si>
    <t>Inflation</t>
  </si>
  <si>
    <t>Implied multiplier</t>
  </si>
  <si>
    <t>Must offer impact</t>
  </si>
  <si>
    <t>Underlying</t>
  </si>
  <si>
    <t>Total content</t>
  </si>
  <si>
    <t>% change in constant FX</t>
  </si>
  <si>
    <t>EBITDA, USD m</t>
  </si>
  <si>
    <t>Underlying margin</t>
  </si>
  <si>
    <t>EBITDA from Other</t>
  </si>
  <si>
    <t>OpEx, MXN</t>
  </si>
  <si>
    <t>% increase</t>
  </si>
  <si>
    <t>Change in OpEx in MXN</t>
  </si>
  <si>
    <t>OpEx, USD</t>
  </si>
  <si>
    <t>increase</t>
  </si>
  <si>
    <t>OpEx, USD ex WC rights</t>
  </si>
  <si>
    <t>USD revs as % total content</t>
  </si>
  <si>
    <t>USD revs as % total group</t>
  </si>
  <si>
    <t>upfronts</t>
  </si>
  <si>
    <t>scatter</t>
  </si>
  <si>
    <t>Network subs in USD (50/50)</t>
  </si>
  <si>
    <t xml:space="preserve"> of which in USD</t>
  </si>
  <si>
    <t xml:space="preserve"> of which in MXN (in USD)</t>
  </si>
  <si>
    <t xml:space="preserve"> of which in MXN (in MXN)</t>
  </si>
  <si>
    <t>Assumed price per pckage</t>
  </si>
  <si>
    <t>No of subs on package, m</t>
  </si>
  <si>
    <t>Univision royalties</t>
  </si>
  <si>
    <t>Licensing and synd, in USD</t>
  </si>
  <si>
    <t>Ex royalty change in 2018</t>
  </si>
  <si>
    <t>Incremental EBITDA from higher royalty fees, P$m</t>
  </si>
  <si>
    <t>Post-tax CF</t>
  </si>
  <si>
    <t>Value</t>
  </si>
  <si>
    <t>as multiple of EBITDA</t>
  </si>
  <si>
    <t>Content revenue split , Ps m</t>
  </si>
  <si>
    <t>Univision as % total content</t>
  </si>
  <si>
    <t>Content EBITDA split</t>
  </si>
  <si>
    <t>Content EBITDA margin</t>
  </si>
  <si>
    <t>New underlying margin</t>
  </si>
  <si>
    <t>Old underlying margin</t>
  </si>
  <si>
    <t>Content capex split</t>
  </si>
  <si>
    <t>Content OpFCF split</t>
  </si>
  <si>
    <t>Content FCF split</t>
  </si>
  <si>
    <t>Content FCF, US$</t>
  </si>
  <si>
    <t>Media/other</t>
  </si>
  <si>
    <t>discounted</t>
  </si>
  <si>
    <t>Deval</t>
  </si>
  <si>
    <t xml:space="preserve"> - of which 10% USD</t>
  </si>
  <si>
    <t xml:space="preserve"> - of which 90% MXN</t>
  </si>
  <si>
    <t>Network subscription</t>
  </si>
  <si>
    <t xml:space="preserve"> - of which 50% USD</t>
  </si>
  <si>
    <t xml:space="preserve"> - of which 50% MXN</t>
  </si>
  <si>
    <t>Licencing, syndication</t>
  </si>
  <si>
    <t xml:space="preserve"> - of which Univision (USD)</t>
  </si>
  <si>
    <t xml:space="preserve"> - of which Netflix/other (USD)</t>
  </si>
  <si>
    <t xml:space="preserve"> - of which Netflix/other (MXN)</t>
  </si>
  <si>
    <t>Total Content revs</t>
  </si>
  <si>
    <t>Total other (USD)</t>
  </si>
  <si>
    <t>Total other (MXN)</t>
  </si>
  <si>
    <t>Total USD revs (MXN)</t>
  </si>
  <si>
    <t>Total Content USD revs (USD)</t>
  </si>
  <si>
    <t>Implied Cable/SKY/Other USD</t>
  </si>
  <si>
    <t>Total USD revs</t>
  </si>
  <si>
    <t>Content OpEx</t>
  </si>
  <si>
    <t>USD opex as % total</t>
  </si>
  <si>
    <t xml:space="preserve">USD Content opex </t>
  </si>
  <si>
    <t>MXN Content opex</t>
  </si>
  <si>
    <t>Other opex</t>
  </si>
  <si>
    <t xml:space="preserve"> of which USD</t>
  </si>
  <si>
    <t xml:space="preserve"> of which MXN</t>
  </si>
  <si>
    <t>Total opex</t>
  </si>
  <si>
    <t>Total content opex (USD)</t>
  </si>
  <si>
    <t>Other USD opex</t>
  </si>
  <si>
    <t>Total USD opex</t>
  </si>
  <si>
    <t>EBITDA in USD, USD</t>
  </si>
  <si>
    <t>EBITDA in USD, MXN</t>
  </si>
  <si>
    <t>Non content USD opex (MXN)</t>
  </si>
  <si>
    <t>as % non content opex</t>
  </si>
  <si>
    <t>Content EBITDA</t>
  </si>
  <si>
    <t>Total other EBITDA</t>
  </si>
  <si>
    <t xml:space="preserve"> of which USD (assume 60% )</t>
  </si>
  <si>
    <t>Income from associates</t>
  </si>
  <si>
    <t>of which Univision (assume 75%)</t>
  </si>
  <si>
    <t>of which other</t>
  </si>
  <si>
    <t>Clean financial expenses</t>
  </si>
  <si>
    <t xml:space="preserve"> of which financial exp USD (50% vs 65% reported)*</t>
  </si>
  <si>
    <t xml:space="preserve"> of which financial exp MXN</t>
  </si>
  <si>
    <t>Other items/one-offs</t>
  </si>
  <si>
    <t>Minorities (assume all MXN)</t>
  </si>
  <si>
    <t xml:space="preserve"> of which USD (assume 60%)</t>
  </si>
  <si>
    <t>Summary table</t>
  </si>
  <si>
    <t>USD content revs</t>
  </si>
  <si>
    <t>MXN content revs</t>
  </si>
  <si>
    <t>Other USD revs</t>
  </si>
  <si>
    <t>Other MXN revs</t>
  </si>
  <si>
    <t>Total Other revs (Cable, SKY, etc)</t>
  </si>
  <si>
    <t>USD as %</t>
  </si>
  <si>
    <t>USD content opex</t>
  </si>
  <si>
    <t>MXN content opex</t>
  </si>
  <si>
    <t>Other MXN opex</t>
  </si>
  <si>
    <t>USD EBITDA</t>
  </si>
  <si>
    <t>USD revenue</t>
  </si>
  <si>
    <t>USD opex</t>
  </si>
  <si>
    <t>3 parts to the Pact</t>
  </si>
  <si>
    <t>level playing field in mobile</t>
  </si>
  <si>
    <t>auctioning 2 over the air broadcast licences</t>
  </si>
  <si>
    <t>offering pay TV channels at competitive prices</t>
  </si>
  <si>
    <t>risk was these could go for free</t>
  </si>
  <si>
    <t>TV believe they offer this today (Dish has not taken up)</t>
  </si>
  <si>
    <t>Telmex and IPTV offer is not specifically part of this Pact</t>
  </si>
  <si>
    <t>US$400m capital injection likely to be issued in increments</t>
  </si>
  <si>
    <t>nothing really new on timing of mobile regulation at this stage</t>
  </si>
  <si>
    <t>if anything, sounded a bit more cautious</t>
  </si>
  <si>
    <t>PRI are good deal makers but could take some time</t>
  </si>
  <si>
    <t>there will be opposition to this</t>
  </si>
  <si>
    <t>new competitors (Fox) not really a concern</t>
  </si>
  <si>
    <t>if anything raises awareness of the Hispanic community to this add buying</t>
  </si>
  <si>
    <t>Guidance</t>
  </si>
  <si>
    <t>will give on Content revs</t>
  </si>
  <si>
    <t>Content margin</t>
  </si>
  <si>
    <t>SKY adds</t>
  </si>
  <si>
    <t>capex</t>
  </si>
  <si>
    <t>Share price</t>
  </si>
  <si>
    <t>3 good Q's</t>
  </si>
  <si>
    <t>Large liquid Mexican company, good play on consumer</t>
  </si>
  <si>
    <t>Pact for Mexico</t>
  </si>
  <si>
    <t>Ownership</t>
  </si>
  <si>
    <t>Grupo Salinas</t>
  </si>
  <si>
    <t>Founded by Emilio Azcárraga Vidaurreta in 1930 as a radio station</t>
  </si>
  <si>
    <t>Ricardo B. Salinas</t>
  </si>
  <si>
    <t>Emilio Azcárraga Milmo, 1972-1997 (El Tigre)</t>
  </si>
  <si>
    <t>Other 50% of Iusacell</t>
  </si>
  <si>
    <t>Emilio Azcárraga Jean took over in 1997</t>
  </si>
  <si>
    <t>TV Azteca, 2nd largest provider of Spanish content</t>
  </si>
  <si>
    <t>Approximately 45.6% of the outstanding A Shares, 2.7% of the outstanding B Shares, 2.8% of the outstanding D Shares and</t>
  </si>
  <si>
    <t>2.8% of the outstanding L Shares of the Company were held through the Stockholder Trust, including shares in the form of CPOs. On</t>
  </si>
  <si>
    <t>June 17, 2009, the Stockholder Trust was terminated and the shares and CPOs which were formerly held through such trust were</t>
  </si>
  <si>
    <t>delivered to the corresponding beneficiaries. The largest beneficiary of the Stockholder Trust was a trust for the benefit of Emilio</t>
  </si>
  <si>
    <t>Azcárraga Jean. Such trust currently holds 43.0% of the outstanding A shares, 0.1% of the outstanding B shares, 0.1% of the</t>
  </si>
  <si>
    <t>outstanding D shares and 0.1% of the outstanding L shares of the Company. As a result, Emilio Azcárraga Jean controlled until</t>
  </si>
  <si>
    <t>June 17, 2009, the voting of the shares held through the Stockholder Trust, and currently controls the vote of such shares through the</t>
  </si>
  <si>
    <t>Azcárraga Trust. The A Shares held through the Azcárraga Trust constitute a majority of the A Shares whose holders are entitled to</t>
  </si>
  <si>
    <t>vote because non-Mexican holders of CPOs and GDSs are not permitted by law to vote the underlying A Shares. Accordingly, and so</t>
  </si>
  <si>
    <t>long as non-Mexicans own more than a minimal number of A Shares, Emilio Azcárraga Jean will have the ability to direct the</t>
  </si>
  <si>
    <t>election of 11 out of 20 members of our Board of Directors, as well as prevent certain actions by the stockholders, including dividend</t>
  </si>
  <si>
    <t>payments, mergers, spin-offs, changes in corporate purpose, changes of nationality and amendments to the anti-takeover provisions of</t>
  </si>
  <si>
    <t>our bylaws.</t>
  </si>
  <si>
    <t>Political links</t>
  </si>
  <si>
    <t>http://home.millsaps.edu/paxmaa/eltigre/id5.htm</t>
  </si>
  <si>
    <t>"Televisa has long had a close and symbiotic relationship with the party that has ruled Mexico since the 1920s, the Partido Revolucionario Institucional (PRI)"</t>
  </si>
  <si>
    <t xml:space="preserve">In July 12 elections, accusation of PRI's excessive promotion on Televisa </t>
  </si>
  <si>
    <t>Piena Nieto married Angélica Rivera, a Televisa soap star</t>
  </si>
  <si>
    <t>http://www.guardian.co.uk/world/2012/jun/26/spotlight-televisa-mexico-tv-station</t>
  </si>
  <si>
    <t>Culture</t>
  </si>
  <si>
    <t>Hispanics make up 16% of US POP according to March 2011 census</t>
  </si>
  <si>
    <t>Set to be 21% by 2025</t>
  </si>
  <si>
    <t>Set to represent 10.5% of US disposable income by 2015 ($1.5 tr)</t>
  </si>
  <si>
    <t>Targeting this market</t>
  </si>
  <si>
    <t>Reporting structure</t>
  </si>
  <si>
    <t>Mostly advertising on national networks 2, 4, 5 and 9 and local channels. No regulation of advertising rates. Paid either upfront on a scatter basis</t>
  </si>
  <si>
    <t>Providing TV channels to pay TV networks in Mexico and abroad. Includes advertising sold on these cable channels in Mexico and internationally</t>
  </si>
  <si>
    <t>Licencing agreements on content, mainly telenovelas and variety shows</t>
  </si>
  <si>
    <t>Advertising, mainly made up of national networks. Two thirds share of the national audience</t>
  </si>
  <si>
    <t>Produces and distributes 16 pay TV networks in over 50 countries</t>
  </si>
  <si>
    <t>Affiliate fees:</t>
  </si>
  <si>
    <t>Fees paid by distributors/operators for content</t>
  </si>
  <si>
    <t>Networks need content, but content providers need the distributors..</t>
  </si>
  <si>
    <t>Business make-up</t>
  </si>
  <si>
    <t>10 TV channels in Mexico City and 467 outside of the Capital, largely repeater channels</t>
  </si>
  <si>
    <t>Operate 4 of the 10 TV channels in Mexico City (2,4,5 and 9), linked with 220 repeater channels</t>
  </si>
  <si>
    <t>TV Azteca 2 channels in Mexico City (7 and 13) with 176 (84 + 92) outside of Capital</t>
  </si>
  <si>
    <t>Televisora del Valle de Mexico owns 1 channel (40)</t>
  </si>
  <si>
    <t>Government owns 2 channels (11 and 22)</t>
  </si>
  <si>
    <t>26.5m households with TV in Mexico, 91.0% of all households. 95.5% penetration in Mexico City</t>
  </si>
  <si>
    <t>Programming</t>
  </si>
  <si>
    <t>Telenovelas, newscasts etc etc</t>
  </si>
  <si>
    <t>Sports</t>
  </si>
  <si>
    <t>2012 London Olympic Games. We have also acquired the rights to broadcast the 2014 FIFA</t>
  </si>
  <si>
    <t>World Cup Brasil for the territory of Mexico and the rights to broadcast the 2018 FIFA World Cup Russia and the 2022 FIFA World</t>
  </si>
  <si>
    <t>Cup Qatar for Mexico and other territories in Latin America.</t>
  </si>
  <si>
    <t>Pay TV channels, magasines</t>
  </si>
  <si>
    <t>21 Pay TV brands (three music, four movie, seven variety and entertainment channels, and two sports channels, Televisa Deportes
Network, or TDN, and TDN 2.0 (launched in January 2012)</t>
  </si>
  <si>
    <t>Global audience</t>
  </si>
  <si>
    <t>DTH</t>
  </si>
  <si>
    <t>58.7% of Innova (SKY), which owns ops in Mexico, Central America and Dom Republic</t>
  </si>
  <si>
    <t>SKY and SKY Brasil uses Intelsat. Latest satellite launch was Q1 2010 with 24 transponders, exclusive for SKY</t>
  </si>
  <si>
    <t>(1 transponder equates to 3 HD channels)</t>
  </si>
  <si>
    <t xml:space="preserve">Consolidation a theme here…Televisa explicitly interested </t>
  </si>
  <si>
    <t>51% shareholder in Cablevision (Mexico City)</t>
  </si>
  <si>
    <t>Approval to launch IP voice in May 2007</t>
  </si>
  <si>
    <t>Acquired in March 2006</t>
  </si>
  <si>
    <t>Operates in Monterrey and Northern Mexico</t>
  </si>
  <si>
    <t>Cablemas has been merged into this</t>
  </si>
  <si>
    <t>Cablemas operates in 50 cities</t>
  </si>
  <si>
    <t>Bought in the 41.7% of equity not owned by Televisa in April 2011</t>
  </si>
  <si>
    <t>Now own 100%</t>
  </si>
  <si>
    <t>132 million magasines during 2011</t>
  </si>
  <si>
    <t>172 titles, of which 104 are wholly owned</t>
  </si>
  <si>
    <t>68 are licenced from others, often Spanish language versions of others</t>
  </si>
  <si>
    <t>Own 14.5% of Imagina, a Spanish content provider (Imagina was formed from a merger of Grupo Arbol and Mediapro in 2006)</t>
  </si>
  <si>
    <t>Supply TV content through Univision</t>
  </si>
  <si>
    <t>Televisa receive royalty payments:</t>
  </si>
  <si>
    <t>$143m</t>
  </si>
  <si>
    <t>$156m</t>
  </si>
  <si>
    <t>$225m</t>
  </si>
  <si>
    <t>Capital injection of $1.2bn into Univision in Dec 2010</t>
  </si>
  <si>
    <t>A further $49m in cash and common stock, taking stake in BMP (parent of Univision) from 5% to 7.1%</t>
  </si>
  <si>
    <t>Material increase in the royalty payments, and into perpetuity</t>
  </si>
  <si>
    <t>Deal to supply content to Netflix</t>
  </si>
  <si>
    <t>Via GSF (100% owners)</t>
  </si>
  <si>
    <t>Bought 1% in cash</t>
  </si>
  <si>
    <t>Converts:</t>
  </si>
  <si>
    <t>1/ $365m of Series 1</t>
  </si>
  <si>
    <t>TEF EBITDA</t>
  </si>
  <si>
    <t>2/ $1200m of Series 2</t>
  </si>
  <si>
    <t>Further $400m payment if cumulative EBITDA from 1 Jan 2011 to 31  Dec 2015 (5 years) reaches $3,742m</t>
  </si>
  <si>
    <t>50% ownership of conversion</t>
  </si>
  <si>
    <t>2011-15</t>
  </si>
  <si>
    <t>Equal corporate governance rights with Salinas, the remaining 50% shareholder</t>
  </si>
  <si>
    <t>Nextel EBITDA</t>
  </si>
  <si>
    <t>5,406,000 wireless subs as of end-2011</t>
  </si>
  <si>
    <t>Check ownership</t>
  </si>
  <si>
    <t>Bestel provides voice, data, and managed services to domestic and international</t>
  </si>
  <si>
    <t>carriers and to the enterprise, corporate, and government segments in Mexico. Through Bestel (USA), Inc., Bestel provides crossborder</t>
  </si>
  <si>
    <t>services to U.S. carriers including internet protocol, or IP, transit, collocation, international private lines, virtual private</t>
  </si>
  <si>
    <t>networks, or VPNs, and voice services, as well as access to the Internet backbone via TIER 1 and TIER 2. Bestel owns a fiber-optic</t>
  </si>
  <si>
    <t>network of approximately 8,000 kilometers that covers several important cities and economic regions in Mexico and has direct</t>
  </si>
  <si>
    <t>crossing of its network into Dallas, Texas, Nogales, Arizona, and San Diego, California in the United States. This enables the</t>
  </si>
  <si>
    <t>company to provide high capacity connectivity between the United States and Mexico.</t>
  </si>
  <si>
    <t>Gaming business, inc bingo parlours, 50% of a radio co, film production, soccer teams and the Azteca Stadium</t>
  </si>
  <si>
    <t>Arrangement with Genomma Lab - sell pharmaceuticals/cosmetic (extend Televisa brand), provide Genomma Lab with advertising</t>
  </si>
  <si>
    <t>Through 100% Editora Factum, bid for a pair of dark fibres in an equal consortium with TEF and Megacable</t>
  </si>
  <si>
    <t>20 year lease on 19,457km of dark-fibre optic capacity</t>
  </si>
  <si>
    <t>Aims to target business and households</t>
  </si>
  <si>
    <t>Total GTAC investment of Ps1.3bn in 2010 and Ps290m in 2011`</t>
  </si>
  <si>
    <t>Bestel - double check this</t>
  </si>
  <si>
    <t>Acquisition, investments a theme here..</t>
  </si>
  <si>
    <t>Distribute Telemundo content (incs Telenovelas)</t>
  </si>
  <si>
    <t>Very high margin (46% in 2011 operating income margin)</t>
  </si>
  <si>
    <t>18 minutes per day of mandatory public service announcements, and 30 mins for public programming (Offical Television Broadcast Time)</t>
  </si>
  <si>
    <t>Pay TV in Mexico</t>
  </si>
  <si>
    <t>Echostar (49%) owns Dish Mexico with MVS (51%)</t>
  </si>
  <si>
    <t>Dish and AMX (Telmex) are closely affilicated</t>
  </si>
  <si>
    <t>Holds a commercial alliance with Telmex, which renders billing and logistic services given Telmex restrictions on offering TV</t>
  </si>
  <si>
    <t>Dish</t>
  </si>
  <si>
    <t>Carlos Madrazo</t>
  </si>
  <si>
    <t>Investor Relations Officer</t>
  </si>
  <si>
    <t>María José Cevallos</t>
  </si>
  <si>
    <t>Investor Relations Manager</t>
  </si>
  <si>
    <t>Grupo Televisa S.A.B.</t>
  </si>
  <si>
    <t>Investor Relations</t>
  </si>
  <si>
    <t>Av. Vasco de Quiroga No. 2000, </t>
  </si>
  <si>
    <t>Edif. A, Piso 4</t>
  </si>
  <si>
    <t>Delegación Álvaro Obregón</t>
  </si>
  <si>
    <t>Col. Santa Fe, Mexico, D.F. 01210</t>
  </si>
  <si>
    <t>Tel +52 (55) 5261 2445</t>
  </si>
  <si>
    <t>Fax +52 (55) 5261 2494</t>
  </si>
  <si>
    <t>ir@televisa.com.mx</t>
  </si>
  <si>
    <t>Football</t>
  </si>
  <si>
    <t>Football rights historically sold individually by club, to Televisa or TV Azteca (Salinas)</t>
  </si>
  <si>
    <t>Both companies owned clubs (or stakes in) teams</t>
  </si>
  <si>
    <t>Slim has now bought into 30% of Grupo Pachuca (Pachuca and Club Leon)</t>
  </si>
  <si>
    <t>Club Leon have since sold their rights to Fox Sports</t>
  </si>
  <si>
    <t>Slim appears to be breaking the hegemony over football rights</t>
  </si>
  <si>
    <t>Dec-12 chat</t>
  </si>
  <si>
    <t>Pact signed</t>
  </si>
  <si>
    <t>Number of commitments made by the President. Which other parties signed, which is surprising</t>
  </si>
  <si>
    <t>More competition on telecoms but non-specific. Regulate the dominant operator</t>
  </si>
  <si>
    <t>Want to be re-appointed in 2018</t>
  </si>
  <si>
    <t>Opposition parties now have a checklist</t>
  </si>
  <si>
    <t>Group Carso have not said they have an interest in broadcasting</t>
  </si>
  <si>
    <t xml:space="preserve">Important to show there is </t>
  </si>
  <si>
    <t>Former government - had opposition in the Congress</t>
  </si>
  <si>
    <t>If govt doesn't make changes…it won't work</t>
  </si>
  <si>
    <t>Becoming increasingly competitive</t>
  </si>
  <si>
    <t>Pricing is becoming a key element</t>
  </si>
  <si>
    <t>won't see the sort of margins we have seen in the past. 50% margin in mexico are gone</t>
  </si>
  <si>
    <t>80% of Content negotiated at the moment. Concluded by YE 2012.</t>
  </si>
  <si>
    <t>30% is paid as cash, balance is short-term notes (3-4 months)</t>
  </si>
  <si>
    <t>When report Q4 results…</t>
  </si>
  <si>
    <t>Volatility in 2012 leads to strange growth rates in 2013</t>
  </si>
  <si>
    <t>Carlos meets investors..exec VIP, CFO also..</t>
  </si>
  <si>
    <t>Alfonso - top 5/7 investors</t>
  </si>
  <si>
    <t>Q2 13 results</t>
  </si>
  <si>
    <t>Economic growth slow for so many companies</t>
  </si>
  <si>
    <t>New and revampled Channel 5 to be launched</t>
  </si>
  <si>
    <t>Must offer revs will fall from September. Can't guide on this</t>
  </si>
  <si>
    <t>Government ad spend?</t>
  </si>
  <si>
    <t>Most private sector clients increased spend</t>
  </si>
  <si>
    <t>18 Pay TV network offered by Televisa</t>
  </si>
  <si>
    <t>Licencing and syndication: Sales from around the World strong, but offset by US$ (all sales in US$)</t>
  </si>
  <si>
    <t>Q&amp;A</t>
  </si>
  <si>
    <t>Comment on the Mexican mobile market, any changes in Q2 of note</t>
  </si>
  <si>
    <t>Is economic easing having an impact?</t>
  </si>
  <si>
    <t>What is the size of the debt at Iusacell. Net debt position today? Vendor financing?</t>
  </si>
  <si>
    <t>What was the size of the FX charge in associates?</t>
  </si>
  <si>
    <t xml:space="preserve">SKY growth rates: H1 running below the level of 2012. </t>
  </si>
  <si>
    <t>Weaker ad spend from the government. Is this a timing issue?</t>
  </si>
  <si>
    <t>How much will PRI advertise with us. Not advertising today</t>
  </si>
  <si>
    <t>When must offer becomes effective</t>
  </si>
  <si>
    <t>only the OTA will be free of charge, and only in certain markets</t>
  </si>
  <si>
    <t>Advertising sales have been extremely strong, partly offsetting government</t>
  </si>
  <si>
    <t>Budget will not be fully allocated in H2</t>
  </si>
  <si>
    <t>Several quarters before profitability at Iusacell</t>
  </si>
  <si>
    <t>Advertising spend running below inflaton and nominal GDP?</t>
  </si>
  <si>
    <t>Capex guidance at $1bn, US$ denominated</t>
  </si>
  <si>
    <t>cable</t>
  </si>
  <si>
    <t>sky</t>
  </si>
  <si>
    <t>content</t>
  </si>
  <si>
    <t>$400m capital is for over a 3 year period. Will be front end loaded. Company is performing better. Cash needs more in the first year</t>
  </si>
  <si>
    <t>Network, coverage and other…</t>
  </si>
  <si>
    <t>Bestel margin sustainable at 37%?</t>
  </si>
  <si>
    <t>In the 30%s is sustainable</t>
  </si>
  <si>
    <t>Positive on Iusacell</t>
  </si>
  <si>
    <t>TEF roaming deal is helping</t>
  </si>
  <si>
    <t>Data service is superior to competitors</t>
  </si>
  <si>
    <t>Univision…coming in ahead of guidance for the FY</t>
  </si>
  <si>
    <t>Guidance remains, even though it implies a slight slowdown</t>
  </si>
  <si>
    <t>Q2 13 follow up</t>
  </si>
  <si>
    <t>Government spend</t>
  </si>
  <si>
    <t>Across a number of sectors</t>
  </si>
  <si>
    <t>Similar issue 12 years ago, PRI to the PAN (2000). 9% drop in govt spending</t>
  </si>
  <si>
    <t>Energy and tax reforms are more dodgy. Will spend here</t>
  </si>
  <si>
    <t>Will not say what govt spend as % advertising is</t>
  </si>
  <si>
    <t>Only give guidance on Content, with 80% of advertising on upfront</t>
  </si>
  <si>
    <t>"must be lower due to must offer"</t>
  </si>
  <si>
    <t xml:space="preserve">private sector has been strong </t>
  </si>
  <si>
    <t>selling more to make up for lost sales?</t>
  </si>
  <si>
    <t>expecting a dynamic H2</t>
  </si>
  <si>
    <t>expect govt rev spend to pick up going forward..</t>
  </si>
  <si>
    <t>Is "Other" EBITDA more sustainable?</t>
  </si>
  <si>
    <t>Gaming business (28 bingo halls, lottery business) doing well. and radio</t>
  </si>
  <si>
    <t>Shut down publishing in Chile, sold a football team</t>
  </si>
  <si>
    <t xml:space="preserve">Bestel? </t>
  </si>
  <si>
    <t>Difficult to predict</t>
  </si>
  <si>
    <t>Q2 long distance had a good quarter this time. Signed some contracts, terminating some calls</t>
  </si>
  <si>
    <t>Won't give the FX hit</t>
  </si>
  <si>
    <t>Must offer, must carry</t>
  </si>
  <si>
    <t>1.96/month</t>
  </si>
  <si>
    <t>1.70/month for the over the air channels, as part of the Iusacell transaction</t>
  </si>
  <si>
    <t xml:space="preserve">The eight article indicates that Pay-TV concessionaires via satellite will have to rebroadcast channels </t>
  </si>
  <si>
    <t xml:space="preserve">broadcasted on 50% or more of the national territory (must carry), one Ifetel is established (Gabriel Oswaldo </t>
  </si>
  <si>
    <t>Contreras Saldívar was recently named President Commissioner). In turn, Free-To-Air TV channels must be available to Pay-TV operators free of charge (must offer)</t>
  </si>
  <si>
    <t>Pre Q3 2013</t>
  </si>
  <si>
    <t>Must offer/carry</t>
  </si>
  <si>
    <t xml:space="preserve">Reform says when IFETEL </t>
  </si>
  <si>
    <t xml:space="preserve">Secondary law is needed. Reform is not specific enough. Dec 12, 2013. </t>
  </si>
  <si>
    <t>spot beam satellites should be utilised</t>
  </si>
  <si>
    <t>DISH does not have this. Taken a mexico city and using it nationally. Copyright is being infringed for content providers</t>
  </si>
  <si>
    <t>Take the feed from the air</t>
  </si>
  <si>
    <t>Televisa is not going to lose anything from DISH</t>
  </si>
  <si>
    <t>DISH without reform was already including channels (on an analogue feed, so poorer quality)</t>
  </si>
  <si>
    <t>20 channels in basic DISH vs 20 channels from SKY. Exclude OTA air channels. Agg rating points for SKY is x2 the level of DISH</t>
  </si>
  <si>
    <t>this is why SKY is growing faster</t>
  </si>
  <si>
    <t>Still negotiating with the operators. Megacable is the major one.</t>
  </si>
  <si>
    <t>Likely to be some time in September, but could be December</t>
  </si>
  <si>
    <t>Won't know what the new rates are</t>
  </si>
  <si>
    <t>Will differ from operator to operator</t>
  </si>
  <si>
    <t>Commercial rates</t>
  </si>
  <si>
    <t>Not practical to talk about dominance on pay TV</t>
  </si>
  <si>
    <t>Doesn't say anything in the Reform documentation</t>
  </si>
  <si>
    <t>Not expensive (unlike telephony) and doesn't support growth</t>
  </si>
  <si>
    <t>Q3 13 conference call</t>
  </si>
  <si>
    <t>47% pay tv pen today</t>
  </si>
  <si>
    <t>$12m equity injection.. $100m in total of $400m</t>
  </si>
  <si>
    <t>Cablecom - capex spend here. Convert debentures. Subject to IFETEL, will convert to capital</t>
  </si>
  <si>
    <t>Timeline here - no decision on when to convert the debentures. Within a 10 year period</t>
  </si>
  <si>
    <t>Invest heavily in cable over the next couple of years. Then will fall..</t>
  </si>
  <si>
    <t>BB subs in particular will be strong</t>
  </si>
  <si>
    <t>Cable needs scale and needs to be a national platform</t>
  </si>
  <si>
    <t>Univision IPO</t>
  </si>
  <si>
    <t>no decision on Univision going public</t>
  </si>
  <si>
    <t>very attractive and appealing for an IPO</t>
  </si>
  <si>
    <t>banks proposing IPO</t>
  </si>
  <si>
    <t>foreign ownership cap (25%) potentially being discussed at the FCC. Case by case basis on broadcasting licences</t>
  </si>
  <si>
    <t>voted next month</t>
  </si>
  <si>
    <t>in essence would be able to buy 100% of equity or convert debentures into equity</t>
  </si>
  <si>
    <t>will explore the possibility of both</t>
  </si>
  <si>
    <t>reciprocity? Potentially FOX/NBC to enter Mexico?</t>
  </si>
  <si>
    <t>In Mexico…embodied in the constitution?</t>
  </si>
  <si>
    <t>Subs adds on pay TV?</t>
  </si>
  <si>
    <t>SKY 1m subs per year for last 4 years</t>
  </si>
  <si>
    <t>World Cup is important for SKY. Upbeat for next few years</t>
  </si>
  <si>
    <t>Cable margins</t>
  </si>
  <si>
    <t xml:space="preserve">Remain at 35% </t>
  </si>
  <si>
    <t>Secondary laws…need to be approved within 180 days. June 11, so approved mid Dec</t>
  </si>
  <si>
    <t>$380m of capex at SKY</t>
  </si>
  <si>
    <t>recognise $70m this year</t>
  </si>
  <si>
    <t>growth related</t>
  </si>
  <si>
    <t>Soccer had a good result, and sold a couple of players</t>
  </si>
  <si>
    <t>how much?</t>
  </si>
  <si>
    <t>Gaming. P$2bn pesos here</t>
  </si>
  <si>
    <t>low single digit growth</t>
  </si>
  <si>
    <t>Movies very cyclical, depends on the movies</t>
  </si>
  <si>
    <t>Radio better - and should be maintained</t>
  </si>
  <si>
    <t>Magasine distribution…a headache for Televisa. Results terrible. Migrating to digital.</t>
  </si>
  <si>
    <t>lost 50% of EBITDA in the quarter</t>
  </si>
  <si>
    <t>only own the distribution as own the mags</t>
  </si>
  <si>
    <t>Netflix relationship</t>
  </si>
  <si>
    <t>Making progress. Signed deals with Netflix, others</t>
  </si>
  <si>
    <t>Plans to launch an aggregator…based on Televisa libararies</t>
  </si>
  <si>
    <t>next few months</t>
  </si>
  <si>
    <t>Continues to outgrow the market</t>
  </si>
  <si>
    <t>"Live in a challenging environment"</t>
  </si>
  <si>
    <t>Post Q3 2013 questions</t>
  </si>
  <si>
    <t>How to think about Advertising moving into Q4</t>
  </si>
  <si>
    <t>Govt spending partially back</t>
  </si>
  <si>
    <t>A small increase in Q3 vs Q2</t>
  </si>
  <si>
    <t>Government spending…?</t>
  </si>
  <si>
    <t>Spending on energy and fiscal reforms?</t>
  </si>
  <si>
    <t>Private spending had been strong as of Q2..where are we now?</t>
  </si>
  <si>
    <t>Private sector strong H1, OK since. Not overly dynamic</t>
  </si>
  <si>
    <t>Ad spend is only partly cyclical</t>
  </si>
  <si>
    <t>Televisa is seen as being a defensive play. Ad spend for Televisa is lower</t>
  </si>
  <si>
    <t>2009 - Televisa saw growing ad spend when Mexican economy fell 6%</t>
  </si>
  <si>
    <t>What's happening to Licensing and Syndication "other" i.e. ex Univision?</t>
  </si>
  <si>
    <t>No growth in Netflix. The rest is typical volatility in international. Revs booked on a cash basis</t>
  </si>
  <si>
    <t>3000 hours out of 50000 hours available. Non-exclusive</t>
  </si>
  <si>
    <t>Televisa to launch its own aggregator</t>
  </si>
  <si>
    <t>not getting to excited about this just yet. Not enough BB coverage in Mexico. Making sure not reliant on others</t>
  </si>
  <si>
    <t xml:space="preserve">Updated thoughts on must offer and must carry. </t>
  </si>
  <si>
    <t>must offer: Sept 15. constitutional requirement. Billing on a new basis</t>
  </si>
  <si>
    <t>customers paying based on their interpretation. Discrepancy here which will be resolved</t>
  </si>
  <si>
    <t>megacable is the main issue, as the main customer</t>
  </si>
  <si>
    <t>what's the delay?</t>
  </si>
  <si>
    <t>took a small provision for the last couple of weeks of the quarter?</t>
  </si>
  <si>
    <t>Not a provision, but a deduction from revenue for 15 days</t>
  </si>
  <si>
    <t>Not disclosing the size</t>
  </si>
  <si>
    <t>Reflects Televisa's new lower price</t>
  </si>
  <si>
    <t>who is paying for the channels today, aside from owned networks</t>
  </si>
  <si>
    <t>will be applied from a certain date, retroactively</t>
  </si>
  <si>
    <t>Sept 15 - new deals started</t>
  </si>
  <si>
    <t>Channel 22 (state owned) getting winter olympics</t>
  </si>
  <si>
    <t>What's the bigger picture here with AMX</t>
  </si>
  <si>
    <t xml:space="preserve">Revamped Channel 5 </t>
  </si>
  <si>
    <t>why?</t>
  </si>
  <si>
    <t>Cable consolidation theme. When might Cablecom be consolidated?</t>
  </si>
  <si>
    <t>latest on Cablevision deal?</t>
  </si>
  <si>
    <t>Run through moving parts in Cable</t>
  </si>
  <si>
    <t>What's the latest with SKY, capex etc?</t>
  </si>
  <si>
    <t>$380m in total. $70m in 2013, 2014 for rest and small 2015 spill over possible.</t>
  </si>
  <si>
    <t>Call with Univision</t>
  </si>
  <si>
    <t>Renegotiation</t>
  </si>
  <si>
    <t>affiliate fees and renewals</t>
  </si>
  <si>
    <t>Comcast still coming</t>
  </si>
  <si>
    <t>EBITDA CAGR could be mid-teens for some time</t>
  </si>
  <si>
    <t>Discovery style channel proliferation</t>
  </si>
  <si>
    <t>Deal with ABC</t>
  </si>
  <si>
    <t>Q4 2013</t>
  </si>
  <si>
    <t>grows in-line with GDP, difficult year for the economy</t>
  </si>
  <si>
    <t>other analysts are a little lower</t>
  </si>
  <si>
    <t>consumer sector a little bit weak in Q4</t>
  </si>
  <si>
    <t>small government advertising in Q4. energy reform required a push</t>
  </si>
  <si>
    <t>still below 2011 level</t>
  </si>
  <si>
    <t>75 cents to $1.25 per month</t>
  </si>
  <si>
    <t>all the revs that are lost, directly go down to margin</t>
  </si>
  <si>
    <t>will lose Ps1-2bn in 2014</t>
  </si>
  <si>
    <t>most of the subs were on the 1.96/month</t>
  </si>
  <si>
    <t>60% of revs represented by the SKY, cable companies</t>
  </si>
  <si>
    <t>part of the margin will be reinvested</t>
  </si>
  <si>
    <t>OK</t>
  </si>
  <si>
    <t>Cable and telecom</t>
  </si>
  <si>
    <t>been investing in marketing and larger installation fleet</t>
  </si>
  <si>
    <t>Margins</t>
  </si>
  <si>
    <t>Content, all the lost revs impact margin</t>
  </si>
  <si>
    <t>So need to move numbers down</t>
  </si>
  <si>
    <t>Publishing…mid to high single digit</t>
  </si>
  <si>
    <t>SKY, should be a little benefit from network subscription</t>
  </si>
  <si>
    <t>Cable at 33%, captures higher marketing. Buy maybe some benefit from must offer</t>
  </si>
  <si>
    <t>Overall margin looks sensible</t>
  </si>
  <si>
    <t>Advertising mid to high single digit growth. Could be a little optimistic</t>
  </si>
  <si>
    <t>A lot of optimism for GDP… central bank at 3-3.5%. They were at 4% for 2013, came in at 1%</t>
  </si>
  <si>
    <t>Network subscription at R$1.5bn loss. Important impact on margins. 46% looks ambitious</t>
  </si>
  <si>
    <t>univision etc looks fine</t>
  </si>
  <si>
    <t>SKY. Might be a little optimistic. Slowdown in growth</t>
  </si>
  <si>
    <t>Cable and telco looks ok</t>
  </si>
  <si>
    <t>Content the key thing</t>
  </si>
  <si>
    <t>SKY slowdown in RGUs given where TV penetration is.</t>
  </si>
  <si>
    <t>Will not add another 1m subs</t>
  </si>
  <si>
    <t>Stage 2, is to raise prices</t>
  </si>
  <si>
    <t>Increase the recharge rate</t>
  </si>
  <si>
    <t>25-30% RGU increase</t>
  </si>
  <si>
    <t>more risk to the customer on RGU price upside</t>
  </si>
  <si>
    <t>Sell out of SKY Mexico</t>
  </si>
  <si>
    <t>concern of dominance on pay TV. So sell SKY</t>
  </si>
  <si>
    <t>reality is that reform talks about preponderance in terms of telecom</t>
  </si>
  <si>
    <t>more confidence that this view will be respected</t>
  </si>
  <si>
    <t>broadcasting will be assessed for preponderance. But implicitly not TV</t>
  </si>
  <si>
    <t>unlikely to see a sale therefore</t>
  </si>
  <si>
    <t>Reform schedule. Signed through Feb now</t>
  </si>
  <si>
    <t xml:space="preserve">6m after formation of IFETEL. March 11 </t>
  </si>
  <si>
    <t>assymmetry</t>
  </si>
  <si>
    <t>auctioning of broadcast spexctrum</t>
  </si>
  <si>
    <t>Secondary laws. Dec 12/13</t>
  </si>
  <si>
    <t>how will reform be implemented</t>
  </si>
  <si>
    <t>Q1 2014</t>
  </si>
  <si>
    <t>IPO at Univision?</t>
  </si>
  <si>
    <t>PE owners want to divest, sooner rather than later</t>
  </si>
  <si>
    <t>Leverage is high, need to grow EBITDA</t>
  </si>
  <si>
    <t>13-15x EBITDA is the target</t>
  </si>
  <si>
    <t>5-6x is the sort of level</t>
  </si>
  <si>
    <t>organically about x1 deleveraging per year</t>
  </si>
  <si>
    <t>primary offering to lower leverage</t>
  </si>
  <si>
    <t>Renewal phase for a lot of content in 2016</t>
  </si>
  <si>
    <t>50% of content is Televisa</t>
  </si>
  <si>
    <t>Grupo Hevi asset - find out next month. Both megacable and televisa looking</t>
  </si>
  <si>
    <t>JVs with wifi with televisa. $550m or so</t>
  </si>
  <si>
    <t xml:space="preserve">poison pill…any acquirer has to pay a 30% premium on highest equity for last 10 years </t>
  </si>
  <si>
    <t>20-22% of sales</t>
  </si>
  <si>
    <t>digitalise everything by end of the year</t>
  </si>
  <si>
    <t>some margin progression</t>
  </si>
  <si>
    <t>peso through 13, 50% of the lost absorbed by the programmer</t>
  </si>
  <si>
    <t>100 MB for 65% of network, 100% by end of year</t>
  </si>
  <si>
    <t>foreign ownership</t>
  </si>
  <si>
    <t>net cash for</t>
  </si>
  <si>
    <t>Q4 13 follow-up</t>
  </si>
  <si>
    <t xml:space="preserve">Ifetel has ruled TV and Azteca must continue to allow pay-TV companies, including Dish, to retransmit broadcast channels that cover more than 50% of the Mexican population. </t>
  </si>
  <si>
    <t>Includes TV's channels 2 and 5, and Azteca's channels 7 and 13 - they key channels.</t>
  </si>
  <si>
    <t xml:space="preserve">Pay-TV providers to stop free retransmission of other broadcast channels such as channels 9 and 40, as POPs&lt; 50%. </t>
  </si>
  <si>
    <t>1.5% stake in Univision</t>
  </si>
  <si>
    <t>David Goel</t>
  </si>
  <si>
    <t>Tiger Hedge Fund</t>
  </si>
  <si>
    <t>Matrix Capital</t>
  </si>
  <si>
    <t>Margin for Content in Q1.</t>
  </si>
  <si>
    <t>Advertising - costs amortised in Q2, World Cup</t>
  </si>
  <si>
    <t>SKY, started marketing World Cup in Q4</t>
  </si>
  <si>
    <t>2010 World Cup</t>
  </si>
  <si>
    <t>$25-30m for the rights</t>
  </si>
  <si>
    <t>Higher churn from competitors, also the sale of tablets last summer</t>
  </si>
  <si>
    <t>Mexico city in particular is strong</t>
  </si>
  <si>
    <t>not losing market share</t>
  </si>
  <si>
    <t>Dominance</t>
  </si>
  <si>
    <t>Yes complying with rulings</t>
  </si>
  <si>
    <t>Some need further clarification</t>
  </si>
  <si>
    <t xml:space="preserve">difficult to </t>
  </si>
  <si>
    <t>Performing better</t>
  </si>
  <si>
    <t>Remaining $300m projected is sufficient (equity injection)</t>
  </si>
  <si>
    <t>Ps200m savings from MTR cut</t>
  </si>
  <si>
    <t>Almost impossible to compete today</t>
  </si>
  <si>
    <t>Net neutrality</t>
  </si>
  <si>
    <t>Ability in the US for pipes to charge content providers for prioritised access</t>
  </si>
  <si>
    <t>potentially being amended in the US</t>
  </si>
  <si>
    <t>If invest in networks, should pay for this</t>
  </si>
  <si>
    <t>can benefit on the Content side</t>
  </si>
  <si>
    <t>Q1 14 follow up</t>
  </si>
  <si>
    <t>Other licence and syndication - trends here?</t>
  </si>
  <si>
    <t>tax rate low in Q1?</t>
  </si>
  <si>
    <t>Pre Q2 14</t>
  </si>
  <si>
    <t>Negative Easter effect in Q2. So advertising growth will be mid-single digit</t>
  </si>
  <si>
    <t>World Cup has some relevance but not so much</t>
  </si>
  <si>
    <t xml:space="preserve"> - Mexico - ratings are very high, but elsewhere less so. Broadcast the same matches as Azteca</t>
  </si>
  <si>
    <t>only a few hours</t>
  </si>
  <si>
    <t>FY, World Cup a wash at EBITDA. A little worse in Q2, a little better in Q3</t>
  </si>
  <si>
    <t>2010 - 1st to second Q. Ps440m incremental costs (total)</t>
  </si>
  <si>
    <t>Nominal costs (not disclosed) as bidding with Azteca</t>
  </si>
  <si>
    <t>Q4 and Q1 - unsuccessful shows. Telenovelas not working</t>
  </si>
  <si>
    <t>La Tempesta</t>
  </si>
  <si>
    <t>May numbers were stronger</t>
  </si>
  <si>
    <t>Main network, ratings down. Unimas (FTA TV channel - beating Telemundo certain nights) and cable, ratings were better</t>
  </si>
  <si>
    <t>Unimas</t>
  </si>
  <si>
    <t>a little more edgy</t>
  </si>
  <si>
    <t>Secondary Laws</t>
  </si>
  <si>
    <t>Likely to be ready in July</t>
  </si>
  <si>
    <t>Improvement in associate income? How much due to Iusacell (GSF), how much Univision (BMP)</t>
  </si>
  <si>
    <t>How much of the Iusacell contribution came from MTRs?</t>
  </si>
  <si>
    <t>national roaming also supportive..by how much?</t>
  </si>
  <si>
    <t>Plans for Iusacell over the next 6 months</t>
  </si>
  <si>
    <t>MVNO, small cells, macro network?</t>
  </si>
  <si>
    <t>Pick up in KPIs at SKY and Cable, notably on TV. Market growth, or share gains?</t>
  </si>
  <si>
    <t>Content margins in Q3 to bounce back following lower World Cup costs. Happy with the 44% guidance?</t>
  </si>
  <si>
    <t>where are we with Univision sale?</t>
  </si>
  <si>
    <t>On the content side, how much was Easter affect and how much World Cup?</t>
  </si>
  <si>
    <t>Conf call</t>
  </si>
  <si>
    <t>Difficult Q2 comp, due to Easter. Despite support from World Cup</t>
  </si>
  <si>
    <t>$315m royalties for FY guidance confirmed</t>
  </si>
  <si>
    <t>Maintain 44% guidance for margins, despite Q2 weakness from World Cup costs</t>
  </si>
  <si>
    <t>World Cup drove KPIs on SKY, cable</t>
  </si>
  <si>
    <t>World Cup - Televisa delivered better viewing figures than competition with the same games. Two thirds of the audience</t>
  </si>
  <si>
    <t>new shows, not traditionally covered by Channel 2. (didn't catch names)</t>
  </si>
  <si>
    <t>content developing</t>
  </si>
  <si>
    <t>on-line viewers important, even though viewers were limited. Capture an important part of Mexican on-line market</t>
  </si>
  <si>
    <t>looking for deals with 3rd party providers</t>
  </si>
  <si>
    <t>Some content budgets moved from H2 into Q2</t>
  </si>
  <si>
    <t>UFC network and xxx premiere launched. A la carte channels</t>
  </si>
  <si>
    <t>No 1 provider in the last 2 weeks of Q2</t>
  </si>
  <si>
    <t>Mexico vs Neths</t>
  </si>
  <si>
    <t>Unimas - prime time audience growth of 17% vs comparable weeks</t>
  </si>
  <si>
    <t>Remain cautious for the remainder of the year</t>
  </si>
  <si>
    <t>Iusacell - where next?</t>
  </si>
  <si>
    <t>secondary laws still being discussed in House of Representatives. So no comment</t>
  </si>
  <si>
    <t>royalties coming through from extra Univision World Cup revenues</t>
  </si>
  <si>
    <t>yes, as part of the agreement. Even though televisa did not provide the content</t>
  </si>
  <si>
    <t>Q2 change at Iusacell?</t>
  </si>
  <si>
    <t>8m subs in 2013. 9% in 2013</t>
  </si>
  <si>
    <t>operating challenges remain…supressing growth</t>
  </si>
  <si>
    <t>positive EBITDA in Q2</t>
  </si>
  <si>
    <t>Ps200m savings on a FY basis</t>
  </si>
  <si>
    <t>Ps45m this quarter</t>
  </si>
  <si>
    <t>Univision sale</t>
  </si>
  <si>
    <t>no decision had been made</t>
  </si>
  <si>
    <t>largest shareholder on a full diluted basis</t>
  </si>
  <si>
    <t>Macro</t>
  </si>
  <si>
    <t>Signs from spot sales, or subs - turning point possible</t>
  </si>
  <si>
    <t>DirecTV</t>
  </si>
  <si>
    <t>discussions with AT&amp;T? Yes, we're in touch</t>
  </si>
  <si>
    <t>good relationship with Mike White and his team</t>
  </si>
  <si>
    <t>Cash injections into Iusacell</t>
  </si>
  <si>
    <t>draft in Senate points to a good solution for Iusacell</t>
  </si>
  <si>
    <t>no money into Iusacell this year. Would do if there was an opportunity</t>
  </si>
  <si>
    <t>Regulation</t>
  </si>
  <si>
    <t>Senate - by sector, not by service. Relevant for pay TV</t>
  </si>
  <si>
    <t>Subs at SKY</t>
  </si>
  <si>
    <t>boosted from non-exclusive soccer in Q2? Will they cancel</t>
  </si>
  <si>
    <t>continue to see very good profitability</t>
  </si>
  <si>
    <t>mid to high 40%s</t>
  </si>
  <si>
    <t>revs up 25% but down on the Q1 trends</t>
  </si>
  <si>
    <t>Q3 2014</t>
  </si>
  <si>
    <t>Numbers broadly in-line with consensus</t>
  </si>
  <si>
    <t>Most businesses are pretty steady</t>
  </si>
  <si>
    <t>Advertising very volatile - need to look on a LTM basis</t>
  </si>
  <si>
    <t>Q2: some of the budgets from Q3 moved to Q2</t>
  </si>
  <si>
    <t xml:space="preserve">Macro environment hasn't picked yet. </t>
  </si>
  <si>
    <t>Fiscal reform was very dramatic, take time for lower household income to take on board</t>
  </si>
  <si>
    <t>taxes for population up materially. Middle classes generally</t>
  </si>
  <si>
    <t>Investment delayed due to delays over constitutional reforms</t>
  </si>
  <si>
    <t>secondary laws. Telecom/energy in Q3</t>
  </si>
  <si>
    <t>US economy improving, better into 2015</t>
  </si>
  <si>
    <t>Iusacell - right off will be in q3</t>
  </si>
  <si>
    <t>not yet signed off</t>
  </si>
  <si>
    <t>better in the last few months in terms of ratings</t>
  </si>
  <si>
    <t>focus on revenue, but re-transmission revenue will be key</t>
  </si>
  <si>
    <t>Board members</t>
  </si>
  <si>
    <t>large board - 16 on the board remaining</t>
  </si>
  <si>
    <t>Gonzalez's son joined Committee AMX created for strategic alternatives</t>
  </si>
  <si>
    <t>German - learnt from Mex media he had decided to bid. Unprofessional</t>
  </si>
  <si>
    <t>he is trying to resolve issues with the government. Environmental disaster</t>
  </si>
  <si>
    <t>sulphuric acid leak from one of his companies</t>
  </si>
  <si>
    <t>grupo mexico - 3rd largest copper producer in the world</t>
  </si>
  <si>
    <t>One month of cable</t>
  </si>
  <si>
    <t>Post Q3 2014</t>
  </si>
  <si>
    <t>Why such a big revs change?</t>
  </si>
  <si>
    <t>split of up front and spot? Can spot make such an impact?</t>
  </si>
  <si>
    <t>calorific</t>
  </si>
  <si>
    <t>also a new tax imposed on them. 10-15% passed onto customers</t>
  </si>
  <si>
    <t>therefore a general impact on consumer demand</t>
  </si>
  <si>
    <t>q2 should have been negatively impacted by easter week, and it wasn't. which tells you how much Q3 revs were brought forward</t>
  </si>
  <si>
    <t>macro key</t>
  </si>
  <si>
    <t>should look at it on a LTM basis. Plus 3.7% or so y/y</t>
  </si>
  <si>
    <t>2011 - grupo carso walked away: 4% loss of revenue overnight. Maintained margins</t>
  </si>
  <si>
    <t>Cost cutting?</t>
  </si>
  <si>
    <t xml:space="preserve">a lot of flexibility on costs. </t>
  </si>
  <si>
    <t>$40,000 per episode to produced a cooking program. $5000 to buy at the trade fairs</t>
  </si>
  <si>
    <t>upfront</t>
  </si>
  <si>
    <t>commitment from Day 1</t>
  </si>
  <si>
    <t>Q1 - mostly upfront (20% pricing discount), with complement</t>
  </si>
  <si>
    <t>use it or lose it</t>
  </si>
  <si>
    <t xml:space="preserve">Q2 - slips slighly to more spot </t>
  </si>
  <si>
    <t>Q4 - more buys comes from spot</t>
  </si>
  <si>
    <t>upfront trends and Ad revs - not highly correlated. Upfront often more to do with cash management</t>
  </si>
  <si>
    <t>80% upfront, 20% spot</t>
  </si>
  <si>
    <t>growth of 9%</t>
  </si>
  <si>
    <t>exports - Azteca America</t>
  </si>
  <si>
    <t>down to 7%</t>
  </si>
  <si>
    <t>colombian fibre</t>
  </si>
  <si>
    <t>soccer team they accounted for</t>
  </si>
  <si>
    <t>had a very easy comp with Q3 last year?</t>
  </si>
  <si>
    <t>3% underlying growth</t>
  </si>
  <si>
    <t>Check Cablecom coverage</t>
  </si>
  <si>
    <t>very spread out</t>
  </si>
  <si>
    <t>Capex spend…confirm what's spent, rest for Q4?</t>
  </si>
  <si>
    <t>not yet confirmed for 2015</t>
  </si>
  <si>
    <t>smallish number for Q4</t>
  </si>
  <si>
    <t>Cablecom EBITDA margins are high</t>
  </si>
  <si>
    <t>some investments needed</t>
  </si>
  <si>
    <t>High single digit growth</t>
  </si>
  <si>
    <t>How many homes passed at Cablecom?</t>
  </si>
  <si>
    <t xml:space="preserve">Is there any cable overlap between any of the Televisa companies, inc. Cablecom, and Megacable? </t>
  </si>
  <si>
    <t>Plans for mobile</t>
  </si>
  <si>
    <t>Auction expectations</t>
  </si>
  <si>
    <t>Check foreign ownership restrictions on Mexican media</t>
  </si>
  <si>
    <t>Size of option re-evaluation</t>
  </si>
  <si>
    <t>Taxes low</t>
  </si>
  <si>
    <t>iusacell write down</t>
  </si>
  <si>
    <t>Settlement issues with Nielsen</t>
  </si>
  <si>
    <t>2011 issue. Ratings were not trusted</t>
  </si>
  <si>
    <t>Capex booked so far includes satellite?</t>
  </si>
  <si>
    <t>$70m in 2013, $100m in 2014 and 2015. balance in 2016</t>
  </si>
  <si>
    <t>Other expense, net</t>
  </si>
  <si>
    <t>stripping out the Iusacell write-down</t>
  </si>
  <si>
    <t>Other licensing and syndication improvement?</t>
  </si>
  <si>
    <t>Pre Q4 2014</t>
  </si>
  <si>
    <t>Happy with Q4 ad revenue, of -0.5%</t>
  </si>
  <si>
    <t>economy continues to be weak</t>
  </si>
  <si>
    <t>expansion with AT&amp;T</t>
  </si>
  <si>
    <t>mobile?</t>
  </si>
  <si>
    <t>not in a capital intensive way</t>
  </si>
  <si>
    <t>pay TV</t>
  </si>
  <si>
    <t>official view - an investigation from AMX.</t>
  </si>
  <si>
    <t>ongoing</t>
  </si>
  <si>
    <t>no timetable</t>
  </si>
  <si>
    <t>stake in univision?</t>
  </si>
  <si>
    <t>Jan 15 conf call</t>
  </si>
  <si>
    <t>A will of the regulator to things right</t>
  </si>
  <si>
    <t>LLU</t>
  </si>
  <si>
    <t>operators met to determine ULL</t>
  </si>
  <si>
    <t>no agreement reached. Has gone to IFT</t>
  </si>
  <si>
    <t>Dec 23rd - launched public consultation</t>
  </si>
  <si>
    <t>opportunity for everyone to present views</t>
  </si>
  <si>
    <t>terms (inc rates) should be set H1 2015</t>
  </si>
  <si>
    <t>2-3 years for anyone to truly benefit</t>
  </si>
  <si>
    <t>Interconnect</t>
  </si>
  <si>
    <t>zero MTR to Telcel</t>
  </si>
  <si>
    <t>Dec 29 2014 - IFT Telcel/Telmex pay 0.2505</t>
  </si>
  <si>
    <t>Paying 0.3 previously</t>
  </si>
  <si>
    <t>Pay fixed ops - 0.004179</t>
  </si>
  <si>
    <t>No portability - from 3 days to 24 hours</t>
  </si>
  <si>
    <t>Nov 6th</t>
  </si>
  <si>
    <t>conditions were published</t>
  </si>
  <si>
    <t>effective 90 days after notice. Feb 4th</t>
  </si>
  <si>
    <t>Has to happen within 24 hours</t>
  </si>
  <si>
    <t>AMX split</t>
  </si>
  <si>
    <t>effective competition - herfendahl index</t>
  </si>
  <si>
    <t>in each of the relevant markets - mobile, fixed, data</t>
  </si>
  <si>
    <t>will take time before AMX can offer TV</t>
  </si>
  <si>
    <t>Access prices (terms and conditions of infrastructure)</t>
  </si>
  <si>
    <t>Due for renewal in June 2015</t>
  </si>
  <si>
    <t>dedicated local connections for LD</t>
  </si>
  <si>
    <t>shared use of passive infrastructure</t>
  </si>
  <si>
    <t>Telecel</t>
  </si>
  <si>
    <t>MVNO</t>
  </si>
  <si>
    <t xml:space="preserve">roaming </t>
  </si>
  <si>
    <t>interconnection</t>
  </si>
  <si>
    <t>Wholesale of telecom services</t>
  </si>
  <si>
    <t>700 MHz band and launch wholesaler</t>
  </si>
  <si>
    <t>Deloitte consulting to develop a business plan</t>
  </si>
  <si>
    <t>Q3 15 - we will know who this is</t>
  </si>
  <si>
    <t>Govt - $10bn project, $2bn from govt, $8bn from others</t>
  </si>
  <si>
    <t>Includes dark fibre infrastructureq</t>
  </si>
  <si>
    <t>need 8000 points of connection</t>
  </si>
  <si>
    <t>have 2000 federal buildings</t>
  </si>
  <si>
    <t>**</t>
  </si>
  <si>
    <t>Univision royalties growth?</t>
  </si>
  <si>
    <t>Change of control news at Univision (&lt;35%)</t>
  </si>
  <si>
    <t>Retransmission at 20% of Univision total</t>
  </si>
  <si>
    <t>mid-teens through to 2020 but nearer 10% for 2015</t>
  </si>
  <si>
    <t>$45m EBITDA swing (negative) in 2015</t>
  </si>
  <si>
    <t>Thoughts on the Incentive Auction…how thinking about this?</t>
  </si>
  <si>
    <t>Univision royalties?</t>
  </si>
  <si>
    <t xml:space="preserve">Other expenses up </t>
  </si>
  <si>
    <t>Thoughts on SKY, growth slowing. Willing to sell?</t>
  </si>
  <si>
    <t>Discussions with Telefonica</t>
  </si>
  <si>
    <t>FTA auction in Mexico - winners announced March 19th</t>
  </si>
  <si>
    <t>$ impact on the business</t>
  </si>
  <si>
    <t>Who's in the running for a broadcast licence in Mexico?</t>
  </si>
  <si>
    <t>D&amp;A charge high in Q4</t>
  </si>
  <si>
    <t>Cable RGUs strong. What's happening?</t>
  </si>
  <si>
    <t>Izzy performance…plan for further roll out?</t>
  </si>
  <si>
    <t>Further cable consolidation?</t>
  </si>
  <si>
    <t>Growth continues to slow at SKY..more willing to exit?</t>
  </si>
  <si>
    <t>running at high levels for capex in 2014</t>
  </si>
  <si>
    <t>% of ad sales from Genoma Web (consumer bellweather)</t>
  </si>
  <si>
    <t>important client</t>
  </si>
  <si>
    <t>Q4 was a recuperation over the uncertainty in Q3</t>
  </si>
  <si>
    <t>soccer, rates in Q4</t>
  </si>
  <si>
    <t>all the finals of the soccer leagues (semi finals, finals)</t>
  </si>
  <si>
    <t>a key part of the y/y growth</t>
  </si>
  <si>
    <t>owners bought in 2006</t>
  </si>
  <si>
    <t>sale most likely through a public offering</t>
  </si>
  <si>
    <t>probable over the next 12-18 months</t>
  </si>
  <si>
    <t>nothing</t>
  </si>
  <si>
    <t>Up front</t>
  </si>
  <si>
    <t>down about 10%...due to uncertainty</t>
  </si>
  <si>
    <t>scatter market will therefore be a bigger share</t>
  </si>
  <si>
    <t>Izzy launched in November</t>
  </si>
  <si>
    <t xml:space="preserve">response very good…but time to assess. </t>
  </si>
  <si>
    <t>further roll out in 2015/2016</t>
  </si>
  <si>
    <t>short to medium-term, capex will be higher in 2015 (acquisitions)</t>
  </si>
  <si>
    <t>1st Telenovela launched in the states, on Univision, ahead of Mexico</t>
  </si>
  <si>
    <t>improving a slot in the US</t>
  </si>
  <si>
    <t>"Other expenses"</t>
  </si>
  <si>
    <t>Ps290m when compared to Q4 to do with impairment charge on publishing in Argentina</t>
  </si>
  <si>
    <t>Pay TV investigation</t>
  </si>
  <si>
    <t>Ongoing at IFETEL</t>
  </si>
  <si>
    <t>There intensive competition. always +1 alternative competition</t>
  </si>
  <si>
    <t>Capex light, have learned their lesson</t>
  </si>
  <si>
    <t>10m subs, makes sense to offer mobile. right partner is key</t>
  </si>
  <si>
    <t>Follow up questions</t>
  </si>
  <si>
    <t>D&amp;A high?</t>
  </si>
  <si>
    <t>acquired another cable company</t>
  </si>
  <si>
    <t>Q4 decent run rate therefore</t>
  </si>
  <si>
    <t>Subs numbers at other cable cos</t>
  </si>
  <si>
    <t>not disclosed going forward</t>
  </si>
  <si>
    <t>When might close Grupo Hevi?</t>
  </si>
  <si>
    <t xml:space="preserve"> Jan 1</t>
  </si>
  <si>
    <t>checking on net debt</t>
  </si>
  <si>
    <t>Any more to say on cellular?</t>
  </si>
  <si>
    <t>Capex spend on cable</t>
  </si>
  <si>
    <t>thoughts on MEGA</t>
  </si>
  <si>
    <t>Capex at SKY - how much satellite?</t>
  </si>
  <si>
    <t>$100m satellite</t>
  </si>
  <si>
    <t>$350m in total from 2013 to 2016. $100m in 2014</t>
  </si>
  <si>
    <t>General thoughts on SKY growth</t>
  </si>
  <si>
    <t>in better macro, SKY will do much better. Due to sheer size of customer base, and very low price of TV offering.</t>
  </si>
  <si>
    <t xml:space="preserve">price for low-end offering is the same as 5 years ago. </t>
  </si>
  <si>
    <t>more cyclical than cable business</t>
  </si>
  <si>
    <t>low-end offering subs 4.5 subs. Pre-pay, recharge 75% of the time</t>
  </si>
  <si>
    <t>Working capital very negative in 2014?</t>
  </si>
  <si>
    <t>or, how much did FX impact net debt from 2013 YE</t>
  </si>
  <si>
    <t>Univision outlook</t>
  </si>
  <si>
    <t>royalties</t>
  </si>
  <si>
    <t>Ad revs side (bulk of TV) they have a tough comp from World Cup. Retrans - CFO insisted could x2 by end of decade, or double digit growth</t>
  </si>
  <si>
    <t>no resets in 2015</t>
  </si>
  <si>
    <t>40% are retrans (20% or so today)</t>
  </si>
  <si>
    <t>$600-700m retrans for 2014</t>
  </si>
  <si>
    <t>Univision had no retrans when PE bought them. Didn't believe in charging cable cos</t>
  </si>
  <si>
    <t>signed 3, 5, 10 year deals</t>
  </si>
  <si>
    <t>some of the prices have been renegotiated</t>
  </si>
  <si>
    <t>royalties at 5%</t>
  </si>
  <si>
    <t>2015 EBITDA could be slightly depressed</t>
  </si>
  <si>
    <t>segment leader so should trade at a premium</t>
  </si>
  <si>
    <t>CFO - personal issues, meltdown</t>
  </si>
  <si>
    <t>got a big payout at time of PE buy-in. and good contract as CFO</t>
  </si>
  <si>
    <t>Guidance made sense when TV was an Ad company</t>
  </si>
  <si>
    <t>Variability not very significant</t>
  </si>
  <si>
    <t>Up front used to be 80% and is now nearer 70%</t>
  </si>
  <si>
    <t>Slightly burnt by what happened in 2014</t>
  </si>
  <si>
    <t>Weakness in Ad market is not new competition, Netflix, Ad budgets moving on-line</t>
  </si>
  <si>
    <t>Netflix is high-end. Pay TV is $11, don't need data/credit. People pay in banks etc.</t>
  </si>
  <si>
    <t>Latam subs are 5m. One quarter is in Mexico perhaps</t>
  </si>
  <si>
    <t>add on to pay TV</t>
  </si>
  <si>
    <t>Netflix has no price advantage</t>
  </si>
  <si>
    <t>Look at Ad on a 12 month basis</t>
  </si>
  <si>
    <t>Capex - group level, same amount as before</t>
  </si>
  <si>
    <t>plus some more due to cable</t>
  </si>
  <si>
    <t>John Malone link with 3 new board members</t>
  </si>
  <si>
    <t>Pay TV growth in the quarter</t>
  </si>
  <si>
    <t xml:space="preserve">SKY will suffer in 2015 from not having the World Cup, so Q2 and Q3 </t>
  </si>
  <si>
    <t>Pay TV regulation</t>
  </si>
  <si>
    <t>have replied to IFETEL that does not have SMP</t>
  </si>
  <si>
    <t>expect to be completed in the next month</t>
  </si>
  <si>
    <t>Good Ad spend</t>
  </si>
  <si>
    <t>will remain cautious due to macro</t>
  </si>
  <si>
    <t>Launched Izzy in three new cities</t>
  </si>
  <si>
    <t>Is going well</t>
  </si>
  <si>
    <t>All in Cablemas</t>
  </si>
  <si>
    <t>Grupo Carso and AT&amp;T using Televisa's Ad network</t>
  </si>
  <si>
    <t>PCTV use</t>
  </si>
  <si>
    <t>Post Q1 15</t>
  </si>
  <si>
    <t>Carso Globo and AT&amp;T to use Televisa</t>
  </si>
  <si>
    <t>Has this started yet, for either company. What implications?</t>
  </si>
  <si>
    <t>Associate loss of MXN-300m? To continue?</t>
  </si>
  <si>
    <t>Chat with Carlos, May-15</t>
  </si>
  <si>
    <t>"Dominance"</t>
  </si>
  <si>
    <t>not ruled dominant</t>
  </si>
  <si>
    <t>needs substantial market power</t>
  </si>
  <si>
    <t>ability to displace competition and set prices</t>
  </si>
  <si>
    <t>Dish is in every household</t>
  </si>
  <si>
    <t>Advertising has a tough comp</t>
  </si>
  <si>
    <t>Elections during Q2..can't sell to a government entity</t>
  </si>
  <si>
    <t>state, whole Congress mid-term</t>
  </si>
  <si>
    <t>60 days where can't sell, up to 7 June</t>
  </si>
  <si>
    <t>all fine, grow in-line with pay TV pen</t>
  </si>
  <si>
    <t>Licensing and syndication</t>
  </si>
  <si>
    <t>difficult World Cup</t>
  </si>
  <si>
    <t>no resets also</t>
  </si>
  <si>
    <t>nothing to mention, similar to Q3</t>
  </si>
  <si>
    <t>Izzy being rolled out slowly</t>
  </si>
  <si>
    <t>8 markets</t>
  </si>
  <si>
    <t>Everyone with Cablevision can access</t>
  </si>
  <si>
    <t xml:space="preserve">July pay TV </t>
  </si>
  <si>
    <t>middle of July</t>
  </si>
  <si>
    <t>Can extend to September</t>
  </si>
  <si>
    <t>Univision PLA</t>
  </si>
  <si>
    <t>5 year extension to PLA. Helps in their IPO. Board members for Television</t>
  </si>
  <si>
    <t>More voting rights</t>
  </si>
  <si>
    <t>10% equity, 22% vote</t>
  </si>
  <si>
    <t>8% has been diluted over time. Shares to management, plus dilution when Goel in</t>
  </si>
  <si>
    <t>fully diluted of 38%. Down to 36.2%</t>
  </si>
  <si>
    <t>Convert of the 30%...26% in warrants and 4% in equity</t>
  </si>
  <si>
    <t>TV wanted a higher share of equity</t>
  </si>
  <si>
    <t>Dentures into warrants</t>
  </si>
  <si>
    <t>rating agencies previously reflected the convert rather than the debt</t>
  </si>
  <si>
    <t>Chat with Carlos, Sept-15</t>
  </si>
  <si>
    <t>Pricing</t>
  </si>
  <si>
    <t>what's happened, any traction</t>
  </si>
  <si>
    <t>Ad market - remain as challenging. 8.8% y/y down in H1, so same again in H2</t>
  </si>
  <si>
    <t>H2 challenges different</t>
  </si>
  <si>
    <t>starting to raise prices in scatter market</t>
  </si>
  <si>
    <t>happy to lose customers</t>
  </si>
  <si>
    <t>H1</t>
  </si>
  <si>
    <t>projects moving from Q3 to Q2</t>
  </si>
  <si>
    <t>Common throughout the year</t>
  </si>
  <si>
    <t>Weak upfront</t>
  </si>
  <si>
    <t>11.5% down</t>
  </si>
  <si>
    <t>80% of total spend in H1</t>
  </si>
  <si>
    <t>pricing</t>
  </si>
  <si>
    <t xml:space="preserve">H2 is 70% </t>
  </si>
  <si>
    <t>scatter prices rise to make up for it</t>
  </si>
  <si>
    <t>should have raised prices in upfront</t>
  </si>
  <si>
    <t>Previously lacked discipline and consistency</t>
  </si>
  <si>
    <t>September through to Dec 31st</t>
  </si>
  <si>
    <t>commit a specific amount, have to pay/short-term promisory note</t>
  </si>
  <si>
    <t>70-80% allocated</t>
  </si>
  <si>
    <t>Beginning of the year</t>
  </si>
  <si>
    <t>Price increases</t>
  </si>
  <si>
    <t>not saying how much</t>
  </si>
  <si>
    <t>20-25% premium in scatter, historically</t>
  </si>
  <si>
    <t>Televisa - "we will not be soft"</t>
  </si>
  <si>
    <t>US networks…pricing power.</t>
  </si>
  <si>
    <t>CPM</t>
  </si>
  <si>
    <t>mid single digit CPM growth for last few years</t>
  </si>
  <si>
    <t>mexico down</t>
  </si>
  <si>
    <t>total reported spots vs Content revs</t>
  </si>
  <si>
    <t>an argument</t>
  </si>
  <si>
    <t>including product placements/branded entertainment, pay TV, cheap vs expensive</t>
  </si>
  <si>
    <t>branded shows pay revs</t>
  </si>
  <si>
    <t>Head of sales left, replaced</t>
  </si>
  <si>
    <t>Alternatives for</t>
  </si>
  <si>
    <t>Ernst &amp; Young</t>
  </si>
  <si>
    <t>70% of FTA audience on Channel 2, 35 spots</t>
  </si>
  <si>
    <t>70% of pay TV audience, which has half the reach, 550 spots</t>
  </si>
  <si>
    <t>Consensus…only 4/5 have published</t>
  </si>
  <si>
    <t>130/140 investors have been told H2 will be rocky</t>
  </si>
  <si>
    <t>Q3 15 call</t>
  </si>
  <si>
    <t>Initial push back from clients</t>
  </si>
  <si>
    <t xml:space="preserve">Had been volume driven, this has changed. Pricing of spots </t>
  </si>
  <si>
    <t>one third that of chile, 20% of US</t>
  </si>
  <si>
    <t>turkey has a lower CPM</t>
  </si>
  <si>
    <t>ad as a % GDP</t>
  </si>
  <si>
    <t>Argentina</t>
  </si>
  <si>
    <t>end of month/end quarter promotions have been cut</t>
  </si>
  <si>
    <t>reaction varied</t>
  </si>
  <si>
    <t>some accepted for 2016 upfront</t>
  </si>
  <si>
    <t>some accepted but with lower volumes</t>
  </si>
  <si>
    <t>some not using</t>
  </si>
  <si>
    <t>not a short term move</t>
  </si>
  <si>
    <t>FTA viewers declining, mainly due to pay TV</t>
  </si>
  <si>
    <t>15 pay TV networks</t>
  </si>
  <si>
    <t>10 are amongst top 30 networks</t>
  </si>
  <si>
    <t>10% of content revs is affiliate fees</t>
  </si>
  <si>
    <t>Channel 2</t>
  </si>
  <si>
    <t>In house content</t>
  </si>
  <si>
    <t>Difficult comparison, given 2014 prime time (telenovelas). Certain shows have disappointed</t>
  </si>
  <si>
    <t>high share of broadcast revenue..basis for much of the exported content</t>
  </si>
  <si>
    <t>43m homes, 31m are outside of Mexico</t>
  </si>
  <si>
    <t>AMX expect to receive a pay TV licence in the near future</t>
  </si>
  <si>
    <t>Telmex, 1991 privatisation, prohibited since then</t>
  </si>
  <si>
    <t>new concession, or change, if in compliance for 18 months (current concession, unbundling, asymmetric regulations)</t>
  </si>
  <si>
    <t>only after this will AMX be able to apply for a licence</t>
  </si>
  <si>
    <t>been competing against a TV service in reality through Dish</t>
  </si>
  <si>
    <t>don't expect any time soon</t>
  </si>
  <si>
    <t>Affiliate fees. Trend has been to go up historically in the US, but this is now falling in the US</t>
  </si>
  <si>
    <t>has been going up, due to pay TV increase. 53% pen, can get to 70% pen</t>
  </si>
  <si>
    <t>price increases baked in? No</t>
  </si>
  <si>
    <t>$ denominated rates, so growth comes from volumes</t>
  </si>
  <si>
    <t>price increases?</t>
  </si>
  <si>
    <t>standardising packages</t>
  </si>
  <si>
    <t>where launching Izzy, getting rid of legacy packages. May have led to some price increases. Not across the board</t>
  </si>
  <si>
    <t>low 40%s for some time should be sustainable</t>
  </si>
  <si>
    <t>upper tier prices have been increased. Lower has been stable for years</t>
  </si>
  <si>
    <t>margins are extraordinary</t>
  </si>
  <si>
    <t>mid-40%s sustainable</t>
  </si>
  <si>
    <t>Costs</t>
  </si>
  <si>
    <t>laid of 700 people in 2014</t>
  </si>
  <si>
    <t>looking to get rid of 600 people</t>
  </si>
  <si>
    <t>Ad price increase</t>
  </si>
  <si>
    <t>vary from customer to customer</t>
  </si>
  <si>
    <t>may take 2 years to be fully applied</t>
  </si>
  <si>
    <t>most of capex is $ denominated</t>
  </si>
  <si>
    <t>2015 - capex higher than 2014, mainly due to 2 new cable cos</t>
  </si>
  <si>
    <t>upgrading cable plant</t>
  </si>
  <si>
    <t>what is leading growth…TV or BB?</t>
  </si>
  <si>
    <t>mainly coming from Izzy. November launch</t>
  </si>
  <si>
    <t>unlimited voice/BB</t>
  </si>
  <si>
    <t>incs 10 MB of speeds</t>
  </si>
  <si>
    <t>rolled out to 13 cities, will continue to roll out</t>
  </si>
  <si>
    <t>video also growing single digit, not as strong</t>
  </si>
  <si>
    <t>How is rethinking on digital, distribution fragmentation etc</t>
  </si>
  <si>
    <t>hired for digital development</t>
  </si>
  <si>
    <t>demand for sports, telenovelas</t>
  </si>
  <si>
    <t>social media there are opportunities</t>
  </si>
  <si>
    <t>Other expenses?</t>
  </si>
  <si>
    <t>severance to do with publishing.</t>
  </si>
  <si>
    <t>cable also, where operating as a single unit</t>
  </si>
  <si>
    <t>not sure what they're doing</t>
  </si>
  <si>
    <t>Clients</t>
  </si>
  <si>
    <t>31 of top 40 clients selling food, beverage, toiletries</t>
  </si>
  <si>
    <t>one of top 10 clients seeing revs down 35%. Genoma</t>
  </si>
  <si>
    <t>No comment on IPO timing</t>
  </si>
  <si>
    <t>Mobile plans</t>
  </si>
  <si>
    <t>don't want to distract cable with mobile at this stage</t>
  </si>
  <si>
    <t>not quad play at this stage</t>
  </si>
  <si>
    <t>maybe an MVNO</t>
  </si>
  <si>
    <t>definitely launching a disruptive package at some point</t>
  </si>
  <si>
    <t>Follow up call after Q3</t>
  </si>
  <si>
    <t>Corporate expenses and "Other" expenses trending high…?</t>
  </si>
  <si>
    <t>How keeping margins up in Content given revenue pressure?</t>
  </si>
  <si>
    <t>Thoughts on capex</t>
  </si>
  <si>
    <t>check the mega poison pill…at least highest price in last 3/6 months?</t>
  </si>
  <si>
    <t>why net debt going up over 2015?</t>
  </si>
  <si>
    <t>Debt raising</t>
  </si>
  <si>
    <t>30 year raising, preferred.</t>
  </si>
  <si>
    <t>10 year to keep the market happy</t>
  </si>
  <si>
    <t>2015 will be &gt;2014 levels.</t>
  </si>
  <si>
    <t>two thirds is USD denominated</t>
  </si>
  <si>
    <t>nothing for 2016…should assume it will remain high</t>
  </si>
  <si>
    <t>very aggressive</t>
  </si>
  <si>
    <t>window of opp. (reg, AMX wise, market wise)</t>
  </si>
  <si>
    <t>65% reg. not dominant</t>
  </si>
  <si>
    <t>not a tranaction they're working on</t>
  </si>
  <si>
    <t>poison pill. Purchase price 30% premium on the highest price in last 365 days</t>
  </si>
  <si>
    <t>Content pricing</t>
  </si>
  <si>
    <t>5-35%</t>
  </si>
  <si>
    <t>Don't take this too literally</t>
  </si>
  <si>
    <t>some subsidiaries said yes</t>
  </si>
  <si>
    <t>q4 scatter. Need to keep prices high</t>
  </si>
  <si>
    <t>upfront for 2016</t>
  </si>
  <si>
    <t>100 customers</t>
  </si>
  <si>
    <t xml:space="preserve">75 agree to price increase. Very successful. </t>
  </si>
  <si>
    <t>need to accrue for LTC plan</t>
  </si>
  <si>
    <t>more cable, more contributing to personnel</t>
  </si>
  <si>
    <t>more senior management</t>
  </si>
  <si>
    <t>Pre Q4 15</t>
  </si>
  <si>
    <t>nothing on the upfronts until Q4 results</t>
  </si>
  <si>
    <t>long term transformation of the business</t>
  </si>
  <si>
    <t>expecting customers to pull back on volume in 2016</t>
  </si>
  <si>
    <t>zero growth….would be a successful first step</t>
  </si>
  <si>
    <t>2017 marginal price increases…so 2017 could be a year of growth</t>
  </si>
  <si>
    <t>on the cost side</t>
  </si>
  <si>
    <t>need to invest more in Content…more than in the past</t>
  </si>
  <si>
    <t>more capital to work in improving Content</t>
  </si>
  <si>
    <t>shorter novelas…150-200 episodes</t>
  </si>
  <si>
    <t>80 episodes..faster moving</t>
  </si>
  <si>
    <t>2 reality shows at the weekend, instead of 3</t>
  </si>
  <si>
    <t>less serialised channels on 2. one novella less on prime time…</t>
  </si>
  <si>
    <t>to reduce the ad load during Channel 2 prime time</t>
  </si>
  <si>
    <t>elasticity is high</t>
  </si>
  <si>
    <t>were not previously putting a value on prime time</t>
  </si>
  <si>
    <t>Channel 5 - importing less Content, more local</t>
  </si>
  <si>
    <t>increasing serialised shows on Channel 5</t>
  </si>
  <si>
    <t>need to fix rating weakness at Televisa</t>
  </si>
  <si>
    <t>need to play the cards well</t>
  </si>
  <si>
    <t>put as much capital today into the network</t>
  </si>
  <si>
    <t>land grab</t>
  </si>
  <si>
    <t>likely will be higher in 2016, in $ terms</t>
  </si>
  <si>
    <t>Valuation gap between themselves and US media</t>
  </si>
  <si>
    <t>opened significantly in Q3</t>
  </si>
  <si>
    <t>Margin pressure on content</t>
  </si>
  <si>
    <t>Top line weakness</t>
  </si>
  <si>
    <t>Content costs going up, $100m</t>
  </si>
  <si>
    <t>OTT platform being re-branded and re-launched</t>
  </si>
  <si>
    <t>how compare to Claro Video</t>
  </si>
  <si>
    <t>details here</t>
  </si>
  <si>
    <t>existing content plus developing new content</t>
  </si>
  <si>
    <t>MXN109/month for 2 devices</t>
  </si>
  <si>
    <t>discounts for existing pay TV subs</t>
  </si>
  <si>
    <t>foreign/Spanish mix?</t>
  </si>
  <si>
    <t>70% Spanish, 30% English</t>
  </si>
  <si>
    <t>also getting non-Televisa Spanish content</t>
  </si>
  <si>
    <t>30% targeted to kids</t>
  </si>
  <si>
    <t>13,000 titles, 20k by YE</t>
  </si>
  <si>
    <t>Acquiring content, $100m</t>
  </si>
  <si>
    <t>yes, stop selling to Netflix</t>
  </si>
  <si>
    <t>so, less revenues?</t>
  </si>
  <si>
    <t>Prices were up, vols down</t>
  </si>
  <si>
    <t>Channel 2 was where it was focused</t>
  </si>
  <si>
    <t>most customers have signed up</t>
  </si>
  <si>
    <t>1.6% up deposits/advances (incs from SKY and cable)</t>
  </si>
  <si>
    <t>vs 2014 in the upfront</t>
  </si>
  <si>
    <t>Telco advertising is increasing</t>
  </si>
  <si>
    <t>FY 2016 - expect growth to slow relative to current</t>
  </si>
  <si>
    <t>high existing base</t>
  </si>
  <si>
    <t>prices up since February</t>
  </si>
  <si>
    <t>looking to push up cable spend</t>
  </si>
  <si>
    <t>No plans on mobile</t>
  </si>
  <si>
    <t>Cash on balance sheet, flexibility</t>
  </si>
  <si>
    <t>Q4 scatter?</t>
  </si>
  <si>
    <t>clients are absorbing new strategy at Televisa</t>
  </si>
  <si>
    <t>Questions following Q4 15</t>
  </si>
  <si>
    <t>Capex same in $ terms</t>
  </si>
  <si>
    <t>check SKY capex - includes satellite in accrued number?</t>
  </si>
  <si>
    <t>Upfront explanation</t>
  </si>
  <si>
    <t>Timing of extra $100m</t>
  </si>
  <si>
    <t>all incremental?</t>
  </si>
  <si>
    <t>on foreign content or enhancing Televisa content?</t>
  </si>
  <si>
    <t>what's a reasonable content margin? (US comp??)</t>
  </si>
  <si>
    <t>check - Q2 16 should be a very strong universe quarter (y/y) given the World Cup?</t>
  </si>
  <si>
    <t>will generate positive EFCF in 2016 (not on my numbers)</t>
  </si>
  <si>
    <t>stop supply Content to Netflix</t>
  </si>
  <si>
    <t>we should see that line item fall</t>
  </si>
  <si>
    <t>SKY margins down in the 4th quarter…expect in 2016?</t>
  </si>
  <si>
    <t>check tax for 2016</t>
  </si>
  <si>
    <t>Q3 the only quarter with one off tax impact?</t>
  </si>
  <si>
    <t>flat y/y</t>
  </si>
  <si>
    <t>tv is the key</t>
  </si>
  <si>
    <t>price increase "significant"</t>
  </si>
  <si>
    <t>sacrifice volume</t>
  </si>
  <si>
    <t>complement in the scatter</t>
  </si>
  <si>
    <t>so far seems strong, but only 2 months in</t>
  </si>
  <si>
    <t>flat for 2016 is credible. Hopefully</t>
  </si>
  <si>
    <t>2012/13/14</t>
  </si>
  <si>
    <t>q1, q2, q3</t>
  </si>
  <si>
    <t>15-20% of the total each</t>
  </si>
  <si>
    <t>80-85% upfronts</t>
  </si>
  <si>
    <t>q4</t>
  </si>
  <si>
    <t>remaining 35-40%</t>
  </si>
  <si>
    <t>split</t>
  </si>
  <si>
    <t>Q1 ad spend was 18%. 2009 was 18.7%, lowest was 16.9%</t>
  </si>
  <si>
    <t>from q1</t>
  </si>
  <si>
    <t>Ad revenue was 20.1% of spend, rest were very weak</t>
  </si>
  <si>
    <t>$100m</t>
  </si>
  <si>
    <t>absolutely extra</t>
  </si>
  <si>
    <t xml:space="preserve">If go back to previous, then </t>
  </si>
  <si>
    <t>4 components</t>
  </si>
  <si>
    <t>user interface, ott</t>
  </si>
  <si>
    <t>developing excusively on Blim initially</t>
  </si>
  <si>
    <t>some buying from 3rd parties</t>
  </si>
  <si>
    <t>existing content</t>
  </si>
  <si>
    <t>one ott platform initially</t>
  </si>
  <si>
    <t>has potential to come down</t>
  </si>
  <si>
    <t>user interface, could be a couple of years</t>
  </si>
  <si>
    <t>Netflix?</t>
  </si>
  <si>
    <t>expires in H2</t>
  </si>
  <si>
    <t>Blim as the local provider</t>
  </si>
  <si>
    <t>$20m for netflix</t>
  </si>
  <si>
    <t>why ott now?</t>
  </si>
  <si>
    <t>investors asking what ott strategy televisa has</t>
  </si>
  <si>
    <t>ott usage in mexico</t>
  </si>
  <si>
    <t xml:space="preserve">netflix </t>
  </si>
  <si>
    <t>2-3m perhaps</t>
  </si>
  <si>
    <t>claro video</t>
  </si>
  <si>
    <t>10m</t>
  </si>
  <si>
    <t>150,000 users televisa believes</t>
  </si>
  <si>
    <t>given away free</t>
  </si>
  <si>
    <t>cable capex</t>
  </si>
  <si>
    <t>may come down in 2017</t>
  </si>
  <si>
    <t>same in 2016</t>
  </si>
  <si>
    <t>us cable companies</t>
  </si>
  <si>
    <t>one third rebuilding networks</t>
  </si>
  <si>
    <t>start the year with a lot of cash</t>
  </si>
  <si>
    <t>ye bs reflects upfronts</t>
  </si>
  <si>
    <t>3 years of capex</t>
  </si>
  <si>
    <t>Pre Q1 16</t>
  </si>
  <si>
    <t>network/synd</t>
  </si>
  <si>
    <t>5% up univision</t>
  </si>
  <si>
    <t>$175m for 16, $165m for 17</t>
  </si>
  <si>
    <t>cost of content</t>
  </si>
  <si>
    <t>+$100m</t>
  </si>
  <si>
    <t>(we're at $120m currently)</t>
  </si>
  <si>
    <t>assuming $80m in 2017, $60m in 2018 and going forward</t>
  </si>
  <si>
    <t>margins back up to 41% by 2018</t>
  </si>
  <si>
    <t>royalties of $500m in 2018</t>
  </si>
  <si>
    <t>when they do the IPO, will give guidance on growth for mid-term</t>
  </si>
  <si>
    <t>window in april, or in H2</t>
  </si>
  <si>
    <t>negotiation with AT&amp;T</t>
  </si>
  <si>
    <t>re-transmission</t>
  </si>
  <si>
    <t>deal up for renewal</t>
  </si>
  <si>
    <t>ad</t>
  </si>
  <si>
    <t>direct tv, and u-verse (fibre)</t>
  </si>
  <si>
    <t xml:space="preserve"> - 1 Jan 18</t>
  </si>
  <si>
    <t>date?</t>
  </si>
  <si>
    <t xml:space="preserve"> - 1 July 18</t>
  </si>
  <si>
    <t>Easter affect on TV in the first quarter</t>
  </si>
  <si>
    <t>scatter going forward</t>
  </si>
  <si>
    <t>how much has been spent in Q1…flow through the year</t>
  </si>
  <si>
    <t>9% pre-pay increase on DTH</t>
  </si>
  <si>
    <t>what was the cable dispostion in Q1 in other expenses</t>
  </si>
  <si>
    <t>split by speeds</t>
  </si>
  <si>
    <t>MXN185 per month still cheap</t>
  </si>
  <si>
    <t>expenses in other from cable</t>
  </si>
  <si>
    <t>RGUs slowdown</t>
  </si>
  <si>
    <t>ott market today</t>
  </si>
  <si>
    <t>challenge in operations</t>
  </si>
  <si>
    <t>growth rates…</t>
  </si>
  <si>
    <t>transitioned from old to new , for izzi</t>
  </si>
  <si>
    <t xml:space="preserve">&gt;100k km </t>
  </si>
  <si>
    <t>temporary disconnects</t>
  </si>
  <si>
    <t>25k are fibre</t>
  </si>
  <si>
    <t>other markets remained strong</t>
  </si>
  <si>
    <t>30k from bestel, with GTAC</t>
  </si>
  <si>
    <t>&gt;95% bidirectional</t>
  </si>
  <si>
    <t>Easter affect also impacted cable</t>
  </si>
  <si>
    <t>&gt;50% with 1GB</t>
  </si>
  <si>
    <t>harder to collect revenue</t>
  </si>
  <si>
    <t xml:space="preserve">cablevision, </t>
  </si>
  <si>
    <t>Difficult in other operations</t>
  </si>
  <si>
    <t>50% acquisition of TVI</t>
  </si>
  <si>
    <t>Divi of 35c per CPO</t>
  </si>
  <si>
    <t>$100m split</t>
  </si>
  <si>
    <t>to Blim first, but then other platform also if right to do so</t>
  </si>
  <si>
    <t>25% was felt in Q1</t>
  </si>
  <si>
    <t>400k due to analogue</t>
  </si>
  <si>
    <t>look at net adds prior to switch off for more normal</t>
  </si>
  <si>
    <t>launched at the end of Feb</t>
  </si>
  <si>
    <t>content to other providers</t>
  </si>
  <si>
    <t>no regulation</t>
  </si>
  <si>
    <t>2 months</t>
  </si>
  <si>
    <t>subs so far is in-line, plans on track, brand awareness good</t>
  </si>
  <si>
    <t>Cable upgrades</t>
  </si>
  <si>
    <t>Capex in cable</t>
  </si>
  <si>
    <t>how much is acquisition costs</t>
  </si>
  <si>
    <t>40% of capex is acquisition related</t>
  </si>
  <si>
    <t>synergies from other cable operations being consolidated?</t>
  </si>
  <si>
    <t>yes, advantages coming through</t>
  </si>
  <si>
    <t>multiple paid…?</t>
  </si>
  <si>
    <t>opportunity for SKY. National brand and presence</t>
  </si>
  <si>
    <t>makes sense if regulations are right</t>
  </si>
  <si>
    <t>cost efficiency plans</t>
  </si>
  <si>
    <t>Ps2bn this year</t>
  </si>
  <si>
    <t>3 equal over the next years, peso denominated</t>
  </si>
  <si>
    <t>upfronts down 6% vs Q4 15</t>
  </si>
  <si>
    <t>Q2 could be a good quarter</t>
  </si>
  <si>
    <t>Success is poss, would be low single digits</t>
  </si>
  <si>
    <t>Street: -0.3% for Ad spend</t>
  </si>
  <si>
    <t>-3% at the low end</t>
  </si>
  <si>
    <t>+3% at UBS</t>
  </si>
  <si>
    <t>Less than $25m of costs in Q1</t>
  </si>
  <si>
    <t>2019/20 capex at maintenance levels</t>
  </si>
  <si>
    <t>$300m until subs slow</t>
  </si>
  <si>
    <t>to $200m</t>
  </si>
  <si>
    <t>fall in 2017, 2018, 2019</t>
  </si>
  <si>
    <t>20-25% by 2019</t>
  </si>
  <si>
    <t>different time table</t>
  </si>
  <si>
    <t>TV to stay in cable long-term</t>
  </si>
  <si>
    <t>capex per home passed, or RGUs</t>
  </si>
  <si>
    <t>50% of the US cable co for years 2002-2006</t>
  </si>
  <si>
    <t>TV cable</t>
  </si>
  <si>
    <t>in terms of new deals</t>
  </si>
  <si>
    <t>programming agreements with US content providers can't be changed overnight</t>
  </si>
  <si>
    <t>2m decoders….why change overnight</t>
  </si>
  <si>
    <t>margins can be pushed up to 42-44% is possible without price increases</t>
  </si>
  <si>
    <t>price increases can be layered on top</t>
  </si>
  <si>
    <t>Highest rated show on Blim is a Televisa sitcom, called 40-20</t>
  </si>
  <si>
    <t>exclusive to Blim</t>
  </si>
  <si>
    <t>will end up on a pay TV channel</t>
  </si>
  <si>
    <t>Q2 16 conf call</t>
  </si>
  <si>
    <t>SKY - margin from US$ denominated sports content costs</t>
  </si>
  <si>
    <t>June better than May better than April</t>
  </si>
  <si>
    <t>upgrading infrastructure, will lead to some disconnects</t>
  </si>
  <si>
    <t>pen is just 58%</t>
  </si>
  <si>
    <t>On cable 27% have voice, 38% have data</t>
  </si>
  <si>
    <t>Publishing in South and Central America weak</t>
  </si>
  <si>
    <t>FY 2017 the same for capex as in 2016</t>
  </si>
  <si>
    <t>Investigation</t>
  </si>
  <si>
    <t>no investigation in Mexico, or in the US</t>
  </si>
  <si>
    <t>cable margins…especially this Q due to cost reduction plans in cable</t>
  </si>
  <si>
    <t>half of "Other" is severrance payments</t>
  </si>
  <si>
    <t>there has been an offering from AMX. Last year, terms were pubished by telmex. Tv has given comments on how this could be viable</t>
  </si>
  <si>
    <t>changes to terms necessary to make it more competitive</t>
  </si>
  <si>
    <t>working with authorities and AMX</t>
  </si>
  <si>
    <t>Pre Q3 16</t>
  </si>
  <si>
    <t>domestic ad</t>
  </si>
  <si>
    <t>consensus at 0% or 1% growth for Q3 domestic Ad business</t>
  </si>
  <si>
    <t>q4 will be growthier quarter</t>
  </si>
  <si>
    <t>sell based on success of last year's show</t>
  </si>
  <si>
    <t>Nielsen ratings</t>
  </si>
  <si>
    <t>Lamac.org</t>
  </si>
  <si>
    <t>latin american association of pay TV channels. Based in Miami for those looking to sell into Mexico</t>
  </si>
  <si>
    <t>different sample to nielsen</t>
  </si>
  <si>
    <t>don't pay for</t>
  </si>
  <si>
    <t>ratings of FTA are coming down. Not just selling ratings, selling scarcity</t>
  </si>
  <si>
    <t>1m viewers on CBS</t>
  </si>
  <si>
    <t>100k leave</t>
  </si>
  <si>
    <t>fragments</t>
  </si>
  <si>
    <t>value in concentration is increasing over time</t>
  </si>
  <si>
    <t>viewers and ad budgets are not 1-1</t>
  </si>
  <si>
    <t>power ratios was not happening</t>
  </si>
  <si>
    <t>When volumes go down…advert numbers literally fall</t>
  </si>
  <si>
    <t>Networks</t>
  </si>
  <si>
    <t>revs from MEGA: MXN600-MXN1bn per year. MXN800m / 12 per month</t>
  </si>
  <si>
    <t>channels lost represent 18-20% of a typical pay TV household</t>
  </si>
  <si>
    <t>1 month of September</t>
  </si>
  <si>
    <t>licencing and syndication</t>
  </si>
  <si>
    <t>3 things:</t>
  </si>
  <si>
    <t>1/ media revs are pacing mid single digit negative in Q3</t>
  </si>
  <si>
    <t>2/ gave up netflix revs in Q3. $5m per Q</t>
  </si>
  <si>
    <t>net adds in Q3 and Q4</t>
  </si>
  <si>
    <t>17% looks a little high. Without conversions from analogue to digital, low teens</t>
  </si>
  <si>
    <t>*</t>
  </si>
  <si>
    <t>quantify</t>
  </si>
  <si>
    <t>what exactly is being deferred?</t>
  </si>
  <si>
    <t>$1.1bn on capex in 2016</t>
  </si>
  <si>
    <t xml:space="preserve">Net debt stepped up </t>
  </si>
  <si>
    <t>MXN56bn to MXN74bn</t>
  </si>
  <si>
    <t>How is the $100m of spending trending</t>
  </si>
  <si>
    <t>RGUs in cable trending slightly lower</t>
  </si>
  <si>
    <t>further potential to increase prices in 2017?</t>
  </si>
  <si>
    <t>SKY ARPU stepped down in Q3</t>
  </si>
  <si>
    <t>Quantify one-offs in EBITDA "other expenses"</t>
  </si>
  <si>
    <t>Advertising down slightly in Q3, up in Q4?</t>
  </si>
  <si>
    <t>Comment on upfront discussions?</t>
  </si>
  <si>
    <t>Call</t>
  </si>
  <si>
    <t>Capex being impacted by peso weakness</t>
  </si>
  <si>
    <t>GDP trending down to 2% y/y</t>
  </si>
  <si>
    <t>Headcount arriving to support media</t>
  </si>
  <si>
    <t>proctor and gamble</t>
  </si>
  <si>
    <t>media and ratings expert</t>
  </si>
  <si>
    <t>15 yrs at univision, 15 at telemundo</t>
  </si>
  <si>
    <t>2% of consolidated revs (or EBITDA??)</t>
  </si>
  <si>
    <t>20% of MEGA content</t>
  </si>
  <si>
    <t>Olympics carried by other channels</t>
  </si>
  <si>
    <t>3000 hours of TV over last 5 years</t>
  </si>
  <si>
    <t>Now, making content exclusive to Blim</t>
  </si>
  <si>
    <t>Oct 5th - Telemundo also not on Netflix but will now be on Bim</t>
  </si>
  <si>
    <t>cost reduction continues</t>
  </si>
  <si>
    <t>two thirds of systems upgraded - this is disrupting the pace of growth</t>
  </si>
  <si>
    <t>pace of networks upgrades will slow</t>
  </si>
  <si>
    <t>2017 - capex will come in lower than previously anticipated</t>
  </si>
  <si>
    <t>no figure yet. 100% focus on returns</t>
  </si>
  <si>
    <t>in light of peso depreciation. A whole new plan for 2017</t>
  </si>
  <si>
    <t>greater focus on ROI</t>
  </si>
  <si>
    <t>peso weakness - will explore increases in prices in 2017</t>
  </si>
  <si>
    <t>may impact on growth</t>
  </si>
  <si>
    <t>slowing down the pace of deployment of network upgrades</t>
  </si>
  <si>
    <t>AT&amp;T</t>
  </si>
  <si>
    <t>Time Warner, integration of distribution and content</t>
  </si>
  <si>
    <t>Same as Televisa, happy with the deal</t>
  </si>
  <si>
    <t>Great relationship with AT&amp;T, on the board of SKY, contributing a lot</t>
  </si>
  <si>
    <t>In the process of reinventing Content</t>
  </si>
  <si>
    <t>Extra $100m is an extra 10% of spend, which supports Univision</t>
  </si>
  <si>
    <t>Subs trends</t>
  </si>
  <si>
    <t>Positive signs where Izzi competes against MEGA; also with SKY (in terms of winning MEGA subs)</t>
  </si>
  <si>
    <t>Churn impacted by upgrades</t>
  </si>
  <si>
    <t>will focus on lowering this</t>
  </si>
  <si>
    <t>More synergies to run?</t>
  </si>
  <si>
    <t>Margins will remain around 42%</t>
  </si>
  <si>
    <t>Sustainable at these kinds of level</t>
  </si>
  <si>
    <t>Laid off 1200 people this year, exploited a lot of synergies</t>
  </si>
  <si>
    <t>But, depreciation of peso is impacting programming</t>
  </si>
  <si>
    <t>Internet, dollar denominated payments</t>
  </si>
  <si>
    <t>Current level is the "right level"</t>
  </si>
  <si>
    <t>this has gone up therefore over Q3</t>
  </si>
  <si>
    <t>Close to one third is cancellation of satellite</t>
  </si>
  <si>
    <t>FX depreciation: AT&amp;T/TV to cancel the impact</t>
  </si>
  <si>
    <t>One third is legal expenses</t>
  </si>
  <si>
    <t>mostly not recurrent</t>
  </si>
  <si>
    <t>Remaining third</t>
  </si>
  <si>
    <t>mostly disposition of capex</t>
  </si>
  <si>
    <t>75-80% of the $100m this year</t>
  </si>
  <si>
    <t>Pricing has been raised</t>
  </si>
  <si>
    <t>Lower tier from 169 to 185 on SKY. Cable has put up prices by around 4%</t>
  </si>
  <si>
    <t>SKY and cable being considered for further price increases</t>
  </si>
  <si>
    <t>Govt budget cuts</t>
  </si>
  <si>
    <t>Bestel has term agreements with govt and therefore are not impacted</t>
  </si>
  <si>
    <t>Ad revenues in the Q</t>
  </si>
  <si>
    <t>deposits down 2% but Ad down more??</t>
  </si>
  <si>
    <t>85-15 upfronts vs scatter mix in q2</t>
  </si>
  <si>
    <t>can't share the results yet with concluded upfronts</t>
  </si>
  <si>
    <t>Open TV channel in Mexico?</t>
  </si>
  <si>
    <t>timeline for 2nd TV channel? - not much info on this</t>
  </si>
  <si>
    <t>3rd network running for 2 weeks. So will take some share eventually</t>
  </si>
  <si>
    <t>Target returns for cable?</t>
  </si>
  <si>
    <t>detail not being shared at this stage</t>
  </si>
  <si>
    <t>LLU change in regulation?</t>
  </si>
  <si>
    <t xml:space="preserve">a great opportunity for SKY </t>
  </si>
  <si>
    <t>offer triple player services using Telmex; BSkyB in the UK</t>
  </si>
  <si>
    <t>continuing to evaluate the offer</t>
  </si>
  <si>
    <t>conditions at this stage do not make LLU viable at this stage</t>
  </si>
  <si>
    <t>Telmex published terms and conditions</t>
  </si>
  <si>
    <t>TV has made many comments</t>
  </si>
  <si>
    <t>Peso</t>
  </si>
  <si>
    <t>using market estimates for 2017</t>
  </si>
  <si>
    <t>agreements were signed at much lower rates with programmers</t>
  </si>
  <si>
    <t>FX being shared with programmers today</t>
  </si>
  <si>
    <t>negotiations going forward</t>
  </si>
  <si>
    <t>Follow up call</t>
  </si>
  <si>
    <t>Cable OK</t>
  </si>
  <si>
    <t>Advertising a question mark</t>
  </si>
  <si>
    <t>Ratings</t>
  </si>
  <si>
    <t>7pm spot in 2015, will play based on this for 2016</t>
  </si>
  <si>
    <t>Likewise for 9pm</t>
  </si>
  <si>
    <t>TV maybe delivers more rating points, or underdeliver</t>
  </si>
  <si>
    <t>Expectation that trend will not change much</t>
  </si>
  <si>
    <t>Ratings for US broadcasters down since 1980, and CPM down</t>
  </si>
  <si>
    <t>Scatter, will buy 3/4 weeks in advance</t>
  </si>
  <si>
    <t>US - deliver set rating points</t>
  </si>
  <si>
    <t>if deliver 90, then make up for it</t>
  </si>
  <si>
    <t>If Coke says will invest $100m, and so additional inventory</t>
  </si>
  <si>
    <t>Inventory has been available at Univision</t>
  </si>
  <si>
    <t>When approached Ad guys 10 years ago, more aggressively. Wanted to compare to US networks</t>
  </si>
  <si>
    <t>hence unsold inventory</t>
  </si>
  <si>
    <t>in Mexico the opposite is true</t>
  </si>
  <si>
    <t>Affiliate fees $800m</t>
  </si>
  <si>
    <t>Univision Q3 call</t>
  </si>
  <si>
    <t>Digital acquisitions</t>
  </si>
  <si>
    <t>Fusion</t>
  </si>
  <si>
    <t>Help with young pops</t>
  </si>
  <si>
    <t>The Root</t>
  </si>
  <si>
    <t>The Onion</t>
  </si>
  <si>
    <t>Gizmodo</t>
  </si>
  <si>
    <t>89m first 9 months audience reach</t>
  </si>
  <si>
    <t>Some English language site translations</t>
  </si>
  <si>
    <t>Diversified revs stream</t>
  </si>
  <si>
    <t>Ad to re-trans, new networks</t>
  </si>
  <si>
    <t>Deportes</t>
  </si>
  <si>
    <t>Univision now</t>
  </si>
  <si>
    <t>English language brands</t>
  </si>
  <si>
    <t>Portfolio now more dynamic</t>
  </si>
  <si>
    <t>Oct - AT&amp;T, Uverse/DTV (and DTV now)</t>
  </si>
  <si>
    <t>Deal with Lionsgate in Sept</t>
  </si>
  <si>
    <t>provide Lionsgate for Spanish language movies</t>
  </si>
  <si>
    <t>Univision Now will have exclusive content, launching in December</t>
  </si>
  <si>
    <t>UNiMas, Deportes, Galavision saw seasonal growth (year to Sept 16)</t>
  </si>
  <si>
    <t>ratings up</t>
  </si>
  <si>
    <t xml:space="preserve">Futbolero franchise, ratings up 20% </t>
  </si>
  <si>
    <t>Univision Network</t>
  </si>
  <si>
    <t>declines on ratings</t>
  </si>
  <si>
    <t>will be innovative</t>
  </si>
  <si>
    <t>2 new programming execs. Track record of curating new stuff</t>
  </si>
  <si>
    <t>local</t>
  </si>
  <si>
    <t>Univision was no 1/2 broadcaster in 6 major markets</t>
  </si>
  <si>
    <t>Local news 1/2 in 8 major markets</t>
  </si>
  <si>
    <t>Frank, CFO</t>
  </si>
  <si>
    <t>US$200m, writing down radio broadcast licences</t>
  </si>
  <si>
    <t>3% YTD clean, EBITDA up 1.5% YTD (clean)</t>
  </si>
  <si>
    <t>Q3 Ad</t>
  </si>
  <si>
    <t>Weaker scatter, impact of Olympics</t>
  </si>
  <si>
    <t>Shift around major soccer touraments not helping</t>
  </si>
  <si>
    <t>Shift to upfronts for 2017</t>
  </si>
  <si>
    <t>8% subs fee revenue increase</t>
  </si>
  <si>
    <t>Ratings weakness</t>
  </si>
  <si>
    <t>Complete flexibility on primetime</t>
  </si>
  <si>
    <t>Fewer PLA novelas, and seek to do more live programming</t>
  </si>
  <si>
    <t xml:space="preserve">TV expected to make changes to type. </t>
  </si>
  <si>
    <t>Next few months expect a turnaround</t>
  </si>
  <si>
    <t>"Not impacting financial results". This was a tough Q4 for comps</t>
  </si>
  <si>
    <t>Pacing into Q4</t>
  </si>
  <si>
    <t>Media Networks: flat to + low single</t>
  </si>
  <si>
    <t>Radio: pacing low double digits (down). National vs local</t>
  </si>
  <si>
    <t>Total core, therefore looks flat to down slightly</t>
  </si>
  <si>
    <t>Non Ad is 33% of revs</t>
  </si>
  <si>
    <t>Trump implications - call on Nov 18th</t>
  </si>
  <si>
    <t>Customers plans are on hold</t>
  </si>
  <si>
    <t>Capex on hold</t>
  </si>
  <si>
    <t>net liability position</t>
  </si>
  <si>
    <t>USD $535m</t>
  </si>
  <si>
    <t>Gross debt (USD) less cash (USD) less Unvision</t>
  </si>
  <si>
    <t>$2.3bn</t>
  </si>
  <si>
    <t>Meetings with Salvi</t>
  </si>
  <si>
    <t>Chat with Carlos (End-Feb 17)</t>
  </si>
  <si>
    <t>40% revs pre-pay</t>
  </si>
  <si>
    <t>Pre-pay v strong in H1 16, due to higher recharge rates, analogue to digital</t>
  </si>
  <si>
    <t>H2 16</t>
  </si>
  <si>
    <t>3 TV sets, SKY in one of those. If didn't recharge, can go to the other</t>
  </si>
  <si>
    <t>if no digital box, then lots of recharge</t>
  </si>
  <si>
    <t>ARPU of SKY was high in Q1 and Q2</t>
  </si>
  <si>
    <t>SKY will be mid to low single digit growth</t>
  </si>
  <si>
    <t>Cable - high single digits</t>
  </si>
  <si>
    <t>SKY, possible ULL launch</t>
  </si>
  <si>
    <t>SKY have run tests in 50 families</t>
  </si>
  <si>
    <t>Telmex following playbook to make tough</t>
  </si>
  <si>
    <t>Filed over 100 complaints</t>
  </si>
  <si>
    <t>Will try for a few months</t>
  </si>
  <si>
    <t>Potential to deliver a 20% margin</t>
  </si>
  <si>
    <t>re-selling</t>
  </si>
  <si>
    <t>bitstream access</t>
  </si>
  <si>
    <t>copper cables</t>
  </si>
  <si>
    <t>Came across a lot of gaps in the regulation</t>
  </si>
  <si>
    <t>One opportunity - for those who want triple play</t>
  </si>
  <si>
    <t>Not target cable areas</t>
  </si>
  <si>
    <t>Scatter market</t>
  </si>
  <si>
    <t>will be volatile, around GDP</t>
  </si>
  <si>
    <t>Upfronts - right to buy at a certain price for a certain time in the future</t>
  </si>
  <si>
    <t>ULL, could be up to 2 years</t>
  </si>
  <si>
    <t>get closer every day</t>
  </si>
  <si>
    <t>Segment loss (telcos, banks, other)</t>
  </si>
  <si>
    <t>2 customers, took business to competitors</t>
  </si>
  <si>
    <t xml:space="preserve">$100m </t>
  </si>
  <si>
    <t>Believes Q1 not representative</t>
  </si>
  <si>
    <t>40% reiterated</t>
  </si>
  <si>
    <t>double-play video…where subs coming from?</t>
  </si>
  <si>
    <t>Revamp to Content</t>
  </si>
  <si>
    <t>Solid operational progress</t>
  </si>
  <si>
    <t>First 3 months:</t>
  </si>
  <si>
    <t>1/ Work on improving management</t>
  </si>
  <si>
    <t>content $ production</t>
  </si>
  <si>
    <t>prog &amp; marketing</t>
  </si>
  <si>
    <t>strat $ ops</t>
  </si>
  <si>
    <t>2/ Optimise and energise</t>
  </si>
  <si>
    <t>rethinking operations</t>
  </si>
  <si>
    <t>reengineeing, done by June</t>
  </si>
  <si>
    <t>More efficient, save money to reinvest</t>
  </si>
  <si>
    <t>3/ Las Estellas - good progress</t>
  </si>
  <si>
    <t>Ratings growth coming through</t>
  </si>
  <si>
    <t>Fixing Prime Time was the main priority</t>
  </si>
  <si>
    <t>QoQ growth on 4-10pm</t>
  </si>
  <si>
    <t>Data driven approach, launched research products</t>
  </si>
  <si>
    <t>Cancel some productions</t>
  </si>
  <si>
    <t>Green lighted others</t>
  </si>
  <si>
    <t>Collaborate with Univision</t>
  </si>
  <si>
    <t>RGUs down, due to video</t>
  </si>
  <si>
    <t>Declining disposable income</t>
  </si>
  <si>
    <t>launched video/internet at 5Mbps/10Mbps - good traction</t>
  </si>
  <si>
    <t>stricter credit filters, with lower risk of attrition</t>
  </si>
  <si>
    <t>this will be evident in H2</t>
  </si>
  <si>
    <t>Q2 will be poor</t>
  </si>
  <si>
    <t>Churn is at the lowest level in 5 quarters</t>
  </si>
  <si>
    <t>Number of service calls has dropped materially</t>
  </si>
  <si>
    <t>Alex</t>
  </si>
  <si>
    <t>Recharge rate at bottom end of historic range</t>
  </si>
  <si>
    <t>Changes in this rate have a big impact</t>
  </si>
  <si>
    <t>Q2 will be poor also</t>
  </si>
  <si>
    <t>Launching a number of initiatives</t>
  </si>
  <si>
    <t>New regulation, SKY can benefit like nobody else</t>
  </si>
  <si>
    <t>32k of fibre</t>
  </si>
  <si>
    <t>8km of co-ax</t>
  </si>
  <si>
    <t>Smallest Q of the year for Ad business, 50% of scatter?</t>
  </si>
  <si>
    <t>yes, scatter was softer</t>
  </si>
  <si>
    <t>customer deposits are flat for broadcasting</t>
  </si>
  <si>
    <t>high frequency/volume, did not get discounts. Went to competitors</t>
  </si>
  <si>
    <t>New video subs?</t>
  </si>
  <si>
    <t>Izzy needed to focus first on fixed voice/BB</t>
  </si>
  <si>
    <t>now focusing more on video market</t>
  </si>
  <si>
    <t>Pay TV saturation?</t>
  </si>
  <si>
    <t>70% is a ceiling?</t>
  </si>
  <si>
    <t>think can get to 75%</t>
  </si>
  <si>
    <t>Dual-play offering 5 Mbps</t>
  </si>
  <si>
    <t>Economy adjustment</t>
  </si>
  <si>
    <t>Friends and family packages on voice and data</t>
  </si>
  <si>
    <t>Things are working somewhat smoothly</t>
  </si>
  <si>
    <t>Possibly in 2nd semester of this year, in one area of Mexico City. Launch a product</t>
  </si>
  <si>
    <t>Very difficult for Ad sales for balance of the year</t>
  </si>
  <si>
    <t>Limited visibility</t>
  </si>
  <si>
    <t>Good thing: prime time up +20% q/q</t>
  </si>
  <si>
    <t>Chat following Q1s (2 May)</t>
  </si>
  <si>
    <t>Ad business:</t>
  </si>
  <si>
    <t>Tough to predict</t>
  </si>
  <si>
    <t>Didn't expect a 7% decline in Q1</t>
  </si>
  <si>
    <t>self inflicted</t>
  </si>
  <si>
    <t>would have been less if flexible on pricing</t>
  </si>
  <si>
    <t>Certain sectors invested less in broadcast, should return in Q2. perhaps a blip</t>
  </si>
  <si>
    <t>broadcasting being moved to something else?</t>
  </si>
  <si>
    <t>didn't see it going into pay TV</t>
  </si>
  <si>
    <t>on-line not yet developed</t>
  </si>
  <si>
    <t>Couple of customers "direct response"</t>
  </si>
  <si>
    <t>selling 800 stuff, unsold inventory, bits and bobs</t>
  </si>
  <si>
    <t>Ad is 30% of top line, rather than 2-3%</t>
  </si>
  <si>
    <t>Were big customers of TV volume wise, getting spots at night</t>
  </si>
  <si>
    <t>they were the most impacted by the rate card change</t>
  </si>
  <si>
    <t>prime time was sold to them at a discount</t>
  </si>
  <si>
    <t>they have gone to Azteca</t>
  </si>
  <si>
    <t>Q1 - inventory is more available, can do without TV</t>
  </si>
  <si>
    <t>when inventory tightens up toward YE, will have to come back</t>
  </si>
  <si>
    <t>Ad ratings</t>
  </si>
  <si>
    <t>up 20% across a lot of different day parts</t>
  </si>
  <si>
    <t>beginning of turnaround in Content</t>
  </si>
  <si>
    <t>best show on Azteca was the Simpsons</t>
  </si>
  <si>
    <t>Turkish novellas</t>
  </si>
  <si>
    <t>$100m, step up from $1.1bn to $1.2bn. A 2015 decision</t>
  </si>
  <si>
    <t>2017 - take the $1.2bn</t>
  </si>
  <si>
    <t>cut in investment on Content</t>
  </si>
  <si>
    <t xml:space="preserve">old guys leaving, helped the 4% </t>
  </si>
  <si>
    <t>cancelling shows with limited chance of success</t>
  </si>
  <si>
    <t>Q2 17 call</t>
  </si>
  <si>
    <t>Ad model</t>
  </si>
  <si>
    <t>GRPs</t>
  </si>
  <si>
    <t>Audiences rather than spots at a fixed price</t>
  </si>
  <si>
    <t>Time slots</t>
  </si>
  <si>
    <t>difficult to talk about H2</t>
  </si>
  <si>
    <t>should be better</t>
  </si>
  <si>
    <t>inventories normally tighten up in h2</t>
  </si>
  <si>
    <t>deposits still at two thirds of YE number</t>
  </si>
  <si>
    <t>Ad advances are up 7.4%</t>
  </si>
  <si>
    <t>larger due to slower consumption particularly in Q2</t>
  </si>
  <si>
    <t>all need to be used during calendar year, no commitment between 3rd and 4th quarter</t>
  </si>
  <si>
    <t>Stronger sales in H2?</t>
  </si>
  <si>
    <t>1/ less uncertainty re Mexico - US relationship</t>
  </si>
  <si>
    <t>2/ ratings to be very strong</t>
  </si>
  <si>
    <t>3/ inventory tends to tighten up in H2.</t>
  </si>
  <si>
    <t>Content cost budget of $1.2bn</t>
  </si>
  <si>
    <t>Margin of ~40% committed to</t>
  </si>
  <si>
    <t>Family and friends today</t>
  </si>
  <si>
    <t>have pursued both fronts</t>
  </si>
  <si>
    <t>filed over 100 complaints so far</t>
  </si>
  <si>
    <t>ULL launch in Mexico City and Taluca by end September</t>
  </si>
  <si>
    <t>process through family and friends until then</t>
  </si>
  <si>
    <t>Subs trends were stable over Q2, in terms of adds, churn etc</t>
  </si>
  <si>
    <t>new dual products have been gaining traction</t>
  </si>
  <si>
    <t>video-BB was not available before, flexibility was favoured. Very popular, and with skinny bundles.</t>
  </si>
  <si>
    <t>New model</t>
  </si>
  <si>
    <t>Clients can get to GRP goals through buying slots which are now better on day parts than on prime time</t>
  </si>
  <si>
    <t>For H2, and next year, talking about guaranteeing GRPs</t>
  </si>
  <si>
    <t>In place for the scatter now</t>
  </si>
  <si>
    <t>No change to $1bn capex guidance for FY</t>
  </si>
  <si>
    <t>Post Q2 17 call</t>
  </si>
  <si>
    <t>CFO meet after AMX day</t>
  </si>
  <si>
    <t>which shows?</t>
  </si>
  <si>
    <t>both in Mexico and US</t>
  </si>
  <si>
    <t>Other licensing and syndication v strong</t>
  </si>
  <si>
    <t>FX support for cable and SKY margins. MXN at 17.6?</t>
  </si>
  <si>
    <t>H2 - 80% of the business already secured</t>
  </si>
  <si>
    <t>prices higher, arbitrage allowing clients to compensate</t>
  </si>
  <si>
    <t>2018 at the earliest</t>
  </si>
  <si>
    <t>Worst case</t>
  </si>
  <si>
    <t>don’t come back to scatter at all</t>
  </si>
  <si>
    <t>FY down 10%</t>
  </si>
  <si>
    <t>Some do not participate in the upfronts</t>
  </si>
  <si>
    <t>smaller companies, local ad sales</t>
  </si>
  <si>
    <t>those who can't afford to participate in upfronts</t>
  </si>
  <si>
    <t>government</t>
  </si>
  <si>
    <t>Down 5/7% would be worst case</t>
  </si>
  <si>
    <t>Best - zero, or -3%</t>
  </si>
  <si>
    <t>Scatter…old framework still in place for H2</t>
  </si>
  <si>
    <t>1st version of new pricing model</t>
  </si>
  <si>
    <t>optional for the customer</t>
  </si>
  <si>
    <t>won't rescue</t>
  </si>
  <si>
    <t>1/ Still staying away?</t>
  </si>
  <si>
    <t>Genoma Lab, others, are using Azteca</t>
  </si>
  <si>
    <t>toiletries etc, high frequency</t>
  </si>
  <si>
    <t>most affected…ad spend a large % of total cost</t>
  </si>
  <si>
    <t>demand very favourable credit terms</t>
  </si>
  <si>
    <t>Gualamex</t>
  </si>
  <si>
    <t>2/ Others staying away</t>
  </si>
  <si>
    <t>Telecoms, banking, high calorific</t>
  </si>
  <si>
    <t>3/ Eyeballs cheaper</t>
  </si>
  <si>
    <t>4/ On-line taking a bigger level of share</t>
  </si>
  <si>
    <t>although in the US CPM has compensated</t>
  </si>
  <si>
    <t>Ratings…</t>
  </si>
  <si>
    <t>all double digit growth</t>
  </si>
  <si>
    <t>Jan 1st turnaround started</t>
  </si>
  <si>
    <t>not a "hit show"</t>
  </si>
  <si>
    <t>10pm to 10:30</t>
  </si>
  <si>
    <t>extra 30 mins of prime time</t>
  </si>
  <si>
    <t>shows not produced by TV</t>
  </si>
  <si>
    <t>top 4 shows, 3 are by televisa</t>
  </si>
  <si>
    <t>Univision in partnership: La Piloto - Narcos</t>
  </si>
  <si>
    <t xml:space="preserve">Rose of Guadeloupe - unitary show, single contained story in a single episode. </t>
  </si>
  <si>
    <t>right time, right promos, marketing</t>
  </si>
  <si>
    <t>content is as dependent on marketing as the movies</t>
  </si>
  <si>
    <t>not about the new content</t>
  </si>
  <si>
    <t>700 novellas in the life of TV (50 years)</t>
  </si>
  <si>
    <t>created a policy of identifying key elements of a novella.</t>
  </si>
  <si>
    <t>female, start poor finish rich, child out of wedlock, sun-sun, and 143 episodes</t>
  </si>
  <si>
    <t>do exactly the same thing</t>
  </si>
  <si>
    <t>everything was the same</t>
  </si>
  <si>
    <t>Going forward</t>
  </si>
  <si>
    <t>will be up and down, going forward</t>
  </si>
  <si>
    <t>trend is very positive</t>
  </si>
  <si>
    <t>Up on 2016, down on 2014</t>
  </si>
  <si>
    <t>2018 discussions..</t>
  </si>
  <si>
    <t>October…prices start to be set</t>
  </si>
  <si>
    <t>a lot of uncertainty</t>
  </si>
  <si>
    <t>2018?</t>
  </si>
  <si>
    <t>Sales team…2 years into the transformation</t>
  </si>
  <si>
    <t>OTT</t>
  </si>
  <si>
    <t>Pay TV market didn't shrink…stopped growing at the same pace</t>
  </si>
  <si>
    <t>Q1 17…200k out of 20m - irrelevant</t>
  </si>
  <si>
    <t>June - Channel 2 delivered ratings &gt; pay TV (ex TV pay TV channels)</t>
  </si>
  <si>
    <t xml:space="preserve">Isaac </t>
  </si>
  <si>
    <t>$1.2bn - healthy budget to be spent in a better way</t>
  </si>
  <si>
    <t>Won’t jeopardise the business just to hit margins</t>
  </si>
  <si>
    <t>Disconnect between buy side and sell side</t>
  </si>
  <si>
    <t xml:space="preserve">SKY…JH2 to be better? </t>
  </si>
  <si>
    <t>not too positive..growth will be quite low</t>
  </si>
  <si>
    <t>2018 will be a better year</t>
  </si>
  <si>
    <t>2018 Ad spend</t>
  </si>
  <si>
    <t>48 minutes per day…distribute free</t>
  </si>
  <si>
    <t>all the time this is given away</t>
  </si>
  <si>
    <t xml:space="preserve">used more intensely in prime time </t>
  </si>
  <si>
    <t>24 hours</t>
  </si>
  <si>
    <t>Ad on TV…18 minutes per hour</t>
  </si>
  <si>
    <t>60 days before elections…nothing</t>
  </si>
  <si>
    <t>June 3rd for election</t>
  </si>
  <si>
    <t>July 1 2016</t>
  </si>
  <si>
    <t>av of last 12 Qs</t>
  </si>
  <si>
    <t>netflix $20m / annum</t>
  </si>
  <si>
    <t>After Q2</t>
  </si>
  <si>
    <t>launch quietly</t>
  </si>
  <si>
    <t>could be 2018</t>
  </si>
  <si>
    <t>2 years…not counting on this. Doesn't rely on functional separation</t>
  </si>
  <si>
    <t>in Mexico City and Taluca…plan on launching by end September. Family &amp; friends</t>
  </si>
  <si>
    <t>bigger trial therefore</t>
  </si>
  <si>
    <t>Domestic advertising</t>
  </si>
  <si>
    <t>ratings…</t>
  </si>
  <si>
    <t>continue to do great</t>
  </si>
  <si>
    <t>better than when issued  Q2 release</t>
  </si>
  <si>
    <t>discussions with clients</t>
  </si>
  <si>
    <t>today customers can use inventory whenever they want</t>
  </si>
  <si>
    <t>can have overcrowding</t>
  </si>
  <si>
    <t>or very little interest</t>
  </si>
  <si>
    <t>spot market today</t>
  </si>
  <si>
    <t>intro alternatives</t>
  </si>
  <si>
    <t>great time to change the ratings</t>
  </si>
  <si>
    <t>last 2 years of ratings disappointment</t>
  </si>
  <si>
    <t>world doesn't change overnight</t>
  </si>
  <si>
    <t>UNI started to struggle…UNI own programming perhaps, competitive environment changed in the US. Narcos shows from Telemundo started</t>
  </si>
  <si>
    <t>Televisa tried to focus efforts more to the US</t>
  </si>
  <si>
    <t>didn't support core business</t>
  </si>
  <si>
    <t>over elaborated traditional novellas</t>
  </si>
  <si>
    <t>Isaacs went back to basics</t>
  </si>
  <si>
    <t>Ratings, 2010-14 - ratings flat, to up slightly</t>
  </si>
  <si>
    <t>steady business</t>
  </si>
  <si>
    <t>Target price…neutrals and the bears…very wide target</t>
  </si>
  <si>
    <t xml:space="preserve">Malone rumour….2/3 weeks ago. </t>
  </si>
  <si>
    <t>shares below since then?</t>
  </si>
  <si>
    <t>market likes the underlying trends</t>
  </si>
  <si>
    <t>q2 - better trends in cable has been key…continued better trends into q3</t>
  </si>
  <si>
    <t>benefits from the credit filters</t>
  </si>
  <si>
    <t xml:space="preserve"> Oct-17 chat following AMX investor day/Mexico trip</t>
  </si>
  <si>
    <t>&gt;500 homes under test</t>
  </si>
  <si>
    <t>Complaints</t>
  </si>
  <si>
    <t>Not compliant…dragging their feet</t>
  </si>
  <si>
    <t>Retail minus to cost plus, prices would be higher than today</t>
  </si>
  <si>
    <t>Less and less government contracts</t>
  </si>
  <si>
    <t>Pricing pressure on enterprise also</t>
  </si>
  <si>
    <t>restructuring…hope to turn it around</t>
  </si>
  <si>
    <t>18-24 month contracts</t>
  </si>
  <si>
    <t>top 10 are 50% of revenue</t>
  </si>
  <si>
    <t>government, large universities, AT&amp;T</t>
  </si>
  <si>
    <t>Q3 17 chat</t>
  </si>
  <si>
    <t>Management change</t>
  </si>
  <si>
    <t>Alfonso and Bernardo</t>
  </si>
  <si>
    <t>Been there for 20 years, worked alongside Emilio</t>
  </si>
  <si>
    <t>Univision, cable, SKY</t>
  </si>
  <si>
    <t>Bernardo camera shy</t>
  </si>
  <si>
    <t>As important as Alfonso</t>
  </si>
  <si>
    <t>Was in charge of news, govt relationship</t>
  </si>
  <si>
    <t>Emilio had been more focused on the content side</t>
  </si>
  <si>
    <t>Was involved in all key decisions previously</t>
  </si>
  <si>
    <t>No change in direction</t>
  </si>
  <si>
    <t>Change in speed of implementation</t>
  </si>
  <si>
    <t>Salvi move to Strategic planning</t>
  </si>
  <si>
    <t>VP of Finance &amp; Admin</t>
  </si>
  <si>
    <t xml:space="preserve">Carlos (cable) is Finance, </t>
  </si>
  <si>
    <t>Admin is HR, systems</t>
  </si>
  <si>
    <t>Salvi will be more in M&amp;A and advising senior management</t>
  </si>
  <si>
    <t>less work</t>
  </si>
  <si>
    <t>Other was a surprise</t>
  </si>
  <si>
    <t>Earthquake was an issue, to some extent</t>
  </si>
  <si>
    <t>Had to cancel 2 soccer games</t>
  </si>
  <si>
    <t>Central America</t>
  </si>
  <si>
    <t>USD denominated. Post paid subs</t>
  </si>
  <si>
    <t>Sales policy changed</t>
  </si>
  <si>
    <t>Wholesale cable</t>
  </si>
  <si>
    <t>operational challenges</t>
  </si>
  <si>
    <t>restructuring</t>
  </si>
  <si>
    <t>Channel 2 / Las Estrellas</t>
  </si>
  <si>
    <t>on average, 26% up y/y</t>
  </si>
  <si>
    <t>Pricing mechanism</t>
  </si>
  <si>
    <t>pillar of upfronts discussions</t>
  </si>
  <si>
    <t>Isaac</t>
  </si>
  <si>
    <t>ratings up 50% up from Q4 2016</t>
  </si>
  <si>
    <t>last 13 weeks larger audience on primetime than all pay TV networks</t>
  </si>
  <si>
    <t>3 year strategic plan</t>
  </si>
  <si>
    <t>portfolio strategy.</t>
  </si>
  <si>
    <t>pay TV - focus on most successful networks, but will maintain 14 existing</t>
  </si>
  <si>
    <t>digital &amp; premium content</t>
  </si>
  <si>
    <t>some earthquake. Will lose 15-20k RGUs in the 4th Q</t>
  </si>
  <si>
    <t>wholesale</t>
  </si>
  <si>
    <t>cut in new government contracts</t>
  </si>
  <si>
    <t>taking steps to turn around</t>
  </si>
  <si>
    <t>13m homes passed</t>
  </si>
  <si>
    <t>Gross adds remains high</t>
  </si>
  <si>
    <t>Higher cancellations due to analogue switch off</t>
  </si>
  <si>
    <t>Earthquake impacted abiltity to sell for one week</t>
  </si>
  <si>
    <t>Analogue switch off will impact numbers in Q4. will get better from 2018, with the World Cup</t>
  </si>
  <si>
    <t>2018 - only platform carrying football World Cup (all 64 games), 40% exclusive</t>
  </si>
  <si>
    <t>Why now? Does this say anything about the content negotiations?</t>
  </si>
  <si>
    <t>How will this change things on a day to day basis?</t>
  </si>
  <si>
    <t>Some update on new pricing model, has been trialled in the scatter. How's it going?</t>
  </si>
  <si>
    <t>How should we think about election impact for 2018?</t>
  </si>
  <si>
    <t>Latest thinking on ULL</t>
  </si>
  <si>
    <t>Likely to wait until functional separation is applied before commercial deployment</t>
  </si>
  <si>
    <t>why is the analogue switch off still working through numbers now</t>
  </si>
  <si>
    <t>2 years later</t>
  </si>
  <si>
    <t>Strong adds. What speeds are BB coming on at 5/10/20</t>
  </si>
  <si>
    <t>Pricing moved up across most segments, might have expected more of a sequential step change?</t>
  </si>
  <si>
    <t>Outlook for wholesale cable moving into election year?</t>
  </si>
  <si>
    <t>Questions</t>
  </si>
  <si>
    <t>Earthquake impact</t>
  </si>
  <si>
    <t>3 days. ~100m pesos</t>
  </si>
  <si>
    <t>Real SKY impact will spill into Q4</t>
  </si>
  <si>
    <t>Allocated more or less because of ratings?</t>
  </si>
  <si>
    <t>Severance expenses</t>
  </si>
  <si>
    <t>when will headcount reduction finish</t>
  </si>
  <si>
    <t>mostly to do with Content</t>
  </si>
  <si>
    <t>will continue, a huge change</t>
  </si>
  <si>
    <t>things will be normalised</t>
  </si>
  <si>
    <t>World Cup</t>
  </si>
  <si>
    <t>will be positive for Ad in 2018</t>
  </si>
  <si>
    <t>Ad revenue outlook</t>
  </si>
  <si>
    <t>Aim for growth</t>
  </si>
  <si>
    <t>Differences between Mexico and US?</t>
  </si>
  <si>
    <t>New ratings</t>
  </si>
  <si>
    <t>Channel 2, more audiences than whole universe of pay TV</t>
  </si>
  <si>
    <t>reach is unreplicated</t>
  </si>
  <si>
    <t xml:space="preserve">Digital </t>
  </si>
  <si>
    <t>4 years behind the US</t>
  </si>
  <si>
    <t xml:space="preserve">Ad </t>
  </si>
  <si>
    <t>Less flexibility to place spots whereever they want</t>
  </si>
  <si>
    <t>More with international experience get it faster</t>
  </si>
  <si>
    <t>Deliver GRPs</t>
  </si>
  <si>
    <t>They're working with their agencies to see how they get to their targets</t>
  </si>
  <si>
    <t>Advertisers getting certainty</t>
  </si>
  <si>
    <t>finished family &amp; friends stage</t>
  </si>
  <si>
    <t>still facing a number of impediments</t>
  </si>
  <si>
    <t>commercial and operational impediments</t>
  </si>
  <si>
    <t>Content was not under new CEOs remit previously</t>
  </si>
  <si>
    <t>TV chat - Nov 2017</t>
  </si>
  <si>
    <t>2018 additional business</t>
  </si>
  <si>
    <t>World Cup (4 years), invest in election coverage (6 years)</t>
  </si>
  <si>
    <t>not the time to stop spending on content</t>
  </si>
  <si>
    <t>1st 9 months has been down</t>
  </si>
  <si>
    <t>ties in with the step up in royalties</t>
  </si>
  <si>
    <t>500bp margin increase, will be less than that</t>
  </si>
  <si>
    <t xml:space="preserve">World Cup - not a lot </t>
  </si>
  <si>
    <t>&lt;10% of $600m Telemundo paid</t>
  </si>
  <si>
    <t>"$175m in Ad Spend from last FIFA World Cup"</t>
  </si>
  <si>
    <t>$25m 4 years ago - cost of rights up, peso terms weaker</t>
  </si>
  <si>
    <t>Election coverage…crew, news casts</t>
  </si>
  <si>
    <t>Never sell political, sell government adv</t>
  </si>
  <si>
    <t>vaccinations, back to school. On average, 5-8% of Ad revs</t>
  </si>
  <si>
    <t>normally through this year</t>
  </si>
  <si>
    <t>Federal electoral institute: political not disguised</t>
  </si>
  <si>
    <t>Q2 event. 5-8% less</t>
  </si>
  <si>
    <t>could be reallocated partly, but not all</t>
  </si>
  <si>
    <t>Shouldn't be more than the incremental royalties</t>
  </si>
  <si>
    <t>Sometimes regular content delivers better ratings than World Cup</t>
  </si>
  <si>
    <t>As TV ratings so big</t>
  </si>
  <si>
    <t>have to transmit it, even if don't get it recovered with revenue</t>
  </si>
  <si>
    <t>Companies redistribute Q1 revs to Q2…happened in 2014</t>
  </si>
  <si>
    <t>Key issues for 2018</t>
  </si>
  <si>
    <t>Sales mechanism shift</t>
  </si>
  <si>
    <t>use this rate going forward</t>
  </si>
  <si>
    <t>guarantees and the same price</t>
  </si>
  <si>
    <t>Macro shift…1 July 18 will be difficult</t>
  </si>
  <si>
    <t>Nobody knows PAN</t>
  </si>
  <si>
    <t>AMLO?</t>
  </si>
  <si>
    <t>Mayor of Mexico City - did quite well</t>
  </si>
  <si>
    <t>Numbers need to come down</t>
  </si>
  <si>
    <t>Santiago meeting with 4 analysts in Sao Paulo</t>
  </si>
  <si>
    <t>1 week - 8%</t>
  </si>
  <si>
    <t>distr, media in US down that week</t>
  </si>
  <si>
    <t>historically, traded more with Mexican companies</t>
  </si>
  <si>
    <t>2014/15 - more moved in line wit US media due to UNI</t>
  </si>
  <si>
    <t>cost cutting</t>
  </si>
  <si>
    <t>migration of budgets</t>
  </si>
  <si>
    <t>chord cutting</t>
  </si>
  <si>
    <t>Media - 70% share of audience, ratings are going up</t>
  </si>
  <si>
    <t>before corp expenses</t>
  </si>
  <si>
    <t>MXN bn</t>
  </si>
  <si>
    <t>Cons EBITDA</t>
  </si>
  <si>
    <t>MS</t>
  </si>
  <si>
    <t>before Q3</t>
  </si>
  <si>
    <t>Evercore</t>
  </si>
  <si>
    <t>post</t>
  </si>
  <si>
    <t>UBS</t>
  </si>
  <si>
    <t>BTG</t>
  </si>
  <si>
    <t>Citi</t>
  </si>
  <si>
    <t>Itau</t>
  </si>
  <si>
    <t>JPM</t>
  </si>
  <si>
    <t>CS</t>
  </si>
  <si>
    <t>BAML</t>
  </si>
  <si>
    <t>(from 40.6)</t>
  </si>
  <si>
    <t>Div split</t>
  </si>
  <si>
    <t>Q4</t>
  </si>
  <si>
    <t>Ad revs 2018</t>
  </si>
  <si>
    <t>flat</t>
  </si>
  <si>
    <t>good base, with option on low to mid-single digits (3-4%)</t>
  </si>
  <si>
    <t>6.5% down is ok</t>
  </si>
  <si>
    <t>gut feel, not based on upfronts</t>
  </si>
  <si>
    <t>4% down is fine</t>
  </si>
  <si>
    <t>Network subs</t>
  </si>
  <si>
    <t>5% too high</t>
  </si>
  <si>
    <t>any growth should be entirely driven by cable, SKY growth</t>
  </si>
  <si>
    <t xml:space="preserve">SKY will struggle </t>
  </si>
  <si>
    <t>150k in cable, is 4%</t>
  </si>
  <si>
    <t>$89.5m is fine</t>
  </si>
  <si>
    <t>affiliate fees up</t>
  </si>
  <si>
    <t>Ad struggling</t>
  </si>
  <si>
    <t>No World Cup</t>
  </si>
  <si>
    <t>$440m or so UNI royalties</t>
  </si>
  <si>
    <t>Content revs</t>
  </si>
  <si>
    <t>Incremental Content invests</t>
  </si>
  <si>
    <t>$115m</t>
  </si>
  <si>
    <t>not all being invested, and not maintained beyond 2018</t>
  </si>
  <si>
    <t>cost of content up by 2.2% in 2015, 11% increase in 2016, 2017 down by 3%</t>
  </si>
  <si>
    <t>3.5-4% perhaps underlying</t>
  </si>
  <si>
    <t>M&amp;A optionality</t>
  </si>
  <si>
    <t>UNI - seems less likely</t>
  </si>
  <si>
    <t>The PE guys have to get out</t>
  </si>
  <si>
    <t>Saban (Chairman) has supposedly been running the process. Had ridiculous expectations</t>
  </si>
  <si>
    <t>Funds are passed their expiration dates</t>
  </si>
  <si>
    <t>Filed S1, stopped getting management fees</t>
  </si>
  <si>
    <t>LPs not giving them extensions</t>
  </si>
  <si>
    <t>Selling and leavnig Haim behind</t>
  </si>
  <si>
    <t>Sept 17 - specific in saying PE not going to get</t>
  </si>
  <si>
    <t>Can't IPO it - definitely not happening</t>
  </si>
  <si>
    <t>IR who they hired, Lorraine Mancine. No2 IR at TWC. Just left recently</t>
  </si>
  <si>
    <t>Was thinking something would happen quickly</t>
  </si>
  <si>
    <t>Discovery - Scrips deal. High multiple</t>
  </si>
  <si>
    <t>RGU trends for Q3 - broadly should continue</t>
  </si>
  <si>
    <t>RGUs higher than 400k, prices up</t>
  </si>
  <si>
    <t>Network down in Q4, perhaps identical to Q3. flat in 18</t>
  </si>
  <si>
    <t>relaunching business</t>
  </si>
  <si>
    <t>up in 2019</t>
  </si>
  <si>
    <t>300-400k is very unlikely</t>
  </si>
  <si>
    <t>lost 4k this year</t>
  </si>
  <si>
    <t>recharges - 70-75% every month. 50% at some level - have to let them go</t>
  </si>
  <si>
    <t>q3 - lowest in history</t>
  </si>
  <si>
    <t>78-79% in analogue switch off. Currently 70% (Q3) -  lowest level for some time</t>
  </si>
  <si>
    <t>disconnect - economy</t>
  </si>
  <si>
    <t>12 out of 18 months</t>
  </si>
  <si>
    <t>World Cup helps</t>
  </si>
  <si>
    <t>120-160k per Q</t>
  </si>
  <si>
    <t>200 in Q2</t>
  </si>
  <si>
    <t xml:space="preserve">24 exclusive </t>
  </si>
  <si>
    <t>&gt;50% fta</t>
  </si>
  <si>
    <t>pay TV sports network</t>
  </si>
  <si>
    <t>SKY exclusive</t>
  </si>
  <si>
    <t>Some incremental expense</t>
  </si>
  <si>
    <t>profit making?? Hard to say, faster growth in net adds</t>
  </si>
  <si>
    <t>1-3% of revs growth</t>
  </si>
  <si>
    <t>Some price increase poss. Last one was December 1st</t>
  </si>
  <si>
    <t>take adds down</t>
  </si>
  <si>
    <t>peso weakness</t>
  </si>
  <si>
    <t>will be up due to world cup</t>
  </si>
  <si>
    <t>So could be down at EBITDA</t>
  </si>
  <si>
    <t>MXN1.7bn…non cash item</t>
  </si>
  <si>
    <t>rebuild the network…</t>
  </si>
  <si>
    <t>run a disposal…helps from a tax</t>
  </si>
  <si>
    <t>cancellation of SKY satellite</t>
  </si>
  <si>
    <t>lay offs</t>
  </si>
  <si>
    <t>should come down</t>
  </si>
  <si>
    <t>Bernado v close to Azcarraga</t>
  </si>
  <si>
    <t>Alfonso more aggressive</t>
  </si>
  <si>
    <t>Consensus - Nov 28th</t>
  </si>
  <si>
    <t>Q4 spot market is normally 40% of total spot</t>
  </si>
  <si>
    <t>Sell side is closer to 8/9% down</t>
  </si>
  <si>
    <t>Ad growth  in 2018</t>
  </si>
  <si>
    <t>range of -1.6% and +4%</t>
  </si>
  <si>
    <t>Amount of royalties saved</t>
  </si>
  <si>
    <t>50%??</t>
  </si>
  <si>
    <t>3.8-4.2</t>
  </si>
  <si>
    <t>Op income</t>
  </si>
  <si>
    <t>9.5-10.5</t>
  </si>
  <si>
    <t>8.5-9.5</t>
  </si>
  <si>
    <t>Chat - Dec 8th 2017</t>
  </si>
  <si>
    <t>Upside not downside</t>
  </si>
  <si>
    <t>Resolution of dominance…back and forth with courts</t>
  </si>
  <si>
    <t>Outcomes</t>
  </si>
  <si>
    <t>1/ status quo. Dominant but no additional implications. Paying Azteca the only issue</t>
  </si>
  <si>
    <t>2/ courts force IFT to do analysis again</t>
  </si>
  <si>
    <t>3/ court determinaes that IFT resolution of dominance is compliant and IFT implements additional measures</t>
  </si>
  <si>
    <t>Court will decide manner of method NOT whether dominant or not</t>
  </si>
  <si>
    <t>IFT chooses measures and timing, irregardless</t>
  </si>
  <si>
    <t>Timely</t>
  </si>
  <si>
    <t>when it occurred. Pay TV has been coming down in real terms. Flat for 4 years, before last year. FTA channels are free.</t>
  </si>
  <si>
    <t>Relevant</t>
  </si>
  <si>
    <t>specific behaviour</t>
  </si>
  <si>
    <t>Split SKY..would take time to get to the point of needing to split SKY</t>
  </si>
  <si>
    <t>Conclusion</t>
  </si>
  <si>
    <t>Dominant today</t>
  </si>
  <si>
    <t>Questioning whether method for determining this was correct</t>
  </si>
  <si>
    <t>if yes, then stay dominant</t>
  </si>
  <si>
    <t>if no, IFT goes away and does another assessment</t>
  </si>
  <si>
    <t>IFT could at any point have chosen to add additional measures</t>
  </si>
  <si>
    <t>Measures need to be timely and relevant</t>
  </si>
  <si>
    <t>so, pricing issues in 2014 shouldn't determine changes in 2018</t>
  </si>
  <si>
    <t>need to consider specific behaviour</t>
  </si>
  <si>
    <t>Chat - Jan 8th 2017</t>
  </si>
  <si>
    <t>Q4 good for RGUs</t>
  </si>
  <si>
    <t>negative MEGA comp goes ok. Limited growth</t>
  </si>
  <si>
    <t>Licence</t>
  </si>
  <si>
    <t>1 Jan royalty increase</t>
  </si>
  <si>
    <t>depends on UNI affiliate fees ok, Ad less good</t>
  </si>
  <si>
    <t>Consensus at $320m, underlying revs +/- 5%</t>
  </si>
  <si>
    <t>Hope to guide on Content margins</t>
  </si>
  <si>
    <t>Hope for growth returning</t>
  </si>
  <si>
    <t>Price changes</t>
  </si>
  <si>
    <t>5% in Q4..most packages</t>
  </si>
  <si>
    <t>VETV</t>
  </si>
  <si>
    <t>Dish has not yet followed</t>
  </si>
  <si>
    <t>new packages</t>
  </si>
  <si>
    <t>legacy</t>
  </si>
  <si>
    <t>Cost and expenses going up every year in SKY</t>
  </si>
  <si>
    <t>So some level of margin squeeze?</t>
  </si>
  <si>
    <t>Low 40%s for 2018</t>
  </si>
  <si>
    <t>Cable:-</t>
  </si>
  <si>
    <t>Q4 - more RGUs than in Q3</t>
  </si>
  <si>
    <t>Annualise Q3 - 800k in 2018</t>
  </si>
  <si>
    <t>Volume growht of 8%</t>
  </si>
  <si>
    <t>Plus price</t>
  </si>
  <si>
    <t>Should be double digit revs growth</t>
  </si>
  <si>
    <t xml:space="preserve">Q4 release </t>
  </si>
  <si>
    <t>20th Feb</t>
  </si>
  <si>
    <t>Chat - Jan 23rd 2017</t>
  </si>
  <si>
    <t>Cable consolidation</t>
  </si>
  <si>
    <t>Content is free in Mexico.</t>
  </si>
  <si>
    <t>Taking a look at the portfolio</t>
  </si>
  <si>
    <t>Pro-active on convincing sell side of merits of cable spin</t>
  </si>
  <si>
    <t>Important for distribution and content to be in the same company</t>
  </si>
  <si>
    <t>if create and distribute, you capture all the value chain</t>
  </si>
  <si>
    <t>strategic..if didn't own distribution, then would be owned by AMX</t>
  </si>
  <si>
    <t>if didn't own, wouldn't be able to have consolidated cable market (financially)</t>
  </si>
  <si>
    <t>Gaming, publishing, radio - with bankers, one-on-one also</t>
  </si>
  <si>
    <t>Give as much guidance as they can at the FYs</t>
  </si>
  <si>
    <t>Market focus</t>
  </si>
  <si>
    <t>Q4 Ad sales, driven by scatter. Represents 20% of Ad in q1/q2/q3 and 40% in q4</t>
  </si>
  <si>
    <t>2 deals in Jan. Ignore Upfronts on BS, and ignores SKY and cable</t>
  </si>
  <si>
    <t>How many customers migrated to new pricing mechanism</t>
  </si>
  <si>
    <t>if ratings up, then revs not down. Excess inventory could be sold</t>
  </si>
  <si>
    <t>Ad revs…flat, 1/2% maybe in-line with GDP</t>
  </si>
  <si>
    <t>-0.5% to 2.5%</t>
  </si>
  <si>
    <t>Costs and expenses in Content</t>
  </si>
  <si>
    <t>guide here</t>
  </si>
  <si>
    <t>start amortising cost in Q4, Q1 , Q2 and Q3</t>
  </si>
  <si>
    <t>profitable long-term at SKY</t>
  </si>
  <si>
    <t>net adds grow more quickly</t>
  </si>
  <si>
    <t>longer payback than 12m</t>
  </si>
  <si>
    <t>strategic benefit to offering World Cup</t>
  </si>
  <si>
    <t>puts TV in a better position to negotiate</t>
  </si>
  <si>
    <t>FY 2017 results</t>
  </si>
  <si>
    <t>Thoughts on Ad growth?</t>
  </si>
  <si>
    <t>Margin guidance</t>
  </si>
  <si>
    <t>Ratings to continue to grow</t>
  </si>
  <si>
    <t>Asset sales</t>
  </si>
  <si>
    <t>relaunching wholesale?</t>
  </si>
  <si>
    <t>margins impacted, but will we see better revenue from World Cup</t>
  </si>
  <si>
    <t>All 64 games of the World Cup</t>
  </si>
  <si>
    <t>Temp step down in op income margins</t>
  </si>
  <si>
    <t>will likely remain low-to-mid 40%</t>
  </si>
  <si>
    <t>Blue Telecomm</t>
  </si>
  <si>
    <t>Fixed wireless internet service</t>
  </si>
  <si>
    <t>Prime time</t>
  </si>
  <si>
    <t>22% up in Q4</t>
  </si>
  <si>
    <t>15% in 2017 FY</t>
  </si>
  <si>
    <t>very difficult</t>
  </si>
  <si>
    <t>pricing mechanism and amount committed</t>
  </si>
  <si>
    <t>100% of customers on new model</t>
  </si>
  <si>
    <t>MXN16.4bn commited</t>
  </si>
  <si>
    <t>A few new clients, Amazon, Uber, Mercadolibre, Trivago</t>
  </si>
  <si>
    <t>Go back to growing with the economy</t>
  </si>
  <si>
    <t>Cut costs expenses by MXN800m</t>
  </si>
  <si>
    <t>% growth in costs will be low teens</t>
  </si>
  <si>
    <t>3 factors</t>
  </si>
  <si>
    <t>1/ investing in transformational initiatives</t>
  </si>
  <si>
    <t>2/ soccer, half on FTA</t>
  </si>
  <si>
    <t>3/ election, Presidential, both chambers of Congress</t>
  </si>
  <si>
    <t>Assets</t>
  </si>
  <si>
    <t>all under the same corporate structure - is this sensible</t>
  </si>
  <si>
    <t>Any scatter left unsold?</t>
  </si>
  <si>
    <t>Inventory usage?</t>
  </si>
  <si>
    <t>Low in the 3rd and 4th quarter</t>
  </si>
  <si>
    <t>How much is market growth, how much is market share?</t>
  </si>
  <si>
    <t>Both</t>
  </si>
  <si>
    <t>14m homes passed</t>
  </si>
  <si>
    <t>Ad revs should grow?? Is it a floor</t>
  </si>
  <si>
    <t>World Cup and elections - cost?</t>
  </si>
  <si>
    <t>$150m investment</t>
  </si>
  <si>
    <t>Partnerships with international content</t>
  </si>
  <si>
    <t>Supreme Court ruling in favour Televisa</t>
  </si>
  <si>
    <t>re dominance on pay TV</t>
  </si>
  <si>
    <t>long story, sept 15 - ifetel said not substantial power</t>
  </si>
  <si>
    <t>then Jan 17 - court ordered ifetel to review ruling</t>
  </si>
  <si>
    <t>mar 17 - ifetel reversed decision, declared dominance</t>
  </si>
  <si>
    <t>as of Aug-14</t>
  </si>
  <si>
    <t>filed motions in Supreme Court</t>
  </si>
  <si>
    <t>ifetel now likely to rule not dominant</t>
  </si>
  <si>
    <t>MXN800m sale of Argentina, redundancies and other</t>
  </si>
  <si>
    <t>70% of other is non-recurring</t>
  </si>
  <si>
    <t>30% is severance</t>
  </si>
  <si>
    <t>Price rises for SKY</t>
  </si>
  <si>
    <t>World Cup will support the price rises</t>
  </si>
  <si>
    <t>All scenarios, not sharing anything yet. Good for TV/shareholders, or create separate public vehicles</t>
  </si>
  <si>
    <t>media and telcos converge for consumers, doesn't seem to be a consensus on right mix</t>
  </si>
  <si>
    <t>AT&amp;T buying content</t>
  </si>
  <si>
    <t>Comcast integrated, cable and content</t>
  </si>
  <si>
    <t>Comcast similar to Televisa</t>
  </si>
  <si>
    <t>BUT</t>
  </si>
  <si>
    <t>Fox is selling a material part of its assets</t>
  </si>
  <si>
    <t>Recently launched voice and data</t>
  </si>
  <si>
    <t>Starting with focusing on re-sale of Telmex</t>
  </si>
  <si>
    <t>until ready with LLU</t>
  </si>
  <si>
    <t>continue to face obstacles with Telmex</t>
  </si>
  <si>
    <t>continue to file complaints</t>
  </si>
  <si>
    <t>Fixed wireless</t>
  </si>
  <si>
    <t>plan is to launch in April</t>
  </si>
  <si>
    <t>believe will be highly successful</t>
  </si>
  <si>
    <t>no requirement for installation</t>
  </si>
  <si>
    <t>existing network of cellular company in Mexico</t>
  </si>
  <si>
    <t>conversations with Red Compartida</t>
  </si>
  <si>
    <t>Repackaged pay TV</t>
  </si>
  <si>
    <t>higher price charged to SKY, cable etc</t>
  </si>
  <si>
    <t>With SKY</t>
  </si>
  <si>
    <t>reflected within the margin guidance</t>
  </si>
  <si>
    <t>Post-Q4 17 chat, numbers run through</t>
  </si>
  <si>
    <t>toughest to forecast</t>
  </si>
  <si>
    <t>not charging more</t>
  </si>
  <si>
    <t>netwrork subs</t>
  </si>
  <si>
    <t>annuailse q4</t>
  </si>
  <si>
    <t>repackaged of the bundles, prices up</t>
  </si>
  <si>
    <t>1st oct</t>
  </si>
  <si>
    <t>q4 mxn100m</t>
  </si>
  <si>
    <t>uni</t>
  </si>
  <si>
    <t>no revenue growth</t>
  </si>
  <si>
    <t>q4 16 gained some political revs</t>
  </si>
  <si>
    <t>$427m</t>
  </si>
  <si>
    <t>everything else</t>
  </si>
  <si>
    <t>annualise q1-q3, $160m</t>
  </si>
  <si>
    <t>$590m</t>
  </si>
  <si>
    <t>8.6% growth in Content revs</t>
  </si>
  <si>
    <t>$150m</t>
  </si>
  <si>
    <t>salaries the bulk</t>
  </si>
  <si>
    <t>35% margin therefore on Content</t>
  </si>
  <si>
    <t>50,000 adds</t>
  </si>
  <si>
    <t>Price increase  of 5%, premium and other</t>
  </si>
  <si>
    <t>75% flows through, 3.5%</t>
  </si>
  <si>
    <t>costs, exp - up 10%</t>
  </si>
  <si>
    <t>Margins down in 2018….</t>
  </si>
  <si>
    <t>World Cup, different levels, 6 separate recharges</t>
  </si>
  <si>
    <t>70% recharge level</t>
  </si>
  <si>
    <t>Averaging q3 and q4 adds</t>
  </si>
  <si>
    <t>rgus of 750k, could be 900k</t>
  </si>
  <si>
    <t>mid year price increase</t>
  </si>
  <si>
    <t>11.5% revenue growth. Enterprise flat</t>
  </si>
  <si>
    <t>Salvi looking at enterprise</t>
  </si>
  <si>
    <t>first 2qs negative, h2 slightly positive</t>
  </si>
  <si>
    <t>MXN8bn</t>
  </si>
  <si>
    <t>EBITDA at MXN490m</t>
  </si>
  <si>
    <t>None exist by Q4…?</t>
  </si>
  <si>
    <t>Q4 take out MXN800m, FY ex 1.6, using this going forward</t>
  </si>
  <si>
    <t>previously loss making vs profitable</t>
  </si>
  <si>
    <t>suddenly need to pay</t>
  </si>
  <si>
    <t>agreement to pay over time</t>
  </si>
  <si>
    <t>2017: mxn1.2bn to meet retroactive taxes</t>
  </si>
  <si>
    <t>Q1 18 conf call</t>
  </si>
  <si>
    <t>Strategic moves</t>
  </si>
  <si>
    <t>Continue to explore</t>
  </si>
  <si>
    <t>TV has valuable assets, is market giving it the right valuation</t>
  </si>
  <si>
    <t>Conclude process this year</t>
  </si>
  <si>
    <t>Pacing of Content growth during the year</t>
  </si>
  <si>
    <t>Cable ARPU slipped a little</t>
  </si>
  <si>
    <t>What subs are you adding?</t>
  </si>
  <si>
    <t>Other losses much lower</t>
  </si>
  <si>
    <t>new normal</t>
  </si>
  <si>
    <t>SKY margins bounced back/</t>
  </si>
  <si>
    <t>how is wholesale product going?</t>
  </si>
  <si>
    <t>where are subs coming from?</t>
  </si>
  <si>
    <t>frame the target market for wireless BB through SKY</t>
  </si>
  <si>
    <t>Salvi as permanent CEO of cable</t>
  </si>
  <si>
    <t>March = x3 play adoption of each the previous months</t>
  </si>
  <si>
    <t>New management team in Enterprise</t>
  </si>
  <si>
    <t>EBITDA margin of 42% is in-line with guidance</t>
  </si>
  <si>
    <t>Revs decline, Dom Rep and CA weak</t>
  </si>
  <si>
    <t>small but very weak here</t>
  </si>
  <si>
    <t>Mexico..SKY growing in revs and EBITDA</t>
  </si>
  <si>
    <t>SKY pushing exec 24</t>
  </si>
  <si>
    <t>blue - soft launch in March</t>
  </si>
  <si>
    <t>fixed plug in wireless, partnership with AT&amp;T</t>
  </si>
  <si>
    <t>5-10 Mbps</t>
  </si>
  <si>
    <t>remote areas of the country</t>
  </si>
  <si>
    <t>Q1</t>
  </si>
  <si>
    <t>9 of 10 top rated programs by Televisa</t>
  </si>
  <si>
    <t>2 main FTA networks most watched</t>
  </si>
  <si>
    <t>Ratings still</t>
  </si>
  <si>
    <t>Prime Flagship</t>
  </si>
  <si>
    <t>4% up on Q4 17</t>
  </si>
  <si>
    <t>$150m content costs</t>
  </si>
  <si>
    <t>How to mitigate impact</t>
  </si>
  <si>
    <t>aggressive cost reduction</t>
  </si>
  <si>
    <t>$50m throughout the year</t>
  </si>
  <si>
    <t>finance and admin…10% headcount down</t>
  </si>
  <si>
    <t>Very successful on monetising broadcast and digital rights</t>
  </si>
  <si>
    <t>Additional $50m in operating segment income</t>
  </si>
  <si>
    <t>$50m increase in Content / opex (only?) only therefore</t>
  </si>
  <si>
    <t>Feb</t>
  </si>
  <si>
    <t>agreement with Amazon</t>
  </si>
  <si>
    <t>strategy to produce and develop content</t>
  </si>
  <si>
    <t>Cancel 44m CPOs</t>
  </si>
  <si>
    <t>1.5% of shares</t>
  </si>
  <si>
    <t>Payment of reg dividend of 35 cent/CPO</t>
  </si>
  <si>
    <t xml:space="preserve">Q2/Q3 </t>
  </si>
  <si>
    <t>higher investment in Ad from World Cup</t>
  </si>
  <si>
    <t>But higher revenue</t>
  </si>
  <si>
    <t>Ad revenue mid to high single digit</t>
  </si>
  <si>
    <t>cautious, but optimistic on Ad</t>
  </si>
  <si>
    <t>new pricing adopted by all clients</t>
  </si>
  <si>
    <t>World Cup Q2/Q3 revs growth</t>
  </si>
  <si>
    <t>During Q1, 2 holidays and Holy Week</t>
  </si>
  <si>
    <t>Yet a great Q</t>
  </si>
  <si>
    <t>March - 50 Mbps offer and pushing triple play</t>
  </si>
  <si>
    <t>Other losses</t>
  </si>
  <si>
    <t>MXN240m losses</t>
  </si>
  <si>
    <t>2000 headcount cut, severance expense of MXN900m in 16</t>
  </si>
  <si>
    <t>lower  in 2017, expect lower in 2018</t>
  </si>
  <si>
    <t>disposition charge also</t>
  </si>
  <si>
    <t>YTD, posting good subs</t>
  </si>
  <si>
    <t>But, UNI will be challenged in 2018 and Telemundo has the World Cup</t>
  </si>
  <si>
    <t>Blim?</t>
  </si>
  <si>
    <t>We want to be the partner of choice for Amazon</t>
  </si>
  <si>
    <t>3 series produced for Amazon</t>
  </si>
  <si>
    <t>Testing data to see what the audience want</t>
  </si>
  <si>
    <t>FTA viewing went up 8.5% in 2017</t>
  </si>
  <si>
    <t>Pay TV saturation in Mexico?</t>
  </si>
  <si>
    <t>No, can get to 75%</t>
  </si>
  <si>
    <t>Fell in SKY in Q1 due to new payment option from last May (2017)</t>
  </si>
  <si>
    <t>Recharge every 15 days, as well as 30 days</t>
  </si>
  <si>
    <t>Therefore retained subs which would have been lost</t>
  </si>
  <si>
    <t>However, it only kept the subs through Q1 over which time not recharging</t>
  </si>
  <si>
    <t>World Cup - cautiously optimistic</t>
  </si>
  <si>
    <t>Election impact</t>
  </si>
  <si>
    <t>Ratings particularly good this year</t>
  </si>
  <si>
    <t>Capex much lower in Q1</t>
  </si>
  <si>
    <t>Time being maintaining capex</t>
  </si>
  <si>
    <t>$900m for 2018, same as 2017. BUT finding ways to cut capex</t>
  </si>
  <si>
    <t>Cable cut this Q: most of network upgraded. BUT acquisition capex wil stay</t>
  </si>
  <si>
    <t>utilisation of prime time inventory up 10pp</t>
  </si>
  <si>
    <t>Pay TV dominance</t>
  </si>
  <si>
    <t>Feb 7th - Supreme Court overruled IFR</t>
  </si>
  <si>
    <t>Mar-20th - IFT revised its previous resolution, concluding doesn’t have the elements to conclude on pay TV</t>
  </si>
  <si>
    <t>IFT resolution complies with Supreme Court guidelines</t>
  </si>
  <si>
    <t>Closed that process</t>
  </si>
  <si>
    <t>Govt spending 8% of Ad spend</t>
  </si>
  <si>
    <t>up in Q1 18, will fall as closer to election (60 days)</t>
  </si>
  <si>
    <t>after election will recover</t>
  </si>
  <si>
    <t>Gain booked in Licencing and Syndication…$20m in Q4, repeated in Q1?</t>
  </si>
  <si>
    <t>Carlos</t>
  </si>
  <si>
    <t>$150m closer to $100m</t>
  </si>
  <si>
    <t>$50m - some of this has been saved already</t>
  </si>
  <si>
    <t>Embark on mission to monetise World Cup…significant additional revenue</t>
  </si>
  <si>
    <t>selling digital and broadcast rights…in Mexico also</t>
  </si>
  <si>
    <t>net contribution from World Cup of $50m</t>
  </si>
  <si>
    <t>revs</t>
  </si>
  <si>
    <t>content…possibly separate</t>
  </si>
  <si>
    <t>costs</t>
  </si>
  <si>
    <t>OTI</t>
  </si>
  <si>
    <t>This time, TV bought rights for all countries</t>
  </si>
  <si>
    <t>Change in the mandate the Content division has</t>
  </si>
  <si>
    <t>Election: 4-8% depending on the year..of total Ad revenue</t>
  </si>
  <si>
    <t>90 days, not 60</t>
  </si>
  <si>
    <t>30% of subs are on legacy packages</t>
  </si>
  <si>
    <t>ARPU per data sub</t>
  </si>
  <si>
    <t>forget about single, dual-play: sell x3 play</t>
  </si>
  <si>
    <t>in q1, x2 as much in the last 13 months</t>
  </si>
  <si>
    <t>Telmex replicating same packages</t>
  </si>
  <si>
    <t>More for more easier today</t>
  </si>
  <si>
    <t>Previously the macro was problematic</t>
  </si>
  <si>
    <t>One year on, broadband speed demands have moved on</t>
  </si>
  <si>
    <t>World Cup rights the same guidance…why is there a cost?</t>
  </si>
  <si>
    <t xml:space="preserve">Football impact huge…why is this? </t>
  </si>
  <si>
    <t>Election impact on Q3 and H2…significant uncertainty?</t>
  </si>
  <si>
    <t>SKY margins high again..guiding to low 40's</t>
  </si>
  <si>
    <t>Content costs..$70m in H1  y/y. Still happy with $100m for FY?</t>
  </si>
  <si>
    <t>Cable OTT App</t>
  </si>
  <si>
    <t>Live access to 60 linear</t>
  </si>
  <si>
    <t>Catch up</t>
  </si>
  <si>
    <t>Movies</t>
  </si>
  <si>
    <t>Gross</t>
  </si>
  <si>
    <t>Ongoing reduction in churn</t>
  </si>
  <si>
    <t>historically low</t>
  </si>
  <si>
    <t>Market dynamics favourable</t>
  </si>
  <si>
    <t>51% BB pen</t>
  </si>
  <si>
    <t>54% of BB subs complained about low speeds</t>
  </si>
  <si>
    <t>OECD - 34 members, Mexico has the lowest speeds</t>
  </si>
  <si>
    <t>Enterprise</t>
  </si>
  <si>
    <t>Expect better results in H2</t>
  </si>
  <si>
    <t>Benefit from World Cup</t>
  </si>
  <si>
    <t>Recharge rate is low…below normalised levels</t>
  </si>
  <si>
    <t>Margins impacted by WC amortisation costs</t>
  </si>
  <si>
    <t xml:space="preserve">plug in AT&amp;T service </t>
  </si>
  <si>
    <t>10,000 members</t>
  </si>
  <si>
    <t>SKY wireless + ULL - 10k subs, 8m subs at SKY</t>
  </si>
  <si>
    <t>results will be excellent</t>
  </si>
  <si>
    <t>mainly though AT&amp;T</t>
  </si>
  <si>
    <t>ULL continues to have many issues</t>
  </si>
  <si>
    <t>pricing is not right</t>
  </si>
  <si>
    <t>$100m - half is WC and Election, most booked in Q2</t>
  </si>
  <si>
    <t xml:space="preserve">WC contribution? </t>
  </si>
  <si>
    <t>Some shifted to Q2</t>
  </si>
  <si>
    <t>re-packaging and pricing from Q4 last year</t>
  </si>
  <si>
    <t>Digital sales</t>
  </si>
  <si>
    <t>$44m in EBITDA</t>
  </si>
  <si>
    <t>Q3 additional benefit</t>
  </si>
  <si>
    <t>Elections, World Cup accounted for 50% of the increase in underlying Content</t>
  </si>
  <si>
    <t>211% and 113% increase viewing figures</t>
  </si>
  <si>
    <t>19/25 matches beat Azteca (who also showed footy)</t>
  </si>
  <si>
    <t>Election, 3x more ratings</t>
  </si>
  <si>
    <t>Channel 5</t>
  </si>
  <si>
    <t xml:space="preserve">ratings </t>
  </si>
  <si>
    <t>FTA - first 6 months has gone up</t>
  </si>
  <si>
    <t>19-54</t>
  </si>
  <si>
    <t>+9% increase in 2017</t>
  </si>
  <si>
    <t>+7% increase in H1 18</t>
  </si>
  <si>
    <t>Imagine $341m</t>
  </si>
  <si>
    <t>Outcome from Election</t>
  </si>
  <si>
    <t>So far from Amlo</t>
  </si>
  <si>
    <t>Autonomy of Central Bank</t>
  </si>
  <si>
    <t>Fiscal Discipline</t>
  </si>
  <si>
    <t>Freedom of speech</t>
  </si>
  <si>
    <t xml:space="preserve">Thanked the Media for subjectivity of media in run up to the election </t>
  </si>
  <si>
    <t>Referenced Televisa specifically</t>
  </si>
  <si>
    <t>$20m in Q3 from digital sales</t>
  </si>
  <si>
    <t>UNI ratings</t>
  </si>
  <si>
    <t>Telemundo has World Cup in Spanish</t>
  </si>
  <si>
    <t>No tough for UNI</t>
  </si>
  <si>
    <t>Generally strong in sports</t>
  </si>
  <si>
    <t>Television Everywhere rights</t>
  </si>
  <si>
    <t>Also supported by exchange rate</t>
  </si>
  <si>
    <t>Review</t>
  </si>
  <si>
    <t>Ongoing</t>
  </si>
  <si>
    <t>Content &amp; distribution - looking closely</t>
  </si>
  <si>
    <t>Malone - keep Content and distro separate</t>
  </si>
  <si>
    <t>Trying to work out how more valuable</t>
  </si>
  <si>
    <t>Reality shows popular</t>
  </si>
  <si>
    <t>Traditional to contemporary</t>
  </si>
  <si>
    <t>faster paced, more action - than Telenovela (4 months)</t>
  </si>
  <si>
    <t>avoiding the traditional Cinderella story</t>
  </si>
  <si>
    <t>La Piloto - softer version of Narcos</t>
  </si>
  <si>
    <t>Better ratings</t>
  </si>
  <si>
    <t>Should lead to more money</t>
  </si>
  <si>
    <t>Digital Ad is in question, according to big advertisers</t>
  </si>
  <si>
    <t>TV remains very effective, OTA</t>
  </si>
  <si>
    <t>Audience share is larger than all pay TV channels put together</t>
  </si>
  <si>
    <t>Little by little convinving Advertisers to come back</t>
  </si>
  <si>
    <t>Globo</t>
  </si>
  <si>
    <t>Producing Content for You Tube</t>
  </si>
  <si>
    <t>Fixed</t>
  </si>
  <si>
    <t>Wireless not being bundled today</t>
  </si>
  <si>
    <t>Developing a package</t>
  </si>
  <si>
    <t>Highfields</t>
  </si>
  <si>
    <t>higher than 3% reported on Bloomy, funds which don't disclose</t>
  </si>
  <si>
    <t>returning cash to shareholders</t>
  </si>
  <si>
    <t>Artisan - took them 4 quarters</t>
  </si>
  <si>
    <t>have started selling a while back</t>
  </si>
  <si>
    <t>Concession renewal</t>
  </si>
  <si>
    <t>Need to pay for a renewal</t>
  </si>
  <si>
    <t>"MXN6bn will be needed "</t>
  </si>
  <si>
    <t>end of 20 years</t>
  </si>
  <si>
    <t>will be charged</t>
  </si>
  <si>
    <t>2019 or 2020</t>
  </si>
  <si>
    <t>Goldman's feedback</t>
  </si>
  <si>
    <t>Don't know what the company will look like in 1 year</t>
  </si>
  <si>
    <t>AMLO</t>
  </si>
  <si>
    <t>really benevolent</t>
  </si>
  <si>
    <t>Dec 1st</t>
  </si>
  <si>
    <t>"should be fine"..built a good relationship</t>
  </si>
  <si>
    <t>airports, oil and gas reform, other things</t>
  </si>
  <si>
    <t>cut down on Ad spend by 50%</t>
  </si>
  <si>
    <t>10% of Ad spend in 2017</t>
  </si>
  <si>
    <t>down to 5%</t>
  </si>
  <si>
    <t>Ad revenue</t>
  </si>
  <si>
    <t>Buy side, flattish</t>
  </si>
  <si>
    <t>Sell side: 1-3% for H2. would rather</t>
  </si>
  <si>
    <t>Carlos feeling more comfortable</t>
  </si>
  <si>
    <t>Q4  change of government</t>
  </si>
  <si>
    <t xml:space="preserve"> Dec 1st</t>
  </si>
  <si>
    <t>Will not be spending in December</t>
  </si>
  <si>
    <t>right pricing environment</t>
  </si>
  <si>
    <t>macro ok</t>
  </si>
  <si>
    <t>gdp style growth should be achievable</t>
  </si>
  <si>
    <t>Network and Subs</t>
  </si>
  <si>
    <t>Q3 - last Q from price hike. Q4, growth in subs the only driver</t>
  </si>
  <si>
    <t>36% rate, underlying down</t>
  </si>
  <si>
    <t>won’t change in Q3</t>
  </si>
  <si>
    <t>UNI has lost Dish carriage</t>
  </si>
  <si>
    <t>July 1st</t>
  </si>
  <si>
    <t>10-15%</t>
  </si>
  <si>
    <t>retrans fees and Ad revenue</t>
  </si>
  <si>
    <t>Dish also losing subs</t>
  </si>
  <si>
    <t>EBITDA / Costs</t>
  </si>
  <si>
    <t>$100m more</t>
  </si>
  <si>
    <t>$61m in H1</t>
  </si>
  <si>
    <t>$20m in digital rights EBITDA in Q3</t>
  </si>
  <si>
    <t>lose SKY subs in Q3…and those who didn't cancel in Q3</t>
  </si>
  <si>
    <t>last q of paying for the rights</t>
  </si>
  <si>
    <t>blue telecomm…no critical mass yet</t>
  </si>
  <si>
    <t>local loop remains tough</t>
  </si>
  <si>
    <t>fixed wireless better</t>
  </si>
  <si>
    <t>GS conference</t>
  </si>
  <si>
    <t>40,000 Blue customers.data, mainly fixed wireless</t>
  </si>
  <si>
    <t>RGUs reported in Q3</t>
  </si>
  <si>
    <t>firing on all cylinders</t>
  </si>
  <si>
    <t>some benefit from world cup</t>
  </si>
  <si>
    <t>temporary increase in churn in Q3</t>
  </si>
  <si>
    <t>42% margins…doing good</t>
  </si>
  <si>
    <t>minor price increases in q3 this year..</t>
  </si>
  <si>
    <t>Other costs</t>
  </si>
  <si>
    <t>nothing to be aware of</t>
  </si>
  <si>
    <t>Post-Q3 18 call</t>
  </si>
  <si>
    <t>No compelling reason to do cable spin</t>
  </si>
  <si>
    <t>nothing likely to change by YE</t>
  </si>
  <si>
    <t>Not going to do something for the sake of it</t>
  </si>
  <si>
    <t>Transaction alone - not going to create value</t>
  </si>
  <si>
    <t>Not close to deal with MEGA</t>
  </si>
  <si>
    <t>we talk often</t>
  </si>
  <si>
    <t>valuation is a challenge</t>
  </si>
  <si>
    <t>Business is doing great</t>
  </si>
  <si>
    <t>World Cup…+9% in Q2, +2% in Q3</t>
  </si>
  <si>
    <t>Private sector should be healthy in Q4</t>
  </si>
  <si>
    <t>organically, +5%</t>
  </si>
  <si>
    <t>challenge..Q4 govt spend</t>
  </si>
  <si>
    <t>will drag in Q4</t>
  </si>
  <si>
    <t>Govt Ad is 6-8% Content</t>
  </si>
  <si>
    <t>2019…private will be healthy</t>
  </si>
  <si>
    <t>Govt is implementing austerity plan…on fed machinery</t>
  </si>
  <si>
    <t>Govt cutting by 50% on Ad spend</t>
  </si>
  <si>
    <t>2018 - Ad spend will be around 6%...none in Q2, very low in Q4</t>
  </si>
  <si>
    <t>Several hundred thousand - by YE 2019</t>
  </si>
  <si>
    <t>40,000 in Q2 alone</t>
  </si>
  <si>
    <t>Now launching with SKY</t>
  </si>
  <si>
    <t>Data</t>
  </si>
  <si>
    <t>SKY subs without BB today?</t>
  </si>
  <si>
    <t xml:space="preserve">there are many…a lot without </t>
  </si>
  <si>
    <t>Traditional wireless</t>
  </si>
  <si>
    <t>MXN200m last personnel…of the MXN500m</t>
  </si>
  <si>
    <t>Post-Q4 18 call</t>
  </si>
  <si>
    <t>No real government, so spend down</t>
  </si>
  <si>
    <t>Would cut by 50% govt spending</t>
  </si>
  <si>
    <t>some doubt on whether TV down also 50%</t>
  </si>
  <si>
    <t>6-10% over last 3 years</t>
  </si>
  <si>
    <t>8% of Ad spend</t>
  </si>
  <si>
    <t>So weak Q4 Ad spend</t>
  </si>
  <si>
    <t>Flat revs y/y would be successful</t>
  </si>
  <si>
    <t>Despite Q4 17 being an easy comp</t>
  </si>
  <si>
    <t>2019 - inflation to be passed on</t>
  </si>
  <si>
    <t>middle of upfront negotiations</t>
  </si>
  <si>
    <t>new model….should mean upfronts lead more directly to Ad business</t>
  </si>
  <si>
    <t>consensus; -2 % to +2%</t>
  </si>
  <si>
    <t>low end, government spending outlook tough</t>
  </si>
  <si>
    <t>flat to -1% for consensus y/y</t>
  </si>
  <si>
    <t>Dish have not reached an agreement with Dish</t>
  </si>
  <si>
    <t>UNI saying no agreement yet (2 weeks ago)</t>
  </si>
  <si>
    <t>Could be $250m per year</t>
  </si>
  <si>
    <t>$41m one off…</t>
  </si>
  <si>
    <t>was in UNI Q3 number but will be in TV Q4</t>
  </si>
  <si>
    <t>royalties…. of $8-10m for Q4</t>
  </si>
  <si>
    <t>UNI revenue down</t>
  </si>
  <si>
    <t>$115m extra spend</t>
  </si>
  <si>
    <t>$50m non recurrent</t>
  </si>
  <si>
    <t>take the $50m for base line, and then gross for inflation</t>
  </si>
  <si>
    <t>ratings up 30%</t>
  </si>
  <si>
    <t>regular dynamic</t>
  </si>
  <si>
    <t>FTA market in total quite stable</t>
  </si>
  <si>
    <t>8% FTA</t>
  </si>
  <si>
    <t>5% FTA</t>
  </si>
  <si>
    <t>13% FTA in total</t>
  </si>
  <si>
    <t>2019 content offering even stronger</t>
  </si>
  <si>
    <t>headwind of world cup</t>
  </si>
  <si>
    <t>pre pay - just stop paying…keep them for 200 days</t>
  </si>
  <si>
    <t>come through in q1 19</t>
  </si>
  <si>
    <t>q3 blue tel</t>
  </si>
  <si>
    <t>51,000 subs</t>
  </si>
  <si>
    <t>q4 blue tel + sky</t>
  </si>
  <si>
    <t>getting traction</t>
  </si>
  <si>
    <t>some extra costs</t>
  </si>
  <si>
    <t>some margin pressure</t>
  </si>
  <si>
    <t>use at&amp;t and red somewhat equally</t>
  </si>
  <si>
    <t>margin dilution</t>
  </si>
  <si>
    <t>Q4 18, H1 19 - expect results in H2 19</t>
  </si>
  <si>
    <t>Q4 18 margins look a little high</t>
  </si>
  <si>
    <t>Feb-13th</t>
  </si>
  <si>
    <t>cost cutting on Ad spend</t>
  </si>
  <si>
    <t xml:space="preserve">50%...Govt Ad is 8-10% </t>
  </si>
  <si>
    <t>always slows down after new Admin. So this happened</t>
  </si>
  <si>
    <t>Govt Ad spending from private spend</t>
  </si>
  <si>
    <t>Private</t>
  </si>
  <si>
    <t>GDP up &lt;2%...so this is a cap for private</t>
  </si>
  <si>
    <t>Consensus</t>
  </si>
  <si>
    <t>been talking to buy / sell side for some time</t>
  </si>
  <si>
    <t>those updated ….are at negative 3-4%</t>
  </si>
  <si>
    <t>No Dish. Q3 did not have Dish either</t>
  </si>
  <si>
    <t>$41m adj…plus another $20m in Q4</t>
  </si>
  <si>
    <t>$60m of revs in H2 - confidential</t>
  </si>
  <si>
    <t>revenue reversal</t>
  </si>
  <si>
    <t>for TV all will be felt in Q4</t>
  </si>
  <si>
    <t>below 2018…with the $10m hit</t>
  </si>
  <si>
    <t>Content margins</t>
  </si>
  <si>
    <t>slightly above &gt;$100m in 2018</t>
  </si>
  <si>
    <t>non recurring events…World Cup &amp; Elections</t>
  </si>
  <si>
    <t>growth to continue</t>
  </si>
  <si>
    <t>double digit …revs, single digit EBITDA</t>
  </si>
  <si>
    <t>15 days</t>
  </si>
  <si>
    <t>EBITDA MXN630m annual</t>
  </si>
  <si>
    <t>MXN1.9bn</t>
  </si>
  <si>
    <t>Booked within cable</t>
  </si>
  <si>
    <t>suffering from subs losses after the World Cup</t>
  </si>
  <si>
    <t>Blue Tel</t>
  </si>
  <si>
    <t>provide numbers</t>
  </si>
  <si>
    <t>50k in &lt;1 Q</t>
  </si>
  <si>
    <t>Continue subs run rate</t>
  </si>
  <si>
    <t>Booked within SKY numbers</t>
  </si>
  <si>
    <t>SKY to be flattish in 2019…margins remain low to mid 40%s</t>
  </si>
  <si>
    <t>guidance on the call</t>
  </si>
  <si>
    <t>broadly in-line</t>
  </si>
  <si>
    <t>Seller (top 10-20) - some pressure</t>
  </si>
  <si>
    <t>shifting investments to Brazil</t>
  </si>
  <si>
    <t>USD weak</t>
  </si>
  <si>
    <t>Thursday after close</t>
  </si>
  <si>
    <t>$50m lower Content cost spend in 2019</t>
  </si>
  <si>
    <t>Higher in 2018 due to World Cup and Election</t>
  </si>
  <si>
    <t>Upfronts - MXN16.4bn, stable - good considering macro and WC last year</t>
  </si>
  <si>
    <t>ULL still not possible</t>
  </si>
  <si>
    <t>53% BB pen</t>
  </si>
  <si>
    <t>very different and improved company to one year ago</t>
  </si>
  <si>
    <t>remain focused on improving FCF</t>
  </si>
  <si>
    <t>new CEO very experienced</t>
  </si>
  <si>
    <t>UNI in local grew y/y in Q4…only broadcast network to post ratings growth in Q4</t>
  </si>
  <si>
    <t>A mada muerte</t>
  </si>
  <si>
    <t>reaching more than fox and cw networks</t>
  </si>
  <si>
    <t>H1 19</t>
  </si>
  <si>
    <t>UNI will continue to struggle y/y due to Dish</t>
  </si>
  <si>
    <t>Dish Latino migrate to other platforms, stronger relationship with UNI and other platforms</t>
  </si>
  <si>
    <t>Around $1bn</t>
  </si>
  <si>
    <t>&gt;50% in cable</t>
  </si>
  <si>
    <t>driven by growth</t>
  </si>
  <si>
    <t>Most in SKY</t>
  </si>
  <si>
    <t>increase due to BB</t>
  </si>
  <si>
    <t>as % sales..will continue to fall</t>
  </si>
  <si>
    <t>Co TV CEO as president advisor</t>
  </si>
  <si>
    <t>Ratings and trends</t>
  </si>
  <si>
    <t>Amazing this year</t>
  </si>
  <si>
    <t>IFRS on SKY Capex</t>
  </si>
  <si>
    <t>Acquisition costs have to be amortised</t>
  </si>
  <si>
    <t>without this…EBITDA would be down 2% vs q4 17</t>
  </si>
  <si>
    <t>IFRS.. and margins on on SKY?</t>
  </si>
  <si>
    <t>ARPU to increase by 2.5% or so</t>
  </si>
  <si>
    <t>some subs up by 5%, some by nothing</t>
  </si>
  <si>
    <t>govt cut by half. 11% of Ad sales in 2018. 5.5% headwind</t>
  </si>
  <si>
    <t>most of the spending was in Q1 and Q3</t>
  </si>
  <si>
    <t>new governments spend slow…and then historically build up</t>
  </si>
  <si>
    <t>% Government split</t>
  </si>
  <si>
    <t>Q2</t>
  </si>
  <si>
    <t>Q3</t>
  </si>
  <si>
    <t>Total government</t>
  </si>
  <si>
    <t>Total non-govt</t>
  </si>
  <si>
    <t>Total Ad spend</t>
  </si>
  <si>
    <t>FY 19</t>
  </si>
  <si>
    <t>Government</t>
  </si>
  <si>
    <t>Non-government</t>
  </si>
  <si>
    <t>Contribution to decline</t>
  </si>
  <si>
    <t>Partially compensated by private sector</t>
  </si>
  <si>
    <t>GDP is 1-2%...OK steer for private</t>
  </si>
  <si>
    <t>So, -4% in 2019</t>
  </si>
  <si>
    <t>normal growth returns</t>
  </si>
  <si>
    <t>inflation…video subs growth</t>
  </si>
  <si>
    <t>agreement reached</t>
  </si>
  <si>
    <t>Q1 19 y/y is ex Dish</t>
  </si>
  <si>
    <t>beginning of Q2</t>
  </si>
  <si>
    <t>fewer subs….lost 600,000 subs</t>
  </si>
  <si>
    <t>Without Dish agreement, 2019…royalties would be same level or below</t>
  </si>
  <si>
    <t>Might be able to hit same level as last year</t>
  </si>
  <si>
    <t>Inc Axtel, low to mid teens this year at revs and EBITDA</t>
  </si>
  <si>
    <t>No price increases….too much uncertainty this year</t>
  </si>
  <si>
    <t>July-18 cable</t>
  </si>
  <si>
    <t>Start of 2018 for SKY</t>
  </si>
  <si>
    <t>likely to wait further into the year</t>
  </si>
  <si>
    <t>several hundred thousand subs by YE</t>
  </si>
  <si>
    <t>H2…subs to grow</t>
  </si>
  <si>
    <t>Consensus to end year with -1% to flat revenue</t>
  </si>
  <si>
    <t>Margins….effort on Blue Tel - will be depressed</t>
  </si>
  <si>
    <t>better in H2</t>
  </si>
  <si>
    <t>guidance given</t>
  </si>
  <si>
    <t>Cable TV licence - IFT to allow TV</t>
  </si>
  <si>
    <t>Claro TV - evaluating it. Should reach decision in H2</t>
  </si>
  <si>
    <t>Through a subsidiary….so might get around AMX compliance issues</t>
  </si>
  <si>
    <t>"Competition not on pay TV but on BB"</t>
  </si>
  <si>
    <t>Stock weakness</t>
  </si>
  <si>
    <t>7-8 months</t>
  </si>
  <si>
    <t>Couple of big sellers</t>
  </si>
  <si>
    <t>Brazil preferred over Mexico…need a real motivation to invest</t>
  </si>
  <si>
    <t>AMX TV - risk to TV</t>
  </si>
  <si>
    <t>IFRS 16</t>
  </si>
  <si>
    <t>1/ Leases which were previously financial…now as an asset/liability</t>
  </si>
  <si>
    <t>2/ Leases not recognised</t>
  </si>
  <si>
    <t>Ps4.7bn is the higher debt on the balance sheet</t>
  </si>
  <si>
    <t xml:space="preserve">MXN200m </t>
  </si>
  <si>
    <t>Mainly in cable</t>
  </si>
  <si>
    <t>Other businesses</t>
  </si>
  <si>
    <t>Mainly football…selling a player</t>
  </si>
  <si>
    <t>Gaming is steady</t>
  </si>
  <si>
    <t>Film distribution also volatile</t>
  </si>
  <si>
    <t xml:space="preserve">Govt </t>
  </si>
  <si>
    <t>Exp to be down 50% y/y</t>
  </si>
  <si>
    <t>Private down due to consumer weakness.. Still assume real GDP growth</t>
  </si>
  <si>
    <t>Costs/exp</t>
  </si>
  <si>
    <t>down 3% y/y, despite inflation</t>
  </si>
  <si>
    <t>Down 19% though y/y</t>
  </si>
  <si>
    <t>Gaining revs market share</t>
  </si>
  <si>
    <t>Guidance?</t>
  </si>
  <si>
    <t>Govt spend should accelerate in order to meet 50% reduction</t>
  </si>
  <si>
    <t>Private…will depend on macro environment. Deposits reached flat on 2018</t>
  </si>
  <si>
    <t>Dish back on</t>
  </si>
  <si>
    <t>Absence had a dramatic impact on bix</t>
  </si>
  <si>
    <t>Can you restore stable UNI revs and royalties</t>
  </si>
  <si>
    <t>Royalties will be higher in 2019 then in 2018</t>
  </si>
  <si>
    <t>Added 73k RGUs</t>
  </si>
  <si>
    <t>World Cup subs washed through??</t>
  </si>
  <si>
    <t>Still see BB costs?</t>
  </si>
  <si>
    <t>100 bp of EBITDA margin in Q1</t>
  </si>
  <si>
    <t>if hit subs target, impact on margins could be ~300bp</t>
  </si>
  <si>
    <t xml:space="preserve">** </t>
  </si>
  <si>
    <t>where subs from?</t>
  </si>
  <si>
    <t>Capture some broadband from existing players, but the bulk of existing are from x2 play which didn't have BB before. Most from pre-paid services</t>
  </si>
  <si>
    <t>coming from existing customers?</t>
  </si>
  <si>
    <t>Netflix included in interface</t>
  </si>
  <si>
    <t>watch on all devices</t>
  </si>
  <si>
    <t>Izzy Go</t>
  </si>
  <si>
    <t>In all pay TV offers, previously to higher end</t>
  </si>
  <si>
    <t>Real Madrid TV</t>
  </si>
  <si>
    <t>To improve sports content</t>
  </si>
  <si>
    <t>Blim in higher offers</t>
  </si>
  <si>
    <t>RGUs/sub continue to be low</t>
  </si>
  <si>
    <t>FTTH in select areas</t>
  </si>
  <si>
    <t>expand number of homes passed</t>
  </si>
  <si>
    <t>Keeping $1bn  guidance</t>
  </si>
  <si>
    <t>Higher than Q1 last year. FTTH strategy quicker</t>
  </si>
  <si>
    <t>Q2  will be tough comp</t>
  </si>
  <si>
    <t>Ad revs were strong in Q2 due to election?</t>
  </si>
  <si>
    <t xml:space="preserve">Extra World Cup revs </t>
  </si>
  <si>
    <t xml:space="preserve"> non recurring sales</t>
  </si>
  <si>
    <t xml:space="preserve">Easter hold in April, not March…typically </t>
  </si>
  <si>
    <t>Trends should improve in H2</t>
  </si>
  <si>
    <t>Losing low end video subs</t>
  </si>
  <si>
    <t>Axtel have higher ARPUs</t>
  </si>
  <si>
    <t>Video subs losses</t>
  </si>
  <si>
    <t>In q3 was due to world cup…and price rises in high</t>
  </si>
  <si>
    <t>Q1 losses</t>
  </si>
  <si>
    <t>Concentrated in the low end…</t>
  </si>
  <si>
    <t>Blue</t>
  </si>
  <si>
    <t>RGUs of several hundred thousand by YE</t>
  </si>
  <si>
    <t>EBITDA strong</t>
  </si>
  <si>
    <t>Soccer dependent on the sale of players</t>
  </si>
  <si>
    <t>Film distro…depends on release of movies</t>
  </si>
  <si>
    <t>Pay TV licence</t>
  </si>
  <si>
    <t>Unclear on whether will get concession</t>
  </si>
  <si>
    <t>Follow up Q's</t>
  </si>
  <si>
    <t>UNI royalties really higher?</t>
  </si>
  <si>
    <t>Check Content cost guide for 2019</t>
  </si>
  <si>
    <t>down 3% underlying…stripping out WC sales, this sort of run-rate or better in Q2</t>
  </si>
  <si>
    <t>Follow up</t>
  </si>
  <si>
    <t>Content Q2</t>
  </si>
  <si>
    <t>Q3 more normal govt</t>
  </si>
  <si>
    <t>Q4 weak govt</t>
  </si>
  <si>
    <t>Content costs</t>
  </si>
  <si>
    <t>$50m drops out (World Cup and elections)</t>
  </si>
  <si>
    <t>Underlying flat</t>
  </si>
  <si>
    <t>royalties above a little</t>
  </si>
  <si>
    <t>&gt;600k less subs</t>
  </si>
  <si>
    <t>10m subs</t>
  </si>
  <si>
    <t>losses should level out</t>
  </si>
  <si>
    <t>slight negative, perhaps flat</t>
  </si>
  <si>
    <t>Mexican cable</t>
  </si>
  <si>
    <t>yes, some inbound</t>
  </si>
  <si>
    <t>TV break up</t>
  </si>
  <si>
    <t>just noise from AMX</t>
  </si>
  <si>
    <t>pay TV is within telecoms…where AMX is preponderant</t>
  </si>
  <si>
    <t>still have &gt;50% share on pulled basis</t>
  </si>
  <si>
    <t>AMX pay TV</t>
  </si>
  <si>
    <t>Unlikely before functional separation</t>
  </si>
  <si>
    <t>This year</t>
  </si>
  <si>
    <t>Board approved up to USD1bn</t>
  </si>
  <si>
    <t>at least one year ago</t>
  </si>
  <si>
    <t>Last week and a half</t>
  </si>
  <si>
    <t>USD1m / day for last 1.5 weeks</t>
  </si>
  <si>
    <t>Last bought back 2017</t>
  </si>
  <si>
    <t>not much</t>
  </si>
  <si>
    <t>3x net leverage soft  target</t>
  </si>
  <si>
    <t>Should do buy backs for a reasonable period, and frequently</t>
  </si>
  <si>
    <t>FPR Partners</t>
  </si>
  <si>
    <t>Bob Peck</t>
  </si>
  <si>
    <t>Andy Raab</t>
  </si>
  <si>
    <t>Renaissance</t>
  </si>
  <si>
    <t>Algo fund</t>
  </si>
  <si>
    <t>Dodge &amp; Cox</t>
  </si>
  <si>
    <t>Increased position</t>
  </si>
  <si>
    <t>No changes on macro side</t>
  </si>
  <si>
    <t>Government not spending money yet</t>
  </si>
  <si>
    <t>5% government headwind</t>
  </si>
  <si>
    <t>should have been offset by private, in theory, but private not growing so much</t>
  </si>
  <si>
    <t>private declined 2pp in Q1</t>
  </si>
  <si>
    <t>should be the same in q1</t>
  </si>
  <si>
    <t>Govt has easier comp in theory in Q2</t>
  </si>
  <si>
    <t>but not yet spending</t>
  </si>
  <si>
    <t>50% spend will come in Q2</t>
  </si>
  <si>
    <t>World Cup impact on private</t>
  </si>
  <si>
    <t>+9.1% y/y in Q2 18</t>
  </si>
  <si>
    <t>6-7% was perhaps coming from World Cup - reallocation from other Qs</t>
  </si>
  <si>
    <t>Low teens declines for Ad overall</t>
  </si>
  <si>
    <t>reduce by $50m in 2019</t>
  </si>
  <si>
    <t>was</t>
  </si>
  <si>
    <t>now</t>
  </si>
  <si>
    <t>flattish licensing, syndicatiom</t>
  </si>
  <si>
    <t>-6/7%</t>
  </si>
  <si>
    <t>-4.6% is optimistic</t>
  </si>
  <si>
    <t>37% or so</t>
  </si>
  <si>
    <t>SKY margins</t>
  </si>
  <si>
    <t>to get a little worse over the course of the year</t>
  </si>
  <si>
    <t>capitalise new equipment</t>
  </si>
  <si>
    <t>broadband is dilutive</t>
  </si>
  <si>
    <t>no surprises really</t>
  </si>
  <si>
    <t>no growth…hard to call</t>
  </si>
  <si>
    <t>Block seller of $200m</t>
  </si>
  <si>
    <t>Q2 19 Earnings call</t>
  </si>
  <si>
    <t>UNI - stake</t>
  </si>
  <si>
    <t>Private sector spend for H2…down 5% in Q2…an allocation issue?</t>
  </si>
  <si>
    <t>reconcile with Upfronts</t>
  </si>
  <si>
    <t>should be up in H2?</t>
  </si>
  <si>
    <t>Confident in current content set up</t>
  </si>
  <si>
    <t>Cable EBITDA margins</t>
  </si>
  <si>
    <t>1pp ahead - sustainable, more to come?</t>
  </si>
  <si>
    <t>Pay TV licence for AMX?</t>
  </si>
  <si>
    <t>Economy continued to soften. During April, industry prod down 2% y/y</t>
  </si>
  <si>
    <t>May job creation down 88% y/y</t>
  </si>
  <si>
    <t>Auto sales in June down 11.4% y/y. Same as in May</t>
  </si>
  <si>
    <t>Central Bank - GDP growth to 1%, from 2% one year ago</t>
  </si>
  <si>
    <t>Govt</t>
  </si>
  <si>
    <t>Has been much steeper than 50% in H1. Was 11% in 2018</t>
  </si>
  <si>
    <t>Easter week holiday in Q2…Q1 last year</t>
  </si>
  <si>
    <t>fewer watch TV in q2</t>
  </si>
  <si>
    <t>clients cut Ad spend in Q2</t>
  </si>
  <si>
    <t>giving all video subs OTT app</t>
  </si>
  <si>
    <t>68 linear channels, plus VOD</t>
  </si>
  <si>
    <t>Aficionados…exclusive 12 matches this season</t>
  </si>
  <si>
    <t>Real Madrid also</t>
  </si>
  <si>
    <t>Netflix and Blim bundles</t>
  </si>
  <si>
    <t>leverage extensive network</t>
  </si>
  <si>
    <t>140,000 km</t>
  </si>
  <si>
    <t>15m homes passed</t>
  </si>
  <si>
    <t>only 40% so far get a service</t>
  </si>
  <si>
    <t>FY capex similar to last year</t>
  </si>
  <si>
    <t>resumed video subs growth</t>
  </si>
  <si>
    <t>last major independent provider</t>
  </si>
  <si>
    <t xml:space="preserve">UNI upfront up mid-single digit </t>
  </si>
  <si>
    <t>New channel launched - Sports JV…premium sports rights</t>
  </si>
  <si>
    <t>Final Mex-WC….30% higher ratings than soccer last year</t>
  </si>
  <si>
    <t>H2  19</t>
  </si>
  <si>
    <t>Govt is working on campaigns</t>
  </si>
  <si>
    <t>Q4 18 absent</t>
  </si>
  <si>
    <t>Don't feel comfortable giving guidance</t>
  </si>
  <si>
    <t>Should pick up in both public and private</t>
  </si>
  <si>
    <t>YTD Upfronts consumption in-line</t>
  </si>
  <si>
    <t>Enterprise margins</t>
  </si>
  <si>
    <t>Economies of scale from higher revenue</t>
  </si>
  <si>
    <t>Just started…so limited information</t>
  </si>
  <si>
    <t>Tag along rights…so option to sell if in best interest</t>
  </si>
  <si>
    <t>Selling group…no drag along…so can't sell</t>
  </si>
  <si>
    <t>Industry, Mexico, TV specific</t>
  </si>
  <si>
    <t>Industry</t>
  </si>
  <si>
    <t>re-pricing of media assets globally</t>
  </si>
  <si>
    <t>World Cup impact</t>
  </si>
  <si>
    <t>Will fall into Q3</t>
  </si>
  <si>
    <t>re-engineered and turned around</t>
  </si>
  <si>
    <t>1/ Sales model</t>
  </si>
  <si>
    <t>selling audiences for first time in history</t>
  </si>
  <si>
    <t>changing agencies relationships etc etc</t>
  </si>
  <si>
    <t>work in progress</t>
  </si>
  <si>
    <t>2/ Changed manner in which content produced</t>
  </si>
  <si>
    <t>previously resistance to this as regards telenovellas</t>
  </si>
  <si>
    <t>modernised</t>
  </si>
  <si>
    <t>co-production with Amazon / content</t>
  </si>
  <si>
    <t>passed high capex intensity will come down from 2020</t>
  </si>
  <si>
    <t>world cup</t>
  </si>
  <si>
    <t>private sales better in H2</t>
  </si>
  <si>
    <t>upfront, ratings, advertisers?</t>
  </si>
  <si>
    <t>terminal year capex/sales</t>
  </si>
  <si>
    <t>frustrating valuation, buying vack stock</t>
  </si>
  <si>
    <t>pull back on upfronts?</t>
  </si>
  <si>
    <t>Target leverage range?</t>
  </si>
  <si>
    <t>future carriage discussions</t>
  </si>
  <si>
    <t>2 pending</t>
  </si>
  <si>
    <t>end-2019</t>
  </si>
  <si>
    <t>With one of the largest, closed according to plan</t>
  </si>
  <si>
    <t>Cable capex</t>
  </si>
  <si>
    <t>50% of capex without any growth</t>
  </si>
  <si>
    <t xml:space="preserve">part of capex is on upgrade…faster speeds etc </t>
  </si>
  <si>
    <t>Private sector spend</t>
  </si>
  <si>
    <t>Advertising clients saying better</t>
  </si>
  <si>
    <t>Can now spend in H2</t>
  </si>
  <si>
    <t>AMX/Telmex</t>
  </si>
  <si>
    <t>only get a new concession if comply with new conditions</t>
  </si>
  <si>
    <t>18 months…compliance with regs</t>
  </si>
  <si>
    <t>if "effective competition"</t>
  </si>
  <si>
    <t>don’t think will get licence</t>
  </si>
  <si>
    <t>Follow up Q&amp;A - Sept 23rd</t>
  </si>
  <si>
    <t>Not company talking up</t>
  </si>
  <si>
    <t>Mexico a little better</t>
  </si>
  <si>
    <t>Update on Q3 trading</t>
  </si>
  <si>
    <t xml:space="preserve">H1 government spend - below the 50% </t>
  </si>
  <si>
    <t>Still confident it will hit the 50%</t>
  </si>
  <si>
    <t>Better Q3</t>
  </si>
  <si>
    <t>Even better Q4</t>
  </si>
  <si>
    <t>-2% and -5%</t>
  </si>
  <si>
    <t xml:space="preserve">mid to high single digit Ad </t>
  </si>
  <si>
    <t xml:space="preserve">high single digit </t>
  </si>
  <si>
    <t>Still guiding to $50m cost out</t>
  </si>
  <si>
    <t>Price across the base</t>
  </si>
  <si>
    <t>12m contract</t>
  </si>
  <si>
    <t>phasing impact</t>
  </si>
  <si>
    <t>Will impact net adds</t>
  </si>
  <si>
    <t>Will support revs and EBITDA</t>
  </si>
  <si>
    <t>Mandatory squeeze out rules</t>
  </si>
  <si>
    <t>&gt;10% approval from the Board</t>
  </si>
  <si>
    <t>Equity issuance</t>
  </si>
  <si>
    <t>Full liquidity schedule</t>
  </si>
  <si>
    <t>repaying the 2020</t>
  </si>
  <si>
    <t>announced, will be repaid in October</t>
  </si>
  <si>
    <t>Double check IFRS16 impact - MXN200m per Q or per year</t>
  </si>
  <si>
    <t>Q2 EBITDA…</t>
  </si>
  <si>
    <t>ex-IFRS</t>
  </si>
  <si>
    <t>Pre-Q4 19</t>
  </si>
  <si>
    <t>2020 should be a better year</t>
  </si>
  <si>
    <t>Good year to re-energise</t>
  </si>
  <si>
    <t>More focused on FCF</t>
  </si>
  <si>
    <t>CEO - 2 conferences per year</t>
  </si>
  <si>
    <t>CFO - 3 conferences</t>
  </si>
  <si>
    <t>March - main markets</t>
  </si>
  <si>
    <t>Apr - main</t>
  </si>
  <si>
    <t>CFO - to banks more actively</t>
  </si>
  <si>
    <t>Feb-20th</t>
  </si>
  <si>
    <t>Flattish Ad revenue for Q4</t>
  </si>
  <si>
    <t>Drop will end up being 50%</t>
  </si>
  <si>
    <t xml:space="preserve">Positive </t>
  </si>
  <si>
    <t>Private - offsetting weakness here</t>
  </si>
  <si>
    <t>a few deals which are pretty solid have been concluded</t>
  </si>
  <si>
    <t xml:space="preserve">Should be able to grow 1-3% </t>
  </si>
  <si>
    <t>Some price increases, which didn’t work last time</t>
  </si>
  <si>
    <t>Upfront shift to Q1</t>
  </si>
  <si>
    <t>Jan 7th - some still not concluded</t>
  </si>
  <si>
    <t>Balance sheet - end of year cash balance + receivables go up. Will be a large drop</t>
  </si>
  <si>
    <t>So will be able to comment on upfronts</t>
  </si>
  <si>
    <t>directionally</t>
  </si>
  <si>
    <t>Pre-purchase…80% - 10/20% wiggle room</t>
  </si>
  <si>
    <t>3 months negotiations</t>
  </si>
  <si>
    <t>q1</t>
  </si>
  <si>
    <t>q2</t>
  </si>
  <si>
    <t>q3</t>
  </si>
  <si>
    <t>+5</t>
  </si>
  <si>
    <t>2-3%</t>
  </si>
  <si>
    <t>Public</t>
  </si>
  <si>
    <t>single digit increase</t>
  </si>
  <si>
    <t>flattish</t>
  </si>
  <si>
    <t>Co CEOs - meeting with 40 CEOs in Mexico to sell advertising</t>
  </si>
  <si>
    <t>Very good</t>
  </si>
  <si>
    <t>Breaking 4 year records</t>
  </si>
  <si>
    <t>TV continues to be very popular in Mexico</t>
  </si>
  <si>
    <t>Linear</t>
  </si>
  <si>
    <t xml:space="preserve">no1 show </t>
  </si>
  <si>
    <t>Big Bang Theory</t>
  </si>
  <si>
    <t>Masked Singer</t>
  </si>
  <si>
    <t>Azteca doing very poorly</t>
  </si>
  <si>
    <t>Not producing content, bringing in from abroad</t>
  </si>
  <si>
    <t xml:space="preserve">Not producing drama, </t>
  </si>
  <si>
    <t>Az</t>
  </si>
  <si>
    <t>Ch 2 vs Ch 13</t>
  </si>
  <si>
    <t>Total FTA, Nielsen</t>
  </si>
  <si>
    <t>% of Ad revs</t>
  </si>
  <si>
    <t>% of viewship</t>
  </si>
  <si>
    <t>1.5x</t>
  </si>
  <si>
    <t>2.2x</t>
  </si>
  <si>
    <t>1.4x</t>
  </si>
  <si>
    <t>1.9x</t>
  </si>
  <si>
    <t>1.6x</t>
  </si>
  <si>
    <t>2x</t>
  </si>
  <si>
    <t>Key content, drama, sports, on FTA</t>
  </si>
  <si>
    <t>Pay TV allowed foreign content</t>
  </si>
  <si>
    <t>OTT - those watching HBO, Discovery etc, are watching OTT</t>
  </si>
  <si>
    <t>Taking advantage of self inflicted wounds at TV for 3 years….and gained share</t>
  </si>
  <si>
    <t>Done so at expense of profitability</t>
  </si>
  <si>
    <t>TV will raise price, and so will Azteca</t>
  </si>
  <si>
    <t>with inflation..or slightly more</t>
  </si>
  <si>
    <t>FCF focus</t>
  </si>
  <si>
    <t>capex would be similar to 2018 (660)</t>
  </si>
  <si>
    <t>550-60</t>
  </si>
  <si>
    <t>Guide on capex</t>
  </si>
  <si>
    <t xml:space="preserve">$355m </t>
  </si>
  <si>
    <t xml:space="preserve">$364m </t>
  </si>
  <si>
    <t>RGU</t>
  </si>
  <si>
    <t xml:space="preserve">Slight slowdown at cable </t>
  </si>
  <si>
    <t>More incentives to increase RGU</t>
  </si>
  <si>
    <t>Inflationary price increases</t>
  </si>
  <si>
    <t>Sept 1st</t>
  </si>
  <si>
    <t xml:space="preserve">Majority </t>
  </si>
  <si>
    <t>Outstanding</t>
  </si>
  <si>
    <t>Cash refund for taxes?</t>
  </si>
  <si>
    <t>Double check IFRS 16 cash cost</t>
  </si>
  <si>
    <t>MEGA thought were going to be acquired</t>
  </si>
  <si>
    <t>SKY unbundling</t>
  </si>
  <si>
    <t>Can offer 100 Mbps every customer (97%)</t>
  </si>
  <si>
    <t>Can now harvest cash</t>
  </si>
  <si>
    <t>Stopped spending in 2017</t>
  </si>
  <si>
    <t>some fibre, coax</t>
  </si>
  <si>
    <t>acquired cos with 5 Mbps</t>
  </si>
  <si>
    <t>2018 onwards</t>
  </si>
  <si>
    <t>all new network…</t>
  </si>
  <si>
    <t>Axtel 100% fibre to the home</t>
  </si>
  <si>
    <t>Monterrey</t>
  </si>
  <si>
    <t>Have enormous unused capacity</t>
  </si>
  <si>
    <t>Don't buy the fibre perception argument</t>
  </si>
  <si>
    <t>Said had very little fibre (not clear)</t>
  </si>
  <si>
    <t>Call on Mar-25th</t>
  </si>
  <si>
    <t>Uncertainty..have in TV balance sheet</t>
  </si>
  <si>
    <t>$600m…87bp above LIBOR equivalent</t>
  </si>
  <si>
    <t>report at Q1</t>
  </si>
  <si>
    <t>some negotiations ongoing</t>
  </si>
  <si>
    <t>some prices up, some volumes up</t>
  </si>
  <si>
    <t>unclear on cash implications</t>
  </si>
  <si>
    <t>some of the payments are done - and cash is in</t>
  </si>
  <si>
    <t>don't pay on the day close..can take 2-3 months</t>
  </si>
  <si>
    <t>Advertising?</t>
  </si>
  <si>
    <t>stay at home, watch TV</t>
  </si>
  <si>
    <t>customers can choose when to use the upfront</t>
  </si>
  <si>
    <t>Q4 the strongest quarter normally for Q4</t>
  </si>
  <si>
    <t>Higher demand for speeds, usage</t>
  </si>
  <si>
    <t>Peak hours</t>
  </si>
  <si>
    <t>Have the best network to face the situation</t>
  </si>
  <si>
    <t>no doubt better than incument</t>
  </si>
  <si>
    <t>can offer 100 Mbps across the network</t>
  </si>
  <si>
    <t>Apr-8 2020</t>
  </si>
  <si>
    <t>Restaurants open, malls open, super markets beginning to limit numbers</t>
  </si>
  <si>
    <t>nice restaurants closed</t>
  </si>
  <si>
    <t>"fondas" open, local</t>
  </si>
  <si>
    <t>No support plan presented by the government</t>
  </si>
  <si>
    <t>some infra projects</t>
  </si>
  <si>
    <t>pushing some banks to offer credit</t>
  </si>
  <si>
    <t>left government, with right policies. Don't want to raise debt, don't want inflation</t>
  </si>
  <si>
    <t>don’t want to raise taxes</t>
  </si>
  <si>
    <t>Q1 timing for upfronts</t>
  </si>
  <si>
    <t>suspended some Q1 spending</t>
  </si>
  <si>
    <t>should have been replaced in Q2 or other quarters</t>
  </si>
  <si>
    <t>now less clear</t>
  </si>
  <si>
    <t>no upfront…nothing</t>
  </si>
  <si>
    <t>upfronts signed</t>
  </si>
  <si>
    <t>Last 2 weeks of Q1</t>
  </si>
  <si>
    <t>Covid-19</t>
  </si>
  <si>
    <t>all clients started reviewing budgets and reallocating</t>
  </si>
  <si>
    <t>Q1 starts slow in Jan…Feb…last 2 weeks are usually very strong</t>
  </si>
  <si>
    <t xml:space="preserve">16/17% of weeks </t>
  </si>
  <si>
    <t>Consensus on Ad</t>
  </si>
  <si>
    <t>Flat to single digits for 2020</t>
  </si>
  <si>
    <t>Covid-19 for rest of year</t>
  </si>
  <si>
    <t>very hard to say</t>
  </si>
  <si>
    <t>AIB report</t>
  </si>
  <si>
    <t>those still advertising…changed to mission type advertising</t>
  </si>
  <si>
    <t>equity brand, not specific products</t>
  </si>
  <si>
    <t>Network subs.</t>
  </si>
  <si>
    <t>40% is USD…rest is peso</t>
  </si>
  <si>
    <t>Licencing and synd</t>
  </si>
  <si>
    <t>US media reports</t>
  </si>
  <si>
    <t>Media down 20% in Q1</t>
  </si>
  <si>
    <t>Positive, people sitting at home..some upgrades</t>
  </si>
  <si>
    <t>already happening</t>
  </si>
  <si>
    <t>Negative</t>
  </si>
  <si>
    <t>A lot of pre-paid packages, negative impact</t>
  </si>
  <si>
    <t>Q2, Q3</t>
  </si>
  <si>
    <t>Gaming, soccer, stadiums</t>
  </si>
  <si>
    <t>No film distribution</t>
  </si>
  <si>
    <t>Very difficult</t>
  </si>
  <si>
    <t>Margin - plan to reduce opex</t>
  </si>
  <si>
    <t>Opex - same, or higher due to inflation</t>
  </si>
  <si>
    <t>Blim + Netflix</t>
  </si>
  <si>
    <t>Very small margin…small revenue</t>
  </si>
  <si>
    <t>150 bps</t>
  </si>
  <si>
    <t>$25 and up</t>
  </si>
  <si>
    <t>Double check</t>
  </si>
  <si>
    <t>Previously…sometimes a few days late</t>
  </si>
  <si>
    <t>Gap between conclusion of prior year upfronts and the new one</t>
  </si>
  <si>
    <t>Some clients pushing back</t>
  </si>
  <si>
    <t>go for the spots</t>
  </si>
  <si>
    <t>or be absent from TV</t>
  </si>
  <si>
    <t>Timing was always going to be an issue…Jan/Feb softer to be expected</t>
  </si>
  <si>
    <t>Q1 to be soft….but a better Q2, Q3 and Q4</t>
  </si>
  <si>
    <t>March also</t>
  </si>
  <si>
    <t>Upfronts "generally was good"</t>
  </si>
  <si>
    <t>Mexico expected to be super tough</t>
  </si>
  <si>
    <t>Ad spend</t>
  </si>
  <si>
    <t>Big pull back in Ad spend in Mexico</t>
  </si>
  <si>
    <t>Drop of 20% in Q1…optimistic side of the range</t>
  </si>
  <si>
    <t>FY -10% too dramatic</t>
  </si>
  <si>
    <t>BC: FY -</t>
  </si>
  <si>
    <t>Q1 -20/-30%</t>
  </si>
  <si>
    <t>Content costs will remain the same</t>
  </si>
  <si>
    <t>Sports content, olympics</t>
  </si>
  <si>
    <t>A couple of shows shut also</t>
  </si>
  <si>
    <t>Have a few things running to keep through to May</t>
  </si>
  <si>
    <t>News casts</t>
  </si>
  <si>
    <t>Ratings for first 11 weeks</t>
  </si>
  <si>
    <t>+6% FTA ratings</t>
  </si>
  <si>
    <t>US more sports dependent. Mexico only missed football</t>
  </si>
  <si>
    <t>US ratings are collapsing</t>
  </si>
  <si>
    <t>Write it as our own conclusions</t>
  </si>
  <si>
    <t>cable strength</t>
  </si>
  <si>
    <t>so far can install in homes, may be a pause, backlog perhaps</t>
  </si>
  <si>
    <t xml:space="preserve">supportive of </t>
  </si>
  <si>
    <t>churn is down</t>
  </si>
  <si>
    <t>net adds</t>
  </si>
  <si>
    <t>Q1 and Q2 will be strong</t>
  </si>
  <si>
    <t>Wireless data down, fixed data up</t>
  </si>
  <si>
    <t>Hedge on cash flows</t>
  </si>
  <si>
    <t>80% of capex for 2020</t>
  </si>
  <si>
    <t>Where will savings appear mainly..? Content and HQ?</t>
  </si>
  <si>
    <t>Think about on USD terms or MXN only</t>
  </si>
  <si>
    <t>Cable capex down $80m…? To check, now USD500m for cable? ($575m previously)</t>
  </si>
  <si>
    <t>$200m will remain…most of its growth related…can come down if growth slows</t>
  </si>
  <si>
    <t>FY19 2020 guide</t>
  </si>
  <si>
    <t>New 2020 guide</t>
  </si>
  <si>
    <t>2020 capex</t>
  </si>
  <si>
    <t>$750-800m</t>
  </si>
  <si>
    <t>How much upfront, how much Covid - can you disentangle?</t>
  </si>
  <si>
    <t>What might you have expected Upfront timing to have impacted?</t>
  </si>
  <si>
    <t>Ability to lower costs in Content</t>
  </si>
  <si>
    <t>UNI royalties…last 2 weeks, thoughts into Q2 and 2020</t>
  </si>
  <si>
    <t>Leverage at 3.0x…should be nearer 3.3x by YE 2020 at current FX</t>
  </si>
  <si>
    <t>Any covenants?</t>
  </si>
  <si>
    <t>Assume buy back program on hold?</t>
  </si>
  <si>
    <t xml:space="preserve">Some upgrades, greater demand / some economic pressure on lower incomes…where will this net off, up or down? </t>
  </si>
  <si>
    <t>Enterprise segment</t>
  </si>
  <si>
    <t>Wholesale growth looked to have slowed…is this a Covid issue?</t>
  </si>
  <si>
    <t>Margins on cable</t>
  </si>
  <si>
    <t>USD pressure on opex</t>
  </si>
  <si>
    <t>hold margins steady over rest of the year?</t>
  </si>
  <si>
    <t>In MSO business in cable, how much is business?</t>
  </si>
  <si>
    <t>Wireless BB</t>
  </si>
  <si>
    <t>Earnings call</t>
  </si>
  <si>
    <t>Alfonso</t>
  </si>
  <si>
    <t>Aggressive cost reduction plan</t>
  </si>
  <si>
    <t>Executive pay cut of</t>
  </si>
  <si>
    <t>50% for CEOs</t>
  </si>
  <si>
    <t>10-25% elsewhere for executives</t>
  </si>
  <si>
    <t>2 high volume clients were ditched</t>
  </si>
  <si>
    <t xml:space="preserve">replaced with </t>
  </si>
  <si>
    <t>Late Feb</t>
  </si>
  <si>
    <t>massive deterioration in growth expectations</t>
  </si>
  <si>
    <t>consumer goods and travel in particular</t>
  </si>
  <si>
    <t>multiple sports events</t>
  </si>
  <si>
    <t>Salvi, on cable</t>
  </si>
  <si>
    <t>March and April resilient</t>
  </si>
  <si>
    <t>Single play BB offer</t>
  </si>
  <si>
    <t>5 to 100 Mbps</t>
  </si>
  <si>
    <t>210-530 pesos</t>
  </si>
  <si>
    <t>Good timing</t>
  </si>
  <si>
    <t>During March, ramping acceleration</t>
  </si>
  <si>
    <t>40% data traffic</t>
  </si>
  <si>
    <t>Average call duration +30%</t>
  </si>
  <si>
    <t>Some customers upgraded</t>
  </si>
  <si>
    <t>Highest gross adds ever in Q1</t>
  </si>
  <si>
    <t>Some customers will not be able to pay if problems persist</t>
  </si>
  <si>
    <t>Launching Lifeline package</t>
  </si>
  <si>
    <t>2 Mbps</t>
  </si>
  <si>
    <t>No video content, or games</t>
  </si>
  <si>
    <t>USD 80m lower spend</t>
  </si>
  <si>
    <t>Former CFO of Viacom and Eric Zinterhof of Searchlight</t>
  </si>
  <si>
    <t>Q1…strong operating momentum</t>
  </si>
  <si>
    <t>8% to $660m revs estimates</t>
  </si>
  <si>
    <t>EBITDA $221m, of +23%</t>
  </si>
  <si>
    <t>US Ad to deteriorate</t>
  </si>
  <si>
    <t>Suspension of new productions</t>
  </si>
  <si>
    <t>Have productions to go through to July</t>
  </si>
  <si>
    <t>$54m savings?</t>
  </si>
  <si>
    <t>This is in content</t>
  </si>
  <si>
    <t>April trending looks bad</t>
  </si>
  <si>
    <t>Heavily affected in Q2</t>
  </si>
  <si>
    <t>April OK so far, collections OK also</t>
  </si>
  <si>
    <t>However, early to determine FY</t>
  </si>
  <si>
    <t>Demand for connectivity very strong</t>
  </si>
  <si>
    <t>How much??</t>
  </si>
  <si>
    <t>Freeze on new hires</t>
  </si>
  <si>
    <t>Also on consultancy</t>
  </si>
  <si>
    <t>New agreement with all suppliers</t>
  </si>
  <si>
    <t>VPs and directors to cut also</t>
  </si>
  <si>
    <t>Board cut comp by 50%</t>
  </si>
  <si>
    <t>UNI still on $1.1bn on books</t>
  </si>
  <si>
    <t>Transaction value not made public</t>
  </si>
  <si>
    <t>Worth more to TV than to the buyer</t>
  </si>
  <si>
    <t>Covenants</t>
  </si>
  <si>
    <t>4x net debt to EBITDA</t>
  </si>
  <si>
    <t>Compliant</t>
  </si>
  <si>
    <t>Public advertising cuts..?</t>
  </si>
  <si>
    <t>Ad will be cut, reduced substantially, perhaps to zero</t>
  </si>
  <si>
    <t>Federal spend…7% of Ad last year</t>
  </si>
  <si>
    <t>Upfronts basically run until YE and only cover 2020</t>
  </si>
  <si>
    <t>End of Q1 supported numbers</t>
  </si>
  <si>
    <t xml:space="preserve">Single-play…as lock down </t>
  </si>
  <si>
    <t>Margin pressure</t>
  </si>
  <si>
    <t>SKY…margin at or below this level</t>
  </si>
  <si>
    <t>Looking to maintain margin</t>
  </si>
  <si>
    <t>Enterprise in cable</t>
  </si>
  <si>
    <t>14% of sales</t>
  </si>
  <si>
    <t>mainly large clients</t>
  </si>
  <si>
    <t>need…some asked for more capacity</t>
  </si>
  <si>
    <t>&lt;5% of total enterprise from hotels or SMEs</t>
  </si>
  <si>
    <t>small…in residential offer</t>
  </si>
  <si>
    <t>8% of customers is non-residential</t>
  </si>
  <si>
    <t>small shops closed, or working from home</t>
  </si>
  <si>
    <t>those who cannot pay…migrating to smaller packages..</t>
  </si>
  <si>
    <t>Mobile offer</t>
  </si>
  <si>
    <t>Bring your own device / SIM only</t>
  </si>
  <si>
    <t>can sell devices if necessary</t>
  </si>
  <si>
    <t>&gt;40% of customers have compatible devices</t>
  </si>
  <si>
    <t>New iPhones are compatible, some old ones not</t>
  </si>
  <si>
    <t>All new phones have to be compatible</t>
  </si>
  <si>
    <t>More aggressive than previously planned</t>
  </si>
  <si>
    <t>Really driven by Salvi Foch</t>
  </si>
  <si>
    <t>"Unlimited"</t>
  </si>
  <si>
    <t>25 GB, or speed capped to 512 kb</t>
  </si>
  <si>
    <t>Selling only where Red Compartida's network is</t>
  </si>
  <si>
    <t>Some roaming risk</t>
  </si>
  <si>
    <t>All payments through Red Compartida</t>
  </si>
  <si>
    <t>Samsung, Huawei, Motorola can be provided</t>
  </si>
  <si>
    <t>Some through Amazon</t>
  </si>
  <si>
    <t>57m POPs covered (5 March)</t>
  </si>
  <si>
    <t>Target</t>
  </si>
  <si>
    <t>4.8m broadband subs</t>
  </si>
  <si>
    <t>&gt;60% of BB subs are covered</t>
  </si>
  <si>
    <t>Devices limit also</t>
  </si>
  <si>
    <t>40% of target have compatible devices</t>
  </si>
  <si>
    <t>Telcel will sit and wait</t>
  </si>
  <si>
    <t>AMX used to operators trying to compete…won't overreact</t>
  </si>
  <si>
    <t>Is being done to not lose money</t>
  </si>
  <si>
    <t>Learnt from MEGA</t>
  </si>
  <si>
    <t>500,000 SIMs free to its own subs</t>
  </si>
  <si>
    <t>Issues with handsets, coverage, launch a failure</t>
  </si>
  <si>
    <t>Tried again: Dec-19 had 4,000 subs</t>
  </si>
  <si>
    <t>If outside of MEGA footprint…don't have the same conditions</t>
  </si>
  <si>
    <t>No plans to acquire C-band spectrum</t>
  </si>
  <si>
    <t>Class action</t>
  </si>
  <si>
    <t>1. FIFA stuff from a while back</t>
  </si>
  <si>
    <t>2. 2018 - "internal control deficiencies" - press release</t>
  </si>
  <si>
    <t>Tried to create a class action, following the share price collapse since 2018</t>
  </si>
  <si>
    <t>College of Applied Arts and Tech Pension Plan (Canadian)</t>
  </si>
  <si>
    <t>Plus other funds</t>
  </si>
  <si>
    <t>Q2 20 preview</t>
  </si>
  <si>
    <t>Ad weak</t>
  </si>
  <si>
    <t>40-50% down, Discovery CEO</t>
  </si>
  <si>
    <t>60% peso</t>
  </si>
  <si>
    <t>40% USD denominated</t>
  </si>
  <si>
    <t>LatAm buyers push to acquire in local</t>
  </si>
  <si>
    <t>share peso depreciation</t>
  </si>
  <si>
    <t>Lice and Synd</t>
  </si>
  <si>
    <t>50% of UNI is Ad</t>
  </si>
  <si>
    <t>50% transmission</t>
  </si>
  <si>
    <t>Barely any revs, only publishing working</t>
  </si>
  <si>
    <t>Regulator</t>
  </si>
  <si>
    <t>Debt in USD</t>
  </si>
  <si>
    <t>Bank debt exposed to covenant</t>
  </si>
  <si>
    <t>22/23bn</t>
  </si>
  <si>
    <t>Merging regulator</t>
  </si>
  <si>
    <t>Retracted comments</t>
  </si>
  <si>
    <t>Stock volatility</t>
  </si>
  <si>
    <t>Q2 20 earnings call (July 8th)</t>
  </si>
  <si>
    <t>Covid- not at peak yet</t>
  </si>
  <si>
    <t>Economic impact dramatic</t>
  </si>
  <si>
    <t>8.8% contraction expected in 2020</t>
  </si>
  <si>
    <t>USD average life 20 years</t>
  </si>
  <si>
    <t>MXN average life 20 years</t>
  </si>
  <si>
    <t>Retrans strong</t>
  </si>
  <si>
    <t>Content focus</t>
  </si>
  <si>
    <t>MXN462m for Q2</t>
  </si>
  <si>
    <t>FY will save MXN2.1 to MXN2.4bn</t>
  </si>
  <si>
    <t>257 GB/month</t>
  </si>
  <si>
    <t>MSO 7.7%</t>
  </si>
  <si>
    <t>Enterprise 26.6%</t>
  </si>
  <si>
    <t>H2 household income risk</t>
  </si>
  <si>
    <t>$136m, 27% down y/y</t>
  </si>
  <si>
    <t>Capex to 27.4% in Q2, from 34% one year ago</t>
  </si>
  <si>
    <t>Oppo to leverage brand etc</t>
  </si>
  <si>
    <t>Similar to US offers</t>
  </si>
  <si>
    <t>unlimited post-paid in certain areas</t>
  </si>
  <si>
    <t>where Altan does not have network, roam with Telcel</t>
  </si>
  <si>
    <t>Estrellas - key channel</t>
  </si>
  <si>
    <t>Ratings up 18%</t>
  </si>
  <si>
    <t>W/e up 30%</t>
  </si>
  <si>
    <t>Drama</t>
  </si>
  <si>
    <t>3rd most watched drama since 2018</t>
  </si>
  <si>
    <t>24% of HHs</t>
  </si>
  <si>
    <t>Newscast</t>
  </si>
  <si>
    <t>Main source of info, 2x more viewers than Azteca</t>
  </si>
  <si>
    <t>Production</t>
  </si>
  <si>
    <t xml:space="preserve">Have resumed </t>
  </si>
  <si>
    <t>3 dramas, 9 daily shows</t>
  </si>
  <si>
    <t>Regular soccer back July 24th</t>
  </si>
  <si>
    <t>Growing double digits</t>
  </si>
  <si>
    <t>Comedy at 10pm</t>
  </si>
  <si>
    <t>x3 ratings for Telemundo</t>
  </si>
  <si>
    <t>Tok advantage of market and extended amortisation schedule</t>
  </si>
  <si>
    <t>$1.5bn 2027 to refi 2023</t>
  </si>
  <si>
    <t>Increased $2bn term loan for 2026 and revolver for 2025</t>
  </si>
  <si>
    <t>recharge rate has not been impacted - gone up?</t>
  </si>
  <si>
    <t>Ad deposits change</t>
  </si>
  <si>
    <t>$15bn as floor?</t>
  </si>
  <si>
    <t>Deposits gone up over time</t>
  </si>
  <si>
    <t>Some are not using, or being rescheduled (tourism etc)</t>
  </si>
  <si>
    <t>Certain projects</t>
  </si>
  <si>
    <t>BB infra for state governments</t>
  </si>
  <si>
    <t>See good growth oppo here</t>
  </si>
  <si>
    <t>Market share here is limited</t>
  </si>
  <si>
    <t>Sustainable for some quarters</t>
  </si>
  <si>
    <t>Pandemic has brought additional needs on all fronts</t>
  </si>
  <si>
    <t>Cost reduction</t>
  </si>
  <si>
    <t>Across the board</t>
  </si>
  <si>
    <t>Each and every single line item</t>
  </si>
  <si>
    <t xml:space="preserve">30-35% of savings will be kept in 2021 </t>
  </si>
  <si>
    <t>Produce certain live/reality shows if there is demand</t>
  </si>
  <si>
    <t>Q3 should be quicker than Q3 last year</t>
  </si>
  <si>
    <t>Set to gain share…market up, win from subs</t>
  </si>
  <si>
    <t>esp from DSL</t>
  </si>
  <si>
    <t>Capacity</t>
  </si>
  <si>
    <t>medium-term, feel very comfortable</t>
  </si>
  <si>
    <t>Docsis 3.0 better speed, 3.1 ready in bigger cities</t>
  </si>
  <si>
    <t>to go to GB speeds are on terminal devices</t>
  </si>
  <si>
    <t>New areas</t>
  </si>
  <si>
    <t>If prices of FTTH have come down then do FTTH</t>
  </si>
  <si>
    <t>April peak</t>
  </si>
  <si>
    <t xml:space="preserve">June demand came down a little </t>
  </si>
  <si>
    <t>June better than May</t>
  </si>
  <si>
    <t>Across the board, telecoms ad less by 50%</t>
  </si>
  <si>
    <t>Foo/ down 30%</t>
  </si>
  <si>
    <t>Personal hygene down 18%</t>
  </si>
  <si>
    <t>This is 80% of total sales</t>
  </si>
  <si>
    <t>Structural separation</t>
  </si>
  <si>
    <t>Colour here</t>
  </si>
  <si>
    <t>1 month in</t>
  </si>
  <si>
    <t xml:space="preserve">Where are the subs coming from </t>
  </si>
  <si>
    <t>Consider launching pre-pay</t>
  </si>
  <si>
    <t>Post pay usage is ~4 GB/month</t>
  </si>
  <si>
    <t>MXN250/month</t>
  </si>
  <si>
    <t>14,000 subs in 1 month</t>
  </si>
  <si>
    <t>Challenge is devices</t>
  </si>
  <si>
    <t>Band 28….over time this will be solved</t>
  </si>
  <si>
    <t>No specific target</t>
  </si>
  <si>
    <t>Partly can offload data</t>
  </si>
  <si>
    <t>Comcast/Charter…</t>
  </si>
  <si>
    <t>Price with Altan is attractive</t>
  </si>
  <si>
    <t>Not pre-pay</t>
  </si>
  <si>
    <t>0.5m - most is fixed wireless…(99%)</t>
  </si>
  <si>
    <t>Altan</t>
  </si>
  <si>
    <t>ULL has not evolved</t>
  </si>
  <si>
    <t>H2 - still not clear on Ad revenue</t>
  </si>
  <si>
    <t>MXN15bn less the part spent already</t>
  </si>
  <si>
    <t>MXN13.3bn as of H1</t>
  </si>
  <si>
    <t>Project</t>
  </si>
  <si>
    <t>Supporting state project</t>
  </si>
  <si>
    <t>Will start paying VAT</t>
  </si>
  <si>
    <t>Izzy changing the way it will be reported</t>
  </si>
  <si>
    <t>used to be sales</t>
  </si>
  <si>
    <t>MXN100</t>
  </si>
  <si>
    <t>sales</t>
  </si>
  <si>
    <t>MXN95</t>
  </si>
  <si>
    <t>cost</t>
  </si>
  <si>
    <t>MXN5</t>
  </si>
  <si>
    <t>now, will report</t>
  </si>
  <si>
    <t>directly</t>
  </si>
  <si>
    <t>&gt;45% 3-play…and the majority have OTT (Blim)</t>
  </si>
  <si>
    <t>Started in June, v small impact in Q2</t>
  </si>
  <si>
    <t>Q2 - a lot of promotions</t>
  </si>
  <si>
    <t>a lot related to Covid</t>
  </si>
  <si>
    <t>households</t>
  </si>
  <si>
    <t>lower packages</t>
  </si>
  <si>
    <t>Lifeline</t>
  </si>
  <si>
    <t>not included in adds</t>
  </si>
  <si>
    <t>not in revenue…as don't pay for 2 months</t>
  </si>
  <si>
    <t>Cost</t>
  </si>
  <si>
    <t>Small FX impact</t>
  </si>
  <si>
    <t>Churn</t>
  </si>
  <si>
    <t>No increase in churn</t>
  </si>
  <si>
    <t>People saving money from certain places</t>
  </si>
  <si>
    <t>EBITDA FX impact</t>
  </si>
  <si>
    <t>delayed sports impact..will pay in Q3 that didn't pay in Q2</t>
  </si>
  <si>
    <t>Sell side</t>
  </si>
  <si>
    <t>Q2 above exps for all</t>
  </si>
  <si>
    <t>$8.0 is the average</t>
  </si>
  <si>
    <t>Sell-side call</t>
  </si>
  <si>
    <t>upbeat</t>
  </si>
  <si>
    <t>Continue to see demand for BB</t>
  </si>
  <si>
    <t>Pay TV outlook…?</t>
  </si>
  <si>
    <t>Network fine - harvesting investments</t>
  </si>
  <si>
    <t>Competition from FTTH</t>
  </si>
  <si>
    <t>Gross and net additions strong as of mid Aug</t>
  </si>
  <si>
    <t>Netlfix VAT impact on cable</t>
  </si>
  <si>
    <t>Aug 24th - schools to restart…connectivity needed</t>
  </si>
  <si>
    <t>New customers:</t>
  </si>
  <si>
    <t>Upgrades to faster speeds</t>
  </si>
  <si>
    <t>Migration from Telmex</t>
  </si>
  <si>
    <t>New to BB, been using mobile historically</t>
  </si>
  <si>
    <t>As per US..</t>
  </si>
  <si>
    <t>0.5m BB customers</t>
  </si>
  <si>
    <t>20k video subs in SKY</t>
  </si>
  <si>
    <t>Strong gross and net in BB and video</t>
  </si>
  <si>
    <t>bundling of BB and video popular, see lower churn</t>
  </si>
  <si>
    <t>Cheap entertainment still in demand</t>
  </si>
  <si>
    <t>Sport has come back…at SKY. UEFA Champions League, Spain, Mexico</t>
  </si>
  <si>
    <t>Audiences growing</t>
  </si>
  <si>
    <t>Beating competitors in Mexico</t>
  </si>
  <si>
    <t>Getting eyeballs. Hitting targets clients want</t>
  </si>
  <si>
    <t>Cost cutting…aggressive program</t>
  </si>
  <si>
    <t>No visibility</t>
  </si>
  <si>
    <t>Last Friday results</t>
  </si>
  <si>
    <t>Big drop on Ad, offset by distribution - which is more resilient even with chord cutting</t>
  </si>
  <si>
    <t>things looking better…reopening in the US</t>
  </si>
  <si>
    <t>very good results…beating all broadcasters</t>
  </si>
  <si>
    <t>Need yellow or green lights for bingo parlours</t>
  </si>
  <si>
    <t>Football stadiums still empty…continue to impact</t>
  </si>
  <si>
    <t>Movie launches are delayed…cinemas starting to open in certain states</t>
  </si>
  <si>
    <t>100% related to good capex, growth in SAC on both cable and SKY</t>
  </si>
  <si>
    <t>High end of this range</t>
  </si>
  <si>
    <t>Very strong balance sheet</t>
  </si>
  <si>
    <t>Re-paid some SKY debt, with cash held here</t>
  </si>
  <si>
    <t>Ad business</t>
  </si>
  <si>
    <t>MXN15bn - a sense on low end of Ad revs for FY?</t>
  </si>
  <si>
    <t>Still low visibility on Ad</t>
  </si>
  <si>
    <t>Saw a better July</t>
  </si>
  <si>
    <t>MVNO business?</t>
  </si>
  <si>
    <t>Aggressive offer…work well with BB clients</t>
  </si>
  <si>
    <t>Netflix deal</t>
  </si>
  <si>
    <t>Accounting for profit…June 1 VAT…impact to top line, no impact on EBITDA</t>
  </si>
  <si>
    <t>Univision licensing Content to OTTs?</t>
  </si>
  <si>
    <t>Area of opportunity</t>
  </si>
  <si>
    <t>Would still get royalties on revenue</t>
  </si>
  <si>
    <t>Relationship with Wade at UNI</t>
  </si>
  <si>
    <t xml:space="preserve">Great to have Zinterhoffer </t>
  </si>
  <si>
    <t>Football / sports</t>
  </si>
  <si>
    <t>Mostly impact SKY - EPL, Spanish League</t>
  </si>
  <si>
    <t>Additional cost as content resumes</t>
  </si>
  <si>
    <t>SKY margins &gt; 40%</t>
  </si>
  <si>
    <t>around this level for H2</t>
  </si>
  <si>
    <t>Cost savings</t>
  </si>
  <si>
    <t>Any joint cost initiatives with UNI?</t>
  </si>
  <si>
    <t>JV of sports…cost savings most important</t>
  </si>
  <si>
    <t>Economics?</t>
  </si>
  <si>
    <t>Checking credit controls</t>
  </si>
  <si>
    <t>Monitoring collections obsessively</t>
  </si>
  <si>
    <t>Need for connectivity</t>
  </si>
  <si>
    <t>Pay TV and BB are very cheap</t>
  </si>
  <si>
    <t>Recent price increase</t>
  </si>
  <si>
    <t>Cable across the board, roughly in-line with inflation</t>
  </si>
  <si>
    <t>Not an easy decision</t>
  </si>
  <si>
    <t>Visiting White House..including co CEO of Televisa</t>
  </si>
  <si>
    <t>Education in schools</t>
  </si>
  <si>
    <t>BB pen is &lt;60%</t>
  </si>
  <si>
    <t>TV pen is &gt;90%</t>
  </si>
  <si>
    <t>Multiplex on the Televisa channels</t>
  </si>
  <si>
    <t>FTTH upgrade</t>
  </si>
  <si>
    <t>MEGA investments are similar to investments which TV started in 2014/15</t>
  </si>
  <si>
    <t>Acquired lousy networks…in 2015 BB pen was below 30%</t>
  </si>
  <si>
    <t>&gt; 100 Mbps to 90% + of customers</t>
  </si>
  <si>
    <t>Fibre being deployed on a niche basis….Monterrey for instance</t>
  </si>
  <si>
    <t>Most footprint increase is FTTH</t>
  </si>
  <si>
    <t>FTTH and HFC is pretty similar</t>
  </si>
  <si>
    <t>Docsis 3.0, 3.1 is coming</t>
  </si>
  <si>
    <t>No real changes since Sell side</t>
  </si>
  <si>
    <t>Q3 better than Q2 in terms of Ad</t>
  </si>
  <si>
    <t>y/y growth will not be down 30%</t>
  </si>
  <si>
    <t>-15-25%</t>
  </si>
  <si>
    <t>50/50 USD/MXN</t>
  </si>
  <si>
    <t>Licencing &amp; Syndication</t>
  </si>
  <si>
    <t>Election coming</t>
  </si>
  <si>
    <t>Some kind of benefit</t>
  </si>
  <si>
    <t>But</t>
  </si>
  <si>
    <t>All media companies trying to save money</t>
  </si>
  <si>
    <t>One way is not to import content</t>
  </si>
  <si>
    <t>use library</t>
  </si>
  <si>
    <t>Relevant portion is exports</t>
  </si>
  <si>
    <t>SKY should keep same trend</t>
  </si>
  <si>
    <t>OTT / Netflix</t>
  </si>
  <si>
    <t>200 bp off revenue</t>
  </si>
  <si>
    <t>Mid-single than high</t>
  </si>
  <si>
    <t>Price incease on cable</t>
  </si>
  <si>
    <t>Sept 1st price increase. ~4%</t>
  </si>
  <si>
    <t>usually has some impact</t>
  </si>
  <si>
    <t>July-19 price increase</t>
  </si>
  <si>
    <t>Hard to think Q3 will be as strong in terms of adds</t>
  </si>
  <si>
    <t>Cable mobile</t>
  </si>
  <si>
    <t>Growing at a slow pace</t>
  </si>
  <si>
    <t>Aggressive</t>
  </si>
  <si>
    <t>Promotions</t>
  </si>
  <si>
    <t>Marketing</t>
  </si>
  <si>
    <t>Not sure if Total Play increasing prices</t>
  </si>
  <si>
    <t>Cable is cheap</t>
  </si>
  <si>
    <t>SKY price increases Dec-19 and Jan-20</t>
  </si>
  <si>
    <t>SKY amortisation comes through in Q3 and Q4</t>
  </si>
  <si>
    <t>more in Q4</t>
  </si>
  <si>
    <t>New shareholders</t>
  </si>
  <si>
    <t>Alliance Bernstein</t>
  </si>
  <si>
    <t>Arrow Street</t>
  </si>
  <si>
    <t>Need to show a few stable quarters…grow Ad for a couple of quarters</t>
  </si>
  <si>
    <t>Show some transparency on UNI</t>
  </si>
  <si>
    <t>Non-core sales not so relevant</t>
  </si>
  <si>
    <t xml:space="preserve">Capex/sales to low 20%s in 2021 and &lt;20% </t>
  </si>
  <si>
    <t>$750-800m for 2020 capex</t>
  </si>
  <si>
    <t>No cable capex</t>
  </si>
  <si>
    <t>SKY is always ~$250m, Content is $50-10m</t>
  </si>
  <si>
    <t>2021 capex</t>
  </si>
  <si>
    <t>consensus</t>
  </si>
  <si>
    <t>25% sales</t>
  </si>
  <si>
    <t>2021 Ad revenue</t>
  </si>
  <si>
    <t>FY 20</t>
  </si>
  <si>
    <t>-20% to -26%</t>
  </si>
  <si>
    <t>FY 21</t>
  </si>
  <si>
    <t>huge range</t>
  </si>
  <si>
    <t xml:space="preserve">7% growth…lowest -3% </t>
  </si>
  <si>
    <t>Q3 2020 earnings call</t>
  </si>
  <si>
    <t>Capex guide</t>
  </si>
  <si>
    <t>Disney + coming in Nov</t>
  </si>
  <si>
    <t>Important as a complementary service for Izzy</t>
  </si>
  <si>
    <t>Video consumption changing</t>
  </si>
  <si>
    <t>Izzy well positioned to be the place to watch OTT</t>
  </si>
  <si>
    <t>Key distributor for Netflix</t>
  </si>
  <si>
    <t>1st Sept price rise on cable</t>
  </si>
  <si>
    <t>same as last year</t>
  </si>
  <si>
    <t>OTT threat</t>
  </si>
  <si>
    <t>Have a lot of content which customers want</t>
  </si>
  <si>
    <t>Linear channels also key</t>
  </si>
  <si>
    <t>So OTT + linear is important</t>
  </si>
  <si>
    <t>Video costs are relatively low</t>
  </si>
  <si>
    <t>Cable vs fibre</t>
  </si>
  <si>
    <t>10% of homes passed FTTH</t>
  </si>
  <si>
    <t>60% is fibre to the node….?</t>
  </si>
  <si>
    <t>3.0 gets to 200 Mbps</t>
  </si>
  <si>
    <t>3.1 terminal equipment is ~80% more expensive</t>
  </si>
  <si>
    <t>Relaunch of online Content</t>
  </si>
  <si>
    <t>Q4 2020</t>
  </si>
  <si>
    <t>Last year was closed in Q4 2019</t>
  </si>
  <si>
    <t>This time back to Q1 timing</t>
  </si>
  <si>
    <t>Still quite a "few clients" outstanding</t>
  </si>
  <si>
    <t>2021 remains uncertain</t>
  </si>
  <si>
    <t>View end-2020 was there was some light at the end of tunnel previously</t>
  </si>
  <si>
    <t>Full lockdowns now</t>
  </si>
  <si>
    <t>Vaccines very uncertain</t>
  </si>
  <si>
    <t>Pfizer for doctors</t>
  </si>
  <si>
    <t>25m from Roche, start by March everyone &gt;60 vaccinated</t>
  </si>
  <si>
    <t>Cable and SKY</t>
  </si>
  <si>
    <t>some return to normal in Q4</t>
  </si>
  <si>
    <t>Network sub - looks a little high</t>
  </si>
  <si>
    <t>Not much guide</t>
  </si>
  <si>
    <t>Should be negative</t>
  </si>
  <si>
    <t>Q4 won’t be the worst year</t>
  </si>
  <si>
    <t>US election should support</t>
  </si>
  <si>
    <t>A little cautious</t>
  </si>
  <si>
    <t>8.1% y/y</t>
  </si>
  <si>
    <t>Netflix, mid rather than high single digit</t>
  </si>
  <si>
    <t>Easing of lockdown….lower add on re activity, channels, platform speeds</t>
  </si>
  <si>
    <t>Weak disposible income</t>
  </si>
  <si>
    <t>amortises extra sports in Q4</t>
  </si>
  <si>
    <t>might be a little low</t>
  </si>
  <si>
    <t>a little high</t>
  </si>
  <si>
    <t>made adjustments to avoid relevant losses</t>
  </si>
  <si>
    <t>TV was hit by liquidity squeeze</t>
  </si>
  <si>
    <t>Upfronts up mid single digit</t>
  </si>
  <si>
    <t>Confident of an inflection</t>
  </si>
  <si>
    <t>FTA grew 3.6% in 2020</t>
  </si>
  <si>
    <t>Flagship channel up 20%, 5 year earnings record</t>
  </si>
  <si>
    <t>Video - tough economics….broadband is key, connectivity</t>
  </si>
  <si>
    <t>Netflix - top BB service provider, based on speeds</t>
  </si>
  <si>
    <t>Disruptive mobile</t>
  </si>
  <si>
    <t>Emilio, Alfonso on the board</t>
  </si>
  <si>
    <t>Bernado offered role in US but decided to decline</t>
  </si>
  <si>
    <t>Rotate and then Bernardo will take over</t>
  </si>
  <si>
    <t>TV and UNI collaboration</t>
  </si>
  <si>
    <t>Wade and TV relationship is the best ever</t>
  </si>
  <si>
    <t>UNI as a sleeping giant</t>
  </si>
  <si>
    <t>No steer yet. Tokyo Olympics a biggy</t>
  </si>
  <si>
    <t>LBTY Global invested in UNI</t>
  </si>
  <si>
    <t>Fries - strengthen relationship between LBTY and TV</t>
  </si>
  <si>
    <t>Want to do more things</t>
  </si>
  <si>
    <t>Some cancelled upfront plans</t>
  </si>
  <si>
    <t>airlines for example</t>
  </si>
  <si>
    <t>others rolled into 2021</t>
  </si>
  <si>
    <t>Slowdown in Q4, likely to be industry wide</t>
  </si>
  <si>
    <t>Telmex slowed also</t>
  </si>
  <si>
    <t>Economic environment challenging</t>
  </si>
  <si>
    <t>Chat with Rodrigo</t>
  </si>
  <si>
    <t>Fed Government</t>
  </si>
  <si>
    <t>State</t>
  </si>
  <si>
    <t>&gt;1.5%</t>
  </si>
  <si>
    <t>All Ad</t>
  </si>
  <si>
    <t>low double digits</t>
  </si>
  <si>
    <t>Should be possible for UNI also</t>
  </si>
  <si>
    <t>UNI outperforms</t>
  </si>
  <si>
    <t xml:space="preserve">2020 political Ad but should still grow </t>
  </si>
  <si>
    <t>VOD platform</t>
  </si>
  <si>
    <t>Prende TV</t>
  </si>
  <si>
    <t>Ad funded for basic</t>
  </si>
  <si>
    <t>$5-6 if subscription based</t>
  </si>
  <si>
    <t>$10</t>
  </si>
  <si>
    <t>Could cannibalise</t>
  </si>
  <si>
    <t>driven by new management</t>
  </si>
  <si>
    <t>EBITDA flattish at $1 billion</t>
  </si>
  <si>
    <t>NOLS of $600m</t>
  </si>
  <si>
    <t>7x net debt to EBITDA</t>
  </si>
  <si>
    <t>Head to 3x</t>
  </si>
  <si>
    <t>Should bring to Mexico also…</t>
  </si>
  <si>
    <t>mostly it's mid-low customers</t>
  </si>
  <si>
    <t>Integrated to AVOD</t>
  </si>
  <si>
    <t>Pay also</t>
  </si>
  <si>
    <t>Decent amount of subs, but not growing</t>
  </si>
  <si>
    <t>Jan and Feb v strong</t>
  </si>
  <si>
    <t>Telecoms advertising a lot</t>
  </si>
  <si>
    <t>Azteca debt restructuring</t>
  </si>
  <si>
    <t>Some extra support in 2020</t>
  </si>
  <si>
    <t>Growth in mid single digits</t>
  </si>
  <si>
    <t>Cable a touch higher</t>
  </si>
  <si>
    <t>x3 play subs, disconnect TV</t>
  </si>
  <si>
    <t>no real BB disconnect</t>
  </si>
  <si>
    <t>Cable RGUs a touch weaker in H1</t>
  </si>
  <si>
    <t>Price increases generally</t>
  </si>
  <si>
    <t>Raised $575m in H2</t>
  </si>
  <si>
    <t>Ended up with $80m</t>
  </si>
  <si>
    <t>Homes passed FTTH at Totalplay</t>
  </si>
  <si>
    <t>2.2m homes connected</t>
  </si>
  <si>
    <t xml:space="preserve">2.5m HPs from TotalPlay </t>
  </si>
  <si>
    <t>Capex for 2021</t>
  </si>
  <si>
    <t>slightly higher than 2020</t>
  </si>
  <si>
    <t xml:space="preserve">invest more </t>
  </si>
  <si>
    <t>FTTH is 15% of HFC</t>
  </si>
  <si>
    <t>FTTN to 45%</t>
  </si>
  <si>
    <t>UNI deal call (Apr 21)</t>
  </si>
  <si>
    <t>Cable Head</t>
  </si>
  <si>
    <t>José Antonio González</t>
  </si>
  <si>
    <t>Televisa Univision</t>
  </si>
  <si>
    <t>300,000 hours of programming</t>
  </si>
  <si>
    <t>Premium Spanish language sports rights</t>
  </si>
  <si>
    <t>Incs Univision and Unimas</t>
  </si>
  <si>
    <t>Prende TV…all Spanish language</t>
  </si>
  <si>
    <t>1. Create compelling Spanish language Content</t>
  </si>
  <si>
    <t>Has evolved by modernising</t>
  </si>
  <si>
    <t>UNI has 60% Spanish audience share, 2x next largest</t>
  </si>
  <si>
    <t>TV has 65% share in Mexico, 2.3x next largest</t>
  </si>
  <si>
    <t>75% of library is digitised</t>
  </si>
  <si>
    <t>2. Geo expansion</t>
  </si>
  <si>
    <t>Leading positions in 2 largest Spanish language markets (econ, POPs)</t>
  </si>
  <si>
    <t>Target other countries, expand globally</t>
  </si>
  <si>
    <t>2nd largest POPs in the world (Spanish)</t>
  </si>
  <si>
    <t>Other content tend to ignore</t>
  </si>
  <si>
    <t>3. Leverage tech, new opps for consumers</t>
  </si>
  <si>
    <t>Combined IP and production allow accelerate streaming</t>
  </si>
  <si>
    <t>Streaming an oppo and imperative</t>
  </si>
  <si>
    <t>Differentiated Spanish language product</t>
  </si>
  <si>
    <t>Need to be global</t>
  </si>
  <si>
    <t>Wade driving</t>
  </si>
  <si>
    <t>4. Improved fin profile</t>
  </si>
  <si>
    <t xml:space="preserve">TV-Univision sees </t>
  </si>
  <si>
    <t>Equity of $6bn post transaction</t>
  </si>
  <si>
    <t>$4bn EBITDA</t>
  </si>
  <si>
    <t>Most production will take place in Mexico</t>
  </si>
  <si>
    <t>Margin to be close to 45% inc synergies</t>
  </si>
  <si>
    <t>5x leverage inc synergies</t>
  </si>
  <si>
    <t>Combo</t>
  </si>
  <si>
    <t>Streaming</t>
  </si>
  <si>
    <t>Spain the last oppo</t>
  </si>
  <si>
    <t>Softbank, Google and Raine behind this</t>
  </si>
  <si>
    <t>Top markets</t>
  </si>
  <si>
    <t>Worth "billions of dollars"</t>
  </si>
  <si>
    <t>US Hispanics over index on mobile and digital</t>
  </si>
  <si>
    <t>Ad supported streaming experience</t>
  </si>
  <si>
    <t>Viacom moved first on this</t>
  </si>
  <si>
    <t>Acquisition of Pluto TV…largest free Ad TV platform in the year</t>
  </si>
  <si>
    <t>Pierre was President of Streaming</t>
  </si>
  <si>
    <t>In LatAm, Pluto was a start up…late 18 launch, 40% larger than next competitor</t>
  </si>
  <si>
    <t>Prende TV launched. Built from scratched, within 3 months of UNI close</t>
  </si>
  <si>
    <t xml:space="preserve">Streaming - </t>
  </si>
  <si>
    <t>UNI core business doing super well</t>
  </si>
  <si>
    <t>Q1 and Q2 will show recent success</t>
  </si>
  <si>
    <t>$2-300m is more synergies, than revs</t>
  </si>
  <si>
    <t>late 22/early 23</t>
  </si>
  <si>
    <t>can be used to underwrite investments in content</t>
  </si>
  <si>
    <t>unifying rights</t>
  </si>
  <si>
    <t>global library</t>
  </si>
  <si>
    <t>20-30% due to headcount</t>
  </si>
  <si>
    <t>most coming from facilities footprint, licencing of content</t>
  </si>
  <si>
    <t>timing - should be on-line by end 22/beginning of 23</t>
  </si>
  <si>
    <t>TV value creation?</t>
  </si>
  <si>
    <t>$2.7bn equity stake</t>
  </si>
  <si>
    <t>$3 billion in cash</t>
  </si>
  <si>
    <t>Ramp up in contenti investment?</t>
  </si>
  <si>
    <t>Cash generation is very strong</t>
  </si>
  <si>
    <t>Even after OTT…$5-5.5bn of levered FCF over the next five years</t>
  </si>
  <si>
    <t>Stakes</t>
  </si>
  <si>
    <t>Forgelight and Searchlight</t>
  </si>
  <si>
    <t>LBTY, Google and Soft, Raine through Series C</t>
  </si>
  <si>
    <t>Focus on deleverage</t>
  </si>
  <si>
    <t>Will be one platform</t>
  </si>
  <si>
    <t>Third party licencing</t>
  </si>
  <si>
    <t>No1 priority is supporting own platform OTT efforts</t>
  </si>
  <si>
    <t>Some oppo to target 3rd parties</t>
  </si>
  <si>
    <t>SKY and Cable and distro will still have access to content</t>
  </si>
  <si>
    <t>Preferred partnership to acquire collectively when it makes sense</t>
  </si>
  <si>
    <t>OTT cannibalise?</t>
  </si>
  <si>
    <t>Strategy will be inclusive of all distribution partners</t>
  </si>
  <si>
    <t>Non overlapping with content sold to partners</t>
  </si>
  <si>
    <t>MVPD content</t>
  </si>
  <si>
    <t>Izzy will be focused on BB pen and subs growth</t>
  </si>
  <si>
    <t>Supermarket of content</t>
  </si>
  <si>
    <t>An aggregator</t>
  </si>
  <si>
    <t>TV-UNI will be part of the offering, also for SKY</t>
  </si>
  <si>
    <t>Call with Rodrigo</t>
  </si>
  <si>
    <t>Addressable POPs</t>
  </si>
  <si>
    <t xml:space="preserve">200m </t>
  </si>
  <si>
    <t>US hispanics + Mexico</t>
  </si>
  <si>
    <t>600m</t>
  </si>
  <si>
    <t>TAM</t>
  </si>
  <si>
    <t xml:space="preserve">Extra </t>
  </si>
  <si>
    <t>400m coming from rest of LatAm…licencing content already, not done aggressively</t>
  </si>
  <si>
    <t>includes Spain</t>
  </si>
  <si>
    <t>Google and Softbank</t>
  </si>
  <si>
    <t>here to make money</t>
  </si>
  <si>
    <t>Market has marked to market for the deal</t>
  </si>
  <si>
    <t>Spanish language SVOD market is ~$10bn</t>
  </si>
  <si>
    <t>Spanish language AVOD is $3 per year</t>
  </si>
  <si>
    <t>EBITDA is $1.6bn ex synergies</t>
  </si>
  <si>
    <t>Yes, pf 2021 pre-synergies</t>
  </si>
  <si>
    <t>10x multiple..theoretically</t>
  </si>
  <si>
    <t>EFCF of $300m</t>
  </si>
  <si>
    <t>UNI has NOLS</t>
  </si>
  <si>
    <t>$1 billion next couple of years/annum</t>
  </si>
  <si>
    <t>$6 billion equity</t>
  </si>
  <si>
    <t>$1 billion in Series B</t>
  </si>
  <si>
    <t>Common $750m</t>
  </si>
  <si>
    <t>priority in event of liquidation</t>
  </si>
  <si>
    <t>Preferred $750m</t>
  </si>
  <si>
    <t>if convert, then pay $100m</t>
  </si>
  <si>
    <t>Down from 36% to 20%</t>
  </si>
  <si>
    <t>Back to 45%</t>
  </si>
  <si>
    <t>5x</t>
  </si>
  <si>
    <t>UNI acquired PIX, with ~800,000 subs</t>
  </si>
  <si>
    <t>May even licence from 3rd parties</t>
  </si>
  <si>
    <t>Netflix $200m on Spanish language</t>
  </si>
  <si>
    <t>Upfronts will be gradual, not overnight</t>
  </si>
  <si>
    <t>End-22, 23</t>
  </si>
  <si>
    <t>IPO quite likely</t>
  </si>
  <si>
    <t>Sold to Disney, Time Warner etc</t>
  </si>
  <si>
    <t>Success in new markets</t>
  </si>
  <si>
    <t>Streaming platform will be global</t>
  </si>
  <si>
    <t>New content</t>
  </si>
  <si>
    <t>Would have done everything differently</t>
  </si>
  <si>
    <t>1. no content differentiation</t>
  </si>
  <si>
    <t>2. svod targeting low and mid level of POPs</t>
  </si>
  <si>
    <t>avod is a big game changer</t>
  </si>
  <si>
    <t>20m people happy to use AVOD</t>
  </si>
  <si>
    <t>gross up to AVOD</t>
  </si>
  <si>
    <t>US svod likely to be more pops</t>
  </si>
  <si>
    <t>Launch both AVOD and SVOD</t>
  </si>
  <si>
    <t>2x for underlying</t>
  </si>
  <si>
    <t>no leverage at SKY</t>
  </si>
  <si>
    <t>Cable on 6-7x EBITDA, looking at MEGA</t>
  </si>
  <si>
    <t>SKY on 4-5x</t>
  </si>
  <si>
    <t>Head of cable</t>
  </si>
  <si>
    <t>engineer</t>
  </si>
  <si>
    <t>mandate to grow and streamline operations</t>
  </si>
  <si>
    <t>Interest in MEGA</t>
  </si>
  <si>
    <t>Want all cash</t>
  </si>
  <si>
    <t>Significant premium to MEGA and TV's own</t>
  </si>
  <si>
    <t>Will be cautious</t>
  </si>
  <si>
    <t>Happy with a merger of equals</t>
  </si>
  <si>
    <t>Some synergies from procurement…</t>
  </si>
  <si>
    <t>Hard to get many..been very lean from an opex stand point</t>
  </si>
  <si>
    <t>Shares in combined company…upside to them</t>
  </si>
  <si>
    <t>UNI call</t>
  </si>
  <si>
    <t>Ad is up 28% y/y in Q1…how to think about this for FY 20</t>
  </si>
  <si>
    <t>How to think about investments in Content in 2021</t>
  </si>
  <si>
    <t>UNI was down y/y in Q1…phasing</t>
  </si>
  <si>
    <t>EBITDA from residual parts of content</t>
  </si>
  <si>
    <t>Keeping some legacy assets, licences, spectrum, real estate - generate EBITDA</t>
  </si>
  <si>
    <t>How much differentiated Content should UNI-TV have, vs linear channels</t>
  </si>
  <si>
    <t>Thoughts on AVOD migration to SVOD</t>
  </si>
  <si>
    <t>Netflix invest a ton of money in Spanish language?</t>
  </si>
  <si>
    <t>GDP exp at 5%</t>
  </si>
  <si>
    <t>Private consumption to be up 4.2%, having been down 10.5%</t>
  </si>
  <si>
    <t>Patricio (Content)</t>
  </si>
  <si>
    <t>UNI share well above main competitor</t>
  </si>
  <si>
    <t>Salvi (cable)</t>
  </si>
  <si>
    <t>Video losses, taking BB only</t>
  </si>
  <si>
    <t>2m homes passed…extra spend</t>
  </si>
  <si>
    <t>deploying FTTH</t>
  </si>
  <si>
    <t>Guadalajara</t>
  </si>
  <si>
    <t>Cable capex - $850m</t>
  </si>
  <si>
    <t>$200m increase by expansion</t>
  </si>
  <si>
    <t>per home passed</t>
  </si>
  <si>
    <t>BB penetration continues to be low</t>
  </si>
  <si>
    <t>A lot of DSL</t>
  </si>
  <si>
    <t>Pen in some markets are relatively high</t>
  </si>
  <si>
    <t>Expansion - aside from Telmex, who is there?</t>
  </si>
  <si>
    <t>Blue Telecom Cell (wireless)</t>
  </si>
  <si>
    <t>Sports offer</t>
  </si>
  <si>
    <t>Balance sheet, 2.0x</t>
  </si>
  <si>
    <t>Thoughts on ability to consolidate cable market?</t>
  </si>
  <si>
    <t>Global streaming platform in early 2022</t>
  </si>
  <si>
    <t>$3.3 bn in cash</t>
  </si>
  <si>
    <t>30% content to be produced nationally?</t>
  </si>
  <si>
    <t>Rejalisco….revs in 2020 and 2021</t>
  </si>
  <si>
    <t>what is this?</t>
  </si>
  <si>
    <t>Video…trends</t>
  </si>
  <si>
    <t>lower income groups</t>
  </si>
  <si>
    <t>pen in Mexico…people continue to watch</t>
  </si>
  <si>
    <t>EBITDA (post-synergies)</t>
  </si>
  <si>
    <t>5-600</t>
  </si>
  <si>
    <t>2-300</t>
  </si>
  <si>
    <t>Equity FCF</t>
  </si>
  <si>
    <t>Deal construction Eq Value</t>
  </si>
  <si>
    <t>% Eq FCF Yield</t>
  </si>
  <si>
    <t>Donna Speciale</t>
  </si>
  <si>
    <t>President of Sales and Marketing</t>
  </si>
  <si>
    <t>Linear, vs digital less relevant</t>
  </si>
  <si>
    <t>Hispanic vs English language - looking more holistically</t>
  </si>
  <si>
    <t>Wade Davis</t>
  </si>
  <si>
    <t>UNI is a "foundation" in the Hispanic comm</t>
  </si>
  <si>
    <t>There is no Spanish language streaming</t>
  </si>
  <si>
    <t>Launched Prende TV one month ago</t>
  </si>
  <si>
    <t>Acquired VIX…othre Spanish language on demand</t>
  </si>
  <si>
    <t>will be part of in next few months</t>
  </si>
  <si>
    <t>1m active users within 1 month</t>
  </si>
  <si>
    <t>5-5.5m active users</t>
  </si>
  <si>
    <t>TV deal</t>
  </si>
  <si>
    <t>Puts us on the map. A global powerhouse</t>
  </si>
  <si>
    <t>Close this year</t>
  </si>
  <si>
    <t>Streaming service</t>
  </si>
  <si>
    <t>Have own IP, sports</t>
  </si>
  <si>
    <t>Production studios, complete control - huge asset to Advertisers</t>
  </si>
  <si>
    <t>Clients and brands will see benefits of this up front</t>
  </si>
  <si>
    <t>45 channels</t>
  </si>
  <si>
    <t>30,000 hours of Content</t>
  </si>
  <si>
    <t>Across all genres</t>
  </si>
  <si>
    <t>24/7 Live news</t>
  </si>
  <si>
    <t>Kids channels</t>
  </si>
  <si>
    <t>AVOD and free</t>
  </si>
  <si>
    <t>Very important to Wade</t>
  </si>
  <si>
    <t>Feedback</t>
  </si>
  <si>
    <t>Spend time is 2 hours per day</t>
  </si>
  <si>
    <t>A lot of repeat visitors coming</t>
  </si>
  <si>
    <t>Launch partners came in, happy at this stage</t>
  </si>
  <si>
    <t>More of a linear experience</t>
  </si>
  <si>
    <t>Good for navigation also</t>
  </si>
  <si>
    <t>Also a On-demand part as well</t>
  </si>
  <si>
    <t>Live sport</t>
  </si>
  <si>
    <t>Everything in front of the paywall</t>
  </si>
  <si>
    <t>Commercial loads, Advertisers</t>
  </si>
  <si>
    <t>Consumer experience is key</t>
  </si>
  <si>
    <t xml:space="preserve">7.5-8 mins/hour </t>
  </si>
  <si>
    <t>Pods are only 90 secs</t>
  </si>
  <si>
    <t>Sponser a channel</t>
  </si>
  <si>
    <t>Buy by genre</t>
  </si>
  <si>
    <t>Audience targeting</t>
  </si>
  <si>
    <t>Looking at new Ad formats</t>
  </si>
  <si>
    <t>Testing pause Ads</t>
  </si>
  <si>
    <t>Service is broadening reach</t>
  </si>
  <si>
    <t>Younger, bi-lingual, second and third generation Hispanics</t>
  </si>
  <si>
    <t>Goal LT - resource for ALL US Hispanics</t>
  </si>
  <si>
    <t>Come to us</t>
  </si>
  <si>
    <t>Soccer appeals to e/one</t>
  </si>
  <si>
    <t>New also at the heart of the UNI community</t>
  </si>
  <si>
    <t>Fits with linear?</t>
  </si>
  <si>
    <t>See all as one, despite local stations</t>
  </si>
  <si>
    <t>Audience targeting is key….18-45 is the wrong approach</t>
  </si>
  <si>
    <t>1900 Advertisers, 400 in Spanish language</t>
  </si>
  <si>
    <t>Pharma and Tech have very low representation</t>
  </si>
  <si>
    <t>Education…a lot of Advertisers don’t watch the channels</t>
  </si>
  <si>
    <t>Learn about the product</t>
  </si>
  <si>
    <t>Biz dev team out doing this</t>
  </si>
  <si>
    <t>A lot more work to do</t>
  </si>
  <si>
    <t>This is marketing 101</t>
  </si>
  <si>
    <t>Find new users</t>
  </si>
  <si>
    <t>16m Hispanics and growing</t>
  </si>
  <si>
    <t>If you don't target this audience, it's not sticking</t>
  </si>
  <si>
    <t>When brands come to UNI they are hooked for life</t>
  </si>
  <si>
    <t>Hispanic was "segmented" historically</t>
  </si>
  <si>
    <t>Nice to have</t>
  </si>
  <si>
    <t>Clients now realising you're missing out unless you reach this audience</t>
  </si>
  <si>
    <t>Upfront begins in 2 weeks</t>
  </si>
  <si>
    <t>Talked to advertisers ahead of this, and economy is coming back</t>
  </si>
  <si>
    <t>Market coming back, scatter is on fire</t>
  </si>
  <si>
    <t>Losing eyeballs in English language, then pivot to Hispanic community</t>
  </si>
  <si>
    <t>grow your business</t>
  </si>
  <si>
    <t>UNI is a lot cheaper</t>
  </si>
  <si>
    <t>CPMs in prime are much cheaper than English language</t>
  </si>
  <si>
    <t>UNI is not losing a linear audience</t>
  </si>
  <si>
    <t>Built Prende not to replace linear, but to add on</t>
  </si>
  <si>
    <t>Marketing to clients today?</t>
  </si>
  <si>
    <t>Pushing $100m of marketing</t>
  </si>
  <si>
    <t>To own audience, but also outside. Talking to partners to help with marketing</t>
  </si>
  <si>
    <t>Client feedback</t>
  </si>
  <si>
    <t>What took you so long. UNI seen more traditionally, not investing in digital</t>
  </si>
  <si>
    <t>AC (12 May 2021)</t>
  </si>
  <si>
    <t>Pluto</t>
  </si>
  <si>
    <t>$1.50</t>
  </si>
  <si>
    <t>know streaming revs</t>
  </si>
  <si>
    <t>know MAU</t>
  </si>
  <si>
    <t>&gt;100%</t>
  </si>
  <si>
    <t>$1 billion run-rate</t>
  </si>
  <si>
    <t>MT think nearer $2</t>
  </si>
  <si>
    <t>Full AVOD also</t>
  </si>
  <si>
    <t xml:space="preserve">Fubo </t>
  </si>
  <si>
    <t>Hulu Live TV</t>
  </si>
  <si>
    <t>$10 of Ad ARPU</t>
  </si>
  <si>
    <t>Discovery +</t>
  </si>
  <si>
    <t>$5</t>
  </si>
  <si>
    <t>3-4 mins</t>
  </si>
  <si>
    <t>3 hours</t>
  </si>
  <si>
    <t>LTE penetration</t>
  </si>
  <si>
    <t>Wireless usage…?</t>
  </si>
  <si>
    <t>Cannibalisation</t>
  </si>
  <si>
    <t xml:space="preserve">Linear- ratings down </t>
  </si>
  <si>
    <t>Monetisation to App</t>
  </si>
  <si>
    <t>if eyeballs move to App, revenue uplift</t>
  </si>
  <si>
    <t>Net positive on this basis</t>
  </si>
  <si>
    <t>If advertisers</t>
  </si>
  <si>
    <t>Advertisers today - large companies</t>
  </si>
  <si>
    <t>App can be more specific</t>
  </si>
  <si>
    <t>are they ready to target on individual level</t>
  </si>
  <si>
    <t>22 million  to 30 million</t>
  </si>
  <si>
    <t>not super differentiated</t>
  </si>
  <si>
    <t>TV sign Google deal</t>
  </si>
  <si>
    <t>Viac streaming at Pluto</t>
  </si>
  <si>
    <t>Dynamic ad insertion engine</t>
  </si>
  <si>
    <t>Marcelo v good</t>
  </si>
  <si>
    <t>Masa's golden boy - Sprint, WeWork</t>
  </si>
  <si>
    <t>Running LatAm fund</t>
  </si>
  <si>
    <t>$5-6 billon fund, internally funded</t>
  </si>
  <si>
    <t>Ad wanted access to Netflix subs</t>
  </si>
  <si>
    <t>UNI reporting on Friday</t>
  </si>
  <si>
    <t>$2-3 ARPU</t>
  </si>
  <si>
    <t>IPO</t>
  </si>
  <si>
    <t>12 months after deal close</t>
  </si>
  <si>
    <t>Upfronts smooth</t>
  </si>
  <si>
    <t>Pierre Luigi from Viacom</t>
  </si>
  <si>
    <t>Donna</t>
  </si>
  <si>
    <t>Google involvement is key</t>
  </si>
  <si>
    <t>No1 running streaming</t>
  </si>
  <si>
    <t>Cloud DVR, unlimited resources</t>
  </si>
  <si>
    <t>Prende launched quickly once Wade came in</t>
  </si>
  <si>
    <t>Pre Q2</t>
  </si>
  <si>
    <t>Similar to Q1</t>
  </si>
  <si>
    <t>Q2 give some advertising for free, private sector pulls back</t>
  </si>
  <si>
    <t>Network/subsc</t>
  </si>
  <si>
    <t>Too optimistic</t>
  </si>
  <si>
    <t>3% sequential FX move</t>
  </si>
  <si>
    <t>Licencing</t>
  </si>
  <si>
    <t>A little high, also</t>
  </si>
  <si>
    <t>UNI of $100m in Q2, not too much sequential increase</t>
  </si>
  <si>
    <t>V strong econ recovery</t>
  </si>
  <si>
    <t>April unemployment rate 4.5%, from 4.2% in March</t>
  </si>
  <si>
    <t>Still well above 3% levels in 2017-19</t>
  </si>
  <si>
    <t>Been more cautious adding RGUs</t>
  </si>
  <si>
    <t>Softer RGUs</t>
  </si>
  <si>
    <t>gradually improve in Q3 and Q4</t>
  </si>
  <si>
    <t>Net adds better following 2m HPs in 2022 and 23</t>
  </si>
  <si>
    <t>Year 3: 30-35%</t>
  </si>
  <si>
    <t>Unemployment</t>
  </si>
  <si>
    <t>something of a lag</t>
  </si>
  <si>
    <t>some right sizing early 2021</t>
  </si>
  <si>
    <t>Ad advertising strongly…</t>
  </si>
  <si>
    <t>Hire going forward</t>
  </si>
  <si>
    <t>Softer net adds also</t>
  </si>
  <si>
    <t>Revs closer to Q1 levels</t>
  </si>
  <si>
    <t>Stronger than Q1…but not too much bigger</t>
  </si>
  <si>
    <t>25% capacity in Azteca Stadium, casinos. Q2 level perhaps by Q4</t>
  </si>
  <si>
    <t>Consolidated revenue</t>
  </si>
  <si>
    <t>High single digits</t>
  </si>
  <si>
    <t>We're slightly high</t>
  </si>
  <si>
    <t>FY 21 same as FY 19</t>
  </si>
  <si>
    <t>MXN22 billion</t>
  </si>
  <si>
    <t>sporting events in Q3 and Q4</t>
  </si>
  <si>
    <t>Euros</t>
  </si>
  <si>
    <t>Concaf Nations League</t>
  </si>
  <si>
    <t>Olympics</t>
  </si>
  <si>
    <t>Elections coverage</t>
  </si>
  <si>
    <t>low double digit growth makes sense</t>
  </si>
  <si>
    <t>footprint expansion…renting stores, hiring of people</t>
  </si>
  <si>
    <t>y/y down 50bps</t>
  </si>
  <si>
    <t>some improvement in margins</t>
  </si>
  <si>
    <t xml:space="preserve">Q2 uplift is too much </t>
  </si>
  <si>
    <t>slightly up on Q1</t>
  </si>
  <si>
    <t>FY 21 margin should be &lt;40%</t>
  </si>
  <si>
    <t>FY EBITDA</t>
  </si>
  <si>
    <t>We're a touch too high</t>
  </si>
  <si>
    <t>UNI thoughts (Jun 23)</t>
  </si>
  <si>
    <t>Per year</t>
  </si>
  <si>
    <t>Mexico and US</t>
  </si>
  <si>
    <t>Subs today</t>
  </si>
  <si>
    <t>Netflix LatAm</t>
  </si>
  <si>
    <t>ex-Brazil</t>
  </si>
  <si>
    <t>&gt;1000</t>
  </si>
  <si>
    <t>MAUs, million (global)</t>
  </si>
  <si>
    <t>Revs/MAU/month</t>
  </si>
  <si>
    <t>Average usage per user / month (hours)</t>
  </si>
  <si>
    <t>Average usage per user / day (hours)</t>
  </si>
  <si>
    <t>Ad mins per user / hour</t>
  </si>
  <si>
    <t>Ad mins per user / day</t>
  </si>
  <si>
    <t>Ad mins per user / month</t>
  </si>
  <si>
    <t>Total Ad mins / month, million</t>
  </si>
  <si>
    <t>Total Ad mins / quarter, million</t>
  </si>
  <si>
    <t>$ per minute</t>
  </si>
  <si>
    <t>$ cents per Ad minute</t>
  </si>
  <si>
    <t>Hours streamed per week, million</t>
  </si>
  <si>
    <t>Mins per hour of Ad</t>
  </si>
  <si>
    <t>Mins per week</t>
  </si>
  <si>
    <t>Mins per month</t>
  </si>
  <si>
    <t>Implied revenue per month, USD million</t>
  </si>
  <si>
    <t>MAUs</t>
  </si>
  <si>
    <t>Hours streamed, millions</t>
  </si>
  <si>
    <t>Hours streamed per MAU per Q</t>
  </si>
  <si>
    <t>Hours streamed per day</t>
  </si>
  <si>
    <t>Mins streamed per day</t>
  </si>
  <si>
    <t>Total hours Prende TV</t>
  </si>
  <si>
    <t>30 mins</t>
  </si>
  <si>
    <t>4 breaks, with 6 commercials of 20-30 sec</t>
  </si>
  <si>
    <t>Per hour</t>
  </si>
  <si>
    <t>Ad mins</t>
  </si>
  <si>
    <t>Hours / day</t>
  </si>
  <si>
    <t>Assumed ARPU, $</t>
  </si>
  <si>
    <t>Per minute</t>
  </si>
  <si>
    <t>Public channels</t>
  </si>
  <si>
    <t>8 mins, can go up to 12</t>
  </si>
  <si>
    <t>14-18 minutes</t>
  </si>
  <si>
    <t>Q2 2021 results</t>
  </si>
  <si>
    <t>2m homes passed, made any progress here?</t>
  </si>
  <si>
    <t>on track</t>
  </si>
  <si>
    <t>500,000 already</t>
  </si>
  <si>
    <t>sales process begun, started 2 weeks ago</t>
  </si>
  <si>
    <t>25% of FTTH</t>
  </si>
  <si>
    <t>help to gradually accelerate</t>
  </si>
  <si>
    <t>competitor response?</t>
  </si>
  <si>
    <t>when will you accelerate adds again?</t>
  </si>
  <si>
    <t>demand to service to grow</t>
  </si>
  <si>
    <t>don’t expect H2</t>
  </si>
  <si>
    <t>strengthening promotions</t>
  </si>
  <si>
    <t>In short-term, 1/ demand is returning to lower levels… 2/ economy is bouncing back</t>
  </si>
  <si>
    <t>promoting more aggressively</t>
  </si>
  <si>
    <t>Cable expansion</t>
  </si>
  <si>
    <t>expect adoption to accelerate</t>
  </si>
  <si>
    <t>pre-paid, sports content</t>
  </si>
  <si>
    <t>Dedicate bulk of capacity to cellular service</t>
  </si>
  <si>
    <t>Ratio of Ad $s relative to linear TV market. 15-18% in US at the moment, growing v quickly</t>
  </si>
  <si>
    <t>AVOD doesn’t really exist today</t>
  </si>
  <si>
    <t>Soft launch</t>
  </si>
  <si>
    <t>High numbers of those watching</t>
  </si>
  <si>
    <t>Will continue as is for time being</t>
  </si>
  <si>
    <t>Deal close by YE</t>
  </si>
  <si>
    <t xml:space="preserve">Already producing premium content </t>
  </si>
  <si>
    <t>Set to lose out</t>
  </si>
  <si>
    <t>$400m in 2022</t>
  </si>
  <si>
    <t>AT&amp;T 3m FTTH next 5 years. 15m already, targeting 30m. Supply chain</t>
  </si>
  <si>
    <t>Under pressure from MEGA/TV also</t>
  </si>
  <si>
    <t>HFC to FTTH - some tech issues apparently</t>
  </si>
  <si>
    <t>Should fair better</t>
  </si>
  <si>
    <t>Targeting new cities</t>
  </si>
  <si>
    <t>2m homes passed by YE</t>
  </si>
  <si>
    <t>Thereafter, want to be the leading high speed BB provider. Nationwide where it makes sense</t>
  </si>
  <si>
    <t>MEGA at 50% with FTTH</t>
  </si>
  <si>
    <t>4.5m with FTTH</t>
  </si>
  <si>
    <t>chose because saw Totalplay enter the regions</t>
  </si>
  <si>
    <t>2m is TV target of remaining 4.5m homes</t>
  </si>
  <si>
    <t xml:space="preserve">Balance would be another 2.5m HPs of underinvested MEGA or </t>
  </si>
  <si>
    <t>1.4-1.5m homes by Q3. 2m by YE</t>
  </si>
  <si>
    <t>2022 - range of 500k to 2m homes</t>
  </si>
  <si>
    <t>Revert to 500k per homes in 2023, in-line with HH formation</t>
  </si>
  <si>
    <t>$650-800m for cable capex for 2022</t>
  </si>
  <si>
    <t>$600-650m</t>
  </si>
  <si>
    <t>Through to 2025</t>
  </si>
  <si>
    <t>$600m in 24/25</t>
  </si>
  <si>
    <t>Raised $600m, 3.7x oversubscribed</t>
  </si>
  <si>
    <t>6 years</t>
  </si>
  <si>
    <t>Q3 momentum</t>
  </si>
  <si>
    <t>Relatively stable</t>
  </si>
  <si>
    <t>Net adds slowdown continues….12m contract expires from Q2 20 adds</t>
  </si>
  <si>
    <t>Back to school</t>
  </si>
  <si>
    <t>Still add some subscribers</t>
  </si>
  <si>
    <t>Hangover effect</t>
  </si>
  <si>
    <t>Raised prices in August…churn pushed up a little</t>
  </si>
  <si>
    <t>2m homes passing</t>
  </si>
  <si>
    <t>More evidence in 2022/23</t>
  </si>
  <si>
    <t>500k/year before</t>
  </si>
  <si>
    <t>800k in 2019</t>
  </si>
  <si>
    <t>1.4m in 2020</t>
  </si>
  <si>
    <t>Pen of 40% on the cable</t>
  </si>
  <si>
    <t>Want to be largest high speed provider</t>
  </si>
  <si>
    <t>mid-single digit revenue</t>
  </si>
  <si>
    <t>check elims</t>
  </si>
  <si>
    <t>RGUs softer</t>
  </si>
  <si>
    <t>lack of renewal of certain packages. 2nd homes for ex (3-play)</t>
  </si>
  <si>
    <t>Unemployment rate of 4% remains high</t>
  </si>
  <si>
    <t>End-Q2, 500k HPs out of 2m</t>
  </si>
  <si>
    <t>70-75% by YE of this target</t>
  </si>
  <si>
    <t>Izzy appeal</t>
  </si>
  <si>
    <t>TV content, MEGA don’t carry pay TV of TV, have both the soccer for state of Jalisco</t>
  </si>
  <si>
    <t>FTTH…better quality, higher internet speeds</t>
  </si>
  <si>
    <t>Already knew there would be slowdown</t>
  </si>
  <si>
    <t>Pricing in new areas</t>
  </si>
  <si>
    <t>Some kind of promotions</t>
  </si>
  <si>
    <t>12m period they step down again</t>
  </si>
  <si>
    <t>remain stable y/y, EBITDA also mid-single digiti</t>
  </si>
  <si>
    <t>margin stability</t>
  </si>
  <si>
    <t>2m</t>
  </si>
  <si>
    <t>Year 1</t>
  </si>
  <si>
    <t>20-25%</t>
  </si>
  <si>
    <t>30-35%</t>
  </si>
  <si>
    <t>Not quite like Br where no other players</t>
  </si>
  <si>
    <t>Not a 4 player market?</t>
  </si>
  <si>
    <t>FY: 13%</t>
  </si>
  <si>
    <t>But weaker in Q3</t>
  </si>
  <si>
    <t>Revenue - low to mid single digit vs 2019</t>
  </si>
  <si>
    <t>Govt a factor</t>
  </si>
  <si>
    <t>Private &gt; low double digit</t>
  </si>
  <si>
    <t>Government will keep losing share</t>
  </si>
  <si>
    <t>No tourism Advertising just yet</t>
  </si>
  <si>
    <t>Potential tailwind in 2022</t>
  </si>
  <si>
    <t>Need to lift…2% too low</t>
  </si>
  <si>
    <t>World Cup again</t>
  </si>
  <si>
    <t>Media for equity</t>
  </si>
  <si>
    <t>Shareholders for startups</t>
  </si>
  <si>
    <t>Helps with brand</t>
  </si>
  <si>
    <t>Sells second hand cars</t>
  </si>
  <si>
    <t>Kavak</t>
  </si>
  <si>
    <t>$8 billion</t>
  </si>
  <si>
    <t>was 5%....not so material now</t>
  </si>
  <si>
    <t>Rappi</t>
  </si>
  <si>
    <t>Helped by Softbank</t>
  </si>
  <si>
    <t>Costs….MXN2 billion up for 2021</t>
  </si>
  <si>
    <t>Absolute EBITDA….down mid-single digit</t>
  </si>
  <si>
    <t>Decline too high for Q4…Q4 should grow low to mid single digits</t>
  </si>
  <si>
    <t>Keep stable sequentially in MXN</t>
  </si>
  <si>
    <t>so flat y/y</t>
  </si>
  <si>
    <t>Licensing &amp; synd</t>
  </si>
  <si>
    <t>No way 10%...$ / peso shift</t>
  </si>
  <si>
    <t>UNI doing well</t>
  </si>
  <si>
    <t>in Q2 21…number of companies advertising through 12%</t>
  </si>
  <si>
    <t>Donna Especiale driving this</t>
  </si>
  <si>
    <t>Telling former clients to be infront of US Hispanics</t>
  </si>
  <si>
    <t>Latest consensus: Hispanic POPs up 23%, 18% of total today. Ad revenue only 2/3%</t>
  </si>
  <si>
    <t>royalties - average of Q1 and Q2 (soccer up mainly in Q2)</t>
  </si>
  <si>
    <t>Low to mid single digits for traditional</t>
  </si>
  <si>
    <t>SVOD - need exclusive…</t>
  </si>
  <si>
    <t>Working on 30 exclusive SVOD products</t>
  </si>
  <si>
    <t>exclusive for a period of time</t>
  </si>
  <si>
    <t>then to pay TV</t>
  </si>
  <si>
    <t>then to AVOD</t>
  </si>
  <si>
    <t>FTA TV also</t>
  </si>
  <si>
    <t>Will start producing</t>
  </si>
  <si>
    <t>Plus all AVOD</t>
  </si>
  <si>
    <t>No hybrid model</t>
  </si>
  <si>
    <t>Similar trends, high unemployment rate</t>
  </si>
  <si>
    <t>Adds churning off somewhat</t>
  </si>
  <si>
    <t>similar, or softer adds</t>
  </si>
  <si>
    <t>prices up also</t>
  </si>
  <si>
    <t>Softer recharge rate</t>
  </si>
  <si>
    <t>sequential decline in Q2 will continue</t>
  </si>
  <si>
    <t>Margins…</t>
  </si>
  <si>
    <t>EBITDA should be down a little more</t>
  </si>
  <si>
    <t>Positive one-off selling radio business. MXN934 million</t>
  </si>
  <si>
    <t>Chat 26 Jan-21</t>
  </si>
  <si>
    <t>Close during Q2</t>
  </si>
  <si>
    <t>Late-Nov from TV/UNI in Mexico sharing outlook for 2022</t>
  </si>
  <si>
    <t xml:space="preserve">First </t>
  </si>
  <si>
    <t>Pf revs</t>
  </si>
  <si>
    <t>implied 8-9%</t>
  </si>
  <si>
    <t>12-13%</t>
  </si>
  <si>
    <t>could be replicated in 2022…high single digit/low double digit</t>
  </si>
  <si>
    <t>Opex synergies in 2023, ~USD200m</t>
  </si>
  <si>
    <t>mostly traditional business</t>
  </si>
  <si>
    <t xml:space="preserve"> 1600 + 200 + op leverage</t>
  </si>
  <si>
    <t>Will start to come through</t>
  </si>
  <si>
    <t>World Cup will help</t>
  </si>
  <si>
    <t>3pp of growth for the pf business, $150m in Mexico + LatAm ex Brazil</t>
  </si>
  <si>
    <t>50% margin</t>
  </si>
  <si>
    <t>Univision does not have US rights</t>
  </si>
  <si>
    <t>US elections favourable for UNI</t>
  </si>
  <si>
    <t>2021 Upfront +38% y/y</t>
  </si>
  <si>
    <t>Launch in H2, limited impact</t>
  </si>
  <si>
    <t>AVOD H1</t>
  </si>
  <si>
    <t>SVOD H2</t>
  </si>
  <si>
    <t>US traditional doing very well</t>
  </si>
  <si>
    <t>Some EBITDA streaming losses</t>
  </si>
  <si>
    <t>significant..?</t>
  </si>
  <si>
    <t>launch of new platform, an Android platform</t>
  </si>
  <si>
    <t>marketing, Content production</t>
  </si>
  <si>
    <t>But there will be no split</t>
  </si>
  <si>
    <t>US - closed upfronts in Q3</t>
  </si>
  <si>
    <t>Ad deposits of 38%</t>
  </si>
  <si>
    <t>higher pricing and volume</t>
  </si>
  <si>
    <t>UNI - v positive trends…Q3 21 share of audience to 6.3%, 6.9% in Q3</t>
  </si>
  <si>
    <t>$1.4 billion Content budget for TV is all new content, not including sports rights</t>
  </si>
  <si>
    <t>2020 pro-forma</t>
  </si>
  <si>
    <t>30-40 new series per year, which should allow attraction and retention of subs</t>
  </si>
  <si>
    <t>AVOD - mainly existing content library, same as FTA, SVOD exclusivity and then available to pay TV networks</t>
  </si>
  <si>
    <t>then AVOD</t>
  </si>
  <si>
    <t>then FTA</t>
  </si>
  <si>
    <t>New execs at UNI</t>
  </si>
  <si>
    <t>Old management felt UNI should have a pricing discount</t>
  </si>
  <si>
    <t>narrowing this discount</t>
  </si>
  <si>
    <t>S&amp;M pitching to US Hispanics</t>
  </si>
  <si>
    <t>You Tube deal closed</t>
  </si>
  <si>
    <t>15 days for UNI</t>
  </si>
  <si>
    <t>Q4 21 full quarter … very positive</t>
  </si>
  <si>
    <t>Solid recovery in Ad revenue</t>
  </si>
  <si>
    <t xml:space="preserve">Low double digit for FY 21 .. Only slightly below 2019 levels, </t>
  </si>
  <si>
    <t>Due to economy</t>
  </si>
  <si>
    <t>Govt not advertising</t>
  </si>
  <si>
    <t>Pretty decent</t>
  </si>
  <si>
    <t>Not so much upside as US</t>
  </si>
  <si>
    <t>Healthier growth than in the past</t>
  </si>
  <si>
    <t>Media for Equity</t>
  </si>
  <si>
    <t>VC business</t>
  </si>
  <si>
    <t>Ad space to companies where gain an equity stake</t>
  </si>
  <si>
    <t>IPO - $5 billion</t>
  </si>
  <si>
    <t>Kavac</t>
  </si>
  <si>
    <t>$ 8 billion</t>
  </si>
  <si>
    <t>8 investments…7 companies, 4 in Unicorns</t>
  </si>
  <si>
    <t>Still not big relative to TV market cap</t>
  </si>
  <si>
    <t>Shows relevance of FTA TV</t>
  </si>
  <si>
    <t>Rappi guy on TV Board</t>
  </si>
  <si>
    <t>Positive impact of footprint expansion</t>
  </si>
  <si>
    <t>150,000 adds in Q1 then slowed. Q4 - significant adds</t>
  </si>
  <si>
    <t>internet</t>
  </si>
  <si>
    <t>100k in Q1, Q4 will be half of this, x2 as much as Q3</t>
  </si>
  <si>
    <t>video</t>
  </si>
  <si>
    <t>no disconnections, slightly positive</t>
  </si>
  <si>
    <t>voice</t>
  </si>
  <si>
    <t>decent</t>
  </si>
  <si>
    <t>500k out of the 2m in H1</t>
  </si>
  <si>
    <t>early Q3 launched in Guad</t>
  </si>
  <si>
    <t>800k by end Q3</t>
  </si>
  <si>
    <t>Q4 remaining 700k passed</t>
  </si>
  <si>
    <t>end Q4, launched 2 more cities</t>
  </si>
  <si>
    <t>2 more cities</t>
  </si>
  <si>
    <t>need to pass in TV areas, takes planning network deployment</t>
  </si>
  <si>
    <t>more talk, starting in October - need to secure supplies</t>
  </si>
  <si>
    <t>2.5m homes per year, need huge amount of fibre</t>
  </si>
  <si>
    <t>"MEGA"</t>
  </si>
  <si>
    <t>USD 50 to pass</t>
  </si>
  <si>
    <t>USD75</t>
  </si>
  <si>
    <t>25% pen</t>
  </si>
  <si>
    <t>USD 150 to connect</t>
  </si>
  <si>
    <t>Only 25% homes can be passed</t>
  </si>
  <si>
    <t>60% homes</t>
  </si>
  <si>
    <t>Would need additional invs</t>
  </si>
  <si>
    <t>might need to reduce this..</t>
  </si>
  <si>
    <t>End Q3 with 13m HPs, 17m HPs by Q1</t>
  </si>
  <si>
    <t>More focus on connecting homes</t>
  </si>
  <si>
    <t>HPs</t>
  </si>
  <si>
    <t>Cable revs will slow, lag impact coming in 2022</t>
  </si>
  <si>
    <t>below mid single</t>
  </si>
  <si>
    <t>Adds will be good</t>
  </si>
  <si>
    <t>EBITDA - similar trends…but growth here than revs</t>
  </si>
  <si>
    <t>Grow</t>
  </si>
  <si>
    <t>Low to mid single</t>
  </si>
  <si>
    <t>44% margin in Q4 21</t>
  </si>
  <si>
    <t>FY - high single digit revs and EBITDA for FY 21</t>
  </si>
  <si>
    <t>Struggling a little, back to school</t>
  </si>
  <si>
    <t>Higher content costs, sports etc, more live events and more aggressive bidders</t>
  </si>
  <si>
    <t>revs decline low to mid single digit</t>
  </si>
  <si>
    <t>recharges stable through Q4</t>
  </si>
  <si>
    <t>FY declines mid to high single digit</t>
  </si>
  <si>
    <t>amortising sports rights from Q4</t>
  </si>
  <si>
    <t>not yet World Cup, coming through in 2022</t>
  </si>
  <si>
    <t>7% for FY declines</t>
  </si>
  <si>
    <t>2022 OpEx</t>
  </si>
  <si>
    <t>tougher to bring additional revs in WC, particularly as in Q4. Previously convince subs to take up one Q in advance</t>
  </si>
  <si>
    <t>recharge consistently, can watch the 16 matches</t>
  </si>
  <si>
    <t>very challenging…some sort of extra revs in Q4 22, in 2023 also</t>
  </si>
  <si>
    <t>AMX pay TV rights?</t>
  </si>
  <si>
    <t>AT&amp;T leaving Mexico</t>
  </si>
  <si>
    <t>Press conf from AMX yesterday</t>
  </si>
  <si>
    <t>Feb 16th - TVUNI brand launch</t>
  </si>
  <si>
    <t>Pierluigi Gazzolo</t>
  </si>
  <si>
    <t>1000's of hours exclusively for streaming</t>
  </si>
  <si>
    <t>Strong promotional footprint</t>
  </si>
  <si>
    <t>investing to acquire other users</t>
  </si>
  <si>
    <t xml:space="preserve">Apr-21 Prende TV launched. A pilot. </t>
  </si>
  <si>
    <t>No 1 Spanish language ents App in all platforms in the US</t>
  </si>
  <si>
    <t>Originally produced Content in Spanish, reflecting different cultures of LatAm</t>
  </si>
  <si>
    <t>Vix</t>
  </si>
  <si>
    <t>Vix +</t>
  </si>
  <si>
    <t>US, Mexico, 19 countries in LatAm</t>
  </si>
  <si>
    <t>Mar 31st 2022 AVOD</t>
  </si>
  <si>
    <t>Linear, plus VOD</t>
  </si>
  <si>
    <t>H2 22 - SVOD</t>
  </si>
  <si>
    <t>Paid</t>
  </si>
  <si>
    <t>1 year, 50,000 hours in Year 1, free and paid</t>
  </si>
  <si>
    <t>Rafael Urbina</t>
  </si>
  <si>
    <t>Long form ents + Live sports and news</t>
  </si>
  <si>
    <t xml:space="preserve">Novelas </t>
  </si>
  <si>
    <t>300,000 hours to choose from</t>
  </si>
  <si>
    <t>Partnered with producers</t>
  </si>
  <si>
    <t>Lionsgate, MGM, Disney</t>
  </si>
  <si>
    <t>Lower Ad load than traditional TV</t>
  </si>
  <si>
    <t>100 linear channels also, branded channels</t>
  </si>
  <si>
    <t>EPG</t>
  </si>
  <si>
    <t>BEIN Sports Extra</t>
  </si>
  <si>
    <t>Kids TV channels</t>
  </si>
  <si>
    <t>News and sports also</t>
  </si>
  <si>
    <t>Spanish in US consumer a lot of news, more than non Hispanics</t>
  </si>
  <si>
    <t>Jorge Ramos - famous news anchor</t>
  </si>
  <si>
    <t>Brand new show</t>
  </si>
  <si>
    <t>News hub with top international channels</t>
  </si>
  <si>
    <t>Best live and exclusive soccer. Game of week</t>
  </si>
  <si>
    <t>Zona Tudn - 24 hours sports news</t>
  </si>
  <si>
    <t>Vix+</t>
  </si>
  <si>
    <t>Ridrigo Mazon</t>
  </si>
  <si>
    <t>Single Click</t>
  </si>
  <si>
    <t>10,000 hours of Content</t>
  </si>
  <si>
    <t>Year 1 - 50 premiers, 1 new per week</t>
  </si>
  <si>
    <t xml:space="preserve">Travesuras de la nina </t>
  </si>
  <si>
    <t>Pinches Momias</t>
  </si>
  <si>
    <t>Maria Duenas - Los Artistas</t>
  </si>
  <si>
    <t>3-Pas studios</t>
  </si>
  <si>
    <t>Eugenio Derbez</t>
  </si>
  <si>
    <t>Freedom and budget to try new things and take risks</t>
  </si>
  <si>
    <t>Salma Hayek</t>
  </si>
  <si>
    <t>Partner studios</t>
  </si>
  <si>
    <t xml:space="preserve">Reboot 80s hit </t>
  </si>
  <si>
    <t>La Hora Marcada</t>
  </si>
  <si>
    <t>Nautilus</t>
  </si>
  <si>
    <t>las Pelotaris</t>
  </si>
  <si>
    <t>Own production studios also</t>
  </si>
  <si>
    <t>Telenovelas also</t>
  </si>
  <si>
    <t>Senda Prohibida - 1st ever Telenovella</t>
  </si>
  <si>
    <t>Mas Alla de Ti</t>
  </si>
  <si>
    <t>La Mujer del Diablo</t>
  </si>
  <si>
    <t>VideoCine - will go straight to Vix +</t>
  </si>
  <si>
    <t>Worlds preminent soccer</t>
  </si>
  <si>
    <t>3000 live games  year</t>
  </si>
  <si>
    <t xml:space="preserve">US soccer </t>
  </si>
  <si>
    <t>UEFA CL</t>
  </si>
  <si>
    <t>Home of Mexico soccer, Mex national team</t>
  </si>
  <si>
    <t>2022 World Cup…best coverage in Mexico</t>
  </si>
  <si>
    <t>Docuseries (sports)</t>
  </si>
  <si>
    <t>Q4 21 call</t>
  </si>
  <si>
    <t>Other operating expenses (ex gain), Corporate expenses?</t>
  </si>
  <si>
    <t>Launch date early Q3?</t>
  </si>
  <si>
    <t>Prende TV subs</t>
  </si>
  <si>
    <t>Any sort of targets or aspirations</t>
  </si>
  <si>
    <t>Synergies coming through, $150-200m</t>
  </si>
  <si>
    <t>Streaming to cannibalise linear in LatAm?</t>
  </si>
  <si>
    <t>Capex for 2022 and beyond</t>
  </si>
  <si>
    <t>What seeing from competitors</t>
  </si>
  <si>
    <t>Where in homes passed, where targeting for 2022. Another 2m?</t>
  </si>
  <si>
    <t>What is target penetration?</t>
  </si>
  <si>
    <t>Revenues and EBITDA tough</t>
  </si>
  <si>
    <t>World Cup coming up, what to expect</t>
  </si>
  <si>
    <t>Revs growth strong in 2022 for TVUNI, Mex and US</t>
  </si>
  <si>
    <t>Additional partner content</t>
  </si>
  <si>
    <t>Monetisation World Cup</t>
  </si>
  <si>
    <t>EBITDA stable this year</t>
  </si>
  <si>
    <t>Upfronts. Ad deposits up 13% y/y. best performance in TV history</t>
  </si>
  <si>
    <t>Video - 75% of sales are x3-play</t>
  </si>
  <si>
    <t>2022 - $855m capex, 2m HPs, 17.8m</t>
  </si>
  <si>
    <t>55% are FTTN, FTTH</t>
  </si>
  <si>
    <t>OpEx structure</t>
  </si>
  <si>
    <t>$50m due to transmission from World Cup, otherwise similar in real terms</t>
  </si>
  <si>
    <t>How much offset with revenue?</t>
  </si>
  <si>
    <t>$860m</t>
  </si>
  <si>
    <t>620 for cable, for 700k homes passed</t>
  </si>
  <si>
    <t>200 for SKY</t>
  </si>
  <si>
    <t>40 for Content</t>
  </si>
  <si>
    <t>V different than what VIX will be. Blim is SVOD originally, AVOD, 1m subs transferred to VIX</t>
  </si>
  <si>
    <t>4m users</t>
  </si>
  <si>
    <t>traditional media</t>
  </si>
  <si>
    <t>yes, including AVOD platform on VIX</t>
  </si>
  <si>
    <t>1/ better economics</t>
  </si>
  <si>
    <t>2/ great ratings</t>
  </si>
  <si>
    <t>3/ revamped sales team</t>
  </si>
  <si>
    <t>4/ focusing on selling unique reach</t>
  </si>
  <si>
    <t>5/ included AVOD within upfronts</t>
  </si>
  <si>
    <t>same in US</t>
  </si>
  <si>
    <t>Capex in absolute terms in 2022 same as before</t>
  </si>
  <si>
    <t>Back to stable levels of capex</t>
  </si>
  <si>
    <t>Mid to high 20%s, low in the mid-term</t>
  </si>
  <si>
    <t>Competitive landscape changed over the years</t>
  </si>
  <si>
    <t>Opportunistic</t>
  </si>
  <si>
    <t>1m through to AVOD from Blim</t>
  </si>
  <si>
    <t>45% linear on AVOD</t>
  </si>
  <si>
    <t>Prende TV huge benefit</t>
  </si>
  <si>
    <t>Net adds, sales, helped revenue</t>
  </si>
  <si>
    <t>Cost containment also helping, procurement gains</t>
  </si>
  <si>
    <t>Targeting flat in nominal, except salaries/energy etc.</t>
  </si>
  <si>
    <t>Q1 22 call</t>
  </si>
  <si>
    <t>Growth outlook at TVUNI</t>
  </si>
  <si>
    <t>12% growth, back-end loaded…so on track hit nearer 15%?</t>
  </si>
  <si>
    <t>EBITDA of USD1.55 billion, can you confirm FY 21 pro-forma EBITDA</t>
  </si>
  <si>
    <t>flat to slightly higher</t>
  </si>
  <si>
    <t>TVUNI margins to be ~40% like FY 21…??</t>
  </si>
  <si>
    <t>??</t>
  </si>
  <si>
    <t>FY 22</t>
  </si>
  <si>
    <t>FY EBITDA $1.65 billion</t>
  </si>
  <si>
    <t>streaming…low to mid 30% margins</t>
  </si>
  <si>
    <t>remind me of scale and pacing in Mexico</t>
  </si>
  <si>
    <t>MAUs…? How many were rolled in from existing platforms?</t>
  </si>
  <si>
    <t>are there any existing subscription customers?</t>
  </si>
  <si>
    <t>Mexico or US so far?</t>
  </si>
  <si>
    <t>nothing on numbers yet</t>
  </si>
  <si>
    <t>very happy in progress across all regions</t>
  </si>
  <si>
    <t>SVOD launch</t>
  </si>
  <si>
    <t>any changes to plans</t>
  </si>
  <si>
    <t>speeds?</t>
  </si>
  <si>
    <t>was there any guide?</t>
  </si>
  <si>
    <t>when do you think residential revenue will inflect?</t>
  </si>
  <si>
    <t>Competition - good BB subs from Telmex</t>
  </si>
  <si>
    <t>Penetration in new areas?</t>
  </si>
  <si>
    <t>accelerate revs growth over the coming quarters</t>
  </si>
  <si>
    <t>inflation</t>
  </si>
  <si>
    <t>core?</t>
  </si>
  <si>
    <t>thoughts on selling the asset?</t>
  </si>
  <si>
    <t>Growth back end loaded</t>
  </si>
  <si>
    <t>mid-term elections</t>
  </si>
  <si>
    <t>increased Ad spend in Mex</t>
  </si>
  <si>
    <t>RGUs in cable</t>
  </si>
  <si>
    <t>price increases at SKY</t>
  </si>
  <si>
    <t>Acquisition cost much lower for streaming</t>
  </si>
  <si>
    <t>Google Cloud</t>
  </si>
  <si>
    <t>Moved legacy subs to VIX</t>
  </si>
  <si>
    <t>Streaming Ad sales efforts</t>
  </si>
  <si>
    <t>On track for 15% y/y, and flat of USD1.55 billion</t>
  </si>
  <si>
    <t> In the medium-term, our streaming platform should achieve low-to-mid 30s margin.</t>
  </si>
  <si>
    <t>good so far</t>
  </si>
  <si>
    <t>ease revs declines, stabilise by YE</t>
  </si>
  <si>
    <t>structural decline of DTV?</t>
  </si>
  <si>
    <t>delay in coverage expansion</t>
  </si>
  <si>
    <t>capacity issues</t>
  </si>
  <si>
    <t>price increases in Feb</t>
  </si>
  <si>
    <t>was there any guide..?</t>
  </si>
  <si>
    <t>Revenue outlook for wholesale</t>
  </si>
  <si>
    <t>residential inflection…?</t>
  </si>
  <si>
    <t>one off from project, would have been up 7%</t>
  </si>
  <si>
    <t>price increases like SKY?</t>
  </si>
  <si>
    <t>loss of subs…?</t>
  </si>
  <si>
    <t xml:space="preserve">pre-paid is 85% </t>
  </si>
  <si>
    <t xml:space="preserve">Netflix issues validate VIX </t>
  </si>
  <si>
    <t>hybrid product</t>
  </si>
  <si>
    <t>mexican soccer targeting market</t>
  </si>
  <si>
    <t>VIX+ launch in H2?</t>
  </si>
  <si>
    <t>Yes, will be happy to allow usage. CMCSA/CHTR JV</t>
  </si>
  <si>
    <t>VC arm stated in late 2019</t>
  </si>
  <si>
    <t xml:space="preserve">Streaming note out </t>
  </si>
  <si>
    <t>Cable will be better, growth accelerating</t>
  </si>
  <si>
    <t>growth to accelerate through 2022</t>
  </si>
  <si>
    <t>resi - 3.4% decline. Should start to increase gradually. 50 bps per Q…</t>
  </si>
  <si>
    <t>haven't raised prices yet</t>
  </si>
  <si>
    <t>TV has been a first mover on prices, Total Play benefitted</t>
  </si>
  <si>
    <t>new region ARPU, entering with promotions, but targeting mid/high-end (better service)</t>
  </si>
  <si>
    <t>underlying pricing is similar to rest of country</t>
  </si>
  <si>
    <t>revs / RGU a little lower, as voice arpu is much lower</t>
  </si>
  <si>
    <t>SKY - Q2 better from first from revenue persective</t>
  </si>
  <si>
    <t>yes</t>
  </si>
  <si>
    <t>Q1 declined by 6.2%</t>
  </si>
  <si>
    <t>prices up with inflation in March</t>
  </si>
  <si>
    <t>different with SKY as smaller disposable income</t>
  </si>
  <si>
    <t>March x 12 + Jan/Feb, revs for FY down low to mid single digit</t>
  </si>
  <si>
    <t>4-5%</t>
  </si>
  <si>
    <t>3-4%</t>
  </si>
  <si>
    <t>relatively flat</t>
  </si>
  <si>
    <t>will lose some subs again</t>
  </si>
  <si>
    <t>won't lose so many in Q3 / Q4</t>
  </si>
  <si>
    <t>H1 21 - new subs joining SKY… second home</t>
  </si>
  <si>
    <t>Pre-paid since Aug/Sept - have not been recharging much… not much revenue therefore</t>
  </si>
  <si>
    <t>No usage data today.. Later this year, more numbers</t>
  </si>
  <si>
    <t>Should be able to scale…. 2023…allow neutral impact EBITDA</t>
  </si>
  <si>
    <t>$1.65 billion</t>
  </si>
  <si>
    <t>App downloads in Google - over 5 million since launch</t>
  </si>
  <si>
    <t>Previous subs from Prende, Blim turned into VIX</t>
  </si>
  <si>
    <t>US Upfronts - May, end Q3. Comes though from Q4</t>
  </si>
  <si>
    <t>May - Upfront, CMO, CEO, content planning on launching. Performance of Content</t>
  </si>
  <si>
    <t>10-12% ongoing</t>
  </si>
  <si>
    <t>No slowdown in demand for Ad in US</t>
  </si>
  <si>
    <t>Q4 should be the strongest monetising World Cup</t>
  </si>
  <si>
    <t>Mid-term elections</t>
  </si>
  <si>
    <t>15 for TVUNI</t>
  </si>
  <si>
    <t>EBITDA - Q1 was not in-line with FY</t>
  </si>
  <si>
    <t>USD1.65 billion</t>
  </si>
  <si>
    <t>50% margin on World Cup</t>
  </si>
  <si>
    <t>EBITDA growth in Q4, offsetting</t>
  </si>
  <si>
    <t>US Upfronts</t>
  </si>
  <si>
    <t>Strong demand</t>
  </si>
  <si>
    <t>Advertising in US - 37% of total revenue</t>
  </si>
  <si>
    <t>Low to mid teens</t>
  </si>
  <si>
    <t>Q4 through Q3 2023</t>
  </si>
  <si>
    <t>70% willing to buy through digital</t>
  </si>
  <si>
    <t>38% vs 2020</t>
  </si>
  <si>
    <t>21% versus 2019</t>
  </si>
  <si>
    <t>50% of total revenue</t>
  </si>
  <si>
    <t>less in the US, less willing to sell in the Upfronts</t>
  </si>
  <si>
    <t>spot has premium</t>
  </si>
  <si>
    <t>VIX+ July 21</t>
  </si>
  <si>
    <t>Advertising heavily</t>
  </si>
  <si>
    <t>Selling deals to re-sell</t>
  </si>
  <si>
    <t>Doing pretty well</t>
  </si>
  <si>
    <t>Daily active users</t>
  </si>
  <si>
    <t>900k to 1m daily active users</t>
  </si>
  <si>
    <t>UNI debt</t>
  </si>
  <si>
    <t>50% floating</t>
  </si>
  <si>
    <t>50% fixed</t>
  </si>
  <si>
    <t>Re-financed $300m recently for bond at &gt;9%</t>
  </si>
  <si>
    <t>$1.5 billion</t>
  </si>
  <si>
    <t>FCF profile is very good</t>
  </si>
  <si>
    <t>$550-600m</t>
  </si>
  <si>
    <t>Turnaround at residential cable</t>
  </si>
  <si>
    <t>New homes helping</t>
  </si>
  <si>
    <t>Churn reduction more generally</t>
  </si>
  <si>
    <t>Improving speeds for subscribers</t>
  </si>
  <si>
    <t>250-300 RGUs in Q2</t>
  </si>
  <si>
    <t>Q3 and Q4 also</t>
  </si>
  <si>
    <t>Mix similar in Q1…50% voice, &gt;25% video, &lt;25% internet</t>
  </si>
  <si>
    <t>Residential revenue acceleration…</t>
  </si>
  <si>
    <t>50 bps pick every Q</t>
  </si>
  <si>
    <t>4%, 4.5%, 5.0%</t>
  </si>
  <si>
    <t>Enterprise, not signed up to make up for Refalisco….helped in 2021</t>
  </si>
  <si>
    <t>Government not signed up, interest up, oil subsidies</t>
  </si>
  <si>
    <t>Perhaps H2 better</t>
  </si>
  <si>
    <t>Not raising prices this year</t>
  </si>
  <si>
    <t>Overall cable revenue may decline lightly…1% or so. EBITDA for cable residential up, stronger decline in EBITDA for Enterprise</t>
  </si>
  <si>
    <t>EBITDA for cable should be flat</t>
  </si>
  <si>
    <t>25% is FTTH</t>
  </si>
  <si>
    <t>Need to have some sort of a discount</t>
  </si>
  <si>
    <t>Revenue declined 6-6.5%  in Q1</t>
  </si>
  <si>
    <t>Disconnections stronger than expected</t>
  </si>
  <si>
    <t>175,000 RGU disconnections. Should be 150-200k in Q2 but closer to 250k</t>
  </si>
  <si>
    <t>Will lead to 6-7% revenue declines at SKY</t>
  </si>
  <si>
    <t>Amoritising some World Cup cost…larger maybe 20% declines in Q2</t>
  </si>
  <si>
    <t>Revs to decline now mid-single digits</t>
  </si>
  <si>
    <t>New CEO in Jan-22</t>
  </si>
  <si>
    <t>Telefonica guy</t>
  </si>
  <si>
    <t>Focused on retaining subs….rather than adding new. Recycling the same base</t>
  </si>
  <si>
    <t>Commission to bring back</t>
  </si>
  <si>
    <t>60m people, 16m homes. 150-200k subs</t>
  </si>
  <si>
    <t>$50m of cost/transmission for WC in 2022</t>
  </si>
  <si>
    <t>7 months policy, maybe change to 4 months</t>
  </si>
  <si>
    <t>MXN1.7 billion of revenue in Q2</t>
  </si>
  <si>
    <t>Q2 22 call</t>
  </si>
  <si>
    <t>Red Jalisco</t>
  </si>
  <si>
    <t>1% growth rather than 18% declines y/y, ex this</t>
  </si>
  <si>
    <t>Low single digit revs growth in H2, q/q</t>
  </si>
  <si>
    <t>EBITDA contribution a challenge for rest of year</t>
  </si>
  <si>
    <t>Adds to continue to be solid</t>
  </si>
  <si>
    <t>Turnaround plan at SKY. Approved 2 days ago</t>
  </si>
  <si>
    <t>3 elements</t>
  </si>
  <si>
    <t>1/ Core business</t>
  </si>
  <si>
    <t>2/ Evolve core to OTT</t>
  </si>
  <si>
    <t>3/ Beyond the core</t>
  </si>
  <si>
    <t>SKY pillars</t>
  </si>
  <si>
    <t>1/ Revenue growth -</t>
  </si>
  <si>
    <t>Central America , 60m POPs, large rural population</t>
  </si>
  <si>
    <t>&lt;150,000 subs in the market, &lt;3% share</t>
  </si>
  <si>
    <t>8% TV pen of POPs</t>
  </si>
  <si>
    <t>Sales channel in Mexico</t>
  </si>
  <si>
    <t>70/30 pre paid / post paid</t>
  </si>
  <si>
    <t>Launch a new mobile network</t>
  </si>
  <si>
    <t>addressable market will be SKY wholesale</t>
  </si>
  <si>
    <t xml:space="preserve">individual </t>
  </si>
  <si>
    <t>Altan relationship - new management team</t>
  </si>
  <si>
    <t>reverse negative trends in fixed wireless</t>
  </si>
  <si>
    <t>2/ Customer centric focus -</t>
  </si>
  <si>
    <t>Save MXN100 million</t>
  </si>
  <si>
    <t>3/ Content</t>
  </si>
  <si>
    <t>ultimate sports content</t>
  </si>
  <si>
    <t>la liga, copa del rey, bundesliga, all FIFA World Cup matches this year, offering 4K content also</t>
  </si>
  <si>
    <t>ott  platform</t>
  </si>
  <si>
    <t>blue to go</t>
  </si>
  <si>
    <t>linear to line up</t>
  </si>
  <si>
    <t>mobile app into full OTT operator</t>
  </si>
  <si>
    <t>all SKY exclusive ops</t>
  </si>
  <si>
    <t>4/ digital transformation</t>
  </si>
  <si>
    <t>end to end process review</t>
  </si>
  <si>
    <t>MSO in cable…good growth - sustainable</t>
  </si>
  <si>
    <t>Declines to continue in H2 and H1 2023</t>
  </si>
  <si>
    <t>Mobile next September</t>
  </si>
  <si>
    <t>Competitive market</t>
  </si>
  <si>
    <t>attractive initially to own post-paid customers</t>
  </si>
  <si>
    <t>Will be weak in 2022, benefits in 2023</t>
  </si>
  <si>
    <t>Associate income</t>
  </si>
  <si>
    <t>Normalised income</t>
  </si>
  <si>
    <t>Normalised - depends on TVUNI income…dividend is $41.25m per year</t>
  </si>
  <si>
    <t>Both Mexico and Central America</t>
  </si>
  <si>
    <t>MVNO platform in Sept</t>
  </si>
  <si>
    <t>Limited today by handsets</t>
  </si>
  <si>
    <t>FX gain</t>
  </si>
  <si>
    <t>Positive $ denominated cash and TVUNI, helped gain on BS</t>
  </si>
  <si>
    <t>Inflows and outflows</t>
  </si>
  <si>
    <t>Pricing environment in cable</t>
  </si>
  <si>
    <t>competitors increased price in 2022. Izzy has not</t>
  </si>
  <si>
    <t>finding sweetspot where product should be : quality, product, price</t>
  </si>
  <si>
    <t>may adjust in the future</t>
  </si>
  <si>
    <t>before had national prices, now monitoring by package and by region</t>
  </si>
  <si>
    <t>Performance in new areas</t>
  </si>
  <si>
    <t>600,000 new homes in 2022, in addition to 2 million</t>
  </si>
  <si>
    <t>Happy with initial results, taken longer in some places than expected</t>
  </si>
  <si>
    <t>where last in, ramp up process was slower</t>
  </si>
  <si>
    <t>where not last, better than expected</t>
  </si>
  <si>
    <t>Actually, 800,000 HPs</t>
  </si>
  <si>
    <t>Q3 22 company call</t>
  </si>
  <si>
    <t>Steady macro</t>
  </si>
  <si>
    <t>Some uncertainty into 2023</t>
  </si>
  <si>
    <t>Possibility of recession, unlikely to match 2009 (5-6%) or Covid shock</t>
  </si>
  <si>
    <t>Q1 - rates to peak, and then decline</t>
  </si>
  <si>
    <t>No funding issues, no short-term maturities</t>
  </si>
  <si>
    <t>Bond prices…deteriorated…buying back at or below par</t>
  </si>
  <si>
    <t>Buying back some stock</t>
  </si>
  <si>
    <t>$620-650m….subject to FX, seems a good run-rate</t>
  </si>
  <si>
    <t>On track for FY delivery</t>
  </si>
  <si>
    <t>Q3 shift of Ad business</t>
  </si>
  <si>
    <t>Q3 will look a little weaker: low to mid revs growth, EBITDA down like in Q2 (-1%)</t>
  </si>
  <si>
    <t>Q4 mid-terms</t>
  </si>
  <si>
    <t>Wade saying x2 Ad revenue, $30m, now $60m which is strong</t>
  </si>
  <si>
    <t>Ad will lean toward Q4 due to mid-terms/WC</t>
  </si>
  <si>
    <t>Q4: 20-25% revs growth</t>
  </si>
  <si>
    <t xml:space="preserve">$150m…3.5% of FY 2021 revs, or 12-13% of </t>
  </si>
  <si>
    <t>Q4 EBITDA should be positive, end year at "relatively flat"</t>
  </si>
  <si>
    <t>Not much detail</t>
  </si>
  <si>
    <t>Monthly active users…exceeding exps</t>
  </si>
  <si>
    <t>Sub VOD, partnerships with AMZ, TIGO, etc, working well. Keep scaling the business</t>
  </si>
  <si>
    <t>US, Q2 22: Ad commitments low to mid-teens</t>
  </si>
  <si>
    <t>Q3 can now say…</t>
  </si>
  <si>
    <t>AVOD - &gt;100% commitments for Ad, testament to adding monthly active users</t>
  </si>
  <si>
    <t>Digital revenue of TVUNI - see filings on webpage</t>
  </si>
  <si>
    <t>$70m in Q2</t>
  </si>
  <si>
    <t>Q1 also there</t>
  </si>
  <si>
    <t>Bulk of it is AVOD….</t>
  </si>
  <si>
    <t>Ad and Licencing/sub revenue</t>
  </si>
  <si>
    <t>Netflix AVOD</t>
  </si>
  <si>
    <t>Charging / hybrid platform. Netflix charge will be x3 CPM</t>
  </si>
  <si>
    <t>Delivering similar adds: 200k, similar mix</t>
  </si>
  <si>
    <t>25% video</t>
  </si>
  <si>
    <t>25% internet</t>
  </si>
  <si>
    <t>50% fixed telephony</t>
  </si>
  <si>
    <t>won’t be so relevant</t>
  </si>
  <si>
    <t>Feel comfortable…Q4 trends should continue to be positive</t>
  </si>
  <si>
    <t>250k RGUs in Q4</t>
  </si>
  <si>
    <t>1.2 million in FY 21</t>
  </si>
  <si>
    <t>Residential revenue</t>
  </si>
  <si>
    <t>No price changes this year</t>
  </si>
  <si>
    <t>Some slowdown in Q3</t>
  </si>
  <si>
    <t>Q4 22e</t>
  </si>
  <si>
    <t>slower</t>
  </si>
  <si>
    <t>Price increases in Q3 21</t>
  </si>
  <si>
    <t>Promotions in Q4 21</t>
  </si>
  <si>
    <t>6-7% without price increase</t>
  </si>
  <si>
    <t>Competition</t>
  </si>
  <si>
    <t>"15% of network with penetration after Year 1"</t>
  </si>
  <si>
    <t>Internal numbers</t>
  </si>
  <si>
    <t>Haven’t launched yet</t>
  </si>
  <si>
    <t>Monterrey for 1.5 years, 8-9% penetration</t>
  </si>
  <si>
    <t>TV holding up well in Monterrey</t>
  </si>
  <si>
    <t>TV taking share from MEGA, TotalPlay also</t>
  </si>
  <si>
    <t>This is the ambition this year</t>
  </si>
  <si>
    <t>2.8m homes for FY, 0.5m in H1 - HPs</t>
  </si>
  <si>
    <t>TV is &gt;10% or so in new areas</t>
  </si>
  <si>
    <t>Can't guarantee price raises</t>
  </si>
  <si>
    <t>8-9% inflation</t>
  </si>
  <si>
    <t>Revs growth not where they would like</t>
  </si>
  <si>
    <t>mid single digit revs growth in H2</t>
  </si>
  <si>
    <t>EBITDA unchanged…mid 30%s</t>
  </si>
  <si>
    <t>Disconnecting ~450k subs with no revs and EBITDA</t>
  </si>
  <si>
    <t>200k in Q3, 200k in Q4, 50k in Q1</t>
  </si>
  <si>
    <t>Also, others will be churning</t>
  </si>
  <si>
    <t>Average of last 3 Qs</t>
  </si>
  <si>
    <t>Amorting WC</t>
  </si>
  <si>
    <t>Charges</t>
  </si>
  <si>
    <t>Should have $1 billion of sustainable revs</t>
  </si>
  <si>
    <t>improvement of 5-10% sequentially</t>
  </si>
  <si>
    <t>MXN1.7 billion</t>
  </si>
  <si>
    <t>Q3 22 Investor Call</t>
  </si>
  <si>
    <t>Likelihood of M&amp;A in next 12 months</t>
  </si>
  <si>
    <t>When might you increase prices on cable?</t>
  </si>
  <si>
    <t>Cost base given inflation</t>
  </si>
  <si>
    <t>How thinking about capex into 2023</t>
  </si>
  <si>
    <t>TVUNI - 3rd of Advertisers in US don't do so in Spanish language</t>
  </si>
  <si>
    <t>client wins, how progressing?</t>
  </si>
  <si>
    <t>SKY - strong rebound plans expected</t>
  </si>
  <si>
    <t>Economy in US and Mexico healthy</t>
  </si>
  <si>
    <t>Cycle with rates peaking</t>
  </si>
  <si>
    <t>Paying down debt with cash in hand</t>
  </si>
  <si>
    <t>investment ramped up Mar 31, July 21st</t>
  </si>
  <si>
    <t>EBITDA down 2% first 9m y/y</t>
  </si>
  <si>
    <t>US - shift to Q4, softening in broader ad, lack of soccer</t>
  </si>
  <si>
    <t>Mexico slowed - pushed Ad into Q4, from World Cup</t>
  </si>
  <si>
    <t>2 Tiers - huge benefit</t>
  </si>
  <si>
    <t>users can access differentiated</t>
  </si>
  <si>
    <t>TV - lower costs, promotional capacity of churn management</t>
  </si>
  <si>
    <t>VIX+ - 50% coming from AVOD users</t>
  </si>
  <si>
    <t>A lot of users on VIX</t>
  </si>
  <si>
    <t>Behaviour of VIX+ users</t>
  </si>
  <si>
    <t>New Advertisers?</t>
  </si>
  <si>
    <t>Adjust prices on a more granular model</t>
  </si>
  <si>
    <t>More modular package</t>
  </si>
  <si>
    <t>700 to 850k homes passed by YE</t>
  </si>
  <si>
    <t>12% penetration in major city, 20% in medium one - aim by YE</t>
  </si>
  <si>
    <t>Mobile push</t>
  </si>
  <si>
    <t>offered to 6.5m subs base</t>
  </si>
  <si>
    <t>Residential cable has tough comparisons</t>
  </si>
  <si>
    <t>ARPU stable y/y</t>
  </si>
  <si>
    <t>Expect solid RGUs in coming quarters, ARPUs stable, revs to get better</t>
  </si>
  <si>
    <t>$190m capex</t>
  </si>
  <si>
    <t>Spin of "Other"</t>
  </si>
  <si>
    <t>Soccer team America</t>
  </si>
  <si>
    <t>Gaming</t>
  </si>
  <si>
    <t>Publishing / magasines</t>
  </si>
  <si>
    <t>New entity listed on Mexico</t>
  </si>
  <si>
    <t>By H1 2023</t>
  </si>
  <si>
    <t>YTD 7.4% of revenue, 3.4% of EBITDA</t>
  </si>
  <si>
    <t>Will not have debt</t>
  </si>
  <si>
    <t>Network upgrades</t>
  </si>
  <si>
    <t>High pen in new cities</t>
  </si>
  <si>
    <t>12% this year in large cities, 20% elsewhere</t>
  </si>
  <si>
    <t>New areas…going with fibre</t>
  </si>
  <si>
    <t>Competitor response</t>
  </si>
  <si>
    <t xml:space="preserve">Cable - not thinking about </t>
  </si>
  <si>
    <t>How much FTTH?</t>
  </si>
  <si>
    <t>18.5 million</t>
  </si>
  <si>
    <t>End of August start</t>
  </si>
  <si>
    <t xml:space="preserve">Modular </t>
  </si>
  <si>
    <t>Create products - intuitive, module for BB, video, can add and combine</t>
  </si>
  <si>
    <t>Flex on products and pricing</t>
  </si>
  <si>
    <t>Can change at hub level, rather than city level</t>
  </si>
  <si>
    <t>Not moved prices this year</t>
  </si>
  <si>
    <t>Continue to look at market dynamics</t>
  </si>
  <si>
    <t>Inflation ~9%</t>
  </si>
  <si>
    <t>Single App…AVOD service funnel…50% VIX+ from funnel</t>
  </si>
  <si>
    <t>Same App - churn management</t>
  </si>
  <si>
    <t>2023 capex</t>
  </si>
  <si>
    <t>double digit decline</t>
  </si>
  <si>
    <t>Spin</t>
  </si>
  <si>
    <t>Other except for concession/transmission business (tied to TVUNI)</t>
  </si>
  <si>
    <t>Gaming is the most important business</t>
  </si>
  <si>
    <t>not fully recovered yet from Covid</t>
  </si>
  <si>
    <t>Capex is stadium is only thing, commitments for World Cup - Azteca. Needs substantial spend</t>
  </si>
  <si>
    <t>Replaced with a smaller one, inc schools etc etc</t>
  </si>
  <si>
    <t>60m households in the 7 markets they are in</t>
  </si>
  <si>
    <t>3% share only</t>
  </si>
  <si>
    <t>Extended La Liga rights</t>
  </si>
  <si>
    <t xml:space="preserve">FY 22 </t>
  </si>
  <si>
    <t>25m MAUs on AVOD across Mexico</t>
  </si>
  <si>
    <t>5m devices</t>
  </si>
  <si>
    <t>Qatar led to millions of users</t>
  </si>
  <si>
    <t>US Upfront</t>
  </si>
  <si>
    <t>Double digit…best in  7 years</t>
  </si>
  <si>
    <t>Pricing in high single digit range</t>
  </si>
  <si>
    <t>Demand from existing linear advertisers plus new digital advertiser</t>
  </si>
  <si>
    <t>Mexico upfront</t>
  </si>
  <si>
    <t>Mid single digit</t>
  </si>
  <si>
    <t>Largest in history, tough comps with World Cup</t>
  </si>
  <si>
    <t>Ad growth for 3rd consecutive year</t>
  </si>
  <si>
    <t xml:space="preserve">Strong rebound </t>
  </si>
  <si>
    <t>Expect similar adds</t>
  </si>
  <si>
    <t>residential to expand</t>
  </si>
  <si>
    <t>issues in wholesale</t>
  </si>
  <si>
    <t>Elevated B2B activity explains intercompany</t>
  </si>
  <si>
    <t>Seeing stability in prices</t>
  </si>
  <si>
    <t>Don't see prices stable</t>
  </si>
  <si>
    <t>"ARPU stable"</t>
  </si>
  <si>
    <t>All expansion is FTTH</t>
  </si>
  <si>
    <t>17% FTTH</t>
  </si>
  <si>
    <t>Close next year at &gt;20%</t>
  </si>
  <si>
    <t>10% DOCSIS 3.1</t>
  </si>
  <si>
    <t>Close to 1m homes</t>
  </si>
  <si>
    <t>Losing out to cable</t>
  </si>
  <si>
    <t>Bundle</t>
  </si>
  <si>
    <t>70% of postpaid passed by fibre or ultra BB</t>
  </si>
  <si>
    <t>TelevisaUnivsion</t>
  </si>
  <si>
    <t>Outlook for 2023 - Content spend</t>
  </si>
  <si>
    <t>What definition of MAU…log on once?</t>
  </si>
  <si>
    <t>what sort of usage</t>
  </si>
  <si>
    <t>What sort of usage?</t>
  </si>
  <si>
    <t>What % of homes passed are now FTTH</t>
  </si>
  <si>
    <t>Pricing by region…likelihood of price increases</t>
  </si>
  <si>
    <t>Residential slipping…how confident increase</t>
  </si>
  <si>
    <t>MEGA deal</t>
  </si>
  <si>
    <t>Compelling offer</t>
  </si>
  <si>
    <t>MXN55 billion of synergies, MXN9 billion annually</t>
  </si>
  <si>
    <t>Rejected in its entirety</t>
  </si>
  <si>
    <t>Terms and conditions put forward from MEGA</t>
  </si>
  <si>
    <t>not acceptable</t>
  </si>
  <si>
    <t>more than that - not good corporate governance practices</t>
  </si>
  <si>
    <t>Turned a page</t>
  </si>
  <si>
    <t>2.5m homes passed in 2023</t>
  </si>
  <si>
    <t>50% of network GPON</t>
  </si>
  <si>
    <t>2023 will be 72% GPON</t>
  </si>
  <si>
    <t>40% capex/sales</t>
  </si>
  <si>
    <t>TV proposal</t>
  </si>
  <si>
    <t>No more conversations with them</t>
  </si>
  <si>
    <t>Cover north of Mexico City</t>
  </si>
  <si>
    <t>BUT a lot of coverage is overlapping 3 other players</t>
  </si>
  <si>
    <t>Rodrigo catch up - Mar 2023</t>
  </si>
  <si>
    <t>Netflix ~$300m of Spanish language spend</t>
  </si>
  <si>
    <t>2020 - $1.4 billion. If invested the same as Netflix, efficiencies lead to more content</t>
  </si>
  <si>
    <t>Sporting rights as well, exclusivity of SVOD</t>
  </si>
  <si>
    <t>Comparisons not reasonable</t>
  </si>
  <si>
    <t>Upfront (Q222 negotiated, closed end Q3) – low double digits, Ad VOD through platform up 100%</t>
  </si>
  <si>
    <t>SVOD ARPU - $6.99, certain promotions. Ps119 in Mexico. Trying to grow the business, promotion won’t be as aggressive</t>
  </si>
  <si>
    <t>AVOD per MAU – In the US $2-2.5 range, Mexico $0.5-1.0. Average of $1.0 MAU</t>
  </si>
  <si>
    <t>20 million subs in Mexico, 25-30m globally</t>
  </si>
  <si>
    <t>15% penetration of the Mexican population</t>
  </si>
  <si>
    <t>Pluto TV (Viacom) – 12m, 24m end 2019. 2020 at 44m, 2021, 64m MAUs, $1.1 billion annualised</t>
  </si>
  <si>
    <t>Operations in both US and LatAm, this is a blended ARPU number. $1.3</t>
  </si>
  <si>
    <t xml:space="preserve">(Pluto was a Viacom company also; CEO of VIX used to be an employee of Viacom)                                               </t>
  </si>
  <si>
    <t>TVUNI - mid single digit revs and EBITDA flat. Current macro environment, with non recurring of $150m from WC monetisation and US politics. Would be nearer to high.</t>
  </si>
  <si>
    <t>2022 – underlying high single digits</t>
  </si>
  <si>
    <t xml:space="preserve">2023 flat EBITDA. Everyone understands, seeing EBITDA contraction (US media peers). Had previously hoped EBITDA would be up in 2023, but recession as undone this </t>
  </si>
  <si>
    <t>Streaming profitable in &lt;2 years</t>
  </si>
  <si>
    <t>US upfronts low double digit</t>
  </si>
  <si>
    <t>Mexico upfronts high single digit</t>
  </si>
  <si>
    <t>End of 2023 streaming platform should turn profitable…December likely.</t>
  </si>
  <si>
    <t>Content costs – most of the content is amortised for AVOD (as older). For SVOD. UNI used to amortise 75% in Year 1, rest over 3 years. Would expect something similar in Mexico</t>
  </si>
  <si>
    <t>Telemundo – TVUNI holding their own vs Telemundo</t>
  </si>
  <si>
    <t>Azteca in Mexico – close to bankruptcy, not making bond payments. Traditional competition is very limited currently. Been losing share of audience, haven’t produced content for a long time.</t>
  </si>
  <si>
    <t>Also in the US peers not doing so well</t>
  </si>
  <si>
    <t xml:space="preserve">IPO of TVUNI not happening in 2023, need to show streaming success. Wade might say be end of 2023         </t>
  </si>
  <si>
    <t>Rodrigo - July 23 chat</t>
  </si>
  <si>
    <t>Old Cable CEO problems</t>
  </si>
  <si>
    <t>Jalisco project, pipeline needed</t>
  </si>
  <si>
    <t>One third of Enterprise revs in $, all cost in MXN</t>
  </si>
  <si>
    <t>Price increases from Jan-23 included in plan. Not carried out yet, urged team to do it as soon as possible</t>
  </si>
  <si>
    <t>need to let customers know in advance</t>
  </si>
  <si>
    <t>only from April therefore</t>
  </si>
  <si>
    <t>"Negotiations not good enough for private sector"</t>
  </si>
  <si>
    <t>Since 2022, hired advisors to streamline opex and capex. Will execute on proposals</t>
  </si>
  <si>
    <t>Had been push back from Izzy</t>
  </si>
  <si>
    <t>Opex and capex being run better at SKY</t>
  </si>
  <si>
    <t>Not helped to stabilise revenue</t>
  </si>
  <si>
    <t>Cluster by cluster</t>
  </si>
  <si>
    <t>Passing homes like crazy</t>
  </si>
  <si>
    <t>Fleets of cars</t>
  </si>
  <si>
    <t>Valim</t>
  </si>
  <si>
    <t>Oi for 16 months</t>
  </si>
  <si>
    <t>Nextel Brasil 18 months</t>
  </si>
  <si>
    <t>Raise salaries….most of Izzy are unionised. Inflation escalators kicking in on Content</t>
  </si>
  <si>
    <t>No restructuring benefit in 2023, will take through to 2024</t>
  </si>
  <si>
    <t>July</t>
  </si>
  <si>
    <t>Totalplay price increase of 10%</t>
  </si>
  <si>
    <t>No margin contraction</t>
  </si>
  <si>
    <t>600k adds for 2023</t>
  </si>
  <si>
    <t>More aggressive in new regions</t>
  </si>
  <si>
    <t>Leveraging up</t>
  </si>
  <si>
    <t>Spike into disconnects…Q4 21 accelerated through promotions, which have expired. Lasted 12 months</t>
  </si>
  <si>
    <t>From Q4 22 eliminated promotions</t>
  </si>
  <si>
    <t>Q2 raised prices..accelerated churn</t>
  </si>
  <si>
    <t>See some stabilisation going forward</t>
  </si>
  <si>
    <t>Valim - focused on managing churn, reducing churn</t>
  </si>
  <si>
    <t>MSO revs growth should be in-line with Q1</t>
  </si>
  <si>
    <t>other lines, advertising</t>
  </si>
  <si>
    <t>Margins will be down to 40% for MSO, contraction therefore</t>
  </si>
  <si>
    <t>Enterprise declines high single digit</t>
  </si>
  <si>
    <t>one third $...MXN appreciating</t>
  </si>
  <si>
    <t>intercompany revenue…total cable should accelerate a little</t>
  </si>
  <si>
    <t>profitability for enterprise v low, opex pressure (in MXN)</t>
  </si>
  <si>
    <t>Sequential decline in revenue. Had been expecting some stabilisation</t>
  </si>
  <si>
    <t>Better H2, Q2 pressure though</t>
  </si>
  <si>
    <t>MVNO launch but not offsetting decline in video revenue</t>
  </si>
  <si>
    <t>DTH pressures</t>
  </si>
  <si>
    <t>Ongoing video losses</t>
  </si>
  <si>
    <t>Pushing fixed wireless BB</t>
  </si>
  <si>
    <t>Launching pay TV video service</t>
  </si>
  <si>
    <t>SKY Mas</t>
  </si>
  <si>
    <t>Search engine</t>
  </si>
  <si>
    <t>Gradual substitute of DTH</t>
  </si>
  <si>
    <t>EBITDA flat in 2023….?</t>
  </si>
  <si>
    <t>Capex for $160m vs $190m in 2022</t>
  </si>
  <si>
    <t>Similar revs, EBITDA margin of 20-25%</t>
  </si>
  <si>
    <t>In US outperform market</t>
  </si>
  <si>
    <t>US in general more sensitive</t>
  </si>
  <si>
    <t>Financials lower</t>
  </si>
  <si>
    <t>FTA peers lost 14% in the US, grew +2% on Ad</t>
  </si>
  <si>
    <t>Q2/3/4 should be better</t>
  </si>
  <si>
    <t>&gt;$44 billion market, have a low share</t>
  </si>
  <si>
    <t>Similar story in terms of share gains</t>
  </si>
  <si>
    <t>Upfronts - Q4 22 through to Q3, 50%. Double digit</t>
  </si>
  <si>
    <t>Haven't heard yet, will hear at Q2 call. Hasn't closed yet</t>
  </si>
  <si>
    <t>Commitments, not deposits</t>
  </si>
  <si>
    <t>MXN strength should help</t>
  </si>
  <si>
    <t>Content cost in Mexico though hinders profitability</t>
  </si>
  <si>
    <t>Upfront - 85% of next year revenue</t>
  </si>
  <si>
    <t>Mid-single digit….closed in Jan-23…so for FY 23</t>
  </si>
  <si>
    <t>Holding up a little better</t>
  </si>
  <si>
    <t>Consolidated</t>
  </si>
  <si>
    <t>Revs growth of mid-single….should be on track</t>
  </si>
  <si>
    <t>EBITDA flat at start of year</t>
  </si>
  <si>
    <t>But, not such a strong peso…might be down a little</t>
  </si>
  <si>
    <t>Jan - Using revs for Dec, $500m annualised</t>
  </si>
  <si>
    <t>Annualise Q1</t>
  </si>
  <si>
    <t>Also $500m</t>
  </si>
  <si>
    <t>not shared split</t>
  </si>
  <si>
    <t>AVOD live for 1 year, SVOD for 6 months</t>
  </si>
  <si>
    <t>50/50</t>
  </si>
  <si>
    <t>subs is higher than this</t>
  </si>
  <si>
    <t>By March, 30m MAUs in Mexico</t>
  </si>
  <si>
    <t>Subscribers</t>
  </si>
  <si>
    <t>Previously was connected devices</t>
  </si>
  <si>
    <t>Smartphone is 1, x2 or x3 for TV</t>
  </si>
  <si>
    <t>15-20% in Mexico</t>
  </si>
  <si>
    <t>US - $2-2.5 per MAU</t>
  </si>
  <si>
    <t>Mexico - $0.5 per MAU</t>
  </si>
  <si>
    <t>CPM on AVOD is higher than FTA</t>
  </si>
  <si>
    <t>Upfront for AVOD x 2</t>
  </si>
  <si>
    <t>Client directs to AVOD or FTA</t>
  </si>
  <si>
    <t>Selling the deal</t>
  </si>
  <si>
    <t>EBITDA flat doesn’t help</t>
  </si>
  <si>
    <t>EBITDA breakeven for 2024 on streaming</t>
  </si>
  <si>
    <t>2024 IPO</t>
  </si>
  <si>
    <t>Q2 23 call</t>
  </si>
  <si>
    <t>Post Q2 2023 call</t>
  </si>
  <si>
    <t>USD620m - cable capex at 21/USD</t>
  </si>
  <si>
    <t>Will be higher than $820m</t>
  </si>
  <si>
    <t>Peso up 15%</t>
  </si>
  <si>
    <t>Budgeting 21</t>
  </si>
  <si>
    <t>Could be as high as USD880m</t>
  </si>
  <si>
    <t>Had talked down into numbers</t>
  </si>
  <si>
    <t>Market concerned about TVUNI</t>
  </si>
  <si>
    <t>TVUNI issuing at 8%</t>
  </si>
  <si>
    <t>Cover 2024 maturities…paying some 2025 outstanding</t>
  </si>
  <si>
    <t>Weighted av cost of debt up only a touch</t>
  </si>
  <si>
    <t>$10m of stock</t>
  </si>
  <si>
    <t xml:space="preserve">$80m of buy back </t>
  </si>
  <si>
    <t xml:space="preserve">8 months could do another $80m </t>
  </si>
  <si>
    <t>in business for the long-run, buying back debt</t>
  </si>
  <si>
    <t>Disconnects not good on cable</t>
  </si>
  <si>
    <t>Need to be careful about how increasing prices</t>
  </si>
  <si>
    <t>Will spread, divide into clusters (12)…some each month</t>
  </si>
  <si>
    <t>July not a great month due to Summer…may continue to drag into Q3 and Q4</t>
  </si>
  <si>
    <t>Pricing was mishandled arguably..particularly low end of the POPs</t>
  </si>
  <si>
    <t>Added subs in Q4 21…then moved from promo to list price in Q4 21. Then another bunch saw promos expire and still OK. But then raised prices in April</t>
  </si>
  <si>
    <t>440,000 gross adds of internet. Similar to previous quarters</t>
  </si>
  <si>
    <t>Laying off people in a meaningful way in Q3 in cable</t>
  </si>
  <si>
    <t>Some margin expansion from Q4 and into 2024</t>
  </si>
  <si>
    <t>Want to change sales channels, move digital. Will take some time</t>
  </si>
  <si>
    <t>HP savings</t>
  </si>
  <si>
    <t>Could be $50m or so</t>
  </si>
  <si>
    <t>2023 capex done..intend to be more efficient</t>
  </si>
  <si>
    <t>FTEs in Cable</t>
  </si>
  <si>
    <t>Considerably lower number of FTEs needed</t>
  </si>
  <si>
    <t>Good relationship with unions</t>
  </si>
  <si>
    <t>Severance - pay 3 months + 20 days/year. Will come below EBITDA</t>
  </si>
  <si>
    <t>one third in Oct 23, 24, 25</t>
  </si>
  <si>
    <t>$100m recovery in 2023/4/5</t>
  </si>
  <si>
    <t>$150m recurring taxes</t>
  </si>
  <si>
    <t>Net taxes $50m</t>
  </si>
  <si>
    <t xml:space="preserve">TVUNI </t>
  </si>
  <si>
    <t>Rodrigo (IR)</t>
  </si>
  <si>
    <t>A seller through the CPOs, maybe a European; fiscal YE in Q3…?</t>
  </si>
  <si>
    <t>ADR vols have been low</t>
  </si>
  <si>
    <t>Higher for longer rates…no liquidity issues</t>
  </si>
  <si>
    <t>TVUNI refi of 2024 debt, some in 2025</t>
  </si>
  <si>
    <t>"TVUNI worth zero"</t>
  </si>
  <si>
    <t>Trends</t>
  </si>
  <si>
    <t>Challenging trends in H2</t>
  </si>
  <si>
    <t>clean up subs base</t>
  </si>
  <si>
    <t>strong gross adds (2.5-3.0m) in recent times.. A portion are not very good, low end</t>
  </si>
  <si>
    <t>continue to be strong, similar to MEGA levels… 450,000 per Q</t>
  </si>
  <si>
    <t>promotion that ran for 12 months, confusion for subs, assumed it was the price</t>
  </si>
  <si>
    <t>3m promotions more sensible</t>
  </si>
  <si>
    <t>stricter credit controls also</t>
  </si>
  <si>
    <t>gross adds….despite this, seem to be holding up OK</t>
  </si>
  <si>
    <t>churn has increased due to pricing (legacy of this and 12m promotions)</t>
  </si>
  <si>
    <t>general competition in the market</t>
  </si>
  <si>
    <t>AMX continues to have aggressive plan… x2 play</t>
  </si>
  <si>
    <t>TPLAY not too aggressive</t>
  </si>
  <si>
    <t>MEGA somewhat aggressive</t>
  </si>
  <si>
    <t>need to improve credit ratings</t>
  </si>
  <si>
    <t>Q2 negative adds not clean up related</t>
  </si>
  <si>
    <t>increased deliquency</t>
  </si>
  <si>
    <t>revenue impact should be relatively limited at MSO level</t>
  </si>
  <si>
    <t>inflation escalators have kicked in , salary increases in H2</t>
  </si>
  <si>
    <t>more EBITDA margin pressure, notably in Q3 (severance costs)</t>
  </si>
  <si>
    <t>second half of September</t>
  </si>
  <si>
    <t>report severance costs below EBITDA</t>
  </si>
  <si>
    <t xml:space="preserve">Taking measures to streamline….reducing headcount </t>
  </si>
  <si>
    <t>severance expenses</t>
  </si>
  <si>
    <t>recoup some profitability from Q4 / 2024</t>
  </si>
  <si>
    <t>Valim - gradual improvements in margins over the coming quarters</t>
  </si>
  <si>
    <t>from 2025</t>
  </si>
  <si>
    <t>2024/5 renegotiate content contracts</t>
  </si>
  <si>
    <t>Corporate / Enterprise (cable)</t>
  </si>
  <si>
    <t>H2 22 was much stronger in revenue</t>
  </si>
  <si>
    <t>Won't follow the path this year in H2</t>
  </si>
  <si>
    <t>Similar level of revs in H1 into H2</t>
  </si>
  <si>
    <t>New guy has joined to run Enterprise</t>
  </si>
  <si>
    <t>Alestra, Axtel - lots of experience</t>
  </si>
  <si>
    <t>EBITDA in H2 may also be under pressure. A little more opex in H2, profitability weaker than H1</t>
  </si>
  <si>
    <t>similar to 2022</t>
  </si>
  <si>
    <t>most of opex is in pesos, revs in $ (one third), two third $</t>
  </si>
  <si>
    <t>Similar trends at the top line</t>
  </si>
  <si>
    <t>Margin should be similar to Q1, rather than Q2. Should be a y/y improvement in EBITDA declines</t>
  </si>
  <si>
    <t>Assumed to be a secondary component</t>
  </si>
  <si>
    <t>partner selling - not the case</t>
  </si>
  <si>
    <t>3 year lock up period…right of first refusal</t>
  </si>
  <si>
    <t>Jan 31 2022</t>
  </si>
  <si>
    <t>Primary offering to pay down debt</t>
  </si>
  <si>
    <t>help to pay down maturities in 2025</t>
  </si>
  <si>
    <t>JPM restricted end-Aug</t>
  </si>
  <si>
    <t>take down 3-3.5x over next 2-3 years</t>
  </si>
  <si>
    <t>raise equity</t>
  </si>
  <si>
    <t>nobody selling</t>
  </si>
  <si>
    <t>private</t>
  </si>
  <si>
    <t>Q4 23 preview</t>
  </si>
  <si>
    <t>Value not volume</t>
  </si>
  <si>
    <t>Churn back to historical average, Q2/3 subs base clean up</t>
  </si>
  <si>
    <t>Zero homes connected….very low adds</t>
  </si>
  <si>
    <t>Gross adds taken lower..to 350-400k per quarter</t>
  </si>
  <si>
    <t>Churn ~ 2% per month * 6.3m</t>
  </si>
  <si>
    <t>Hurricane</t>
  </si>
  <si>
    <t>Acapulco - 1% of total homes</t>
  </si>
  <si>
    <t>1% of subs base, end October…Nov/Dec</t>
  </si>
  <si>
    <t>stopped charging for service</t>
  </si>
  <si>
    <t>rebuilding infrastructure with FTTH</t>
  </si>
  <si>
    <t>Insurance recovery</t>
  </si>
  <si>
    <t xml:space="preserve">For MSO - slight decline in revs, 0.5% y/y, would be +0% excluding </t>
  </si>
  <si>
    <t>200 bps improvement in margin in Q4 vs Q3…will be delivered…37.9% going to 40%</t>
  </si>
  <si>
    <t>15-20% y/y decline in Wholesale…profitability low</t>
  </si>
  <si>
    <t>Back-end loaded opex</t>
  </si>
  <si>
    <t>Wholesale EBITDA similar to Q3</t>
  </si>
  <si>
    <t>Total cable - will be down, low single</t>
  </si>
  <si>
    <t>EBITDA margin to improve 200 bps…35.6% going to 37.5%</t>
  </si>
  <si>
    <t>disconnects of 213k</t>
  </si>
  <si>
    <t>Q4 pre-paid disconnects somewhat offset by SKY Mass</t>
  </si>
  <si>
    <t>180k losses</t>
  </si>
  <si>
    <t>Sequential decline has been slowing</t>
  </si>
  <si>
    <t>Q2 4.5%</t>
  </si>
  <si>
    <t>Q3 3.5%</t>
  </si>
  <si>
    <t>Q4 3.0%</t>
  </si>
  <si>
    <t>This should continue into Q1 2024…maybe stability by the end of 2024/25</t>
  </si>
  <si>
    <t xml:space="preserve">MXN12bn of opex </t>
  </si>
  <si>
    <t>Of this, one third are fixed</t>
  </si>
  <si>
    <t>Two third are variable</t>
  </si>
  <si>
    <t>EBITDA declining mid single digit y/y</t>
  </si>
  <si>
    <t>Mid single digit ok</t>
  </si>
  <si>
    <t>In-line</t>
  </si>
  <si>
    <t>MXN600m average over time</t>
  </si>
  <si>
    <t>Non recurring revs/EBITDA in Q4 22 - monetisation of World Cup</t>
  </si>
  <si>
    <t>$150m of revs, all in Q4 22</t>
  </si>
  <si>
    <t>$75m of EBITDA</t>
  </si>
  <si>
    <t>Mid-term elections also in US</t>
  </si>
  <si>
    <t>$50m in revs</t>
  </si>
  <si>
    <t>$25m in EBITDA or more</t>
  </si>
  <si>
    <t>$4.9 billion of revs</t>
  </si>
  <si>
    <t>FY declining mid-single</t>
  </si>
  <si>
    <t>adjusted, would be flat to up</t>
  </si>
  <si>
    <t>Solid Q4 underlying</t>
  </si>
  <si>
    <t>Higher than Q3…but not a lot more</t>
  </si>
  <si>
    <t>$700m business in revenue, 15% of consolidated revenue</t>
  </si>
  <si>
    <t>EBITDA neutral in Q3, positive in Q4</t>
  </si>
  <si>
    <t>Launched an ad-light version</t>
  </si>
  <si>
    <t>40m MAUs for AVOD</t>
  </si>
  <si>
    <t>25m end of 2022</t>
  </si>
  <si>
    <t>AVOD the higher component</t>
  </si>
  <si>
    <t>At the beginning SVOD two thirds … changing: probably the opposite</t>
  </si>
  <si>
    <t>Presidential elections</t>
  </si>
  <si>
    <t>Growing mid-single revs/EBITDA</t>
  </si>
  <si>
    <t>No real issue</t>
  </si>
  <si>
    <t>Near-shoreing</t>
  </si>
  <si>
    <t>Remittances at all time highs  - $60 billion</t>
  </si>
  <si>
    <t>Economy performing relatively well</t>
  </si>
  <si>
    <t>Waiting for rates cut</t>
  </si>
  <si>
    <t>Slow down in 2024…2023 was 3%</t>
  </si>
  <si>
    <t>A little high</t>
  </si>
  <si>
    <t>Revs a little softer</t>
  </si>
  <si>
    <t>Operating income level</t>
  </si>
  <si>
    <t>OK, a little higher</t>
  </si>
  <si>
    <t>Focus on FCF</t>
  </si>
  <si>
    <t>Recover in H2 24 and in 2025</t>
  </si>
  <si>
    <t>Revs y/y growth in H2</t>
  </si>
  <si>
    <t>Will continue to be stronger</t>
  </si>
  <si>
    <t xml:space="preserve">Net adds - in-line </t>
  </si>
  <si>
    <t>Originally - 5,000 in Q1 and Q2, 15k in Q3, 20k in Q4. 2025 25k per Q</t>
  </si>
  <si>
    <t>Q2 ~ 10-11k cable adds</t>
  </si>
  <si>
    <t>To do this, need to reduce churn</t>
  </si>
  <si>
    <t>More focused on value vs volume</t>
  </si>
  <si>
    <t>New subs</t>
  </si>
  <si>
    <t>Mid/low-end subs. With higher churn</t>
  </si>
  <si>
    <t>Loss of subs. Afionados - offering sporting content, Mexican football</t>
  </si>
  <si>
    <t>Was ~ zero EBITDA</t>
  </si>
  <si>
    <t>50-60k subs here</t>
  </si>
  <si>
    <t>SKY transaction</t>
  </si>
  <si>
    <t>More exclusive sporting content i.e. Euros</t>
  </si>
  <si>
    <t>Don't want to cannibalise subscribers at SKY</t>
  </si>
  <si>
    <t>Can distribute content across both platforms</t>
  </si>
  <si>
    <t>World Cup - same cost amortised across both platforms</t>
  </si>
  <si>
    <t>Some FTA</t>
  </si>
  <si>
    <t>Historically all World Cup games at SKY</t>
  </si>
  <si>
    <t>Stability sequentially at Izzy, for both</t>
  </si>
  <si>
    <t>Slightly higher MSO (&lt;1%) and Enterprise maybe down a little, but up y/y</t>
  </si>
  <si>
    <t>Margins stable sequentially</t>
  </si>
  <si>
    <t>Only get cable and SKY op income going forward</t>
  </si>
  <si>
    <t>Just add revs and EBITDA together for both</t>
  </si>
  <si>
    <t>cable and SKY…sequential 39.2% in Q1 - stability. In-line with FY guide</t>
  </si>
  <si>
    <t>ARPU at MSO increasing. Includes monthly payments plus Advertising (Mex elections), plus installation revs. Gross adds have slowed</t>
  </si>
  <si>
    <t>Aficionados service shut off - by end  April</t>
  </si>
  <si>
    <t>Valim took over since start of April. Cut commercialisation, Advertising</t>
  </si>
  <si>
    <t>Revenue decline will accelerate again. Had been slowing, back to 5-6% sequentially</t>
  </si>
  <si>
    <t>Some services being relaunched</t>
  </si>
  <si>
    <t>Should lead to some opex savings</t>
  </si>
  <si>
    <t>Op income in absolute terms should be stable</t>
  </si>
  <si>
    <t>Combined should be higher by 40 bps sequentially</t>
  </si>
  <si>
    <t>Let go of a lot of people at SKY</t>
  </si>
  <si>
    <t>No synergies yet</t>
  </si>
  <si>
    <t>Q1 38.8% op income….37.2% in Q2, Q3 could go up to 38.2%</t>
  </si>
  <si>
    <t>Ps400m relative to Q1</t>
  </si>
  <si>
    <t>Similar RGU disconnects</t>
  </si>
  <si>
    <t>Merger</t>
  </si>
  <si>
    <t>SKY 4200 employees</t>
  </si>
  <si>
    <t>combined 28000 now i.e. Cable was at 26,000</t>
  </si>
  <si>
    <t>Let go of 40% of SKY employees</t>
  </si>
  <si>
    <t>IT to go in Q4</t>
  </si>
  <si>
    <t>Previous CEO was focused on selling new services</t>
  </si>
  <si>
    <t>forgot about base DTH</t>
  </si>
  <si>
    <t>hopefully refocus</t>
  </si>
  <si>
    <t>Most SKY customers have Telmex</t>
  </si>
  <si>
    <t>Telmex-SKY customers being targeted</t>
  </si>
  <si>
    <t>Izzy-SKY</t>
  </si>
  <si>
    <t>SKY has some exclusive content</t>
  </si>
  <si>
    <t>Will be careful about this being available over cable</t>
  </si>
  <si>
    <t>New MVNO</t>
  </si>
  <si>
    <t>Network agnostic, Telcel, AT&amp;T or Altan</t>
  </si>
  <si>
    <t>not good</t>
  </si>
  <si>
    <t>better, still not good</t>
  </si>
  <si>
    <t>Use hotspots at Izzy</t>
  </si>
  <si>
    <t>&gt;6m homes who use Izzy. And &gt;5m homes</t>
  </si>
  <si>
    <t>11m homes, 50m people</t>
  </si>
  <si>
    <t>Preponderance</t>
  </si>
  <si>
    <t>Not so hopeful about anything changing</t>
  </si>
  <si>
    <t>Presidential elections: IFT might go?</t>
  </si>
  <si>
    <t>IFT has a lot of power but has not implemented it</t>
  </si>
  <si>
    <t>ULL has not worked</t>
  </si>
  <si>
    <t>Slim to keep investing in construction</t>
  </si>
  <si>
    <t>All charges…Not &gt;Ps 500m</t>
  </si>
  <si>
    <t>4000 last year - Ps855-900m in expenses</t>
  </si>
  <si>
    <t>SKY folks more expensive. Senior management has gone also</t>
  </si>
  <si>
    <t>At other expense level</t>
  </si>
  <si>
    <t>Corp expenses: similar or lower to the past</t>
  </si>
  <si>
    <t>Weak at 13% of sales, now low to mid-teens</t>
  </si>
  <si>
    <t>op income less capex sales &gt;20%. Should be ~23% in H1 (24% in Q1).</t>
  </si>
  <si>
    <t>goal is to hit 20% by 2026</t>
  </si>
  <si>
    <t>15% in 2023</t>
  </si>
  <si>
    <t>Should be close to 20% in 2024</t>
  </si>
  <si>
    <t>Telmex - more low end of the market</t>
  </si>
  <si>
    <t>Market growth of 600k in Q1 seems odd</t>
  </si>
  <si>
    <t>2.4m annualised seems high</t>
  </si>
  <si>
    <t>~1m more sensible</t>
  </si>
  <si>
    <t>TPLAY</t>
  </si>
  <si>
    <t>To keep adding pen, need to add low end subs</t>
  </si>
  <si>
    <t>raised prices in July</t>
  </si>
  <si>
    <t>reached 5m subs homes connected, implies strong Q2 adds</t>
  </si>
  <si>
    <t xml:space="preserve">Data revenue - </t>
  </si>
  <si>
    <t>Similar revs growth for Q2: 7%, maybe some FX impact</t>
  </si>
  <si>
    <t>EBITDA down 5%...Pres elections down (no revs), better than 9% down</t>
  </si>
  <si>
    <t>streaming profit negative</t>
  </si>
  <si>
    <t>H2 revs 8-9% in Q3, 200 bps EBITDA growht more; Q4 10-12%, EBITDA ~300 bps</t>
  </si>
  <si>
    <t>FCF gen - DTC should be FCF neutral for FY</t>
  </si>
  <si>
    <t>H2 should be positive</t>
  </si>
  <si>
    <t>MAUs - end 2023: &gt;40m</t>
  </si>
  <si>
    <t>end April &gt;50m MAUs. Keep scaling the business</t>
  </si>
  <si>
    <t>$1 billion in DTC business. Then quite sizeable</t>
  </si>
  <si>
    <t>TVUNI – Q3 2024 call</t>
  </si>
  <si>
    <t xml:space="preserve">Wade: Innovation core for next phase. Company did v good with Streaming. Expanded maturities. Made progress on bringing US TV advertisers to Spanish language platforms. </t>
  </si>
  <si>
    <t>Retooled distributor platforms to include ViX etc. Merger and unification of rights and library content, modernized ad sales all contributed to scale the Streaming platform.</t>
  </si>
  <si>
    <t xml:space="preserve">Daniel: Grew in Mexico City. Knew Wade for &gt;10y (both at Google). Knows company well, knows media etc. Audience will play crucial role in election. If engage to audience in local language this is quite positive for contestant (Trump/Harris).  </t>
  </si>
  <si>
    <t>Streaming profitable after 2y without price increase and with prices being competitive/low. Business need to offer more solution vs content orientated.</t>
  </si>
  <si>
    <t>CFO: Sport/Entert content helping. Expenses benefited from FX (large part of exp in Mex).  5.9x leverage, helped w/ debt reduction and EBITDA growth. Helped with sale of tower ptf too. Was a non-core asset sale and already lease vast majority of towers (?). Next maturity &gt;2.5 years away.</t>
  </si>
  <si>
    <t>Q&amp;A:</t>
  </si>
  <si>
    <t xml:space="preserve">Q-BoA: More color on revs, US ad mkt, Upfront, political. Adv effort in programmatics?
</t>
  </si>
  <si>
    <t xml:space="preserve">
US ads sales great Q, 5% g is acc v Q2, led by B2C. DD g in new clients revs, pricing g in upfront and scatter, scatter over upfront premium over 30%, continued price growth in DTC. Also maintained sell out in DTC, ARPUs up 30% reflecting growth and engagement.
</t>
  </si>
  <si>
    <t xml:space="preserve">Upfront: solid v challenged industry backdrop. Industry was flat to down LSD. Influx into streaming inventory. Against that backdrop did S digit g. Saw record number of client participation in upfronts. Move towards better/more advanced methodology measurement, were able to write 40% of this year volume v advanced alternate currencies beyond Nielsen panel only (Nielsen panel big data etc (??). 
</t>
  </si>
  <si>
    <t>Shown ratings growth, was underreported with legacy methodology.  Don’t underestimate the change of measurement (bcs need to present that accurately to clients). Expect that portion to continue to grow. Expect industry to change to new measurement next year.</t>
  </si>
  <si>
    <t>Programatic is a source of g, especially for ViX. It is underdeveloped in Mex.
 </t>
  </si>
  <si>
    <t xml:space="preserve">Political ad spend: atypical cycle this one, H1 slow to materialized but with change Biden to Harris started to take shape. Theres more to do, there is opportunity for both candidates. The Tenhall (?) hosted 2w ago for Harris and last week for Trump, avg 1m viewers on linear and also gain attention and generated &gt;100m impression across social and digital platform, waiting for Trump results but Harris saw 5% favorable move in perception after that. </t>
  </si>
  <si>
    <t>Q-BMO: DTC more color?</t>
  </si>
  <si>
    <t xml:space="preserve">DTC profitability in just 2y (wide margins v rest of industry), execution part of it but also different strategy worked. Focus on Spanish, able to leverage reach amongst Spanish speakers. Produce content at lower cost. Created 2 tiers, was beneficial. </t>
  </si>
  <si>
    <t>Today focused on much deeper integration between Televisa and Univision now that profitable ViX. Platform agnostic going forward. Focused on total company going forward. Content investment will be focused on smarter cross windowing (?) between companies to benefit the whole company.</t>
  </si>
  <si>
    <t>Q-DB: CF potential now that ViX profit, content costs? Deleveraging, non core tower, more monetization? Opportunity with capital markets?</t>
  </si>
  <si>
    <t>CF: CF positive this Q and expect year end to be CF positive. FCF generation improves, will use for debt repayment. FCF impacted by ViX invest but improved significantly v 2023, largest factor was differential between cash content spent and content amortization, more pronounced in streaming, now this differential is narrowing and neutralizing in next coming days.</t>
  </si>
  <si>
    <t xml:space="preserve">Vix Investments: Ensuring techno stack is scalable and robust, now ensuring engine running. Thinking about content for the whole company. Vix opportunity for more content, content creation with linear. Will continue to invest but focused on costs. </t>
  </si>
  <si>
    <t xml:space="preserve">Sport an important area, bidding go through the roof but TVUNI is different, centered on soccer in Mex and negotiated with teams instead of leagues. Magnitude is different vs other sport markets. </t>
  </si>
  <si>
    <t>Looking at efficiencies between Televisa and Univision, but now focused on core business.</t>
  </si>
  <si>
    <t>Q-Seaport: Linear in US and Mex, subs, ViX?</t>
  </si>
  <si>
    <t>Linear: Continue to navigate w/ cord cutting but good invested ahead of the curve in streaming</t>
  </si>
  <si>
    <t>In US linear is more capacity constraint, avg pricing remains at a discount. Working with distributors to include ViX (Charter) etc. Viewership going back up. Think other distributors will do like Charter.</t>
  </si>
  <si>
    <t>Looking at making ViX available in other markets (other part of LatAm).</t>
  </si>
  <si>
    <t>Televisa Q3 24 call</t>
  </si>
  <si>
    <t>Intro</t>
  </si>
  <si>
    <r>
      <t>·</t>
    </r>
    <r>
      <rPr>
        <sz val="12"/>
        <color theme="1"/>
        <rFont val="Times New Roman"/>
        <family val="1"/>
      </rPr>
      <t xml:space="preserve">       </t>
    </r>
    <r>
      <rPr>
        <sz val="12"/>
        <color theme="1"/>
        <rFont val="Aptos"/>
        <family val="2"/>
      </rPr>
      <t xml:space="preserve">Reorganization puts the company in good position to achieve sustainable revenue growth in the coming years. </t>
    </r>
  </si>
  <si>
    <r>
      <t>·</t>
    </r>
    <r>
      <rPr>
        <sz val="12"/>
        <color theme="1"/>
        <rFont val="Times New Roman"/>
        <family val="1"/>
      </rPr>
      <t xml:space="preserve">       </t>
    </r>
    <r>
      <rPr>
        <sz val="12"/>
        <color theme="1"/>
        <rFont val="Aptos"/>
        <family val="2"/>
      </rPr>
      <t xml:space="preserve">Profitability up almost 400bps to 39.4% vs. Q3 23. Cable EBITDA margins expand gradually thanks to efficiencies. </t>
    </r>
  </si>
  <si>
    <r>
      <t>·</t>
    </r>
    <r>
      <rPr>
        <sz val="12"/>
        <color theme="1"/>
        <rFont val="Times New Roman"/>
        <family val="1"/>
      </rPr>
      <t xml:space="preserve">       </t>
    </r>
    <r>
      <rPr>
        <sz val="12"/>
        <color theme="1"/>
        <rFont val="Aptos"/>
        <family val="2"/>
      </rPr>
      <t xml:space="preserve">Cable investments YTD almost $290m, sales intensity 800bps lower vs last year. More discipline subs acq approach and fibre expansion. </t>
    </r>
  </si>
  <si>
    <r>
      <t>·</t>
    </r>
    <r>
      <rPr>
        <sz val="12"/>
        <color theme="1"/>
        <rFont val="Times New Roman"/>
        <family val="1"/>
      </rPr>
      <t xml:space="preserve">       </t>
    </r>
    <r>
      <rPr>
        <sz val="12"/>
        <color theme="1"/>
        <rFont val="Aptos"/>
        <family val="2"/>
      </rPr>
      <t>OpFCF 8.8bn pesos, up ~40% y/y. +700bps y/y for cable OpFCF. Q4 will be heavier in terms of capex but think will end up the year below the revised guidance of $590m incl. $30m for Acapulco (expected to be reimbursed).</t>
    </r>
  </si>
  <si>
    <r>
      <t>·</t>
    </r>
    <r>
      <rPr>
        <sz val="12"/>
        <color theme="1"/>
        <rFont val="Times New Roman"/>
        <family val="1"/>
      </rPr>
      <t xml:space="preserve">       </t>
    </r>
    <r>
      <rPr>
        <sz val="12"/>
        <color theme="1"/>
        <rFont val="Aptos"/>
        <family val="2"/>
      </rPr>
      <t xml:space="preserve">8.5% cut in opex y/y 9m24 thanks to merger. 62m capex deployment, declined by 45% therefore Sky OpFCF &gt;2.5b pesos flat y/y. OpFCF m for Sky +210bps YTD. </t>
    </r>
  </si>
  <si>
    <r>
      <t>·</t>
    </r>
    <r>
      <rPr>
        <sz val="12"/>
        <color theme="1"/>
        <rFont val="Times New Roman"/>
        <family val="1"/>
      </rPr>
      <t xml:space="preserve">       </t>
    </r>
    <r>
      <rPr>
        <sz val="12"/>
        <color theme="1"/>
        <rFont val="Aptos"/>
        <family val="2"/>
      </rPr>
      <t>Group generated over 6.3bn pesos of FCF, 9m yield of 25%</t>
    </r>
  </si>
  <si>
    <r>
      <t>·</t>
    </r>
    <r>
      <rPr>
        <sz val="12"/>
        <color theme="1"/>
        <rFont val="Times New Roman"/>
        <family val="1"/>
      </rPr>
      <t xml:space="preserve">       </t>
    </r>
    <r>
      <rPr>
        <sz val="12"/>
        <color theme="1"/>
        <rFont val="Aptos"/>
        <family val="2"/>
      </rPr>
      <t>ViX profitable.</t>
    </r>
  </si>
  <si>
    <r>
      <t>·</t>
    </r>
    <r>
      <rPr>
        <sz val="12"/>
        <color theme="1"/>
        <rFont val="Times New Roman"/>
        <family val="1"/>
      </rPr>
      <t xml:space="preserve">       </t>
    </r>
    <r>
      <rPr>
        <sz val="12"/>
        <color theme="1"/>
        <rFont val="Aptos"/>
        <family val="2"/>
      </rPr>
      <t>Cable:</t>
    </r>
    <r>
      <rPr>
        <b/>
        <sz val="12"/>
        <color theme="1"/>
        <rFont val="Aptos"/>
        <family val="2"/>
      </rPr>
      <t xml:space="preserve"> </t>
    </r>
    <r>
      <rPr>
        <sz val="12"/>
        <color theme="1"/>
        <rFont val="Aptos"/>
        <family val="2"/>
      </rPr>
      <t>19.8m homes passed. Sky subs loss: mostly prepaid.</t>
    </r>
  </si>
  <si>
    <r>
      <t>·</t>
    </r>
    <r>
      <rPr>
        <sz val="12"/>
        <color theme="1"/>
        <rFont val="Times New Roman"/>
        <family val="1"/>
      </rPr>
      <t xml:space="preserve">       </t>
    </r>
    <r>
      <rPr>
        <sz val="12"/>
        <color theme="1"/>
        <rFont val="Aptos"/>
        <family val="2"/>
      </rPr>
      <t>Loss of rev due to the cancellation of Aficionados video package in Q2.</t>
    </r>
  </si>
  <si>
    <r>
      <t>·</t>
    </r>
    <r>
      <rPr>
        <sz val="12"/>
        <color theme="1"/>
        <rFont val="Times New Roman"/>
        <family val="1"/>
      </rPr>
      <t xml:space="preserve">       </t>
    </r>
    <r>
      <rPr>
        <sz val="12"/>
        <color theme="1"/>
        <rFont val="Aptos"/>
        <family val="2"/>
      </rPr>
      <t>Acapulco customers not paying yet.</t>
    </r>
  </si>
  <si>
    <r>
      <t>·</t>
    </r>
    <r>
      <rPr>
        <sz val="12"/>
        <color theme="1"/>
        <rFont val="Times New Roman"/>
        <family val="1"/>
      </rPr>
      <t xml:space="preserve">       </t>
    </r>
    <r>
      <rPr>
        <sz val="12"/>
        <color theme="1"/>
        <rFont val="Aptos"/>
        <family val="2"/>
      </rPr>
      <t xml:space="preserve">Enterprise rev decline due to not renewing an important contract with the Gov </t>
    </r>
  </si>
  <si>
    <r>
      <t>·</t>
    </r>
    <r>
      <rPr>
        <sz val="12"/>
        <color theme="1"/>
        <rFont val="Times New Roman"/>
        <family val="1"/>
      </rPr>
      <t xml:space="preserve">       </t>
    </r>
    <r>
      <rPr>
        <sz val="12"/>
        <color theme="1"/>
        <rFont val="Aptos"/>
        <family val="2"/>
      </rPr>
      <t xml:space="preserve">OSI margins expanded driven by efficiencies measures since Q3 23. </t>
    </r>
  </si>
  <si>
    <r>
      <t>·</t>
    </r>
    <r>
      <rPr>
        <sz val="12"/>
        <color theme="1"/>
        <rFont val="Times New Roman"/>
        <family val="1"/>
      </rPr>
      <t xml:space="preserve">       </t>
    </r>
    <r>
      <rPr>
        <b/>
        <sz val="12"/>
        <color theme="1"/>
        <rFont val="Aptos"/>
        <family val="2"/>
      </rPr>
      <t>TVUNI deleveraging</t>
    </r>
    <r>
      <rPr>
        <sz val="12"/>
        <color theme="1"/>
        <rFont val="Aptos"/>
        <family val="2"/>
      </rPr>
      <t>: Top priority. Beg of new phase. Reinvent the company. No more growth at any cost. Need to implement broad cost cutting, that’s the priority of Daniel Alegre.</t>
    </r>
  </si>
  <si>
    <r>
      <t>·</t>
    </r>
    <r>
      <rPr>
        <sz val="12"/>
        <color theme="1"/>
        <rFont val="Times New Roman"/>
        <family val="1"/>
      </rPr>
      <t xml:space="preserve">       </t>
    </r>
    <r>
      <rPr>
        <b/>
        <sz val="12"/>
        <color theme="1"/>
        <rFont val="Aptos"/>
        <family val="2"/>
      </rPr>
      <t>Compet BB+ churn</t>
    </r>
    <r>
      <rPr>
        <sz val="12"/>
        <color theme="1"/>
        <rFont val="Aptos"/>
        <family val="2"/>
      </rPr>
      <t>: Rational mkt. Px stable, some pl increasing px. All player trying to max rev growth. Some spike in churn bcs of price increase, typical, going back to historical level.</t>
    </r>
  </si>
  <si>
    <r>
      <t>·</t>
    </r>
    <r>
      <rPr>
        <sz val="12"/>
        <color theme="1"/>
        <rFont val="Times New Roman"/>
        <family val="1"/>
      </rPr>
      <t xml:space="preserve">       </t>
    </r>
    <r>
      <rPr>
        <b/>
        <sz val="12"/>
        <color theme="1"/>
        <rFont val="Aptos"/>
        <family val="2"/>
      </rPr>
      <t>OSI margins, bad debt:</t>
    </r>
    <r>
      <rPr>
        <sz val="12"/>
        <color theme="1"/>
        <rFont val="Aptos"/>
        <family val="2"/>
      </rPr>
      <t xml:space="preserve"> Bad debt not an issue, no material impact on margins. OSI margin up 60bps y/y thanks to efficiency measures since Q3 23 in cable segment. Further synergies should be obtained. 7% cut in opex y/y over Q3. Expect gradual improvement in margin, renegotiation content ctr, improve sales channels, integration Sky with Cable etc. On a sequential basis, OSI margin contracted by 60bps as pace of sequential rev at Sky was faster than synergies realization, expect that to chg over coming quarters as pace of synergies chg.</t>
    </r>
  </si>
  <si>
    <r>
      <t>·</t>
    </r>
    <r>
      <rPr>
        <sz val="12"/>
        <color theme="1"/>
        <rFont val="Times New Roman"/>
        <family val="1"/>
      </rPr>
      <t xml:space="preserve">       </t>
    </r>
    <r>
      <rPr>
        <b/>
        <sz val="12"/>
        <color theme="1"/>
        <rFont val="Aptos"/>
        <family val="2"/>
      </rPr>
      <t>How much synergies this Q:</t>
    </r>
    <r>
      <rPr>
        <sz val="12"/>
        <color theme="1"/>
        <rFont val="Aptos"/>
        <family val="2"/>
      </rPr>
      <t xml:space="preserve"> YE all platform integrated, will see at YE. Now additional exp bcs integrated companies.</t>
    </r>
  </si>
  <si>
    <r>
      <t>·</t>
    </r>
    <r>
      <rPr>
        <sz val="12"/>
        <color theme="1"/>
        <rFont val="Times New Roman"/>
        <family val="1"/>
      </rPr>
      <t xml:space="preserve">       </t>
    </r>
    <r>
      <rPr>
        <b/>
        <sz val="12"/>
        <color theme="1"/>
        <rFont val="Aptos"/>
        <family val="2"/>
      </rPr>
      <t>FCF gen:</t>
    </r>
    <r>
      <rPr>
        <sz val="12"/>
        <color theme="1"/>
        <rFont val="Aptos"/>
        <family val="2"/>
      </rPr>
      <t xml:space="preserve"> Will see also good FCF in Q4. Improved in past 2Q. Most important aspect: efficiencies. Leaner ops, better WC mgt, capex more efficient. Capex boosted FCF massively. Corpo organization streamlined. All combined explain FCF good this year vs last year.</t>
    </r>
  </si>
  <si>
    <r>
      <t>·</t>
    </r>
    <r>
      <rPr>
        <sz val="12"/>
        <color theme="1"/>
        <rFont val="Times New Roman"/>
        <family val="1"/>
      </rPr>
      <t xml:space="preserve">       </t>
    </r>
    <r>
      <rPr>
        <b/>
        <sz val="12"/>
        <color theme="1"/>
        <rFont val="Aptos"/>
        <family val="2"/>
      </rPr>
      <t>Price ups:</t>
    </r>
    <r>
      <rPr>
        <sz val="12"/>
        <color theme="1"/>
        <rFont val="Aptos"/>
        <family val="2"/>
      </rPr>
      <t xml:space="preserve"> Did in March. Anticipating that when adding new products (mobile revamped) these things will help increase ARPU. </t>
    </r>
  </si>
  <si>
    <r>
      <t>·</t>
    </r>
    <r>
      <rPr>
        <sz val="12"/>
        <color theme="1"/>
        <rFont val="Times New Roman"/>
        <family val="1"/>
      </rPr>
      <t xml:space="preserve">       </t>
    </r>
    <r>
      <rPr>
        <b/>
        <sz val="12"/>
        <color theme="1"/>
        <rFont val="Aptos"/>
        <family val="2"/>
      </rPr>
      <t>Capex</t>
    </r>
    <r>
      <rPr>
        <sz val="12"/>
        <color theme="1"/>
        <rFont val="Aptos"/>
        <family val="2"/>
      </rPr>
      <t>: Said capex $650m for FY, $550m cable $90m Sky $10m corpo -&gt; most capex sales related, if maintained subs adds reasonable and reduce churn, we should have LSD subs growth in MT.  Capex to sale this year close to 20%. In 2023: 23% from 27% in 2022.</t>
    </r>
  </si>
  <si>
    <r>
      <t>·</t>
    </r>
    <r>
      <rPr>
        <sz val="12"/>
        <color theme="1"/>
        <rFont val="Times New Roman"/>
        <family val="1"/>
      </rPr>
      <t xml:space="preserve">       </t>
    </r>
    <r>
      <rPr>
        <b/>
        <sz val="12"/>
        <color theme="1"/>
        <rFont val="Aptos"/>
        <family val="2"/>
      </rPr>
      <t>Cash tax</t>
    </r>
    <r>
      <rPr>
        <sz val="12"/>
        <color theme="1"/>
        <rFont val="Aptos"/>
        <family val="2"/>
      </rPr>
      <t>: In Q3 last year recognized non cash income tax expense had to do with previous years,  seeing decline Q after Q.</t>
    </r>
  </si>
  <si>
    <r>
      <t>·</t>
    </r>
    <r>
      <rPr>
        <sz val="12"/>
        <color theme="1"/>
        <rFont val="Times New Roman"/>
        <family val="1"/>
      </rPr>
      <t xml:space="preserve">       </t>
    </r>
    <r>
      <rPr>
        <b/>
        <sz val="12"/>
        <color theme="1"/>
        <rFont val="Aptos"/>
        <family val="2"/>
      </rPr>
      <t>Sky perf</t>
    </r>
    <r>
      <rPr>
        <sz val="12"/>
        <color theme="1"/>
        <rFont val="Aptos"/>
        <family val="2"/>
      </rPr>
      <t xml:space="preserve">: Issue with the technology. Hard to compete with expansion of the network. Trying to limit the speed of decline. Relaunching some Sky mass in Nov, will help. </t>
    </r>
  </si>
  <si>
    <r>
      <t>·</t>
    </r>
    <r>
      <rPr>
        <sz val="12"/>
        <color theme="1"/>
        <rFont val="Times New Roman"/>
        <family val="1"/>
      </rPr>
      <t xml:space="preserve">       </t>
    </r>
    <r>
      <rPr>
        <b/>
        <sz val="12"/>
        <color theme="1"/>
        <rFont val="Aptos"/>
        <family val="2"/>
      </rPr>
      <t>Cable soft trends in Enterprise</t>
    </r>
    <r>
      <rPr>
        <sz val="12"/>
        <color theme="1"/>
        <rFont val="Aptos"/>
        <family val="2"/>
      </rPr>
      <t xml:space="preserve">: Bcs lost bidding process for a large Gov contract. </t>
    </r>
  </si>
  <si>
    <r>
      <t>·</t>
    </r>
    <r>
      <rPr>
        <sz val="12"/>
        <color theme="1"/>
        <rFont val="Times New Roman"/>
        <family val="1"/>
      </rPr>
      <t xml:space="preserve">       </t>
    </r>
    <r>
      <rPr>
        <sz val="12"/>
        <color theme="1"/>
        <rFont val="Aptos"/>
        <family val="2"/>
      </rPr>
      <t xml:space="preserve">DTC: Done good with ViX. Subs side also proven successful. More competition in streaming Spanish. We have Televisa library largest in Spanish in the world, this is powerful. Factory in Mexico is the largest in the World too. Have attractive production costs. Cash flow used for reducing debt. IG rating is important. </t>
    </r>
  </si>
  <si>
    <t xml:space="preserve">Post Q4 12 </t>
  </si>
  <si>
    <t>Economy</t>
  </si>
  <si>
    <t>AMX talking about weakness</t>
  </si>
  <si>
    <t>Have you seen anything?</t>
  </si>
  <si>
    <t>Iusacell growth impacted Telcel. AMX have to say something</t>
  </si>
  <si>
    <t>Forecasts are based on prudent forecasts</t>
  </si>
  <si>
    <t>Concern on 2013  expectations is the key issue</t>
  </si>
  <si>
    <t>What's happening to growth</t>
  </si>
  <si>
    <t>ARPU down in Cablemas?</t>
  </si>
  <si>
    <t>Why the increase in capex</t>
  </si>
  <si>
    <t>Margin very strong at TVI?</t>
  </si>
  <si>
    <t>TVI is disappointing</t>
  </si>
  <si>
    <t>Quality issues, partly due to acquisitions</t>
  </si>
  <si>
    <t>Still has original management team, CFO changed. Founder still running the business</t>
  </si>
  <si>
    <t>Cablemas - seasonality. 2 consecutive quarters. Promotions at start of year, paying revs up front for one month free (12m)</t>
  </si>
  <si>
    <t>FY 2012 a decent guide for 2013</t>
  </si>
  <si>
    <t>Capex, want to stop being dependent on Telmex. Building therefore</t>
  </si>
  <si>
    <t xml:space="preserve">Higher share of network for dual- or triple-play. Picking </t>
  </si>
  <si>
    <t>Telmex launched a naked DSL service</t>
  </si>
  <si>
    <t>Check Q4 growth rate in local fx…?</t>
  </si>
  <si>
    <t>Run through the 0.7pp increase in pricing. What does this mean exactly?</t>
  </si>
  <si>
    <t xml:space="preserve">Up front 0.7pp. </t>
  </si>
  <si>
    <t>Small amount of govt revs not contributed</t>
  </si>
  <si>
    <t>If confident on 2013, buy a lot in the up front.</t>
  </si>
  <si>
    <t>Scatter markets makes up the difference</t>
  </si>
  <si>
    <t>FX - bear in mind</t>
  </si>
  <si>
    <t>Does this imply anything for the allocation?</t>
  </si>
  <si>
    <t>How does this translate into mid single-digit growth</t>
  </si>
  <si>
    <t>The margin weakness…higher subsidies/set top boxes?</t>
  </si>
  <si>
    <t>Subs growth is tremendous</t>
  </si>
  <si>
    <t>Check the contribution to Q4 associates</t>
  </si>
  <si>
    <t>Capital injections from Q1 or H1</t>
  </si>
  <si>
    <t>Thoughts on Univision for 2013?</t>
  </si>
  <si>
    <t>D&amp;A charge in Q4 should be annualised for 2013?</t>
  </si>
  <si>
    <t>Biggest cost is royalty</t>
  </si>
  <si>
    <t>Yes</t>
  </si>
  <si>
    <t>Round 4</t>
  </si>
  <si>
    <t>Dividends paid by SKY, cable?</t>
  </si>
  <si>
    <t>Round 3 of questions</t>
  </si>
  <si>
    <t>SKY has exclusive content but more so than Televisa cable cos. Is this right?</t>
  </si>
  <si>
    <t>Check number of shares in issue</t>
  </si>
  <si>
    <t>Results date?</t>
  </si>
  <si>
    <t>Dividend policy?</t>
  </si>
  <si>
    <t>TotalPlay fibre offering from Iusacell?</t>
  </si>
  <si>
    <t>Share price weakness early 2009?</t>
  </si>
  <si>
    <t>Consensus numbers look low. Are these reliable?</t>
  </si>
  <si>
    <t>Anna sheet</t>
  </si>
  <si>
    <t>What are consensus SOP's valuing Televisa at?</t>
  </si>
  <si>
    <t>Equity in losses of affiliates? Why not profits?</t>
  </si>
  <si>
    <t>Any more on Iusacell?</t>
  </si>
  <si>
    <t>Dish being aggressive?</t>
  </si>
  <si>
    <t>Does it matter if can't get TV content as should be available over terrestrial TV no?</t>
  </si>
  <si>
    <t>What's missing from the Dish package i.e. what is the TV content over pay TV?</t>
  </si>
  <si>
    <t>Double check regulation in terms of Dish being able to show TV content?</t>
  </si>
  <si>
    <t>Is there an entry level SKY package to compete with Dish?</t>
  </si>
  <si>
    <t>Is P$229 the cheapest deal? Looks so on the website?</t>
  </si>
  <si>
    <t>Round 2 of questions</t>
  </si>
  <si>
    <t>To do</t>
  </si>
  <si>
    <t>Balance balance sheet</t>
  </si>
  <si>
    <t>Finish off P&amp;L and sort out mins, associates and net</t>
  </si>
  <si>
    <t>Are Univision loyalty fees taxed? At what rate?</t>
  </si>
  <si>
    <t>Why network subcription revenue so strong in Q4 11 but fell in Q1 12?</t>
  </si>
  <si>
    <t>fx?</t>
  </si>
  <si>
    <t>Check royalty payments from Univision continue after 2025? - I think assuming equity participation remains</t>
  </si>
  <si>
    <t>If can't own &gt;25% of US media business, what happens when converts?</t>
  </si>
  <si>
    <t>This relationship will grow</t>
  </si>
  <si>
    <t>2018: US$5-600m is the target for revenue from Univision</t>
  </si>
  <si>
    <t>Univision will stop paying fees to Venevision, 25 yr agreement signed in 1992/3. 50% of what paying TV (9.36%), paying Venevision 4% or so</t>
  </si>
  <si>
    <t>Will lose Venezuelan content</t>
  </si>
  <si>
    <t>Some efforts being pushed for to eliminate the 25% ownership rule. General change in law. Signed in 1934</t>
  </si>
  <si>
    <t>Pay TV is not regulated, for instance</t>
  </si>
  <si>
    <t>5 private equity investments</t>
  </si>
  <si>
    <t>PE made US$4bn of equity, with US$10bn of debt. Sold US$1.2bn (25%) at 44% discount of their in-price</t>
  </si>
  <si>
    <t>Not likely see anything in next couple of years</t>
  </si>
  <si>
    <t>Advertising includes national networks and that coming from pay TV? Assume the step change following re-statement is from pay TV but the bulk coming from national networks?</t>
  </si>
  <si>
    <t>Why the slowdown in H2 implied by guidance? (8% growth after 14% in Q1 and 10% in Q2). FX doesn't quite get there</t>
  </si>
  <si>
    <t>Implies growth of  4-5% for H2 12?</t>
  </si>
  <si>
    <t>Same underlying growth in H2 as in H1 (7.7%)</t>
  </si>
  <si>
    <t>Implies low/mid-single digit for 2013. How should we grow this going forward?</t>
  </si>
  <si>
    <t>Election in December…spend ahead of leaving the govt</t>
  </si>
  <si>
    <t>Low single digits if not spend ahead of December</t>
  </si>
  <si>
    <t>Advertising revenues. Before 2008, apply revenue growth to GDP. 1.4x</t>
  </si>
  <si>
    <t>Relationship has broken down</t>
  </si>
  <si>
    <t>Limited pricing power, even with dominant share</t>
  </si>
  <si>
    <t>Low single digit…therefore</t>
  </si>
  <si>
    <t>Pay TV enables segmentation of advertising revenues..</t>
  </si>
  <si>
    <t>6 mins per hour max on pay TV</t>
  </si>
  <si>
    <t>12 mins on regular</t>
  </si>
  <si>
    <t>Network subscription - sale of channels to pay TV?</t>
  </si>
  <si>
    <t>Double digits. Link to pay TV penetration</t>
  </si>
  <si>
    <t>60-65%...another 2-3 years</t>
  </si>
  <si>
    <t>32m subscriptions…average of 3 channels</t>
  </si>
  <si>
    <t>9m in Mexico get 14 channels</t>
  </si>
  <si>
    <t>Selling entire channels</t>
  </si>
  <si>
    <t>Licensing and syndication?</t>
  </si>
  <si>
    <t>70% is Univision royalties</t>
  </si>
  <si>
    <t>Rest doesn't really grow</t>
  </si>
  <si>
    <t>Includes Netflix…US$10-20m. From Q3 2012 will lose the benefit of this comp</t>
  </si>
  <si>
    <t>Payment..Netflix relies on a monthly payment via credit cards</t>
  </si>
  <si>
    <t>600,000 Cablevision.. Only 10% use a credit card. Only half give over the phone/internet</t>
  </si>
  <si>
    <t>Netflix is a solution to high priced pay TV. Therefore more of a high-end solution. Targeting a higher market</t>
  </si>
  <si>
    <t>Only 30% PC penetration, BB penetration is low</t>
  </si>
  <si>
    <t>Some affiliate fees</t>
  </si>
  <si>
    <t>get an incremental</t>
  </si>
  <si>
    <t>4 channels from TV, but not with Digital quality</t>
  </si>
  <si>
    <t>Typically, how cyclical is the content business? Grow in-line with nominal GDP?</t>
  </si>
  <si>
    <t>Network subscription revs up 30%. What's driving this?</t>
  </si>
  <si>
    <t>USD I think</t>
  </si>
  <si>
    <t>Check where advertising revs from SKY and cable cos are booked</t>
  </si>
  <si>
    <t>What's the seasonality in Content in Q1? Why low and typically higher in the remainder of the year?</t>
  </si>
  <si>
    <t>Tend to make larger content investments in Q1</t>
  </si>
  <si>
    <t>47% is the content margin guidance</t>
  </si>
  <si>
    <t>How are satellites booked and paid for (cash)</t>
  </si>
  <si>
    <t>US$450m capital lease. Launched earlier this month</t>
  </si>
  <si>
    <t>Cash payment on a monthly basis, US$3m per month. Partly as an operating expense, partly interest expense</t>
  </si>
  <si>
    <t>15 years, accounted for over the life</t>
  </si>
  <si>
    <t>Capex is mainly the boxes and equipment sales. Potential for US$250 to trend down</t>
  </si>
  <si>
    <t>A lot of growth comes from low-end. Branded under Ve-TV. Priced at a similar level to Dish</t>
  </si>
  <si>
    <t>Can disconnect for a month or so</t>
  </si>
  <si>
    <t xml:space="preserve">Longer-term capex/sales at SKY Mex </t>
  </si>
  <si>
    <t>Check Volaris has been sold</t>
  </si>
  <si>
    <t>Equity accounted for 40.% stake in La Sexta. Imagina still equity accounted for?</t>
  </si>
  <si>
    <t>What is consensus valuing the content business at vs cable, SKY Mexico, Iusacell and Univision?</t>
  </si>
  <si>
    <t>Capex set to fall in cable cos from 2014 once digitisation completed?</t>
  </si>
  <si>
    <t>40% of US$475m is subs driven</t>
  </si>
  <si>
    <t>30% is regular/maintenance capex</t>
  </si>
  <si>
    <t>30% is updating Cablemas to fibre from co-ax. City by city</t>
  </si>
  <si>
    <t>Cablevision…residential and corporate side. Corporate speeds up to 100 Mbps</t>
  </si>
  <si>
    <t>Why did RGU's slow so much in Q2?</t>
  </si>
  <si>
    <t>Rising churn, particularly in TVI (North). Due to shortages in the service, problems with the grid (hot Spring, early Summer)</t>
  </si>
  <si>
    <t>Cablemas is going through digitalisation process. Changing the boxes in several homes. Customers cancelled</t>
  </si>
  <si>
    <t>Went through the same process with Cablevision in 2009. Had a lot of piracy</t>
  </si>
  <si>
    <t>Q1 should be more reflective of trends going forward</t>
  </si>
  <si>
    <t>According to Cofetel numbers, where do all the 'other' fixed voice lines come from?</t>
  </si>
  <si>
    <t>Why Cofetel reporting a strong step up in market-wide corporate voice lines in June..definitional issue?</t>
  </si>
  <si>
    <t>Double check all the cash from Televisa is on the Iusacell balance sheet. It should be considered as net cash, no?</t>
  </si>
  <si>
    <t>Thoughts on a further equity injection into Iusacell?</t>
  </si>
  <si>
    <t>Need to say something to the market</t>
  </si>
  <si>
    <t>Cannot compete on pricing. Have an edge on spectrum per sub</t>
  </si>
  <si>
    <t>Compete on quality</t>
  </si>
  <si>
    <t>Subsidising handsets…subs growth is good</t>
  </si>
  <si>
    <t>Leverage on cable, arms length agreement</t>
  </si>
  <si>
    <t>Will not put good money after bad</t>
  </si>
  <si>
    <t>ARPU in 2010, half of Nextel. P$255 end 2009</t>
  </si>
  <si>
    <t>A lot wealthy residential customers today</t>
  </si>
  <si>
    <t>Unefon goes for low-end</t>
  </si>
  <si>
    <t xml:space="preserve">Iusacell goes for </t>
  </si>
  <si>
    <t>"Other businesses"</t>
  </si>
  <si>
    <t>Why are these profitable at EBITDA in 2012 relative to loss making in 2011</t>
  </si>
  <si>
    <t>Any one-offs in Q1 or Q2?</t>
  </si>
  <si>
    <t>3rd broadcaster</t>
  </si>
  <si>
    <t>What's the latest on this? Who is rumoured to be interested..?</t>
  </si>
  <si>
    <t>No big threat from a 3rd network. Barriers to entry is high. Need to produce content</t>
  </si>
  <si>
    <t>TV has contracts in place with the Spanish content providers (Telemundo from Spain)</t>
  </si>
  <si>
    <t>No obligation to wholesale Televisa content</t>
  </si>
  <si>
    <t>Carlos Slim too smart to enter. Unlikely to enter..</t>
  </si>
  <si>
    <t>If had content, would start to sell it already</t>
  </si>
  <si>
    <t>Azteca entered at a very different time. Televisa was more disorganised</t>
  </si>
  <si>
    <t>Why tax rate so low?</t>
  </si>
  <si>
    <t>Round 1 of questions</t>
  </si>
  <si>
    <t>Guide to financials</t>
  </si>
  <si>
    <t>5.7% share of subs as of 2011. More or less of revenue?</t>
  </si>
  <si>
    <t>What's happened since takeover?</t>
  </si>
  <si>
    <t>Any agreement with Salinas - call, put options?</t>
  </si>
  <si>
    <t>Iusacell equity accounted from 1 July?</t>
  </si>
  <si>
    <t>Is any of the 1.5bn staying in the business? What is the net debt?</t>
  </si>
  <si>
    <t>Iusacell vs Unefon brand?</t>
  </si>
  <si>
    <t>$1.5bn for 50% - how does this compare to fair value?</t>
  </si>
  <si>
    <t>Deal with TEF Mexico. Potential for an acquisition of TEF Mexico?</t>
  </si>
  <si>
    <t>What were the anti-trust requirements exactly for the Iusacell deal to go through?</t>
  </si>
  <si>
    <t>Ownership can be dissolved if 3rd TV licence not awarded?</t>
  </si>
  <si>
    <t>Televisa and Azteca will need to sell channels to other cable cos</t>
  </si>
  <si>
    <t>Also, Dish prevented from selling broadcast channels over network? What's it got to do with Dish</t>
  </si>
  <si>
    <t>Potential for regulatory change on interconnect</t>
  </si>
  <si>
    <t>Comfortable with spectrum? Need to bid in AWS extension?</t>
  </si>
  <si>
    <t>Running 3 networks..CDMA (3G), GSM (2G) and W-CDMA (3G)</t>
  </si>
  <si>
    <t>How did this arise?</t>
  </si>
  <si>
    <t>Most handsets on website are GSM or HSPA+ (flavour of W-CDMA). What's happening to CDMA network?</t>
  </si>
  <si>
    <t>Cellular band: GSM, PCS is HSPA+</t>
  </si>
  <si>
    <t>Future success for cable?</t>
  </si>
  <si>
    <t>Check ownership levels of all cable cos</t>
  </si>
  <si>
    <t>Is there any geographic overlap?</t>
  </si>
  <si>
    <t>Buy out minorities and merge assets. Any synergies here?</t>
  </si>
  <si>
    <t>Any differences in terms of network upgrades, DOCSIS 3.0 etc</t>
  </si>
  <si>
    <t>Current capex cycle..what's it being spent on? Ease capex into 2011?</t>
  </si>
  <si>
    <t>When are you going to see cash generation come through i.e. when will capex start to fall (actually going up in 2012) to 42% of sales</t>
  </si>
  <si>
    <t>Why are margins so high at Bestel. 30% a sustainable margin…seems high?</t>
  </si>
  <si>
    <t>Consolidation potential i.e. Megacable up for sale? Megacable is Guadalajara and anywhere else?</t>
  </si>
  <si>
    <t>Media</t>
  </si>
  <si>
    <t>Prospect and timing of a 3rd broadcast licence (Televisa and Azteca currently)</t>
  </si>
  <si>
    <t>Mexican economy as a guide for content sales? 7-8% vs nominal GDP growth of about the same?</t>
  </si>
  <si>
    <t>why are ARPUs so low? (US$20, compared to US$50 in Brazil…halved in 4 years)</t>
  </si>
  <si>
    <t>how are margins so high (50% at EBITDA) compared to SKY Brasil. Direction of margins going forward?</t>
  </si>
  <si>
    <t>growth v strong</t>
  </si>
  <si>
    <t>what's happening with 2.3 GHz spectrum?</t>
  </si>
  <si>
    <t>what's the status of MMDS? When let go of 2.6 GHz?</t>
  </si>
  <si>
    <t>Is MMDS reasonably active in Mexico?</t>
  </si>
  <si>
    <t>How much of capex is set-top boxes - almost all? Why was capex so high in 2010. Satellite launch, anything more planned here?</t>
  </si>
  <si>
    <t>Direct TV sold down out of SKY Brasil. Potential to raise stake here?</t>
  </si>
  <si>
    <t>How successful is VETV. How does pre paid satellite work? Who pays for the kit?</t>
  </si>
  <si>
    <t>DTT is gaining traction through HiTV. Includes Televisa's over-the-air content. What does this include, is this compelling?</t>
  </si>
  <si>
    <t>Total Play, a FTTH provifer from Salinas Group. How much investment is happening here?</t>
  </si>
  <si>
    <t>Pay TV generally</t>
  </si>
  <si>
    <t>Combined share of TV is &gt;50% through SKY (35%) and Cable (20%). Is there a cap to where market share can go from a Reg perspective?</t>
  </si>
  <si>
    <t>Where see penetration going to?</t>
  </si>
  <si>
    <t xml:space="preserve">how much is Dish actually helping Telmex </t>
  </si>
  <si>
    <t>how much DTH and 3-play is Telmex selling?</t>
  </si>
  <si>
    <t>prospect for Telmex offering TV in the near future?</t>
  </si>
  <si>
    <t>What is the ownership of these businesses?</t>
  </si>
  <si>
    <t>Why is 'Other' loss making at EBITDA?</t>
  </si>
  <si>
    <t>Room to streamline the assets?</t>
  </si>
  <si>
    <t>Publishing distribution. 40,000 POS. Use this to sell Iusacell?</t>
  </si>
  <si>
    <t>Televisa Interactive Media: on-line, wireless content</t>
  </si>
  <si>
    <t>Football - clubs and stadium</t>
  </si>
  <si>
    <t>Film production</t>
  </si>
  <si>
    <t>Sports/show business promotion</t>
  </si>
  <si>
    <t>Radio stations</t>
  </si>
  <si>
    <t>Investments</t>
  </si>
  <si>
    <t>Cash investment of $1.255bn (Dec 10)</t>
  </si>
  <si>
    <t>Implied 100%</t>
  </si>
  <si>
    <t>1.5% (2025) convert of $1.125bn and a 5% equity stake. Converts into 30% of the equity</t>
  </si>
  <si>
    <t>2.1% acquired in Dec 11 for $49m</t>
  </si>
  <si>
    <t>Right to buy another 5% at the time of the deal…2.1% in Dec 11 is part of this?</t>
  </si>
  <si>
    <t>Where are the royalty payments booked to?</t>
  </si>
  <si>
    <t>Either value the royalty payments, and strip these out of Univision, or vice versa</t>
  </si>
  <si>
    <t>Run through of the $1.2bn capital injection. Did all partners put equity in?</t>
  </si>
  <si>
    <t>How to value Broadcasting Media Partners (BMP)</t>
  </si>
  <si>
    <t>Financial/other</t>
  </si>
  <si>
    <t>How much net debt is there in SKY Mexico and the cable cos?</t>
  </si>
  <si>
    <t>SKY gross debt - all guaranteed by Televisa?</t>
  </si>
  <si>
    <t>How much cash?</t>
  </si>
  <si>
    <t>2012, 2013 and 2016</t>
  </si>
  <si>
    <t>Cash return profile?</t>
  </si>
  <si>
    <t>Deal in the US</t>
  </si>
  <si>
    <t>IPO of Univision?</t>
  </si>
  <si>
    <t>Mobile strategy? Good 2025? What kind of EBITDA margins?</t>
  </si>
  <si>
    <t>P$</t>
  </si>
  <si>
    <t>Basic</t>
  </si>
  <si>
    <t>Channels</t>
  </si>
  <si>
    <t>BasicoMAS</t>
  </si>
  <si>
    <t>Top</t>
  </si>
  <si>
    <t>&gt; 40</t>
  </si>
  <si>
    <t>&gt; 60</t>
  </si>
  <si>
    <t>&gt;70</t>
  </si>
  <si>
    <t>3-play</t>
  </si>
  <si>
    <t>2-play (voice + BB)</t>
  </si>
  <si>
    <t>Naked BB</t>
  </si>
  <si>
    <t>Naked voice</t>
  </si>
  <si>
    <t>Mini Basico</t>
  </si>
  <si>
    <t>Yoo</t>
  </si>
  <si>
    <t>Yoo +</t>
  </si>
  <si>
    <t>Yoo + illimitado</t>
  </si>
  <si>
    <t>Yoo 2</t>
  </si>
  <si>
    <t>Yoo 2 +</t>
  </si>
  <si>
    <t>&gt;35</t>
  </si>
  <si>
    <t>&gt;40</t>
  </si>
  <si>
    <t>F-F (local)</t>
  </si>
  <si>
    <t>F-M</t>
  </si>
  <si>
    <t>Yoo Digital</t>
  </si>
  <si>
    <t>Basic Digital</t>
  </si>
  <si>
    <t>Yoo Phone</t>
  </si>
  <si>
    <t>Yoo Basic</t>
  </si>
  <si>
    <t>Yoo More All in 1</t>
  </si>
  <si>
    <t>Mexico City</t>
  </si>
  <si>
    <t xml:space="preserve">&gt;70 </t>
  </si>
  <si>
    <t xml:space="preserve">&gt;165 </t>
  </si>
  <si>
    <t>Yoo 1MB</t>
  </si>
  <si>
    <t>Yoo 2MB</t>
  </si>
  <si>
    <t>Yoo 4MB</t>
  </si>
  <si>
    <t>&gt;150</t>
  </si>
  <si>
    <t>Total Play (fibre)</t>
  </si>
  <si>
    <t>owned by Iusacell</t>
  </si>
  <si>
    <t>3-play deals</t>
  </si>
  <si>
    <t>Move to 100 MB for an extra P$2999</t>
  </si>
  <si>
    <t>Naked BB deals</t>
  </si>
  <si>
    <t>Average Televisa price</t>
  </si>
  <si>
    <t>Telmex dual-play</t>
  </si>
  <si>
    <t>inc</t>
  </si>
  <si>
    <t>F-F (national)</t>
  </si>
  <si>
    <t>Voice value, P$</t>
  </si>
  <si>
    <t>Televisa adj for voice value</t>
  </si>
  <si>
    <t>Televisa discount to dual-play</t>
  </si>
  <si>
    <t>April-2018 update</t>
  </si>
  <si>
    <t>blue telecomm (wired)</t>
  </si>
  <si>
    <t>Discount to</t>
  </si>
  <si>
    <t>Discount</t>
  </si>
  <si>
    <t>Internet / voice</t>
  </si>
  <si>
    <t>unlim</t>
  </si>
  <si>
    <t>Internet / voice **</t>
  </si>
  <si>
    <t>200 cell, 100 local/int.</t>
  </si>
  <si>
    <t>Claro Video inc</t>
  </si>
  <si>
    <t>No contract</t>
  </si>
  <si>
    <t>Internet / TV</t>
  </si>
  <si>
    <t>x3 play</t>
  </si>
  <si>
    <t>local calls</t>
  </si>
  <si>
    <t>150 channels</t>
  </si>
  <si>
    <t>349 (379)</t>
  </si>
  <si>
    <t>499 (529</t>
  </si>
  <si>
    <t>108 channels</t>
  </si>
  <si>
    <t>599 (629</t>
  </si>
  <si>
    <t>130 channels</t>
  </si>
  <si>
    <t>749 (779)</t>
  </si>
  <si>
    <t>221 channels</t>
  </si>
  <si>
    <t>799 (829)</t>
  </si>
  <si>
    <t>259 channels</t>
  </si>
  <si>
    <t>"Total XVIEW"</t>
  </si>
  <si>
    <t>AT&amp;T wireless</t>
  </si>
  <si>
    <t>discount*</t>
  </si>
  <si>
    <t>blue telecomm wireless</t>
  </si>
  <si>
    <t>blue telecomm fixed (wholesale DSL)</t>
  </si>
  <si>
    <t>Subscriber model</t>
  </si>
  <si>
    <t>Population</t>
  </si>
  <si>
    <t>Market subs</t>
  </si>
  <si>
    <t>Telcel (AMX)</t>
  </si>
  <si>
    <t>TEM</t>
  </si>
  <si>
    <t>Unefon</t>
  </si>
  <si>
    <t>Nextel Int'l</t>
  </si>
  <si>
    <t>Average Iusacell subs</t>
  </si>
  <si>
    <t>ARPU in US$</t>
  </si>
  <si>
    <t>vs AMX</t>
  </si>
  <si>
    <t>AMX ARPU in US$</t>
  </si>
  <si>
    <t>Inbound MTR rate, Ps/ min</t>
  </si>
  <si>
    <t>- assume inbound revs</t>
  </si>
  <si>
    <t>as % service</t>
  </si>
  <si>
    <t>inbound mins</t>
  </si>
  <si>
    <t>inbound MOU/sub</t>
  </si>
  <si>
    <t>Handset sales</t>
  </si>
  <si>
    <t>as %  total</t>
  </si>
  <si>
    <t>Total revs</t>
  </si>
  <si>
    <t>Revenue in US$</t>
  </si>
  <si>
    <t>Interconnect costs</t>
  </si>
  <si>
    <t>Outbound MTR rate, Ps/ min</t>
  </si>
  <si>
    <t>Outbound mins</t>
  </si>
  <si>
    <t>Outbound MOU</t>
  </si>
  <si>
    <t>as % revenue</t>
  </si>
  <si>
    <t>EBITDA in US$</t>
  </si>
  <si>
    <t>Capex in US$</t>
  </si>
  <si>
    <t>Capex/depreciation</t>
  </si>
  <si>
    <t>Licence spend, USD</t>
  </si>
  <si>
    <t>OpFCF (pre licences)</t>
  </si>
  <si>
    <t>OpFCF in US$</t>
  </si>
  <si>
    <t>Interest charge</t>
  </si>
  <si>
    <t>Rate</t>
  </si>
  <si>
    <t>implied rate</t>
  </si>
  <si>
    <t>Net interest expense</t>
  </si>
  <si>
    <t>rate</t>
  </si>
  <si>
    <t>EFCF inc licences</t>
  </si>
  <si>
    <t>check:</t>
  </si>
  <si>
    <t>Equity/converts injection, MXN</t>
  </si>
  <si>
    <t>Equity/converts injection, US$</t>
  </si>
  <si>
    <t>Net debt, MXN</t>
  </si>
  <si>
    <t>Net debt, US$</t>
  </si>
  <si>
    <t>Gross debt, MXN</t>
  </si>
  <si>
    <t>Gross debt, US$</t>
  </si>
  <si>
    <t>Cash, MXN</t>
  </si>
  <si>
    <t>Cash, US$</t>
  </si>
  <si>
    <t>DCF, in US$</t>
  </si>
  <si>
    <t>NPV of FCF</t>
  </si>
  <si>
    <t>PV of TV</t>
  </si>
  <si>
    <t>2015 net debt</t>
  </si>
  <si>
    <t>Licence liability</t>
  </si>
  <si>
    <t>Televisa paid</t>
  </si>
  <si>
    <t>50% of equity</t>
  </si>
  <si>
    <t>Net debt pre equity</t>
  </si>
  <si>
    <t>post equity</t>
  </si>
  <si>
    <t>Iusacell (GSF Holding), from 20F</t>
  </si>
  <si>
    <t>Balance sheet value, Ps m</t>
  </si>
  <si>
    <t>Balance sheet value, $m</t>
  </si>
  <si>
    <t>Univision, US$m</t>
  </si>
  <si>
    <t>Revenue-ex World Cup</t>
  </si>
  <si>
    <t xml:space="preserve"> - of which retrans</t>
  </si>
  <si>
    <t xml:space="preserve"> - of which Ad</t>
  </si>
  <si>
    <t>One-off items</t>
  </si>
  <si>
    <t>Adjusted EBITDA</t>
  </si>
  <si>
    <t>Implied opex</t>
  </si>
  <si>
    <t>EBITDA pre payments to TV</t>
  </si>
  <si>
    <t>EBITDA % pre TV/Venevisión</t>
  </si>
  <si>
    <t>Other items</t>
  </si>
  <si>
    <t>Other items (ext of debt)</t>
  </si>
  <si>
    <t>Pre-tax profit</t>
  </si>
  <si>
    <t>% rate</t>
  </si>
  <si>
    <t>Other (content acqs/WC)</t>
  </si>
  <si>
    <t xml:space="preserve"> of which:</t>
  </si>
  <si>
    <t>2022, 6.75%</t>
  </si>
  <si>
    <t>2021, 8.5%</t>
  </si>
  <si>
    <t>2019, 6.875%</t>
  </si>
  <si>
    <t>2020, 7.785%</t>
  </si>
  <si>
    <t>2023, 5.125%</t>
  </si>
  <si>
    <t>2025, 5.125%</t>
  </si>
  <si>
    <t>Plus 600 MHz spectrum value</t>
  </si>
  <si>
    <t>2021e net debt</t>
  </si>
  <si>
    <t>Implied EV/12m T</t>
  </si>
  <si>
    <t>Tiger/Goel in-price</t>
  </si>
  <si>
    <t>Total equity</t>
  </si>
  <si>
    <t>Debt, 15e</t>
  </si>
  <si>
    <t>Implied 15e EBITDA x</t>
  </si>
  <si>
    <t>Pre-royalties</t>
  </si>
  <si>
    <t>Royalty payments to TV</t>
  </si>
  <si>
    <t>Rates</t>
  </si>
  <si>
    <t xml:space="preserve">% of rev applies to </t>
  </si>
  <si>
    <t>Proceeds as % Univision revs</t>
  </si>
  <si>
    <t>Royalty proceeds, US$m</t>
  </si>
  <si>
    <t>Assumed audiovisual revs</t>
  </si>
  <si>
    <t>Revs royalties payable on</t>
  </si>
  <si>
    <t>Payment on audiovisual</t>
  </si>
  <si>
    <t>Total royalty payments</t>
  </si>
  <si>
    <t>After tax</t>
  </si>
  <si>
    <t>Royalty proceeds in MXN</t>
  </si>
  <si>
    <t>Network and syndication</t>
  </si>
  <si>
    <t>Univision as %</t>
  </si>
  <si>
    <t>underlying growth</t>
  </si>
  <si>
    <t>Revs/EBITDA step up, in US$</t>
  </si>
  <si>
    <t>as % content/other margin</t>
  </si>
  <si>
    <t>Multiple of 2014 EBITDA</t>
  </si>
  <si>
    <t>2014e EBITDA</t>
  </si>
  <si>
    <t>2014e net debt</t>
  </si>
  <si>
    <t>Televisa stake (37%)</t>
  </si>
  <si>
    <t>NSR fair value today</t>
  </si>
  <si>
    <t>Other cash</t>
  </si>
  <si>
    <t>per share upside</t>
  </si>
  <si>
    <t>What happens in 2025?</t>
  </si>
  <si>
    <t>Royalties cut to TV?</t>
  </si>
  <si>
    <t>Univision EBITDA saving</t>
  </si>
  <si>
    <t>Tax (US)</t>
  </si>
  <si>
    <t>Post-tax  FCF</t>
  </si>
  <si>
    <t>TV's ownership</t>
  </si>
  <si>
    <t>TV's value</t>
  </si>
  <si>
    <t>AMC</t>
  </si>
  <si>
    <t>TBS</t>
  </si>
  <si>
    <t>CW</t>
  </si>
  <si>
    <t>ESPN</t>
  </si>
  <si>
    <t>ABC</t>
  </si>
  <si>
    <t>FOX</t>
  </si>
  <si>
    <t>NBC</t>
  </si>
  <si>
    <t>Quarterlies</t>
  </si>
  <si>
    <t>Q4 19e</t>
  </si>
  <si>
    <t>Interactive</t>
  </si>
  <si>
    <t>clean revs</t>
  </si>
  <si>
    <t>political advertising</t>
  </si>
  <si>
    <t>timing of revs recognition</t>
  </si>
  <si>
    <t>non-cash contractual revs</t>
  </si>
  <si>
    <t>other (soccer inc. world cup)</t>
  </si>
  <si>
    <t>Clean revenue</t>
  </si>
  <si>
    <t>Clean revs adj for one-offs (reported)</t>
  </si>
  <si>
    <t>pro-forma adjs</t>
  </si>
  <si>
    <t>Non-Ad (retrans)</t>
  </si>
  <si>
    <t>OIBDA (bank credit)</t>
  </si>
  <si>
    <t>EBITDA (rep)</t>
  </si>
  <si>
    <t>EBITDA growth</t>
  </si>
  <si>
    <t>adj EBITDA</t>
  </si>
  <si>
    <t>bank EBITDA</t>
  </si>
  <si>
    <t>for comparison</t>
  </si>
  <si>
    <t>Current portion of LT debt and lease obligs</t>
  </si>
  <si>
    <t>LT Debt inc. capital lease</t>
  </si>
  <si>
    <t>(to Televisa?)</t>
  </si>
  <si>
    <t>annualised rolling 12m EBITDA</t>
  </si>
  <si>
    <t>to annualised rolling 12m EBITDA</t>
  </si>
  <si>
    <t>Debt in Univision</t>
  </si>
  <si>
    <t>000's</t>
  </si>
  <si>
    <t>18-34</t>
  </si>
  <si>
    <t>Rank (LHS)</t>
  </si>
  <si>
    <t>18-49</t>
  </si>
  <si>
    <t>outside top 10</t>
  </si>
  <si>
    <t>Total market (18-34s)</t>
  </si>
  <si>
    <t xml:space="preserve">Univision share </t>
  </si>
  <si>
    <t>Televisa put US$1.2bn into Univision</t>
  </si>
  <si>
    <t>Foreign broadcasters can't own more than 25% of US ones</t>
  </si>
  <si>
    <t>Televisa tried to take it over in 2006. Lost out to Haim Saban + PE</t>
  </si>
  <si>
    <t>Saban paid US$13.7bn for Univision…US$10bn of debt</t>
  </si>
  <si>
    <t>Can use Televisa content through to 2025</t>
  </si>
  <si>
    <t>Venevision</t>
  </si>
  <si>
    <t>25 year deal in 1992</t>
  </si>
  <si>
    <t>2017 Venevision gets cut out</t>
  </si>
  <si>
    <t>Azteca America, Estrella TV, and MundoFox</t>
  </si>
  <si>
    <t>Televisa—Reporting Cheatsheet</t>
  </si>
  <si>
    <t>Metric</t>
  </si>
  <si>
    <t>New Street</t>
  </si>
  <si>
    <t>Last Q</t>
  </si>
  <si>
    <t>Network Sub</t>
  </si>
  <si>
    <t>Licensing</t>
  </si>
  <si>
    <t>Intersegment Ops</t>
  </si>
  <si>
    <t>EBITDA Magin</t>
  </si>
  <si>
    <t>Telecom</t>
  </si>
  <si>
    <t>Capex  % of Sales</t>
  </si>
  <si>
    <t>Net Income</t>
  </si>
  <si>
    <t>Free Cash Flow</t>
  </si>
  <si>
    <t>KPIs</t>
  </si>
  <si>
    <t>Cable Subs</t>
  </si>
  <si>
    <t>Phone</t>
  </si>
  <si>
    <t>YOY</t>
  </si>
  <si>
    <t>2005</t>
  </si>
  <si>
    <t>2006</t>
  </si>
  <si>
    <t>2007</t>
  </si>
  <si>
    <t>2008</t>
  </si>
  <si>
    <t>2009</t>
  </si>
  <si>
    <t>2010</t>
  </si>
  <si>
    <t>Television Broadcasting</t>
  </si>
  <si>
    <t>Pay Television Networks</t>
  </si>
  <si>
    <t>Programming Exports</t>
  </si>
  <si>
    <t>Disposed Operations</t>
  </si>
  <si>
    <t>Operating Segment Income (Loss)</t>
  </si>
  <si>
    <t>Consolidated Operating Income</t>
  </si>
  <si>
    <t>(1) Information from the period of 2005 to December 2007 has been prepared in accordance with Mexican Financial Reporting Standards and is adjusted in millions of Mexican pesos in purchasing power as of December 31, 2007.</t>
  </si>
  <si>
    <t>(2) Information for the year 2008 and forward has been prepared in accordance with Mexican Financial Reporting Standards and is expressed in nominal Mexican pesos.</t>
  </si>
  <si>
    <t>(3) All information is presented in millions of Mexican pesos.</t>
  </si>
  <si>
    <t>(4) Revenue and Operating Segment Income results take into account certain reclassifications in order to be comparable through all periods.</t>
  </si>
  <si>
    <t>(5) Some non-material differences may exist between the information here presented and the information included in our press releases.</t>
  </si>
  <si>
    <t>CPO's trade in Mexico</t>
  </si>
  <si>
    <t>GDS trade in the US</t>
  </si>
  <si>
    <t>5 CDO to 1 GDR</t>
  </si>
  <si>
    <t>Bloomy</t>
  </si>
  <si>
    <t>Sky Mexico &amp; Central America</t>
  </si>
  <si>
    <t>block for 'copy, paste values' into DirecTV model</t>
  </si>
  <si>
    <t>Subscribers 000</t>
  </si>
  <si>
    <t xml:space="preserve">    Sky Mexico subscribers 000</t>
  </si>
  <si>
    <t xml:space="preserve">    Sky CAm subscribers 000</t>
  </si>
  <si>
    <t>not modelled</t>
  </si>
  <si>
    <t>Revenue MXN m</t>
  </si>
  <si>
    <t>ARPU MXP/month</t>
  </si>
  <si>
    <t>Operating profit (EBITDA) MXNm</t>
  </si>
  <si>
    <t>Capex inc. satellites MXN m</t>
  </si>
  <si>
    <t>D&amp;A MXN m</t>
  </si>
  <si>
    <t>USD per MXN</t>
  </si>
  <si>
    <t>Mexico clean corporate tax rate</t>
  </si>
  <si>
    <t>Mexico HH m</t>
  </si>
  <si>
    <t>Mexico pay TV HH m</t>
  </si>
  <si>
    <t>CAm&amp;C HH m</t>
  </si>
  <si>
    <t>CAm&amp;C pay TV HH m</t>
  </si>
  <si>
    <t>Sky WACC</t>
  </si>
  <si>
    <t>Sky terminal growth rate</t>
  </si>
  <si>
    <t>Sky EV USDm</t>
  </si>
  <si>
    <t>Sky Net Debt USDm</t>
  </si>
  <si>
    <t>Televisa MXN mn</t>
  </si>
  <si>
    <t>2016A</t>
  </si>
  <si>
    <t>2017E</t>
  </si>
  <si>
    <t>2018E</t>
  </si>
  <si>
    <t>2019E</t>
  </si>
  <si>
    <t>2020E</t>
  </si>
  <si>
    <t>2021E</t>
  </si>
  <si>
    <t>2022E</t>
  </si>
  <si>
    <t>2023E</t>
  </si>
  <si>
    <t>2024E</t>
  </si>
  <si>
    <t>2025E</t>
  </si>
  <si>
    <t>HP</t>
  </si>
  <si>
    <t>Customers</t>
  </si>
  <si>
    <t>Fixed Tel</t>
  </si>
  <si>
    <t>Revenues:</t>
  </si>
  <si>
    <t>Cable fixed service</t>
  </si>
  <si>
    <t>Total service</t>
  </si>
  <si>
    <t>B2B</t>
  </si>
  <si>
    <t xml:space="preserve">Total  </t>
  </si>
  <si>
    <t>Programming % video revenues</t>
  </si>
  <si>
    <t>Franchise fees % revenues</t>
  </si>
  <si>
    <t>Assume Megcable RGU/Customer to estimate customer</t>
  </si>
  <si>
    <t>RGU/customer</t>
  </si>
  <si>
    <t>3Q25</t>
  </si>
  <si>
    <t>Financials - Q</t>
  </si>
  <si>
    <t>1Q20</t>
  </si>
  <si>
    <t>2Q20</t>
  </si>
  <si>
    <t>3Q20</t>
  </si>
  <si>
    <t>4Q20</t>
  </si>
  <si>
    <t>1Q21</t>
  </si>
  <si>
    <t>2Q21</t>
  </si>
  <si>
    <t>3Q21</t>
  </si>
  <si>
    <t>4Q21</t>
  </si>
  <si>
    <t>1Q22</t>
  </si>
  <si>
    <t>2Q22</t>
  </si>
  <si>
    <t>3Q22</t>
  </si>
  <si>
    <t>EBITDAaL</t>
  </si>
  <si>
    <t>OpFCFaL</t>
  </si>
  <si>
    <t>Cash interest</t>
  </si>
  <si>
    <t>NWC</t>
  </si>
  <si>
    <t>OCF</t>
  </si>
  <si>
    <t>Gross debt ex leases</t>
  </si>
  <si>
    <t>Net debt ex leases</t>
  </si>
  <si>
    <t>Change in net debt ex leases</t>
  </si>
  <si>
    <t>Financials - FY</t>
  </si>
  <si>
    <t>Debt maturity profile</t>
  </si>
  <si>
    <t>Perpetual FCF g</t>
  </si>
  <si>
    <t>Implied FCF multiple</t>
  </si>
  <si>
    <t>Less: Net debt (IAS17)</t>
  </si>
  <si>
    <t>As % of EV</t>
  </si>
  <si>
    <t>Asset pre debt</t>
  </si>
  <si>
    <t>Asset cover</t>
  </si>
  <si>
    <t>Dep of RoU</t>
  </si>
  <si>
    <t>Lease interests</t>
  </si>
  <si>
    <t>2037</t>
  </si>
  <si>
    <t>2040</t>
  </si>
  <si>
    <t>2043</t>
  </si>
  <si>
    <t>2045</t>
  </si>
  <si>
    <t>2046</t>
  </si>
  <si>
    <t>2049</t>
  </si>
  <si>
    <t>&gt;2040</t>
  </si>
  <si>
    <t>Interest on leases</t>
  </si>
  <si>
    <t>AR 2024 (maybe a bit old)</t>
  </si>
  <si>
    <t>ex NC investments</t>
  </si>
  <si>
    <t>2026E</t>
  </si>
  <si>
    <t>2027E</t>
  </si>
  <si>
    <t>Q4 25e</t>
  </si>
  <si>
    <t>4Qe</t>
  </si>
  <si>
    <t>Izzy / SKY combined (OSI)</t>
  </si>
  <si>
    <t>4Q25</t>
  </si>
  <si>
    <t>2026 dividend</t>
  </si>
  <si>
    <t>2026e net debt</t>
  </si>
  <si>
    <t>x 26 EBITDA</t>
  </si>
  <si>
    <t>* We take proportionate TV-UNI contribution</t>
  </si>
  <si>
    <t>2026 debt</t>
  </si>
  <si>
    <t>YoY</t>
  </si>
  <si>
    <t>Op Income</t>
  </si>
  <si>
    <t>Tax rate</t>
  </si>
  <si>
    <t>USD MXN</t>
  </si>
  <si>
    <t>Subs (k)</t>
  </si>
  <si>
    <t>AMX EV/subs</t>
  </si>
  <si>
    <t>Cost of debt</t>
  </si>
  <si>
    <t>Q1 26</t>
  </si>
  <si>
    <t>y/y ex FX</t>
  </si>
  <si>
    <t>y/y ex FX (calc.)</t>
  </si>
  <si>
    <t>Ex political</t>
  </si>
  <si>
    <t>1QFY-2026</t>
  </si>
  <si>
    <t>Q1 26e</t>
  </si>
  <si>
    <t>1Q26</t>
  </si>
  <si>
    <t>Financial income and expense (calc)</t>
  </si>
  <si>
    <t>Net interest (calc)</t>
  </si>
  <si>
    <t>Net interest (c&amp;p)</t>
  </si>
  <si>
    <t>Satellite (Sky)</t>
  </si>
  <si>
    <t>Residential</t>
  </si>
  <si>
    <t>Cable and Telecom (old disclosure)</t>
  </si>
  <si>
    <t>Underlying network subs</t>
  </si>
  <si>
    <t>Ex WC</t>
  </si>
  <si>
    <t>Rev per RGU</t>
  </si>
  <si>
    <t>Enterprise revenue</t>
  </si>
  <si>
    <t>Residential + enterprise</t>
  </si>
  <si>
    <t>OIBDA QoQ</t>
  </si>
  <si>
    <t>Q2 26</t>
  </si>
  <si>
    <t>Q3 26</t>
  </si>
  <si>
    <t>Q4 26</t>
  </si>
  <si>
    <t>Less: Licence payments</t>
  </si>
  <si>
    <t>Plus: Associate dividends</t>
  </si>
  <si>
    <t>Shares not in form of CPOs</t>
  </si>
  <si>
    <t>Shares in form of CPOs</t>
  </si>
  <si>
    <t>Shares in treasury</t>
  </si>
  <si>
    <t>Check pre 2023</t>
  </si>
  <si>
    <t>Mandatory convert (June-26)</t>
  </si>
  <si>
    <t xml:space="preserve">New shares to represent </t>
  </si>
  <si>
    <t>So, to be issued</t>
  </si>
  <si>
    <t>New CPOs</t>
  </si>
  <si>
    <t>DGS</t>
  </si>
  <si>
    <t>Reported EPS (CPO)</t>
  </si>
  <si>
    <t>EPS (GDS)</t>
  </si>
  <si>
    <t>AT&amp;T deal (75% probability)</t>
  </si>
  <si>
    <t>Sky revenue</t>
  </si>
  <si>
    <t>Includes mandatory convert</t>
  </si>
  <si>
    <t>EV MXN</t>
  </si>
  <si>
    <t>Equity MXN</t>
  </si>
  <si>
    <t>EV/subs MXN</t>
  </si>
  <si>
    <t>AT&amp;T Mexico Equity</t>
  </si>
  <si>
    <t>AT&amp;T Mexico net debt</t>
  </si>
  <si>
    <t>AT&amp;T Mexico EV</t>
  </si>
  <si>
    <t>of which cash</t>
  </si>
  <si>
    <t>Cash offer</t>
  </si>
  <si>
    <t>Stock component</t>
  </si>
  <si>
    <t>Shares issued (m)</t>
  </si>
  <si>
    <t>na</t>
  </si>
  <si>
    <t>AT&amp;T Mexico wireless acquisition</t>
  </si>
  <si>
    <t>AT&amp;T Mexico wireless, $m</t>
  </si>
  <si>
    <t>Televisa cash available</t>
  </si>
  <si>
    <t>Implied multiple, 26 EBITDA</t>
  </si>
  <si>
    <t>Deal finance</t>
  </si>
  <si>
    <t>EFCF/share</t>
  </si>
  <si>
    <t>SHOUT (GDS)</t>
  </si>
  <si>
    <t>Televisa + AT&amp;T no syn, Ps m</t>
  </si>
  <si>
    <t>Interest expense Ps</t>
  </si>
  <si>
    <t>Televisa issue price (Ps, GDS)</t>
  </si>
  <si>
    <t>New market cap</t>
  </si>
  <si>
    <t>New EV</t>
  </si>
  <si>
    <t>New EV/EBITDA</t>
  </si>
  <si>
    <t>New EFCF/share</t>
  </si>
  <si>
    <t>Scenario 1: No synergies</t>
  </si>
  <si>
    <t>Scenario 2:With synergies</t>
  </si>
  <si>
    <t>Combined Co opex</t>
  </si>
  <si>
    <t>Combined Co capex</t>
  </si>
  <si>
    <t>Savings %</t>
  </si>
  <si>
    <t>Savings</t>
  </si>
  <si>
    <t>Integration costs</t>
  </si>
  <si>
    <t>New revenue</t>
  </si>
  <si>
    <t xml:space="preserve">New net debt </t>
  </si>
  <si>
    <t>PF opex &amp; capex</t>
  </si>
  <si>
    <t>Opex synergies</t>
  </si>
  <si>
    <t>Capex synergies</t>
  </si>
  <si>
    <t>NPV FCF</t>
  </si>
  <si>
    <t>Synergies / share</t>
  </si>
  <si>
    <t>Value creation</t>
  </si>
  <si>
    <t>Synergies / share ($, GDS)</t>
  </si>
  <si>
    <t>Additional debt required / cash remain.</t>
  </si>
  <si>
    <t>Televisa + AT&amp;T with syn, Ps m</t>
  </si>
  <si>
    <t>SHOUT (post dilution)</t>
  </si>
  <si>
    <t>Value AT&amp;T Mexico</t>
  </si>
  <si>
    <t>Purchase price</t>
  </si>
  <si>
    <t>Financing costs</t>
  </si>
  <si>
    <t>PV synergies (net)</t>
  </si>
  <si>
    <t>Per share upside, USD</t>
  </si>
  <si>
    <t>Per share upside, MXN</t>
  </si>
  <si>
    <t>Cable Cos</t>
  </si>
  <si>
    <t>CPOs 2026</t>
  </si>
  <si>
    <t>Total CPOs post dilution</t>
  </si>
  <si>
    <t>SHOUT 2026</t>
  </si>
  <si>
    <t>New shares</t>
  </si>
  <si>
    <t>SHOUT post dilution</t>
  </si>
  <si>
    <t>New share split</t>
  </si>
  <si>
    <t>CPO onversion</t>
  </si>
  <si>
    <t>Televisa standalone, Ps m</t>
  </si>
  <si>
    <t>2029e</t>
  </si>
  <si>
    <t>2030e</t>
  </si>
  <si>
    <t>Residential and Enterprise</t>
  </si>
  <si>
    <t>Less IFRS 16 leases in D&amp;A</t>
  </si>
  <si>
    <t>Less Clean Net Interest (P&amp;L)</t>
  </si>
  <si>
    <t>Less WC</t>
  </si>
  <si>
    <t>DCF valuation</t>
  </si>
  <si>
    <t>75% probability</t>
  </si>
  <si>
    <t>Less Purchase price</t>
  </si>
  <si>
    <t>Plus PV synergies (net)</t>
  </si>
  <si>
    <t>Less Financing costs</t>
  </si>
  <si>
    <t>Satellites coming to end of life around 2030</t>
  </si>
  <si>
    <t>Synergies (50%)</t>
  </si>
  <si>
    <t>2031e</t>
  </si>
  <si>
    <t>2032e</t>
  </si>
  <si>
    <t>Mobile (ex M&amp;A)</t>
  </si>
  <si>
    <t>For note</t>
  </si>
  <si>
    <t>Equity post synergies sharing</t>
  </si>
  <si>
    <t>Value AT&amp;T Mexico (ex synergies)</t>
  </si>
  <si>
    <t>Equity $m</t>
  </si>
  <si>
    <t>In $m</t>
  </si>
  <si>
    <t>Synergies (MXN m)</t>
  </si>
  <si>
    <t>Televisa + AT&amp;T (MXN m)</t>
  </si>
  <si>
    <t>EV MXN m</t>
  </si>
  <si>
    <t>Televisa standalone, $m</t>
  </si>
  <si>
    <t>Televisa + AT&amp;T with syn, $m</t>
  </si>
  <si>
    <t>In $</t>
  </si>
  <si>
    <t>Synergies ($m)</t>
  </si>
  <si>
    <t>Televisa + AT&amp;T ($m)</t>
  </si>
  <si>
    <t>Equity post synergies sharing $m</t>
  </si>
  <si>
    <t>In MXN</t>
  </si>
  <si>
    <t>EV $m</t>
  </si>
  <si>
    <t>Per share upside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</si>
</sst>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7">
    <numFmt numFmtId="43" formatCode="_-* #,##0.00_-;\-* #,##0.00_-;_-* &quot;-&quot;??_-;_-@_-"/>
    <numFmt numFmtId="164" formatCode="0.0%"/>
    <numFmt numFmtId="165" formatCode="#,##0.0;\(#,##0.0\)"/>
    <numFmt numFmtId="166" formatCode="_-* #,##0_-;\-* #,##0_-;_-* &quot;-&quot;??_-;_-@_-"/>
    <numFmt numFmtId="167" formatCode="_-* #,##0.0_-;\-* #,##0.0_-;_-* &quot;-&quot;??_-;_-@_-"/>
    <numFmt numFmtId="168" formatCode="_-* #,##0_-;\-* #,##0_-;_-* &quot;-&quot;?_-;_-@_-"/>
    <numFmt numFmtId="169" formatCode="#,##0;\(#,##0\)"/>
    <numFmt numFmtId="170" formatCode="0.0"/>
    <numFmt numFmtId="171" formatCode="#,##0.0"/>
    <numFmt numFmtId="172" formatCode="#,##0.0_);\(#,##0.0\)"/>
    <numFmt numFmtId="173" formatCode="&quot;$&quot;_(#,##0.00_);&quot;$&quot;\(#,##0.00\)"/>
    <numFmt numFmtId="174" formatCode="#,##0.0_)\x;\(#,##0.0\)\x"/>
    <numFmt numFmtId="175" formatCode="#,##0.0_)_x;\(#,##0.0\)_x"/>
    <numFmt numFmtId="176" formatCode="0.0_)\%;\(0.0\)\%"/>
    <numFmt numFmtId="177" formatCode="#,##0.0_)_%;\(#,##0.0\)_%"/>
    <numFmt numFmtId="178" formatCode="0.000%"/>
    <numFmt numFmtId="179" formatCode="#,##0.00\ &quot;Kč&quot;;[Red]\-#,##0.00\ &quot;Kč&quot;"/>
    <numFmt numFmtId="180" formatCode="0_);\(0\)"/>
    <numFmt numFmtId="181" formatCode="0&quot;E&quot;;\(0\)&quot;E&quot;"/>
    <numFmt numFmtId="182" formatCode="_(* #,##0.00_);_(* \(#,##0.00\);_(* &quot;-&quot;??_);_(@_)"/>
    <numFmt numFmtId="183" formatCode="#,##0.000_);[Red]\(#,##0.000\)"/>
    <numFmt numFmtId="184" formatCode="#,##0.00_);[Red]\-#,##0.00_);0.00_);@_)"/>
    <numFmt numFmtId="185" formatCode="#,##0_);[Red]\-#,##0_);0_);@_)"/>
    <numFmt numFmtId="186" formatCode="0.00_);\(0.00\);0.00"/>
    <numFmt numFmtId="187" formatCode="_-\€* #,##0.00_-;\-\€* #,##0.00_-;_-\€* &quot;-&quot;??_-;_-@_-"/>
    <numFmt numFmtId="188" formatCode="* _(#,##0.00_);[Red]* \(#,##0.00\);* _(&quot;-&quot;?_);@_)"/>
    <numFmt numFmtId="189" formatCode="_-\€* #,##0_-;\-\€* #,##0_-;_-\€* &quot;-&quot;_-;_-@_-"/>
    <numFmt numFmtId="190" formatCode="0.0%_);\(0.0%\)_)"/>
    <numFmt numFmtId="191" formatCode="&quot;$&quot;#,##0.00_);[Red]\(&quot;$&quot;#,##0.00\)"/>
    <numFmt numFmtId="192" formatCode="\$\ * _(#,##0_);[Red]\$\ * \(#,##0\);\$\ * _(&quot;-&quot;?_);@_)"/>
    <numFmt numFmtId="193" formatCode="\$\ * _(#,##0.00_);[Red]\$\ * \(#,##0.00\);\$\ * _(&quot;-&quot;?_);@_)"/>
    <numFmt numFmtId="194" formatCode="[$EUR]\ * _(#,##0_);[Red][$EUR]\ * \(#,##0\);[$EUR]\ * _(&quot;-&quot;?_);@_)"/>
    <numFmt numFmtId="195" formatCode="[$EUR]\ * _(#,##0.00_);[Red][$EUR]\ * \(#,##0.00\);[$EUR]\ * _(&quot;-&quot;?_);@_)"/>
    <numFmt numFmtId="196" formatCode="\€\ * _(#,##0_);[Red]\€\ * \(#,##0\);\€\ * _(&quot;-&quot;?_);@_)"/>
    <numFmt numFmtId="197" formatCode="\€\ * _(#,##0.00_);[Red]\€\ * \(#,##0.00\);\€\ * _(&quot;-&quot;?_);@_)"/>
    <numFmt numFmtId="198" formatCode="[$GBP]\ * _(#,##0_);[Red][$GBP]\ * \(#,##0\);[$GBP]\ * _(&quot;-&quot;?_);@_)"/>
    <numFmt numFmtId="199" formatCode="[$GBP]\ * _(#,##0.00_);[Red][$GBP]\ * \(#,##0.00\);[$GBP]\ * _(&quot;-&quot;?_);@_)"/>
    <numFmt numFmtId="200" formatCode="\£\ * _(#,##0_);[Red]\£\ * \(#,##0\);\£\ * _(&quot;-&quot;?_);@_)"/>
    <numFmt numFmtId="201" formatCode="\£\ * _(#,##0.00_);[Red]\£\ * \(#,##0.00\);\£\ * _(&quot;-&quot;?_);@_)"/>
    <numFmt numFmtId="202" formatCode="[$USD]\ * _(#,##0_);[Red][$USD]\ * \(#,##0\);[$USD]\ * _(&quot;-&quot;?_);@_)"/>
    <numFmt numFmtId="203" formatCode="[$USD]\ * _(#,##0.00_);[Red][$USD]\ * \(#,##0.00\);[$USD]\ * _(&quot;-&quot;?_);@_)"/>
    <numFmt numFmtId="204" formatCode="&quot;$&quot;#,##0.00000000000000000000000000_);[Red]\(&quot;$&quot;#,##0.00000000000000000000000000\)"/>
    <numFmt numFmtId="205" formatCode="mmm\ yy_)"/>
    <numFmt numFmtId="206" formatCode="yyyy_)"/>
    <numFmt numFmtId="207" formatCode="#,##0.000;\(#,##0.000\)"/>
    <numFmt numFmtId="208" formatCode="#,##0.00;\(#,##0.00\)"/>
    <numFmt numFmtId="209" formatCode="yyyy"/>
    <numFmt numFmtId="210" formatCode="#,##0_);\(#,##0\);0_)"/>
    <numFmt numFmtId="211" formatCode="#,##0.0000_);[Red]\(#,##0.0000\);0.0000_)"/>
    <numFmt numFmtId="212" formatCode="&quot;$&quot;#,##0_);[Red]\(&quot;$&quot;#,##0\)"/>
    <numFmt numFmtId="213" formatCode="00000"/>
    <numFmt numFmtId="214" formatCode="&quot;$&quot;#,##0.00&quot;A&quot;;[Red]\(&quot;$&quot;#,##0.00\)&quot;A&quot;"/>
    <numFmt numFmtId="215" formatCode="&quot;$&quot;#,##0.00&quot;E&quot;;[Red]\(&quot;$&quot;#,##0.00\)&quot;E&quot;"/>
    <numFmt numFmtId="216" formatCode="_-[$€]* #,##0.00_-;\-[$€]* #,##0.00_-;_-[$€]* &quot;-&quot;??_-;_-@_-"/>
    <numFmt numFmtId="217" formatCode="#\ ##0.0"/>
    <numFmt numFmtId="218" formatCode="#,##0.0_);[Red]\(#,##0.0\)"/>
    <numFmt numFmtId="219" formatCode="0.0%_);[Red]\(0.0%\)"/>
    <numFmt numFmtId="220" formatCode="0.00%;\(0.00%\)"/>
    <numFmt numFmtId="221" formatCode="###0"/>
    <numFmt numFmtId="222" formatCode="General_)"/>
    <numFmt numFmtId="223" formatCode="0.00_);\(0.00\);0.00_)"/>
    <numFmt numFmtId="224" formatCode="#,##0\ ;\(#,##0\);\ \-\ "/>
    <numFmt numFmtId="225" formatCode="0.0%;0.0%;\-\ "/>
    <numFmt numFmtId="226" formatCode="0.0%_);\(0.0%\)"/>
    <numFmt numFmtId="227" formatCode="_-* #,##0_ _F_-;\-* #,##0_ _F_-;_-* &quot;-&quot;_ _F_-;_-@_-"/>
    <numFmt numFmtId="228" formatCode="#,##0.00_);[Red]\(#,##0.00\);0.00_)"/>
    <numFmt numFmtId="229" formatCode="_-* #,##0.00_ _F_-;\-* #,##0.00_ _F_-;_-* &quot;-&quot;??_ _F_-;_-@_-"/>
    <numFmt numFmtId="230" formatCode="_-* #,##0&quot; F&quot;_-;\-* #,##0&quot; F&quot;_-;_-* &quot;-&quot;&quot; F&quot;_-;_-@_-"/>
    <numFmt numFmtId="231" formatCode="#,##0.00_)&quot; F&quot;;[Red]\(#,##0.00\)&quot; F&quot;;0.00_)&quot; F&quot;"/>
    <numFmt numFmtId="232" formatCode="_-* #,##0.00&quot; F&quot;_-;\-* #,##0.00&quot; F&quot;_-;_-* &quot;-&quot;??&quot; F&quot;_-;_-@_-"/>
    <numFmt numFmtId="233" formatCode="_ * #,##0.00_ ;_ * \-#,##0.00_ ;_ * &quot;-&quot;??_ ;_ @_ "/>
    <numFmt numFmtId="234" formatCode="_-* #,##0.00\ _K_č_-;\-* #,##0.00\ _K_č_-;_-* &quot;-&quot;??\ _K_č_-;_-@_-"/>
    <numFmt numFmtId="235" formatCode="0.0000"/>
    <numFmt numFmtId="236" formatCode="#,##0_);\(#,##0\);;"/>
    <numFmt numFmtId="237" formatCode="#,##0.0000;\(#,##0.0000\)"/>
    <numFmt numFmtId="238" formatCode="#,##0%;[Red]\-#,##0%;0%;@_)"/>
    <numFmt numFmtId="239" formatCode="#,##0.00%;[Red]\-#,##0.00%;0.00%;@_)"/>
    <numFmt numFmtId="240" formatCode="0%;[Red]\-0%"/>
    <numFmt numFmtId="241" formatCode="0.00\%;\-0.00\%;0.00\%"/>
    <numFmt numFmtId="242" formatCode="0.00%_);\(0.00%\)"/>
    <numFmt numFmtId="243" formatCode="#.0"/>
    <numFmt numFmtId="244" formatCode="&quot;kr&quot;\ #,##0_);[Red]\(&quot;kr&quot;\ #,##0\)"/>
    <numFmt numFmtId="245" formatCode="0.00\x;\-0.00\x;0.00\x"/>
    <numFmt numFmtId="246" formatCode="##0.00000"/>
    <numFmt numFmtId="247" formatCode="0\.00%;[Red]\-0\.00%"/>
    <numFmt numFmtId="248" formatCode="0.0000%"/>
    <numFmt numFmtId="249" formatCode="#,##0.00_)\ \x;\(#,##0.00\)\ \x"/>
    <numFmt numFmtId="250" formatCode="&quot;kr&quot;\ #,##0.00_);[Red]\(&quot;kr&quot;\ #,##0.00\)"/>
    <numFmt numFmtId="251" formatCode="_(* #,##0_);_(* \(#,##0\);_(* &quot;-&quot;_);_(@_)"/>
    <numFmt numFmtId="252" formatCode="#,##0.0\ ;\(#,##0.0\)"/>
    <numFmt numFmtId="253" formatCode="_(&quot;$&quot;* #,##0_);_(&quot;$&quot;* \(#,##0\);_(&quot;$&quot;* &quot;-&quot;_);_(@_)"/>
    <numFmt numFmtId="254" formatCode="#,##0.00\ ;\(#,##0.00\)"/>
    <numFmt numFmtId="255" formatCode="_-* #,##0.000_-;\-* #,##0.000_-;_-* &quot;-&quot;??_-;_-@_-"/>
    <numFmt numFmtId="256" formatCode="_-* #,##0.0_-;\-* #,##0.0_-;_-* &quot;-&quot;?_-;_-@_-"/>
    <numFmt numFmtId="257" formatCode="0.0\x"/>
    <numFmt numFmtId="258" formatCode="0.00\x"/>
    <numFmt numFmtId="259" formatCode="#,##0_);\(#,##0\);#,##0_);@_)"/>
    <numFmt numFmtId="260" formatCode="_(* #,##0_);_(* \(#,##0\);_(* &quot;-&quot;??_);_(@_)"/>
    <numFmt numFmtId="261" formatCode="&quot;$&quot;#,##0.0_);[Red]\(&quot;$&quot;#,##0.0\)"/>
    <numFmt numFmtId="262" formatCode="#,##0;\(#,##0\);\-"/>
    <numFmt numFmtId="263" formatCode="#,##0.0;\(#,##0.0\);\-"/>
    <numFmt numFmtId="264" formatCode="#,##0.0_ ;[Red]\-#,##0.0\ "/>
    <numFmt numFmtId="265" formatCode="#,##0_ ;[Red]\-#,##0\ "/>
    <numFmt numFmtId="266" formatCode="#,##0_ ;\-#,##0\ "/>
    <numFmt numFmtId="267" formatCode="#,##0.0_ ;\-#,##0.0\ "/>
    <numFmt numFmtId="268" formatCode="0.0%_);\(0.0%\);0.0%_);@_)"/>
    <numFmt numFmtId="269" formatCode="0.000"/>
  </numFmts>
  <fonts count="257">
    <font>
      <sz val="11"/>
      <color theme="1"/>
      <name val="Calibri"/>
      <family val="2"/>
      <scheme val="minor"/>
    </font>
    <font>
      <i/>
      <sz val="11"/>
      <color theme="1"/>
      <name val="Calibri"/>
      <family val="2"/>
      <scheme val="minor"/>
    </font>
    <font>
      <b/>
      <sz val="11"/>
      <color theme="1"/>
      <name val="Calibri"/>
      <family val="2"/>
      <scheme val="minor"/>
    </font>
    <font>
      <u/>
      <sz val="11"/>
      <color theme="1"/>
      <name val="Calibri"/>
      <family val="2"/>
      <scheme val="minor"/>
    </font>
    <font>
      <u/>
      <sz val="11"/>
      <color theme="10"/>
      <name val="Calibri"/>
      <family val="2"/>
      <scheme val="minor"/>
    </font>
    <font>
      <sz val="10"/>
      <name val="Arial"/>
      <family val="2"/>
    </font>
    <font>
      <b/>
      <sz val="10"/>
      <name val="Arial"/>
      <family val="2"/>
    </font>
    <font>
      <sz val="12"/>
      <name val="Arial"/>
      <family val="2"/>
    </font>
    <font>
      <b/>
      <sz val="9"/>
      <name val="Arial"/>
      <family val="2"/>
    </font>
    <font>
      <b/>
      <sz val="9"/>
      <color indexed="9"/>
      <name val="Arial"/>
      <family val="2"/>
    </font>
    <font>
      <sz val="9"/>
      <color indexed="63"/>
      <name val="Arial"/>
      <family val="2"/>
    </font>
    <font>
      <sz val="9"/>
      <color indexed="8"/>
      <name val="Arial"/>
      <family val="2"/>
    </font>
    <font>
      <b/>
      <sz val="9"/>
      <color indexed="63"/>
      <name val="Arial"/>
      <family val="2"/>
    </font>
    <font>
      <b/>
      <sz val="9"/>
      <color indexed="8"/>
      <name val="Arial"/>
      <family val="2"/>
    </font>
    <font>
      <sz val="9"/>
      <color indexed="10"/>
      <name val="Arial"/>
      <family val="2"/>
    </font>
    <font>
      <sz val="8"/>
      <name val="Arial"/>
      <family val="2"/>
    </font>
    <font>
      <sz val="9"/>
      <name val="Arial"/>
      <family val="2"/>
    </font>
    <font>
      <sz val="11"/>
      <color theme="1"/>
      <name val="Calibri"/>
      <family val="2"/>
      <scheme val="minor"/>
    </font>
    <font>
      <sz val="10"/>
      <name val="Arial"/>
      <family val="2"/>
    </font>
    <font>
      <b/>
      <sz val="10"/>
      <name val="Trebuchet MS"/>
      <family val="2"/>
    </font>
    <font>
      <sz val="10"/>
      <name val="Trebuchet MS"/>
      <family val="2"/>
    </font>
    <font>
      <b/>
      <sz val="9"/>
      <color indexed="81"/>
      <name val="Tahoma"/>
      <family val="2"/>
    </font>
    <font>
      <sz val="9"/>
      <color indexed="81"/>
      <name val="Tahoma"/>
      <family val="2"/>
    </font>
    <font>
      <sz val="10"/>
      <color indexed="63"/>
      <name val="Trebuchet MS"/>
      <family val="2"/>
    </font>
    <font>
      <b/>
      <sz val="10"/>
      <color indexed="63"/>
      <name val="Trebuchet MS"/>
      <family val="2"/>
    </font>
    <font>
      <b/>
      <sz val="10"/>
      <name val="MS Sans Serif"/>
      <family val="2"/>
    </font>
    <font>
      <sz val="10"/>
      <color indexed="8"/>
      <name val="MS Sans Serif"/>
      <family val="2"/>
    </font>
    <font>
      <sz val="12"/>
      <name val="·s²Ó©úÅé"/>
      <charset val="136"/>
    </font>
    <font>
      <sz val="8"/>
      <color indexed="8"/>
      <name val="MS Sans Serif"/>
      <family val="2"/>
    </font>
    <font>
      <sz val="10"/>
      <name val="Times New Roman"/>
      <family val="1"/>
    </font>
    <font>
      <b/>
      <sz val="12"/>
      <name val="Helv"/>
    </font>
    <font>
      <sz val="10"/>
      <color indexed="10"/>
      <name val="Times New Roman"/>
      <family val="1"/>
    </font>
    <font>
      <b/>
      <sz val="11"/>
      <color indexed="10"/>
      <name val="Times New Roman"/>
      <family val="1"/>
    </font>
    <font>
      <sz val="8"/>
      <name val="Times New Roman"/>
      <family val="1"/>
    </font>
    <font>
      <b/>
      <i/>
      <sz val="11"/>
      <color indexed="9"/>
      <name val="Times New Roman"/>
      <family val="1"/>
    </font>
    <font>
      <u val="singleAccounting"/>
      <sz val="10"/>
      <name val="Arial"/>
      <family val="2"/>
    </font>
    <font>
      <sz val="12"/>
      <color indexed="10"/>
      <name val="Times New Roman"/>
      <family val="1"/>
    </font>
    <font>
      <i/>
      <sz val="9"/>
      <color indexed="55"/>
      <name val="Arial"/>
      <family val="2"/>
    </font>
    <font>
      <sz val="10"/>
      <name val="MS Sans Serif"/>
      <family val="2"/>
    </font>
    <font>
      <b/>
      <sz val="10"/>
      <name val="Times New Roman"/>
      <family val="1"/>
    </font>
    <font>
      <sz val="8"/>
      <name val="Helvetica"/>
      <family val="2"/>
    </font>
    <font>
      <sz val="10"/>
      <name val="Frutiger 45 Light"/>
      <family val="2"/>
    </font>
    <font>
      <sz val="10"/>
      <name val="Geneva"/>
    </font>
    <font>
      <sz val="10"/>
      <color indexed="22"/>
      <name val="Arial"/>
      <family val="2"/>
    </font>
    <font>
      <sz val="24"/>
      <name val="MS Sans Serif"/>
      <family val="2"/>
    </font>
    <font>
      <sz val="12"/>
      <name val="Times New Roman"/>
      <family val="1"/>
    </font>
    <font>
      <b/>
      <sz val="8"/>
      <name val="Arial"/>
      <family val="2"/>
    </font>
    <font>
      <b/>
      <sz val="8"/>
      <name val="Times New Roman"/>
      <family val="1"/>
    </font>
    <font>
      <sz val="12"/>
      <color indexed="14"/>
      <name val="Times New Roman"/>
      <family val="1"/>
    </font>
    <font>
      <sz val="10"/>
      <name val="Arial Narrow"/>
      <family val="2"/>
    </font>
    <font>
      <u val="doubleAccounting"/>
      <sz val="10"/>
      <name val="Arial"/>
      <family val="2"/>
    </font>
    <font>
      <b/>
      <i/>
      <sz val="8"/>
      <color indexed="12"/>
      <name val="HelveticaNeue Condensed"/>
    </font>
    <font>
      <b/>
      <sz val="7"/>
      <color indexed="12"/>
      <name val="Arial"/>
      <family val="2"/>
    </font>
    <font>
      <u/>
      <sz val="10"/>
      <color indexed="36"/>
      <name val="Arial"/>
      <family val="2"/>
    </font>
    <font>
      <i/>
      <sz val="8"/>
      <color indexed="17"/>
      <name val="Times New Roman"/>
      <family val="1"/>
    </font>
    <font>
      <sz val="8"/>
      <color indexed="21"/>
      <name val="Arial"/>
      <family val="2"/>
    </font>
    <font>
      <b/>
      <sz val="22"/>
      <name val="Arial"/>
      <family val="2"/>
    </font>
    <font>
      <b/>
      <sz val="18"/>
      <name val="Arial"/>
      <family val="2"/>
    </font>
    <font>
      <b/>
      <sz val="14"/>
      <name val="Arial"/>
      <family val="2"/>
    </font>
    <font>
      <b/>
      <sz val="12"/>
      <name val="Arial"/>
      <family val="2"/>
    </font>
    <font>
      <sz val="8"/>
      <color indexed="12"/>
      <name val="Times New Roman"/>
      <family val="1"/>
    </font>
    <font>
      <sz val="10"/>
      <color indexed="12"/>
      <name val="Times New Roman"/>
      <family val="1"/>
    </font>
    <font>
      <b/>
      <sz val="12"/>
      <color indexed="10"/>
      <name val="Arial"/>
      <family val="2"/>
    </font>
    <font>
      <b/>
      <sz val="10"/>
      <color indexed="18"/>
      <name val="Times New Roman"/>
      <family val="1"/>
    </font>
    <font>
      <sz val="8"/>
      <color indexed="8"/>
      <name val="Helvetica"/>
      <family val="2"/>
    </font>
    <font>
      <u/>
      <sz val="6"/>
      <color indexed="12"/>
      <name val="Arial"/>
      <family val="2"/>
    </font>
    <font>
      <u/>
      <sz val="10"/>
      <color indexed="12"/>
      <name val="Arial"/>
      <family val="2"/>
    </font>
    <font>
      <sz val="8"/>
      <color indexed="39"/>
      <name val="Arial"/>
      <family val="2"/>
    </font>
    <font>
      <sz val="8"/>
      <color indexed="10"/>
      <name val="Helv"/>
    </font>
    <font>
      <b/>
      <sz val="10"/>
      <name val="Helv"/>
    </font>
    <font>
      <sz val="10"/>
      <color indexed="16"/>
      <name val="MS Sans Serif"/>
      <family val="2"/>
    </font>
    <font>
      <b/>
      <sz val="12"/>
      <color indexed="17"/>
      <name val="Wingdings"/>
      <charset val="2"/>
    </font>
    <font>
      <b/>
      <sz val="18"/>
      <name val="Times New Roman"/>
      <family val="1"/>
    </font>
    <font>
      <sz val="8"/>
      <color indexed="10"/>
      <name val="Times New Roman"/>
      <family val="1"/>
    </font>
    <font>
      <b/>
      <sz val="8"/>
      <color indexed="14"/>
      <name val="MS Sans Serif"/>
      <family val="2"/>
    </font>
    <font>
      <sz val="8"/>
      <color indexed="18"/>
      <name val="Times New Roman"/>
      <family val="1"/>
    </font>
    <font>
      <i/>
      <sz val="9"/>
      <color indexed="16"/>
      <name val="Arial"/>
      <family val="2"/>
    </font>
    <font>
      <sz val="7"/>
      <name val="Small Fonts"/>
      <family val="2"/>
    </font>
    <font>
      <b/>
      <u/>
      <sz val="12"/>
      <name val="L Serifa Light"/>
    </font>
    <font>
      <sz val="7"/>
      <color indexed="12"/>
      <name val="Arial"/>
      <family val="2"/>
    </font>
    <font>
      <i/>
      <sz val="10"/>
      <name val="Helv"/>
    </font>
    <font>
      <i/>
      <sz val="12"/>
      <color indexed="10"/>
      <name val="Times New Roman"/>
      <family val="1"/>
    </font>
    <font>
      <sz val="8"/>
      <color indexed="8"/>
      <name val="Arial"/>
      <family val="2"/>
    </font>
    <font>
      <i/>
      <sz val="10"/>
      <name val="Helvetica"/>
    </font>
    <font>
      <sz val="10"/>
      <name val="Helv"/>
    </font>
    <font>
      <b/>
      <sz val="8"/>
      <color indexed="18"/>
      <name val="Times New Roman"/>
      <family val="1"/>
    </font>
    <font>
      <sz val="8"/>
      <name val="Univers"/>
      <family val="2"/>
    </font>
    <font>
      <sz val="8"/>
      <color indexed="10"/>
      <name val="Arial"/>
      <family val="2"/>
    </font>
    <font>
      <sz val="10"/>
      <name val="GillSans Light"/>
    </font>
    <font>
      <sz val="8"/>
      <name val="COUR"/>
    </font>
    <font>
      <sz val="12"/>
      <color indexed="12"/>
      <name val="Times New Roman"/>
      <family val="1"/>
    </font>
    <font>
      <sz val="10"/>
      <color indexed="23"/>
      <name val="MS Sans Serif"/>
      <family val="2"/>
    </font>
    <font>
      <b/>
      <sz val="14"/>
      <name val="Times New Roman"/>
      <family val="1"/>
    </font>
    <font>
      <b/>
      <sz val="12"/>
      <name val="MS Sans Serif"/>
      <family val="2"/>
    </font>
    <font>
      <b/>
      <sz val="10"/>
      <name val="GillSans"/>
    </font>
    <font>
      <b/>
      <sz val="7"/>
      <name val="Arial"/>
      <family val="2"/>
    </font>
    <font>
      <b/>
      <sz val="16"/>
      <name val="Times New Roman"/>
      <family val="1"/>
    </font>
    <font>
      <b/>
      <sz val="10"/>
      <color indexed="16"/>
      <name val="Times New Roman"/>
      <family val="1"/>
    </font>
    <font>
      <sz val="8"/>
      <name val="MS Sans Serif"/>
      <family val="2"/>
    </font>
    <font>
      <i/>
      <sz val="9"/>
      <name val="Times New Roman"/>
      <family val="1"/>
    </font>
    <font>
      <b/>
      <i/>
      <sz val="10"/>
      <name val="Arial"/>
      <family val="2"/>
    </font>
    <font>
      <sz val="8"/>
      <color indexed="9"/>
      <name val="Arial"/>
      <family val="2"/>
    </font>
    <font>
      <sz val="14"/>
      <name val="뼻뮝"/>
      <family val="3"/>
      <charset val="129"/>
    </font>
    <font>
      <sz val="12"/>
      <name val="뼻뮝"/>
      <family val="1"/>
      <charset val="129"/>
    </font>
    <font>
      <sz val="11"/>
      <name val="돋움"/>
      <family val="3"/>
      <charset val="129"/>
    </font>
    <font>
      <sz val="11"/>
      <name val="돋움체"/>
      <family val="3"/>
      <charset val="129"/>
    </font>
    <font>
      <sz val="10"/>
      <color theme="1"/>
      <name val="Trebuchet MS"/>
      <family val="2"/>
    </font>
    <font>
      <u/>
      <sz val="10"/>
      <color theme="1"/>
      <name val="Trebuchet MS"/>
      <family val="2"/>
    </font>
    <font>
      <b/>
      <sz val="10"/>
      <color theme="1"/>
      <name val="Trebuchet MS"/>
      <family val="2"/>
    </font>
    <font>
      <sz val="10"/>
      <color theme="1"/>
      <name val="Calibri"/>
      <family val="2"/>
      <scheme val="minor"/>
    </font>
    <font>
      <sz val="11"/>
      <color theme="1"/>
      <name val="Trebuchet MS"/>
      <family val="2"/>
    </font>
    <font>
      <b/>
      <u/>
      <sz val="11"/>
      <color theme="1"/>
      <name val="Calibri"/>
      <family val="2"/>
      <scheme val="minor"/>
    </font>
    <font>
      <sz val="10"/>
      <color theme="3" tint="0.39997558519241921"/>
      <name val="Trebuchet MS"/>
      <family val="2"/>
    </font>
    <font>
      <b/>
      <sz val="9"/>
      <name val="Trebuchet MS"/>
      <family val="2"/>
    </font>
    <font>
      <sz val="9"/>
      <color theme="1"/>
      <name val="Trebuchet MS"/>
      <family val="2"/>
    </font>
    <font>
      <sz val="9"/>
      <name val="Trebuchet MS"/>
      <family val="2"/>
    </font>
    <font>
      <sz val="9"/>
      <color rgb="FFFF0000"/>
      <name val="Trebuchet MS"/>
      <family val="2"/>
    </font>
    <font>
      <sz val="9"/>
      <color rgb="FF555555"/>
      <name val="Arial"/>
      <family val="2"/>
    </font>
    <font>
      <sz val="10"/>
      <color theme="3" tint="0.59999389629810485"/>
      <name val="Trebuchet MS"/>
      <family val="2"/>
    </font>
    <font>
      <b/>
      <i/>
      <sz val="10"/>
      <name val="Trebuchet MS"/>
      <family val="2"/>
    </font>
    <font>
      <b/>
      <i/>
      <sz val="11"/>
      <color theme="1"/>
      <name val="Calibri"/>
      <family val="2"/>
      <scheme val="minor"/>
    </font>
    <font>
      <b/>
      <sz val="8"/>
      <color theme="1"/>
      <name val="Calibri"/>
      <family val="2"/>
      <scheme val="minor"/>
    </font>
    <font>
      <sz val="8"/>
      <color theme="1"/>
      <name val="Calibri"/>
      <family val="2"/>
      <scheme val="minor"/>
    </font>
    <font>
      <i/>
      <sz val="8"/>
      <color theme="1"/>
      <name val="Calibri"/>
      <family val="2"/>
      <scheme val="minor"/>
    </font>
    <font>
      <sz val="9"/>
      <color theme="1"/>
      <name val="Calibri"/>
      <family val="2"/>
      <scheme val="minor"/>
    </font>
    <font>
      <i/>
      <sz val="10"/>
      <color theme="1"/>
      <name val="Trebuchet MS"/>
      <family val="2"/>
    </font>
    <font>
      <b/>
      <sz val="10"/>
      <color theme="0"/>
      <name val="Trebuchet MS"/>
      <family val="2"/>
    </font>
    <font>
      <sz val="10"/>
      <color theme="0"/>
      <name val="Trebuchet MS"/>
      <family val="2"/>
    </font>
    <font>
      <b/>
      <sz val="11"/>
      <color theme="0"/>
      <name val="Calibri"/>
      <family val="2"/>
      <scheme val="minor"/>
    </font>
    <font>
      <b/>
      <u/>
      <sz val="11"/>
      <color theme="0"/>
      <name val="Calibri"/>
      <family val="2"/>
      <scheme val="minor"/>
    </font>
    <font>
      <sz val="11"/>
      <color theme="1"/>
      <name val="Times New Roman"/>
      <family val="1"/>
    </font>
    <font>
      <b/>
      <sz val="8"/>
      <color theme="1"/>
      <name val="Times New Roman"/>
      <family val="1"/>
    </font>
    <font>
      <b/>
      <sz val="1"/>
      <color theme="1"/>
      <name val="Times New Roman"/>
      <family val="1"/>
    </font>
    <font>
      <sz val="10"/>
      <color theme="1"/>
      <name val="Times New Roman"/>
      <family val="1"/>
    </font>
    <font>
      <sz val="1"/>
      <color theme="1"/>
      <name val="Times New Roman"/>
      <family val="1"/>
    </font>
    <font>
      <b/>
      <sz val="10"/>
      <color theme="1"/>
      <name val="Times New Roman"/>
      <family val="1"/>
    </font>
    <font>
      <b/>
      <sz val="11"/>
      <color theme="1"/>
      <name val="Trebuchet MS"/>
      <family val="2"/>
    </font>
    <font>
      <b/>
      <sz val="11"/>
      <color rgb="FFFFFFFF"/>
      <name val="Calibri"/>
      <family val="2"/>
    </font>
    <font>
      <sz val="11"/>
      <color rgb="FF000000"/>
      <name val="Calibri"/>
      <family val="2"/>
    </font>
    <font>
      <b/>
      <sz val="10"/>
      <color indexed="81"/>
      <name val="Tahoma"/>
      <family val="2"/>
    </font>
    <font>
      <sz val="10"/>
      <color indexed="81"/>
      <name val="Tahoma"/>
      <family val="2"/>
    </font>
    <font>
      <sz val="8"/>
      <color indexed="81"/>
      <name val="Tahoma"/>
      <family val="2"/>
    </font>
    <font>
      <b/>
      <sz val="8"/>
      <color indexed="81"/>
      <name val="Tahoma"/>
      <family val="2"/>
    </font>
    <font>
      <sz val="10"/>
      <color rgb="FF000000"/>
      <name val="Times New Roman"/>
      <family val="1"/>
    </font>
    <font>
      <sz val="11"/>
      <color theme="3" tint="0.39997558519241921"/>
      <name val="Calibri"/>
      <family val="2"/>
      <scheme val="minor"/>
    </font>
    <font>
      <b/>
      <u/>
      <sz val="10"/>
      <color theme="1"/>
      <name val="Trebuchet MS"/>
      <family val="2"/>
    </font>
    <font>
      <sz val="10"/>
      <color theme="4"/>
      <name val="Trebuchet MS"/>
      <family val="2"/>
    </font>
    <font>
      <sz val="11"/>
      <name val="Calibri"/>
      <family val="2"/>
      <scheme val="minor"/>
    </font>
    <font>
      <sz val="9"/>
      <color theme="1"/>
      <name val="Calibri"/>
      <family val="2"/>
    </font>
    <font>
      <sz val="10"/>
      <color indexed="8"/>
      <name val="Calibri"/>
      <family val="2"/>
    </font>
    <font>
      <sz val="8"/>
      <name val="Calibri"/>
      <family val="2"/>
    </font>
    <font>
      <sz val="18"/>
      <name val="Calibri"/>
      <family val="2"/>
    </font>
    <font>
      <sz val="9"/>
      <name val="Calibri"/>
      <family val="2"/>
    </font>
    <font>
      <sz val="10"/>
      <name val="Calibri"/>
      <family val="2"/>
    </font>
    <font>
      <b/>
      <sz val="10"/>
      <name val="Calibri"/>
      <family val="2"/>
    </font>
    <font>
      <i/>
      <sz val="10"/>
      <name val="Calibri"/>
      <family val="2"/>
    </font>
    <font>
      <b/>
      <i/>
      <sz val="9"/>
      <name val="Calibri"/>
      <family val="2"/>
    </font>
    <font>
      <sz val="8"/>
      <name val="Calibri"/>
      <family val="2"/>
      <scheme val="minor"/>
    </font>
    <font>
      <b/>
      <sz val="10"/>
      <name val="Roboto"/>
    </font>
    <font>
      <sz val="10"/>
      <name val="Roboto"/>
    </font>
    <font>
      <sz val="11"/>
      <color theme="1"/>
      <name val="Roboto"/>
    </font>
    <font>
      <b/>
      <sz val="10"/>
      <color indexed="63"/>
      <name val="Roboto"/>
    </font>
    <font>
      <sz val="10"/>
      <color indexed="63"/>
      <name val="Roboto"/>
    </font>
    <font>
      <sz val="9"/>
      <color theme="1"/>
      <name val="Arial"/>
      <family val="2"/>
    </font>
    <font>
      <b/>
      <sz val="9"/>
      <color theme="1"/>
      <name val="Arial"/>
      <family val="2"/>
    </font>
    <font>
      <sz val="12"/>
      <color theme="1"/>
      <name val="Roboto"/>
    </font>
    <font>
      <sz val="10"/>
      <color theme="1"/>
      <name val="Roboto"/>
    </font>
    <font>
      <b/>
      <sz val="10"/>
      <color theme="1"/>
      <name val="Roboto"/>
    </font>
    <font>
      <sz val="10"/>
      <color rgb="FF0000FF"/>
      <name val="Roboto"/>
    </font>
    <font>
      <sz val="12"/>
      <name val="Roboto"/>
    </font>
    <font>
      <b/>
      <sz val="12"/>
      <name val="Roboto"/>
    </font>
    <font>
      <b/>
      <u/>
      <sz val="11"/>
      <color theme="1"/>
      <name val="Roboto"/>
    </font>
    <font>
      <u/>
      <sz val="11"/>
      <color theme="1"/>
      <name val="Roboto"/>
    </font>
    <font>
      <sz val="11"/>
      <name val="Roboto"/>
    </font>
    <font>
      <b/>
      <sz val="11"/>
      <color theme="1"/>
      <name val="Roboto"/>
    </font>
    <font>
      <b/>
      <u/>
      <sz val="11"/>
      <name val="Roboto"/>
    </font>
    <font>
      <i/>
      <sz val="11"/>
      <color theme="1"/>
      <name val="Roboto"/>
    </font>
    <font>
      <sz val="11"/>
      <color theme="3" tint="0.39997558519241921"/>
      <name val="Roboto"/>
    </font>
    <font>
      <b/>
      <sz val="11"/>
      <name val="Roboto"/>
    </font>
    <font>
      <i/>
      <sz val="11"/>
      <name val="Roboto"/>
    </font>
    <font>
      <i/>
      <sz val="11"/>
      <color theme="3" tint="0.39997558519241921"/>
      <name val="Roboto"/>
    </font>
    <font>
      <sz val="11"/>
      <color rgb="FFFF0000"/>
      <name val="Roboto"/>
    </font>
    <font>
      <b/>
      <sz val="11"/>
      <color theme="3" tint="0.39997558519241921"/>
      <name val="Roboto"/>
    </font>
    <font>
      <sz val="10"/>
      <color rgb="FFFF0000"/>
      <name val="Roboto"/>
    </font>
    <font>
      <b/>
      <sz val="10"/>
      <color rgb="FFFF0000"/>
      <name val="Roboto"/>
    </font>
    <font>
      <b/>
      <sz val="11"/>
      <color rgb="FFFF0000"/>
      <name val="Roboto"/>
    </font>
    <font>
      <sz val="12"/>
      <color theme="1"/>
      <name val="Arial"/>
      <family val="2"/>
    </font>
    <font>
      <b/>
      <sz val="12"/>
      <color indexed="12"/>
      <name val="Arial"/>
      <family val="2"/>
    </font>
    <font>
      <b/>
      <sz val="12"/>
      <color theme="1"/>
      <name val="Arial"/>
      <family val="2"/>
    </font>
    <font>
      <sz val="12"/>
      <color indexed="12"/>
      <name val="Arial"/>
      <family val="2"/>
    </font>
    <font>
      <i/>
      <sz val="12"/>
      <color indexed="12"/>
      <name val="Arial"/>
      <family val="2"/>
    </font>
    <font>
      <b/>
      <i/>
      <sz val="12"/>
      <color indexed="12"/>
      <name val="Arial"/>
      <family val="2"/>
    </font>
    <font>
      <i/>
      <sz val="12"/>
      <color theme="1"/>
      <name val="Arial"/>
      <family val="2"/>
    </font>
    <font>
      <b/>
      <i/>
      <sz val="12"/>
      <color theme="1"/>
      <name val="Arial"/>
      <family val="2"/>
    </font>
    <font>
      <b/>
      <i/>
      <sz val="12"/>
      <color rgb="FF0070C0"/>
      <name val="Arial"/>
      <family val="2"/>
    </font>
    <font>
      <i/>
      <sz val="12"/>
      <color rgb="FF0070C0"/>
      <name val="Arial"/>
      <family val="2"/>
    </font>
    <font>
      <b/>
      <sz val="12"/>
      <color indexed="63"/>
      <name val="Arial"/>
      <family val="2"/>
    </font>
    <font>
      <sz val="12"/>
      <color theme="4"/>
      <name val="Arial"/>
      <family val="2"/>
    </font>
    <font>
      <b/>
      <i/>
      <sz val="12"/>
      <color theme="4"/>
      <name val="Arial"/>
      <family val="2"/>
    </font>
    <font>
      <i/>
      <sz val="12"/>
      <color theme="4"/>
      <name val="Arial"/>
      <family val="2"/>
    </font>
    <font>
      <sz val="11"/>
      <color indexed="48"/>
      <name val="Roboto"/>
    </font>
    <font>
      <b/>
      <sz val="11"/>
      <color indexed="12"/>
      <name val="Roboto"/>
    </font>
    <font>
      <sz val="11"/>
      <color indexed="63"/>
      <name val="Roboto"/>
    </font>
    <font>
      <b/>
      <sz val="11"/>
      <color indexed="63"/>
      <name val="Roboto"/>
    </font>
    <font>
      <b/>
      <sz val="11"/>
      <color theme="5"/>
      <name val="Roboto"/>
    </font>
    <font>
      <b/>
      <sz val="11"/>
      <color indexed="9"/>
      <name val="Roboto"/>
    </font>
    <font>
      <sz val="11"/>
      <color indexed="8"/>
      <name val="Roboto"/>
    </font>
    <font>
      <sz val="11"/>
      <color rgb="FF0000FF"/>
      <name val="Roboto"/>
    </font>
    <font>
      <b/>
      <sz val="11"/>
      <color indexed="8"/>
      <name val="Roboto"/>
    </font>
    <font>
      <sz val="11"/>
      <color indexed="10"/>
      <name val="Roboto"/>
    </font>
    <font>
      <b/>
      <u/>
      <sz val="11"/>
      <color indexed="63"/>
      <name val="Roboto"/>
    </font>
    <font>
      <sz val="11"/>
      <color theme="4"/>
      <name val="Roboto"/>
    </font>
    <font>
      <u/>
      <sz val="11"/>
      <name val="Roboto"/>
    </font>
    <font>
      <sz val="11"/>
      <color theme="9" tint="-0.249977111117893"/>
      <name val="Roboto"/>
    </font>
    <font>
      <b/>
      <sz val="11"/>
      <color rgb="FF0000FF"/>
      <name val="Roboto"/>
    </font>
    <font>
      <b/>
      <sz val="12"/>
      <color theme="4"/>
      <name val="Arial"/>
      <family val="2"/>
    </font>
    <font>
      <b/>
      <sz val="12"/>
      <color theme="1"/>
      <name val="Roboto"/>
    </font>
    <font>
      <sz val="11"/>
      <color rgb="FF0000FF"/>
      <name val="Calibri"/>
      <family val="2"/>
      <scheme val="minor"/>
    </font>
    <font>
      <b/>
      <sz val="12"/>
      <color rgb="FF000000"/>
      <name val="Calibri"/>
      <family val="2"/>
      <scheme val="minor"/>
    </font>
    <font>
      <sz val="12"/>
      <color theme="1"/>
      <name val="Calibri"/>
      <family val="2"/>
      <scheme val="minor"/>
    </font>
    <font>
      <sz val="12"/>
      <color rgb="FF000000"/>
      <name val="Calibri"/>
      <family val="2"/>
      <scheme val="minor"/>
    </font>
    <font>
      <b/>
      <u/>
      <sz val="12"/>
      <color theme="1"/>
      <name val="Roboto"/>
    </font>
    <font>
      <b/>
      <sz val="12"/>
      <color theme="1"/>
      <name val="Aptos"/>
      <family val="2"/>
    </font>
    <font>
      <sz val="12"/>
      <color theme="1"/>
      <name val="Symbol"/>
      <family val="1"/>
      <charset val="2"/>
    </font>
    <font>
      <sz val="12"/>
      <color theme="1"/>
      <name val="Times New Roman"/>
      <family val="1"/>
    </font>
    <font>
      <sz val="12"/>
      <color theme="1"/>
      <name val="Aptos"/>
      <family val="2"/>
    </font>
    <font>
      <b/>
      <u/>
      <sz val="12"/>
      <name val="Roboto"/>
    </font>
    <font>
      <u/>
      <sz val="12"/>
      <color theme="1"/>
      <name val="Roboto"/>
    </font>
    <font>
      <i/>
      <sz val="12"/>
      <color theme="1"/>
      <name val="Roboto"/>
    </font>
    <font>
      <b/>
      <sz val="14"/>
      <color theme="1"/>
      <name val="Roboto"/>
    </font>
    <font>
      <sz val="14"/>
      <color theme="1"/>
      <name val="Roboto"/>
    </font>
    <font>
      <b/>
      <u/>
      <sz val="14"/>
      <color theme="1"/>
      <name val="Roboto"/>
    </font>
    <font>
      <sz val="14"/>
      <color theme="3" tint="0.39997558519241921"/>
      <name val="Roboto"/>
    </font>
    <font>
      <b/>
      <sz val="12"/>
      <color rgb="FF000000"/>
      <name val="Roboto"/>
    </font>
    <font>
      <sz val="12"/>
      <color rgb="FF000000"/>
      <name val="Roboto"/>
    </font>
    <font>
      <sz val="11"/>
      <color rgb="FF000000"/>
      <name val="Roboto"/>
    </font>
    <font>
      <sz val="12"/>
      <color rgb="FF0000FF"/>
      <name val="Roboto"/>
    </font>
    <font>
      <b/>
      <sz val="11"/>
      <name val="Arial"/>
      <family val="2"/>
    </font>
    <font>
      <sz val="11"/>
      <color theme="1"/>
      <name val="Arial"/>
      <family val="2"/>
    </font>
    <font>
      <sz val="11"/>
      <name val="Arial"/>
      <family val="2"/>
    </font>
    <font>
      <sz val="11"/>
      <color rgb="FF0000FF"/>
      <name val="Arial"/>
      <family val="2"/>
    </font>
    <font>
      <b/>
      <sz val="11"/>
      <color theme="1"/>
      <name val="Arial"/>
      <family val="2"/>
    </font>
    <font>
      <sz val="11"/>
      <color theme="8" tint="-0.249977111117893"/>
      <name val="Roboto"/>
    </font>
    <font>
      <sz val="11"/>
      <color theme="3" tint="0.59999389629810485"/>
      <name val="Roboto"/>
    </font>
    <font>
      <b/>
      <sz val="11"/>
      <color theme="8" tint="-0.249977111117893"/>
      <name val="Roboto"/>
    </font>
    <font>
      <b/>
      <sz val="14"/>
      <color theme="8" tint="-0.249977111117893"/>
      <name val="Roboto"/>
    </font>
    <font>
      <sz val="14"/>
      <color theme="8" tint="-0.249977111117893"/>
      <name val="Roboto"/>
    </font>
    <font>
      <sz val="11"/>
      <color rgb="FF00B0F0"/>
      <name val="Roboto"/>
    </font>
    <font>
      <sz val="11"/>
      <color rgb="FFFF0000"/>
      <name val="Calibri"/>
      <family val="2"/>
      <scheme val="minor"/>
    </font>
    <font>
      <sz val="11"/>
      <color theme="8"/>
      <name val="Roboto"/>
    </font>
    <font>
      <sz val="11"/>
      <color rgb="FF00B050"/>
      <name val="Arial"/>
      <family val="2"/>
    </font>
    <font>
      <b/>
      <sz val="11"/>
      <color rgb="FF00B050"/>
      <name val="Arial"/>
      <family val="2"/>
    </font>
    <font>
      <b/>
      <sz val="11"/>
      <color rgb="FF00B050"/>
      <name val="Roboto"/>
    </font>
    <font>
      <sz val="11"/>
      <color rgb="FF00B050"/>
      <name val="Calibri"/>
      <family val="2"/>
      <scheme val="minor"/>
    </font>
    <font>
      <b/>
      <sz val="11"/>
      <color rgb="FF00B050"/>
      <name val="Calibri"/>
      <family val="2"/>
      <scheme val="minor"/>
    </font>
    <font>
      <sz val="11"/>
      <color theme="0" tint="-0.249977111117893"/>
      <name val="Calibri"/>
      <family val="2"/>
      <scheme val="minor"/>
    </font>
    <font>
      <b/>
      <sz val="11"/>
      <color theme="0" tint="-0.249977111117893"/>
      <name val="Calibri"/>
      <family val="2"/>
      <scheme val="minor"/>
    </font>
  </fonts>
  <fills count="55">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indexed="26"/>
        <bgColor indexed="64"/>
      </patternFill>
    </fill>
    <fill>
      <patternFill patternType="solid">
        <fgColor indexed="9"/>
        <bgColor indexed="64"/>
      </patternFill>
    </fill>
    <fill>
      <patternFill patternType="solid">
        <fgColor indexed="8"/>
        <bgColor indexed="64"/>
      </patternFill>
    </fill>
    <fill>
      <patternFill patternType="solid">
        <fgColor indexed="18"/>
        <bgColor indexed="64"/>
      </patternFill>
    </fill>
    <fill>
      <patternFill patternType="gray0625">
        <fgColor indexed="15"/>
      </patternFill>
    </fill>
    <fill>
      <patternFill patternType="solid">
        <fgColor indexed="42"/>
        <bgColor indexed="64"/>
      </patternFill>
    </fill>
    <fill>
      <patternFill patternType="solid">
        <fgColor indexed="41"/>
        <bgColor indexed="64"/>
      </patternFill>
    </fill>
    <fill>
      <patternFill patternType="lightGray">
        <fgColor indexed="12"/>
      </patternFill>
    </fill>
    <fill>
      <patternFill patternType="solid">
        <fgColor indexed="43"/>
        <bgColor indexed="64"/>
      </patternFill>
    </fill>
    <fill>
      <patternFill patternType="solid">
        <fgColor indexed="22"/>
        <bgColor indexed="64"/>
      </patternFill>
    </fill>
    <fill>
      <patternFill patternType="gray0625"/>
    </fill>
    <fill>
      <patternFill patternType="solid">
        <fgColor indexed="15"/>
        <bgColor indexed="64"/>
      </patternFill>
    </fill>
    <fill>
      <patternFill patternType="solid">
        <fgColor indexed="22"/>
      </patternFill>
    </fill>
    <fill>
      <patternFill patternType="solid">
        <fgColor indexed="13"/>
        <bgColor indexed="15"/>
      </patternFill>
    </fill>
    <fill>
      <patternFill patternType="solid">
        <fgColor indexed="11"/>
        <bgColor indexed="64"/>
      </patternFill>
    </fill>
    <fill>
      <patternFill patternType="gray0625">
        <fgColor indexed="22"/>
      </patternFill>
    </fill>
    <fill>
      <patternFill patternType="solid">
        <fgColor indexed="13"/>
      </patternFill>
    </fill>
    <fill>
      <patternFill patternType="lightGray"/>
    </fill>
    <fill>
      <patternFill patternType="solid">
        <fgColor indexed="44"/>
        <bgColor indexed="64"/>
      </patternFill>
    </fill>
    <fill>
      <patternFill patternType="solid">
        <fgColor indexed="9"/>
      </patternFill>
    </fill>
    <fill>
      <patternFill patternType="solid">
        <fgColor indexed="16"/>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00B0F0"/>
        <bgColor indexed="64"/>
      </patternFill>
    </fill>
    <fill>
      <patternFill patternType="solid">
        <fgColor theme="3" tint="0.39997558519241921"/>
        <bgColor indexed="64"/>
      </patternFill>
    </fill>
    <fill>
      <patternFill patternType="solid">
        <fgColor rgb="FFCCEEFF"/>
        <bgColor indexed="64"/>
      </patternFill>
    </fill>
    <fill>
      <patternFill patternType="solid">
        <fgColor rgb="FF1F497D"/>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
      <patternFill patternType="solid">
        <fgColor theme="6"/>
        <bgColor indexed="64"/>
      </patternFill>
    </fill>
    <fill>
      <patternFill patternType="solid">
        <fgColor indexed="65"/>
        <bgColor indexed="64"/>
      </patternFill>
    </fill>
    <fill>
      <patternFill patternType="solid">
        <fgColor rgb="FFFF0000"/>
        <bgColor indexed="64"/>
      </patternFill>
    </fill>
    <fill>
      <patternFill patternType="solid">
        <fgColor rgb="FFFFC000"/>
        <bgColor indexed="64"/>
      </patternFill>
    </fill>
    <fill>
      <patternFill patternType="solid">
        <fgColor theme="0" tint="-0.249977111117893"/>
        <bgColor indexed="64"/>
      </patternFill>
    </fill>
    <fill>
      <patternFill patternType="solid">
        <fgColor theme="5"/>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rgb="FF000000"/>
      </patternFill>
    </fill>
    <fill>
      <patternFill patternType="solid">
        <fgColor rgb="FF99CCFF"/>
        <bgColor rgb="FF000000"/>
      </patternFill>
    </fill>
    <fill>
      <patternFill patternType="solid">
        <fgColor rgb="FF7030A0"/>
        <bgColor indexed="64"/>
      </patternFill>
    </fill>
    <fill>
      <patternFill patternType="solid">
        <fgColor theme="7" tint="0.79998168889431442"/>
        <bgColor indexed="64"/>
      </patternFill>
    </fill>
    <fill>
      <patternFill patternType="solid">
        <fgColor rgb="FFFFFFFF"/>
        <bgColor rgb="FF000000"/>
      </patternFill>
    </fill>
    <fill>
      <patternFill patternType="solid">
        <fgColor rgb="FFD9D9D9"/>
        <bgColor rgb="FF000000"/>
      </patternFill>
    </fill>
    <fill>
      <patternFill patternType="solid">
        <fgColor theme="6" tint="0.3999755851924192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12"/>
      </left>
      <right style="medium">
        <color indexed="12"/>
      </right>
      <top style="medium">
        <color indexed="12"/>
      </top>
      <bottom style="medium">
        <color indexed="12"/>
      </bottom>
      <diagonal/>
    </border>
    <border>
      <left/>
      <right/>
      <top/>
      <bottom style="medium">
        <color indexed="64"/>
      </bottom>
      <diagonal/>
    </border>
    <border>
      <left/>
      <right/>
      <top/>
      <bottom style="thin">
        <color indexed="44"/>
      </bottom>
      <diagonal/>
    </border>
    <border>
      <left style="double">
        <color indexed="64"/>
      </left>
      <right/>
      <top/>
      <bottom/>
      <diagonal/>
    </border>
    <border>
      <left style="thin">
        <color indexed="64"/>
      </left>
      <right style="thin">
        <color indexed="64"/>
      </right>
      <top/>
      <bottom style="thin">
        <color indexed="64"/>
      </bottom>
      <diagonal/>
    </border>
    <border>
      <left/>
      <right/>
      <top/>
      <bottom style="dotted">
        <color indexed="64"/>
      </bottom>
      <diagonal/>
    </border>
    <border>
      <left style="dotted">
        <color indexed="12"/>
      </left>
      <right style="dotted">
        <color indexed="12"/>
      </right>
      <top style="dotted">
        <color indexed="12"/>
      </top>
      <bottom style="dotted">
        <color indexed="12"/>
      </bottom>
      <diagonal/>
    </border>
    <border>
      <left style="dotted">
        <color indexed="57"/>
      </left>
      <right style="dotted">
        <color indexed="57"/>
      </right>
      <top style="dotted">
        <color indexed="57"/>
      </top>
      <bottom style="dotted">
        <color indexed="57"/>
      </bottom>
      <diagonal/>
    </border>
    <border>
      <left style="thin">
        <color indexed="57"/>
      </left>
      <right style="thin">
        <color indexed="57"/>
      </right>
      <top style="thin">
        <color indexed="57"/>
      </top>
      <bottom style="thin">
        <color indexed="57"/>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right style="hair">
        <color indexed="64"/>
      </right>
      <top/>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64"/>
      </top>
      <bottom/>
      <diagonal/>
    </border>
    <border>
      <left style="double">
        <color indexed="64"/>
      </left>
      <right/>
      <top style="double">
        <color indexed="64"/>
      </top>
      <bottom/>
      <diagonal/>
    </border>
    <border>
      <left/>
      <right style="medium">
        <color indexed="64"/>
      </right>
      <top/>
      <bottom/>
      <diagonal/>
    </border>
    <border>
      <left/>
      <right/>
      <top style="medium">
        <color indexed="23"/>
      </top>
      <bottom style="medium">
        <color indexed="23"/>
      </bottom>
      <diagonal/>
    </border>
    <border>
      <left/>
      <right/>
      <top style="medium">
        <color indexed="41"/>
      </top>
      <bottom style="medium">
        <color indexed="41"/>
      </bottom>
      <diagonal/>
    </border>
    <border>
      <left/>
      <right/>
      <top style="medium">
        <color indexed="41"/>
      </top>
      <bottom/>
      <diagonal/>
    </border>
    <border>
      <left/>
      <right/>
      <top/>
      <bottom style="thin">
        <color indexed="23"/>
      </bottom>
      <diagonal/>
    </border>
    <border>
      <left/>
      <right/>
      <top style="thick">
        <color indexed="64"/>
      </top>
      <bottom/>
      <diagonal/>
    </border>
    <border>
      <left/>
      <right/>
      <top/>
      <bottom style="thick">
        <color indexed="18"/>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top style="double">
        <color indexed="64"/>
      </top>
      <bottom/>
      <diagonal/>
    </border>
    <border>
      <left/>
      <right/>
      <top style="thin">
        <color indexed="64"/>
      </top>
      <bottom style="double">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auto="1"/>
      </bottom>
      <diagonal/>
    </border>
  </borders>
  <cellStyleXfs count="418">
    <xf numFmtId="0" fontId="0" fillId="0" borderId="0"/>
    <xf numFmtId="0" fontId="4" fillId="0" borderId="0" applyNumberForma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8" fillId="0" borderId="0"/>
    <xf numFmtId="0" fontId="5" fillId="0" borderId="0"/>
    <xf numFmtId="0" fontId="5" fillId="0" borderId="0"/>
    <xf numFmtId="0" fontId="25" fillId="0" borderId="0" applyNumberFormat="0" applyFill="0" applyBorder="0" applyAlignment="0" applyProtection="0"/>
    <xf numFmtId="0" fontId="26" fillId="0" borderId="0" applyNumberFormat="0" applyFont="0" applyFill="0" applyBorder="0" applyAlignment="0" applyProtection="0"/>
    <xf numFmtId="0" fontId="5" fillId="0" borderId="0"/>
    <xf numFmtId="172" fontId="5" fillId="0" borderId="0" applyFont="0" applyFill="0" applyBorder="0" applyAlignment="0" applyProtection="0"/>
    <xf numFmtId="173"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26" fillId="0" borderId="0" applyNumberForma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74" fontId="5" fillId="0" borderId="0" applyFont="0" applyFill="0" applyBorder="0" applyAlignment="0" applyProtection="0"/>
    <xf numFmtId="175" fontId="5" fillId="0" borderId="0" applyFont="0" applyFill="0" applyBorder="0" applyAlignment="0" applyProtection="0"/>
    <xf numFmtId="176" fontId="5" fillId="0" borderId="0" applyFont="0" applyFill="0" applyBorder="0" applyAlignment="0" applyProtection="0"/>
    <xf numFmtId="177" fontId="5" fillId="0" borderId="0" applyFont="0" applyFill="0" applyBorder="0" applyAlignment="0" applyProtection="0"/>
    <xf numFmtId="0" fontId="27" fillId="0" borderId="0"/>
    <xf numFmtId="0" fontId="5" fillId="0" borderId="0"/>
    <xf numFmtId="0" fontId="5" fillId="0" borderId="0"/>
    <xf numFmtId="0" fontId="5" fillId="0" borderId="0" applyFont="0" applyFill="0" applyBorder="0" applyAlignment="0" applyProtection="0"/>
    <xf numFmtId="178" fontId="5" fillId="0" borderId="0" applyFont="0" applyFill="0" applyBorder="0" applyAlignment="0" applyProtection="0"/>
    <xf numFmtId="170" fontId="5" fillId="0" borderId="0" applyNumberFormat="0" applyFill="0" applyBorder="0" applyAlignment="0"/>
    <xf numFmtId="179" fontId="5" fillId="0" borderId="0" applyFill="0" applyBorder="0" applyProtection="0">
      <alignment horizontal="right"/>
    </xf>
    <xf numFmtId="0" fontId="5" fillId="0" borderId="0" applyFont="0" applyFill="0" applyBorder="0" applyAlignment="0" applyProtection="0"/>
    <xf numFmtId="0" fontId="5" fillId="0" borderId="0" applyFont="0" applyFill="0" applyBorder="0" applyAlignment="0" applyProtection="0"/>
    <xf numFmtId="171" fontId="28" fillId="4" borderId="0">
      <alignment horizontal="left"/>
    </xf>
    <xf numFmtId="180" fontId="29" fillId="0" borderId="0" applyFont="0" applyFill="0" applyBorder="0" applyAlignment="0" applyProtection="0"/>
    <xf numFmtId="181" fontId="30" fillId="0" borderId="0" applyFon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31" fillId="0" borderId="14" applyNumberFormat="0" applyFill="0" applyAlignment="0" applyProtection="0"/>
    <xf numFmtId="169" fontId="32" fillId="5" borderId="0" applyNumberFormat="0" applyFill="0" applyBorder="0" applyAlignment="0" applyProtection="0">
      <alignment horizontal="right"/>
    </xf>
    <xf numFmtId="0" fontId="5" fillId="0" borderId="0" applyFont="0" applyFill="0" applyBorder="0" applyAlignment="0" applyProtection="0"/>
    <xf numFmtId="182" fontId="5" fillId="0" borderId="0" applyFont="0" applyFill="0" applyBorder="0" applyAlignment="0" applyProtection="0"/>
    <xf numFmtId="0" fontId="5" fillId="0" borderId="0"/>
    <xf numFmtId="183" fontId="33" fillId="0" borderId="0" applyFill="0" applyBorder="0" applyAlignment="0" applyProtection="0">
      <protection locked="0"/>
    </xf>
    <xf numFmtId="0" fontId="34" fillId="6" borderId="0"/>
    <xf numFmtId="172" fontId="29" fillId="0" borderId="0" applyNumberFormat="0" applyFont="0" applyAlignment="0" applyProtection="0"/>
    <xf numFmtId="0" fontId="9" fillId="7" borderId="0" applyNumberFormat="0" applyBorder="0">
      <alignment horizontal="center" vertical="center"/>
    </xf>
    <xf numFmtId="0" fontId="33" fillId="0" borderId="15" applyNumberFormat="0" applyFont="0" applyFill="0" applyAlignment="0" applyProtection="0"/>
    <xf numFmtId="0" fontId="33" fillId="0" borderId="16" applyNumberFormat="0" applyFont="0" applyFill="0" applyAlignment="0" applyProtection="0"/>
    <xf numFmtId="0" fontId="35" fillId="0" borderId="0" applyFont="0" applyFill="0" applyBorder="0" applyAlignment="0" applyProtection="0"/>
    <xf numFmtId="0" fontId="5" fillId="0" borderId="0"/>
    <xf numFmtId="39" fontId="36" fillId="0" borderId="3" applyNumberFormat="0" applyFill="0" applyBorder="0"/>
    <xf numFmtId="183" fontId="33" fillId="0" borderId="0" applyFont="0" applyFill="0" applyBorder="0" applyAlignment="0" applyProtection="0">
      <protection locked="0"/>
    </xf>
    <xf numFmtId="184" fontId="37" fillId="0" borderId="0" applyNumberFormat="0" applyAlignment="0">
      <alignment vertical="center"/>
    </xf>
    <xf numFmtId="0" fontId="38" fillId="0" borderId="0">
      <alignment horizontal="center" wrapText="1"/>
      <protection hidden="1"/>
    </xf>
    <xf numFmtId="0" fontId="39" fillId="8" borderId="15" applyNumberFormat="0" applyProtection="0">
      <alignment horizontal="center" vertical="center" wrapText="1"/>
    </xf>
    <xf numFmtId="0" fontId="39" fillId="8" borderId="0" applyNumberFormat="0" applyBorder="0" applyProtection="0">
      <alignment horizontal="centerContinuous" vertical="center"/>
    </xf>
    <xf numFmtId="0" fontId="39" fillId="8" borderId="1" applyNumberFormat="0" applyBorder="0" applyProtection="0">
      <alignment horizontal="center" vertical="center" wrapText="1"/>
    </xf>
    <xf numFmtId="0" fontId="8" fillId="9" borderId="0" applyNumberFormat="0">
      <alignment horizontal="center" vertical="top" wrapText="1"/>
    </xf>
    <xf numFmtId="0" fontId="8" fillId="9" borderId="0" applyNumberFormat="0">
      <alignment horizontal="left" vertical="top" wrapText="1"/>
    </xf>
    <xf numFmtId="0" fontId="8" fillId="9" borderId="0" applyNumberFormat="0">
      <alignment horizontal="centerContinuous" vertical="top"/>
    </xf>
    <xf numFmtId="0" fontId="16" fillId="9" borderId="0" applyNumberFormat="0">
      <alignment horizontal="center" vertical="top" wrapText="1"/>
    </xf>
    <xf numFmtId="0" fontId="8" fillId="10" borderId="0" applyNumberFormat="0">
      <alignment horizontal="center" vertical="top" wrapText="1"/>
    </xf>
    <xf numFmtId="0" fontId="29" fillId="0" borderId="17" applyNumberFormat="0" applyFont="0" applyFill="0" applyAlignment="0" applyProtection="0">
      <alignment horizontal="left"/>
    </xf>
    <xf numFmtId="171" fontId="40"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alignment horizontal="right"/>
    </xf>
    <xf numFmtId="182" fontId="5" fillId="0" borderId="0" applyFont="0" applyFill="0" applyBorder="0" applyAlignment="0" applyProtection="0"/>
    <xf numFmtId="182" fontId="5" fillId="0" borderId="0" applyFont="0" applyFill="0" applyBorder="0" applyAlignment="0" applyProtection="0"/>
    <xf numFmtId="0" fontId="42" fillId="0" borderId="0" applyFont="0" applyFill="0" applyBorder="0" applyAlignment="0" applyProtection="0"/>
    <xf numFmtId="172" fontId="15" fillId="0" borderId="0"/>
    <xf numFmtId="3" fontId="43" fillId="0" borderId="0" applyFont="0" applyFill="0" applyBorder="0" applyAlignment="0" applyProtection="0"/>
    <xf numFmtId="0" fontId="44" fillId="11" borderId="0">
      <alignment horizontal="center" vertical="center" wrapText="1"/>
    </xf>
    <xf numFmtId="0" fontId="5" fillId="0" borderId="0">
      <alignment horizontal="left"/>
    </xf>
    <xf numFmtId="0" fontId="5" fillId="0" borderId="0"/>
    <xf numFmtId="0" fontId="5" fillId="0" borderId="0">
      <alignment horizontal="left"/>
    </xf>
    <xf numFmtId="186" fontId="38" fillId="0" borderId="0" applyFill="0" applyBorder="0">
      <alignment horizontal="right"/>
      <protection locked="0"/>
    </xf>
    <xf numFmtId="187" fontId="45" fillId="0" borderId="0" applyFont="0"/>
    <xf numFmtId="188" fontId="16" fillId="0" borderId="0" applyFont="0" applyFill="0" applyBorder="0" applyAlignment="0" applyProtection="0">
      <alignment vertical="center"/>
    </xf>
    <xf numFmtId="189" fontId="45" fillId="0" borderId="0" applyFont="0"/>
    <xf numFmtId="190" fontId="5" fillId="0" borderId="0"/>
    <xf numFmtId="191" fontId="5" fillId="0" borderId="0" applyFont="0" applyFill="0" applyBorder="0" applyAlignment="0"/>
    <xf numFmtId="0" fontId="41" fillId="0" borderId="0" applyFont="0" applyFill="0" applyBorder="0" applyAlignment="0" applyProtection="0">
      <alignment horizontal="right"/>
    </xf>
    <xf numFmtId="0" fontId="41" fillId="0" borderId="0" applyFont="0" applyFill="0" applyBorder="0" applyAlignment="0" applyProtection="0">
      <alignment horizontal="right"/>
    </xf>
    <xf numFmtId="192" fontId="16" fillId="0" borderId="0" applyFont="0" applyFill="0" applyBorder="0" applyAlignment="0" applyProtection="0">
      <alignment vertical="center"/>
    </xf>
    <xf numFmtId="193" fontId="16" fillId="0" borderId="0" applyFont="0" applyFill="0" applyBorder="0" applyAlignment="0" applyProtection="0">
      <alignment vertical="center"/>
    </xf>
    <xf numFmtId="194" fontId="16" fillId="0" borderId="0" applyFont="0" applyFill="0" applyBorder="0" applyAlignment="0" applyProtection="0">
      <alignment vertical="center"/>
    </xf>
    <xf numFmtId="195" fontId="16" fillId="0" borderId="0" applyFont="0" applyFill="0" applyBorder="0" applyAlignment="0" applyProtection="0">
      <alignment vertical="center"/>
    </xf>
    <xf numFmtId="196" fontId="16" fillId="0" borderId="0" applyFont="0" applyFill="0" applyBorder="0" applyAlignment="0" applyProtection="0">
      <alignment vertical="center"/>
    </xf>
    <xf numFmtId="197" fontId="16" fillId="0" borderId="0" applyFont="0" applyFill="0" applyBorder="0" applyAlignment="0" applyProtection="0">
      <alignment vertical="center"/>
    </xf>
    <xf numFmtId="198" fontId="16" fillId="0" borderId="0" applyFont="0" applyFill="0" applyBorder="0" applyAlignment="0" applyProtection="0">
      <alignment vertical="center"/>
    </xf>
    <xf numFmtId="199" fontId="16" fillId="0" borderId="0" applyFont="0" applyFill="0" applyBorder="0" applyAlignment="0" applyProtection="0">
      <alignment vertical="center"/>
    </xf>
    <xf numFmtId="200" fontId="16" fillId="0" borderId="0" applyFont="0" applyFill="0" applyBorder="0" applyAlignment="0" applyProtection="0">
      <alignment vertical="center"/>
    </xf>
    <xf numFmtId="201" fontId="16" fillId="0" borderId="0" applyFont="0" applyFill="0" applyBorder="0" applyAlignment="0" applyProtection="0">
      <alignment vertical="center"/>
    </xf>
    <xf numFmtId="202" fontId="16" fillId="0" borderId="0" applyFont="0" applyFill="0" applyBorder="0" applyAlignment="0" applyProtection="0">
      <alignment vertical="center"/>
    </xf>
    <xf numFmtId="203" fontId="16" fillId="0" borderId="0" applyFont="0" applyFill="0" applyBorder="0" applyAlignment="0" applyProtection="0">
      <alignment vertical="center"/>
    </xf>
    <xf numFmtId="204" fontId="5" fillId="0" borderId="0" applyFont="0" applyFill="0" applyBorder="0" applyAlignment="0" applyProtection="0"/>
    <xf numFmtId="0" fontId="5" fillId="0" borderId="0">
      <alignment horizontal="right"/>
      <protection locked="0"/>
    </xf>
    <xf numFmtId="205" fontId="16" fillId="0" borderId="0" applyFont="0" applyFill="0" applyBorder="0" applyAlignment="0" applyProtection="0">
      <alignment vertical="center"/>
    </xf>
    <xf numFmtId="206" fontId="16" fillId="0" borderId="0" applyFont="0" applyFill="0" applyBorder="0" applyAlignment="0" applyProtection="0">
      <alignment vertical="center"/>
    </xf>
    <xf numFmtId="15" fontId="46" fillId="0" borderId="0" applyFill="0" applyBorder="0" applyAlignment="0"/>
    <xf numFmtId="0" fontId="46" fillId="4" borderId="0" applyFont="0" applyFill="0" applyBorder="0" applyAlignment="0" applyProtection="0"/>
    <xf numFmtId="207" fontId="5" fillId="4" borderId="18" applyFont="0" applyFill="0" applyBorder="0" applyAlignment="0" applyProtection="0"/>
    <xf numFmtId="208" fontId="5" fillId="4" borderId="0" applyFont="0" applyFill="0" applyBorder="0" applyAlignment="0" applyProtection="0"/>
    <xf numFmtId="17" fontId="46" fillId="0" borderId="0" applyFill="0" applyBorder="0">
      <alignment horizontal="right"/>
    </xf>
    <xf numFmtId="166" fontId="5" fillId="0" borderId="7" applyFont="0" applyFill="0" applyBorder="0" applyAlignment="0" applyProtection="0"/>
    <xf numFmtId="0" fontId="41" fillId="0" borderId="0" applyFont="0" applyFill="0" applyBorder="0" applyAlignment="0" applyProtection="0"/>
    <xf numFmtId="0" fontId="5" fillId="0" borderId="0">
      <alignment horizontal="right"/>
      <protection locked="0"/>
    </xf>
    <xf numFmtId="208" fontId="5" fillId="0" borderId="0" applyFill="0" applyBorder="0">
      <alignment horizontal="right"/>
    </xf>
    <xf numFmtId="14" fontId="47" fillId="0" borderId="0" applyFont="0" applyFill="0" applyBorder="0" applyAlignment="0" applyProtection="0">
      <alignment horizontal="center"/>
    </xf>
    <xf numFmtId="209" fontId="47" fillId="0" borderId="0" applyFont="0" applyFill="0" applyBorder="0" applyAlignment="0" applyProtection="0">
      <alignment horizontal="center"/>
    </xf>
    <xf numFmtId="210" fontId="48" fillId="0" borderId="3" applyNumberFormat="0" applyFill="0" applyBorder="0" applyAlignment="0">
      <alignment horizontal="left"/>
      <protection locked="0"/>
    </xf>
    <xf numFmtId="211" fontId="29" fillId="0" borderId="0" applyFont="0" applyFill="0" applyBorder="0" applyAlignment="0" applyProtection="0"/>
    <xf numFmtId="0" fontId="49" fillId="0" borderId="0">
      <protection locked="0"/>
    </xf>
    <xf numFmtId="191" fontId="33" fillId="0" borderId="0" applyFont="0" applyFill="0" applyBorder="0" applyAlignment="0" applyProtection="0"/>
    <xf numFmtId="0" fontId="15" fillId="0" borderId="0"/>
    <xf numFmtId="212" fontId="33" fillId="0" borderId="0" applyFont="0" applyFill="0" applyBorder="0" applyAlignment="0" applyProtection="0"/>
    <xf numFmtId="0" fontId="41" fillId="0" borderId="19" applyNumberFormat="0" applyFont="0" applyFill="0" applyAlignment="0" applyProtection="0"/>
    <xf numFmtId="0" fontId="50" fillId="0" borderId="0" applyFill="0" applyBorder="0" applyAlignment="0" applyProtection="0"/>
    <xf numFmtId="164" fontId="51" fillId="0" borderId="20" applyNumberFormat="0" applyAlignment="0" applyProtection="0">
      <alignment vertical="top"/>
    </xf>
    <xf numFmtId="0" fontId="15" fillId="12" borderId="0" applyNumberFormat="0" applyFont="0" applyBorder="0" applyAlignment="0" applyProtection="0"/>
    <xf numFmtId="213" fontId="29" fillId="0" borderId="0" applyFont="0" applyFill="0" applyBorder="0" applyAlignment="0"/>
    <xf numFmtId="191" fontId="33" fillId="0" borderId="0" applyFont="0" applyFill="0" applyBorder="0" applyAlignment="0" applyProtection="0">
      <alignment horizontal="right"/>
    </xf>
    <xf numFmtId="214" fontId="29" fillId="0" borderId="0" applyFont="0" applyFill="0" applyBorder="0" applyProtection="0">
      <alignment horizontal="left"/>
      <protection locked="0"/>
    </xf>
    <xf numFmtId="215" fontId="29" fillId="0" borderId="0" applyFont="0" applyFill="0" applyBorder="0" applyProtection="0">
      <alignment horizontal="left"/>
      <protection locked="0"/>
    </xf>
    <xf numFmtId="191" fontId="5" fillId="0" borderId="0"/>
    <xf numFmtId="164" fontId="5" fillId="0" borderId="0"/>
    <xf numFmtId="172" fontId="5" fillId="0" borderId="0"/>
    <xf numFmtId="216" fontId="5" fillId="0" borderId="0" applyFont="0" applyFill="0" applyBorder="0" applyAlignment="0" applyProtection="0"/>
    <xf numFmtId="217" fontId="29" fillId="5" borderId="0">
      <alignment horizontal="right"/>
    </xf>
    <xf numFmtId="3" fontId="52" fillId="0" borderId="0" applyNumberFormat="0" applyFont="0" applyFill="0" applyBorder="0" applyAlignment="0" applyProtection="0">
      <alignment horizontal="left"/>
    </xf>
    <xf numFmtId="2" fontId="43" fillId="0" borderId="0" applyFont="0" applyFill="0" applyBorder="0" applyAlignment="0" applyProtection="0"/>
    <xf numFmtId="0" fontId="5" fillId="4" borderId="0" applyFont="0" applyFill="0" applyBorder="0" applyAlignment="0"/>
    <xf numFmtId="0" fontId="15" fillId="0" borderId="0"/>
    <xf numFmtId="0" fontId="53" fillId="0" borderId="0" applyNumberFormat="0" applyFill="0" applyBorder="0" applyAlignment="0" applyProtection="0">
      <alignment vertical="top"/>
      <protection locked="0"/>
    </xf>
    <xf numFmtId="0" fontId="5" fillId="0" borderId="0">
      <alignment horizontal="left"/>
    </xf>
    <xf numFmtId="0" fontId="5" fillId="0" borderId="0">
      <alignment horizontal="left"/>
    </xf>
    <xf numFmtId="0" fontId="5" fillId="0" borderId="0" applyFill="0" applyBorder="0" applyProtection="0">
      <alignment horizontal="left"/>
    </xf>
    <xf numFmtId="0" fontId="5" fillId="0" borderId="0">
      <alignment horizontal="left"/>
    </xf>
    <xf numFmtId="0" fontId="5" fillId="0" borderId="0">
      <alignment horizontal="left"/>
    </xf>
    <xf numFmtId="0" fontId="15" fillId="0" borderId="0"/>
    <xf numFmtId="218" fontId="33" fillId="0" borderId="0" applyFill="0" applyBorder="0" applyAlignment="0" applyProtection="0">
      <protection locked="0"/>
    </xf>
    <xf numFmtId="38" fontId="15" fillId="13" borderId="0" applyNumberFormat="0" applyFont="0" applyBorder="0" applyAlignment="0">
      <protection hidden="1"/>
    </xf>
    <xf numFmtId="219" fontId="54" fillId="0" borderId="0" applyFill="0" applyBorder="0" applyAlignment="0" applyProtection="0"/>
    <xf numFmtId="219" fontId="55" fillId="0" borderId="0" applyAlignment="0">
      <alignment horizontal="left"/>
      <protection locked="0"/>
    </xf>
    <xf numFmtId="0" fontId="56" fillId="9" borderId="0" applyNumberFormat="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horizontal="left" vertical="center"/>
    </xf>
    <xf numFmtId="0" fontId="8" fillId="0" borderId="0" applyNumberFormat="0" applyFill="0" applyBorder="0" applyAlignment="0" applyProtection="0">
      <alignment vertical="center"/>
    </xf>
    <xf numFmtId="0" fontId="29" fillId="0" borderId="0"/>
    <xf numFmtId="165" fontId="60" fillId="0" borderId="0" applyNumberFormat="0" applyFill="0" applyBorder="0" applyAlignment="0" applyProtection="0"/>
    <xf numFmtId="2" fontId="61" fillId="14" borderId="0"/>
    <xf numFmtId="220" fontId="46" fillId="4" borderId="1" applyNumberFormat="0" applyFont="0" applyAlignment="0"/>
    <xf numFmtId="0" fontId="41" fillId="0" borderId="0" applyFont="0" applyFill="0" applyBorder="0" applyAlignment="0" applyProtection="0">
      <alignment horizontal="right"/>
    </xf>
    <xf numFmtId="0" fontId="5" fillId="1" borderId="0" applyNumberFormat="0" applyBorder="0" applyProtection="0">
      <alignment horizontal="left" vertical="center"/>
    </xf>
    <xf numFmtId="0" fontId="5" fillId="0" borderId="0" applyProtection="0">
      <alignment horizontal="right"/>
    </xf>
    <xf numFmtId="0" fontId="5" fillId="0" borderId="0">
      <alignment horizontal="left"/>
    </xf>
    <xf numFmtId="0" fontId="62" fillId="15" borderId="0">
      <alignment horizontal="left"/>
    </xf>
    <xf numFmtId="0" fontId="5" fillId="16" borderId="0"/>
    <xf numFmtId="0" fontId="5" fillId="0" borderId="0">
      <alignment horizontal="left"/>
    </xf>
    <xf numFmtId="0" fontId="5" fillId="0" borderId="3">
      <alignment horizontal="left" vertical="top"/>
    </xf>
    <xf numFmtId="0" fontId="5" fillId="0" borderId="0">
      <alignment horizontal="left"/>
    </xf>
    <xf numFmtId="0" fontId="5" fillId="0" borderId="3">
      <alignment horizontal="left" vertical="top"/>
    </xf>
    <xf numFmtId="0" fontId="5" fillId="0" borderId="0">
      <alignment horizontal="left"/>
    </xf>
    <xf numFmtId="0" fontId="63" fillId="0" borderId="0"/>
    <xf numFmtId="0" fontId="16" fillId="2" borderId="0" applyNumberFormat="0" applyFont="0" applyBorder="0" applyAlignment="0" applyProtection="0">
      <alignment vertical="center"/>
    </xf>
    <xf numFmtId="221" fontId="64" fillId="0" borderId="0" applyNumberFormat="0" applyFill="0" applyBorder="0" applyAlignment="0"/>
    <xf numFmtId="0" fontId="65"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218" fontId="33" fillId="0" borderId="0" applyFill="0" applyBorder="0" applyAlignment="0" applyProtection="0">
      <alignment horizontal="right"/>
      <protection locked="0"/>
    </xf>
    <xf numFmtId="0" fontId="41" fillId="0" borderId="0" applyNumberFormat="0" applyFill="0" applyBorder="0" applyAlignment="0" applyProtection="0"/>
    <xf numFmtId="10" fontId="15" fillId="4" borderId="1" applyNumberFormat="0" applyBorder="0" applyAlignment="0" applyProtection="0"/>
    <xf numFmtId="0" fontId="16" fillId="0" borderId="21" applyNumberFormat="0" applyAlignment="0">
      <alignment vertical="center"/>
    </xf>
    <xf numFmtId="191" fontId="15" fillId="0" borderId="0"/>
    <xf numFmtId="0" fontId="16" fillId="0" borderId="22" applyNumberFormat="0" applyAlignment="0">
      <alignment vertical="center"/>
      <protection locked="0"/>
    </xf>
    <xf numFmtId="208" fontId="5" fillId="4" borderId="0" applyFont="0" applyBorder="0" applyAlignment="0" applyProtection="0">
      <protection locked="0"/>
    </xf>
    <xf numFmtId="185" fontId="16" fillId="17" borderId="22" applyNumberFormat="0" applyAlignment="0">
      <alignment vertical="center"/>
      <protection locked="0"/>
    </xf>
    <xf numFmtId="0" fontId="15" fillId="4" borderId="0" applyFont="0" applyBorder="0" applyAlignment="0">
      <protection locked="0"/>
    </xf>
    <xf numFmtId="0" fontId="16" fillId="9" borderId="0" applyNumberFormat="0" applyAlignment="0">
      <alignment vertical="center"/>
    </xf>
    <xf numFmtId="0" fontId="16" fillId="18" borderId="0" applyNumberFormat="0" applyAlignment="0">
      <alignment vertical="center"/>
    </xf>
    <xf numFmtId="0" fontId="61" fillId="0" borderId="0" applyNumberFormat="0" applyFill="0" applyBorder="0" applyAlignment="0" applyProtection="0"/>
    <xf numFmtId="218" fontId="15" fillId="4" borderId="0">
      <protection locked="0"/>
    </xf>
    <xf numFmtId="0" fontId="16" fillId="0" borderId="23" applyNumberFormat="0" applyAlignment="0">
      <alignment vertical="center"/>
      <protection locked="0"/>
    </xf>
    <xf numFmtId="222" fontId="5" fillId="4" borderId="0" applyFont="0" applyBorder="0" applyAlignment="0">
      <protection locked="0"/>
    </xf>
    <xf numFmtId="10" fontId="15" fillId="4" borderId="0">
      <protection locked="0"/>
    </xf>
    <xf numFmtId="0" fontId="15" fillId="4" borderId="0" applyFont="0" applyBorder="0" applyAlignment="0">
      <protection locked="0"/>
    </xf>
    <xf numFmtId="218" fontId="67" fillId="4" borderId="0" applyNumberFormat="0" applyBorder="0" applyAlignment="0">
      <protection locked="0"/>
    </xf>
    <xf numFmtId="10" fontId="5" fillId="0" borderId="0">
      <protection locked="0"/>
    </xf>
    <xf numFmtId="0" fontId="5" fillId="4" borderId="1"/>
    <xf numFmtId="0" fontId="5" fillId="4" borderId="1"/>
    <xf numFmtId="0" fontId="49" fillId="0" borderId="0" applyNumberFormat="0" applyFill="0" applyBorder="0" applyAlignment="0">
      <protection locked="0"/>
    </xf>
    <xf numFmtId="15" fontId="5" fillId="0" borderId="0">
      <protection locked="0"/>
    </xf>
    <xf numFmtId="2" fontId="5" fillId="0" borderId="24">
      <protection locked="0"/>
    </xf>
    <xf numFmtId="0" fontId="5" fillId="0" borderId="0">
      <protection locked="0"/>
    </xf>
    <xf numFmtId="0" fontId="38" fillId="0" borderId="0" applyFill="0" applyBorder="0">
      <alignment horizontal="right"/>
      <protection locked="0"/>
    </xf>
    <xf numFmtId="223" fontId="38" fillId="0" borderId="0" applyFill="0" applyBorder="0">
      <alignment horizontal="right"/>
      <protection locked="0"/>
    </xf>
    <xf numFmtId="224" fontId="49" fillId="19" borderId="0" applyBorder="0"/>
    <xf numFmtId="0" fontId="25" fillId="20" borderId="25">
      <alignment horizontal="left" vertical="center" wrapText="1"/>
    </xf>
    <xf numFmtId="4" fontId="61" fillId="14" borderId="0"/>
    <xf numFmtId="1" fontId="68" fillId="1" borderId="26">
      <protection locked="0"/>
    </xf>
    <xf numFmtId="169" fontId="69" fillId="0" borderId="7" applyNumberFormat="0" applyFill="0">
      <alignment vertical="center"/>
    </xf>
    <xf numFmtId="37" fontId="70" fillId="0" borderId="0" applyNumberFormat="0" applyFill="0" applyBorder="0" applyAlignment="0" applyProtection="0">
      <alignment horizontal="right"/>
    </xf>
    <xf numFmtId="172" fontId="71" fillId="0" borderId="0" applyNumberFormat="0" applyFont="0" applyFill="0" applyBorder="0" applyAlignment="0">
      <protection hidden="1"/>
    </xf>
    <xf numFmtId="0" fontId="72" fillId="0" borderId="0" applyNumberFormat="0" applyFill="0" applyBorder="0" applyProtection="0">
      <alignment horizontal="left" vertical="center"/>
    </xf>
    <xf numFmtId="1" fontId="73" fillId="0" borderId="0"/>
    <xf numFmtId="0" fontId="74" fillId="0" borderId="0"/>
    <xf numFmtId="225" fontId="5" fillId="19" borderId="0" applyBorder="0" applyAlignment="0">
      <alignment horizontal="right"/>
    </xf>
    <xf numFmtId="226" fontId="75" fillId="0" borderId="0" applyFill="0" applyBorder="0" applyAlignment="0" applyProtection="0"/>
    <xf numFmtId="40" fontId="38" fillId="0" borderId="0" applyFont="0" applyFill="0" applyBorder="0" applyAlignment="0" applyProtection="0"/>
    <xf numFmtId="227" fontId="42" fillId="0" borderId="0" applyFont="0" applyFill="0" applyBorder="0" applyAlignment="0" applyProtection="0"/>
    <xf numFmtId="228" fontId="29" fillId="0" borderId="0" applyFont="0" applyFill="0" applyBorder="0" applyAlignment="0" applyProtection="0"/>
    <xf numFmtId="229" fontId="42" fillId="0" borderId="0" applyFont="0" applyFill="0" applyBorder="0" applyAlignment="0" applyProtection="0"/>
    <xf numFmtId="164" fontId="5" fillId="0" borderId="0"/>
    <xf numFmtId="230" fontId="42" fillId="0" borderId="0" applyFont="0" applyFill="0" applyBorder="0" applyAlignment="0" applyProtection="0"/>
    <xf numFmtId="231" fontId="5" fillId="0" borderId="0" applyFont="0" applyFill="0" applyBorder="0" applyAlignment="0"/>
    <xf numFmtId="232" fontId="42" fillId="0" borderId="0" applyFont="0" applyFill="0" applyBorder="0" applyAlignment="0" applyProtection="0"/>
    <xf numFmtId="0" fontId="41" fillId="0" borderId="0" applyFont="0" applyFill="0" applyBorder="0" applyAlignment="0" applyProtection="0">
      <alignment horizontal="right"/>
    </xf>
    <xf numFmtId="170" fontId="5" fillId="13" borderId="0" applyFont="0" applyBorder="0" applyAlignment="0" applyProtection="0">
      <alignment horizontal="right"/>
      <protection hidden="1"/>
    </xf>
    <xf numFmtId="0" fontId="76" fillId="0" borderId="0" applyNumberFormat="0" applyAlignment="0">
      <alignment vertical="center"/>
    </xf>
    <xf numFmtId="0" fontId="49" fillId="0" borderId="27" applyBorder="0" applyAlignment="0" applyProtection="0">
      <alignment horizontal="center"/>
    </xf>
    <xf numFmtId="37" fontId="77" fillId="0" borderId="0"/>
    <xf numFmtId="0" fontId="5" fillId="0" borderId="0"/>
    <xf numFmtId="1" fontId="78" fillId="0" borderId="0" applyFill="0" applyBorder="0"/>
    <xf numFmtId="38" fontId="15" fillId="0" borderId="0" applyFont="0" applyFill="0" applyBorder="0" applyAlignment="0"/>
    <xf numFmtId="218" fontId="5" fillId="0" borderId="0" applyFont="0" applyFill="0" applyBorder="0" applyAlignment="0"/>
    <xf numFmtId="40" fontId="15" fillId="0" borderId="0" applyFont="0" applyFill="0" applyBorder="0" applyAlignment="0"/>
    <xf numFmtId="233" fontId="5" fillId="0" borderId="0" applyFont="0" applyFill="0" applyBorder="0" applyAlignment="0"/>
    <xf numFmtId="0" fontId="5" fillId="0" borderId="0"/>
    <xf numFmtId="0" fontId="5" fillId="0" borderId="0"/>
    <xf numFmtId="218" fontId="46" fillId="0" borderId="0" applyNumberFormat="0" applyFill="0" applyBorder="0" applyAlignment="0" applyProtection="0"/>
    <xf numFmtId="0" fontId="15" fillId="0" borderId="0" applyFont="0" applyFill="0" applyBorder="0" applyAlignment="0" applyProtection="0"/>
    <xf numFmtId="165" fontId="29" fillId="0" borderId="0" applyFill="0" applyBorder="0" applyAlignment="0" applyProtection="0"/>
    <xf numFmtId="0" fontId="5" fillId="0" borderId="0"/>
    <xf numFmtId="167" fontId="5" fillId="0" borderId="0"/>
    <xf numFmtId="37" fontId="79" fillId="0" borderId="0" applyNumberFormat="0" applyFont="0" applyFill="0" applyBorder="0" applyAlignment="0" applyProtection="0"/>
    <xf numFmtId="0" fontId="80" fillId="0" borderId="24"/>
    <xf numFmtId="234" fontId="5" fillId="0" borderId="0" applyFont="0" applyFill="0" applyBorder="0" applyAlignment="0" applyProtection="0"/>
    <xf numFmtId="185" fontId="16" fillId="0" borderId="0" applyFont="0" applyFill="0" applyBorder="0" applyAlignment="0" applyProtection="0">
      <alignment vertical="center"/>
    </xf>
    <xf numFmtId="184" fontId="16" fillId="0" borderId="0" applyFont="0" applyFill="0" applyBorder="0" applyAlignment="0" applyProtection="0">
      <alignment vertical="center"/>
    </xf>
    <xf numFmtId="38" fontId="29" fillId="0" borderId="2" applyFont="0" applyFill="0" applyBorder="0" applyAlignment="0" applyProtection="0"/>
    <xf numFmtId="235" fontId="5" fillId="0" borderId="0" applyFont="0" applyFill="0" applyBorder="0" applyAlignment="0" applyProtection="0"/>
    <xf numFmtId="236" fontId="81" fillId="21" borderId="3" applyFont="0" applyBorder="0"/>
    <xf numFmtId="170" fontId="82" fillId="0" borderId="0"/>
    <xf numFmtId="0" fontId="5" fillId="0" borderId="1">
      <alignment vertical="center" wrapText="1"/>
    </xf>
    <xf numFmtId="1" fontId="5" fillId="0" borderId="0" applyProtection="0">
      <alignment horizontal="right" vertical="center"/>
    </xf>
    <xf numFmtId="0" fontId="39" fillId="0" borderId="28" applyNumberFormat="0" applyAlignment="0" applyProtection="0"/>
    <xf numFmtId="0" fontId="29" fillId="9" borderId="0" applyNumberFormat="0" applyFont="0" applyBorder="0" applyAlignment="0" applyProtection="0"/>
    <xf numFmtId="0" fontId="15" fillId="10" borderId="24" applyNumberFormat="0" applyFont="0" applyBorder="0" applyAlignment="0" applyProtection="0">
      <alignment horizontal="center"/>
    </xf>
    <xf numFmtId="0" fontId="15" fillId="22" borderId="24" applyNumberFormat="0" applyFont="0" applyBorder="0" applyAlignment="0" applyProtection="0">
      <alignment horizontal="center"/>
    </xf>
    <xf numFmtId="0" fontId="29" fillId="0" borderId="29" applyNumberFormat="0" applyAlignment="0" applyProtection="0"/>
    <xf numFmtId="0" fontId="29" fillId="0" borderId="30" applyNumberFormat="0" applyAlignment="0" applyProtection="0"/>
    <xf numFmtId="0" fontId="39" fillId="0" borderId="31" applyNumberFormat="0" applyAlignment="0" applyProtection="0"/>
    <xf numFmtId="0" fontId="49" fillId="0" borderId="7">
      <alignment vertical="center"/>
    </xf>
    <xf numFmtId="0" fontId="15" fillId="0" borderId="0"/>
    <xf numFmtId="164" fontId="83" fillId="0" borderId="0" applyFill="0" applyBorder="0" applyProtection="0">
      <alignment vertical="top"/>
    </xf>
    <xf numFmtId="0" fontId="38" fillId="0" borderId="0" applyFont="0" applyFill="0" applyBorder="0" applyAlignment="0" applyProtection="0"/>
    <xf numFmtId="164" fontId="84" fillId="0" borderId="0" applyFont="0" applyFill="0" applyBorder="0" applyAlignment="0" applyProtection="0"/>
    <xf numFmtId="10" fontId="84" fillId="0" borderId="0" applyFont="0" applyFill="0" applyBorder="0" applyAlignment="0" applyProtection="0"/>
    <xf numFmtId="0" fontId="5" fillId="0" borderId="0" applyFont="0" applyFill="0" applyBorder="0" applyAlignment="0"/>
    <xf numFmtId="222" fontId="5" fillId="0" borderId="0" applyFont="0" applyFill="0" applyBorder="0" applyAlignment="0"/>
    <xf numFmtId="237" fontId="5" fillId="12" borderId="0" applyFont="0" applyFill="0" applyBorder="0" applyAlignment="0" applyProtection="0"/>
    <xf numFmtId="9" fontId="29" fillId="0" borderId="0"/>
    <xf numFmtId="10" fontId="29" fillId="0" borderId="0"/>
    <xf numFmtId="9" fontId="29" fillId="0" borderId="0"/>
    <xf numFmtId="9" fontId="5" fillId="0" borderId="0" applyFont="0" applyFill="0" applyBorder="0" applyAlignment="0" applyProtection="0"/>
    <xf numFmtId="238" fontId="16" fillId="0" borderId="0" applyFont="0" applyFill="0" applyBorder="0" applyAlignment="0" applyProtection="0">
      <alignment horizontal="right" vertical="center"/>
    </xf>
    <xf numFmtId="239" fontId="16" fillId="0" borderId="0" applyFont="0" applyFill="0" applyBorder="0" applyAlignment="0" applyProtection="0">
      <alignment vertical="center"/>
    </xf>
    <xf numFmtId="240" fontId="29" fillId="0" borderId="0" applyFont="0" applyFill="0" applyBorder="0" applyAlignment="0" applyProtection="0"/>
    <xf numFmtId="241" fontId="38" fillId="0" borderId="0" applyFill="0" applyBorder="0">
      <alignment horizontal="right"/>
      <protection locked="0"/>
    </xf>
    <xf numFmtId="219" fontId="33" fillId="0" borderId="0" applyFont="0" applyFill="0" applyBorder="0" applyAlignment="0" applyProtection="0"/>
    <xf numFmtId="178" fontId="5" fillId="0" borderId="0" applyFont="0" applyFill="0" applyBorder="0" applyAlignment="0" applyProtection="0"/>
    <xf numFmtId="191" fontId="33" fillId="0" borderId="0" applyFont="0" applyFill="0" applyBorder="0" applyAlignment="0" applyProtection="0"/>
    <xf numFmtId="218" fontId="33" fillId="0" borderId="0" applyFont="0" applyFill="0" applyBorder="0" applyAlignment="0" applyProtection="0">
      <protection locked="0"/>
    </xf>
    <xf numFmtId="226" fontId="80" fillId="0" borderId="0" applyFill="0" applyBorder="0" applyAlignment="0" applyProtection="0"/>
    <xf numFmtId="242" fontId="5" fillId="0" borderId="0" applyFont="0" applyFill="0" applyBorder="0" applyAlignment="0"/>
    <xf numFmtId="9" fontId="42" fillId="0" borderId="0" applyFont="0" applyFill="0" applyBorder="0" applyAlignment="0" applyProtection="0"/>
    <xf numFmtId="218" fontId="33" fillId="0" borderId="0" applyFill="0" applyBorder="0" applyAlignment="0" applyProtection="0"/>
    <xf numFmtId="38" fontId="33" fillId="0" borderId="0" applyFont="0" applyFill="0" applyBorder="0" applyAlignment="0" applyProtection="0"/>
    <xf numFmtId="191" fontId="85" fillId="0" borderId="32">
      <alignment horizontal="right"/>
    </xf>
    <xf numFmtId="10" fontId="33" fillId="0" borderId="0"/>
    <xf numFmtId="0" fontId="5" fillId="0" borderId="0">
      <alignment horizontal="right"/>
    </xf>
    <xf numFmtId="0" fontId="5" fillId="0" borderId="0"/>
    <xf numFmtId="243" fontId="5" fillId="0" borderId="0"/>
    <xf numFmtId="244" fontId="86" fillId="0" borderId="0"/>
    <xf numFmtId="243" fontId="5" fillId="0" borderId="0"/>
    <xf numFmtId="244" fontId="86" fillId="0" borderId="0"/>
    <xf numFmtId="244" fontId="86" fillId="0" borderId="0"/>
    <xf numFmtId="243" fontId="5" fillId="0" borderId="0"/>
    <xf numFmtId="244" fontId="86" fillId="0" borderId="0"/>
    <xf numFmtId="244" fontId="86" fillId="0" borderId="0"/>
    <xf numFmtId="244" fontId="86" fillId="0" borderId="0"/>
    <xf numFmtId="243" fontId="5" fillId="0" borderId="0"/>
    <xf numFmtId="244" fontId="86" fillId="0" borderId="0"/>
    <xf numFmtId="244" fontId="86" fillId="0" borderId="0"/>
    <xf numFmtId="243" fontId="5" fillId="0" borderId="0"/>
    <xf numFmtId="244" fontId="86" fillId="0" borderId="0"/>
    <xf numFmtId="244" fontId="86" fillId="0" borderId="0"/>
    <xf numFmtId="0" fontId="5" fillId="0" borderId="0"/>
    <xf numFmtId="0" fontId="5" fillId="0" borderId="0"/>
    <xf numFmtId="0" fontId="5" fillId="0" borderId="0"/>
    <xf numFmtId="245" fontId="38" fillId="0" borderId="0">
      <alignment horizontal="right"/>
      <protection locked="0"/>
    </xf>
    <xf numFmtId="218" fontId="87" fillId="0" borderId="0" applyNumberFormat="0" applyFill="0" applyBorder="0" applyAlignment="0" applyProtection="0">
      <alignment horizontal="left"/>
    </xf>
    <xf numFmtId="218" fontId="47" fillId="0" borderId="0" applyFont="0" applyFill="0" applyBorder="0" applyAlignment="0" applyProtection="0"/>
    <xf numFmtId="0" fontId="88" fillId="0" borderId="0" applyNumberFormat="0" applyFill="0" applyBorder="0" applyProtection="0">
      <alignment horizontal="right" vertical="center"/>
    </xf>
    <xf numFmtId="0" fontId="5" fillId="0" borderId="0">
      <alignment horizontal="right"/>
    </xf>
    <xf numFmtId="0" fontId="5" fillId="0" borderId="0">
      <alignment horizontal="right"/>
    </xf>
    <xf numFmtId="0" fontId="5" fillId="0" borderId="0" applyFill="0" applyBorder="0" applyProtection="0">
      <alignment horizontal="right"/>
    </xf>
    <xf numFmtId="0" fontId="5" fillId="0" borderId="0">
      <alignment horizontal="right"/>
    </xf>
    <xf numFmtId="0" fontId="29" fillId="0" borderId="33" applyNumberFormat="0" applyFont="0" applyFill="0" applyAlignment="0" applyProtection="0"/>
    <xf numFmtId="0" fontId="39" fillId="8" borderId="34" applyNumberFormat="0" applyBorder="0" applyProtection="0">
      <alignment horizontal="left" wrapText="1"/>
    </xf>
    <xf numFmtId="0" fontId="39" fillId="8" borderId="0" applyNumberFormat="0" applyBorder="0" applyProtection="0">
      <alignment horizontal="left"/>
    </xf>
    <xf numFmtId="0" fontId="89" fillId="23" borderId="0" applyFont="0" applyFill="0" applyAlignment="0"/>
    <xf numFmtId="0" fontId="8" fillId="0" borderId="0" applyNumberFormat="0" applyFill="0" applyBorder="0">
      <alignment horizontal="left" vertical="center" wrapText="1"/>
    </xf>
    <xf numFmtId="0" fontId="16" fillId="0" borderId="0" applyNumberFormat="0" applyFill="0" applyBorder="0">
      <alignment horizontal="left" vertical="center" wrapText="1" indent="1"/>
    </xf>
    <xf numFmtId="0" fontId="15" fillId="0" borderId="0" applyNumberFormat="0" applyFont="0" applyFill="0" applyBorder="0" applyAlignment="0" applyProtection="0"/>
    <xf numFmtId="0" fontId="29" fillId="0" borderId="0" applyNumberFormat="0" applyFont="0" applyFill="0" applyBorder="0" applyAlignment="0" applyProtection="0"/>
    <xf numFmtId="0" fontId="29" fillId="0" borderId="0" applyNumberFormat="0" applyFont="0" applyFill="0" applyBorder="0" applyAlignment="0" applyProtection="0"/>
    <xf numFmtId="0" fontId="29" fillId="0" borderId="0" applyNumberFormat="0" applyFont="0" applyFill="0" applyBorder="0" applyAlignment="0" applyProtection="0"/>
    <xf numFmtId="0" fontId="29" fillId="0" borderId="0" applyNumberFormat="0" applyFont="0" applyFill="0" applyBorder="0" applyAlignment="0" applyProtection="0"/>
    <xf numFmtId="210" fontId="90" fillId="0" borderId="3" applyNumberFormat="0" applyFill="0" applyBorder="0">
      <protection locked="0"/>
    </xf>
    <xf numFmtId="0" fontId="5" fillId="0" borderId="35">
      <alignment vertical="center"/>
    </xf>
    <xf numFmtId="246" fontId="91" fillId="0" borderId="0" applyFill="0" applyBorder="0">
      <alignment horizontal="right"/>
      <protection hidden="1"/>
    </xf>
    <xf numFmtId="0" fontId="92" fillId="0" borderId="0" applyNumberFormat="0" applyFill="0" applyBorder="0" applyProtection="0">
      <alignment horizontal="left" vertical="center"/>
    </xf>
    <xf numFmtId="0" fontId="93" fillId="11" borderId="1">
      <alignment horizontal="center" vertical="center" wrapText="1"/>
      <protection hidden="1"/>
    </xf>
    <xf numFmtId="40" fontId="38" fillId="0" borderId="0" applyFont="0" applyFill="0" applyBorder="0" applyAlignment="0" applyProtection="0"/>
    <xf numFmtId="183" fontId="33" fillId="0" borderId="0" applyFill="0" applyBorder="0" applyAlignment="0" applyProtection="0">
      <protection locked="0"/>
    </xf>
    <xf numFmtId="0" fontId="35" fillId="0" borderId="0" applyFill="0" applyBorder="0" applyAlignment="0" applyProtection="0"/>
    <xf numFmtId="40" fontId="29" fillId="0" borderId="0" applyFont="0" applyFill="0" applyBorder="0" applyAlignment="0" applyProtection="0"/>
    <xf numFmtId="247" fontId="29" fillId="0" borderId="0" applyFont="0" applyFill="0" applyBorder="0" applyAlignment="0" applyProtection="0"/>
    <xf numFmtId="169" fontId="69" fillId="0" borderId="0" applyNumberFormat="0" applyFill="0" applyBorder="0" applyAlignment="0"/>
    <xf numFmtId="0" fontId="38" fillId="0" borderId="0"/>
    <xf numFmtId="0" fontId="29" fillId="0" borderId="0" applyFont="0" applyFill="0" applyBorder="0" applyAlignment="0" applyProtection="0"/>
    <xf numFmtId="0" fontId="15" fillId="9" borderId="0" applyNumberFormat="0" applyFont="0" applyBorder="0" applyAlignment="0">
      <protection hidden="1"/>
    </xf>
    <xf numFmtId="0" fontId="84" fillId="0" borderId="0"/>
    <xf numFmtId="0" fontId="94" fillId="0" borderId="0" applyNumberFormat="0" applyFill="0" applyBorder="0" applyProtection="0">
      <alignment horizontal="left" vertical="center"/>
    </xf>
    <xf numFmtId="185" fontId="8" fillId="0" borderId="36" applyNumberFormat="0" applyFill="0" applyAlignment="0" applyProtection="0">
      <alignment vertical="center"/>
    </xf>
    <xf numFmtId="0" fontId="33" fillId="0" borderId="0"/>
    <xf numFmtId="185" fontId="16" fillId="0" borderId="37" applyNumberFormat="0" applyFont="0" applyFill="0" applyAlignment="0" applyProtection="0">
      <alignment vertical="center"/>
    </xf>
    <xf numFmtId="0" fontId="5" fillId="0" borderId="0" applyBorder="0" applyProtection="0">
      <alignment vertical="center"/>
    </xf>
    <xf numFmtId="0" fontId="41" fillId="0" borderId="7" applyBorder="0" applyProtection="0">
      <alignment horizontal="right" vertical="center"/>
    </xf>
    <xf numFmtId="0" fontId="5" fillId="24" borderId="0" applyBorder="0" applyProtection="0">
      <alignment horizontal="centerContinuous" vertical="center"/>
    </xf>
    <xf numFmtId="0" fontId="5" fillId="6" borderId="7" applyBorder="0" applyProtection="0">
      <alignment horizontal="centerContinuous" vertical="center"/>
    </xf>
    <xf numFmtId="0" fontId="5" fillId="0" borderId="0">
      <alignment horizontal="left"/>
    </xf>
    <xf numFmtId="165" fontId="15" fillId="0" borderId="0">
      <alignment horizontal="right"/>
    </xf>
    <xf numFmtId="3" fontId="15" fillId="0" borderId="0">
      <alignment horizontal="right"/>
    </xf>
    <xf numFmtId="0" fontId="16" fillId="13" borderId="0" applyNumberFormat="0" applyFont="0" applyBorder="0" applyAlignment="0" applyProtection="0">
      <alignment vertical="center"/>
    </xf>
    <xf numFmtId="0" fontId="5" fillId="0" borderId="0">
      <alignment horizontal="left"/>
    </xf>
    <xf numFmtId="0" fontId="95" fillId="0" borderId="0" applyFill="0" applyBorder="0" applyProtection="0"/>
    <xf numFmtId="0" fontId="5" fillId="0" borderId="0"/>
    <xf numFmtId="0" fontId="5" fillId="0" borderId="0" applyFill="0" applyBorder="0" applyProtection="0">
      <alignment horizontal="left"/>
    </xf>
    <xf numFmtId="0" fontId="16" fillId="0" borderId="0" applyNumberFormat="0" applyFont="0" applyFill="0" applyAlignment="0" applyProtection="0">
      <alignment vertical="center"/>
    </xf>
    <xf numFmtId="0" fontId="5" fillId="0" borderId="3" applyFill="0" applyBorder="0" applyProtection="0">
      <alignment horizontal="left" vertical="top"/>
    </xf>
    <xf numFmtId="185" fontId="16" fillId="0" borderId="0" applyNumberFormat="0" applyFont="0" applyBorder="0" applyAlignment="0" applyProtection="0">
      <alignment vertical="center"/>
    </xf>
    <xf numFmtId="0" fontId="5" fillId="23" borderId="38" applyNumberFormat="0" applyAlignment="0" applyProtection="0">
      <alignment vertical="center"/>
    </xf>
    <xf numFmtId="0" fontId="33" fillId="0" borderId="0"/>
    <xf numFmtId="0" fontId="96" fillId="0" borderId="0">
      <alignment horizontal="centerContinuous"/>
    </xf>
    <xf numFmtId="0" fontId="5" fillId="18" borderId="0" applyNumberFormat="0" applyFont="0" applyBorder="0" applyAlignment="0" applyProtection="0"/>
    <xf numFmtId="49" fontId="41" fillId="0" borderId="7">
      <alignment vertical="center"/>
    </xf>
    <xf numFmtId="49" fontId="16" fillId="0" borderId="0" applyFont="0" applyFill="0" applyBorder="0" applyAlignment="0" applyProtection="0">
      <alignment horizontal="center" vertical="center"/>
    </xf>
    <xf numFmtId="0" fontId="5" fillId="0" borderId="0"/>
    <xf numFmtId="0" fontId="5" fillId="0" borderId="0"/>
    <xf numFmtId="0" fontId="5" fillId="0" borderId="0"/>
    <xf numFmtId="0" fontId="5" fillId="0" borderId="0"/>
    <xf numFmtId="0" fontId="5" fillId="0" borderId="0"/>
    <xf numFmtId="0" fontId="5" fillId="0" borderId="0"/>
    <xf numFmtId="248" fontId="5" fillId="0" borderId="0" applyFill="0" applyBorder="0" applyAlignment="0" applyProtection="0">
      <alignment horizontal="right"/>
    </xf>
    <xf numFmtId="1" fontId="47" fillId="0" borderId="4" applyFill="0" applyBorder="0" applyProtection="0">
      <alignment horizontal="right"/>
    </xf>
    <xf numFmtId="249" fontId="5" fillId="0" borderId="0"/>
    <xf numFmtId="0" fontId="29" fillId="0" borderId="0" applyNumberFormat="0" applyFill="0" applyBorder="0" applyAlignment="0" applyProtection="0"/>
    <xf numFmtId="0" fontId="45" fillId="0" borderId="0" applyNumberFormat="0" applyFill="0" applyBorder="0" applyAlignment="0" applyProtection="0"/>
    <xf numFmtId="250" fontId="86" fillId="0" borderId="0"/>
    <xf numFmtId="0" fontId="39" fillId="8" borderId="15" applyNumberFormat="0" applyProtection="0">
      <alignment horizontal="left" vertical="center"/>
    </xf>
    <xf numFmtId="0" fontId="47" fillId="0" borderId="0" applyFill="0" applyBorder="0" applyProtection="0"/>
    <xf numFmtId="0" fontId="5" fillId="0" borderId="39"/>
    <xf numFmtId="218" fontId="97" fillId="0" borderId="40"/>
    <xf numFmtId="218" fontId="85" fillId="0" borderId="0" applyNumberFormat="0" applyFill="0" applyBorder="0" applyAlignment="0" applyProtection="0"/>
    <xf numFmtId="0" fontId="38" fillId="0" borderId="0" applyBorder="0"/>
    <xf numFmtId="210" fontId="30" fillId="0" borderId="0" applyNumberFormat="0" applyFill="0" applyBorder="0" applyAlignment="0"/>
    <xf numFmtId="0" fontId="5" fillId="0" borderId="0"/>
    <xf numFmtId="0" fontId="5" fillId="0" borderId="0"/>
    <xf numFmtId="0" fontId="5" fillId="0" borderId="0" applyNumberFormat="0" applyFont="0" applyFill="0" applyBorder="0" applyAlignment="0">
      <alignment horizontal="left" vertical="center"/>
    </xf>
    <xf numFmtId="172" fontId="5" fillId="0" borderId="10" applyNumberFormat="0" applyFont="0" applyFill="0" applyAlignment="0"/>
    <xf numFmtId="0" fontId="8" fillId="9" borderId="0" applyNumberFormat="0" applyAlignment="0" applyProtection="0">
      <alignment horizontal="left" vertical="center" wrapText="1"/>
    </xf>
    <xf numFmtId="233" fontId="5" fillId="0" borderId="0" applyFont="0" applyFill="0" applyBorder="0" applyAlignment="0" applyProtection="0"/>
    <xf numFmtId="251" fontId="5" fillId="0" borderId="0" applyFont="0" applyFill="0" applyBorder="0" applyAlignment="0" applyProtection="0"/>
    <xf numFmtId="182" fontId="5" fillId="0" borderId="0" applyFont="0" applyFill="0" applyBorder="0" applyAlignment="0" applyProtection="0"/>
    <xf numFmtId="171" fontId="98" fillId="0" borderId="7" applyAlignment="0">
      <alignment horizontal="left"/>
      <protection locked="0"/>
    </xf>
    <xf numFmtId="0" fontId="16" fillId="0" borderId="0" applyNumberFormat="0" applyFont="0" applyBorder="0" applyAlignment="0" applyProtection="0">
      <alignment vertical="center"/>
    </xf>
    <xf numFmtId="0" fontId="5" fillId="0" borderId="0"/>
    <xf numFmtId="0" fontId="99" fillId="0" borderId="0"/>
    <xf numFmtId="0" fontId="16" fillId="0" borderId="0" applyNumberFormat="0" applyFont="0" applyAlignment="0" applyProtection="0">
      <alignment vertical="center"/>
    </xf>
    <xf numFmtId="252" fontId="5" fillId="0" borderId="0" applyNumberFormat="0"/>
    <xf numFmtId="253" fontId="5" fillId="0" borderId="0" applyFont="0" applyFill="0" applyBorder="0" applyAlignment="0" applyProtection="0"/>
    <xf numFmtId="0" fontId="100" fillId="0" borderId="0" applyNumberFormat="0" applyFont="0" applyFill="0" applyBorder="0" applyAlignment="0" applyProtection="0">
      <alignment horizontal="left"/>
    </xf>
    <xf numFmtId="0" fontId="101" fillId="0" borderId="0" applyNumberFormat="0" applyFill="0" applyBorder="0" applyAlignment="0" applyProtection="0"/>
    <xf numFmtId="1" fontId="33" fillId="0" borderId="0" applyFont="0" applyFill="0" applyBorder="0" applyAlignment="0" applyProtection="0"/>
    <xf numFmtId="0" fontId="29" fillId="8" borderId="0" applyNumberFormat="0" applyBorder="0" applyProtection="0">
      <alignment horizontal="left"/>
    </xf>
    <xf numFmtId="222" fontId="33" fillId="0" borderId="0" applyFont="0" applyFill="0" applyBorder="0" applyProtection="0">
      <alignment horizontal="right"/>
    </xf>
    <xf numFmtId="0" fontId="35" fillId="0" borderId="0" applyFont="0" applyFill="0" applyBorder="0" applyAlignment="0" applyProtection="0"/>
    <xf numFmtId="40" fontId="102" fillId="0" borderId="0" applyFont="0" applyFill="0" applyBorder="0" applyAlignment="0" applyProtection="0"/>
    <xf numFmtId="38" fontId="102" fillId="0" borderId="0" applyFont="0" applyFill="0" applyBorder="0" applyAlignment="0" applyProtection="0"/>
    <xf numFmtId="0" fontId="102" fillId="0" borderId="0" applyFont="0" applyFill="0" applyBorder="0" applyAlignment="0" applyProtection="0"/>
    <xf numFmtId="0" fontId="102" fillId="0" borderId="0" applyFont="0" applyFill="0" applyBorder="0" applyAlignment="0" applyProtection="0"/>
    <xf numFmtId="0" fontId="103" fillId="0" borderId="0"/>
    <xf numFmtId="0" fontId="104" fillId="0" borderId="0" applyFont="0" applyFill="0" applyBorder="0" applyAlignment="0" applyProtection="0"/>
    <xf numFmtId="0" fontId="104" fillId="0" borderId="0" applyFont="0" applyFill="0" applyBorder="0" applyAlignment="0" applyProtection="0"/>
    <xf numFmtId="254" fontId="5" fillId="0" borderId="0" applyFont="0" applyFill="0" applyBorder="0" applyAlignment="0" applyProtection="0"/>
    <xf numFmtId="0" fontId="104" fillId="0" borderId="0" applyFont="0" applyFill="0" applyBorder="0" applyAlignment="0" applyProtection="0"/>
    <xf numFmtId="0" fontId="105" fillId="0" borderId="0"/>
    <xf numFmtId="0" fontId="20" fillId="0" borderId="0"/>
    <xf numFmtId="0" fontId="15" fillId="0" borderId="0"/>
    <xf numFmtId="43" fontId="5" fillId="0" borderId="0" applyFont="0" applyFill="0" applyBorder="0" applyAlignment="0" applyProtection="0"/>
    <xf numFmtId="0" fontId="5" fillId="0" borderId="0"/>
    <xf numFmtId="0" fontId="148" fillId="0" borderId="0"/>
    <xf numFmtId="182" fontId="148" fillId="0" borderId="0" applyFont="0" applyFill="0" applyBorder="0" applyAlignment="0" applyProtection="0"/>
    <xf numFmtId="0" fontId="5" fillId="0" borderId="0"/>
    <xf numFmtId="0" fontId="20" fillId="0" borderId="0"/>
  </cellStyleXfs>
  <cellXfs count="2216">
    <xf numFmtId="0" fontId="0" fillId="0" borderId="0" xfId="0"/>
    <xf numFmtId="0" fontId="1" fillId="0" borderId="0" xfId="0" applyFont="1"/>
    <xf numFmtId="0" fontId="3" fillId="0" borderId="0" xfId="0" applyFont="1"/>
    <xf numFmtId="0" fontId="0" fillId="0" borderId="0" xfId="0" applyAlignment="1">
      <alignment horizontal="right"/>
    </xf>
    <xf numFmtId="1" fontId="0" fillId="0" borderId="0" xfId="0" applyNumberFormat="1"/>
    <xf numFmtId="17" fontId="0" fillId="0" borderId="0" xfId="0" applyNumberFormat="1"/>
    <xf numFmtId="1" fontId="0" fillId="0" borderId="1" xfId="0" applyNumberFormat="1" applyBorder="1"/>
    <xf numFmtId="0" fontId="4" fillId="0" borderId="0" xfId="1"/>
    <xf numFmtId="9" fontId="0" fillId="0" borderId="0" xfId="0" applyNumberFormat="1"/>
    <xf numFmtId="10" fontId="0" fillId="0" borderId="0" xfId="0" applyNumberFormat="1"/>
    <xf numFmtId="164" fontId="0" fillId="0" borderId="0" xfId="0" applyNumberFormat="1"/>
    <xf numFmtId="0" fontId="6" fillId="0" borderId="0" xfId="2" applyFont="1"/>
    <xf numFmtId="165" fontId="7" fillId="0" borderId="2" xfId="2" applyNumberFormat="1" applyFont="1" applyBorder="1" applyAlignment="1">
      <alignment horizontal="center" vertical="center" wrapText="1"/>
    </xf>
    <xf numFmtId="0" fontId="5" fillId="0" borderId="0" xfId="2"/>
    <xf numFmtId="0" fontId="5" fillId="0" borderId="0" xfId="2" applyAlignment="1">
      <alignment wrapText="1"/>
    </xf>
    <xf numFmtId="165" fontId="8" fillId="0" borderId="2" xfId="2" applyNumberFormat="1" applyFont="1" applyBorder="1" applyAlignment="1">
      <alignment horizontal="center" vertical="top" wrapText="1"/>
    </xf>
    <xf numFmtId="165" fontId="8" fillId="0" borderId="3" xfId="2" applyNumberFormat="1" applyFont="1" applyBorder="1" applyAlignment="1">
      <alignment horizontal="center" vertical="top" wrapText="1"/>
    </xf>
    <xf numFmtId="165" fontId="8" fillId="0" borderId="0" xfId="2" applyNumberFormat="1" applyFont="1" applyAlignment="1">
      <alignment horizontal="center" vertical="top" wrapText="1"/>
    </xf>
    <xf numFmtId="165" fontId="9" fillId="0" borderId="2" xfId="2" applyNumberFormat="1" applyFont="1" applyBorder="1" applyAlignment="1">
      <alignment horizontal="center" vertical="top" wrapText="1"/>
    </xf>
    <xf numFmtId="165" fontId="9" fillId="0" borderId="3" xfId="2" applyNumberFormat="1" applyFont="1" applyBorder="1" applyAlignment="1">
      <alignment horizontal="center" vertical="top" wrapText="1"/>
    </xf>
    <xf numFmtId="165" fontId="9" fillId="0" borderId="0" xfId="2" applyNumberFormat="1" applyFont="1" applyAlignment="1">
      <alignment horizontal="center" vertical="top" wrapText="1"/>
    </xf>
    <xf numFmtId="0" fontId="6" fillId="0" borderId="0" xfId="2" applyFont="1" applyAlignment="1">
      <alignment horizontal="center" wrapText="1"/>
    </xf>
    <xf numFmtId="165" fontId="10" fillId="0" borderId="0" xfId="2" applyNumberFormat="1" applyFont="1" applyAlignment="1">
      <alignment vertical="top"/>
    </xf>
    <xf numFmtId="165" fontId="11" fillId="0" borderId="2" xfId="2" applyNumberFormat="1" applyFont="1" applyBorder="1" applyAlignment="1">
      <alignment horizontal="right" vertical="top" wrapText="1"/>
    </xf>
    <xf numFmtId="165" fontId="11" fillId="0" borderId="3" xfId="2" applyNumberFormat="1" applyFont="1" applyBorder="1" applyAlignment="1">
      <alignment horizontal="right" vertical="top" wrapText="1"/>
    </xf>
    <xf numFmtId="165" fontId="11" fillId="0" borderId="0" xfId="2" applyNumberFormat="1" applyFont="1" applyAlignment="1">
      <alignment horizontal="right" vertical="top" wrapText="1"/>
    </xf>
    <xf numFmtId="165" fontId="5" fillId="0" borderId="0" xfId="2" applyNumberFormat="1"/>
    <xf numFmtId="165" fontId="12" fillId="0" borderId="4" xfId="2" applyNumberFormat="1" applyFont="1" applyBorder="1" applyAlignment="1">
      <alignment vertical="top"/>
    </xf>
    <xf numFmtId="165" fontId="13" fillId="0" borderId="5" xfId="2" applyNumberFormat="1" applyFont="1" applyBorder="1" applyAlignment="1">
      <alignment horizontal="right" vertical="top" wrapText="1"/>
    </xf>
    <xf numFmtId="165" fontId="13" fillId="0" borderId="6" xfId="2" applyNumberFormat="1" applyFont="1" applyBorder="1" applyAlignment="1">
      <alignment horizontal="right" vertical="top" wrapText="1"/>
    </xf>
    <xf numFmtId="165" fontId="13" fillId="0" borderId="4" xfId="2" applyNumberFormat="1" applyFont="1" applyBorder="1" applyAlignment="1">
      <alignment horizontal="right" vertical="top" wrapText="1"/>
    </xf>
    <xf numFmtId="165" fontId="14" fillId="0" borderId="2" xfId="2" applyNumberFormat="1" applyFont="1" applyBorder="1" applyAlignment="1">
      <alignment horizontal="right" vertical="top" wrapText="1"/>
    </xf>
    <xf numFmtId="165" fontId="14" fillId="0" borderId="3" xfId="2" applyNumberFormat="1" applyFont="1" applyBorder="1" applyAlignment="1">
      <alignment horizontal="right" vertical="top" wrapText="1"/>
    </xf>
    <xf numFmtId="165" fontId="14" fillId="0" borderId="0" xfId="2" applyNumberFormat="1" applyFont="1" applyAlignment="1">
      <alignment horizontal="right" vertical="top" wrapText="1"/>
    </xf>
    <xf numFmtId="165" fontId="12" fillId="0" borderId="0" xfId="2" applyNumberFormat="1" applyFont="1" applyAlignment="1">
      <alignment vertical="top"/>
    </xf>
    <xf numFmtId="165" fontId="13" fillId="0" borderId="2" xfId="2" applyNumberFormat="1" applyFont="1" applyBorder="1" applyAlignment="1">
      <alignment horizontal="right" vertical="top" wrapText="1"/>
    </xf>
    <xf numFmtId="165" fontId="13" fillId="0" borderId="3" xfId="2" applyNumberFormat="1" applyFont="1" applyBorder="1" applyAlignment="1">
      <alignment horizontal="right" vertical="top" wrapText="1"/>
    </xf>
    <xf numFmtId="165" fontId="13" fillId="0" borderId="0" xfId="2" applyNumberFormat="1" applyFont="1" applyAlignment="1">
      <alignment horizontal="right" vertical="top" wrapText="1"/>
    </xf>
    <xf numFmtId="165" fontId="15" fillId="0" borderId="0" xfId="2" applyNumberFormat="1" applyFont="1" applyAlignment="1">
      <alignment vertical="top"/>
    </xf>
    <xf numFmtId="9" fontId="0" fillId="0" borderId="0" xfId="3" applyFont="1" applyFill="1" applyBorder="1"/>
    <xf numFmtId="9" fontId="5" fillId="0" borderId="0" xfId="2" applyNumberFormat="1"/>
    <xf numFmtId="9" fontId="6" fillId="0" borderId="4" xfId="2" applyNumberFormat="1" applyFont="1" applyBorder="1"/>
    <xf numFmtId="0" fontId="2" fillId="0" borderId="0" xfId="0" applyFont="1"/>
    <xf numFmtId="0" fontId="19" fillId="0" borderId="4" xfId="7" applyFont="1" applyBorder="1"/>
    <xf numFmtId="0" fontId="19" fillId="0" borderId="0" xfId="7" applyFont="1"/>
    <xf numFmtId="0" fontId="20" fillId="0" borderId="0" xfId="7" applyFont="1"/>
    <xf numFmtId="9" fontId="19" fillId="0" borderId="0" xfId="7" applyNumberFormat="1" applyFont="1"/>
    <xf numFmtId="9" fontId="20" fillId="0" borderId="0" xfId="7" applyNumberFormat="1" applyFont="1"/>
    <xf numFmtId="0" fontId="20" fillId="0" borderId="0" xfId="0" applyFont="1"/>
    <xf numFmtId="0" fontId="20" fillId="0" borderId="7" xfId="7" applyFont="1" applyBorder="1"/>
    <xf numFmtId="3" fontId="19" fillId="0" borderId="0" xfId="7" applyNumberFormat="1" applyFont="1"/>
    <xf numFmtId="3" fontId="20" fillId="0" borderId="0" xfId="7" applyNumberFormat="1" applyFont="1"/>
    <xf numFmtId="165" fontId="23" fillId="0" borderId="0" xfId="2" applyNumberFormat="1" applyFont="1" applyAlignment="1">
      <alignment vertical="top"/>
    </xf>
    <xf numFmtId="165" fontId="24" fillId="0" borderId="4" xfId="2" applyNumberFormat="1" applyFont="1" applyBorder="1" applyAlignment="1">
      <alignment vertical="top"/>
    </xf>
    <xf numFmtId="0" fontId="5" fillId="0" borderId="0" xfId="8"/>
    <xf numFmtId="0" fontId="20" fillId="0" borderId="0" xfId="9" applyFont="1"/>
    <xf numFmtId="9" fontId="20" fillId="0" borderId="0" xfId="9" applyNumberFormat="1" applyFont="1"/>
    <xf numFmtId="3" fontId="19" fillId="0" borderId="0" xfId="9" applyNumberFormat="1" applyFont="1"/>
    <xf numFmtId="171" fontId="20" fillId="0" borderId="0" xfId="9" applyNumberFormat="1" applyFont="1"/>
    <xf numFmtId="164" fontId="20" fillId="0" borderId="0" xfId="9" applyNumberFormat="1" applyFont="1"/>
    <xf numFmtId="171" fontId="19" fillId="0" borderId="0" xfId="9" applyNumberFormat="1" applyFont="1"/>
    <xf numFmtId="0" fontId="0" fillId="0" borderId="7" xfId="0" applyBorder="1"/>
    <xf numFmtId="0" fontId="19" fillId="0" borderId="0" xfId="9" applyFont="1"/>
    <xf numFmtId="164" fontId="20" fillId="2" borderId="0" xfId="9" applyNumberFormat="1" applyFont="1" applyFill="1"/>
    <xf numFmtId="166" fontId="20" fillId="0" borderId="0" xfId="4" applyNumberFormat="1" applyFont="1"/>
    <xf numFmtId="166" fontId="20" fillId="0" borderId="0" xfId="9" applyNumberFormat="1" applyFont="1"/>
    <xf numFmtId="0" fontId="106" fillId="0" borderId="0" xfId="0" applyFont="1"/>
    <xf numFmtId="0" fontId="106" fillId="0" borderId="7" xfId="0" applyFont="1" applyBorder="1"/>
    <xf numFmtId="0" fontId="106" fillId="0" borderId="7" xfId="0" applyFont="1" applyBorder="1" applyAlignment="1">
      <alignment horizontal="right"/>
    </xf>
    <xf numFmtId="9" fontId="106" fillId="0" borderId="0" xfId="0" applyNumberFormat="1" applyFont="1"/>
    <xf numFmtId="0" fontId="107" fillId="0" borderId="0" xfId="0" applyFont="1"/>
    <xf numFmtId="1" fontId="106" fillId="0" borderId="0" xfId="0" applyNumberFormat="1" applyFont="1"/>
    <xf numFmtId="166" fontId="106" fillId="0" borderId="0" xfId="0" applyNumberFormat="1" applyFont="1"/>
    <xf numFmtId="9" fontId="106" fillId="0" borderId="7" xfId="0" applyNumberFormat="1" applyFont="1" applyBorder="1"/>
    <xf numFmtId="0" fontId="108" fillId="0" borderId="0" xfId="0" applyFont="1"/>
    <xf numFmtId="9" fontId="106" fillId="3" borderId="0" xfId="0" applyNumberFormat="1" applyFont="1" applyFill="1"/>
    <xf numFmtId="1" fontId="106" fillId="0" borderId="7" xfId="0" applyNumberFormat="1" applyFont="1" applyBorder="1"/>
    <xf numFmtId="9" fontId="106" fillId="3" borderId="7" xfId="0" applyNumberFormat="1" applyFont="1" applyFill="1" applyBorder="1"/>
    <xf numFmtId="0" fontId="19" fillId="0" borderId="4" xfId="410" applyFont="1" applyBorder="1"/>
    <xf numFmtId="0" fontId="20" fillId="0" borderId="0" xfId="410"/>
    <xf numFmtId="167" fontId="20" fillId="0" borderId="0" xfId="4" applyNumberFormat="1" applyFont="1" applyFill="1"/>
    <xf numFmtId="167" fontId="20" fillId="2" borderId="0" xfId="4" applyNumberFormat="1" applyFont="1" applyFill="1"/>
    <xf numFmtId="167" fontId="20" fillId="0" borderId="0" xfId="4" applyNumberFormat="1" applyFont="1"/>
    <xf numFmtId="164" fontId="20" fillId="0" borderId="0" xfId="410" applyNumberFormat="1"/>
    <xf numFmtId="164" fontId="20" fillId="2" borderId="0" xfId="410" applyNumberFormat="1" applyFill="1"/>
    <xf numFmtId="166" fontId="20" fillId="2" borderId="0" xfId="4" applyNumberFormat="1" applyFont="1" applyFill="1"/>
    <xf numFmtId="166" fontId="20" fillId="2" borderId="0" xfId="410" applyNumberFormat="1" applyFill="1"/>
    <xf numFmtId="166" fontId="20" fillId="0" borderId="0" xfId="410" applyNumberFormat="1"/>
    <xf numFmtId="166" fontId="20" fillId="0" borderId="0" xfId="4" applyNumberFormat="1" applyFont="1" applyFill="1"/>
    <xf numFmtId="166" fontId="20" fillId="0" borderId="0" xfId="4" applyNumberFormat="1" applyFont="1" applyFill="1" applyBorder="1"/>
    <xf numFmtId="166" fontId="20" fillId="2" borderId="0" xfId="4" applyNumberFormat="1" applyFont="1" applyFill="1" applyBorder="1"/>
    <xf numFmtId="0" fontId="20" fillId="0" borderId="7" xfId="410" applyBorder="1"/>
    <xf numFmtId="166" fontId="20" fillId="0" borderId="7" xfId="4" applyNumberFormat="1" applyFont="1" applyFill="1" applyBorder="1"/>
    <xf numFmtId="166" fontId="20" fillId="2" borderId="7" xfId="4" applyNumberFormat="1" applyFont="1" applyFill="1" applyBorder="1"/>
    <xf numFmtId="166" fontId="20" fillId="2" borderId="7" xfId="410" applyNumberFormat="1" applyFill="1" applyBorder="1"/>
    <xf numFmtId="166" fontId="20" fillId="0" borderId="7" xfId="410" applyNumberFormat="1" applyBorder="1"/>
    <xf numFmtId="0" fontId="19" fillId="0" borderId="0" xfId="410" applyFont="1"/>
    <xf numFmtId="166" fontId="19" fillId="0" borderId="0" xfId="410" applyNumberFormat="1" applyFont="1"/>
    <xf numFmtId="9" fontId="20" fillId="0" borderId="0" xfId="410" applyNumberFormat="1"/>
    <xf numFmtId="9" fontId="20" fillId="0" borderId="7" xfId="410" applyNumberFormat="1" applyBorder="1"/>
    <xf numFmtId="164" fontId="20" fillId="0" borderId="7" xfId="410" applyNumberFormat="1" applyBorder="1"/>
    <xf numFmtId="164" fontId="20" fillId="3" borderId="0" xfId="410" applyNumberFormat="1" applyFill="1"/>
    <xf numFmtId="164" fontId="20" fillId="3" borderId="7" xfId="410" applyNumberFormat="1" applyFill="1" applyBorder="1"/>
    <xf numFmtId="9" fontId="20" fillId="3" borderId="0" xfId="410" applyNumberFormat="1" applyFill="1"/>
    <xf numFmtId="9" fontId="20" fillId="0" borderId="0" xfId="4" applyNumberFormat="1" applyFont="1"/>
    <xf numFmtId="0" fontId="109" fillId="0" borderId="7" xfId="0" applyFont="1" applyBorder="1"/>
    <xf numFmtId="0" fontId="109" fillId="0" borderId="0" xfId="0" applyFont="1"/>
    <xf numFmtId="166" fontId="109" fillId="0" borderId="0" xfId="0" applyNumberFormat="1" applyFont="1"/>
    <xf numFmtId="166" fontId="109" fillId="0" borderId="7" xfId="0" applyNumberFormat="1" applyFont="1" applyBorder="1"/>
    <xf numFmtId="170" fontId="109" fillId="0" borderId="0" xfId="0" applyNumberFormat="1" applyFont="1"/>
    <xf numFmtId="166" fontId="20" fillId="0" borderId="7" xfId="4" applyNumberFormat="1" applyFont="1" applyBorder="1"/>
    <xf numFmtId="0" fontId="106" fillId="0" borderId="0" xfId="0" applyFont="1" applyAlignment="1">
      <alignment horizontal="right"/>
    </xf>
    <xf numFmtId="170" fontId="106" fillId="0" borderId="0" xfId="0" applyNumberFormat="1" applyFont="1"/>
    <xf numFmtId="17" fontId="108" fillId="0" borderId="0" xfId="0" applyNumberFormat="1" applyFont="1" applyAlignment="1">
      <alignment horizontal="left"/>
    </xf>
    <xf numFmtId="1" fontId="106" fillId="3" borderId="0" xfId="0" applyNumberFormat="1" applyFont="1" applyFill="1"/>
    <xf numFmtId="0" fontId="110" fillId="0" borderId="0" xfId="0" applyFont="1"/>
    <xf numFmtId="164" fontId="106" fillId="0" borderId="0" xfId="0" applyNumberFormat="1" applyFont="1"/>
    <xf numFmtId="164" fontId="106" fillId="3" borderId="0" xfId="0" applyNumberFormat="1" applyFont="1" applyFill="1"/>
    <xf numFmtId="1" fontId="106" fillId="3" borderId="0" xfId="0" applyNumberFormat="1" applyFont="1" applyFill="1" applyAlignment="1">
      <alignment horizontal="right"/>
    </xf>
    <xf numFmtId="0" fontId="106" fillId="3" borderId="0" xfId="0" applyFont="1" applyFill="1"/>
    <xf numFmtId="10" fontId="106" fillId="3" borderId="0" xfId="0" applyNumberFormat="1" applyFont="1" applyFill="1"/>
    <xf numFmtId="0" fontId="111" fillId="0" borderId="0" xfId="0" applyFont="1"/>
    <xf numFmtId="3" fontId="0" fillId="0" borderId="0" xfId="0" applyNumberFormat="1"/>
    <xf numFmtId="164" fontId="106" fillId="0" borderId="7" xfId="0" applyNumberFormat="1" applyFont="1" applyBorder="1"/>
    <xf numFmtId="3" fontId="106" fillId="3" borderId="0" xfId="0" applyNumberFormat="1" applyFont="1" applyFill="1"/>
    <xf numFmtId="3" fontId="106" fillId="0" borderId="0" xfId="0" applyNumberFormat="1" applyFont="1"/>
    <xf numFmtId="0" fontId="106" fillId="0" borderId="7" xfId="0" applyFont="1" applyBorder="1" applyAlignment="1">
      <alignment horizontal="left"/>
    </xf>
    <xf numFmtId="164" fontId="108" fillId="0" borderId="0" xfId="0" applyNumberFormat="1" applyFont="1"/>
    <xf numFmtId="0" fontId="20" fillId="0" borderId="0" xfId="2" applyFont="1"/>
    <xf numFmtId="165" fontId="20" fillId="0" borderId="0" xfId="2" applyNumberFormat="1" applyFont="1" applyAlignment="1">
      <alignment vertical="top"/>
    </xf>
    <xf numFmtId="0" fontId="0" fillId="0" borderId="7" xfId="0" applyBorder="1" applyAlignment="1">
      <alignment horizontal="right"/>
    </xf>
    <xf numFmtId="0" fontId="0" fillId="0" borderId="8" xfId="0" applyBorder="1"/>
    <xf numFmtId="0" fontId="0" fillId="0" borderId="2" xfId="0" applyBorder="1"/>
    <xf numFmtId="0" fontId="0" fillId="0" borderId="2" xfId="0" applyBorder="1" applyAlignment="1">
      <alignment horizontal="right"/>
    </xf>
    <xf numFmtId="0" fontId="0" fillId="0" borderId="8" xfId="0" applyBorder="1" applyAlignment="1">
      <alignment horizontal="right"/>
    </xf>
    <xf numFmtId="0" fontId="0" fillId="0" borderId="11" xfId="0" applyBorder="1" applyAlignment="1">
      <alignment horizontal="right"/>
    </xf>
    <xf numFmtId="0" fontId="0" fillId="0" borderId="0" xfId="0" applyAlignment="1">
      <alignment horizontal="left"/>
    </xf>
    <xf numFmtId="0" fontId="0" fillId="0" borderId="7" xfId="0" applyBorder="1" applyAlignment="1">
      <alignment horizontal="left"/>
    </xf>
    <xf numFmtId="0" fontId="106" fillId="0" borderId="4" xfId="0" applyFont="1" applyBorder="1"/>
    <xf numFmtId="164" fontId="106" fillId="0" borderId="4" xfId="0" applyNumberFormat="1" applyFont="1" applyBorder="1"/>
    <xf numFmtId="0" fontId="0" fillId="0" borderId="0" xfId="0" applyAlignment="1">
      <alignment horizontal="center"/>
    </xf>
    <xf numFmtId="0" fontId="106" fillId="0" borderId="0" xfId="0" quotePrefix="1" applyFont="1"/>
    <xf numFmtId="0" fontId="106" fillId="0" borderId="0" xfId="0" applyFont="1" applyAlignment="1">
      <alignment horizontal="left"/>
    </xf>
    <xf numFmtId="10" fontId="106" fillId="0" borderId="0" xfId="0" applyNumberFormat="1" applyFont="1" applyAlignment="1">
      <alignment horizontal="left"/>
    </xf>
    <xf numFmtId="178" fontId="106" fillId="0" borderId="0" xfId="0" applyNumberFormat="1" applyFont="1" applyAlignment="1">
      <alignment horizontal="left"/>
    </xf>
    <xf numFmtId="0" fontId="0" fillId="0" borderId="11" xfId="0" applyBorder="1"/>
    <xf numFmtId="0" fontId="1" fillId="0" borderId="0" xfId="0" applyFont="1" applyAlignment="1">
      <alignment horizontal="right"/>
    </xf>
    <xf numFmtId="0" fontId="1" fillId="0" borderId="7" xfId="0" applyFont="1" applyBorder="1"/>
    <xf numFmtId="0" fontId="2" fillId="0" borderId="0" xfId="0" applyFont="1" applyAlignment="1">
      <alignment horizontal="left"/>
    </xf>
    <xf numFmtId="0" fontId="2" fillId="0" borderId="7" xfId="0" applyFont="1" applyBorder="1"/>
    <xf numFmtId="0" fontId="0" fillId="0" borderId="12" xfId="0" applyBorder="1"/>
    <xf numFmtId="2" fontId="0" fillId="0" borderId="0" xfId="0" applyNumberFormat="1"/>
    <xf numFmtId="9" fontId="108" fillId="0" borderId="0" xfId="0" applyNumberFormat="1" applyFont="1"/>
    <xf numFmtId="17" fontId="19" fillId="0" borderId="4" xfId="0" applyNumberFormat="1" applyFont="1" applyBorder="1"/>
    <xf numFmtId="3" fontId="106" fillId="0" borderId="7" xfId="0" applyNumberFormat="1" applyFont="1" applyBorder="1"/>
    <xf numFmtId="3" fontId="106" fillId="3" borderId="7" xfId="0" applyNumberFormat="1" applyFont="1" applyFill="1" applyBorder="1"/>
    <xf numFmtId="171" fontId="106" fillId="0" borderId="0" xfId="0" applyNumberFormat="1" applyFont="1"/>
    <xf numFmtId="16" fontId="2" fillId="0" borderId="0" xfId="0" applyNumberFormat="1" applyFont="1"/>
    <xf numFmtId="9" fontId="20" fillId="3" borderId="0" xfId="4" applyNumberFormat="1" applyFont="1" applyFill="1"/>
    <xf numFmtId="166" fontId="20" fillId="3" borderId="0" xfId="4" applyNumberFormat="1" applyFont="1" applyFill="1"/>
    <xf numFmtId="0" fontId="19" fillId="0" borderId="4" xfId="411" applyFont="1" applyBorder="1"/>
    <xf numFmtId="0" fontId="20" fillId="0" borderId="0" xfId="411" applyFont="1"/>
    <xf numFmtId="0" fontId="20" fillId="22" borderId="0" xfId="411" applyFont="1" applyFill="1"/>
    <xf numFmtId="1" fontId="20" fillId="22" borderId="0" xfId="411" applyNumberFormat="1" applyFont="1" applyFill="1"/>
    <xf numFmtId="1" fontId="20" fillId="0" borderId="0" xfId="411" applyNumberFormat="1" applyFont="1"/>
    <xf numFmtId="9" fontId="20" fillId="0" borderId="0" xfId="411" applyNumberFormat="1" applyFont="1"/>
    <xf numFmtId="1" fontId="19" fillId="0" borderId="4" xfId="411" applyNumberFormat="1" applyFont="1" applyBorder="1"/>
    <xf numFmtId="166" fontId="20" fillId="22" borderId="0" xfId="412" applyNumberFormat="1" applyFont="1" applyFill="1"/>
    <xf numFmtId="0" fontId="20" fillId="22" borderId="0" xfId="413" applyFont="1" applyFill="1"/>
    <xf numFmtId="0" fontId="19" fillId="0" borderId="0" xfId="413" applyFont="1" applyAlignment="1">
      <alignment horizontal="left"/>
    </xf>
    <xf numFmtId="166" fontId="20" fillId="0" borderId="0" xfId="411" applyNumberFormat="1" applyFont="1"/>
    <xf numFmtId="0" fontId="19" fillId="0" borderId="0" xfId="411" applyFont="1"/>
    <xf numFmtId="0" fontId="5" fillId="22" borderId="0" xfId="9" applyFill="1"/>
    <xf numFmtId="0" fontId="0" fillId="22" borderId="0" xfId="9" applyFont="1" applyFill="1"/>
    <xf numFmtId="0" fontId="20" fillId="0" borderId="0" xfId="9" applyFont="1" applyAlignment="1">
      <alignment horizontal="left"/>
    </xf>
    <xf numFmtId="3" fontId="20" fillId="22" borderId="0" xfId="411" applyNumberFormat="1" applyFont="1" applyFill="1"/>
    <xf numFmtId="3" fontId="20" fillId="22" borderId="0" xfId="412" applyNumberFormat="1" applyFont="1" applyFill="1"/>
    <xf numFmtId="0" fontId="20" fillId="0" borderId="0" xfId="413" applyFont="1"/>
    <xf numFmtId="0" fontId="0" fillId="0" borderId="0" xfId="9" applyFont="1"/>
    <xf numFmtId="3" fontId="19" fillId="22" borderId="0" xfId="411" applyNumberFormat="1" applyFont="1" applyFill="1"/>
    <xf numFmtId="171" fontId="20" fillId="22" borderId="0" xfId="411" applyNumberFormat="1" applyFont="1" applyFill="1"/>
    <xf numFmtId="43" fontId="20" fillId="0" borderId="0" xfId="9" applyNumberFormat="1" applyFont="1"/>
    <xf numFmtId="43" fontId="0" fillId="0" borderId="0" xfId="0" applyNumberFormat="1"/>
    <xf numFmtId="0" fontId="106" fillId="25" borderId="0" xfId="0" applyFont="1" applyFill="1"/>
    <xf numFmtId="3" fontId="106" fillId="25" borderId="0" xfId="0" applyNumberFormat="1" applyFont="1" applyFill="1"/>
    <xf numFmtId="0" fontId="106" fillId="25" borderId="7" xfId="0" applyFont="1" applyFill="1" applyBorder="1"/>
    <xf numFmtId="3" fontId="106" fillId="25" borderId="7" xfId="0" applyNumberFormat="1" applyFont="1" applyFill="1" applyBorder="1"/>
    <xf numFmtId="9" fontId="106" fillId="25" borderId="0" xfId="0" applyNumberFormat="1" applyFont="1" applyFill="1"/>
    <xf numFmtId="9" fontId="106" fillId="25" borderId="7" xfId="0" applyNumberFormat="1" applyFont="1" applyFill="1" applyBorder="1"/>
    <xf numFmtId="164" fontId="106" fillId="25" borderId="0" xfId="0" applyNumberFormat="1" applyFont="1" applyFill="1"/>
    <xf numFmtId="0" fontId="0" fillId="25" borderId="0" xfId="0" applyFill="1"/>
    <xf numFmtId="0" fontId="2" fillId="0" borderId="0" xfId="9" applyFont="1"/>
    <xf numFmtId="0" fontId="113" fillId="0" borderId="0" xfId="0" applyFont="1"/>
    <xf numFmtId="0" fontId="114" fillId="0" borderId="0" xfId="0" applyFont="1"/>
    <xf numFmtId="0" fontId="115" fillId="0" borderId="0" xfId="0" applyFont="1"/>
    <xf numFmtId="166" fontId="115" fillId="0" borderId="0" xfId="5" applyNumberFormat="1" applyFont="1" applyFill="1"/>
    <xf numFmtId="167" fontId="115" fillId="0" borderId="0" xfId="5" applyNumberFormat="1" applyFont="1" applyFill="1"/>
    <xf numFmtId="255" fontId="115" fillId="0" borderId="0" xfId="0" applyNumberFormat="1" applyFont="1"/>
    <xf numFmtId="164" fontId="115" fillId="0" borderId="0" xfId="6" applyNumberFormat="1" applyFont="1" applyFill="1"/>
    <xf numFmtId="0" fontId="114" fillId="0" borderId="7" xfId="0" applyFont="1" applyBorder="1"/>
    <xf numFmtId="166" fontId="115" fillId="27" borderId="0" xfId="5" applyNumberFormat="1" applyFont="1" applyFill="1"/>
    <xf numFmtId="164" fontId="115" fillId="27" borderId="0" xfId="6" applyNumberFormat="1" applyFont="1" applyFill="1"/>
    <xf numFmtId="167" fontId="115" fillId="27" borderId="0" xfId="5" applyNumberFormat="1" applyFont="1" applyFill="1"/>
    <xf numFmtId="166" fontId="115" fillId="28" borderId="0" xfId="5" applyNumberFormat="1" applyFont="1" applyFill="1"/>
    <xf numFmtId="0" fontId="115" fillId="28" borderId="0" xfId="0" applyFont="1" applyFill="1"/>
    <xf numFmtId="167" fontId="115" fillId="28" borderId="0" xfId="5" applyNumberFormat="1" applyFont="1" applyFill="1"/>
    <xf numFmtId="164" fontId="114" fillId="0" borderId="0" xfId="0" applyNumberFormat="1" applyFont="1"/>
    <xf numFmtId="3" fontId="114" fillId="0" borderId="0" xfId="0" applyNumberFormat="1" applyFont="1"/>
    <xf numFmtId="43" fontId="114" fillId="0" borderId="0" xfId="0" applyNumberFormat="1" applyFont="1"/>
    <xf numFmtId="43" fontId="115" fillId="0" borderId="0" xfId="0" applyNumberFormat="1" applyFont="1"/>
    <xf numFmtId="43" fontId="115" fillId="27" borderId="0" xfId="0" applyNumberFormat="1" applyFont="1" applyFill="1"/>
    <xf numFmtId="3" fontId="115" fillId="0" borderId="0" xfId="5" applyNumberFormat="1" applyFont="1" applyFill="1"/>
    <xf numFmtId="3" fontId="115" fillId="27" borderId="0" xfId="5" applyNumberFormat="1" applyFont="1" applyFill="1"/>
    <xf numFmtId="166" fontId="116" fillId="0" borderId="0" xfId="5" applyNumberFormat="1" applyFont="1" applyFill="1"/>
    <xf numFmtId="2" fontId="106" fillId="0" borderId="0" xfId="0" applyNumberFormat="1" applyFont="1"/>
    <xf numFmtId="3" fontId="106" fillId="0" borderId="7" xfId="0" applyNumberFormat="1" applyFont="1" applyBorder="1" applyAlignment="1">
      <alignment horizontal="right"/>
    </xf>
    <xf numFmtId="9" fontId="109" fillId="0" borderId="7" xfId="0" applyNumberFormat="1" applyFont="1" applyBorder="1"/>
    <xf numFmtId="0" fontId="108" fillId="0" borderId="7" xfId="0" applyFont="1" applyBorder="1"/>
    <xf numFmtId="0" fontId="117" fillId="0" borderId="0" xfId="0" applyFont="1"/>
    <xf numFmtId="9" fontId="106" fillId="0" borderId="0" xfId="0" applyNumberFormat="1" applyFont="1" applyAlignment="1">
      <alignment horizontal="left"/>
    </xf>
    <xf numFmtId="1" fontId="110" fillId="0" borderId="0" xfId="0" applyNumberFormat="1" applyFont="1"/>
    <xf numFmtId="2" fontId="109" fillId="0" borderId="0" xfId="0" applyNumberFormat="1" applyFont="1"/>
    <xf numFmtId="0" fontId="109" fillId="0" borderId="0" xfId="0" applyFont="1" applyAlignment="1">
      <alignment horizontal="right"/>
    </xf>
    <xf numFmtId="0" fontId="109" fillId="0" borderId="7" xfId="0" applyFont="1" applyBorder="1" applyAlignment="1">
      <alignment horizontal="right"/>
    </xf>
    <xf numFmtId="9" fontId="109" fillId="0" borderId="7" xfId="0" applyNumberFormat="1" applyFont="1" applyBorder="1" applyAlignment="1">
      <alignment horizontal="right"/>
    </xf>
    <xf numFmtId="3" fontId="109" fillId="0" borderId="0" xfId="0" applyNumberFormat="1" applyFont="1" applyAlignment="1">
      <alignment horizontal="right"/>
    </xf>
    <xf numFmtId="3" fontId="109" fillId="0" borderId="7" xfId="0" applyNumberFormat="1" applyFont="1" applyBorder="1" applyAlignment="1">
      <alignment horizontal="right"/>
    </xf>
    <xf numFmtId="0" fontId="109" fillId="0" borderId="7" xfId="0" quotePrefix="1" applyFont="1" applyBorder="1" applyAlignment="1">
      <alignment horizontal="right"/>
    </xf>
    <xf numFmtId="166" fontId="20" fillId="3" borderId="0" xfId="410" applyNumberFormat="1" applyFill="1"/>
    <xf numFmtId="166" fontId="20" fillId="3" borderId="7" xfId="410" applyNumberFormat="1" applyFill="1" applyBorder="1"/>
    <xf numFmtId="164" fontId="20" fillId="0" borderId="0" xfId="4" applyNumberFormat="1" applyFont="1"/>
    <xf numFmtId="0" fontId="118" fillId="0" borderId="0" xfId="0" applyFont="1"/>
    <xf numFmtId="0" fontId="118" fillId="0" borderId="7" xfId="0" applyFont="1" applyBorder="1"/>
    <xf numFmtId="9" fontId="20" fillId="0" borderId="7" xfId="4" applyNumberFormat="1" applyFont="1" applyBorder="1"/>
    <xf numFmtId="167" fontId="110" fillId="0" borderId="0" xfId="0" applyNumberFormat="1" applyFont="1"/>
    <xf numFmtId="0" fontId="108" fillId="25" borderId="0" xfId="0" applyFont="1" applyFill="1"/>
    <xf numFmtId="166" fontId="110" fillId="0" borderId="0" xfId="0" applyNumberFormat="1" applyFont="1"/>
    <xf numFmtId="166" fontId="20" fillId="0" borderId="0" xfId="4" applyNumberFormat="1" applyFont="1" applyBorder="1"/>
    <xf numFmtId="10" fontId="106" fillId="0" borderId="0" xfId="0" applyNumberFormat="1" applyFont="1"/>
    <xf numFmtId="1" fontId="106" fillId="0" borderId="4" xfId="0" applyNumberFormat="1" applyFont="1" applyBorder="1"/>
    <xf numFmtId="9" fontId="20" fillId="3" borderId="7" xfId="410" applyNumberFormat="1" applyFill="1" applyBorder="1"/>
    <xf numFmtId="9" fontId="107" fillId="0" borderId="0" xfId="0" applyNumberFormat="1" applyFont="1" applyAlignment="1">
      <alignment horizontal="left"/>
    </xf>
    <xf numFmtId="164" fontId="112" fillId="0" borderId="0" xfId="0" applyNumberFormat="1" applyFont="1"/>
    <xf numFmtId="0" fontId="20" fillId="0" borderId="0" xfId="410" quotePrefix="1"/>
    <xf numFmtId="43" fontId="20" fillId="2" borderId="0" xfId="9" applyNumberFormat="1" applyFont="1" applyFill="1"/>
    <xf numFmtId="43" fontId="20" fillId="3" borderId="0" xfId="4" applyFont="1" applyFill="1"/>
    <xf numFmtId="166" fontId="20" fillId="3" borderId="0" xfId="9" applyNumberFormat="1" applyFont="1" applyFill="1"/>
    <xf numFmtId="0" fontId="20" fillId="0" borderId="4" xfId="410" applyBorder="1"/>
    <xf numFmtId="0" fontId="0" fillId="0" borderId="4" xfId="0" applyBorder="1"/>
    <xf numFmtId="166" fontId="20" fillId="0" borderId="4" xfId="4" applyNumberFormat="1" applyFont="1" applyBorder="1"/>
    <xf numFmtId="166" fontId="19" fillId="0" borderId="0" xfId="4" applyNumberFormat="1" applyFont="1"/>
    <xf numFmtId="166" fontId="19" fillId="3" borderId="0" xfId="4" applyNumberFormat="1" applyFont="1" applyFill="1"/>
    <xf numFmtId="43" fontId="20" fillId="0" borderId="0" xfId="4" applyFont="1"/>
    <xf numFmtId="166" fontId="0" fillId="0" borderId="0" xfId="0" applyNumberFormat="1"/>
    <xf numFmtId="0" fontId="119" fillId="0" borderId="0" xfId="410" applyFont="1"/>
    <xf numFmtId="0" fontId="120" fillId="0" borderId="0" xfId="0" applyFont="1"/>
    <xf numFmtId="166" fontId="119" fillId="0" borderId="0" xfId="4" applyNumberFormat="1" applyFont="1"/>
    <xf numFmtId="166" fontId="20" fillId="2" borderId="26" xfId="4" applyNumberFormat="1" applyFont="1" applyFill="1" applyBorder="1"/>
    <xf numFmtId="170" fontId="106" fillId="3" borderId="0" xfId="0" applyNumberFormat="1" applyFont="1" applyFill="1"/>
    <xf numFmtId="0" fontId="106" fillId="0" borderId="6" xfId="0" applyFont="1" applyBorder="1"/>
    <xf numFmtId="9" fontId="106" fillId="0" borderId="4" xfId="0" applyNumberFormat="1" applyFont="1" applyBorder="1"/>
    <xf numFmtId="9" fontId="106" fillId="0" borderId="5" xfId="0" applyNumberFormat="1" applyFont="1" applyBorder="1"/>
    <xf numFmtId="3" fontId="106" fillId="0" borderId="6" xfId="0" applyNumberFormat="1" applyFont="1" applyBorder="1"/>
    <xf numFmtId="3" fontId="106" fillId="0" borderId="5" xfId="0" applyNumberFormat="1" applyFont="1" applyBorder="1"/>
    <xf numFmtId="0" fontId="0" fillId="0" borderId="0" xfId="0" quotePrefix="1"/>
    <xf numFmtId="0" fontId="121" fillId="29" borderId="6" xfId="0" applyFont="1" applyFill="1" applyBorder="1" applyAlignment="1">
      <alignment horizontal="centerContinuous" vertical="center"/>
    </xf>
    <xf numFmtId="0" fontId="121" fillId="29" borderId="4" xfId="0" applyFont="1" applyFill="1" applyBorder="1" applyAlignment="1">
      <alignment horizontal="centerContinuous" vertical="center"/>
    </xf>
    <xf numFmtId="0" fontId="122" fillId="29" borderId="4" xfId="0" applyFont="1" applyFill="1" applyBorder="1" applyAlignment="1">
      <alignment horizontal="centerContinuous"/>
    </xf>
    <xf numFmtId="0" fontId="122" fillId="29" borderId="5" xfId="0" applyFont="1" applyFill="1" applyBorder="1" applyAlignment="1">
      <alignment horizontal="centerContinuous"/>
    </xf>
    <xf numFmtId="0" fontId="122" fillId="0" borderId="6" xfId="0" applyFont="1" applyBorder="1" applyAlignment="1">
      <alignment horizontal="center"/>
    </xf>
    <xf numFmtId="0" fontId="122" fillId="0" borderId="1" xfId="0" applyFont="1" applyBorder="1" applyAlignment="1">
      <alignment horizontal="center"/>
    </xf>
    <xf numFmtId="0" fontId="122" fillId="0" borderId="5" xfId="0" applyFont="1" applyBorder="1" applyAlignment="1">
      <alignment horizontal="center"/>
    </xf>
    <xf numFmtId="0" fontId="121" fillId="0" borderId="9" xfId="0" applyFont="1" applyBorder="1" applyAlignment="1">
      <alignment horizontal="left"/>
    </xf>
    <xf numFmtId="0" fontId="121" fillId="0" borderId="10" xfId="0" applyFont="1" applyBorder="1" applyAlignment="1">
      <alignment horizontal="left"/>
    </xf>
    <xf numFmtId="0" fontId="122" fillId="0" borderId="10" xfId="0" applyFont="1" applyBorder="1" applyAlignment="1">
      <alignment horizontal="center"/>
    </xf>
    <xf numFmtId="37" fontId="122" fillId="0" borderId="10" xfId="0" applyNumberFormat="1" applyFont="1" applyBorder="1" applyAlignment="1">
      <alignment horizontal="center"/>
    </xf>
    <xf numFmtId="37" fontId="122" fillId="0" borderId="11" xfId="0" applyNumberFormat="1" applyFont="1" applyBorder="1" applyAlignment="1">
      <alignment horizontal="center"/>
    </xf>
    <xf numFmtId="3" fontId="122" fillId="0" borderId="11" xfId="0" applyNumberFormat="1" applyFont="1" applyBorder="1" applyAlignment="1">
      <alignment horizontal="center"/>
    </xf>
    <xf numFmtId="37" fontId="121" fillId="0" borderId="13" xfId="0" applyNumberFormat="1" applyFont="1" applyBorder="1" applyAlignment="1">
      <alignment horizontal="center"/>
    </xf>
    <xf numFmtId="0" fontId="123" fillId="0" borderId="41" xfId="0" applyFont="1" applyBorder="1" applyAlignment="1">
      <alignment horizontal="left"/>
    </xf>
    <xf numFmtId="0" fontId="122" fillId="0" borderId="42" xfId="0" applyFont="1" applyBorder="1" applyAlignment="1">
      <alignment horizontal="left"/>
    </xf>
    <xf numFmtId="0" fontId="123" fillId="0" borderId="42" xfId="0" applyFont="1" applyBorder="1" applyAlignment="1">
      <alignment horizontal="left"/>
    </xf>
    <xf numFmtId="37" fontId="123" fillId="0" borderId="41" xfId="0" applyNumberFormat="1" applyFont="1" applyBorder="1" applyAlignment="1">
      <alignment horizontal="center"/>
    </xf>
    <xf numFmtId="37" fontId="122" fillId="0" borderId="42" xfId="0" applyNumberFormat="1" applyFont="1" applyBorder="1" applyAlignment="1">
      <alignment horizontal="center"/>
    </xf>
    <xf numFmtId="37" fontId="122" fillId="0" borderId="43" xfId="0" applyNumberFormat="1" applyFont="1" applyBorder="1" applyAlignment="1">
      <alignment horizontal="center"/>
    </xf>
    <xf numFmtId="0" fontId="122" fillId="0" borderId="43" xfId="0" applyFont="1" applyBorder="1" applyAlignment="1">
      <alignment horizontal="center"/>
    </xf>
    <xf numFmtId="37" fontId="122" fillId="0" borderId="44" xfId="0" applyNumberFormat="1" applyFont="1" applyBorder="1" applyAlignment="1">
      <alignment horizontal="center"/>
    </xf>
    <xf numFmtId="0" fontId="123" fillId="0" borderId="3" xfId="0" applyFont="1" applyBorder="1" applyAlignment="1">
      <alignment horizontal="left"/>
    </xf>
    <xf numFmtId="0" fontId="122" fillId="0" borderId="0" xfId="0" applyFont="1" applyAlignment="1">
      <alignment horizontal="left"/>
    </xf>
    <xf numFmtId="0" fontId="123" fillId="0" borderId="0" xfId="0" applyFont="1" applyAlignment="1">
      <alignment horizontal="left"/>
    </xf>
    <xf numFmtId="37" fontId="123" fillId="0" borderId="3" xfId="0" applyNumberFormat="1" applyFont="1" applyBorder="1" applyAlignment="1">
      <alignment horizontal="center"/>
    </xf>
    <xf numFmtId="37" fontId="123" fillId="0" borderId="0" xfId="0" applyNumberFormat="1" applyFont="1" applyAlignment="1">
      <alignment horizontal="center"/>
    </xf>
    <xf numFmtId="37" fontId="123" fillId="0" borderId="2" xfId="0" applyNumberFormat="1" applyFont="1" applyBorder="1" applyAlignment="1">
      <alignment horizontal="center"/>
    </xf>
    <xf numFmtId="0" fontId="123" fillId="0" borderId="2" xfId="0" applyFont="1" applyBorder="1" applyAlignment="1">
      <alignment horizontal="center"/>
    </xf>
    <xf numFmtId="37" fontId="123" fillId="0" borderId="24" xfId="0" applyNumberFormat="1" applyFont="1" applyBorder="1" applyAlignment="1">
      <alignment horizontal="center"/>
    </xf>
    <xf numFmtId="0" fontId="123" fillId="0" borderId="45" xfId="0" applyFont="1" applyBorder="1" applyAlignment="1">
      <alignment horizontal="left"/>
    </xf>
    <xf numFmtId="0" fontId="122" fillId="0" borderId="46" xfId="0" applyFont="1" applyBorder="1" applyAlignment="1">
      <alignment horizontal="left"/>
    </xf>
    <xf numFmtId="0" fontId="123" fillId="0" borderId="46" xfId="0" applyFont="1" applyBorder="1" applyAlignment="1">
      <alignment horizontal="left"/>
    </xf>
    <xf numFmtId="37" fontId="123" fillId="0" borderId="46" xfId="0" applyNumberFormat="1" applyFont="1" applyBorder="1" applyAlignment="1">
      <alignment horizontal="center"/>
    </xf>
    <xf numFmtId="37" fontId="123" fillId="0" borderId="47" xfId="0" applyNumberFormat="1" applyFont="1" applyBorder="1" applyAlignment="1">
      <alignment horizontal="center"/>
    </xf>
    <xf numFmtId="0" fontId="123" fillId="0" borderId="47" xfId="0" applyFont="1" applyBorder="1" applyAlignment="1">
      <alignment horizontal="center"/>
    </xf>
    <xf numFmtId="37" fontId="123" fillId="0" borderId="48" xfId="0" applyNumberFormat="1" applyFont="1" applyBorder="1" applyAlignment="1">
      <alignment horizontal="center"/>
    </xf>
    <xf numFmtId="0" fontId="122" fillId="0" borderId="0" xfId="0" applyFont="1"/>
    <xf numFmtId="37" fontId="122" fillId="0" borderId="0" xfId="0" applyNumberFormat="1" applyFont="1" applyAlignment="1">
      <alignment horizontal="center"/>
    </xf>
    <xf numFmtId="37" fontId="122" fillId="0" borderId="2" xfId="0" applyNumberFormat="1" applyFont="1" applyBorder="1" applyAlignment="1">
      <alignment horizontal="center"/>
    </xf>
    <xf numFmtId="0" fontId="122" fillId="0" borderId="2" xfId="0" applyFont="1" applyBorder="1" applyAlignment="1">
      <alignment horizontal="center"/>
    </xf>
    <xf numFmtId="3" fontId="122" fillId="0" borderId="2" xfId="0" applyNumberFormat="1" applyFont="1" applyBorder="1" applyAlignment="1">
      <alignment horizontal="center"/>
    </xf>
    <xf numFmtId="37" fontId="122" fillId="0" borderId="24" xfId="0" applyNumberFormat="1" applyFont="1" applyBorder="1" applyAlignment="1">
      <alignment horizontal="center"/>
    </xf>
    <xf numFmtId="0" fontId="122" fillId="0" borderId="42" xfId="0" applyFont="1" applyBorder="1"/>
    <xf numFmtId="3" fontId="122" fillId="0" borderId="43" xfId="0" applyNumberFormat="1" applyFont="1" applyBorder="1" applyAlignment="1">
      <alignment horizontal="center"/>
    </xf>
    <xf numFmtId="37" fontId="123" fillId="0" borderId="44" xfId="0" applyNumberFormat="1" applyFont="1" applyBorder="1" applyAlignment="1">
      <alignment horizontal="center"/>
    </xf>
    <xf numFmtId="0" fontId="122" fillId="0" borderId="3" xfId="0" applyFont="1" applyBorder="1"/>
    <xf numFmtId="0" fontId="121" fillId="0" borderId="3" xfId="0" applyFont="1" applyBorder="1" applyAlignment="1">
      <alignment horizontal="left"/>
    </xf>
    <xf numFmtId="0" fontId="121" fillId="0" borderId="0" xfId="0" applyFont="1" applyAlignment="1">
      <alignment horizontal="left"/>
    </xf>
    <xf numFmtId="0" fontId="122" fillId="0" borderId="0" xfId="0" applyFont="1" applyAlignment="1">
      <alignment horizontal="center"/>
    </xf>
    <xf numFmtId="37" fontId="122" fillId="0" borderId="3" xfId="0" applyNumberFormat="1" applyFont="1" applyBorder="1" applyAlignment="1">
      <alignment horizontal="center"/>
    </xf>
    <xf numFmtId="0" fontId="121" fillId="0" borderId="41" xfId="0" applyFont="1" applyBorder="1" applyAlignment="1">
      <alignment horizontal="left"/>
    </xf>
    <xf numFmtId="0" fontId="122" fillId="0" borderId="42" xfId="0" applyFont="1" applyBorder="1" applyAlignment="1">
      <alignment horizontal="center"/>
    </xf>
    <xf numFmtId="3" fontId="122" fillId="0" borderId="41" xfId="0" applyNumberFormat="1" applyFont="1" applyBorder="1" applyAlignment="1">
      <alignment horizontal="center"/>
    </xf>
    <xf numFmtId="9" fontId="122" fillId="0" borderId="12" xfId="0" applyNumberFormat="1" applyFont="1" applyBorder="1" applyAlignment="1">
      <alignment horizontal="center"/>
    </xf>
    <xf numFmtId="9" fontId="122" fillId="0" borderId="0" xfId="0" applyNumberFormat="1" applyFont="1" applyAlignment="1">
      <alignment horizontal="center"/>
    </xf>
    <xf numFmtId="9" fontId="122" fillId="0" borderId="2" xfId="0" applyNumberFormat="1" applyFont="1" applyBorder="1" applyAlignment="1">
      <alignment horizontal="center"/>
    </xf>
    <xf numFmtId="9" fontId="122" fillId="0" borderId="24" xfId="0" applyNumberFormat="1" applyFont="1" applyBorder="1" applyAlignment="1">
      <alignment horizontal="center"/>
    </xf>
    <xf numFmtId="3" fontId="122" fillId="0" borderId="10" xfId="0" applyNumberFormat="1" applyFont="1" applyBorder="1" applyAlignment="1">
      <alignment horizontal="center"/>
    </xf>
    <xf numFmtId="3" fontId="122" fillId="0" borderId="13" xfId="0" applyNumberFormat="1" applyFont="1" applyBorder="1" applyAlignment="1">
      <alignment horizontal="center"/>
    </xf>
    <xf numFmtId="3" fontId="122" fillId="0" borderId="3" xfId="0" applyNumberFormat="1" applyFont="1" applyBorder="1" applyAlignment="1">
      <alignment horizontal="center"/>
    </xf>
    <xf numFmtId="3" fontId="122" fillId="0" borderId="0" xfId="0" applyNumberFormat="1" applyFont="1" applyAlignment="1">
      <alignment horizontal="center"/>
    </xf>
    <xf numFmtId="3" fontId="122" fillId="0" borderId="24" xfId="0" applyNumberFormat="1" applyFont="1" applyBorder="1" applyAlignment="1">
      <alignment horizontal="center"/>
    </xf>
    <xf numFmtId="0" fontId="121" fillId="0" borderId="49" xfId="0" applyFont="1" applyBorder="1" applyAlignment="1">
      <alignment horizontal="left"/>
    </xf>
    <xf numFmtId="0" fontId="121" fillId="0" borderId="42" xfId="0" applyFont="1" applyBorder="1" applyAlignment="1">
      <alignment horizontal="left"/>
    </xf>
    <xf numFmtId="164" fontId="122" fillId="0" borderId="42" xfId="0" applyNumberFormat="1" applyFont="1" applyBorder="1" applyAlignment="1">
      <alignment horizontal="center"/>
    </xf>
    <xf numFmtId="164" fontId="122" fillId="0" borderId="43" xfId="0" applyNumberFormat="1" applyFont="1" applyBorder="1" applyAlignment="1">
      <alignment horizontal="center"/>
    </xf>
    <xf numFmtId="9" fontId="122" fillId="0" borderId="43" xfId="0" applyNumberFormat="1" applyFont="1" applyBorder="1" applyAlignment="1">
      <alignment horizontal="center"/>
    </xf>
    <xf numFmtId="164" fontId="122" fillId="0" borderId="44" xfId="0" applyNumberFormat="1" applyFont="1" applyBorder="1" applyAlignment="1">
      <alignment horizontal="center"/>
    </xf>
    <xf numFmtId="164" fontId="122" fillId="0" borderId="0" xfId="0" applyNumberFormat="1" applyFont="1" applyAlignment="1">
      <alignment horizontal="center"/>
    </xf>
    <xf numFmtId="164" fontId="122" fillId="0" borderId="2" xfId="0" applyNumberFormat="1" applyFont="1" applyBorder="1" applyAlignment="1">
      <alignment horizontal="center"/>
    </xf>
    <xf numFmtId="164" fontId="122" fillId="0" borderId="24" xfId="0" applyNumberFormat="1" applyFont="1" applyBorder="1" applyAlignment="1">
      <alignment horizontal="center"/>
    </xf>
    <xf numFmtId="0" fontId="121" fillId="0" borderId="12" xfId="0" applyFont="1" applyBorder="1" applyAlignment="1">
      <alignment horizontal="left"/>
    </xf>
    <xf numFmtId="0" fontId="122" fillId="0" borderId="7" xfId="0" applyFont="1" applyBorder="1" applyAlignment="1">
      <alignment horizontal="left"/>
    </xf>
    <xf numFmtId="0" fontId="121" fillId="0" borderId="7" xfId="0" applyFont="1" applyBorder="1" applyAlignment="1">
      <alignment horizontal="left"/>
    </xf>
    <xf numFmtId="0" fontId="122" fillId="0" borderId="7" xfId="0" applyFont="1" applyBorder="1" applyAlignment="1">
      <alignment horizontal="center"/>
    </xf>
    <xf numFmtId="164" fontId="122" fillId="0" borderId="7" xfId="0" applyNumberFormat="1" applyFont="1" applyBorder="1" applyAlignment="1">
      <alignment horizontal="center"/>
    </xf>
    <xf numFmtId="164" fontId="122" fillId="0" borderId="8" xfId="0" applyNumberFormat="1" applyFont="1" applyBorder="1" applyAlignment="1">
      <alignment horizontal="center"/>
    </xf>
    <xf numFmtId="9" fontId="122" fillId="0" borderId="8" xfId="0" applyNumberFormat="1" applyFont="1" applyBorder="1" applyAlignment="1">
      <alignment horizontal="center"/>
    </xf>
    <xf numFmtId="164" fontId="122" fillId="0" borderId="18" xfId="0" applyNumberFormat="1" applyFont="1" applyBorder="1" applyAlignment="1">
      <alignment horizontal="center"/>
    </xf>
    <xf numFmtId="0" fontId="121" fillId="0" borderId="3" xfId="0" applyFont="1" applyBorder="1"/>
    <xf numFmtId="0" fontId="121" fillId="0" borderId="0" xfId="0" applyFont="1"/>
    <xf numFmtId="3" fontId="122" fillId="0" borderId="12" xfId="0" applyNumberFormat="1" applyFont="1" applyBorder="1" applyAlignment="1">
      <alignment horizontal="center"/>
    </xf>
    <xf numFmtId="3" fontId="122" fillId="0" borderId="7" xfId="0" applyNumberFormat="1" applyFont="1" applyBorder="1" applyAlignment="1">
      <alignment horizontal="center"/>
    </xf>
    <xf numFmtId="3" fontId="122" fillId="0" borderId="8" xfId="0" applyNumberFormat="1" applyFont="1" applyBorder="1" applyAlignment="1">
      <alignment horizontal="center"/>
    </xf>
    <xf numFmtId="3" fontId="122" fillId="0" borderId="18" xfId="0" applyNumberFormat="1" applyFont="1" applyBorder="1" applyAlignment="1">
      <alignment horizontal="center"/>
    </xf>
    <xf numFmtId="0" fontId="121" fillId="27" borderId="6" xfId="0" applyFont="1" applyFill="1" applyBorder="1"/>
    <xf numFmtId="0" fontId="121" fillId="27" borderId="4" xfId="0" applyFont="1" applyFill="1" applyBorder="1"/>
    <xf numFmtId="212" fontId="122" fillId="27" borderId="4" xfId="0" applyNumberFormat="1" applyFont="1" applyFill="1" applyBorder="1"/>
    <xf numFmtId="212" fontId="122" fillId="27" borderId="5" xfId="0" applyNumberFormat="1" applyFont="1" applyFill="1" applyBorder="1" applyAlignment="1">
      <alignment horizontal="center"/>
    </xf>
    <xf numFmtId="0" fontId="121" fillId="0" borderId="9" xfId="0" applyFont="1" applyBorder="1"/>
    <xf numFmtId="0" fontId="121" fillId="0" borderId="10" xfId="0" applyFont="1" applyBorder="1"/>
    <xf numFmtId="37" fontId="122" fillId="0" borderId="9" xfId="0" applyNumberFormat="1" applyFont="1" applyBorder="1"/>
    <xf numFmtId="37" fontId="122" fillId="0" borderId="10" xfId="0" applyNumberFormat="1" applyFont="1" applyBorder="1"/>
    <xf numFmtId="37" fontId="122" fillId="0" borderId="13" xfId="0" applyNumberFormat="1" applyFont="1" applyBorder="1"/>
    <xf numFmtId="37" fontId="122" fillId="0" borderId="11" xfId="0" applyNumberFormat="1" applyFont="1" applyBorder="1"/>
    <xf numFmtId="4" fontId="122" fillId="0" borderId="10" xfId="0" applyNumberFormat="1" applyFont="1" applyBorder="1"/>
    <xf numFmtId="4" fontId="122" fillId="0" borderId="11" xfId="0" applyNumberFormat="1" applyFont="1" applyBorder="1"/>
    <xf numFmtId="37" fontId="122" fillId="0" borderId="3" xfId="0" applyNumberFormat="1" applyFont="1" applyBorder="1"/>
    <xf numFmtId="37" fontId="122" fillId="0" borderId="0" xfId="0" applyNumberFormat="1" applyFont="1"/>
    <xf numFmtId="4" fontId="122" fillId="0" borderId="0" xfId="0" applyNumberFormat="1" applyFont="1"/>
    <xf numFmtId="37" fontId="122" fillId="0" borderId="24" xfId="0" applyNumberFormat="1" applyFont="1" applyBorder="1"/>
    <xf numFmtId="37" fontId="122" fillId="0" borderId="2" xfId="0" applyNumberFormat="1" applyFont="1" applyBorder="1"/>
    <xf numFmtId="4" fontId="123" fillId="0" borderId="2" xfId="0" applyNumberFormat="1" applyFont="1" applyBorder="1"/>
    <xf numFmtId="4" fontId="122" fillId="0" borderId="2" xfId="0" applyNumberFormat="1" applyFont="1" applyBorder="1"/>
    <xf numFmtId="4" fontId="121" fillId="0" borderId="0" xfId="0" applyNumberFormat="1" applyFont="1"/>
    <xf numFmtId="4" fontId="121" fillId="0" borderId="2" xfId="0" applyNumberFormat="1" applyFont="1" applyBorder="1"/>
    <xf numFmtId="0" fontId="121" fillId="0" borderId="12" xfId="0" applyFont="1" applyBorder="1"/>
    <xf numFmtId="0" fontId="121" fillId="0" borderId="7" xfId="0" applyFont="1" applyBorder="1"/>
    <xf numFmtId="37" fontId="122" fillId="0" borderId="12" xfId="0" applyNumberFormat="1" applyFont="1" applyBorder="1"/>
    <xf numFmtId="37" fontId="122" fillId="0" borderId="7" xfId="0" applyNumberFormat="1" applyFont="1" applyBorder="1"/>
    <xf numFmtId="4" fontId="122" fillId="0" borderId="7" xfId="0" applyNumberFormat="1" applyFont="1" applyBorder="1"/>
    <xf numFmtId="37" fontId="122" fillId="0" borderId="18" xfId="0" applyNumberFormat="1" applyFont="1" applyBorder="1"/>
    <xf numFmtId="37" fontId="122" fillId="0" borderId="8" xfId="0" applyNumberFormat="1" applyFont="1" applyBorder="1"/>
    <xf numFmtId="4" fontId="124" fillId="0" borderId="18" xfId="0" applyNumberFormat="1" applyFont="1" applyBorder="1"/>
    <xf numFmtId="37" fontId="121" fillId="0" borderId="9" xfId="0" applyNumberFormat="1" applyFont="1" applyBorder="1" applyAlignment="1">
      <alignment horizontal="center"/>
    </xf>
    <xf numFmtId="164" fontId="122" fillId="0" borderId="3" xfId="0" applyNumberFormat="1" applyFont="1" applyBorder="1" applyAlignment="1">
      <alignment horizontal="center"/>
    </xf>
    <xf numFmtId="164" fontId="122" fillId="0" borderId="12" xfId="0" applyNumberFormat="1" applyFont="1" applyBorder="1" applyAlignment="1">
      <alignment horizontal="center"/>
    </xf>
    <xf numFmtId="37" fontId="121" fillId="0" borderId="3" xfId="0" applyNumberFormat="1" applyFont="1" applyBorder="1" applyAlignment="1">
      <alignment horizontal="center"/>
    </xf>
    <xf numFmtId="3" fontId="121" fillId="0" borderId="42" xfId="0" applyNumberFormat="1" applyFont="1" applyBorder="1" applyAlignment="1">
      <alignment horizontal="center"/>
    </xf>
    <xf numFmtId="3" fontId="121" fillId="0" borderId="43" xfId="0" applyNumberFormat="1" applyFont="1" applyBorder="1" applyAlignment="1">
      <alignment horizontal="center"/>
    </xf>
    <xf numFmtId="3" fontId="121" fillId="0" borderId="44" xfId="0" applyNumberFormat="1" applyFont="1" applyBorder="1" applyAlignment="1">
      <alignment horizontal="center"/>
    </xf>
    <xf numFmtId="0" fontId="108" fillId="0" borderId="7" xfId="0" applyFont="1" applyBorder="1" applyAlignment="1">
      <alignment horizontal="left"/>
    </xf>
    <xf numFmtId="0" fontId="108" fillId="0" borderId="7" xfId="0" applyFont="1" applyBorder="1" applyAlignment="1">
      <alignment horizontal="right"/>
    </xf>
    <xf numFmtId="170" fontId="118" fillId="0" borderId="0" xfId="0" applyNumberFormat="1" applyFont="1"/>
    <xf numFmtId="43" fontId="20" fillId="0" borderId="0" xfId="410" applyNumberFormat="1"/>
    <xf numFmtId="0" fontId="108" fillId="0" borderId="0" xfId="0" applyFont="1" applyAlignment="1">
      <alignment horizontal="right"/>
    </xf>
    <xf numFmtId="0" fontId="106" fillId="25" borderId="0" xfId="0" applyFont="1" applyFill="1" applyAlignment="1">
      <alignment horizontal="right"/>
    </xf>
    <xf numFmtId="0" fontId="106" fillId="25" borderId="7" xfId="0" applyFont="1" applyFill="1" applyBorder="1" applyAlignment="1">
      <alignment horizontal="right"/>
    </xf>
    <xf numFmtId="0" fontId="108" fillId="0" borderId="6" xfId="0" applyFont="1" applyBorder="1" applyAlignment="1">
      <alignment horizontal="center"/>
    </xf>
    <xf numFmtId="0" fontId="108" fillId="0" borderId="5" xfId="0" applyFont="1" applyBorder="1" applyAlignment="1">
      <alignment horizontal="center"/>
    </xf>
    <xf numFmtId="0" fontId="0" fillId="25" borderId="7" xfId="0" applyFill="1" applyBorder="1"/>
    <xf numFmtId="0" fontId="0" fillId="3" borderId="0" xfId="0" applyFill="1"/>
    <xf numFmtId="0" fontId="106" fillId="3" borderId="7" xfId="0" applyFont="1" applyFill="1" applyBorder="1"/>
    <xf numFmtId="165" fontId="19" fillId="0" borderId="4" xfId="7" applyNumberFormat="1" applyFont="1" applyBorder="1"/>
    <xf numFmtId="166" fontId="20" fillId="3" borderId="7" xfId="4" applyNumberFormat="1" applyFont="1" applyFill="1" applyBorder="1"/>
    <xf numFmtId="17" fontId="0" fillId="0" borderId="0" xfId="0" quotePrefix="1" applyNumberFormat="1"/>
    <xf numFmtId="0" fontId="108" fillId="26" borderId="0" xfId="0" applyFont="1" applyFill="1"/>
    <xf numFmtId="10" fontId="106" fillId="0" borderId="7" xfId="0" applyNumberFormat="1" applyFont="1" applyBorder="1" applyAlignment="1">
      <alignment horizontal="left"/>
    </xf>
    <xf numFmtId="0" fontId="20" fillId="0" borderId="7" xfId="0" applyFont="1" applyBorder="1"/>
    <xf numFmtId="170" fontId="106" fillId="0" borderId="7" xfId="0" applyNumberFormat="1" applyFont="1" applyBorder="1"/>
    <xf numFmtId="0" fontId="112" fillId="0" borderId="0" xfId="0" applyFont="1"/>
    <xf numFmtId="0" fontId="125" fillId="0" borderId="0" xfId="0" applyFont="1"/>
    <xf numFmtId="0" fontId="110" fillId="0" borderId="7" xfId="0" applyFont="1" applyBorder="1"/>
    <xf numFmtId="0" fontId="126" fillId="30" borderId="0" xfId="0" applyFont="1" applyFill="1"/>
    <xf numFmtId="0" fontId="127" fillId="30" borderId="0" xfId="0" applyFont="1" applyFill="1"/>
    <xf numFmtId="3" fontId="106" fillId="0" borderId="0" xfId="0" applyNumberFormat="1" applyFont="1" applyProtection="1">
      <protection locked="0"/>
    </xf>
    <xf numFmtId="3" fontId="106" fillId="3" borderId="0" xfId="0" applyNumberFormat="1" applyFont="1" applyFill="1" applyProtection="1">
      <protection locked="0"/>
    </xf>
    <xf numFmtId="3" fontId="106" fillId="3" borderId="7" xfId="0" applyNumberFormat="1" applyFont="1" applyFill="1" applyBorder="1" applyProtection="1">
      <protection locked="0"/>
    </xf>
    <xf numFmtId="0" fontId="106" fillId="0" borderId="9" xfId="0" applyFont="1" applyBorder="1"/>
    <xf numFmtId="0" fontId="106" fillId="0" borderId="12" xfId="0" applyFont="1" applyBorder="1"/>
    <xf numFmtId="164" fontId="0" fillId="0" borderId="0" xfId="0" applyNumberFormat="1" applyAlignment="1">
      <alignment horizontal="left"/>
    </xf>
    <xf numFmtId="9" fontId="0" fillId="0" borderId="0" xfId="0" applyNumberFormat="1" applyAlignment="1">
      <alignment horizontal="left"/>
    </xf>
    <xf numFmtId="15" fontId="0" fillId="0" borderId="0" xfId="0" quotePrefix="1" applyNumberFormat="1"/>
    <xf numFmtId="170" fontId="0" fillId="0" borderId="0" xfId="0" applyNumberFormat="1"/>
    <xf numFmtId="1" fontId="0" fillId="0" borderId="7" xfId="0" applyNumberFormat="1" applyBorder="1"/>
    <xf numFmtId="0" fontId="0" fillId="0" borderId="1" xfId="0" applyBorder="1"/>
    <xf numFmtId="0" fontId="1" fillId="0" borderId="1" xfId="0" applyFont="1" applyBorder="1"/>
    <xf numFmtId="0" fontId="2" fillId="0" borderId="1" xfId="0" applyFont="1" applyBorder="1"/>
    <xf numFmtId="0" fontId="128" fillId="31" borderId="0" xfId="0" applyFont="1" applyFill="1"/>
    <xf numFmtId="17" fontId="3" fillId="0" borderId="0" xfId="0" applyNumberFormat="1" applyFont="1" applyAlignment="1">
      <alignment horizontal="left"/>
    </xf>
    <xf numFmtId="17" fontId="0" fillId="0" borderId="0" xfId="0" applyNumberFormat="1" applyAlignment="1">
      <alignment horizontal="left"/>
    </xf>
    <xf numFmtId="171" fontId="0" fillId="0" borderId="0" xfId="0" applyNumberFormat="1"/>
    <xf numFmtId="164" fontId="0" fillId="3" borderId="0" xfId="0" applyNumberFormat="1" applyFill="1"/>
    <xf numFmtId="164" fontId="0" fillId="3" borderId="0" xfId="0" applyNumberFormat="1" applyFill="1" applyAlignment="1">
      <alignment horizontal="left"/>
    </xf>
    <xf numFmtId="0" fontId="129" fillId="31" borderId="0" xfId="0" applyFont="1" applyFill="1"/>
    <xf numFmtId="0" fontId="3" fillId="0" borderId="0" xfId="0" applyFont="1" applyAlignment="1">
      <alignment horizontal="left"/>
    </xf>
    <xf numFmtId="0" fontId="133" fillId="32" borderId="0" xfId="0" applyFont="1" applyFill="1" applyAlignment="1">
      <alignment horizontal="left" vertical="center" wrapText="1" indent="1"/>
    </xf>
    <xf numFmtId="0" fontId="134" fillId="32" borderId="0" xfId="0" applyFont="1" applyFill="1" applyAlignment="1">
      <alignment vertical="center" wrapText="1"/>
    </xf>
    <xf numFmtId="0" fontId="133" fillId="32" borderId="0" xfId="0" applyFont="1" applyFill="1" applyAlignment="1">
      <alignment vertical="center" wrapText="1"/>
    </xf>
    <xf numFmtId="4" fontId="0" fillId="0" borderId="0" xfId="0" applyNumberFormat="1"/>
    <xf numFmtId="4" fontId="133" fillId="32" borderId="0" xfId="0" applyNumberFormat="1" applyFont="1" applyFill="1" applyAlignment="1">
      <alignment horizontal="right" vertical="center" wrapText="1"/>
    </xf>
    <xf numFmtId="0" fontId="133" fillId="32" borderId="0" xfId="0" applyFont="1" applyFill="1" applyAlignment="1">
      <alignment horizontal="right" vertical="center" wrapText="1"/>
    </xf>
    <xf numFmtId="0" fontId="133" fillId="0" borderId="0" xfId="0" applyFont="1" applyAlignment="1">
      <alignment horizontal="left" vertical="center" wrapText="1" indent="1"/>
    </xf>
    <xf numFmtId="0" fontId="134" fillId="0" borderId="0" xfId="0" applyFont="1" applyAlignment="1">
      <alignment vertical="center" wrapText="1"/>
    </xf>
    <xf numFmtId="4" fontId="133" fillId="0" borderId="0" xfId="0" applyNumberFormat="1" applyFont="1" applyAlignment="1">
      <alignment horizontal="right" vertical="center" wrapText="1"/>
    </xf>
    <xf numFmtId="0" fontId="133" fillId="0" borderId="0" xfId="0" applyFont="1" applyAlignment="1">
      <alignment horizontal="right" vertical="center" wrapText="1"/>
    </xf>
    <xf numFmtId="0" fontId="133" fillId="0" borderId="0" xfId="0" applyFont="1" applyAlignment="1">
      <alignment vertical="center" wrapText="1"/>
    </xf>
    <xf numFmtId="0" fontId="134" fillId="0" borderId="0" xfId="0" applyFont="1" applyAlignment="1">
      <alignment horizontal="right" vertical="center" wrapText="1"/>
    </xf>
    <xf numFmtId="0" fontId="134" fillId="32" borderId="0" xfId="0" applyFont="1" applyFill="1" applyAlignment="1">
      <alignment horizontal="right" vertical="center" wrapText="1"/>
    </xf>
    <xf numFmtId="0" fontId="133" fillId="0" borderId="57" xfId="0" applyFont="1" applyBorder="1" applyAlignment="1">
      <alignment vertical="center" wrapText="1"/>
    </xf>
    <xf numFmtId="4" fontId="133" fillId="0" borderId="57" xfId="0" applyNumberFormat="1" applyFont="1" applyBorder="1" applyAlignment="1">
      <alignment horizontal="right" vertical="center" wrapText="1"/>
    </xf>
    <xf numFmtId="0" fontId="135" fillId="32" borderId="0" xfId="0" applyFont="1" applyFill="1" applyAlignment="1">
      <alignment horizontal="left" vertical="center" wrapText="1" indent="1"/>
    </xf>
    <xf numFmtId="0" fontId="130" fillId="0" borderId="0" xfId="0" applyFont="1" applyAlignment="1">
      <alignment wrapText="1"/>
    </xf>
    <xf numFmtId="3" fontId="0" fillId="0" borderId="7" xfId="0" applyNumberFormat="1" applyBorder="1"/>
    <xf numFmtId="0" fontId="136" fillId="0" borderId="0" xfId="0" applyFont="1"/>
    <xf numFmtId="164" fontId="110" fillId="0" borderId="0" xfId="0" applyNumberFormat="1" applyFont="1"/>
    <xf numFmtId="164" fontId="110" fillId="0" borderId="7" xfId="0" applyNumberFormat="1" applyFont="1" applyBorder="1"/>
    <xf numFmtId="9" fontId="110" fillId="0" borderId="0" xfId="0" applyNumberFormat="1" applyFont="1"/>
    <xf numFmtId="3" fontId="110" fillId="0" borderId="0" xfId="0" applyNumberFormat="1" applyFont="1"/>
    <xf numFmtId="3" fontId="110" fillId="0" borderId="7" xfId="0" applyNumberFormat="1" applyFont="1" applyBorder="1"/>
    <xf numFmtId="9" fontId="0" fillId="3" borderId="0" xfId="0" applyNumberFormat="1" applyFill="1"/>
    <xf numFmtId="9" fontId="0" fillId="0" borderId="7" xfId="0" applyNumberFormat="1" applyBorder="1"/>
    <xf numFmtId="0" fontId="125" fillId="0" borderId="0" xfId="0" applyFont="1" applyAlignment="1">
      <alignment horizontal="right"/>
    </xf>
    <xf numFmtId="9" fontId="125" fillId="3" borderId="0" xfId="0" applyNumberFormat="1" applyFont="1" applyFill="1"/>
    <xf numFmtId="171" fontId="106" fillId="3" borderId="0" xfId="0" applyNumberFormat="1" applyFont="1" applyFill="1"/>
    <xf numFmtId="170" fontId="106" fillId="0" borderId="10" xfId="0" applyNumberFormat="1" applyFont="1" applyBorder="1"/>
    <xf numFmtId="170" fontId="106" fillId="0" borderId="11" xfId="0" applyNumberFormat="1" applyFont="1" applyBorder="1"/>
    <xf numFmtId="9" fontId="106" fillId="0" borderId="8" xfId="0" applyNumberFormat="1" applyFont="1" applyBorder="1"/>
    <xf numFmtId="0" fontId="106" fillId="0" borderId="7" xfId="0" quotePrefix="1" applyFont="1" applyBorder="1"/>
    <xf numFmtId="170" fontId="0" fillId="0" borderId="7" xfId="0" applyNumberFormat="1" applyBorder="1"/>
    <xf numFmtId="0" fontId="137" fillId="33" borderId="0" xfId="0" applyFont="1" applyFill="1" applyAlignment="1">
      <alignment horizontal="center" vertical="center" wrapText="1"/>
    </xf>
    <xf numFmtId="0" fontId="138" fillId="0" borderId="0" xfId="0" applyFont="1" applyAlignment="1">
      <alignment vertical="center"/>
    </xf>
    <xf numFmtId="10" fontId="138" fillId="0" borderId="0" xfId="0" applyNumberFormat="1" applyFont="1" applyAlignment="1">
      <alignment horizontal="center" vertical="center"/>
    </xf>
    <xf numFmtId="0" fontId="138" fillId="0" borderId="0" xfId="0" applyFont="1" applyAlignment="1">
      <alignment horizontal="center" vertical="center"/>
    </xf>
    <xf numFmtId="3" fontId="108" fillId="0" borderId="0" xfId="0" applyNumberFormat="1" applyFont="1"/>
    <xf numFmtId="165" fontId="20" fillId="0" borderId="7" xfId="2" applyNumberFormat="1" applyFont="1" applyBorder="1" applyAlignment="1">
      <alignment vertical="top"/>
    </xf>
    <xf numFmtId="165" fontId="19" fillId="0" borderId="0" xfId="2" applyNumberFormat="1" applyFont="1" applyAlignment="1">
      <alignment vertical="top"/>
    </xf>
    <xf numFmtId="0" fontId="0" fillId="0" borderId="59" xfId="0" applyBorder="1" applyAlignment="1">
      <alignment horizontal="left"/>
    </xf>
    <xf numFmtId="0" fontId="0" fillId="0" borderId="59" xfId="0" applyBorder="1"/>
    <xf numFmtId="3" fontId="19" fillId="0" borderId="4" xfId="7" applyNumberFormat="1" applyFont="1" applyBorder="1"/>
    <xf numFmtId="1" fontId="19" fillId="0" borderId="4" xfId="7" applyNumberFormat="1" applyFont="1" applyBorder="1"/>
    <xf numFmtId="3" fontId="20" fillId="2" borderId="0" xfId="7" applyNumberFormat="1" applyFont="1" applyFill="1"/>
    <xf numFmtId="3" fontId="106" fillId="0" borderId="0" xfId="7" applyNumberFormat="1" applyFont="1"/>
    <xf numFmtId="3" fontId="106" fillId="0" borderId="7" xfId="7" applyNumberFormat="1" applyFont="1" applyBorder="1"/>
    <xf numFmtId="9" fontId="106" fillId="0" borderId="0" xfId="7" applyNumberFormat="1" applyFont="1"/>
    <xf numFmtId="9" fontId="106" fillId="0" borderId="7" xfId="7" applyNumberFormat="1" applyFont="1" applyBorder="1"/>
    <xf numFmtId="3" fontId="106" fillId="2" borderId="0" xfId="7" applyNumberFormat="1" applyFont="1" applyFill="1"/>
    <xf numFmtId="3" fontId="106" fillId="2" borderId="7" xfId="7" applyNumberFormat="1" applyFont="1" applyFill="1" applyBorder="1"/>
    <xf numFmtId="9" fontId="106" fillId="2" borderId="0" xfId="7" applyNumberFormat="1" applyFont="1" applyFill="1"/>
    <xf numFmtId="9" fontId="106" fillId="2" borderId="0" xfId="6" applyFont="1" applyFill="1"/>
    <xf numFmtId="0" fontId="19" fillId="0" borderId="4" xfId="9" applyFont="1" applyBorder="1"/>
    <xf numFmtId="0" fontId="19" fillId="0" borderId="5" xfId="9" applyFont="1" applyBorder="1"/>
    <xf numFmtId="166" fontId="19" fillId="2" borderId="0" xfId="4" applyNumberFormat="1" applyFont="1" applyFill="1"/>
    <xf numFmtId="166" fontId="19" fillId="2" borderId="2" xfId="4" applyNumberFormat="1" applyFont="1" applyFill="1" applyBorder="1"/>
    <xf numFmtId="0" fontId="20" fillId="0" borderId="2" xfId="9" applyFont="1" applyBorder="1"/>
    <xf numFmtId="166" fontId="20" fillId="2" borderId="2" xfId="4" applyNumberFormat="1" applyFont="1" applyFill="1" applyBorder="1"/>
    <xf numFmtId="166" fontId="20" fillId="2" borderId="8" xfId="4" applyNumberFormat="1" applyFont="1" applyFill="1" applyBorder="1"/>
    <xf numFmtId="166" fontId="19" fillId="0" borderId="0" xfId="9" applyNumberFormat="1" applyFont="1"/>
    <xf numFmtId="166" fontId="19" fillId="0" borderId="2" xfId="9" applyNumberFormat="1" applyFont="1" applyBorder="1"/>
    <xf numFmtId="166" fontId="20" fillId="0" borderId="2" xfId="9" applyNumberFormat="1" applyFont="1" applyBorder="1"/>
    <xf numFmtId="166" fontId="19" fillId="3" borderId="0" xfId="9" applyNumberFormat="1" applyFont="1" applyFill="1"/>
    <xf numFmtId="9" fontId="19" fillId="0" borderId="0" xfId="9" applyNumberFormat="1" applyFont="1"/>
    <xf numFmtId="9" fontId="19" fillId="0" borderId="2" xfId="9" applyNumberFormat="1" applyFont="1" applyBorder="1"/>
    <xf numFmtId="164" fontId="19" fillId="0" borderId="0" xfId="9" applyNumberFormat="1" applyFont="1"/>
    <xf numFmtId="164" fontId="19" fillId="0" borderId="2" xfId="9" applyNumberFormat="1" applyFont="1" applyBorder="1"/>
    <xf numFmtId="9" fontId="20" fillId="0" borderId="2" xfId="9" applyNumberFormat="1" applyFont="1" applyBorder="1"/>
    <xf numFmtId="164" fontId="20" fillId="0" borderId="2" xfId="9" applyNumberFormat="1" applyFont="1" applyBorder="1"/>
    <xf numFmtId="166" fontId="0" fillId="2" borderId="0" xfId="4" applyNumberFormat="1" applyFont="1" applyFill="1"/>
    <xf numFmtId="166" fontId="0" fillId="2" borderId="2" xfId="4" applyNumberFormat="1" applyFont="1" applyFill="1" applyBorder="1"/>
    <xf numFmtId="166" fontId="5" fillId="2" borderId="7" xfId="4" applyNumberFormat="1" applyFill="1" applyBorder="1"/>
    <xf numFmtId="166" fontId="5" fillId="2" borderId="8" xfId="4" applyNumberFormat="1" applyFill="1" applyBorder="1"/>
    <xf numFmtId="166" fontId="19" fillId="0" borderId="2" xfId="4" applyNumberFormat="1" applyFont="1" applyBorder="1"/>
    <xf numFmtId="166" fontId="20" fillId="34" borderId="0" xfId="4" applyNumberFormat="1" applyFont="1" applyFill="1"/>
    <xf numFmtId="9" fontId="0" fillId="2" borderId="0" xfId="3" applyFont="1" applyFill="1"/>
    <xf numFmtId="3" fontId="5" fillId="0" borderId="0" xfId="9" applyNumberFormat="1"/>
    <xf numFmtId="9" fontId="0" fillId="2" borderId="2" xfId="3" applyFont="1" applyFill="1" applyBorder="1"/>
    <xf numFmtId="166" fontId="5" fillId="0" borderId="0" xfId="4" applyNumberFormat="1"/>
    <xf numFmtId="166" fontId="5" fillId="0" borderId="2" xfId="4" applyNumberFormat="1" applyBorder="1"/>
    <xf numFmtId="43" fontId="5" fillId="0" borderId="0" xfId="4"/>
    <xf numFmtId="164" fontId="106" fillId="0" borderId="0" xfId="0" applyNumberFormat="1" applyFont="1" applyAlignment="1">
      <alignment horizontal="right"/>
    </xf>
    <xf numFmtId="9" fontId="106" fillId="0" borderId="0" xfId="0" applyNumberFormat="1" applyFont="1" applyAlignment="1">
      <alignment horizontal="right"/>
    </xf>
    <xf numFmtId="0" fontId="126" fillId="31" borderId="0" xfId="0" applyFont="1" applyFill="1"/>
    <xf numFmtId="0" fontId="106" fillId="35" borderId="4" xfId="0" applyFont="1" applyFill="1" applyBorder="1"/>
    <xf numFmtId="0" fontId="106" fillId="35" borderId="4" xfId="0" applyFont="1" applyFill="1" applyBorder="1" applyAlignment="1">
      <alignment horizontal="right"/>
    </xf>
    <xf numFmtId="0" fontId="106" fillId="35" borderId="0" xfId="0" applyFont="1" applyFill="1"/>
    <xf numFmtId="171" fontId="106" fillId="35" borderId="0" xfId="0" applyNumberFormat="1" applyFont="1" applyFill="1" applyAlignment="1">
      <alignment horizontal="right"/>
    </xf>
    <xf numFmtId="171" fontId="106" fillId="35" borderId="10" xfId="0" applyNumberFormat="1" applyFont="1" applyFill="1" applyBorder="1" applyAlignment="1">
      <alignment horizontal="right"/>
    </xf>
    <xf numFmtId="9" fontId="106" fillId="35" borderId="0" xfId="6" applyFont="1" applyFill="1" applyAlignment="1">
      <alignment horizontal="right"/>
    </xf>
    <xf numFmtId="1" fontId="20" fillId="0" borderId="0" xfId="0" applyNumberFormat="1" applyFont="1"/>
    <xf numFmtId="17" fontId="129" fillId="31" borderId="0" xfId="0" quotePrefix="1" applyNumberFormat="1" applyFont="1" applyFill="1" applyAlignment="1">
      <alignment horizontal="left"/>
    </xf>
    <xf numFmtId="17" fontId="128" fillId="31" borderId="0" xfId="0" quotePrefix="1" applyNumberFormat="1" applyFont="1" applyFill="1" applyAlignment="1">
      <alignment horizontal="left"/>
    </xf>
    <xf numFmtId="9" fontId="0" fillId="0" borderId="0" xfId="0" applyNumberFormat="1" applyAlignment="1">
      <alignment horizontal="right"/>
    </xf>
    <xf numFmtId="164" fontId="106" fillId="0" borderId="0" xfId="6" applyNumberFormat="1" applyFont="1"/>
    <xf numFmtId="0" fontId="0" fillId="25" borderId="60" xfId="0" applyFill="1" applyBorder="1"/>
    <xf numFmtId="0" fontId="0" fillId="36" borderId="0" xfId="0" applyFill="1"/>
    <xf numFmtId="166" fontId="0" fillId="36" borderId="0" xfId="5" applyNumberFormat="1" applyFont="1" applyFill="1"/>
    <xf numFmtId="170" fontId="0" fillId="36" borderId="0" xfId="0" applyNumberFormat="1" applyFill="1" applyAlignment="1">
      <alignment horizontal="right" vertical="top"/>
    </xf>
    <xf numFmtId="0" fontId="0" fillId="36" borderId="15" xfId="0" applyFill="1" applyBorder="1"/>
    <xf numFmtId="164" fontId="0" fillId="36" borderId="15" xfId="0" applyNumberFormat="1" applyFill="1" applyBorder="1" applyAlignment="1">
      <alignment horizontal="right" vertical="top"/>
    </xf>
    <xf numFmtId="43" fontId="0" fillId="36" borderId="0" xfId="5" applyFont="1" applyFill="1"/>
    <xf numFmtId="0" fontId="106" fillId="0" borderId="6" xfId="0" applyFont="1" applyBorder="1" applyAlignment="1">
      <alignment horizontal="right"/>
    </xf>
    <xf numFmtId="0" fontId="106" fillId="0" borderId="4" xfId="0" applyFont="1" applyBorder="1" applyAlignment="1">
      <alignment horizontal="right"/>
    </xf>
    <xf numFmtId="0" fontId="106" fillId="0" borderId="5" xfId="0" applyFont="1" applyBorder="1" applyAlignment="1">
      <alignment horizontal="right"/>
    </xf>
    <xf numFmtId="1" fontId="106" fillId="0" borderId="3" xfId="0" applyNumberFormat="1" applyFont="1" applyBorder="1"/>
    <xf numFmtId="1" fontId="106" fillId="0" borderId="2" xfId="0" applyNumberFormat="1" applyFont="1" applyBorder="1"/>
    <xf numFmtId="1" fontId="106" fillId="0" borderId="12" xfId="0" applyNumberFormat="1" applyFont="1" applyBorder="1"/>
    <xf numFmtId="1" fontId="106" fillId="0" borderId="8" xfId="0" applyNumberFormat="1" applyFont="1" applyBorder="1"/>
    <xf numFmtId="0" fontId="106" fillId="0" borderId="3" xfId="0" applyFont="1" applyBorder="1"/>
    <xf numFmtId="0" fontId="106" fillId="0" borderId="2" xfId="0" applyFont="1" applyBorder="1"/>
    <xf numFmtId="3" fontId="106" fillId="0" borderId="3" xfId="0" applyNumberFormat="1" applyFont="1" applyBorder="1"/>
    <xf numFmtId="3" fontId="106" fillId="0" borderId="2" xfId="0" applyNumberFormat="1" applyFont="1" applyBorder="1"/>
    <xf numFmtId="164" fontId="106" fillId="0" borderId="12" xfId="0" applyNumberFormat="1" applyFont="1" applyBorder="1"/>
    <xf numFmtId="164" fontId="106" fillId="0" borderId="8" xfId="0" applyNumberFormat="1" applyFont="1" applyBorder="1"/>
    <xf numFmtId="170" fontId="0" fillId="3" borderId="0" xfId="0" applyNumberFormat="1" applyFill="1"/>
    <xf numFmtId="1" fontId="106" fillId="3" borderId="11" xfId="0" applyNumberFormat="1" applyFont="1" applyFill="1" applyBorder="1"/>
    <xf numFmtId="9" fontId="106" fillId="3" borderId="8" xfId="0" applyNumberFormat="1" applyFont="1" applyFill="1" applyBorder="1"/>
    <xf numFmtId="2" fontId="0" fillId="36" borderId="0" xfId="6" applyNumberFormat="1" applyFont="1" applyFill="1"/>
    <xf numFmtId="9" fontId="106" fillId="3" borderId="7" xfId="0" applyNumberFormat="1" applyFont="1" applyFill="1" applyBorder="1" applyAlignment="1">
      <alignment horizontal="right"/>
    </xf>
    <xf numFmtId="0" fontId="107" fillId="0" borderId="0" xfId="0" applyFont="1" applyAlignment="1">
      <alignment horizontal="left"/>
    </xf>
    <xf numFmtId="0" fontId="107" fillId="0" borderId="7" xfId="0" applyFont="1" applyBorder="1"/>
    <xf numFmtId="0" fontId="106" fillId="0" borderId="61" xfId="0" applyFont="1" applyBorder="1" applyAlignment="1">
      <alignment horizontal="left"/>
    </xf>
    <xf numFmtId="0" fontId="106" fillId="0" borderId="62" xfId="0" applyFont="1" applyBorder="1" applyAlignment="1">
      <alignment horizontal="right"/>
    </xf>
    <xf numFmtId="0" fontId="106" fillId="0" borderId="62" xfId="0" applyFont="1" applyBorder="1"/>
    <xf numFmtId="0" fontId="106" fillId="0" borderId="63" xfId="0" applyFont="1" applyBorder="1"/>
    <xf numFmtId="3" fontId="106" fillId="0" borderId="10" xfId="0" applyNumberFormat="1" applyFont="1" applyBorder="1"/>
    <xf numFmtId="3" fontId="106" fillId="0" borderId="11" xfId="0" applyNumberFormat="1" applyFont="1" applyBorder="1"/>
    <xf numFmtId="170" fontId="106" fillId="0" borderId="8" xfId="0" applyNumberFormat="1" applyFont="1" applyBorder="1"/>
    <xf numFmtId="0" fontId="2" fillId="25" borderId="60" xfId="0" applyFont="1" applyFill="1" applyBorder="1"/>
    <xf numFmtId="17" fontId="111" fillId="0" borderId="0" xfId="0" applyNumberFormat="1" applyFont="1" applyAlignment="1">
      <alignment horizontal="left"/>
    </xf>
    <xf numFmtId="17" fontId="111" fillId="0" borderId="0" xfId="0" quotePrefix="1" applyNumberFormat="1" applyFont="1" applyAlignment="1">
      <alignment horizontal="left"/>
    </xf>
    <xf numFmtId="164" fontId="106" fillId="3" borderId="1" xfId="0" applyNumberFormat="1" applyFont="1" applyFill="1" applyBorder="1"/>
    <xf numFmtId="9" fontId="106" fillId="3" borderId="1" xfId="0" applyNumberFormat="1" applyFont="1" applyFill="1" applyBorder="1"/>
    <xf numFmtId="0" fontId="0" fillId="0" borderId="0" xfId="0" quotePrefix="1" applyAlignment="1">
      <alignment horizontal="right"/>
    </xf>
    <xf numFmtId="170" fontId="106" fillId="37" borderId="0" xfId="0" applyNumberFormat="1" applyFont="1" applyFill="1"/>
    <xf numFmtId="257" fontId="106" fillId="0" borderId="0" xfId="0" applyNumberFormat="1" applyFont="1"/>
    <xf numFmtId="164" fontId="108" fillId="0" borderId="1" xfId="0" applyNumberFormat="1" applyFont="1" applyBorder="1"/>
    <xf numFmtId="257" fontId="106" fillId="3" borderId="0" xfId="0" applyNumberFormat="1" applyFont="1" applyFill="1"/>
    <xf numFmtId="257" fontId="0" fillId="0" borderId="0" xfId="0" applyNumberFormat="1"/>
    <xf numFmtId="0" fontId="2" fillId="0" borderId="7" xfId="0" applyFont="1" applyBorder="1" applyAlignment="1">
      <alignment horizontal="right"/>
    </xf>
    <xf numFmtId="1" fontId="0" fillId="3" borderId="0" xfId="0" applyNumberFormat="1" applyFill="1"/>
    <xf numFmtId="0" fontId="2" fillId="0" borderId="0" xfId="0" applyFont="1" applyAlignment="1">
      <alignment horizontal="right"/>
    </xf>
    <xf numFmtId="0" fontId="0" fillId="0" borderId="9" xfId="0" applyBorder="1"/>
    <xf numFmtId="0" fontId="0" fillId="0" borderId="10" xfId="0" applyBorder="1"/>
    <xf numFmtId="0" fontId="2" fillId="0" borderId="10" xfId="0" applyFont="1" applyBorder="1" applyAlignment="1">
      <alignment horizontal="right"/>
    </xf>
    <xf numFmtId="0" fontId="2" fillId="0" borderId="12" xfId="0" applyFont="1" applyBorder="1"/>
    <xf numFmtId="0" fontId="2" fillId="0" borderId="8" xfId="0" applyFont="1" applyBorder="1" applyAlignment="1">
      <alignment horizontal="right"/>
    </xf>
    <xf numFmtId="0" fontId="0" fillId="0" borderId="3" xfId="0" applyBorder="1"/>
    <xf numFmtId="0" fontId="111" fillId="0" borderId="3" xfId="0" applyFont="1" applyBorder="1"/>
    <xf numFmtId="0" fontId="2" fillId="0" borderId="3" xfId="0" applyFont="1" applyBorder="1"/>
    <xf numFmtId="0" fontId="2" fillId="0" borderId="9" xfId="0" applyFont="1" applyBorder="1"/>
    <xf numFmtId="0" fontId="2" fillId="0" borderId="10" xfId="0" applyFont="1" applyBorder="1"/>
    <xf numFmtId="0" fontId="2" fillId="0" borderId="11" xfId="0" applyFont="1" applyBorder="1"/>
    <xf numFmtId="0" fontId="3" fillId="0" borderId="3" xfId="0" applyFont="1" applyBorder="1"/>
    <xf numFmtId="1" fontId="0" fillId="0" borderId="7" xfId="0" applyNumberFormat="1" applyBorder="1" applyAlignment="1">
      <alignment horizontal="right"/>
    </xf>
    <xf numFmtId="0" fontId="0" fillId="0" borderId="61" xfId="0" applyBorder="1"/>
    <xf numFmtId="164" fontId="0" fillId="0" borderId="63" xfId="0" applyNumberFormat="1" applyBorder="1"/>
    <xf numFmtId="0" fontId="0" fillId="0" borderId="50" xfId="0" applyBorder="1" applyAlignment="1">
      <alignment horizontal="right"/>
    </xf>
    <xf numFmtId="0" fontId="0" fillId="0" borderId="51" xfId="0" applyBorder="1" applyAlignment="1">
      <alignment horizontal="right"/>
    </xf>
    <xf numFmtId="0" fontId="0" fillId="0" borderId="52" xfId="0" applyBorder="1" applyAlignment="1">
      <alignment horizontal="right"/>
    </xf>
    <xf numFmtId="0" fontId="0" fillId="0" borderId="53" xfId="0" applyBorder="1" applyAlignment="1">
      <alignment horizontal="right"/>
    </xf>
    <xf numFmtId="3" fontId="0" fillId="0" borderId="54" xfId="0" applyNumberFormat="1" applyBorder="1"/>
    <xf numFmtId="164" fontId="0" fillId="0" borderId="34" xfId="0" applyNumberFormat="1" applyBorder="1"/>
    <xf numFmtId="3" fontId="0" fillId="0" borderId="52" xfId="0" applyNumberFormat="1" applyBorder="1"/>
    <xf numFmtId="164" fontId="0" fillId="0" borderId="53" xfId="0" applyNumberFormat="1" applyBorder="1"/>
    <xf numFmtId="3" fontId="0" fillId="0" borderId="55" xfId="0" applyNumberFormat="1" applyBorder="1"/>
    <xf numFmtId="164" fontId="0" fillId="0" borderId="56" xfId="0" applyNumberFormat="1" applyBorder="1"/>
    <xf numFmtId="0" fontId="106" fillId="0" borderId="61" xfId="0" applyFont="1" applyBorder="1"/>
    <xf numFmtId="171" fontId="106" fillId="0" borderId="63" xfId="0" applyNumberFormat="1" applyFont="1" applyBorder="1"/>
    <xf numFmtId="171" fontId="106" fillId="3" borderId="26" xfId="0" applyNumberFormat="1" applyFont="1" applyFill="1" applyBorder="1"/>
    <xf numFmtId="10" fontId="0" fillId="0" borderId="0" xfId="0" quotePrefix="1" applyNumberFormat="1"/>
    <xf numFmtId="0" fontId="0" fillId="0" borderId="0" xfId="0" quotePrefix="1" applyAlignment="1">
      <alignment horizontal="left"/>
    </xf>
    <xf numFmtId="0" fontId="143" fillId="0" borderId="0" xfId="0" applyFont="1"/>
    <xf numFmtId="171" fontId="106" fillId="25" borderId="26" xfId="0" applyNumberFormat="1" applyFont="1" applyFill="1" applyBorder="1"/>
    <xf numFmtId="0" fontId="144" fillId="0" borderId="0" xfId="0" applyFont="1" applyAlignment="1">
      <alignment horizontal="right"/>
    </xf>
    <xf numFmtId="0" fontId="144" fillId="0" borderId="7" xfId="0" applyFont="1" applyBorder="1" applyAlignment="1">
      <alignment horizontal="right"/>
    </xf>
    <xf numFmtId="0" fontId="145" fillId="0" borderId="0" xfId="0" applyFont="1"/>
    <xf numFmtId="16" fontId="111" fillId="0" borderId="0" xfId="0" applyNumberFormat="1" applyFont="1" applyAlignment="1">
      <alignment horizontal="left"/>
    </xf>
    <xf numFmtId="0" fontId="2" fillId="0" borderId="59" xfId="0" applyFont="1" applyBorder="1"/>
    <xf numFmtId="3" fontId="2" fillId="0" borderId="59" xfId="0" applyNumberFormat="1" applyFont="1" applyBorder="1"/>
    <xf numFmtId="3" fontId="0" fillId="3" borderId="0" xfId="0" applyNumberFormat="1" applyFill="1"/>
    <xf numFmtId="0" fontId="114" fillId="0" borderId="7" xfId="0" applyFont="1" applyBorder="1" applyAlignment="1">
      <alignment horizontal="right"/>
    </xf>
    <xf numFmtId="0" fontId="114" fillId="0" borderId="0" xfId="0" applyFont="1" applyAlignment="1">
      <alignment horizontal="right"/>
    </xf>
    <xf numFmtId="3" fontId="114" fillId="0" borderId="0" xfId="0" applyNumberFormat="1" applyFont="1" applyAlignment="1">
      <alignment horizontal="right"/>
    </xf>
    <xf numFmtId="9" fontId="114" fillId="0" borderId="0" xfId="0" applyNumberFormat="1" applyFont="1" applyAlignment="1">
      <alignment horizontal="right"/>
    </xf>
    <xf numFmtId="17" fontId="108" fillId="0" borderId="7" xfId="0" applyNumberFormat="1" applyFont="1" applyBorder="1"/>
    <xf numFmtId="0" fontId="146" fillId="0" borderId="0" xfId="0" applyFont="1" applyAlignment="1">
      <alignment horizontal="right"/>
    </xf>
    <xf numFmtId="0" fontId="108" fillId="0" borderId="59" xfId="0" applyFont="1" applyBorder="1"/>
    <xf numFmtId="170" fontId="108" fillId="0" borderId="59" xfId="0" applyNumberFormat="1" applyFont="1" applyBorder="1"/>
    <xf numFmtId="0" fontId="149" fillId="39" borderId="15" xfId="414" applyFont="1" applyFill="1" applyBorder="1"/>
    <xf numFmtId="0" fontId="150" fillId="39" borderId="15" xfId="414" applyFont="1" applyFill="1" applyBorder="1"/>
    <xf numFmtId="0" fontId="148" fillId="0" borderId="0" xfId="414"/>
    <xf numFmtId="0" fontId="150" fillId="39" borderId="0" xfId="414" applyFont="1" applyFill="1"/>
    <xf numFmtId="0" fontId="151" fillId="39" borderId="0" xfId="414" applyFont="1" applyFill="1"/>
    <xf numFmtId="14" fontId="152" fillId="39" borderId="0" xfId="414" applyNumberFormat="1" applyFont="1" applyFill="1" applyAlignment="1">
      <alignment horizontal="left"/>
    </xf>
    <xf numFmtId="0" fontId="153" fillId="39" borderId="0" xfId="414" applyFont="1" applyFill="1"/>
    <xf numFmtId="259" fontId="150" fillId="39" borderId="0" xfId="414" applyNumberFormat="1" applyFont="1" applyFill="1"/>
    <xf numFmtId="0" fontId="154" fillId="39" borderId="0" xfId="414" applyFont="1" applyFill="1"/>
    <xf numFmtId="0" fontId="148" fillId="39" borderId="0" xfId="414" applyFill="1"/>
    <xf numFmtId="0" fontId="155" fillId="39" borderId="0" xfId="414" applyFont="1" applyFill="1"/>
    <xf numFmtId="0" fontId="153" fillId="39" borderId="0" xfId="414" quotePrefix="1" applyFont="1" applyFill="1"/>
    <xf numFmtId="0" fontId="152" fillId="39" borderId="0" xfId="414" applyFont="1" applyFill="1"/>
    <xf numFmtId="0" fontId="156" fillId="39" borderId="0" xfId="414" applyFont="1" applyFill="1"/>
    <xf numFmtId="260" fontId="150" fillId="39" borderId="0" xfId="415" applyNumberFormat="1" applyFont="1" applyFill="1"/>
    <xf numFmtId="0" fontId="152" fillId="39" borderId="0" xfId="414" applyFont="1" applyFill="1" applyAlignment="1">
      <alignment horizontal="right"/>
    </xf>
    <xf numFmtId="37" fontId="152" fillId="39" borderId="0" xfId="414" applyNumberFormat="1" applyFont="1" applyFill="1"/>
    <xf numFmtId="261" fontId="124" fillId="36" borderId="0" xfId="414" applyNumberFormat="1" applyFont="1" applyFill="1"/>
    <xf numFmtId="3" fontId="2" fillId="0" borderId="0" xfId="0" applyNumberFormat="1" applyFont="1"/>
    <xf numFmtId="3" fontId="1" fillId="0" borderId="0" xfId="0" applyNumberFormat="1" applyFont="1"/>
    <xf numFmtId="0" fontId="0" fillId="40" borderId="0" xfId="0" applyFill="1"/>
    <xf numFmtId="0" fontId="3" fillId="0" borderId="0" xfId="0" applyFont="1" applyAlignment="1">
      <alignment horizontal="right"/>
    </xf>
    <xf numFmtId="9" fontId="2" fillId="0" borderId="0" xfId="0" applyNumberFormat="1" applyFont="1"/>
    <xf numFmtId="3" fontId="0" fillId="0" borderId="0" xfId="0" applyNumberFormat="1" applyAlignment="1">
      <alignment horizontal="right"/>
    </xf>
    <xf numFmtId="3" fontId="0" fillId="0" borderId="7" xfId="0" applyNumberFormat="1" applyBorder="1" applyAlignment="1">
      <alignment horizontal="right"/>
    </xf>
    <xf numFmtId="3" fontId="0" fillId="25" borderId="0" xfId="0" applyNumberFormat="1" applyFill="1"/>
    <xf numFmtId="0" fontId="2" fillId="25" borderId="0" xfId="0" applyFont="1" applyFill="1"/>
    <xf numFmtId="3" fontId="2" fillId="25" borderId="0" xfId="0" applyNumberFormat="1" applyFont="1" applyFill="1"/>
    <xf numFmtId="0" fontId="2" fillId="25" borderId="7" xfId="0" applyFont="1" applyFill="1" applyBorder="1"/>
    <xf numFmtId="9" fontId="0" fillId="25" borderId="0" xfId="0" applyNumberFormat="1" applyFill="1"/>
    <xf numFmtId="170" fontId="0" fillId="25" borderId="0" xfId="0" applyNumberFormat="1" applyFill="1"/>
    <xf numFmtId="170" fontId="2" fillId="25" borderId="0" xfId="0" applyNumberFormat="1" applyFont="1" applyFill="1"/>
    <xf numFmtId="1" fontId="2" fillId="25" borderId="0" xfId="0" applyNumberFormat="1" applyFont="1" applyFill="1"/>
    <xf numFmtId="1" fontId="0" fillId="25" borderId="7" xfId="0" applyNumberFormat="1" applyFill="1" applyBorder="1"/>
    <xf numFmtId="170" fontId="2" fillId="0" borderId="0" xfId="0" applyNumberFormat="1" applyFont="1"/>
    <xf numFmtId="9" fontId="2" fillId="25" borderId="0" xfId="0" applyNumberFormat="1" applyFont="1" applyFill="1"/>
    <xf numFmtId="257" fontId="0" fillId="25" borderId="0" xfId="0" applyNumberFormat="1" applyFill="1"/>
    <xf numFmtId="0" fontId="5" fillId="0" borderId="0" xfId="229"/>
    <xf numFmtId="0" fontId="106" fillId="25" borderId="0" xfId="229" applyFont="1" applyFill="1"/>
    <xf numFmtId="0" fontId="106" fillId="0" borderId="0" xfId="229" applyFont="1"/>
    <xf numFmtId="3" fontId="106" fillId="25" borderId="0" xfId="229" applyNumberFormat="1" applyFont="1" applyFill="1"/>
    <xf numFmtId="3" fontId="106" fillId="25" borderId="7" xfId="229" applyNumberFormat="1" applyFont="1" applyFill="1" applyBorder="1"/>
    <xf numFmtId="164" fontId="106" fillId="0" borderId="0" xfId="229" applyNumberFormat="1" applyFont="1"/>
    <xf numFmtId="0" fontId="145" fillId="25" borderId="0" xfId="229" applyFont="1" applyFill="1"/>
    <xf numFmtId="164" fontId="106" fillId="25" borderId="0" xfId="229" applyNumberFormat="1" applyFont="1" applyFill="1"/>
    <xf numFmtId="0" fontId="20" fillId="0" borderId="0" xfId="229" applyFont="1"/>
    <xf numFmtId="3" fontId="106" fillId="0" borderId="0" xfId="229" applyNumberFormat="1" applyFont="1"/>
    <xf numFmtId="9" fontId="20" fillId="25" borderId="0" xfId="229" applyNumberFormat="1" applyFont="1" applyFill="1"/>
    <xf numFmtId="0" fontId="20" fillId="25" borderId="7" xfId="229" applyFont="1" applyFill="1" applyBorder="1"/>
    <xf numFmtId="3" fontId="2" fillId="0" borderId="7" xfId="0" applyNumberFormat="1" applyFont="1" applyBorder="1" applyAlignment="1">
      <alignment horizontal="right"/>
    </xf>
    <xf numFmtId="262" fontId="0" fillId="0" borderId="0" xfId="0" applyNumberFormat="1"/>
    <xf numFmtId="263" fontId="0" fillId="0" borderId="0" xfId="0" applyNumberFormat="1"/>
    <xf numFmtId="169" fontId="24" fillId="0" borderId="4" xfId="2" applyNumberFormat="1" applyFont="1" applyBorder="1" applyAlignment="1">
      <alignment vertical="top"/>
    </xf>
    <xf numFmtId="9" fontId="20" fillId="0" borderId="0" xfId="6" applyFont="1"/>
    <xf numFmtId="9" fontId="20" fillId="0" borderId="7" xfId="6" applyFont="1" applyBorder="1"/>
    <xf numFmtId="169" fontId="19" fillId="0" borderId="4" xfId="7" applyNumberFormat="1" applyFont="1" applyBorder="1"/>
    <xf numFmtId="0" fontId="108" fillId="25" borderId="7" xfId="0" applyFont="1" applyFill="1" applyBorder="1"/>
    <xf numFmtId="164" fontId="106" fillId="25" borderId="7" xfId="0" applyNumberFormat="1" applyFont="1" applyFill="1" applyBorder="1"/>
    <xf numFmtId="3" fontId="108" fillId="0" borderId="7" xfId="0" applyNumberFormat="1" applyFont="1" applyBorder="1"/>
    <xf numFmtId="0" fontId="158" fillId="26" borderId="0" xfId="2" applyFont="1" applyFill="1"/>
    <xf numFmtId="0" fontId="159" fillId="0" borderId="0" xfId="2" applyFont="1"/>
    <xf numFmtId="0" fontId="160" fillId="0" borderId="0" xfId="0" applyFont="1"/>
    <xf numFmtId="165" fontId="158" fillId="0" borderId="7" xfId="2" applyNumberFormat="1" applyFont="1" applyBorder="1" applyAlignment="1">
      <alignment horizontal="right"/>
    </xf>
    <xf numFmtId="2" fontId="159" fillId="0" borderId="0" xfId="2" applyNumberFormat="1" applyFont="1"/>
    <xf numFmtId="9" fontId="159" fillId="0" borderId="0" xfId="2" applyNumberFormat="1" applyFont="1"/>
    <xf numFmtId="0" fontId="160" fillId="40" borderId="0" xfId="0" applyFont="1" applyFill="1"/>
    <xf numFmtId="0" fontId="158" fillId="0" borderId="0" xfId="2" applyFont="1" applyAlignment="1">
      <alignment horizontal="right"/>
    </xf>
    <xf numFmtId="165" fontId="161" fillId="0" borderId="7" xfId="2" applyNumberFormat="1" applyFont="1" applyBorder="1" applyAlignment="1">
      <alignment vertical="top"/>
    </xf>
    <xf numFmtId="0" fontId="158" fillId="0" borderId="7" xfId="2" applyFont="1" applyBorder="1" applyAlignment="1">
      <alignment horizontal="right"/>
    </xf>
    <xf numFmtId="165" fontId="162" fillId="0" borderId="0" xfId="2" applyNumberFormat="1" applyFont="1" applyAlignment="1">
      <alignment vertical="top"/>
    </xf>
    <xf numFmtId="3" fontId="159" fillId="0" borderId="0" xfId="2" applyNumberFormat="1" applyFont="1"/>
    <xf numFmtId="0" fontId="158" fillId="0" borderId="6" xfId="2" applyFont="1" applyBorder="1"/>
    <xf numFmtId="0" fontId="158" fillId="0" borderId="4" xfId="2" applyFont="1" applyBorder="1" applyAlignment="1">
      <alignment horizontal="right"/>
    </xf>
    <xf numFmtId="164" fontId="159" fillId="0" borderId="0" xfId="2" applyNumberFormat="1" applyFont="1"/>
    <xf numFmtId="169" fontId="158" fillId="0" borderId="0" xfId="2" applyNumberFormat="1" applyFont="1"/>
    <xf numFmtId="164" fontId="158" fillId="0" borderId="0" xfId="2" applyNumberFormat="1" applyFont="1"/>
    <xf numFmtId="165" fontId="159" fillId="0" borderId="3" xfId="2" applyNumberFormat="1" applyFont="1" applyBorder="1" applyAlignment="1">
      <alignment horizontal="left" indent="1"/>
    </xf>
    <xf numFmtId="169" fontId="159" fillId="0" borderId="0" xfId="2" applyNumberFormat="1" applyFont="1"/>
    <xf numFmtId="165" fontId="158" fillId="0" borderId="3" xfId="2" applyNumberFormat="1" applyFont="1" applyBorder="1" applyAlignment="1">
      <alignment horizontal="left"/>
    </xf>
    <xf numFmtId="1" fontId="159" fillId="0" borderId="0" xfId="2" applyNumberFormat="1" applyFont="1"/>
    <xf numFmtId="0" fontId="158" fillId="0" borderId="0" xfId="2" applyFont="1"/>
    <xf numFmtId="164" fontId="159" fillId="0" borderId="7" xfId="2" applyNumberFormat="1" applyFont="1" applyBorder="1"/>
    <xf numFmtId="0" fontId="158" fillId="0" borderId="7" xfId="2" applyFont="1" applyBorder="1" applyAlignment="1">
      <alignment horizontal="left"/>
    </xf>
    <xf numFmtId="165" fontId="159" fillId="0" borderId="0" xfId="2" applyNumberFormat="1" applyFont="1"/>
    <xf numFmtId="165" fontId="159" fillId="0" borderId="0" xfId="2" quotePrefix="1" applyNumberFormat="1" applyFont="1"/>
    <xf numFmtId="169" fontId="159" fillId="0" borderId="7" xfId="2" applyNumberFormat="1" applyFont="1" applyBorder="1"/>
    <xf numFmtId="165" fontId="159" fillId="0" borderId="61" xfId="2" applyNumberFormat="1" applyFont="1" applyBorder="1"/>
    <xf numFmtId="164" fontId="159" fillId="0" borderId="62" xfId="2" applyNumberFormat="1" applyFont="1" applyBorder="1"/>
    <xf numFmtId="164" fontId="158" fillId="0" borderId="62" xfId="2" applyNumberFormat="1" applyFont="1" applyBorder="1"/>
    <xf numFmtId="165" fontId="159" fillId="0" borderId="4" xfId="2" applyNumberFormat="1" applyFont="1" applyBorder="1"/>
    <xf numFmtId="164" fontId="159" fillId="0" borderId="4" xfId="2" applyNumberFormat="1" applyFont="1" applyBorder="1"/>
    <xf numFmtId="165" fontId="158" fillId="0" borderId="6" xfId="2" applyNumberFormat="1" applyFont="1" applyBorder="1"/>
    <xf numFmtId="164" fontId="158" fillId="0" borderId="4" xfId="2" applyNumberFormat="1" applyFont="1" applyBorder="1"/>
    <xf numFmtId="0" fontId="159" fillId="40" borderId="0" xfId="2" applyFont="1" applyFill="1"/>
    <xf numFmtId="0" fontId="158" fillId="0" borderId="7" xfId="2" applyFont="1" applyBorder="1"/>
    <xf numFmtId="165" fontId="159" fillId="0" borderId="7" xfId="2" applyNumberFormat="1" applyFont="1" applyBorder="1"/>
    <xf numFmtId="165" fontId="158" fillId="0" borderId="0" xfId="2" applyNumberFormat="1" applyFont="1"/>
    <xf numFmtId="0" fontId="159" fillId="0" borderId="0" xfId="2" applyFont="1" applyAlignment="1">
      <alignment horizontal="right"/>
    </xf>
    <xf numFmtId="164" fontId="158" fillId="0" borderId="7" xfId="2" applyNumberFormat="1" applyFont="1" applyBorder="1" applyAlignment="1">
      <alignment horizontal="right"/>
    </xf>
    <xf numFmtId="1" fontId="159" fillId="0" borderId="7" xfId="2" applyNumberFormat="1" applyFont="1" applyBorder="1"/>
    <xf numFmtId="0" fontId="159" fillId="0" borderId="7" xfId="2" applyFont="1" applyBorder="1"/>
    <xf numFmtId="3" fontId="159" fillId="0" borderId="7" xfId="2" applyNumberFormat="1" applyFont="1" applyBorder="1"/>
    <xf numFmtId="1" fontId="159" fillId="3" borderId="0" xfId="2" applyNumberFormat="1" applyFont="1" applyFill="1"/>
    <xf numFmtId="164" fontId="159" fillId="0" borderId="7" xfId="2" applyNumberFormat="1" applyFont="1" applyBorder="1" applyAlignment="1">
      <alignment horizontal="right"/>
    </xf>
    <xf numFmtId="164" fontId="159" fillId="0" borderId="0" xfId="2" applyNumberFormat="1" applyFont="1" applyAlignment="1">
      <alignment horizontal="right"/>
    </xf>
    <xf numFmtId="165" fontId="158" fillId="27" borderId="3" xfId="2" applyNumberFormat="1" applyFont="1" applyFill="1" applyBorder="1"/>
    <xf numFmtId="169" fontId="158" fillId="27" borderId="0" xfId="2" applyNumberFormat="1" applyFont="1" applyFill="1"/>
    <xf numFmtId="165" fontId="159" fillId="27" borderId="3" xfId="2" applyNumberFormat="1" applyFont="1" applyFill="1" applyBorder="1" applyAlignment="1">
      <alignment horizontal="left" indent="1"/>
    </xf>
    <xf numFmtId="169" fontId="159" fillId="27" borderId="0" xfId="2" applyNumberFormat="1" applyFont="1" applyFill="1"/>
    <xf numFmtId="0" fontId="158" fillId="0" borderId="5" xfId="2" applyFont="1" applyBorder="1" applyAlignment="1">
      <alignment horizontal="right"/>
    </xf>
    <xf numFmtId="164" fontId="158" fillId="27" borderId="2" xfId="2" applyNumberFormat="1" applyFont="1" applyFill="1" applyBorder="1"/>
    <xf numFmtId="164" fontId="159" fillId="0" borderId="2" xfId="2" applyNumberFormat="1" applyFont="1" applyBorder="1"/>
    <xf numFmtId="164" fontId="159" fillId="27" borderId="2" xfId="2" applyNumberFormat="1" applyFont="1" applyFill="1" applyBorder="1"/>
    <xf numFmtId="164" fontId="158" fillId="0" borderId="2" xfId="2" applyNumberFormat="1" applyFont="1" applyBorder="1"/>
    <xf numFmtId="169" fontId="158" fillId="27" borderId="2" xfId="2" applyNumberFormat="1" applyFont="1" applyFill="1" applyBorder="1"/>
    <xf numFmtId="169" fontId="159" fillId="0" borderId="2" xfId="2" applyNumberFormat="1" applyFont="1" applyBorder="1"/>
    <xf numFmtId="169" fontId="159" fillId="27" borderId="2" xfId="2" applyNumberFormat="1" applyFont="1" applyFill="1" applyBorder="1"/>
    <xf numFmtId="169" fontId="158" fillId="0" borderId="2" xfId="2" applyNumberFormat="1" applyFont="1" applyBorder="1"/>
    <xf numFmtId="169" fontId="159" fillId="0" borderId="8" xfId="2" applyNumberFormat="1" applyFont="1" applyBorder="1"/>
    <xf numFmtId="0" fontId="160" fillId="0" borderId="7" xfId="0" applyFont="1" applyBorder="1"/>
    <xf numFmtId="0" fontId="158" fillId="0" borderId="3" xfId="2" applyFont="1" applyBorder="1"/>
    <xf numFmtId="0" fontId="158" fillId="0" borderId="2" xfId="2" applyFont="1" applyBorder="1" applyAlignment="1">
      <alignment horizontal="right"/>
    </xf>
    <xf numFmtId="1" fontId="159" fillId="27" borderId="0" xfId="6" applyNumberFormat="1" applyFont="1" applyFill="1" applyBorder="1"/>
    <xf numFmtId="165" fontId="159" fillId="0" borderId="12" xfId="2" applyNumberFormat="1" applyFont="1" applyBorder="1" applyAlignment="1">
      <alignment horizontal="left" indent="1"/>
    </xf>
    <xf numFmtId="164" fontId="159" fillId="0" borderId="8" xfId="2" applyNumberFormat="1" applyFont="1" applyBorder="1"/>
    <xf numFmtId="0" fontId="160" fillId="0" borderId="0" xfId="0" applyFont="1" applyAlignment="1">
      <alignment horizontal="left" indent="1"/>
    </xf>
    <xf numFmtId="164" fontId="160" fillId="0" borderId="0" xfId="6" applyNumberFormat="1" applyFont="1"/>
    <xf numFmtId="0" fontId="163" fillId="36" borderId="0" xfId="0" applyFont="1" applyFill="1"/>
    <xf numFmtId="0" fontId="164" fillId="36" borderId="0" xfId="0" applyFont="1" applyFill="1"/>
    <xf numFmtId="0" fontId="147" fillId="36" borderId="0" xfId="0" applyFont="1" applyFill="1"/>
    <xf numFmtId="0" fontId="106" fillId="27" borderId="0" xfId="0" applyFont="1" applyFill="1"/>
    <xf numFmtId="0" fontId="0" fillId="27" borderId="0" xfId="0" applyFill="1"/>
    <xf numFmtId="3" fontId="106" fillId="27" borderId="0" xfId="0" applyNumberFormat="1" applyFont="1" applyFill="1"/>
    <xf numFmtId="3" fontId="106" fillId="27" borderId="26" xfId="0" applyNumberFormat="1" applyFont="1" applyFill="1" applyBorder="1"/>
    <xf numFmtId="257" fontId="106" fillId="0" borderId="7" xfId="0" applyNumberFormat="1" applyFont="1" applyBorder="1"/>
    <xf numFmtId="0" fontId="165" fillId="0" borderId="0" xfId="0" applyFont="1"/>
    <xf numFmtId="164" fontId="160" fillId="0" borderId="7" xfId="6" applyNumberFormat="1" applyFont="1" applyBorder="1"/>
    <xf numFmtId="164" fontId="160" fillId="3" borderId="0" xfId="6" applyNumberFormat="1" applyFont="1" applyFill="1"/>
    <xf numFmtId="0" fontId="160" fillId="0" borderId="0" xfId="0" applyFont="1" applyAlignment="1">
      <alignment vertical="center"/>
    </xf>
    <xf numFmtId="0" fontId="166" fillId="0" borderId="0" xfId="0" applyFont="1"/>
    <xf numFmtId="0" fontId="167" fillId="0" borderId="0" xfId="0" applyFont="1" applyAlignment="1">
      <alignment horizontal="right"/>
    </xf>
    <xf numFmtId="0" fontId="166" fillId="0" borderId="0" xfId="0" applyFont="1" applyAlignment="1">
      <alignment horizontal="left" indent="1"/>
    </xf>
    <xf numFmtId="9" fontId="166" fillId="0" borderId="0" xfId="6" applyFont="1" applyFill="1"/>
    <xf numFmtId="0" fontId="166" fillId="0" borderId="7" xfId="0" applyFont="1" applyBorder="1"/>
    <xf numFmtId="164" fontId="166" fillId="0" borderId="0" xfId="0" applyNumberFormat="1" applyFont="1"/>
    <xf numFmtId="1" fontId="168" fillId="0" borderId="0" xfId="2" applyNumberFormat="1" applyFont="1"/>
    <xf numFmtId="1" fontId="168" fillId="0" borderId="7" xfId="2" applyNumberFormat="1" applyFont="1" applyBorder="1"/>
    <xf numFmtId="164" fontId="168" fillId="0" borderId="0" xfId="2" applyNumberFormat="1" applyFont="1"/>
    <xf numFmtId="3" fontId="168" fillId="0" borderId="0" xfId="2" applyNumberFormat="1" applyFont="1"/>
    <xf numFmtId="0" fontId="168" fillId="0" borderId="0" xfId="2" applyFont="1"/>
    <xf numFmtId="0" fontId="169" fillId="0" borderId="0" xfId="2" applyFont="1"/>
    <xf numFmtId="0" fontId="170" fillId="0" borderId="0" xfId="2" applyFont="1" applyAlignment="1">
      <alignment horizontal="right"/>
    </xf>
    <xf numFmtId="164" fontId="170" fillId="27" borderId="0" xfId="6" applyNumberFormat="1" applyFont="1" applyFill="1" applyBorder="1"/>
    <xf numFmtId="164" fontId="169" fillId="0" borderId="0" xfId="6" applyNumberFormat="1" applyFont="1" applyFill="1" applyBorder="1"/>
    <xf numFmtId="169" fontId="169" fillId="27" borderId="0" xfId="2" applyNumberFormat="1" applyFont="1" applyFill="1"/>
    <xf numFmtId="164" fontId="169" fillId="27" borderId="0" xfId="6" applyNumberFormat="1" applyFont="1" applyFill="1" applyBorder="1"/>
    <xf numFmtId="164" fontId="170" fillId="0" borderId="0" xfId="6" applyNumberFormat="1" applyFont="1" applyFill="1" applyBorder="1"/>
    <xf numFmtId="164" fontId="169" fillId="36" borderId="0" xfId="6" applyNumberFormat="1" applyFont="1" applyFill="1" applyBorder="1"/>
    <xf numFmtId="0" fontId="170" fillId="27" borderId="0" xfId="2" applyFont="1" applyFill="1" applyAlignment="1">
      <alignment horizontal="right"/>
    </xf>
    <xf numFmtId="0" fontId="169" fillId="27" borderId="0" xfId="2" applyFont="1" applyFill="1" applyAlignment="1">
      <alignment horizontal="right"/>
    </xf>
    <xf numFmtId="0" fontId="171" fillId="0" borderId="0" xfId="0" applyFont="1" applyAlignment="1">
      <alignment vertical="center"/>
    </xf>
    <xf numFmtId="0" fontId="172" fillId="0" borderId="0" xfId="0" applyFont="1" applyAlignment="1">
      <alignment vertical="center"/>
    </xf>
    <xf numFmtId="0" fontId="160" fillId="0" borderId="0" xfId="0" applyFont="1" applyAlignment="1">
      <alignment horizontal="left" vertical="center"/>
    </xf>
    <xf numFmtId="0" fontId="172" fillId="0" borderId="0" xfId="0" applyFont="1"/>
    <xf numFmtId="0" fontId="171" fillId="0" borderId="0" xfId="0" applyFont="1"/>
    <xf numFmtId="9" fontId="160" fillId="0" borderId="0" xfId="0" applyNumberFormat="1" applyFont="1"/>
    <xf numFmtId="170" fontId="160" fillId="0" borderId="0" xfId="0" applyNumberFormat="1" applyFont="1"/>
    <xf numFmtId="0" fontId="173" fillId="0" borderId="0" xfId="229" applyFont="1"/>
    <xf numFmtId="9" fontId="166" fillId="0" borderId="0" xfId="0" applyNumberFormat="1" applyFont="1"/>
    <xf numFmtId="0" fontId="160" fillId="27" borderId="0" xfId="0" applyFont="1" applyFill="1"/>
    <xf numFmtId="1" fontId="160" fillId="27" borderId="0" xfId="0" applyNumberFormat="1" applyFont="1" applyFill="1"/>
    <xf numFmtId="3" fontId="160" fillId="0" borderId="0" xfId="0" applyNumberFormat="1" applyFont="1"/>
    <xf numFmtId="1" fontId="160" fillId="0" borderId="0" xfId="0" applyNumberFormat="1" applyFont="1"/>
    <xf numFmtId="0" fontId="160" fillId="27" borderId="0" xfId="0" applyFont="1" applyFill="1" applyAlignment="1">
      <alignment horizontal="left" indent="1"/>
    </xf>
    <xf numFmtId="3" fontId="160" fillId="27" borderId="0" xfId="0" applyNumberFormat="1" applyFont="1" applyFill="1"/>
    <xf numFmtId="9" fontId="160" fillId="0" borderId="0" xfId="6" applyFont="1"/>
    <xf numFmtId="9" fontId="160" fillId="27" borderId="0" xfId="6" applyFont="1" applyFill="1"/>
    <xf numFmtId="9" fontId="160" fillId="0" borderId="7" xfId="6" applyFont="1" applyBorder="1"/>
    <xf numFmtId="0" fontId="160" fillId="27" borderId="7" xfId="0" applyFont="1" applyFill="1" applyBorder="1"/>
    <xf numFmtId="9" fontId="160" fillId="27" borderId="7" xfId="6" applyFont="1" applyFill="1" applyBorder="1"/>
    <xf numFmtId="0" fontId="174" fillId="0" borderId="7" xfId="0" applyFont="1" applyBorder="1"/>
    <xf numFmtId="0" fontId="174" fillId="0" borderId="7" xfId="0" applyFont="1" applyBorder="1" applyAlignment="1">
      <alignment horizontal="right"/>
    </xf>
    <xf numFmtId="0" fontId="174" fillId="27" borderId="0" xfId="0" applyFont="1" applyFill="1"/>
    <xf numFmtId="3" fontId="174" fillId="27" borderId="0" xfId="0" applyNumberFormat="1" applyFont="1" applyFill="1"/>
    <xf numFmtId="0" fontId="160" fillId="0" borderId="0" xfId="0" applyFont="1" applyAlignment="1">
      <alignment horizontal="left" indent="2"/>
    </xf>
    <xf numFmtId="9" fontId="160" fillId="0" borderId="0" xfId="6" applyFont="1" applyFill="1"/>
    <xf numFmtId="1" fontId="174" fillId="27" borderId="0" xfId="0" applyNumberFormat="1" applyFont="1" applyFill="1"/>
    <xf numFmtId="164" fontId="160" fillId="0" borderId="7" xfId="6" applyNumberFormat="1" applyFont="1" applyFill="1" applyBorder="1"/>
    <xf numFmtId="4" fontId="160" fillId="0" borderId="0" xfId="0" applyNumberFormat="1" applyFont="1"/>
    <xf numFmtId="170" fontId="177" fillId="0" borderId="0" xfId="0" applyNumberFormat="1" applyFont="1"/>
    <xf numFmtId="164" fontId="160" fillId="0" borderId="0" xfId="0" applyNumberFormat="1" applyFont="1"/>
    <xf numFmtId="0" fontId="174" fillId="27" borderId="0" xfId="0" applyFont="1" applyFill="1" applyAlignment="1">
      <alignment horizontal="right"/>
    </xf>
    <xf numFmtId="1" fontId="166" fillId="0" borderId="0" xfId="0" applyNumberFormat="1" applyFont="1"/>
    <xf numFmtId="0" fontId="174" fillId="0" borderId="0" xfId="0" applyFont="1"/>
    <xf numFmtId="3" fontId="174" fillId="0" borderId="0" xfId="0" applyNumberFormat="1" applyFont="1"/>
    <xf numFmtId="3" fontId="177" fillId="27" borderId="0" xfId="0" applyNumberFormat="1" applyFont="1" applyFill="1"/>
    <xf numFmtId="1" fontId="177" fillId="0" borderId="0" xfId="0" applyNumberFormat="1" applyFont="1"/>
    <xf numFmtId="9" fontId="169" fillId="27" borderId="0" xfId="6" applyFont="1" applyFill="1" applyBorder="1"/>
    <xf numFmtId="170" fontId="168" fillId="0" borderId="0" xfId="2" applyNumberFormat="1" applyFont="1"/>
    <xf numFmtId="9" fontId="169" fillId="36" borderId="0" xfId="6" applyFont="1" applyFill="1" applyBorder="1"/>
    <xf numFmtId="258" fontId="169" fillId="36" borderId="7" xfId="2" applyNumberFormat="1" applyFont="1" applyFill="1" applyBorder="1"/>
    <xf numFmtId="0" fontId="170" fillId="36" borderId="4" xfId="2" applyFont="1" applyFill="1" applyBorder="1" applyAlignment="1">
      <alignment horizontal="right"/>
    </xf>
    <xf numFmtId="169" fontId="169" fillId="36" borderId="7" xfId="2" applyNumberFormat="1" applyFont="1" applyFill="1" applyBorder="1"/>
    <xf numFmtId="0" fontId="170" fillId="0" borderId="10" xfId="2" applyFont="1" applyBorder="1" applyAlignment="1">
      <alignment horizontal="right"/>
    </xf>
    <xf numFmtId="169" fontId="170" fillId="27" borderId="0" xfId="2" applyNumberFormat="1" applyFont="1" applyFill="1"/>
    <xf numFmtId="169" fontId="169" fillId="0" borderId="0" xfId="2" applyNumberFormat="1" applyFont="1"/>
    <xf numFmtId="169" fontId="170" fillId="0" borderId="0" xfId="2" applyNumberFormat="1" applyFont="1"/>
    <xf numFmtId="169" fontId="169" fillId="36" borderId="0" xfId="2" applyNumberFormat="1" applyFont="1" applyFill="1"/>
    <xf numFmtId="9" fontId="169" fillId="0" borderId="0" xfId="6" applyFont="1" applyFill="1" applyBorder="1"/>
    <xf numFmtId="3" fontId="160" fillId="0" borderId="7" xfId="0" applyNumberFormat="1" applyFont="1" applyBorder="1"/>
    <xf numFmtId="3" fontId="177" fillId="0" borderId="0" xfId="0" applyNumberFormat="1" applyFont="1"/>
    <xf numFmtId="15" fontId="111" fillId="0" borderId="0" xfId="0" applyNumberFormat="1" applyFont="1" applyAlignment="1">
      <alignment horizontal="left"/>
    </xf>
    <xf numFmtId="43" fontId="160" fillId="0" borderId="0" xfId="0" applyNumberFormat="1" applyFont="1"/>
    <xf numFmtId="166" fontId="160" fillId="0" borderId="0" xfId="0" applyNumberFormat="1" applyFont="1"/>
    <xf numFmtId="167" fontId="160" fillId="0" borderId="0" xfId="0" applyNumberFormat="1" applyFont="1"/>
    <xf numFmtId="0" fontId="176" fillId="0" borderId="0" xfId="0" applyFont="1"/>
    <xf numFmtId="0" fontId="174" fillId="27" borderId="7" xfId="0" applyFont="1" applyFill="1" applyBorder="1" applyAlignment="1">
      <alignment horizontal="right"/>
    </xf>
    <xf numFmtId="166" fontId="160" fillId="0" borderId="7" xfId="0" applyNumberFormat="1" applyFont="1" applyBorder="1"/>
    <xf numFmtId="9" fontId="160" fillId="0" borderId="7" xfId="0" applyNumberFormat="1" applyFont="1" applyBorder="1"/>
    <xf numFmtId="0" fontId="174" fillId="0" borderId="61" xfId="0" applyFont="1" applyBorder="1"/>
    <xf numFmtId="0" fontId="178" fillId="0" borderId="7" xfId="9" applyFont="1" applyBorder="1"/>
    <xf numFmtId="0" fontId="178" fillId="0" borderId="7" xfId="9" applyFont="1" applyBorder="1" applyAlignment="1">
      <alignment horizontal="right"/>
    </xf>
    <xf numFmtId="166" fontId="173" fillId="0" borderId="0" xfId="4" applyNumberFormat="1" applyFont="1"/>
    <xf numFmtId="9" fontId="173" fillId="0" borderId="0" xfId="9" applyNumberFormat="1" applyFont="1"/>
    <xf numFmtId="166" fontId="173" fillId="0" borderId="0" xfId="9" applyNumberFormat="1" applyFont="1"/>
    <xf numFmtId="0" fontId="173" fillId="0" borderId="0" xfId="9" applyFont="1"/>
    <xf numFmtId="164" fontId="173" fillId="2" borderId="0" xfId="9" applyNumberFormat="1" applyFont="1" applyFill="1"/>
    <xf numFmtId="164" fontId="173" fillId="0" borderId="0" xfId="9" applyNumberFormat="1" applyFont="1"/>
    <xf numFmtId="164" fontId="173" fillId="0" borderId="0" xfId="3" applyNumberFormat="1" applyFont="1"/>
    <xf numFmtId="164" fontId="173" fillId="0" borderId="0" xfId="3" applyNumberFormat="1" applyFont="1" applyFill="1"/>
    <xf numFmtId="0" fontId="178" fillId="0" borderId="0" xfId="9" applyFont="1"/>
    <xf numFmtId="167" fontId="173" fillId="0" borderId="0" xfId="9" applyNumberFormat="1" applyFont="1"/>
    <xf numFmtId="167" fontId="160" fillId="0" borderId="7" xfId="0" applyNumberFormat="1" applyFont="1" applyBorder="1"/>
    <xf numFmtId="0" fontId="160" fillId="0" borderId="7" xfId="0" applyFont="1" applyBorder="1" applyAlignment="1">
      <alignment horizontal="right"/>
    </xf>
    <xf numFmtId="170" fontId="160" fillId="0" borderId="7" xfId="0" applyNumberFormat="1" applyFont="1" applyBorder="1"/>
    <xf numFmtId="0" fontId="173" fillId="0" borderId="0" xfId="8" applyFont="1"/>
    <xf numFmtId="0" fontId="173" fillId="0" borderId="0" xfId="2" applyFont="1"/>
    <xf numFmtId="171" fontId="173" fillId="2" borderId="1" xfId="9" applyNumberFormat="1" applyFont="1" applyFill="1" applyBorder="1"/>
    <xf numFmtId="3" fontId="173" fillId="0" borderId="0" xfId="9" applyNumberFormat="1" applyFont="1"/>
    <xf numFmtId="3" fontId="173" fillId="2" borderId="13" xfId="9" applyNumberFormat="1" applyFont="1" applyFill="1" applyBorder="1"/>
    <xf numFmtId="4" fontId="173" fillId="0" borderId="0" xfId="9" applyNumberFormat="1" applyFont="1"/>
    <xf numFmtId="171" fontId="173" fillId="3" borderId="1" xfId="9" applyNumberFormat="1" applyFont="1" applyFill="1" applyBorder="1"/>
    <xf numFmtId="0" fontId="173" fillId="0" borderId="7" xfId="9" applyFont="1" applyBorder="1" applyAlignment="1">
      <alignment horizontal="right"/>
    </xf>
    <xf numFmtId="3" fontId="178" fillId="0" borderId="0" xfId="9" applyNumberFormat="1" applyFont="1"/>
    <xf numFmtId="0" fontId="175" fillId="0" borderId="0" xfId="9" applyFont="1"/>
    <xf numFmtId="3" fontId="173" fillId="2" borderId="0" xfId="9" applyNumberFormat="1" applyFont="1" applyFill="1"/>
    <xf numFmtId="0" fontId="173" fillId="0" borderId="7" xfId="9" applyFont="1" applyBorder="1"/>
    <xf numFmtId="3" fontId="173" fillId="0" borderId="7" xfId="9" applyNumberFormat="1" applyFont="1" applyBorder="1"/>
    <xf numFmtId="43" fontId="173" fillId="0" borderId="0" xfId="9" applyNumberFormat="1" applyFont="1"/>
    <xf numFmtId="1" fontId="173" fillId="0" borderId="0" xfId="9" applyNumberFormat="1" applyFont="1"/>
    <xf numFmtId="3" fontId="173" fillId="3" borderId="0" xfId="9" applyNumberFormat="1" applyFont="1" applyFill="1"/>
    <xf numFmtId="171" fontId="173" fillId="0" borderId="0" xfId="9" applyNumberFormat="1" applyFont="1"/>
    <xf numFmtId="170" fontId="178" fillId="0" borderId="0" xfId="9" applyNumberFormat="1" applyFont="1"/>
    <xf numFmtId="171" fontId="178" fillId="0" borderId="0" xfId="9" applyNumberFormat="1" applyFont="1"/>
    <xf numFmtId="171" fontId="178" fillId="0" borderId="7" xfId="9" applyNumberFormat="1" applyFont="1" applyBorder="1"/>
    <xf numFmtId="171" fontId="173" fillId="0" borderId="7" xfId="9" applyNumberFormat="1" applyFont="1" applyBorder="1"/>
    <xf numFmtId="4" fontId="173" fillId="0" borderId="7" xfId="9" applyNumberFormat="1" applyFont="1" applyBorder="1"/>
    <xf numFmtId="9" fontId="173" fillId="3" borderId="0" xfId="9" applyNumberFormat="1" applyFont="1" applyFill="1"/>
    <xf numFmtId="164" fontId="173" fillId="3" borderId="0" xfId="9" applyNumberFormat="1" applyFont="1" applyFill="1"/>
    <xf numFmtId="164" fontId="173" fillId="3" borderId="0" xfId="3" applyNumberFormat="1" applyFont="1" applyFill="1"/>
    <xf numFmtId="0" fontId="173" fillId="3" borderId="0" xfId="9" applyFont="1" applyFill="1"/>
    <xf numFmtId="164" fontId="178" fillId="0" borderId="0" xfId="9" applyNumberFormat="1" applyFont="1"/>
    <xf numFmtId="166" fontId="178" fillId="0" borderId="0" xfId="9" applyNumberFormat="1" applyFont="1"/>
    <xf numFmtId="9" fontId="178" fillId="0" borderId="0" xfId="9" applyNumberFormat="1" applyFont="1"/>
    <xf numFmtId="9" fontId="160" fillId="0" borderId="0" xfId="0" applyNumberFormat="1" applyFont="1" applyAlignment="1">
      <alignment horizontal="right"/>
    </xf>
    <xf numFmtId="167" fontId="160" fillId="0" borderId="0" xfId="0" applyNumberFormat="1" applyFont="1" applyAlignment="1">
      <alignment horizontal="right"/>
    </xf>
    <xf numFmtId="166" fontId="160" fillId="0" borderId="0" xfId="0" applyNumberFormat="1" applyFont="1" applyAlignment="1">
      <alignment horizontal="right"/>
    </xf>
    <xf numFmtId="0" fontId="160" fillId="0" borderId="0" xfId="0" applyFont="1" applyAlignment="1">
      <alignment horizontal="right"/>
    </xf>
    <xf numFmtId="9" fontId="160" fillId="27" borderId="0" xfId="0" applyNumberFormat="1" applyFont="1" applyFill="1" applyAlignment="1">
      <alignment horizontal="right"/>
    </xf>
    <xf numFmtId="167" fontId="160" fillId="27" borderId="0" xfId="0" applyNumberFormat="1" applyFont="1" applyFill="1" applyAlignment="1">
      <alignment horizontal="right"/>
    </xf>
    <xf numFmtId="166" fontId="160" fillId="27" borderId="0" xfId="0" applyNumberFormat="1" applyFont="1" applyFill="1" applyAlignment="1">
      <alignment horizontal="right"/>
    </xf>
    <xf numFmtId="9" fontId="160" fillId="27" borderId="7" xfId="0" applyNumberFormat="1" applyFont="1" applyFill="1" applyBorder="1" applyAlignment="1">
      <alignment horizontal="right"/>
    </xf>
    <xf numFmtId="0" fontId="160" fillId="27" borderId="7" xfId="0" applyFont="1" applyFill="1" applyBorder="1" applyAlignment="1">
      <alignment horizontal="right"/>
    </xf>
    <xf numFmtId="166" fontId="160" fillId="27" borderId="7" xfId="0" applyNumberFormat="1" applyFont="1" applyFill="1" applyBorder="1" applyAlignment="1">
      <alignment horizontal="right"/>
    </xf>
    <xf numFmtId="0" fontId="160" fillId="27" borderId="0" xfId="0" applyFont="1" applyFill="1" applyAlignment="1">
      <alignment horizontal="right"/>
    </xf>
    <xf numFmtId="9" fontId="160" fillId="0" borderId="7" xfId="0" applyNumberFormat="1" applyFont="1" applyBorder="1" applyAlignment="1">
      <alignment horizontal="right"/>
    </xf>
    <xf numFmtId="166" fontId="174" fillId="27" borderId="0" xfId="0" applyNumberFormat="1" applyFont="1" applyFill="1" applyAlignment="1">
      <alignment horizontal="right"/>
    </xf>
    <xf numFmtId="167" fontId="174" fillId="27" borderId="0" xfId="0" applyNumberFormat="1" applyFont="1" applyFill="1" applyAlignment="1">
      <alignment horizontal="right"/>
    </xf>
    <xf numFmtId="43" fontId="160" fillId="27" borderId="0" xfId="0" applyNumberFormat="1" applyFont="1" applyFill="1" applyAlignment="1">
      <alignment horizontal="right"/>
    </xf>
    <xf numFmtId="0" fontId="174" fillId="0" borderId="0" xfId="0" applyFont="1" applyAlignment="1">
      <alignment horizontal="right"/>
    </xf>
    <xf numFmtId="0" fontId="174" fillId="0" borderId="62" xfId="0" applyFont="1" applyBorder="1" applyAlignment="1">
      <alignment horizontal="right"/>
    </xf>
    <xf numFmtId="0" fontId="174" fillId="27" borderId="7" xfId="0" applyFont="1" applyFill="1" applyBorder="1"/>
    <xf numFmtId="0" fontId="176" fillId="27" borderId="0" xfId="0" applyFont="1" applyFill="1"/>
    <xf numFmtId="0" fontId="174" fillId="27" borderId="61" xfId="0" applyFont="1" applyFill="1" applyBorder="1"/>
    <xf numFmtId="0" fontId="174" fillId="27" borderId="62" xfId="0" applyFont="1" applyFill="1" applyBorder="1" applyAlignment="1">
      <alignment horizontal="right"/>
    </xf>
    <xf numFmtId="167" fontId="174" fillId="27" borderId="62" xfId="0" applyNumberFormat="1" applyFont="1" applyFill="1" applyBorder="1" applyAlignment="1">
      <alignment horizontal="right"/>
    </xf>
    <xf numFmtId="3" fontId="160" fillId="3" borderId="0" xfId="0" applyNumberFormat="1" applyFont="1" applyFill="1"/>
    <xf numFmtId="3" fontId="179" fillId="0" borderId="0" xfId="0" applyNumberFormat="1" applyFont="1"/>
    <xf numFmtId="3" fontId="176" fillId="3" borderId="0" xfId="0" applyNumberFormat="1" applyFont="1" applyFill="1"/>
    <xf numFmtId="3" fontId="180" fillId="0" borderId="0" xfId="0" applyNumberFormat="1" applyFont="1"/>
    <xf numFmtId="164" fontId="177" fillId="0" borderId="0" xfId="0" applyNumberFormat="1" applyFont="1"/>
    <xf numFmtId="171" fontId="160" fillId="0" borderId="0" xfId="0" applyNumberFormat="1" applyFont="1"/>
    <xf numFmtId="171" fontId="177" fillId="0" borderId="0" xfId="0" applyNumberFormat="1" applyFont="1"/>
    <xf numFmtId="258" fontId="160" fillId="0" borderId="0" xfId="0" applyNumberFormat="1" applyFont="1"/>
    <xf numFmtId="9" fontId="177" fillId="0" borderId="0" xfId="0" applyNumberFormat="1" applyFont="1"/>
    <xf numFmtId="171" fontId="160" fillId="3" borderId="0" xfId="0" applyNumberFormat="1" applyFont="1" applyFill="1"/>
    <xf numFmtId="3" fontId="160" fillId="3" borderId="7" xfId="0" applyNumberFormat="1" applyFont="1" applyFill="1" applyBorder="1"/>
    <xf numFmtId="9" fontId="173" fillId="0" borderId="0" xfId="0" applyNumberFormat="1" applyFont="1"/>
    <xf numFmtId="3" fontId="176" fillId="0" borderId="0" xfId="0" applyNumberFormat="1" applyFont="1"/>
    <xf numFmtId="164" fontId="176" fillId="0" borderId="0" xfId="0" applyNumberFormat="1" applyFont="1"/>
    <xf numFmtId="0" fontId="160" fillId="0" borderId="0" xfId="0" quotePrefix="1" applyFont="1"/>
    <xf numFmtId="9" fontId="160" fillId="3" borderId="0" xfId="0" applyNumberFormat="1" applyFont="1" applyFill="1"/>
    <xf numFmtId="3" fontId="173" fillId="0" borderId="0" xfId="0" applyNumberFormat="1" applyFont="1"/>
    <xf numFmtId="1" fontId="160" fillId="0" borderId="7" xfId="0" applyNumberFormat="1" applyFont="1" applyBorder="1"/>
    <xf numFmtId="9" fontId="174" fillId="0" borderId="0" xfId="0" applyNumberFormat="1" applyFont="1"/>
    <xf numFmtId="0" fontId="174" fillId="0" borderId="4" xfId="0" applyFont="1" applyBorder="1"/>
    <xf numFmtId="0" fontId="173" fillId="25" borderId="0" xfId="0" applyFont="1" applyFill="1"/>
    <xf numFmtId="0" fontId="160" fillId="0" borderId="7" xfId="0" quotePrefix="1" applyFont="1" applyBorder="1"/>
    <xf numFmtId="0" fontId="174" fillId="0" borderId="0" xfId="0" quotePrefix="1" applyFont="1"/>
    <xf numFmtId="164" fontId="160" fillId="3" borderId="0" xfId="0" applyNumberFormat="1" applyFont="1" applyFill="1"/>
    <xf numFmtId="1" fontId="160" fillId="3" borderId="0" xfId="0" applyNumberFormat="1" applyFont="1" applyFill="1"/>
    <xf numFmtId="3" fontId="174" fillId="3" borderId="0" xfId="0" applyNumberFormat="1" applyFont="1" applyFill="1"/>
    <xf numFmtId="0" fontId="160" fillId="3" borderId="0" xfId="0" applyFont="1" applyFill="1"/>
    <xf numFmtId="1" fontId="174" fillId="0" borderId="0" xfId="0" applyNumberFormat="1" applyFont="1"/>
    <xf numFmtId="257" fontId="160" fillId="0" borderId="0" xfId="0" applyNumberFormat="1" applyFont="1"/>
    <xf numFmtId="0" fontId="174" fillId="0" borderId="6" xfId="0" applyFont="1" applyBorder="1"/>
    <xf numFmtId="170" fontId="174" fillId="0" borderId="5" xfId="0" applyNumberFormat="1" applyFont="1" applyBorder="1"/>
    <xf numFmtId="0" fontId="178" fillId="0" borderId="7" xfId="0" applyFont="1" applyBorder="1"/>
    <xf numFmtId="0" fontId="173" fillId="0" borderId="7" xfId="0" applyFont="1" applyBorder="1"/>
    <xf numFmtId="0" fontId="173" fillId="0" borderId="0" xfId="0" quotePrefix="1" applyFont="1"/>
    <xf numFmtId="0" fontId="173" fillId="0" borderId="0" xfId="0" applyFont="1"/>
    <xf numFmtId="0" fontId="173" fillId="25" borderId="0" xfId="0" quotePrefix="1" applyFont="1" applyFill="1"/>
    <xf numFmtId="3" fontId="173" fillId="25" borderId="0" xfId="0" applyNumberFormat="1" applyFont="1" applyFill="1"/>
    <xf numFmtId="0" fontId="173" fillId="0" borderId="7" xfId="0" quotePrefix="1" applyFont="1" applyBorder="1"/>
    <xf numFmtId="3" fontId="173" fillId="0" borderId="7" xfId="0" applyNumberFormat="1" applyFont="1" applyBorder="1"/>
    <xf numFmtId="164" fontId="173" fillId="0" borderId="0" xfId="0" applyNumberFormat="1" applyFont="1"/>
    <xf numFmtId="164" fontId="173" fillId="25" borderId="0" xfId="0" applyNumberFormat="1" applyFont="1" applyFill="1"/>
    <xf numFmtId="3" fontId="177" fillId="0" borderId="7" xfId="0" applyNumberFormat="1" applyFont="1" applyBorder="1"/>
    <xf numFmtId="258" fontId="177" fillId="0" borderId="0" xfId="0" applyNumberFormat="1" applyFont="1"/>
    <xf numFmtId="258" fontId="160" fillId="3" borderId="0" xfId="0" applyNumberFormat="1" applyFont="1" applyFill="1"/>
    <xf numFmtId="258" fontId="160" fillId="0" borderId="7" xfId="0" applyNumberFormat="1" applyFont="1" applyBorder="1"/>
    <xf numFmtId="258" fontId="160" fillId="3" borderId="7" xfId="0" applyNumberFormat="1" applyFont="1" applyFill="1" applyBorder="1"/>
    <xf numFmtId="258" fontId="177" fillId="0" borderId="7" xfId="0" applyNumberFormat="1" applyFont="1" applyBorder="1"/>
    <xf numFmtId="1" fontId="160" fillId="28" borderId="0" xfId="0" applyNumberFormat="1" applyFont="1" applyFill="1"/>
    <xf numFmtId="164" fontId="160" fillId="0" borderId="7" xfId="0" applyNumberFormat="1" applyFont="1" applyBorder="1"/>
    <xf numFmtId="164" fontId="174" fillId="0" borderId="0" xfId="0" applyNumberFormat="1" applyFont="1"/>
    <xf numFmtId="0" fontId="160" fillId="3" borderId="7" xfId="0" applyFont="1" applyFill="1" applyBorder="1"/>
    <xf numFmtId="1" fontId="160" fillId="3" borderId="7" xfId="0" applyNumberFormat="1" applyFont="1" applyFill="1" applyBorder="1"/>
    <xf numFmtId="164" fontId="177" fillId="41" borderId="0" xfId="0" applyNumberFormat="1" applyFont="1" applyFill="1"/>
    <xf numFmtId="2" fontId="160" fillId="3" borderId="0" xfId="0" applyNumberFormat="1" applyFont="1" applyFill="1"/>
    <xf numFmtId="2" fontId="160" fillId="0" borderId="0" xfId="0" applyNumberFormat="1" applyFont="1"/>
    <xf numFmtId="164" fontId="174" fillId="3" borderId="0" xfId="0" applyNumberFormat="1" applyFont="1" applyFill="1"/>
    <xf numFmtId="1" fontId="173" fillId="3" borderId="0" xfId="2" applyNumberFormat="1" applyFont="1" applyFill="1"/>
    <xf numFmtId="1" fontId="173" fillId="0" borderId="7" xfId="2" applyNumberFormat="1" applyFont="1" applyBorder="1"/>
    <xf numFmtId="164" fontId="160" fillId="3" borderId="7" xfId="0" applyNumberFormat="1" applyFont="1" applyFill="1" applyBorder="1"/>
    <xf numFmtId="3" fontId="173" fillId="3" borderId="0" xfId="0" applyNumberFormat="1" applyFont="1" applyFill="1"/>
    <xf numFmtId="0" fontId="177" fillId="0" borderId="0" xfId="0" applyFont="1"/>
    <xf numFmtId="3" fontId="174" fillId="0" borderId="4" xfId="0" applyNumberFormat="1" applyFont="1" applyBorder="1"/>
    <xf numFmtId="166" fontId="160" fillId="0" borderId="0" xfId="5" applyNumberFormat="1" applyFont="1" applyFill="1"/>
    <xf numFmtId="168" fontId="174" fillId="0" borderId="0" xfId="0" applyNumberFormat="1" applyFont="1"/>
    <xf numFmtId="256" fontId="160" fillId="0" borderId="0" xfId="0" applyNumberFormat="1" applyFont="1"/>
    <xf numFmtId="168" fontId="160" fillId="0" borderId="0" xfId="0" applyNumberFormat="1" applyFont="1"/>
    <xf numFmtId="256" fontId="174" fillId="0" borderId="0" xfId="0" applyNumberFormat="1" applyFont="1"/>
    <xf numFmtId="0" fontId="160" fillId="0" borderId="4" xfId="0" applyFont="1" applyBorder="1"/>
    <xf numFmtId="3" fontId="160" fillId="0" borderId="4" xfId="0" applyNumberFormat="1" applyFont="1" applyBorder="1"/>
    <xf numFmtId="0" fontId="160" fillId="0" borderId="6" xfId="0" applyFont="1" applyBorder="1"/>
    <xf numFmtId="3" fontId="160" fillId="0" borderId="5" xfId="0" applyNumberFormat="1" applyFont="1" applyBorder="1"/>
    <xf numFmtId="3" fontId="174" fillId="0" borderId="5" xfId="0" applyNumberFormat="1" applyFont="1" applyBorder="1"/>
    <xf numFmtId="258" fontId="169" fillId="27" borderId="7" xfId="2" applyNumberFormat="1" applyFont="1" applyFill="1" applyBorder="1"/>
    <xf numFmtId="0" fontId="170" fillId="0" borderId="10" xfId="2" applyFont="1" applyBorder="1"/>
    <xf numFmtId="165" fontId="170" fillId="27" borderId="0" xfId="2" applyNumberFormat="1" applyFont="1" applyFill="1"/>
    <xf numFmtId="165" fontId="169" fillId="0" borderId="0" xfId="2" applyNumberFormat="1" applyFont="1" applyAlignment="1">
      <alignment horizontal="left" indent="1"/>
    </xf>
    <xf numFmtId="165" fontId="169" fillId="27" borderId="0" xfId="2" applyNumberFormat="1" applyFont="1" applyFill="1" applyAlignment="1">
      <alignment horizontal="left" indent="1"/>
    </xf>
    <xf numFmtId="165" fontId="170" fillId="0" borderId="0" xfId="2" applyNumberFormat="1" applyFont="1" applyAlignment="1">
      <alignment horizontal="left"/>
    </xf>
    <xf numFmtId="165" fontId="170" fillId="27" borderId="0" xfId="2" applyNumberFormat="1" applyFont="1" applyFill="1" applyAlignment="1">
      <alignment horizontal="left"/>
    </xf>
    <xf numFmtId="165" fontId="169" fillId="36" borderId="0" xfId="2" applyNumberFormat="1" applyFont="1" applyFill="1" applyAlignment="1">
      <alignment horizontal="left" indent="1"/>
    </xf>
    <xf numFmtId="0" fontId="169" fillId="27" borderId="0" xfId="2" applyFont="1" applyFill="1"/>
    <xf numFmtId="0" fontId="169" fillId="36" borderId="0" xfId="2" applyFont="1" applyFill="1"/>
    <xf numFmtId="0" fontId="169" fillId="27" borderId="7" xfId="2" applyFont="1" applyFill="1" applyBorder="1"/>
    <xf numFmtId="0" fontId="170" fillId="0" borderId="7" xfId="2" applyFont="1" applyBorder="1"/>
    <xf numFmtId="0" fontId="170" fillId="0" borderId="7" xfId="2" applyFont="1" applyBorder="1" applyAlignment="1">
      <alignment horizontal="right"/>
    </xf>
    <xf numFmtId="3" fontId="166" fillId="0" borderId="0" xfId="0" applyNumberFormat="1" applyFont="1"/>
    <xf numFmtId="3" fontId="160" fillId="0" borderId="0" xfId="0" applyNumberFormat="1" applyFont="1" applyAlignment="1">
      <alignment horizontal="right"/>
    </xf>
    <xf numFmtId="3" fontId="160" fillId="0" borderId="7" xfId="0" applyNumberFormat="1" applyFont="1" applyBorder="1" applyAlignment="1">
      <alignment horizontal="right"/>
    </xf>
    <xf numFmtId="3" fontId="174" fillId="0" borderId="0" xfId="0" applyNumberFormat="1" applyFont="1" applyAlignment="1">
      <alignment horizontal="right"/>
    </xf>
    <xf numFmtId="171" fontId="174" fillId="0" borderId="0" xfId="0" applyNumberFormat="1" applyFont="1" applyAlignment="1">
      <alignment horizontal="right"/>
    </xf>
    <xf numFmtId="171" fontId="174" fillId="0" borderId="63" xfId="0" applyNumberFormat="1" applyFont="1" applyBorder="1" applyAlignment="1">
      <alignment horizontal="right"/>
    </xf>
    <xf numFmtId="3" fontId="160" fillId="27" borderId="0" xfId="0" applyNumberFormat="1" applyFont="1" applyFill="1" applyAlignment="1">
      <alignment horizontal="right"/>
    </xf>
    <xf numFmtId="167" fontId="160" fillId="27" borderId="7" xfId="0" applyNumberFormat="1" applyFont="1" applyFill="1" applyBorder="1" applyAlignment="1">
      <alignment horizontal="right"/>
    </xf>
    <xf numFmtId="3" fontId="160" fillId="27" borderId="7" xfId="0" applyNumberFormat="1" applyFont="1" applyFill="1" applyBorder="1" applyAlignment="1">
      <alignment horizontal="right"/>
    </xf>
    <xf numFmtId="3" fontId="174" fillId="27" borderId="0" xfId="0" applyNumberFormat="1" applyFont="1" applyFill="1" applyAlignment="1">
      <alignment horizontal="right"/>
    </xf>
    <xf numFmtId="171" fontId="160" fillId="27" borderId="0" xfId="0" applyNumberFormat="1" applyFont="1" applyFill="1" applyAlignment="1">
      <alignment horizontal="right"/>
    </xf>
    <xf numFmtId="2" fontId="160" fillId="0" borderId="0" xfId="0" applyNumberFormat="1" applyFont="1" applyAlignment="1">
      <alignment horizontal="right"/>
    </xf>
    <xf numFmtId="170" fontId="173" fillId="0" borderId="0" xfId="0" applyNumberFormat="1" applyFont="1"/>
    <xf numFmtId="9" fontId="183" fillId="0" borderId="0" xfId="0" applyNumberFormat="1" applyFont="1"/>
    <xf numFmtId="0" fontId="184" fillId="0" borderId="0" xfId="0" applyFont="1"/>
    <xf numFmtId="0" fontId="185" fillId="0" borderId="7" xfId="0" applyFont="1" applyBorder="1" applyAlignment="1">
      <alignment horizontal="right"/>
    </xf>
    <xf numFmtId="0" fontId="183" fillId="0" borderId="0" xfId="0" applyFont="1"/>
    <xf numFmtId="164" fontId="183" fillId="0" borderId="0" xfId="0" applyNumberFormat="1" applyFont="1"/>
    <xf numFmtId="3" fontId="0" fillId="27" borderId="0" xfId="0" applyNumberFormat="1" applyFill="1"/>
    <xf numFmtId="9" fontId="0" fillId="27" borderId="0" xfId="0" applyNumberFormat="1" applyFill="1"/>
    <xf numFmtId="1" fontId="0" fillId="27" borderId="0" xfId="0" applyNumberFormat="1" applyFill="1"/>
    <xf numFmtId="9" fontId="0" fillId="27" borderId="0" xfId="0" applyNumberFormat="1" applyFill="1" applyAlignment="1">
      <alignment horizontal="right"/>
    </xf>
    <xf numFmtId="164" fontId="0" fillId="27" borderId="0" xfId="0" applyNumberFormat="1" applyFill="1"/>
    <xf numFmtId="170" fontId="0" fillId="27" borderId="0" xfId="0" applyNumberFormat="1" applyFill="1"/>
    <xf numFmtId="0" fontId="2" fillId="27" borderId="61" xfId="0" applyFont="1" applyFill="1" applyBorder="1"/>
    <xf numFmtId="0" fontId="2" fillId="27" borderId="62" xfId="0" applyFont="1" applyFill="1" applyBorder="1"/>
    <xf numFmtId="170" fontId="2" fillId="27" borderId="63" xfId="0" applyNumberFormat="1" applyFont="1" applyFill="1" applyBorder="1"/>
    <xf numFmtId="164" fontId="174" fillId="27" borderId="63" xfId="0" applyNumberFormat="1" applyFont="1" applyFill="1" applyBorder="1" applyAlignment="1">
      <alignment horizontal="right"/>
    </xf>
    <xf numFmtId="43" fontId="160" fillId="0" borderId="0" xfId="0" applyNumberFormat="1" applyFont="1" applyAlignment="1">
      <alignment horizontal="right"/>
    </xf>
    <xf numFmtId="164" fontId="160" fillId="0" borderId="0" xfId="0" applyNumberFormat="1" applyFont="1" applyAlignment="1">
      <alignment horizontal="right"/>
    </xf>
    <xf numFmtId="266" fontId="160" fillId="27" borderId="0" xfId="0" applyNumberFormat="1" applyFont="1" applyFill="1" applyAlignment="1">
      <alignment horizontal="right"/>
    </xf>
    <xf numFmtId="0" fontId="160" fillId="25" borderId="0" xfId="0" applyFont="1" applyFill="1"/>
    <xf numFmtId="0" fontId="160" fillId="0" borderId="50" xfId="0" applyFont="1" applyBorder="1"/>
    <xf numFmtId="0" fontId="160" fillId="0" borderId="32" xfId="0" applyFont="1" applyBorder="1"/>
    <xf numFmtId="0" fontId="160" fillId="0" borderId="51" xfId="0" applyFont="1" applyBorder="1"/>
    <xf numFmtId="0" fontId="160" fillId="25" borderId="7" xfId="0" applyFont="1" applyFill="1" applyBorder="1"/>
    <xf numFmtId="0" fontId="186" fillId="36" borderId="0" xfId="0" applyFont="1" applyFill="1"/>
    <xf numFmtId="0" fontId="188" fillId="36" borderId="0" xfId="0" applyFont="1" applyFill="1"/>
    <xf numFmtId="0" fontId="190" fillId="36" borderId="0" xfId="0" applyFont="1" applyFill="1" applyAlignment="1">
      <alignment horizontal="center" vertical="center"/>
    </xf>
    <xf numFmtId="0" fontId="191" fillId="36" borderId="0" xfId="0" applyFont="1" applyFill="1" applyAlignment="1">
      <alignment horizontal="center" vertical="center"/>
    </xf>
    <xf numFmtId="0" fontId="189" fillId="36" borderId="0" xfId="0" applyFont="1" applyFill="1" applyAlignment="1">
      <alignment horizontal="center" vertical="center"/>
    </xf>
    <xf numFmtId="0" fontId="187" fillId="36" borderId="0" xfId="0" applyFont="1" applyFill="1" applyAlignment="1">
      <alignment horizontal="center" vertical="center"/>
    </xf>
    <xf numFmtId="0" fontId="7" fillId="36" borderId="0" xfId="0" applyFont="1" applyFill="1"/>
    <xf numFmtId="264" fontId="186" fillId="36" borderId="0" xfId="0" applyNumberFormat="1" applyFont="1" applyFill="1"/>
    <xf numFmtId="264" fontId="188" fillId="36" borderId="0" xfId="0" applyNumberFormat="1" applyFont="1" applyFill="1"/>
    <xf numFmtId="265" fontId="186" fillId="42" borderId="0" xfId="0" applyNumberFormat="1" applyFont="1" applyFill="1"/>
    <xf numFmtId="265" fontId="188" fillId="42" borderId="0" xfId="0" applyNumberFormat="1" applyFont="1" applyFill="1"/>
    <xf numFmtId="264" fontId="192" fillId="36" borderId="0" xfId="0" applyNumberFormat="1" applyFont="1" applyFill="1"/>
    <xf numFmtId="264" fontId="193" fillId="36" borderId="0" xfId="0" applyNumberFormat="1" applyFont="1" applyFill="1"/>
    <xf numFmtId="265" fontId="186" fillId="36" borderId="0" xfId="0" applyNumberFormat="1" applyFont="1" applyFill="1"/>
    <xf numFmtId="265" fontId="188" fillId="36" borderId="0" xfId="0" applyNumberFormat="1" applyFont="1" applyFill="1"/>
    <xf numFmtId="0" fontId="59" fillId="36" borderId="0" xfId="0" applyFont="1" applyFill="1"/>
    <xf numFmtId="171" fontId="188" fillId="36" borderId="0" xfId="0" applyNumberFormat="1" applyFont="1" applyFill="1"/>
    <xf numFmtId="171" fontId="186" fillId="36" borderId="0" xfId="0" applyNumberFormat="1" applyFont="1" applyFill="1"/>
    <xf numFmtId="0" fontId="188" fillId="42" borderId="0" xfId="0" applyFont="1" applyFill="1"/>
    <xf numFmtId="264" fontId="188" fillId="42" borderId="0" xfId="0" applyNumberFormat="1" applyFont="1" applyFill="1"/>
    <xf numFmtId="0" fontId="192" fillId="36" borderId="0" xfId="0" applyFont="1" applyFill="1"/>
    <xf numFmtId="164" fontId="194" fillId="36" borderId="0" xfId="0" applyNumberFormat="1" applyFont="1" applyFill="1"/>
    <xf numFmtId="164" fontId="195" fillId="36" borderId="0" xfId="0" applyNumberFormat="1" applyFont="1" applyFill="1"/>
    <xf numFmtId="264" fontId="186" fillId="42" borderId="0" xfId="0" applyNumberFormat="1" applyFont="1" applyFill="1"/>
    <xf numFmtId="264" fontId="186" fillId="41" borderId="0" xfId="0" applyNumberFormat="1" applyFont="1" applyFill="1"/>
    <xf numFmtId="0" fontId="186" fillId="43" borderId="0" xfId="0" applyFont="1" applyFill="1"/>
    <xf numFmtId="0" fontId="188" fillId="43" borderId="0" xfId="0" applyFont="1" applyFill="1"/>
    <xf numFmtId="3" fontId="186" fillId="42" borderId="0" xfId="0" applyNumberFormat="1" applyFont="1" applyFill="1"/>
    <xf numFmtId="171" fontId="188" fillId="42" borderId="0" xfId="0" applyNumberFormat="1" applyFont="1" applyFill="1"/>
    <xf numFmtId="0" fontId="197" fillId="36" borderId="0" xfId="0" applyFont="1" applyFill="1"/>
    <xf numFmtId="3" fontId="198" fillId="36" borderId="0" xfId="0" applyNumberFormat="1" applyFont="1" applyFill="1"/>
    <xf numFmtId="3" fontId="199" fillId="36" borderId="0" xfId="0" applyNumberFormat="1" applyFont="1" applyFill="1"/>
    <xf numFmtId="3" fontId="188" fillId="36" borderId="0" xfId="0" applyNumberFormat="1" applyFont="1" applyFill="1"/>
    <xf numFmtId="3" fontId="186" fillId="36" borderId="0" xfId="0" applyNumberFormat="1" applyFont="1" applyFill="1"/>
    <xf numFmtId="0" fontId="191" fillId="36" borderId="0" xfId="0" applyFont="1" applyFill="1" applyAlignment="1">
      <alignment horizontal="center" vertical="center" wrapText="1"/>
    </xf>
    <xf numFmtId="170" fontId="188" fillId="42" borderId="0" xfId="0" applyNumberFormat="1" applyFont="1" applyFill="1"/>
    <xf numFmtId="1" fontId="188" fillId="42" borderId="0" xfId="0" applyNumberFormat="1" applyFont="1" applyFill="1"/>
    <xf numFmtId="1" fontId="186" fillId="42" borderId="0" xfId="0" applyNumberFormat="1" applyFont="1" applyFill="1"/>
    <xf numFmtId="0" fontId="187" fillId="36" borderId="0" xfId="0" applyFont="1" applyFill="1" applyAlignment="1">
      <alignment horizontal="left"/>
    </xf>
    <xf numFmtId="0" fontId="189" fillId="36" borderId="0" xfId="0" applyFont="1" applyFill="1" applyAlignment="1">
      <alignment horizontal="left"/>
    </xf>
    <xf numFmtId="0" fontId="7" fillId="36" borderId="0" xfId="0" applyFont="1" applyFill="1" applyAlignment="1">
      <alignment horizontal="left"/>
    </xf>
    <xf numFmtId="0" fontId="59" fillId="36" borderId="0" xfId="0" applyFont="1" applyFill="1" applyAlignment="1">
      <alignment horizontal="left"/>
    </xf>
    <xf numFmtId="0" fontId="187" fillId="43" borderId="0" xfId="0" applyFont="1" applyFill="1" applyAlignment="1">
      <alignment horizontal="left"/>
    </xf>
    <xf numFmtId="165" fontId="196" fillId="36" borderId="0" xfId="0" applyNumberFormat="1" applyFont="1" applyFill="1" applyAlignment="1">
      <alignment horizontal="left" vertical="top"/>
    </xf>
    <xf numFmtId="0" fontId="186" fillId="36" borderId="0" xfId="0" applyFont="1" applyFill="1" applyAlignment="1">
      <alignment horizontal="left"/>
    </xf>
    <xf numFmtId="0" fontId="197" fillId="36" borderId="0" xfId="0" applyFont="1" applyFill="1" applyAlignment="1">
      <alignment horizontal="left"/>
    </xf>
    <xf numFmtId="0" fontId="187" fillId="36" borderId="0" xfId="0" applyFont="1" applyFill="1" applyAlignment="1">
      <alignment horizontal="left" vertical="center"/>
    </xf>
    <xf numFmtId="0" fontId="178" fillId="0" borderId="0" xfId="8" applyFont="1" applyAlignment="1">
      <alignment horizontal="right"/>
    </xf>
    <xf numFmtId="0" fontId="174" fillId="0" borderId="10" xfId="0" applyFont="1" applyBorder="1"/>
    <xf numFmtId="3" fontId="174" fillId="0" borderId="10" xfId="0" applyNumberFormat="1" applyFont="1" applyBorder="1"/>
    <xf numFmtId="3" fontId="174" fillId="3" borderId="10" xfId="0" applyNumberFormat="1" applyFont="1" applyFill="1" applyBorder="1"/>
    <xf numFmtId="3" fontId="160" fillId="3" borderId="4" xfId="0" applyNumberFormat="1" applyFont="1" applyFill="1" applyBorder="1"/>
    <xf numFmtId="170" fontId="160" fillId="3" borderId="0" xfId="0" applyNumberFormat="1" applyFont="1" applyFill="1"/>
    <xf numFmtId="9" fontId="160" fillId="3" borderId="7" xfId="0" applyNumberFormat="1" applyFont="1" applyFill="1" applyBorder="1"/>
    <xf numFmtId="3" fontId="160" fillId="0" borderId="1" xfId="0" applyNumberFormat="1" applyFont="1" applyBorder="1"/>
    <xf numFmtId="3" fontId="160" fillId="25" borderId="0" xfId="0" applyNumberFormat="1" applyFont="1" applyFill="1"/>
    <xf numFmtId="0" fontId="160" fillId="25" borderId="52" xfId="0" applyFont="1" applyFill="1" applyBorder="1"/>
    <xf numFmtId="0" fontId="160" fillId="25" borderId="53" xfId="0" applyFont="1" applyFill="1" applyBorder="1"/>
    <xf numFmtId="0" fontId="160" fillId="0" borderId="54" xfId="0" applyFont="1" applyBorder="1"/>
    <xf numFmtId="164" fontId="160" fillId="0" borderId="34" xfId="0" applyNumberFormat="1" applyFont="1" applyBorder="1"/>
    <xf numFmtId="164" fontId="160" fillId="25" borderId="7" xfId="0" applyNumberFormat="1" applyFont="1" applyFill="1" applyBorder="1"/>
    <xf numFmtId="164" fontId="160" fillId="25" borderId="53" xfId="0" applyNumberFormat="1" applyFont="1" applyFill="1" applyBorder="1"/>
    <xf numFmtId="0" fontId="160" fillId="0" borderId="55" xfId="0" applyFont="1" applyBorder="1"/>
    <xf numFmtId="164" fontId="160" fillId="0" borderId="15" xfId="0" applyNumberFormat="1" applyFont="1" applyBorder="1"/>
    <xf numFmtId="164" fontId="160" fillId="0" borderId="56" xfId="0" applyNumberFormat="1" applyFont="1" applyBorder="1"/>
    <xf numFmtId="3" fontId="160" fillId="25" borderId="7" xfId="0" applyNumberFormat="1" applyFont="1" applyFill="1" applyBorder="1"/>
    <xf numFmtId="9" fontId="173" fillId="0" borderId="0" xfId="4" applyNumberFormat="1" applyFont="1"/>
    <xf numFmtId="164" fontId="173" fillId="2" borderId="7" xfId="9" applyNumberFormat="1" applyFont="1" applyFill="1" applyBorder="1"/>
    <xf numFmtId="166" fontId="173" fillId="0" borderId="7" xfId="4" applyNumberFormat="1" applyFont="1" applyBorder="1"/>
    <xf numFmtId="9" fontId="173" fillId="0" borderId="7" xfId="4" applyNumberFormat="1" applyFont="1" applyBorder="1"/>
    <xf numFmtId="166" fontId="173" fillId="0" borderId="7" xfId="9" applyNumberFormat="1" applyFont="1" applyBorder="1"/>
    <xf numFmtId="9" fontId="174" fillId="0" borderId="7" xfId="0" applyNumberFormat="1" applyFont="1" applyBorder="1"/>
    <xf numFmtId="164" fontId="160" fillId="0" borderId="26" xfId="0" applyNumberFormat="1" applyFont="1" applyBorder="1"/>
    <xf numFmtId="0" fontId="172" fillId="0" borderId="0" xfId="0" quotePrefix="1" applyFont="1"/>
    <xf numFmtId="0" fontId="174" fillId="0" borderId="9" xfId="0" applyFont="1" applyBorder="1"/>
    <xf numFmtId="3" fontId="174" fillId="0" borderId="11" xfId="0" applyNumberFormat="1" applyFont="1" applyBorder="1"/>
    <xf numFmtId="0" fontId="174" fillId="0" borderId="12" xfId="0" applyFont="1" applyBorder="1"/>
    <xf numFmtId="164" fontId="174" fillId="0" borderId="7" xfId="0" applyNumberFormat="1" applyFont="1" applyBorder="1"/>
    <xf numFmtId="164" fontId="174" fillId="0" borderId="8" xfId="0" applyNumberFormat="1" applyFont="1" applyBorder="1"/>
    <xf numFmtId="9" fontId="174" fillId="0" borderId="26" xfId="0" applyNumberFormat="1" applyFont="1" applyBorder="1"/>
    <xf numFmtId="9" fontId="174" fillId="0" borderId="7" xfId="0" applyNumberFormat="1" applyFont="1" applyBorder="1" applyAlignment="1">
      <alignment horizontal="right"/>
    </xf>
    <xf numFmtId="0" fontId="178" fillId="0" borderId="4" xfId="7" applyFont="1" applyBorder="1"/>
    <xf numFmtId="0" fontId="178" fillId="0" borderId="0" xfId="7" applyFont="1"/>
    <xf numFmtId="166" fontId="178" fillId="0" borderId="0" xfId="7" applyNumberFormat="1" applyFont="1"/>
    <xf numFmtId="0" fontId="173" fillId="0" borderId="0" xfId="7" applyFont="1"/>
    <xf numFmtId="9" fontId="178" fillId="0" borderId="0" xfId="7" applyNumberFormat="1" applyFont="1"/>
    <xf numFmtId="9" fontId="173" fillId="0" borderId="0" xfId="7" applyNumberFormat="1" applyFont="1"/>
    <xf numFmtId="164" fontId="173" fillId="0" borderId="0" xfId="7" applyNumberFormat="1" applyFont="1"/>
    <xf numFmtId="0" fontId="200" fillId="0" borderId="0" xfId="7" quotePrefix="1" applyFont="1" applyAlignment="1">
      <alignment horizontal="right"/>
    </xf>
    <xf numFmtId="166" fontId="201" fillId="0" borderId="0" xfId="7" applyNumberFormat="1" applyFont="1"/>
    <xf numFmtId="9" fontId="201" fillId="0" borderId="0" xfId="7" applyNumberFormat="1" applyFont="1"/>
    <xf numFmtId="0" fontId="201" fillId="0" borderId="0" xfId="7" applyFont="1"/>
    <xf numFmtId="166" fontId="173" fillId="0" borderId="0" xfId="7" applyNumberFormat="1" applyFont="1"/>
    <xf numFmtId="43" fontId="173" fillId="0" borderId="0" xfId="7" applyNumberFormat="1" applyFont="1"/>
    <xf numFmtId="166" fontId="173" fillId="2" borderId="0" xfId="7" applyNumberFormat="1" applyFont="1" applyFill="1"/>
    <xf numFmtId="166" fontId="177" fillId="0" borderId="0" xfId="7" applyNumberFormat="1" applyFont="1"/>
    <xf numFmtId="167" fontId="173" fillId="0" borderId="0" xfId="5" applyNumberFormat="1" applyFont="1" applyBorder="1"/>
    <xf numFmtId="43" fontId="173" fillId="0" borderId="0" xfId="5" applyFont="1" applyBorder="1"/>
    <xf numFmtId="167" fontId="173" fillId="0" borderId="0" xfId="7" applyNumberFormat="1" applyFont="1"/>
    <xf numFmtId="166" fontId="173" fillId="0" borderId="0" xfId="5" applyNumberFormat="1" applyFont="1" applyBorder="1"/>
    <xf numFmtId="9" fontId="173" fillId="0" borderId="0" xfId="5" applyNumberFormat="1" applyFont="1" applyBorder="1"/>
    <xf numFmtId="165" fontId="202" fillId="0" borderId="0" xfId="2" applyNumberFormat="1" applyFont="1" applyAlignment="1">
      <alignment vertical="top"/>
    </xf>
    <xf numFmtId="3" fontId="178" fillId="0" borderId="0" xfId="7" applyNumberFormat="1" applyFont="1"/>
    <xf numFmtId="3" fontId="173" fillId="0" borderId="0" xfId="7" applyNumberFormat="1" applyFont="1"/>
    <xf numFmtId="165" fontId="202" fillId="0" borderId="0" xfId="2" applyNumberFormat="1" applyFont="1" applyAlignment="1">
      <alignment horizontal="left" vertical="top" indent="1"/>
    </xf>
    <xf numFmtId="3" fontId="173" fillId="3" borderId="0" xfId="7" applyNumberFormat="1" applyFont="1" applyFill="1"/>
    <xf numFmtId="3" fontId="173" fillId="3" borderId="7" xfId="7" applyNumberFormat="1" applyFont="1" applyFill="1" applyBorder="1"/>
    <xf numFmtId="3" fontId="173" fillId="0" borderId="7" xfId="7" applyNumberFormat="1" applyFont="1" applyBorder="1"/>
    <xf numFmtId="3" fontId="173" fillId="0" borderId="0" xfId="5" applyNumberFormat="1" applyFont="1" applyBorder="1"/>
    <xf numFmtId="3" fontId="177" fillId="0" borderId="0" xfId="7" applyNumberFormat="1" applyFont="1"/>
    <xf numFmtId="165" fontId="202" fillId="0" borderId="7" xfId="2" applyNumberFormat="1" applyFont="1" applyBorder="1" applyAlignment="1">
      <alignment vertical="top"/>
    </xf>
    <xf numFmtId="43" fontId="173" fillId="0" borderId="10" xfId="5" applyFont="1" applyBorder="1"/>
    <xf numFmtId="3" fontId="173" fillId="0" borderId="10" xfId="5" applyNumberFormat="1" applyFont="1" applyBorder="1"/>
    <xf numFmtId="3" fontId="173" fillId="3" borderId="10" xfId="7" applyNumberFormat="1" applyFont="1" applyFill="1" applyBorder="1"/>
    <xf numFmtId="3" fontId="173" fillId="0" borderId="10" xfId="7" applyNumberFormat="1" applyFont="1" applyBorder="1"/>
    <xf numFmtId="1" fontId="173" fillId="0" borderId="0" xfId="7" applyNumberFormat="1" applyFont="1"/>
    <xf numFmtId="3" fontId="173" fillId="3" borderId="0" xfId="5" applyNumberFormat="1" applyFont="1" applyFill="1" applyBorder="1"/>
    <xf numFmtId="3" fontId="177" fillId="0" borderId="0" xfId="5" applyNumberFormat="1" applyFont="1" applyFill="1" applyBorder="1"/>
    <xf numFmtId="164" fontId="178" fillId="0" borderId="0" xfId="5" applyNumberFormat="1" applyFont="1" applyFill="1" applyBorder="1"/>
    <xf numFmtId="9" fontId="182" fillId="0" borderId="0" xfId="5" applyNumberFormat="1" applyFont="1" applyBorder="1"/>
    <xf numFmtId="165" fontId="173" fillId="0" borderId="0" xfId="7" applyNumberFormat="1" applyFont="1"/>
    <xf numFmtId="164" fontId="173" fillId="0" borderId="0" xfId="5" applyNumberFormat="1" applyFont="1" applyBorder="1"/>
    <xf numFmtId="164" fontId="173" fillId="0" borderId="0" xfId="5" applyNumberFormat="1" applyFont="1" applyFill="1" applyBorder="1"/>
    <xf numFmtId="165" fontId="173" fillId="0" borderId="7" xfId="7" applyNumberFormat="1" applyFont="1" applyBorder="1"/>
    <xf numFmtId="43" fontId="173" fillId="0" borderId="7" xfId="5" applyFont="1" applyBorder="1"/>
    <xf numFmtId="164" fontId="173" fillId="0" borderId="7" xfId="5" applyNumberFormat="1" applyFont="1" applyBorder="1"/>
    <xf numFmtId="166" fontId="173" fillId="0" borderId="7" xfId="5" applyNumberFormat="1" applyFont="1" applyBorder="1"/>
    <xf numFmtId="166" fontId="173" fillId="0" borderId="7" xfId="7" applyNumberFormat="1" applyFont="1" applyBorder="1"/>
    <xf numFmtId="170" fontId="173" fillId="3" borderId="0" xfId="7" applyNumberFormat="1" applyFont="1" applyFill="1"/>
    <xf numFmtId="1" fontId="173" fillId="3" borderId="0" xfId="7" applyNumberFormat="1" applyFont="1" applyFill="1"/>
    <xf numFmtId="0" fontId="173" fillId="0" borderId="7" xfId="7" applyFont="1" applyBorder="1"/>
    <xf numFmtId="9" fontId="173" fillId="0" borderId="0" xfId="2" applyNumberFormat="1" applyFont="1"/>
    <xf numFmtId="165" fontId="178" fillId="0" borderId="0" xfId="7" applyNumberFormat="1" applyFont="1"/>
    <xf numFmtId="43" fontId="173" fillId="0" borderId="0" xfId="5" applyFont="1"/>
    <xf numFmtId="167" fontId="178" fillId="0" borderId="0" xfId="7" applyNumberFormat="1" applyFont="1"/>
    <xf numFmtId="166" fontId="173" fillId="0" borderId="0" xfId="5" applyNumberFormat="1" applyFont="1" applyFill="1"/>
    <xf numFmtId="166" fontId="173" fillId="2" borderId="0" xfId="5" applyNumberFormat="1" applyFont="1" applyFill="1"/>
    <xf numFmtId="166" fontId="173" fillId="0" borderId="0" xfId="5" applyNumberFormat="1" applyFont="1"/>
    <xf numFmtId="167" fontId="173" fillId="0" borderId="0" xfId="5" applyNumberFormat="1" applyFont="1"/>
    <xf numFmtId="9" fontId="173" fillId="0" borderId="0" xfId="5" applyNumberFormat="1" applyFont="1"/>
    <xf numFmtId="9" fontId="173" fillId="2" borderId="0" xfId="7" applyNumberFormat="1" applyFont="1" applyFill="1"/>
    <xf numFmtId="0" fontId="173" fillId="0" borderId="0" xfId="7" applyFont="1" applyAlignment="1">
      <alignment vertical="top"/>
    </xf>
    <xf numFmtId="166" fontId="178" fillId="2" borderId="0" xfId="5" applyNumberFormat="1" applyFont="1" applyFill="1"/>
    <xf numFmtId="166" fontId="173" fillId="3" borderId="0" xfId="7" applyNumberFormat="1" applyFont="1" applyFill="1"/>
    <xf numFmtId="166" fontId="178" fillId="0" borderId="0" xfId="5" applyNumberFormat="1" applyFont="1" applyFill="1"/>
    <xf numFmtId="166" fontId="177" fillId="45" borderId="0" xfId="7" applyNumberFormat="1" applyFont="1" applyFill="1"/>
    <xf numFmtId="166" fontId="177" fillId="0" borderId="0" xfId="5" applyNumberFormat="1" applyFont="1" applyFill="1"/>
    <xf numFmtId="1" fontId="181" fillId="0" borderId="0" xfId="7" applyNumberFormat="1" applyFont="1"/>
    <xf numFmtId="168" fontId="173" fillId="3" borderId="0" xfId="7" applyNumberFormat="1" applyFont="1" applyFill="1"/>
    <xf numFmtId="168" fontId="173" fillId="0" borderId="0" xfId="7" applyNumberFormat="1" applyFont="1"/>
    <xf numFmtId="164" fontId="173" fillId="3" borderId="0" xfId="6" applyNumberFormat="1" applyFont="1" applyFill="1"/>
    <xf numFmtId="164" fontId="173" fillId="2" borderId="0" xfId="6" applyNumberFormat="1" applyFont="1" applyFill="1"/>
    <xf numFmtId="166" fontId="173" fillId="0" borderId="7" xfId="5" applyNumberFormat="1" applyFont="1" applyFill="1" applyBorder="1"/>
    <xf numFmtId="0" fontId="173" fillId="0" borderId="0" xfId="7" quotePrefix="1" applyFont="1"/>
    <xf numFmtId="9" fontId="173" fillId="0" borderId="0" xfId="5" applyNumberFormat="1" applyFont="1" applyFill="1"/>
    <xf numFmtId="9" fontId="173" fillId="3" borderId="0" xfId="5" applyNumberFormat="1" applyFont="1" applyFill="1"/>
    <xf numFmtId="167" fontId="173" fillId="2" borderId="0" xfId="5" applyNumberFormat="1" applyFont="1" applyFill="1"/>
    <xf numFmtId="167" fontId="173" fillId="0" borderId="0" xfId="5" applyNumberFormat="1" applyFont="1" applyFill="1"/>
    <xf numFmtId="166" fontId="173" fillId="0" borderId="0" xfId="5" applyNumberFormat="1" applyFont="1" applyFill="1" applyBorder="1"/>
    <xf numFmtId="166" fontId="173" fillId="2" borderId="0" xfId="5" applyNumberFormat="1" applyFont="1" applyFill="1" applyBorder="1"/>
    <xf numFmtId="164" fontId="173" fillId="2" borderId="0" xfId="7" applyNumberFormat="1" applyFont="1" applyFill="1"/>
    <xf numFmtId="9" fontId="173" fillId="3" borderId="0" xfId="7" applyNumberFormat="1" applyFont="1" applyFill="1"/>
    <xf numFmtId="166" fontId="173" fillId="3" borderId="0" xfId="5" applyNumberFormat="1" applyFont="1" applyFill="1"/>
    <xf numFmtId="164" fontId="173" fillId="2" borderId="0" xfId="5" applyNumberFormat="1" applyFont="1" applyFill="1"/>
    <xf numFmtId="0" fontId="178" fillId="0" borderId="7" xfId="7" applyFont="1" applyBorder="1"/>
    <xf numFmtId="166" fontId="173" fillId="2" borderId="7" xfId="5" applyNumberFormat="1" applyFont="1" applyFill="1" applyBorder="1"/>
    <xf numFmtId="9" fontId="173" fillId="2" borderId="0" xfId="5" applyNumberFormat="1" applyFont="1" applyFill="1"/>
    <xf numFmtId="9" fontId="177" fillId="0" borderId="0" xfId="7" applyNumberFormat="1" applyFont="1"/>
    <xf numFmtId="0" fontId="173" fillId="3" borderId="0" xfId="7" applyFont="1" applyFill="1"/>
    <xf numFmtId="0" fontId="178" fillId="0" borderId="10" xfId="7" applyFont="1" applyBorder="1"/>
    <xf numFmtId="166" fontId="178" fillId="0" borderId="10" xfId="7" applyNumberFormat="1" applyFont="1" applyBorder="1"/>
    <xf numFmtId="164" fontId="173" fillId="0" borderId="0" xfId="5" applyNumberFormat="1" applyFont="1" applyFill="1"/>
    <xf numFmtId="0" fontId="173" fillId="0" borderId="9" xfId="7" applyFont="1" applyBorder="1"/>
    <xf numFmtId="166" fontId="173" fillId="0" borderId="10" xfId="5" applyNumberFormat="1" applyFont="1" applyBorder="1"/>
    <xf numFmtId="0" fontId="173" fillId="0" borderId="3" xfId="7" applyFont="1" applyBorder="1"/>
    <xf numFmtId="166" fontId="173" fillId="0" borderId="10" xfId="7" applyNumberFormat="1" applyFont="1" applyBorder="1"/>
    <xf numFmtId="43" fontId="173" fillId="0" borderId="10" xfId="7" applyNumberFormat="1" applyFont="1" applyBorder="1"/>
    <xf numFmtId="166" fontId="173" fillId="0" borderId="11" xfId="7" applyNumberFormat="1" applyFont="1" applyBorder="1"/>
    <xf numFmtId="166" fontId="173" fillId="0" borderId="2" xfId="7" applyNumberFormat="1" applyFont="1" applyBorder="1"/>
    <xf numFmtId="43" fontId="173" fillId="2" borderId="0" xfId="5" applyFont="1" applyFill="1"/>
    <xf numFmtId="43" fontId="173" fillId="0" borderId="0" xfId="5" applyFont="1" applyFill="1"/>
    <xf numFmtId="169" fontId="173" fillId="0" borderId="0" xfId="7" applyNumberFormat="1" applyFont="1"/>
    <xf numFmtId="169" fontId="173" fillId="0" borderId="7" xfId="7" applyNumberFormat="1" applyFont="1" applyBorder="1"/>
    <xf numFmtId="169" fontId="178" fillId="0" borderId="0" xfId="7" applyNumberFormat="1" applyFont="1"/>
    <xf numFmtId="169" fontId="178" fillId="0" borderId="7" xfId="7" applyNumberFormat="1" applyFont="1" applyBorder="1"/>
    <xf numFmtId="169" fontId="173" fillId="2" borderId="0" xfId="7" applyNumberFormat="1" applyFont="1" applyFill="1"/>
    <xf numFmtId="164" fontId="173" fillId="0" borderId="0" xfId="2" applyNumberFormat="1" applyFont="1"/>
    <xf numFmtId="0" fontId="173" fillId="28" borderId="0" xfId="2" applyFont="1" applyFill="1"/>
    <xf numFmtId="0" fontId="178" fillId="0" borderId="2" xfId="2" applyFont="1" applyBorder="1"/>
    <xf numFmtId="0" fontId="173" fillId="0" borderId="0" xfId="2" applyFont="1" applyAlignment="1">
      <alignment horizontal="center" vertical="center" wrapText="1"/>
    </xf>
    <xf numFmtId="0" fontId="178" fillId="28" borderId="4" xfId="2" applyFont="1" applyFill="1" applyBorder="1" applyAlignment="1">
      <alignment vertical="center" wrapText="1"/>
    </xf>
    <xf numFmtId="0" fontId="173" fillId="28" borderId="4" xfId="2" applyFont="1" applyFill="1" applyBorder="1" applyAlignment="1">
      <alignment vertical="center" wrapText="1"/>
    </xf>
    <xf numFmtId="165" fontId="178" fillId="0" borderId="0" xfId="2" applyNumberFormat="1" applyFont="1" applyAlignment="1">
      <alignment horizontal="center" vertical="top" wrapText="1"/>
    </xf>
    <xf numFmtId="165" fontId="178" fillId="0" borderId="3" xfId="2" applyNumberFormat="1" applyFont="1" applyBorder="1" applyAlignment="1">
      <alignment horizontal="center" vertical="top" wrapText="1"/>
    </xf>
    <xf numFmtId="165" fontId="178" fillId="0" borderId="2" xfId="2" applyNumberFormat="1" applyFont="1" applyBorder="1" applyAlignment="1">
      <alignment horizontal="center" vertical="top" wrapText="1"/>
    </xf>
    <xf numFmtId="165" fontId="178" fillId="0" borderId="12" xfId="2" applyNumberFormat="1" applyFont="1" applyBorder="1" applyAlignment="1">
      <alignment horizontal="center" vertical="top" wrapText="1"/>
    </xf>
    <xf numFmtId="165" fontId="178" fillId="0" borderId="7" xfId="2" applyNumberFormat="1" applyFont="1" applyBorder="1" applyAlignment="1">
      <alignment horizontal="center" vertical="top" wrapText="1"/>
    </xf>
    <xf numFmtId="165" fontId="178" fillId="0" borderId="8" xfId="2" applyNumberFormat="1" applyFont="1" applyBorder="1" applyAlignment="1">
      <alignment horizontal="center" vertical="top" wrapText="1"/>
    </xf>
    <xf numFmtId="165" fontId="178" fillId="28" borderId="0" xfId="2" applyNumberFormat="1" applyFont="1" applyFill="1" applyAlignment="1">
      <alignment horizontal="center" vertical="top" wrapText="1"/>
    </xf>
    <xf numFmtId="165" fontId="178" fillId="28" borderId="7" xfId="2" applyNumberFormat="1" applyFont="1" applyFill="1" applyBorder="1" applyAlignment="1">
      <alignment horizontal="center" vertical="top" wrapText="1"/>
    </xf>
    <xf numFmtId="165" fontId="205" fillId="0" borderId="3" xfId="2" applyNumberFormat="1" applyFont="1" applyBorder="1" applyAlignment="1">
      <alignment horizontal="center" vertical="top" wrapText="1"/>
    </xf>
    <xf numFmtId="0" fontId="173" fillId="0" borderId="2" xfId="2" applyFont="1" applyBorder="1"/>
    <xf numFmtId="0" fontId="173" fillId="0" borderId="3" xfId="2" applyFont="1" applyBorder="1"/>
    <xf numFmtId="169" fontId="173" fillId="0" borderId="0" xfId="2" applyNumberFormat="1" applyFont="1"/>
    <xf numFmtId="169" fontId="206" fillId="0" borderId="0" xfId="2" applyNumberFormat="1" applyFont="1" applyAlignment="1">
      <alignment horizontal="right" vertical="top" wrapText="1"/>
    </xf>
    <xf numFmtId="165" fontId="202" fillId="0" borderId="2" xfId="2" applyNumberFormat="1" applyFont="1" applyBorder="1" applyAlignment="1">
      <alignment vertical="top"/>
    </xf>
    <xf numFmtId="169" fontId="206" fillId="0" borderId="3" xfId="2" applyNumberFormat="1" applyFont="1" applyBorder="1" applyAlignment="1">
      <alignment horizontal="right" vertical="top" wrapText="1"/>
    </xf>
    <xf numFmtId="169" fontId="206" fillId="0" borderId="2" xfId="2" applyNumberFormat="1" applyFont="1" applyBorder="1" applyAlignment="1">
      <alignment horizontal="right" vertical="top" wrapText="1"/>
    </xf>
    <xf numFmtId="164" fontId="173" fillId="0" borderId="3" xfId="2" applyNumberFormat="1" applyFont="1" applyBorder="1"/>
    <xf numFmtId="0" fontId="173" fillId="0" borderId="0" xfId="2" applyFont="1" applyAlignment="1">
      <alignment horizontal="right"/>
    </xf>
    <xf numFmtId="9" fontId="173" fillId="28" borderId="0" xfId="2" applyNumberFormat="1" applyFont="1" applyFill="1"/>
    <xf numFmtId="9" fontId="173" fillId="0" borderId="3" xfId="2" applyNumberFormat="1" applyFont="1" applyBorder="1"/>
    <xf numFmtId="9" fontId="206" fillId="0" borderId="0" xfId="2" applyNumberFormat="1" applyFont="1" applyAlignment="1">
      <alignment horizontal="right" vertical="top" wrapText="1"/>
    </xf>
    <xf numFmtId="0" fontId="178" fillId="0" borderId="7" xfId="2" applyFont="1" applyBorder="1"/>
    <xf numFmtId="0" fontId="178" fillId="0" borderId="7" xfId="2" applyFont="1" applyBorder="1" applyAlignment="1">
      <alignment horizontal="right"/>
    </xf>
    <xf numFmtId="169" fontId="207" fillId="0" borderId="0" xfId="2" applyNumberFormat="1" applyFont="1" applyAlignment="1">
      <alignment horizontal="right" vertical="top" wrapText="1"/>
    </xf>
    <xf numFmtId="164" fontId="173" fillId="28" borderId="0" xfId="2" applyNumberFormat="1" applyFont="1" applyFill="1"/>
    <xf numFmtId="169" fontId="208" fillId="0" borderId="0" xfId="2" applyNumberFormat="1" applyFont="1" applyAlignment="1">
      <alignment horizontal="right" vertical="top" wrapText="1"/>
    </xf>
    <xf numFmtId="164" fontId="178" fillId="28" borderId="0" xfId="2" applyNumberFormat="1" applyFont="1" applyFill="1"/>
    <xf numFmtId="169" fontId="209" fillId="0" borderId="3" xfId="2" applyNumberFormat="1" applyFont="1" applyBorder="1" applyAlignment="1">
      <alignment horizontal="right" vertical="top" wrapText="1"/>
    </xf>
    <xf numFmtId="169" fontId="209" fillId="0" borderId="0" xfId="2" applyNumberFormat="1" applyFont="1" applyAlignment="1">
      <alignment horizontal="right" vertical="top" wrapText="1"/>
    </xf>
    <xf numFmtId="169" fontId="209" fillId="0" borderId="2" xfId="2" applyNumberFormat="1" applyFont="1" applyBorder="1" applyAlignment="1">
      <alignment horizontal="right" vertical="top" wrapText="1"/>
    </xf>
    <xf numFmtId="169" fontId="208" fillId="0" borderId="3" xfId="2" applyNumberFormat="1" applyFont="1" applyBorder="1" applyAlignment="1">
      <alignment horizontal="right" vertical="top" wrapText="1"/>
    </xf>
    <xf numFmtId="169" fontId="208" fillId="0" borderId="2" xfId="2" applyNumberFormat="1" applyFont="1" applyBorder="1" applyAlignment="1">
      <alignment horizontal="right" vertical="top" wrapText="1"/>
    </xf>
    <xf numFmtId="9" fontId="208" fillId="0" borderId="3" xfId="2" applyNumberFormat="1" applyFont="1" applyBorder="1" applyAlignment="1">
      <alignment horizontal="right" vertical="top" wrapText="1"/>
    </xf>
    <xf numFmtId="169" fontId="208" fillId="0" borderId="11" xfId="2" applyNumberFormat="1" applyFont="1" applyBorder="1" applyAlignment="1">
      <alignment horizontal="right" vertical="top" wrapText="1"/>
    </xf>
    <xf numFmtId="164" fontId="178" fillId="0" borderId="0" xfId="2" applyNumberFormat="1" applyFont="1"/>
    <xf numFmtId="165" fontId="203" fillId="0" borderId="2" xfId="2" applyNumberFormat="1" applyFont="1" applyBorder="1" applyAlignment="1">
      <alignment vertical="top"/>
    </xf>
    <xf numFmtId="165" fontId="208" fillId="0" borderId="3" xfId="2" applyNumberFormat="1" applyFont="1" applyBorder="1" applyAlignment="1">
      <alignment horizontal="right" vertical="top" wrapText="1"/>
    </xf>
    <xf numFmtId="165" fontId="208" fillId="0" borderId="2" xfId="2" applyNumberFormat="1" applyFont="1" applyBorder="1" applyAlignment="1">
      <alignment horizontal="right" vertical="top" wrapText="1"/>
    </xf>
    <xf numFmtId="9" fontId="173" fillId="0" borderId="2" xfId="2" applyNumberFormat="1" applyFont="1" applyBorder="1"/>
    <xf numFmtId="165" fontId="173" fillId="0" borderId="0" xfId="2" applyNumberFormat="1" applyFont="1" applyAlignment="1">
      <alignment horizontal="right"/>
    </xf>
    <xf numFmtId="164" fontId="206" fillId="0" borderId="0" xfId="6" applyNumberFormat="1" applyFont="1" applyFill="1" applyBorder="1" applyAlignment="1">
      <alignment horizontal="right" vertical="top" wrapText="1"/>
    </xf>
    <xf numFmtId="0" fontId="178" fillId="0" borderId="0" xfId="2" applyFont="1"/>
    <xf numFmtId="9" fontId="178" fillId="28" borderId="0" xfId="2" applyNumberFormat="1" applyFont="1" applyFill="1"/>
    <xf numFmtId="9" fontId="178" fillId="0" borderId="0" xfId="2" applyNumberFormat="1" applyFont="1"/>
    <xf numFmtId="9" fontId="178" fillId="0" borderId="3" xfId="2" applyNumberFormat="1" applyFont="1" applyBorder="1"/>
    <xf numFmtId="169" fontId="173" fillId="0" borderId="0" xfId="2" applyNumberFormat="1" applyFont="1" applyAlignment="1">
      <alignment horizontal="right" vertical="top" wrapText="1"/>
    </xf>
    <xf numFmtId="0" fontId="173" fillId="0" borderId="8" xfId="2" applyFont="1" applyBorder="1"/>
    <xf numFmtId="165" fontId="203" fillId="0" borderId="10" xfId="2" applyNumberFormat="1" applyFont="1" applyBorder="1" applyAlignment="1">
      <alignment vertical="top"/>
    </xf>
    <xf numFmtId="0" fontId="173" fillId="0" borderId="10" xfId="2" applyFont="1" applyBorder="1"/>
    <xf numFmtId="169" fontId="208" fillId="0" borderId="10" xfId="2" applyNumberFormat="1" applyFont="1" applyBorder="1" applyAlignment="1">
      <alignment horizontal="right" vertical="top" wrapText="1"/>
    </xf>
    <xf numFmtId="9" fontId="173" fillId="0" borderId="0" xfId="5" applyNumberFormat="1" applyFont="1" applyFill="1" applyBorder="1"/>
    <xf numFmtId="1" fontId="173" fillId="0" borderId="0" xfId="2" applyNumberFormat="1" applyFont="1"/>
    <xf numFmtId="165" fontId="173" fillId="0" borderId="0" xfId="2" applyNumberFormat="1" applyFont="1"/>
    <xf numFmtId="164" fontId="173" fillId="0" borderId="2" xfId="2" applyNumberFormat="1" applyFont="1" applyBorder="1"/>
    <xf numFmtId="164" fontId="178" fillId="28" borderId="4" xfId="2" applyNumberFormat="1" applyFont="1" applyFill="1" applyBorder="1"/>
    <xf numFmtId="164" fontId="173" fillId="28" borderId="4" xfId="2" applyNumberFormat="1" applyFont="1" applyFill="1" applyBorder="1"/>
    <xf numFmtId="1" fontId="173" fillId="28" borderId="0" xfId="2" applyNumberFormat="1" applyFont="1" applyFill="1"/>
    <xf numFmtId="1" fontId="178" fillId="0" borderId="0" xfId="2" applyNumberFormat="1" applyFont="1"/>
    <xf numFmtId="1" fontId="173" fillId="0" borderId="10" xfId="2" applyNumberFormat="1" applyFont="1" applyBorder="1"/>
    <xf numFmtId="0" fontId="178" fillId="0" borderId="10" xfId="2" applyFont="1" applyBorder="1"/>
    <xf numFmtId="1" fontId="178" fillId="0" borderId="10" xfId="2" applyNumberFormat="1" applyFont="1" applyBorder="1"/>
    <xf numFmtId="1" fontId="178" fillId="28" borderId="0" xfId="2" applyNumberFormat="1" applyFont="1" applyFill="1"/>
    <xf numFmtId="170" fontId="173" fillId="0" borderId="0" xfId="2" applyNumberFormat="1" applyFont="1"/>
    <xf numFmtId="170" fontId="173" fillId="28" borderId="0" xfId="2" applyNumberFormat="1" applyFont="1" applyFill="1"/>
    <xf numFmtId="0" fontId="173" fillId="0" borderId="0" xfId="2" quotePrefix="1" applyFont="1"/>
    <xf numFmtId="170" fontId="173" fillId="3" borderId="0" xfId="2" applyNumberFormat="1" applyFont="1" applyFill="1"/>
    <xf numFmtId="170" fontId="207" fillId="0" borderId="0" xfId="2" applyNumberFormat="1" applyFont="1"/>
    <xf numFmtId="165" fontId="173" fillId="0" borderId="0" xfId="2" applyNumberFormat="1" applyFont="1" applyAlignment="1">
      <alignment vertical="top"/>
    </xf>
    <xf numFmtId="3" fontId="173" fillId="0" borderId="0" xfId="2" applyNumberFormat="1" applyFont="1"/>
    <xf numFmtId="165" fontId="178" fillId="0" borderId="0" xfId="2" applyNumberFormat="1" applyFont="1" applyAlignment="1">
      <alignment vertical="top"/>
    </xf>
    <xf numFmtId="165" fontId="178" fillId="0" borderId="7" xfId="2" applyNumberFormat="1" applyFont="1" applyBorder="1" applyAlignment="1">
      <alignment vertical="top"/>
    </xf>
    <xf numFmtId="0" fontId="173" fillId="0" borderId="7" xfId="2" applyFont="1" applyBorder="1"/>
    <xf numFmtId="9" fontId="173" fillId="0" borderId="7" xfId="2" applyNumberFormat="1" applyFont="1" applyBorder="1"/>
    <xf numFmtId="9" fontId="178" fillId="0" borderId="7" xfId="2" applyNumberFormat="1" applyFont="1" applyBorder="1" applyAlignment="1">
      <alignment horizontal="right"/>
    </xf>
    <xf numFmtId="9" fontId="178" fillId="28" borderId="0" xfId="2" applyNumberFormat="1" applyFont="1" applyFill="1" applyAlignment="1">
      <alignment horizontal="right"/>
    </xf>
    <xf numFmtId="3" fontId="207" fillId="0" borderId="0" xfId="2" applyNumberFormat="1" applyFont="1"/>
    <xf numFmtId="3" fontId="173" fillId="28" borderId="0" xfId="2" applyNumberFormat="1" applyFont="1" applyFill="1"/>
    <xf numFmtId="165" fontId="173" fillId="0" borderId="10" xfId="2" applyNumberFormat="1" applyFont="1" applyBorder="1" applyAlignment="1">
      <alignment vertical="top"/>
    </xf>
    <xf numFmtId="9" fontId="173" fillId="0" borderId="10" xfId="2" applyNumberFormat="1" applyFont="1" applyBorder="1"/>
    <xf numFmtId="3" fontId="173" fillId="0" borderId="10" xfId="2" applyNumberFormat="1" applyFont="1" applyBorder="1"/>
    <xf numFmtId="164" fontId="173" fillId="0" borderId="10" xfId="2" applyNumberFormat="1" applyFont="1" applyBorder="1"/>
    <xf numFmtId="0" fontId="175" fillId="0" borderId="0" xfId="2" applyFont="1"/>
    <xf numFmtId="1" fontId="207" fillId="0" borderId="0" xfId="2" applyNumberFormat="1" applyFont="1"/>
    <xf numFmtId="0" fontId="173" fillId="0" borderId="7" xfId="2" applyFont="1" applyBorder="1" applyAlignment="1">
      <alignment horizontal="right"/>
    </xf>
    <xf numFmtId="2" fontId="173" fillId="0" borderId="0" xfId="2" applyNumberFormat="1" applyFont="1"/>
    <xf numFmtId="165" fontId="173" fillId="0" borderId="0" xfId="2" quotePrefix="1" applyNumberFormat="1" applyFont="1" applyAlignment="1">
      <alignment vertical="top"/>
    </xf>
    <xf numFmtId="2" fontId="178" fillId="0" borderId="0" xfId="2" applyNumberFormat="1" applyFont="1"/>
    <xf numFmtId="2" fontId="178" fillId="28" borderId="0" xfId="2" applyNumberFormat="1" applyFont="1" applyFill="1"/>
    <xf numFmtId="2" fontId="173" fillId="28" borderId="0" xfId="2" applyNumberFormat="1" applyFont="1" applyFill="1"/>
    <xf numFmtId="0" fontId="173" fillId="28" borderId="0" xfId="2" applyFont="1" applyFill="1" applyAlignment="1">
      <alignment horizontal="right"/>
    </xf>
    <xf numFmtId="165" fontId="178" fillId="0" borderId="7" xfId="2" applyNumberFormat="1" applyFont="1" applyBorder="1" applyAlignment="1">
      <alignment horizontal="right"/>
    </xf>
    <xf numFmtId="165" fontId="178" fillId="0" borderId="0" xfId="2" applyNumberFormat="1" applyFont="1" applyAlignment="1">
      <alignment horizontal="right"/>
    </xf>
    <xf numFmtId="165" fontId="178" fillId="28" borderId="0" xfId="2" applyNumberFormat="1" applyFont="1" applyFill="1" applyAlignment="1">
      <alignment horizontal="right"/>
    </xf>
    <xf numFmtId="165" fontId="173" fillId="0" borderId="0" xfId="2" quotePrefix="1" applyNumberFormat="1" applyFont="1"/>
    <xf numFmtId="165" fontId="202" fillId="0" borderId="8" xfId="2" applyNumberFormat="1" applyFont="1" applyBorder="1" applyAlignment="1">
      <alignment vertical="top"/>
    </xf>
    <xf numFmtId="170" fontId="173" fillId="0" borderId="10" xfId="2" applyNumberFormat="1" applyFont="1" applyBorder="1"/>
    <xf numFmtId="165" fontId="203" fillId="0" borderId="8" xfId="2" applyNumberFormat="1" applyFont="1" applyBorder="1" applyAlignment="1">
      <alignment vertical="top"/>
    </xf>
    <xf numFmtId="164" fontId="173" fillId="0" borderId="7" xfId="2" applyNumberFormat="1" applyFont="1" applyBorder="1"/>
    <xf numFmtId="3" fontId="173" fillId="0" borderId="7" xfId="2" applyNumberFormat="1" applyFont="1" applyBorder="1"/>
    <xf numFmtId="0" fontId="212" fillId="0" borderId="0" xfId="2" applyFont="1"/>
    <xf numFmtId="165" fontId="173" fillId="0" borderId="7" xfId="2" applyNumberFormat="1" applyFont="1" applyBorder="1"/>
    <xf numFmtId="169" fontId="207" fillId="0" borderId="3" xfId="2" applyNumberFormat="1" applyFont="1" applyBorder="1" applyAlignment="1">
      <alignment horizontal="right" vertical="top" wrapText="1"/>
    </xf>
    <xf numFmtId="164" fontId="206" fillId="0" borderId="3" xfId="6" applyNumberFormat="1" applyFont="1" applyFill="1" applyBorder="1" applyAlignment="1">
      <alignment horizontal="right" vertical="top" wrapText="1"/>
    </xf>
    <xf numFmtId="1" fontId="173" fillId="0" borderId="3" xfId="2" applyNumberFormat="1" applyFont="1" applyBorder="1"/>
    <xf numFmtId="1" fontId="173" fillId="0" borderId="2" xfId="2" applyNumberFormat="1" applyFont="1" applyBorder="1"/>
    <xf numFmtId="1" fontId="173" fillId="0" borderId="9" xfId="2" applyNumberFormat="1" applyFont="1" applyBorder="1"/>
    <xf numFmtId="1" fontId="173" fillId="0" borderId="11" xfId="2" applyNumberFormat="1" applyFont="1" applyBorder="1"/>
    <xf numFmtId="1" fontId="178" fillId="0" borderId="9" xfId="2" applyNumberFormat="1" applyFont="1" applyBorder="1"/>
    <xf numFmtId="1" fontId="178" fillId="0" borderId="11" xfId="2" applyNumberFormat="1" applyFont="1" applyBorder="1"/>
    <xf numFmtId="170" fontId="173" fillId="0" borderId="3" xfId="2" applyNumberFormat="1" applyFont="1" applyBorder="1"/>
    <xf numFmtId="170" fontId="173" fillId="0" borderId="2" xfId="2" applyNumberFormat="1" applyFont="1" applyBorder="1"/>
    <xf numFmtId="9" fontId="178" fillId="0" borderId="12" xfId="2" applyNumberFormat="1" applyFont="1" applyBorder="1" applyAlignment="1">
      <alignment horizontal="right"/>
    </xf>
    <xf numFmtId="9" fontId="173" fillId="0" borderId="8" xfId="2" applyNumberFormat="1" applyFont="1" applyBorder="1"/>
    <xf numFmtId="3" fontId="173" fillId="0" borderId="3" xfId="2" applyNumberFormat="1" applyFont="1" applyBorder="1"/>
    <xf numFmtId="3" fontId="173" fillId="0" borderId="9" xfId="2" applyNumberFormat="1" applyFont="1" applyBorder="1"/>
    <xf numFmtId="9" fontId="173" fillId="0" borderId="11" xfId="2" applyNumberFormat="1" applyFont="1" applyBorder="1"/>
    <xf numFmtId="164" fontId="173" fillId="0" borderId="9" xfId="2" applyNumberFormat="1" applyFont="1" applyBorder="1"/>
    <xf numFmtId="164" fontId="173" fillId="0" borderId="11" xfId="2" applyNumberFormat="1" applyFont="1" applyBorder="1"/>
    <xf numFmtId="3" fontId="173" fillId="0" borderId="2" xfId="2" applyNumberFormat="1" applyFont="1" applyBorder="1"/>
    <xf numFmtId="1" fontId="207" fillId="0" borderId="3" xfId="2" applyNumberFormat="1" applyFont="1" applyBorder="1"/>
    <xf numFmtId="2" fontId="178" fillId="0" borderId="3" xfId="2" applyNumberFormat="1" applyFont="1" applyBorder="1"/>
    <xf numFmtId="2" fontId="178" fillId="3" borderId="0" xfId="2" applyNumberFormat="1" applyFont="1" applyFill="1"/>
    <xf numFmtId="9" fontId="178" fillId="0" borderId="2" xfId="2" applyNumberFormat="1" applyFont="1" applyBorder="1"/>
    <xf numFmtId="2" fontId="173" fillId="0" borderId="3" xfId="2" applyNumberFormat="1" applyFont="1" applyBorder="1"/>
    <xf numFmtId="2" fontId="173" fillId="3" borderId="0" xfId="2" applyNumberFormat="1" applyFont="1" applyFill="1"/>
    <xf numFmtId="165" fontId="178" fillId="0" borderId="12" xfId="2" applyNumberFormat="1" applyFont="1" applyBorder="1" applyAlignment="1">
      <alignment horizontal="right"/>
    </xf>
    <xf numFmtId="170" fontId="207" fillId="0" borderId="3" xfId="2" applyNumberFormat="1" applyFont="1" applyBorder="1"/>
    <xf numFmtId="3" fontId="207" fillId="0" borderId="3" xfId="2" applyNumberFormat="1" applyFont="1" applyBorder="1"/>
    <xf numFmtId="3" fontId="173" fillId="0" borderId="11" xfId="2" applyNumberFormat="1" applyFont="1" applyBorder="1"/>
    <xf numFmtId="170" fontId="173" fillId="3" borderId="3" xfId="2" applyNumberFormat="1" applyFont="1" applyFill="1" applyBorder="1"/>
    <xf numFmtId="165" fontId="178" fillId="0" borderId="8" xfId="2" applyNumberFormat="1" applyFont="1" applyBorder="1" applyAlignment="1">
      <alignment horizontal="right"/>
    </xf>
    <xf numFmtId="0" fontId="173" fillId="0" borderId="12" xfId="2" applyFont="1" applyBorder="1"/>
    <xf numFmtId="164" fontId="178" fillId="0" borderId="3" xfId="2" applyNumberFormat="1" applyFont="1" applyBorder="1"/>
    <xf numFmtId="164" fontId="173" fillId="3" borderId="3" xfId="2" applyNumberFormat="1" applyFont="1" applyFill="1" applyBorder="1"/>
    <xf numFmtId="169" fontId="208" fillId="0" borderId="9" xfId="2" applyNumberFormat="1" applyFont="1" applyBorder="1" applyAlignment="1">
      <alignment horizontal="right" vertical="top" wrapText="1"/>
    </xf>
    <xf numFmtId="164" fontId="206" fillId="0" borderId="3" xfId="6" applyNumberFormat="1" applyFont="1" applyBorder="1" applyAlignment="1">
      <alignment horizontal="right" vertical="top" wrapText="1"/>
    </xf>
    <xf numFmtId="164" fontId="206" fillId="0" borderId="0" xfId="6" applyNumberFormat="1" applyFont="1" applyBorder="1" applyAlignment="1">
      <alignment horizontal="right" vertical="top" wrapText="1"/>
    </xf>
    <xf numFmtId="164" fontId="206" fillId="0" borderId="2" xfId="6" applyNumberFormat="1" applyFont="1" applyBorder="1" applyAlignment="1">
      <alignment horizontal="right" vertical="top" wrapText="1"/>
    </xf>
    <xf numFmtId="170" fontId="177" fillId="0" borderId="0" xfId="2" applyNumberFormat="1" applyFont="1"/>
    <xf numFmtId="169" fontId="173" fillId="0" borderId="2" xfId="2" applyNumberFormat="1" applyFont="1" applyBorder="1" applyAlignment="1">
      <alignment horizontal="right" vertical="top" wrapText="1"/>
    </xf>
    <xf numFmtId="165" fontId="208" fillId="0" borderId="10" xfId="2" applyNumberFormat="1" applyFont="1" applyBorder="1" applyAlignment="1">
      <alignment horizontal="right" vertical="top" wrapText="1"/>
    </xf>
    <xf numFmtId="9" fontId="178" fillId="0" borderId="9" xfId="2" applyNumberFormat="1" applyFont="1" applyBorder="1"/>
    <xf numFmtId="9" fontId="178" fillId="0" borderId="10" xfId="2" applyNumberFormat="1" applyFont="1" applyBorder="1"/>
    <xf numFmtId="9" fontId="178" fillId="0" borderId="11" xfId="2" applyNumberFormat="1" applyFont="1" applyBorder="1"/>
    <xf numFmtId="9" fontId="178" fillId="3" borderId="10" xfId="2" applyNumberFormat="1" applyFont="1" applyFill="1" applyBorder="1"/>
    <xf numFmtId="9" fontId="178" fillId="3" borderId="9" xfId="2" applyNumberFormat="1" applyFont="1" applyFill="1" applyBorder="1"/>
    <xf numFmtId="164" fontId="178" fillId="3" borderId="10" xfId="2" applyNumberFormat="1" applyFont="1" applyFill="1" applyBorder="1"/>
    <xf numFmtId="164" fontId="178" fillId="3" borderId="9" xfId="2" applyNumberFormat="1" applyFont="1" applyFill="1" applyBorder="1"/>
    <xf numFmtId="164" fontId="178" fillId="0" borderId="10" xfId="2" applyNumberFormat="1" applyFont="1" applyBorder="1"/>
    <xf numFmtId="164" fontId="178" fillId="0" borderId="9" xfId="2" applyNumberFormat="1" applyFont="1" applyBorder="1"/>
    <xf numFmtId="0" fontId="178" fillId="0" borderId="0" xfId="2" applyFont="1" applyAlignment="1">
      <alignment horizontal="right"/>
    </xf>
    <xf numFmtId="169" fontId="177" fillId="0" borderId="0" xfId="2" applyNumberFormat="1" applyFont="1" applyAlignment="1">
      <alignment horizontal="right" vertical="top" wrapText="1"/>
    </xf>
    <xf numFmtId="169" fontId="209" fillId="41" borderId="0" xfId="2" applyNumberFormat="1" applyFont="1" applyFill="1" applyAlignment="1">
      <alignment horizontal="right" vertical="top" wrapText="1"/>
    </xf>
    <xf numFmtId="169" fontId="173" fillId="28" borderId="0" xfId="2" applyNumberFormat="1" applyFont="1" applyFill="1" applyAlignment="1">
      <alignment horizontal="right" vertical="top" wrapText="1"/>
    </xf>
    <xf numFmtId="0" fontId="178" fillId="0" borderId="11" xfId="2" applyFont="1" applyBorder="1"/>
    <xf numFmtId="169" fontId="208" fillId="3" borderId="10" xfId="2" applyNumberFormat="1" applyFont="1" applyFill="1" applyBorder="1" applyAlignment="1">
      <alignment horizontal="right" vertical="top" wrapText="1"/>
    </xf>
    <xf numFmtId="0" fontId="181" fillId="0" borderId="0" xfId="0" applyFont="1"/>
    <xf numFmtId="165" fontId="178" fillId="0" borderId="10" xfId="7" applyNumberFormat="1" applyFont="1" applyBorder="1"/>
    <xf numFmtId="43" fontId="178" fillId="0" borderId="10" xfId="5" applyFont="1" applyBorder="1"/>
    <xf numFmtId="0" fontId="173" fillId="0" borderId="10" xfId="7" applyFont="1" applyBorder="1"/>
    <xf numFmtId="3" fontId="178" fillId="0" borderId="9" xfId="2" applyNumberFormat="1" applyFont="1" applyBorder="1"/>
    <xf numFmtId="3" fontId="178" fillId="0" borderId="10" xfId="2" applyNumberFormat="1" applyFont="1" applyBorder="1"/>
    <xf numFmtId="3" fontId="178" fillId="0" borderId="11" xfId="2" applyNumberFormat="1" applyFont="1" applyBorder="1"/>
    <xf numFmtId="1" fontId="178" fillId="0" borderId="3" xfId="2" applyNumberFormat="1" applyFont="1" applyBorder="1"/>
    <xf numFmtId="3" fontId="177" fillId="0" borderId="3" xfId="2" applyNumberFormat="1" applyFont="1" applyBorder="1"/>
    <xf numFmtId="3" fontId="177" fillId="0" borderId="0" xfId="2" applyNumberFormat="1" applyFont="1"/>
    <xf numFmtId="3" fontId="178" fillId="0" borderId="3" xfId="2" applyNumberFormat="1" applyFont="1" applyBorder="1"/>
    <xf numFmtId="3" fontId="178" fillId="0" borderId="0" xfId="2" applyNumberFormat="1" applyFont="1"/>
    <xf numFmtId="3" fontId="178" fillId="0" borderId="2" xfId="2" applyNumberFormat="1" applyFont="1" applyBorder="1"/>
    <xf numFmtId="3" fontId="206" fillId="0" borderId="2" xfId="2" applyNumberFormat="1" applyFont="1" applyBorder="1" applyAlignment="1">
      <alignment horizontal="right" vertical="top" wrapText="1"/>
    </xf>
    <xf numFmtId="165" fontId="178" fillId="0" borderId="10" xfId="2" applyNumberFormat="1" applyFont="1" applyBorder="1" applyAlignment="1">
      <alignment vertical="top"/>
    </xf>
    <xf numFmtId="2" fontId="2" fillId="27" borderId="63" xfId="0" applyNumberFormat="1" applyFont="1" applyFill="1" applyBorder="1"/>
    <xf numFmtId="0" fontId="160" fillId="0" borderId="10" xfId="0" applyFont="1" applyBorder="1"/>
    <xf numFmtId="3" fontId="160" fillId="0" borderId="10" xfId="0" applyNumberFormat="1" applyFont="1" applyBorder="1"/>
    <xf numFmtId="3" fontId="160" fillId="27" borderId="7" xfId="0" applyNumberFormat="1" applyFont="1" applyFill="1" applyBorder="1"/>
    <xf numFmtId="257" fontId="160" fillId="27" borderId="7" xfId="0" applyNumberFormat="1" applyFont="1" applyFill="1" applyBorder="1"/>
    <xf numFmtId="3" fontId="211" fillId="0" borderId="0" xfId="0" applyNumberFormat="1" applyFont="1"/>
    <xf numFmtId="170" fontId="173" fillId="0" borderId="7" xfId="0" applyNumberFormat="1" applyFont="1" applyBorder="1"/>
    <xf numFmtId="170" fontId="160" fillId="0" borderId="10" xfId="0" applyNumberFormat="1" applyFont="1" applyBorder="1"/>
    <xf numFmtId="3" fontId="207" fillId="0" borderId="9" xfId="2" applyNumberFormat="1" applyFont="1" applyBorder="1"/>
    <xf numFmtId="169" fontId="160" fillId="0" borderId="0" xfId="0" applyNumberFormat="1" applyFont="1"/>
    <xf numFmtId="165" fontId="160" fillId="0" borderId="0" xfId="0" applyNumberFormat="1" applyFont="1"/>
    <xf numFmtId="9" fontId="160" fillId="0" borderId="0" xfId="0" applyNumberFormat="1" applyFont="1" applyAlignment="1">
      <alignment horizontal="left"/>
    </xf>
    <xf numFmtId="1" fontId="0" fillId="0" borderId="0" xfId="0" applyNumberFormat="1" applyAlignment="1">
      <alignment horizontal="right"/>
    </xf>
    <xf numFmtId="170" fontId="0" fillId="0" borderId="0" xfId="0" applyNumberFormat="1" applyAlignment="1">
      <alignment horizontal="right"/>
    </xf>
    <xf numFmtId="0" fontId="160" fillId="0" borderId="10" xfId="0" applyFont="1" applyBorder="1" applyAlignment="1">
      <alignment horizontal="right"/>
    </xf>
    <xf numFmtId="166" fontId="160" fillId="0" borderId="10" xfId="0" applyNumberFormat="1" applyFont="1" applyBorder="1" applyAlignment="1">
      <alignment horizontal="right"/>
    </xf>
    <xf numFmtId="9" fontId="160" fillId="0" borderId="10" xfId="0" applyNumberFormat="1" applyFont="1" applyBorder="1" applyAlignment="1">
      <alignment horizontal="right"/>
    </xf>
    <xf numFmtId="166" fontId="160" fillId="0" borderId="7" xfId="0" applyNumberFormat="1" applyFont="1" applyBorder="1" applyAlignment="1">
      <alignment horizontal="right"/>
    </xf>
    <xf numFmtId="0" fontId="160" fillId="44" borderId="0" xfId="0" applyFont="1" applyFill="1"/>
    <xf numFmtId="0" fontId="173" fillId="0" borderId="3" xfId="2" applyFont="1" applyBorder="1" applyAlignment="1">
      <alignment horizontal="right"/>
    </xf>
    <xf numFmtId="0" fontId="173" fillId="0" borderId="2" xfId="2" applyFont="1" applyBorder="1" applyAlignment="1">
      <alignment horizontal="right"/>
    </xf>
    <xf numFmtId="2" fontId="173" fillId="0" borderId="2" xfId="2" applyNumberFormat="1" applyFont="1" applyBorder="1"/>
    <xf numFmtId="164" fontId="214" fillId="0" borderId="10" xfId="2" applyNumberFormat="1" applyFont="1" applyBorder="1"/>
    <xf numFmtId="164" fontId="207" fillId="0" borderId="0" xfId="2" applyNumberFormat="1" applyFont="1"/>
    <xf numFmtId="0" fontId="173" fillId="0" borderId="11" xfId="2" applyFont="1" applyBorder="1"/>
    <xf numFmtId="166" fontId="173" fillId="44" borderId="0" xfId="5" applyNumberFormat="1" applyFont="1" applyFill="1" applyBorder="1"/>
    <xf numFmtId="166" fontId="173" fillId="44" borderId="0" xfId="5" quotePrefix="1" applyNumberFormat="1" applyFont="1" applyFill="1" applyBorder="1" applyAlignment="1">
      <alignment horizontal="right"/>
    </xf>
    <xf numFmtId="166" fontId="177" fillId="0" borderId="0" xfId="0" applyNumberFormat="1" applyFont="1"/>
    <xf numFmtId="1" fontId="178" fillId="0" borderId="2" xfId="2" applyNumberFormat="1" applyFont="1" applyBorder="1"/>
    <xf numFmtId="164" fontId="0" fillId="0" borderId="0" xfId="5" applyNumberFormat="1" applyFont="1"/>
    <xf numFmtId="164" fontId="0" fillId="0" borderId="7" xfId="0" applyNumberFormat="1" applyBorder="1"/>
    <xf numFmtId="0" fontId="2" fillId="27" borderId="7" xfId="0" applyFont="1" applyFill="1" applyBorder="1"/>
    <xf numFmtId="0" fontId="2" fillId="27" borderId="7" xfId="0" applyFont="1" applyFill="1" applyBorder="1" applyAlignment="1">
      <alignment horizontal="right"/>
    </xf>
    <xf numFmtId="0" fontId="0" fillId="27" borderId="7" xfId="0" applyFill="1" applyBorder="1"/>
    <xf numFmtId="3" fontId="0" fillId="27" borderId="7" xfId="0" applyNumberFormat="1" applyFill="1" applyBorder="1"/>
    <xf numFmtId="164" fontId="0" fillId="27" borderId="7" xfId="0" applyNumberFormat="1" applyFill="1" applyBorder="1"/>
    <xf numFmtId="164" fontId="0" fillId="27" borderId="0" xfId="5" applyNumberFormat="1" applyFont="1" applyFill="1"/>
    <xf numFmtId="0" fontId="2" fillId="27" borderId="0" xfId="0" applyFont="1" applyFill="1"/>
    <xf numFmtId="3" fontId="2" fillId="27" borderId="0" xfId="0" applyNumberFormat="1" applyFont="1" applyFill="1"/>
    <xf numFmtId="164" fontId="2" fillId="0" borderId="0" xfId="0" applyNumberFormat="1" applyFont="1"/>
    <xf numFmtId="0" fontId="0" fillId="27" borderId="50" xfId="0" applyFill="1" applyBorder="1"/>
    <xf numFmtId="0" fontId="0" fillId="27" borderId="32" xfId="0" applyFill="1" applyBorder="1"/>
    <xf numFmtId="164" fontId="0" fillId="27" borderId="32" xfId="0" applyNumberFormat="1" applyFill="1" applyBorder="1"/>
    <xf numFmtId="9" fontId="0" fillId="27" borderId="51" xfId="0" applyNumberFormat="1" applyFill="1" applyBorder="1"/>
    <xf numFmtId="0" fontId="0" fillId="0" borderId="54" xfId="0" applyBorder="1"/>
    <xf numFmtId="9" fontId="0" fillId="0" borderId="34" xfId="0" applyNumberFormat="1" applyBorder="1"/>
    <xf numFmtId="0" fontId="0" fillId="27" borderId="55" xfId="0" applyFill="1" applyBorder="1"/>
    <xf numFmtId="0" fontId="0" fillId="27" borderId="15" xfId="0" applyFill="1" applyBorder="1"/>
    <xf numFmtId="164" fontId="0" fillId="27" borderId="15" xfId="0" applyNumberFormat="1" applyFill="1" applyBorder="1"/>
    <xf numFmtId="164" fontId="0" fillId="27" borderId="56" xfId="0" applyNumberFormat="1" applyFill="1" applyBorder="1"/>
    <xf numFmtId="0" fontId="0" fillId="0" borderId="50" xfId="0" applyBorder="1"/>
    <xf numFmtId="0" fontId="0" fillId="0" borderId="32" xfId="0" applyBorder="1"/>
    <xf numFmtId="170" fontId="0" fillId="0" borderId="32" xfId="0" applyNumberFormat="1" applyBorder="1"/>
    <xf numFmtId="164" fontId="0" fillId="0" borderId="51" xfId="0" applyNumberFormat="1" applyBorder="1"/>
    <xf numFmtId="0" fontId="0" fillId="27" borderId="54" xfId="0" applyFill="1" applyBorder="1"/>
    <xf numFmtId="164" fontId="0" fillId="27" borderId="34" xfId="0" applyNumberFormat="1" applyFill="1" applyBorder="1"/>
    <xf numFmtId="0" fontId="0" fillId="0" borderId="55" xfId="0" applyBorder="1"/>
    <xf numFmtId="0" fontId="0" fillId="0" borderId="15" xfId="0" applyBorder="1"/>
    <xf numFmtId="170" fontId="0" fillId="0" borderId="15" xfId="0" applyNumberFormat="1" applyBorder="1"/>
    <xf numFmtId="164" fontId="2" fillId="27" borderId="0" xfId="0" applyNumberFormat="1" applyFont="1" applyFill="1"/>
    <xf numFmtId="9" fontId="166" fillId="0" borderId="7" xfId="6" applyFont="1" applyFill="1" applyBorder="1"/>
    <xf numFmtId="1" fontId="110" fillId="0" borderId="7" xfId="0" applyNumberFormat="1" applyFont="1" applyBorder="1"/>
    <xf numFmtId="265" fontId="215" fillId="42" borderId="0" xfId="0" applyNumberFormat="1" applyFont="1" applyFill="1"/>
    <xf numFmtId="9" fontId="181" fillId="0" borderId="0" xfId="0" applyNumberFormat="1" applyFont="1"/>
    <xf numFmtId="0" fontId="178" fillId="0" borderId="7" xfId="0" applyFont="1" applyBorder="1" applyAlignment="1">
      <alignment horizontal="right"/>
    </xf>
    <xf numFmtId="164" fontId="173" fillId="0" borderId="7" xfId="6" applyNumberFormat="1" applyFont="1" applyBorder="1"/>
    <xf numFmtId="164" fontId="173" fillId="0" borderId="0" xfId="6" applyNumberFormat="1" applyFont="1" applyBorder="1"/>
    <xf numFmtId="0" fontId="182" fillId="0" borderId="0" xfId="0" applyFont="1"/>
    <xf numFmtId="169" fontId="214" fillId="0" borderId="10" xfId="2" applyNumberFormat="1" applyFont="1" applyBorder="1" applyAlignment="1">
      <alignment horizontal="right" vertical="top" wrapText="1"/>
    </xf>
    <xf numFmtId="9" fontId="214" fillId="0" borderId="0" xfId="2" applyNumberFormat="1" applyFont="1"/>
    <xf numFmtId="0" fontId="216" fillId="0" borderId="0" xfId="0" applyFont="1" applyAlignment="1">
      <alignment horizontal="right"/>
    </xf>
    <xf numFmtId="164" fontId="216" fillId="0" borderId="0" xfId="0" applyNumberFormat="1" applyFont="1"/>
    <xf numFmtId="164" fontId="169" fillId="27" borderId="0" xfId="2" applyNumberFormat="1" applyFont="1" applyFill="1"/>
    <xf numFmtId="164" fontId="0" fillId="0" borderId="0" xfId="6" applyNumberFormat="1" applyFont="1"/>
    <xf numFmtId="3" fontId="217" fillId="0" borderId="0" xfId="0" applyNumberFormat="1" applyFont="1" applyAlignment="1">
      <alignment horizontal="right"/>
    </xf>
    <xf numFmtId="3" fontId="0" fillId="0" borderId="0" xfId="0" applyNumberFormat="1" applyAlignment="1">
      <alignment horizontal="left"/>
    </xf>
    <xf numFmtId="4" fontId="217" fillId="0" borderId="0" xfId="0" applyNumberFormat="1" applyFont="1" applyAlignment="1">
      <alignment horizontal="right"/>
    </xf>
    <xf numFmtId="0" fontId="216" fillId="0" borderId="0" xfId="0" applyFont="1"/>
    <xf numFmtId="0" fontId="165" fillId="0" borderId="0" xfId="0" applyFont="1" applyAlignment="1">
      <alignment horizontal="right"/>
    </xf>
    <xf numFmtId="0" fontId="165" fillId="27" borderId="50" xfId="0" applyFont="1" applyFill="1" applyBorder="1"/>
    <xf numFmtId="0" fontId="165" fillId="27" borderId="32" xfId="0" applyFont="1" applyFill="1" applyBorder="1"/>
    <xf numFmtId="164" fontId="165" fillId="27" borderId="32" xfId="0" applyNumberFormat="1" applyFont="1" applyFill="1" applyBorder="1"/>
    <xf numFmtId="9" fontId="165" fillId="27" borderId="51" xfId="0" applyNumberFormat="1" applyFont="1" applyFill="1" applyBorder="1"/>
    <xf numFmtId="0" fontId="165" fillId="0" borderId="54" xfId="0" applyFont="1" applyBorder="1"/>
    <xf numFmtId="164" fontId="165" fillId="0" borderId="0" xfId="0" applyNumberFormat="1" applyFont="1"/>
    <xf numFmtId="9" fontId="165" fillId="0" borderId="34" xfId="0" applyNumberFormat="1" applyFont="1" applyBorder="1"/>
    <xf numFmtId="0" fontId="165" fillId="27" borderId="55" xfId="0" applyFont="1" applyFill="1" applyBorder="1"/>
    <xf numFmtId="0" fontId="165" fillId="27" borderId="15" xfId="0" applyFont="1" applyFill="1" applyBorder="1"/>
    <xf numFmtId="164" fontId="165" fillId="27" borderId="15" xfId="0" applyNumberFormat="1" applyFont="1" applyFill="1" applyBorder="1"/>
    <xf numFmtId="164" fontId="165" fillId="27" borderId="56" xfId="0" applyNumberFormat="1" applyFont="1" applyFill="1" applyBorder="1"/>
    <xf numFmtId="0" fontId="165" fillId="27" borderId="0" xfId="0" applyFont="1" applyFill="1"/>
    <xf numFmtId="164" fontId="165" fillId="27" borderId="0" xfId="0" applyNumberFormat="1" applyFont="1" applyFill="1"/>
    <xf numFmtId="0" fontId="216" fillId="27" borderId="0" xfId="0" applyFont="1" applyFill="1"/>
    <xf numFmtId="0" fontId="165" fillId="0" borderId="50" xfId="0" applyFont="1" applyBorder="1"/>
    <xf numFmtId="0" fontId="165" fillId="0" borderId="32" xfId="0" applyFont="1" applyBorder="1"/>
    <xf numFmtId="170" fontId="165" fillId="0" borderId="32" xfId="0" applyNumberFormat="1" applyFont="1" applyBorder="1"/>
    <xf numFmtId="164" fontId="165" fillId="0" borderId="51" xfId="0" applyNumberFormat="1" applyFont="1" applyBorder="1"/>
    <xf numFmtId="0" fontId="165" fillId="27" borderId="54" xfId="0" applyFont="1" applyFill="1" applyBorder="1"/>
    <xf numFmtId="170" fontId="165" fillId="27" borderId="0" xfId="0" applyNumberFormat="1" applyFont="1" applyFill="1"/>
    <xf numFmtId="164" fontId="165" fillId="27" borderId="34" xfId="0" applyNumberFormat="1" applyFont="1" applyFill="1" applyBorder="1"/>
    <xf numFmtId="0" fontId="165" fillId="0" borderId="55" xfId="0" applyFont="1" applyBorder="1"/>
    <xf numFmtId="0" fontId="165" fillId="0" borderId="15" xfId="0" applyFont="1" applyBorder="1"/>
    <xf numFmtId="170" fontId="165" fillId="0" borderId="15" xfId="0" applyNumberFormat="1" applyFont="1" applyBorder="1"/>
    <xf numFmtId="164" fontId="165" fillId="0" borderId="56" xfId="0" applyNumberFormat="1" applyFont="1" applyBorder="1"/>
    <xf numFmtId="0" fontId="165" fillId="0" borderId="7" xfId="0" applyFont="1" applyBorder="1"/>
    <xf numFmtId="170" fontId="165" fillId="0" borderId="7" xfId="0" applyNumberFormat="1" applyFont="1" applyBorder="1"/>
    <xf numFmtId="164" fontId="165" fillId="0" borderId="7" xfId="0" applyNumberFormat="1" applyFont="1" applyBorder="1"/>
    <xf numFmtId="43" fontId="173" fillId="0" borderId="0" xfId="5" applyFont="1" applyFill="1" applyBorder="1"/>
    <xf numFmtId="169" fontId="173" fillId="0" borderId="8" xfId="2" applyNumberFormat="1" applyFont="1" applyBorder="1" applyAlignment="1">
      <alignment horizontal="right" vertical="top" wrapText="1"/>
    </xf>
    <xf numFmtId="14" fontId="160" fillId="0" borderId="0" xfId="0" applyNumberFormat="1" applyFont="1"/>
    <xf numFmtId="3" fontId="178" fillId="0" borderId="10" xfId="5" applyNumberFormat="1" applyFont="1" applyBorder="1"/>
    <xf numFmtId="43" fontId="178" fillId="0" borderId="0" xfId="5" applyFont="1" applyBorder="1"/>
    <xf numFmtId="164" fontId="178" fillId="0" borderId="0" xfId="5" applyNumberFormat="1" applyFont="1" applyBorder="1"/>
    <xf numFmtId="165" fontId="178" fillId="0" borderId="0" xfId="2" applyNumberFormat="1" applyFont="1"/>
    <xf numFmtId="169" fontId="177" fillId="0" borderId="3" xfId="2" applyNumberFormat="1" applyFont="1" applyBorder="1" applyAlignment="1">
      <alignment horizontal="right" vertical="top" wrapText="1"/>
    </xf>
    <xf numFmtId="165" fontId="203" fillId="0" borderId="0" xfId="2" applyNumberFormat="1" applyFont="1" applyAlignment="1">
      <alignment vertical="top"/>
    </xf>
    <xf numFmtId="9" fontId="173" fillId="0" borderId="12" xfId="2" applyNumberFormat="1" applyFont="1" applyBorder="1"/>
    <xf numFmtId="1" fontId="173" fillId="0" borderId="12" xfId="2" applyNumberFormat="1" applyFont="1" applyBorder="1"/>
    <xf numFmtId="1" fontId="173" fillId="0" borderId="8" xfId="2" applyNumberFormat="1" applyFont="1" applyBorder="1"/>
    <xf numFmtId="1" fontId="173" fillId="3" borderId="10" xfId="7" applyNumberFormat="1" applyFont="1" applyFill="1" applyBorder="1"/>
    <xf numFmtId="165" fontId="178" fillId="0" borderId="3" xfId="2" applyNumberFormat="1" applyFont="1" applyBorder="1" applyAlignment="1">
      <alignment horizontal="right"/>
    </xf>
    <xf numFmtId="169" fontId="207" fillId="0" borderId="12" xfId="2" applyNumberFormat="1" applyFont="1" applyBorder="1" applyAlignment="1">
      <alignment horizontal="right" vertical="top" wrapText="1"/>
    </xf>
    <xf numFmtId="169" fontId="207" fillId="0" borderId="7" xfId="2" applyNumberFormat="1" applyFont="1" applyBorder="1" applyAlignment="1">
      <alignment horizontal="right" vertical="top" wrapText="1"/>
    </xf>
    <xf numFmtId="169" fontId="206" fillId="0" borderId="8" xfId="2" applyNumberFormat="1" applyFont="1" applyBorder="1" applyAlignment="1">
      <alignment horizontal="right" vertical="top" wrapText="1"/>
    </xf>
    <xf numFmtId="0" fontId="5" fillId="0" borderId="2" xfId="2" applyBorder="1"/>
    <xf numFmtId="9" fontId="173" fillId="0" borderId="10" xfId="7" applyNumberFormat="1" applyFont="1" applyBorder="1"/>
    <xf numFmtId="3" fontId="178" fillId="3" borderId="10" xfId="7" applyNumberFormat="1" applyFont="1" applyFill="1" applyBorder="1"/>
    <xf numFmtId="3" fontId="178" fillId="0" borderId="10" xfId="7" applyNumberFormat="1" applyFont="1" applyBorder="1"/>
    <xf numFmtId="169" fontId="173" fillId="0" borderId="3" xfId="2" applyNumberFormat="1" applyFont="1" applyBorder="1"/>
    <xf numFmtId="43" fontId="173" fillId="3" borderId="0" xfId="5" applyFont="1" applyFill="1" applyBorder="1"/>
    <xf numFmtId="266" fontId="160" fillId="0" borderId="0" xfId="0" applyNumberFormat="1" applyFont="1" applyAlignment="1">
      <alignment horizontal="right"/>
    </xf>
    <xf numFmtId="166" fontId="178" fillId="3" borderId="0" xfId="7" applyNumberFormat="1" applyFont="1" applyFill="1"/>
    <xf numFmtId="9" fontId="169" fillId="27" borderId="7" xfId="6" applyFont="1" applyFill="1" applyBorder="1"/>
    <xf numFmtId="9" fontId="207" fillId="0" borderId="0" xfId="0" applyNumberFormat="1" applyFont="1"/>
    <xf numFmtId="0" fontId="218" fillId="0" borderId="0" xfId="0" applyFont="1"/>
    <xf numFmtId="0" fontId="219" fillId="0" borderId="0" xfId="0" applyFont="1"/>
    <xf numFmtId="0" fontId="220" fillId="0" borderId="0" xfId="0" applyFont="1"/>
    <xf numFmtId="0" fontId="221" fillId="0" borderId="0" xfId="0" applyFont="1"/>
    <xf numFmtId="0" fontId="170" fillId="36" borderId="4" xfId="2" applyFont="1" applyFill="1" applyBorder="1"/>
    <xf numFmtId="165" fontId="169" fillId="27" borderId="0" xfId="2" applyNumberFormat="1" applyFont="1" applyFill="1"/>
    <xf numFmtId="0" fontId="169" fillId="36" borderId="7" xfId="2" applyFont="1" applyFill="1" applyBorder="1"/>
    <xf numFmtId="0" fontId="160" fillId="34" borderId="0" xfId="0" applyFont="1" applyFill="1"/>
    <xf numFmtId="170" fontId="159" fillId="0" borderId="0" xfId="2" applyNumberFormat="1" applyFont="1"/>
    <xf numFmtId="9" fontId="165" fillId="27" borderId="51" xfId="0" applyNumberFormat="1" applyFont="1" applyFill="1" applyBorder="1" applyAlignment="1">
      <alignment horizontal="right"/>
    </xf>
    <xf numFmtId="171" fontId="0" fillId="0" borderId="0" xfId="0" applyNumberFormat="1" applyAlignment="1">
      <alignment horizontal="right"/>
    </xf>
    <xf numFmtId="0" fontId="131" fillId="0" borderId="0" xfId="0" applyFont="1" applyAlignment="1">
      <alignment vertical="center" wrapText="1"/>
    </xf>
    <xf numFmtId="0" fontId="131" fillId="0" borderId="15" xfId="0" applyFont="1" applyBorder="1" applyAlignment="1">
      <alignment vertical="center" wrapText="1"/>
    </xf>
    <xf numFmtId="0" fontId="0" fillId="28" borderId="0" xfId="0" applyFill="1"/>
    <xf numFmtId="0" fontId="160" fillId="28" borderId="0" xfId="0" applyFont="1" applyFill="1"/>
    <xf numFmtId="0" fontId="160" fillId="28" borderId="7" xfId="0" applyFont="1" applyFill="1" applyBorder="1"/>
    <xf numFmtId="9" fontId="160" fillId="28" borderId="0" xfId="0" applyNumberFormat="1" applyFont="1" applyFill="1"/>
    <xf numFmtId="9" fontId="160" fillId="28" borderId="7" xfId="0" applyNumberFormat="1" applyFont="1" applyFill="1" applyBorder="1"/>
    <xf numFmtId="0" fontId="160" fillId="28" borderId="61" xfId="0" applyFont="1" applyFill="1" applyBorder="1"/>
    <xf numFmtId="1" fontId="160" fillId="28" borderId="63" xfId="0" applyNumberFormat="1" applyFont="1" applyFill="1" applyBorder="1"/>
    <xf numFmtId="0" fontId="174" fillId="28" borderId="7" xfId="0" applyFont="1" applyFill="1" applyBorder="1"/>
    <xf numFmtId="0" fontId="174" fillId="28" borderId="7" xfId="0" applyFont="1" applyFill="1" applyBorder="1" applyAlignment="1">
      <alignment horizontal="right"/>
    </xf>
    <xf numFmtId="0" fontId="160" fillId="28" borderId="63" xfId="0" applyFont="1" applyFill="1" applyBorder="1"/>
    <xf numFmtId="0" fontId="222" fillId="0" borderId="0" xfId="0" applyFont="1" applyAlignment="1">
      <alignment vertical="center"/>
    </xf>
    <xf numFmtId="0" fontId="223" fillId="0" borderId="0" xfId="0" applyFont="1" applyAlignment="1">
      <alignment horizontal="left" vertical="center" indent="4"/>
    </xf>
    <xf numFmtId="0" fontId="225" fillId="0" borderId="0" xfId="0" applyFont="1" applyAlignment="1">
      <alignment vertical="center"/>
    </xf>
    <xf numFmtId="0" fontId="4" fillId="39" borderId="0" xfId="1" applyFill="1"/>
    <xf numFmtId="0" fontId="191" fillId="46" borderId="0" xfId="0" applyFont="1" applyFill="1" applyAlignment="1">
      <alignment horizontal="center" vertical="center"/>
    </xf>
    <xf numFmtId="0" fontId="187" fillId="46" borderId="0" xfId="0" applyFont="1" applyFill="1" applyAlignment="1">
      <alignment horizontal="center" vertical="center"/>
    </xf>
    <xf numFmtId="3" fontId="182" fillId="0" borderId="0" xfId="0" applyNumberFormat="1" applyFont="1"/>
    <xf numFmtId="258" fontId="169" fillId="27" borderId="0" xfId="2" applyNumberFormat="1" applyFont="1" applyFill="1"/>
    <xf numFmtId="0" fontId="217" fillId="0" borderId="0" xfId="0" applyFont="1"/>
    <xf numFmtId="0" fontId="178" fillId="0" borderId="4" xfId="411" applyFont="1" applyBorder="1"/>
    <xf numFmtId="0" fontId="173" fillId="48" borderId="0" xfId="411" applyFont="1" applyFill="1"/>
    <xf numFmtId="3" fontId="173" fillId="49" borderId="0" xfId="412" applyNumberFormat="1" applyFont="1" applyFill="1" applyBorder="1"/>
    <xf numFmtId="0" fontId="178" fillId="48" borderId="10" xfId="416" applyFont="1" applyFill="1" applyBorder="1"/>
    <xf numFmtId="166" fontId="178" fillId="49" borderId="10" xfId="412" applyNumberFormat="1" applyFont="1" applyFill="1" applyBorder="1"/>
    <xf numFmtId="0" fontId="178" fillId="48" borderId="0" xfId="416" applyFont="1" applyFill="1"/>
    <xf numFmtId="0" fontId="173" fillId="48" borderId="10" xfId="411" applyFont="1" applyFill="1" applyBorder="1"/>
    <xf numFmtId="166" fontId="173" fillId="49" borderId="10" xfId="412" applyNumberFormat="1" applyFont="1" applyFill="1" applyBorder="1"/>
    <xf numFmtId="166" fontId="173" fillId="49" borderId="0" xfId="412" applyNumberFormat="1" applyFont="1" applyFill="1" applyBorder="1"/>
    <xf numFmtId="0" fontId="178" fillId="48" borderId="10" xfId="411" applyFont="1" applyFill="1" applyBorder="1"/>
    <xf numFmtId="166" fontId="181" fillId="49" borderId="0" xfId="412" applyNumberFormat="1" applyFont="1" applyFill="1" applyBorder="1"/>
    <xf numFmtId="256" fontId="173" fillId="0" borderId="0" xfId="5" applyNumberFormat="1" applyFont="1"/>
    <xf numFmtId="0" fontId="216" fillId="0" borderId="7" xfId="229" applyFont="1" applyBorder="1"/>
    <xf numFmtId="0" fontId="216" fillId="0" borderId="7" xfId="229" applyFont="1" applyBorder="1" applyAlignment="1">
      <alignment horizontal="right"/>
    </xf>
    <xf numFmtId="0" fontId="165" fillId="0" borderId="0" xfId="229" applyFont="1" applyAlignment="1">
      <alignment horizontal="right"/>
    </xf>
    <xf numFmtId="0" fontId="7" fillId="0" borderId="0" xfId="229" applyFont="1"/>
    <xf numFmtId="0" fontId="165" fillId="27" borderId="0" xfId="229" applyFont="1" applyFill="1"/>
    <xf numFmtId="171" fontId="165" fillId="27" borderId="0" xfId="229" applyNumberFormat="1" applyFont="1" applyFill="1"/>
    <xf numFmtId="0" fontId="165" fillId="0" borderId="0" xfId="229" applyFont="1"/>
    <xf numFmtId="0" fontId="226" fillId="27" borderId="0" xfId="229" applyFont="1" applyFill="1"/>
    <xf numFmtId="0" fontId="169" fillId="27" borderId="0" xfId="229" applyFont="1" applyFill="1"/>
    <xf numFmtId="3" fontId="165" fillId="0" borderId="0" xfId="229" applyNumberFormat="1" applyFont="1"/>
    <xf numFmtId="170" fontId="165" fillId="0" borderId="0" xfId="229" applyNumberFormat="1" applyFont="1"/>
    <xf numFmtId="3" fontId="165" fillId="27" borderId="0" xfId="229" applyNumberFormat="1" applyFont="1" applyFill="1"/>
    <xf numFmtId="170" fontId="165" fillId="27" borderId="0" xfId="229" applyNumberFormat="1" applyFont="1" applyFill="1"/>
    <xf numFmtId="0" fontId="169" fillId="0" borderId="0" xfId="229" applyFont="1"/>
    <xf numFmtId="164" fontId="165" fillId="27" borderId="0" xfId="229" applyNumberFormat="1" applyFont="1" applyFill="1"/>
    <xf numFmtId="0" fontId="165" fillId="0" borderId="7" xfId="229" applyFont="1" applyBorder="1"/>
    <xf numFmtId="3" fontId="165" fillId="0" borderId="7" xfId="229" applyNumberFormat="1" applyFont="1" applyBorder="1"/>
    <xf numFmtId="0" fontId="221" fillId="27" borderId="0" xfId="229" applyFont="1" applyFill="1"/>
    <xf numFmtId="9" fontId="169" fillId="27" borderId="0" xfId="229" applyNumberFormat="1" applyFont="1" applyFill="1"/>
    <xf numFmtId="0" fontId="227" fillId="0" borderId="0" xfId="229" applyFont="1"/>
    <xf numFmtId="9" fontId="165" fillId="0" borderId="0" xfId="229" applyNumberFormat="1" applyFont="1"/>
    <xf numFmtId="9" fontId="165" fillId="27" borderId="0" xfId="229" applyNumberFormat="1" applyFont="1" applyFill="1"/>
    <xf numFmtId="164" fontId="165" fillId="0" borderId="0" xfId="229" applyNumberFormat="1" applyFont="1"/>
    <xf numFmtId="0" fontId="169" fillId="27" borderId="7" xfId="229" applyFont="1" applyFill="1" applyBorder="1"/>
    <xf numFmtId="9" fontId="165" fillId="27" borderId="7" xfId="229" applyNumberFormat="1" applyFont="1" applyFill="1" applyBorder="1"/>
    <xf numFmtId="171" fontId="165" fillId="0" borderId="0" xfId="229" applyNumberFormat="1" applyFont="1"/>
    <xf numFmtId="257" fontId="165" fillId="27" borderId="0" xfId="229" applyNumberFormat="1" applyFont="1" applyFill="1"/>
    <xf numFmtId="0" fontId="165" fillId="27" borderId="7" xfId="229" applyFont="1" applyFill="1" applyBorder="1"/>
    <xf numFmtId="164" fontId="165" fillId="27" borderId="7" xfId="229" applyNumberFormat="1" applyFont="1" applyFill="1" applyBorder="1"/>
    <xf numFmtId="164" fontId="165" fillId="27" borderId="0" xfId="229" applyNumberFormat="1" applyFont="1" applyFill="1" applyAlignment="1">
      <alignment horizontal="right"/>
    </xf>
    <xf numFmtId="0" fontId="221" fillId="0" borderId="0" xfId="229" applyFont="1"/>
    <xf numFmtId="1" fontId="165" fillId="27" borderId="0" xfId="229" applyNumberFormat="1" applyFont="1" applyFill="1"/>
    <xf numFmtId="0" fontId="165" fillId="27" borderId="0" xfId="229" quotePrefix="1" applyFont="1" applyFill="1"/>
    <xf numFmtId="1" fontId="165" fillId="0" borderId="7" xfId="229" applyNumberFormat="1" applyFont="1" applyBorder="1"/>
    <xf numFmtId="164" fontId="165" fillId="0" borderId="7" xfId="229" applyNumberFormat="1" applyFont="1" applyBorder="1"/>
    <xf numFmtId="0" fontId="169" fillId="0" borderId="7" xfId="229" applyFont="1" applyBorder="1"/>
    <xf numFmtId="0" fontId="228" fillId="0" borderId="0" xfId="229" applyFont="1"/>
    <xf numFmtId="4" fontId="165" fillId="27" borderId="0" xfId="229" applyNumberFormat="1" applyFont="1" applyFill="1"/>
    <xf numFmtId="267" fontId="160" fillId="27" borderId="0" xfId="0" applyNumberFormat="1" applyFont="1" applyFill="1" applyAlignment="1">
      <alignment horizontal="right"/>
    </xf>
    <xf numFmtId="4" fontId="173" fillId="2" borderId="1" xfId="9" applyNumberFormat="1" applyFont="1" applyFill="1" applyBorder="1"/>
    <xf numFmtId="3" fontId="207" fillId="0" borderId="0" xfId="0" applyNumberFormat="1" applyFont="1"/>
    <xf numFmtId="268" fontId="160" fillId="0" borderId="0" xfId="0" applyNumberFormat="1" applyFont="1"/>
    <xf numFmtId="268" fontId="174" fillId="0" borderId="0" xfId="0" applyNumberFormat="1" applyFont="1"/>
    <xf numFmtId="268" fontId="160" fillId="3" borderId="0" xfId="0" applyNumberFormat="1" applyFont="1" applyFill="1"/>
    <xf numFmtId="0" fontId="160" fillId="50" borderId="0" xfId="0" applyFont="1" applyFill="1"/>
    <xf numFmtId="269" fontId="160" fillId="0" borderId="0" xfId="0" applyNumberFormat="1" applyFont="1"/>
    <xf numFmtId="268" fontId="173" fillId="0" borderId="0" xfId="7" applyNumberFormat="1" applyFont="1"/>
    <xf numFmtId="3" fontId="206" fillId="0" borderId="0" xfId="2" applyNumberFormat="1" applyFont="1" applyAlignment="1">
      <alignment horizontal="right" vertical="top" wrapText="1"/>
    </xf>
    <xf numFmtId="164" fontId="178" fillId="0" borderId="2" xfId="2" applyNumberFormat="1" applyFont="1" applyBorder="1"/>
    <xf numFmtId="3" fontId="213" fillId="0" borderId="0" xfId="2" applyNumberFormat="1" applyFont="1"/>
    <xf numFmtId="3" fontId="178" fillId="47" borderId="0" xfId="2" applyNumberFormat="1" applyFont="1" applyFill="1"/>
    <xf numFmtId="3" fontId="181" fillId="0" borderId="0" xfId="2" applyNumberFormat="1" applyFont="1"/>
    <xf numFmtId="170" fontId="213" fillId="0" borderId="0" xfId="2" applyNumberFormat="1" applyFont="1"/>
    <xf numFmtId="0" fontId="5" fillId="0" borderId="3" xfId="2" applyBorder="1"/>
    <xf numFmtId="0" fontId="178" fillId="0" borderId="0" xfId="2" applyFont="1" applyAlignment="1">
      <alignment horizontal="center" vertical="center" wrapText="1"/>
    </xf>
    <xf numFmtId="165" fontId="204" fillId="0" borderId="0" xfId="2" applyNumberFormat="1" applyFont="1" applyAlignment="1">
      <alignment horizontal="right"/>
    </xf>
    <xf numFmtId="0" fontId="178" fillId="28" borderId="0" xfId="2" applyFont="1" applyFill="1"/>
    <xf numFmtId="0" fontId="173" fillId="28" borderId="0" xfId="2" applyFont="1" applyFill="1" applyAlignment="1">
      <alignment vertical="center" wrapText="1"/>
    </xf>
    <xf numFmtId="164" fontId="178" fillId="28" borderId="10" xfId="2" applyNumberFormat="1" applyFont="1" applyFill="1" applyBorder="1"/>
    <xf numFmtId="169" fontId="173" fillId="28" borderId="0" xfId="2" applyNumberFormat="1" applyFont="1" applyFill="1"/>
    <xf numFmtId="9" fontId="178" fillId="28" borderId="10" xfId="2" applyNumberFormat="1" applyFont="1" applyFill="1" applyBorder="1"/>
    <xf numFmtId="3" fontId="173" fillId="28" borderId="0" xfId="2" applyNumberFormat="1" applyFont="1" applyFill="1" applyAlignment="1">
      <alignment horizontal="right" vertical="top" wrapText="1"/>
    </xf>
    <xf numFmtId="3" fontId="173" fillId="28" borderId="10" xfId="2" applyNumberFormat="1" applyFont="1" applyFill="1" applyBorder="1"/>
    <xf numFmtId="3" fontId="178" fillId="28" borderId="10" xfId="2" applyNumberFormat="1" applyFont="1" applyFill="1" applyBorder="1"/>
    <xf numFmtId="3" fontId="178" fillId="28" borderId="0" xfId="2" applyNumberFormat="1" applyFont="1" applyFill="1"/>
    <xf numFmtId="165" fontId="173" fillId="28" borderId="0" xfId="2" applyNumberFormat="1" applyFont="1" applyFill="1" applyAlignment="1">
      <alignment horizontal="right" vertical="top" wrapText="1"/>
    </xf>
    <xf numFmtId="9" fontId="178" fillId="28" borderId="7" xfId="2" applyNumberFormat="1" applyFont="1" applyFill="1" applyBorder="1" applyAlignment="1">
      <alignment horizontal="right"/>
    </xf>
    <xf numFmtId="164" fontId="173" fillId="28" borderId="10" xfId="2" applyNumberFormat="1" applyFont="1" applyFill="1" applyBorder="1"/>
    <xf numFmtId="165" fontId="178" fillId="28" borderId="7" xfId="2" applyNumberFormat="1" applyFont="1" applyFill="1" applyBorder="1" applyAlignment="1">
      <alignment horizontal="right"/>
    </xf>
    <xf numFmtId="0" fontId="20" fillId="28" borderId="0" xfId="2" applyFont="1" applyFill="1"/>
    <xf numFmtId="1" fontId="173" fillId="28" borderId="10" xfId="2" applyNumberFormat="1" applyFont="1" applyFill="1" applyBorder="1"/>
    <xf numFmtId="9" fontId="208" fillId="0" borderId="0" xfId="2" applyNumberFormat="1" applyFont="1" applyAlignment="1">
      <alignment horizontal="right" vertical="top" wrapText="1"/>
    </xf>
    <xf numFmtId="169" fontId="182" fillId="0" borderId="0" xfId="2" applyNumberFormat="1" applyFont="1" applyAlignment="1">
      <alignment horizontal="right" vertical="top" wrapText="1"/>
    </xf>
    <xf numFmtId="169" fontId="177" fillId="3" borderId="3" xfId="2" applyNumberFormat="1" applyFont="1" applyFill="1" applyBorder="1" applyAlignment="1">
      <alignment horizontal="right" vertical="top" wrapText="1"/>
    </xf>
    <xf numFmtId="169" fontId="209" fillId="3" borderId="0" xfId="2" applyNumberFormat="1" applyFont="1" applyFill="1" applyAlignment="1">
      <alignment horizontal="right" vertical="top" wrapText="1"/>
    </xf>
    <xf numFmtId="169" fontId="173" fillId="0" borderId="3" xfId="2" applyNumberFormat="1" applyFont="1" applyBorder="1" applyAlignment="1">
      <alignment horizontal="right" vertical="top" wrapText="1"/>
    </xf>
    <xf numFmtId="1" fontId="177" fillId="0" borderId="0" xfId="2" applyNumberFormat="1" applyFont="1"/>
    <xf numFmtId="1" fontId="177" fillId="0" borderId="3" xfId="2" applyNumberFormat="1" applyFont="1" applyBorder="1"/>
    <xf numFmtId="1" fontId="173" fillId="3" borderId="3" xfId="2" applyNumberFormat="1" applyFont="1" applyFill="1" applyBorder="1"/>
    <xf numFmtId="169" fontId="206" fillId="38" borderId="0" xfId="2" applyNumberFormat="1" applyFont="1" applyFill="1" applyAlignment="1">
      <alignment horizontal="right" vertical="top" wrapText="1"/>
    </xf>
    <xf numFmtId="9" fontId="206" fillId="0" borderId="3" xfId="2" applyNumberFormat="1" applyFont="1" applyBorder="1" applyAlignment="1">
      <alignment horizontal="right" vertical="top" wrapText="1"/>
    </xf>
    <xf numFmtId="164" fontId="206" fillId="0" borderId="0" xfId="2" applyNumberFormat="1" applyFont="1" applyAlignment="1">
      <alignment horizontal="right" vertical="top" wrapText="1"/>
    </xf>
    <xf numFmtId="171" fontId="173" fillId="0" borderId="3" xfId="2" applyNumberFormat="1" applyFont="1" applyBorder="1"/>
    <xf numFmtId="171" fontId="173" fillId="0" borderId="0" xfId="2" applyNumberFormat="1" applyFont="1"/>
    <xf numFmtId="164" fontId="182" fillId="0" borderId="0" xfId="2" applyNumberFormat="1" applyFont="1" applyAlignment="1">
      <alignment horizontal="right" vertical="top" wrapText="1"/>
    </xf>
    <xf numFmtId="169" fontId="209" fillId="3" borderId="2" xfId="2" applyNumberFormat="1" applyFont="1" applyFill="1" applyBorder="1" applyAlignment="1">
      <alignment horizontal="right" vertical="top" wrapText="1"/>
    </xf>
    <xf numFmtId="169" fontId="208" fillId="3" borderId="11" xfId="2" applyNumberFormat="1" applyFont="1" applyFill="1" applyBorder="1" applyAlignment="1">
      <alignment horizontal="right" vertical="top" wrapText="1"/>
    </xf>
    <xf numFmtId="169" fontId="206" fillId="3" borderId="0" xfId="2" applyNumberFormat="1" applyFont="1" applyFill="1" applyAlignment="1">
      <alignment horizontal="right" vertical="top" wrapText="1"/>
    </xf>
    <xf numFmtId="2" fontId="207" fillId="0" borderId="3" xfId="0" applyNumberFormat="1" applyFont="1" applyBorder="1"/>
    <xf numFmtId="2" fontId="207" fillId="0" borderId="0" xfId="0" applyNumberFormat="1" applyFont="1"/>
    <xf numFmtId="164" fontId="208" fillId="0" borderId="0" xfId="2" applyNumberFormat="1" applyFont="1" applyAlignment="1">
      <alignment horizontal="right" vertical="top" wrapText="1"/>
    </xf>
    <xf numFmtId="0" fontId="173" fillId="3" borderId="3" xfId="2" applyFont="1" applyFill="1" applyBorder="1"/>
    <xf numFmtId="164" fontId="206" fillId="0" borderId="3" xfId="2" applyNumberFormat="1" applyFont="1" applyBorder="1" applyAlignment="1">
      <alignment horizontal="right" vertical="top" wrapText="1"/>
    </xf>
    <xf numFmtId="169" fontId="209" fillId="3" borderId="3" xfId="2" applyNumberFormat="1" applyFont="1" applyFill="1" applyBorder="1" applyAlignment="1">
      <alignment horizontal="right" vertical="top" wrapText="1"/>
    </xf>
    <xf numFmtId="9" fontId="173" fillId="0" borderId="9" xfId="2" applyNumberFormat="1" applyFont="1" applyBorder="1"/>
    <xf numFmtId="2" fontId="178" fillId="0" borderId="2" xfId="2" applyNumberFormat="1" applyFont="1" applyBorder="1"/>
    <xf numFmtId="0" fontId="173" fillId="0" borderId="9" xfId="2" applyFont="1" applyBorder="1"/>
    <xf numFmtId="0" fontId="178" fillId="0" borderId="3" xfId="2" applyFont="1" applyBorder="1"/>
    <xf numFmtId="0" fontId="178" fillId="0" borderId="9" xfId="2" applyFont="1" applyBorder="1"/>
    <xf numFmtId="169" fontId="208" fillId="3" borderId="9" xfId="2" applyNumberFormat="1" applyFont="1" applyFill="1" applyBorder="1" applyAlignment="1">
      <alignment horizontal="right" vertical="top" wrapText="1"/>
    </xf>
    <xf numFmtId="165" fontId="178" fillId="0" borderId="2" xfId="2" applyNumberFormat="1" applyFont="1" applyBorder="1" applyAlignment="1">
      <alignment horizontal="right"/>
    </xf>
    <xf numFmtId="165" fontId="208" fillId="0" borderId="0" xfId="2" applyNumberFormat="1" applyFont="1" applyAlignment="1">
      <alignment horizontal="right" vertical="top" wrapText="1"/>
    </xf>
    <xf numFmtId="165" fontId="205" fillId="0" borderId="0" xfId="2" applyNumberFormat="1" applyFont="1" applyAlignment="1">
      <alignment horizontal="center" vertical="top" wrapText="1"/>
    </xf>
    <xf numFmtId="165" fontId="206" fillId="0" borderId="0" xfId="2" applyNumberFormat="1" applyFont="1" applyAlignment="1">
      <alignment horizontal="right" vertical="top" wrapText="1"/>
    </xf>
    <xf numFmtId="10" fontId="208" fillId="0" borderId="0" xfId="2" applyNumberFormat="1" applyFont="1" applyAlignment="1">
      <alignment horizontal="right" vertical="top" wrapText="1"/>
    </xf>
    <xf numFmtId="0" fontId="173" fillId="0" borderId="0" xfId="2" applyFont="1" applyAlignment="1">
      <alignment wrapText="1"/>
    </xf>
    <xf numFmtId="165" fontId="210" fillId="0" borderId="0" xfId="2" applyNumberFormat="1" applyFont="1" applyAlignment="1">
      <alignment vertical="top"/>
    </xf>
    <xf numFmtId="165" fontId="203" fillId="0" borderId="7" xfId="2" applyNumberFormat="1" applyFont="1" applyBorder="1" applyAlignment="1">
      <alignment vertical="top"/>
    </xf>
    <xf numFmtId="165" fontId="202" fillId="0" borderId="10" xfId="2" applyNumberFormat="1" applyFont="1" applyBorder="1" applyAlignment="1">
      <alignment vertical="top"/>
    </xf>
    <xf numFmtId="165" fontId="205" fillId="0" borderId="2" xfId="2" applyNumberFormat="1" applyFont="1" applyBorder="1" applyAlignment="1">
      <alignment horizontal="center" vertical="top" wrapText="1"/>
    </xf>
    <xf numFmtId="165" fontId="206" fillId="0" borderId="3" xfId="2" applyNumberFormat="1" applyFont="1" applyBorder="1" applyAlignment="1">
      <alignment horizontal="right" vertical="top" wrapText="1"/>
    </xf>
    <xf numFmtId="165" fontId="206" fillId="0" borderId="2" xfId="2" applyNumberFormat="1" applyFont="1" applyBorder="1" applyAlignment="1">
      <alignment horizontal="right" vertical="top" wrapText="1"/>
    </xf>
    <xf numFmtId="165" fontId="208" fillId="0" borderId="9" xfId="2" applyNumberFormat="1" applyFont="1" applyBorder="1" applyAlignment="1">
      <alignment horizontal="right" vertical="top" wrapText="1"/>
    </xf>
    <xf numFmtId="165" fontId="208" fillId="0" borderId="11" xfId="2" applyNumberFormat="1" applyFont="1" applyBorder="1" applyAlignment="1">
      <alignment horizontal="right" vertical="top" wrapText="1"/>
    </xf>
    <xf numFmtId="165" fontId="209" fillId="0" borderId="3" xfId="2" applyNumberFormat="1" applyFont="1" applyBorder="1" applyAlignment="1">
      <alignment horizontal="right" vertical="top" wrapText="1"/>
    </xf>
    <xf numFmtId="165" fontId="209" fillId="0" borderId="0" xfId="2" applyNumberFormat="1" applyFont="1" applyAlignment="1">
      <alignment horizontal="right" vertical="top" wrapText="1"/>
    </xf>
    <xf numFmtId="165" fontId="209" fillId="0" borderId="2" xfId="2" applyNumberFormat="1" applyFont="1" applyBorder="1" applyAlignment="1">
      <alignment horizontal="right" vertical="top" wrapText="1"/>
    </xf>
    <xf numFmtId="0" fontId="178" fillId="0" borderId="1" xfId="2" applyFont="1" applyBorder="1"/>
    <xf numFmtId="0" fontId="229" fillId="0" borderId="7" xfId="0" applyFont="1" applyBorder="1"/>
    <xf numFmtId="0" fontId="230" fillId="0" borderId="7" xfId="0" applyFont="1" applyBorder="1"/>
    <xf numFmtId="0" fontId="229" fillId="0" borderId="7" xfId="0" applyFont="1" applyBorder="1" applyAlignment="1">
      <alignment horizontal="right"/>
    </xf>
    <xf numFmtId="0" fontId="231" fillId="27" borderId="0" xfId="0" applyFont="1" applyFill="1"/>
    <xf numFmtId="0" fontId="230" fillId="27" borderId="0" xfId="0" applyFont="1" applyFill="1"/>
    <xf numFmtId="0" fontId="229" fillId="27" borderId="0" xfId="0" applyFont="1" applyFill="1" applyAlignment="1">
      <alignment horizontal="right"/>
    </xf>
    <xf numFmtId="0" fontId="230" fillId="0" borderId="0" xfId="0" applyFont="1"/>
    <xf numFmtId="164" fontId="230" fillId="0" borderId="0" xfId="0" applyNumberFormat="1" applyFont="1"/>
    <xf numFmtId="164" fontId="230" fillId="27" borderId="0" xfId="0" applyNumberFormat="1" applyFont="1" applyFill="1"/>
    <xf numFmtId="0" fontId="231" fillId="0" borderId="0" xfId="0" applyFont="1"/>
    <xf numFmtId="0" fontId="230" fillId="27" borderId="0" xfId="0" applyFont="1" applyFill="1" applyAlignment="1">
      <alignment horizontal="left" indent="1"/>
    </xf>
    <xf numFmtId="0" fontId="230" fillId="0" borderId="0" xfId="0" applyFont="1" applyAlignment="1">
      <alignment horizontal="left" indent="2"/>
    </xf>
    <xf numFmtId="0" fontId="230" fillId="27" borderId="0" xfId="0" applyFont="1" applyFill="1" applyAlignment="1">
      <alignment horizontal="left" indent="2"/>
    </xf>
    <xf numFmtId="1" fontId="230" fillId="27" borderId="0" xfId="0" applyNumberFormat="1" applyFont="1" applyFill="1"/>
    <xf numFmtId="3" fontId="230" fillId="0" borderId="0" xfId="0" applyNumberFormat="1" applyFont="1"/>
    <xf numFmtId="3" fontId="230" fillId="27" borderId="0" xfId="0" applyNumberFormat="1" applyFont="1" applyFill="1"/>
    <xf numFmtId="0" fontId="230" fillId="27" borderId="7" xfId="0" applyFont="1" applyFill="1" applyBorder="1"/>
    <xf numFmtId="3" fontId="230" fillId="27" borderId="7" xfId="0" applyNumberFormat="1" applyFont="1" applyFill="1" applyBorder="1"/>
    <xf numFmtId="0" fontId="229" fillId="0" borderId="0" xfId="0" applyFont="1"/>
    <xf numFmtId="3" fontId="229" fillId="0" borderId="0" xfId="0" applyNumberFormat="1" applyFont="1"/>
    <xf numFmtId="4" fontId="230" fillId="0" borderId="0" xfId="0" applyNumberFormat="1" applyFont="1"/>
    <xf numFmtId="4" fontId="230" fillId="27" borderId="0" xfId="0" applyNumberFormat="1" applyFont="1" applyFill="1"/>
    <xf numFmtId="4" fontId="229" fillId="0" borderId="0" xfId="0" applyNumberFormat="1" applyFont="1"/>
    <xf numFmtId="0" fontId="229" fillId="27" borderId="0" xfId="0" applyFont="1" applyFill="1"/>
    <xf numFmtId="3" fontId="229" fillId="27" borderId="0" xfId="0" applyNumberFormat="1" applyFont="1" applyFill="1"/>
    <xf numFmtId="0" fontId="230" fillId="0" borderId="0" xfId="0" applyFont="1" applyAlignment="1">
      <alignment horizontal="left" indent="1"/>
    </xf>
    <xf numFmtId="9" fontId="230" fillId="27" borderId="7" xfId="6" applyFont="1" applyFill="1" applyBorder="1"/>
    <xf numFmtId="9" fontId="230" fillId="0" borderId="0" xfId="6" applyFont="1" applyFill="1"/>
    <xf numFmtId="9" fontId="230" fillId="27" borderId="0" xfId="6" applyFont="1" applyFill="1"/>
    <xf numFmtId="1" fontId="229" fillId="27" borderId="0" xfId="0" applyNumberFormat="1" applyFont="1" applyFill="1"/>
    <xf numFmtId="0" fontId="230" fillId="0" borderId="7" xfId="0" applyFont="1" applyBorder="1" applyAlignment="1">
      <alignment horizontal="left" indent="1"/>
    </xf>
    <xf numFmtId="164" fontId="230" fillId="0" borderId="7" xfId="6" applyNumberFormat="1" applyFont="1" applyFill="1" applyBorder="1"/>
    <xf numFmtId="258" fontId="230" fillId="27" borderId="7" xfId="0" applyNumberFormat="1" applyFont="1" applyFill="1" applyBorder="1"/>
    <xf numFmtId="164" fontId="158" fillId="0" borderId="0" xfId="2" applyNumberFormat="1" applyFont="1" applyAlignment="1">
      <alignment horizontal="right"/>
    </xf>
    <xf numFmtId="3" fontId="2" fillId="0" borderId="10" xfId="0" applyNumberFormat="1" applyFont="1" applyBorder="1" applyAlignment="1">
      <alignment horizontal="right"/>
    </xf>
    <xf numFmtId="164" fontId="165" fillId="27" borderId="51" xfId="0" applyNumberFormat="1" applyFont="1" applyFill="1" applyBorder="1" applyAlignment="1">
      <alignment horizontal="right"/>
    </xf>
    <xf numFmtId="3" fontId="20" fillId="0" borderId="0" xfId="411" applyNumberFormat="1" applyFont="1"/>
    <xf numFmtId="166" fontId="20" fillId="0" borderId="0" xfId="412" applyNumberFormat="1" applyFont="1" applyFill="1"/>
    <xf numFmtId="164" fontId="165" fillId="0" borderId="34" xfId="0" applyNumberFormat="1" applyFont="1" applyBorder="1"/>
    <xf numFmtId="0" fontId="165" fillId="36" borderId="55" xfId="0" applyFont="1" applyFill="1" applyBorder="1"/>
    <xf numFmtId="0" fontId="165" fillId="36" borderId="15" xfId="0" applyFont="1" applyFill="1" applyBorder="1"/>
    <xf numFmtId="164" fontId="165" fillId="36" borderId="15" xfId="0" applyNumberFormat="1" applyFont="1" applyFill="1" applyBorder="1"/>
    <xf numFmtId="164" fontId="165" fillId="36" borderId="56" xfId="0" applyNumberFormat="1" applyFont="1" applyFill="1" applyBorder="1"/>
    <xf numFmtId="0" fontId="165" fillId="36" borderId="54" xfId="0" applyFont="1" applyFill="1" applyBorder="1"/>
    <xf numFmtId="0" fontId="165" fillId="36" borderId="0" xfId="0" applyFont="1" applyFill="1"/>
    <xf numFmtId="170" fontId="165" fillId="36" borderId="0" xfId="0" applyNumberFormat="1" applyFont="1" applyFill="1" applyAlignment="1">
      <alignment horizontal="center"/>
    </xf>
    <xf numFmtId="164" fontId="165" fillId="36" borderId="34" xfId="0" applyNumberFormat="1" applyFont="1" applyFill="1" applyBorder="1" applyAlignment="1">
      <alignment horizontal="center"/>
    </xf>
    <xf numFmtId="170" fontId="165" fillId="36" borderId="15" xfId="0" applyNumberFormat="1" applyFont="1" applyFill="1" applyBorder="1" applyAlignment="1">
      <alignment horizontal="center"/>
    </xf>
    <xf numFmtId="170" fontId="165" fillId="27" borderId="32" xfId="0" applyNumberFormat="1" applyFont="1" applyFill="1" applyBorder="1" applyAlignment="1">
      <alignment horizontal="center"/>
    </xf>
    <xf numFmtId="0" fontId="165" fillId="27" borderId="32" xfId="0" applyFont="1" applyFill="1" applyBorder="1" applyAlignment="1">
      <alignment horizontal="center"/>
    </xf>
    <xf numFmtId="164" fontId="165" fillId="27" borderId="51" xfId="0" applyNumberFormat="1" applyFont="1" applyFill="1" applyBorder="1" applyAlignment="1">
      <alignment horizontal="center"/>
    </xf>
    <xf numFmtId="170" fontId="165" fillId="27" borderId="0" xfId="0" applyNumberFormat="1" applyFont="1" applyFill="1" applyAlignment="1">
      <alignment horizontal="center"/>
    </xf>
    <xf numFmtId="170" fontId="165" fillId="27" borderId="51" xfId="0" applyNumberFormat="1" applyFont="1" applyFill="1" applyBorder="1" applyAlignment="1">
      <alignment horizontal="center"/>
    </xf>
    <xf numFmtId="170" fontId="165" fillId="36" borderId="34" xfId="0" applyNumberFormat="1" applyFont="1" applyFill="1" applyBorder="1" applyAlignment="1">
      <alignment horizontal="center"/>
    </xf>
    <xf numFmtId="170" fontId="165" fillId="27" borderId="34" xfId="0" applyNumberFormat="1" applyFont="1" applyFill="1" applyBorder="1" applyAlignment="1">
      <alignment horizontal="center"/>
    </xf>
    <xf numFmtId="170" fontId="165" fillId="36" borderId="56" xfId="0" applyNumberFormat="1" applyFont="1" applyFill="1" applyBorder="1" applyAlignment="1">
      <alignment horizontal="center"/>
    </xf>
    <xf numFmtId="0" fontId="216" fillId="0" borderId="0" xfId="0" applyFont="1" applyAlignment="1">
      <alignment vertical="center" wrapText="1"/>
    </xf>
    <xf numFmtId="0" fontId="216" fillId="0" borderId="0" xfId="0" applyFont="1" applyAlignment="1">
      <alignment vertical="center"/>
    </xf>
    <xf numFmtId="0" fontId="216" fillId="36" borderId="0" xfId="0" applyFont="1" applyFill="1" applyAlignment="1">
      <alignment vertical="center" wrapText="1"/>
    </xf>
    <xf numFmtId="0" fontId="165" fillId="36" borderId="0" xfId="0" applyFont="1" applyFill="1" applyAlignment="1">
      <alignment vertical="center" wrapText="1"/>
    </xf>
    <xf numFmtId="0" fontId="216" fillId="36" borderId="0" xfId="0" applyFont="1" applyFill="1" applyAlignment="1">
      <alignment horizontal="center" vertical="center" wrapText="1"/>
    </xf>
    <xf numFmtId="164" fontId="0" fillId="0" borderId="0" xfId="0" applyNumberFormat="1" applyAlignment="1">
      <alignment horizontal="right"/>
    </xf>
    <xf numFmtId="165" fontId="178" fillId="46" borderId="2" xfId="2" applyNumberFormat="1" applyFont="1" applyFill="1" applyBorder="1" applyAlignment="1">
      <alignment horizontal="center" vertical="top" wrapText="1"/>
    </xf>
    <xf numFmtId="0" fontId="173" fillId="46" borderId="0" xfId="2" applyFont="1" applyFill="1"/>
    <xf numFmtId="0" fontId="173" fillId="46" borderId="2" xfId="2" applyFont="1" applyFill="1" applyBorder="1"/>
    <xf numFmtId="169" fontId="208" fillId="46" borderId="11" xfId="2" applyNumberFormat="1" applyFont="1" applyFill="1" applyBorder="1" applyAlignment="1">
      <alignment horizontal="right" vertical="top" wrapText="1"/>
    </xf>
    <xf numFmtId="9" fontId="173" fillId="46" borderId="0" xfId="2" applyNumberFormat="1" applyFont="1" applyFill="1"/>
    <xf numFmtId="9" fontId="173" fillId="46" borderId="2" xfId="2" applyNumberFormat="1" applyFont="1" applyFill="1" applyBorder="1"/>
    <xf numFmtId="169" fontId="173" fillId="46" borderId="2" xfId="2" applyNumberFormat="1" applyFont="1" applyFill="1" applyBorder="1" applyAlignment="1">
      <alignment horizontal="right" vertical="top" wrapText="1"/>
    </xf>
    <xf numFmtId="169" fontId="173" fillId="46" borderId="8" xfId="2" applyNumberFormat="1" applyFont="1" applyFill="1" applyBorder="1" applyAlignment="1">
      <alignment horizontal="right" vertical="top" wrapText="1"/>
    </xf>
    <xf numFmtId="164" fontId="173" fillId="46" borderId="2" xfId="2" applyNumberFormat="1" applyFont="1" applyFill="1" applyBorder="1"/>
    <xf numFmtId="164" fontId="178" fillId="46" borderId="2" xfId="2" applyNumberFormat="1" applyFont="1" applyFill="1" applyBorder="1"/>
    <xf numFmtId="3" fontId="173" fillId="46" borderId="2" xfId="2" applyNumberFormat="1" applyFont="1" applyFill="1" applyBorder="1"/>
    <xf numFmtId="3" fontId="173" fillId="46" borderId="11" xfId="2" applyNumberFormat="1" applyFont="1" applyFill="1" applyBorder="1"/>
    <xf numFmtId="3" fontId="178" fillId="46" borderId="10" xfId="2" applyNumberFormat="1" applyFont="1" applyFill="1" applyBorder="1"/>
    <xf numFmtId="3" fontId="178" fillId="46" borderId="11" xfId="2" applyNumberFormat="1" applyFont="1" applyFill="1" applyBorder="1"/>
    <xf numFmtId="3" fontId="178" fillId="46" borderId="0" xfId="2" applyNumberFormat="1" applyFont="1" applyFill="1"/>
    <xf numFmtId="3" fontId="178" fillId="46" borderId="2" xfId="2" applyNumberFormat="1" applyFont="1" applyFill="1" applyBorder="1"/>
    <xf numFmtId="1" fontId="173" fillId="46" borderId="0" xfId="2" applyNumberFormat="1" applyFont="1" applyFill="1"/>
    <xf numFmtId="1" fontId="173" fillId="46" borderId="2" xfId="2" applyNumberFormat="1" applyFont="1" applyFill="1" applyBorder="1"/>
    <xf numFmtId="3" fontId="173" fillId="46" borderId="0" xfId="2" applyNumberFormat="1" applyFont="1" applyFill="1"/>
    <xf numFmtId="170" fontId="173" fillId="46" borderId="2" xfId="2" applyNumberFormat="1" applyFont="1" applyFill="1" applyBorder="1"/>
    <xf numFmtId="9" fontId="173" fillId="46" borderId="11" xfId="2" applyNumberFormat="1" applyFont="1" applyFill="1" applyBorder="1"/>
    <xf numFmtId="164" fontId="173" fillId="46" borderId="11" xfId="2" applyNumberFormat="1" applyFont="1" applyFill="1" applyBorder="1"/>
    <xf numFmtId="165" fontId="178" fillId="46" borderId="7" xfId="2" applyNumberFormat="1" applyFont="1" applyFill="1" applyBorder="1" applyAlignment="1">
      <alignment horizontal="right"/>
    </xf>
    <xf numFmtId="9" fontId="173" fillId="46" borderId="8" xfId="2" applyNumberFormat="1" applyFont="1" applyFill="1" applyBorder="1"/>
    <xf numFmtId="165" fontId="178" fillId="46" borderId="0" xfId="2" applyNumberFormat="1" applyFont="1" applyFill="1" applyAlignment="1">
      <alignment horizontal="right"/>
    </xf>
    <xf numFmtId="0" fontId="5" fillId="46" borderId="0" xfId="2" applyFill="1"/>
    <xf numFmtId="0" fontId="5" fillId="46" borderId="2" xfId="2" applyFill="1" applyBorder="1"/>
    <xf numFmtId="170" fontId="173" fillId="46" borderId="0" xfId="2" applyNumberFormat="1" applyFont="1" applyFill="1"/>
    <xf numFmtId="170" fontId="177" fillId="46" borderId="0" xfId="2" applyNumberFormat="1" applyFont="1" applyFill="1"/>
    <xf numFmtId="1" fontId="173" fillId="46" borderId="11" xfId="2" applyNumberFormat="1" applyFont="1" applyFill="1" applyBorder="1"/>
    <xf numFmtId="1" fontId="173" fillId="46" borderId="8" xfId="2" applyNumberFormat="1" applyFont="1" applyFill="1" applyBorder="1"/>
    <xf numFmtId="1" fontId="174" fillId="3" borderId="0" xfId="0" applyNumberFormat="1" applyFont="1" applyFill="1"/>
    <xf numFmtId="1" fontId="182" fillId="0" borderId="0" xfId="0" applyNumberFormat="1" applyFont="1"/>
    <xf numFmtId="9" fontId="174" fillId="3" borderId="0" xfId="0" applyNumberFormat="1" applyFont="1" applyFill="1"/>
    <xf numFmtId="1" fontId="207" fillId="0" borderId="0" xfId="0" applyNumberFormat="1" applyFont="1"/>
    <xf numFmtId="169" fontId="178" fillId="46" borderId="11" xfId="2" applyNumberFormat="1" applyFont="1" applyFill="1" applyBorder="1" applyAlignment="1">
      <alignment horizontal="right" vertical="top" wrapText="1"/>
    </xf>
    <xf numFmtId="169" fontId="178" fillId="46" borderId="0" xfId="2" applyNumberFormat="1" applyFont="1" applyFill="1" applyAlignment="1">
      <alignment horizontal="right" vertical="top" wrapText="1"/>
    </xf>
    <xf numFmtId="169" fontId="178" fillId="46" borderId="2" xfId="2" applyNumberFormat="1" applyFont="1" applyFill="1" applyBorder="1" applyAlignment="1">
      <alignment horizontal="right" vertical="top" wrapText="1"/>
    </xf>
    <xf numFmtId="165" fontId="178" fillId="46" borderId="8" xfId="2" applyNumberFormat="1" applyFont="1" applyFill="1" applyBorder="1" applyAlignment="1">
      <alignment horizontal="center" vertical="top" wrapText="1"/>
    </xf>
    <xf numFmtId="164" fontId="207" fillId="0" borderId="3" xfId="2" applyNumberFormat="1" applyFont="1" applyBorder="1"/>
    <xf numFmtId="0" fontId="173" fillId="46" borderId="2" xfId="2" applyFont="1" applyFill="1" applyBorder="1" applyAlignment="1">
      <alignment horizontal="right"/>
    </xf>
    <xf numFmtId="2" fontId="173" fillId="46" borderId="2" xfId="2" applyNumberFormat="1" applyFont="1" applyFill="1" applyBorder="1"/>
    <xf numFmtId="0" fontId="20" fillId="46" borderId="2" xfId="2" applyFont="1" applyFill="1" applyBorder="1"/>
    <xf numFmtId="0" fontId="173" fillId="46" borderId="8" xfId="2" applyFont="1" applyFill="1" applyBorder="1"/>
    <xf numFmtId="164" fontId="173" fillId="3" borderId="0" xfId="2" applyNumberFormat="1" applyFont="1" applyFill="1"/>
    <xf numFmtId="10" fontId="173" fillId="0" borderId="0" xfId="2" applyNumberFormat="1" applyFont="1"/>
    <xf numFmtId="164" fontId="173" fillId="46" borderId="2" xfId="6" applyNumberFormat="1" applyFont="1" applyFill="1" applyBorder="1" applyAlignment="1">
      <alignment horizontal="right" vertical="top" wrapText="1"/>
    </xf>
    <xf numFmtId="171" fontId="174" fillId="0" borderId="10" xfId="0" applyNumberFormat="1" applyFont="1" applyBorder="1"/>
    <xf numFmtId="3" fontId="173" fillId="46" borderId="2" xfId="2" applyNumberFormat="1" applyFont="1" applyFill="1" applyBorder="1" applyAlignment="1">
      <alignment horizontal="right" vertical="top" wrapText="1"/>
    </xf>
    <xf numFmtId="171" fontId="173" fillId="46" borderId="2" xfId="2" applyNumberFormat="1" applyFont="1" applyFill="1" applyBorder="1" applyAlignment="1">
      <alignment horizontal="right" vertical="top" wrapText="1"/>
    </xf>
    <xf numFmtId="167" fontId="173" fillId="3" borderId="0" xfId="7" applyNumberFormat="1" applyFont="1" applyFill="1"/>
    <xf numFmtId="0" fontId="160" fillId="51" borderId="0" xfId="0" applyFont="1" applyFill="1"/>
    <xf numFmtId="164" fontId="173" fillId="0" borderId="0" xfId="6" applyNumberFormat="1" applyFont="1"/>
    <xf numFmtId="0" fontId="173" fillId="0" borderId="0" xfId="7" applyFont="1" applyAlignment="1">
      <alignment horizontal="right"/>
    </xf>
    <xf numFmtId="3" fontId="173" fillId="3" borderId="7" xfId="9" applyNumberFormat="1" applyFont="1" applyFill="1" applyBorder="1"/>
    <xf numFmtId="164" fontId="0" fillId="0" borderId="0" xfId="6" applyNumberFormat="1" applyFont="1" applyAlignment="1">
      <alignment horizontal="right"/>
    </xf>
    <xf numFmtId="170" fontId="0" fillId="0" borderId="0" xfId="6" applyNumberFormat="1" applyFont="1" applyAlignment="1">
      <alignment horizontal="right"/>
    </xf>
    <xf numFmtId="0" fontId="165" fillId="36" borderId="0" xfId="0" applyFont="1" applyFill="1" applyAlignment="1">
      <alignment horizontal="center"/>
    </xf>
    <xf numFmtId="170" fontId="165" fillId="27" borderId="15" xfId="0" applyNumberFormat="1" applyFont="1" applyFill="1" applyBorder="1" applyAlignment="1">
      <alignment horizontal="center"/>
    </xf>
    <xf numFmtId="0" fontId="165" fillId="27" borderId="15" xfId="0" applyFont="1" applyFill="1" applyBorder="1" applyAlignment="1">
      <alignment horizontal="center"/>
    </xf>
    <xf numFmtId="164" fontId="165" fillId="27" borderId="56" xfId="0" applyNumberFormat="1" applyFont="1" applyFill="1" applyBorder="1" applyAlignment="1">
      <alignment horizontal="center"/>
    </xf>
    <xf numFmtId="9" fontId="174" fillId="0" borderId="0" xfId="6" applyFont="1"/>
    <xf numFmtId="3" fontId="178" fillId="0" borderId="0" xfId="0" applyNumberFormat="1" applyFont="1"/>
    <xf numFmtId="167" fontId="173" fillId="3" borderId="0" xfId="5" applyNumberFormat="1" applyFont="1" applyFill="1" applyBorder="1"/>
    <xf numFmtId="3" fontId="174" fillId="3" borderId="4" xfId="0" applyNumberFormat="1" applyFont="1" applyFill="1" applyBorder="1"/>
    <xf numFmtId="3" fontId="160" fillId="51" borderId="0" xfId="0" applyNumberFormat="1" applyFont="1" applyFill="1"/>
    <xf numFmtId="9" fontId="160" fillId="51" borderId="0" xfId="0" applyNumberFormat="1" applyFont="1" applyFill="1"/>
    <xf numFmtId="3" fontId="173" fillId="51" borderId="0" xfId="7" applyNumberFormat="1" applyFont="1" applyFill="1"/>
    <xf numFmtId="164" fontId="173" fillId="51" borderId="0" xfId="7" applyNumberFormat="1" applyFont="1" applyFill="1"/>
    <xf numFmtId="3" fontId="173" fillId="47" borderId="2" xfId="2" applyNumberFormat="1" applyFont="1" applyFill="1" applyBorder="1"/>
    <xf numFmtId="1" fontId="173" fillId="0" borderId="0" xfId="0" applyNumberFormat="1" applyFont="1"/>
    <xf numFmtId="2" fontId="173" fillId="0" borderId="0" xfId="0" applyNumberFormat="1" applyFont="1"/>
    <xf numFmtId="170" fontId="165" fillId="0" borderId="0" xfId="0" applyNumberFormat="1" applyFont="1"/>
    <xf numFmtId="164" fontId="165" fillId="36" borderId="0" xfId="0" applyNumberFormat="1" applyFont="1" applyFill="1" applyAlignment="1">
      <alignment horizontal="center"/>
    </xf>
    <xf numFmtId="0" fontId="216" fillId="0" borderId="4" xfId="0" applyFont="1" applyBorder="1"/>
    <xf numFmtId="0" fontId="216" fillId="0" borderId="4" xfId="0" applyFont="1" applyBorder="1" applyAlignment="1">
      <alignment horizontal="right"/>
    </xf>
    <xf numFmtId="0" fontId="165" fillId="27" borderId="0" xfId="0" applyFont="1" applyFill="1" applyAlignment="1">
      <alignment horizontal="right"/>
    </xf>
    <xf numFmtId="0" fontId="216" fillId="0" borderId="4" xfId="0" applyFont="1" applyBorder="1" applyAlignment="1">
      <alignment horizontal="center"/>
    </xf>
    <xf numFmtId="0" fontId="165" fillId="27" borderId="0" xfId="0" applyFont="1" applyFill="1" applyAlignment="1">
      <alignment horizontal="center"/>
    </xf>
    <xf numFmtId="268" fontId="165" fillId="27" borderId="0" xfId="0" applyNumberFormat="1" applyFont="1" applyFill="1" applyAlignment="1">
      <alignment horizontal="center"/>
    </xf>
    <xf numFmtId="0" fontId="165" fillId="0" borderId="0" xfId="0" applyFont="1" applyAlignment="1">
      <alignment horizontal="center"/>
    </xf>
    <xf numFmtId="268" fontId="165" fillId="0" borderId="0" xfId="0" applyNumberFormat="1" applyFont="1" applyAlignment="1">
      <alignment horizontal="center"/>
    </xf>
    <xf numFmtId="265" fontId="59" fillId="42" borderId="0" xfId="0" applyNumberFormat="1" applyFont="1" applyFill="1"/>
    <xf numFmtId="265" fontId="197" fillId="42" borderId="0" xfId="0" applyNumberFormat="1" applyFont="1" applyFill="1"/>
    <xf numFmtId="9" fontId="160" fillId="0" borderId="0" xfId="6" applyFont="1" applyBorder="1"/>
    <xf numFmtId="0" fontId="229" fillId="0" borderId="0" xfId="0" applyFont="1" applyAlignment="1">
      <alignment horizontal="right"/>
    </xf>
    <xf numFmtId="9" fontId="230" fillId="27" borderId="0" xfId="6" applyFont="1" applyFill="1" applyBorder="1"/>
    <xf numFmtId="258" fontId="230" fillId="27" borderId="0" xfId="0" applyNumberFormat="1" applyFont="1" applyFill="1"/>
    <xf numFmtId="0" fontId="178" fillId="0" borderId="0" xfId="0" applyFont="1" applyAlignment="1">
      <alignment horizontal="right"/>
    </xf>
    <xf numFmtId="0" fontId="178" fillId="0" borderId="0" xfId="9" applyFont="1" applyAlignment="1">
      <alignment horizontal="right"/>
    </xf>
    <xf numFmtId="0" fontId="174" fillId="34" borderId="7" xfId="0" applyFont="1" applyFill="1" applyBorder="1"/>
    <xf numFmtId="170" fontId="173" fillId="0" borderId="0" xfId="7" applyNumberFormat="1" applyFont="1"/>
    <xf numFmtId="3" fontId="0" fillId="46" borderId="0" xfId="0" applyNumberFormat="1" applyFill="1"/>
    <xf numFmtId="268" fontId="0" fillId="0" borderId="0" xfId="0" applyNumberFormat="1"/>
    <xf numFmtId="1" fontId="2" fillId="0" borderId="0" xfId="0" applyNumberFormat="1" applyFont="1"/>
    <xf numFmtId="178" fontId="0" fillId="0" borderId="0" xfId="0" applyNumberFormat="1"/>
    <xf numFmtId="9" fontId="0" fillId="0" borderId="0" xfId="6" applyFont="1"/>
    <xf numFmtId="0" fontId="2" fillId="3" borderId="0" xfId="0" applyFont="1" applyFill="1"/>
    <xf numFmtId="2" fontId="2" fillId="0" borderId="0" xfId="0" applyNumberFormat="1" applyFont="1"/>
    <xf numFmtId="164" fontId="166" fillId="0" borderId="0" xfId="6" applyNumberFormat="1" applyFont="1"/>
    <xf numFmtId="268" fontId="166" fillId="0" borderId="0" xfId="0" applyNumberFormat="1" applyFont="1"/>
    <xf numFmtId="0" fontId="167" fillId="46" borderId="0" xfId="0" applyFont="1" applyFill="1"/>
    <xf numFmtId="0" fontId="174" fillId="46" borderId="7" xfId="0" applyFont="1" applyFill="1" applyBorder="1" applyAlignment="1">
      <alignment horizontal="right"/>
    </xf>
    <xf numFmtId="3" fontId="177" fillId="46" borderId="0" xfId="0" applyNumberFormat="1" applyFont="1" applyFill="1"/>
    <xf numFmtId="3" fontId="160" fillId="46" borderId="0" xfId="0" applyNumberFormat="1" applyFont="1" applyFill="1"/>
    <xf numFmtId="9" fontId="160" fillId="46" borderId="0" xfId="6" applyFont="1" applyFill="1"/>
    <xf numFmtId="9" fontId="160" fillId="46" borderId="0" xfId="6" applyFont="1" applyFill="1" applyBorder="1"/>
    <xf numFmtId="0" fontId="160" fillId="46" borderId="0" xfId="0" applyFont="1" applyFill="1"/>
    <xf numFmtId="1" fontId="177" fillId="46" borderId="0" xfId="0" applyNumberFormat="1" applyFont="1" applyFill="1"/>
    <xf numFmtId="9" fontId="160" fillId="46" borderId="0" xfId="0" applyNumberFormat="1" applyFont="1" applyFill="1"/>
    <xf numFmtId="0" fontId="229" fillId="46" borderId="7" xfId="0" applyFont="1" applyFill="1" applyBorder="1" applyAlignment="1">
      <alignment horizontal="right"/>
    </xf>
    <xf numFmtId="3" fontId="229" fillId="46" borderId="0" xfId="0" applyNumberFormat="1" applyFont="1" applyFill="1"/>
    <xf numFmtId="3" fontId="230" fillId="46" borderId="0" xfId="0" applyNumberFormat="1" applyFont="1" applyFill="1"/>
    <xf numFmtId="3" fontId="232" fillId="46" borderId="0" xfId="0" applyNumberFormat="1" applyFont="1" applyFill="1"/>
    <xf numFmtId="9" fontId="230" fillId="46" borderId="0" xfId="6" applyFont="1" applyFill="1" applyBorder="1"/>
    <xf numFmtId="9" fontId="230" fillId="46" borderId="0" xfId="6" applyFont="1" applyFill="1"/>
    <xf numFmtId="0" fontId="230" fillId="46" borderId="0" xfId="0" applyFont="1" applyFill="1"/>
    <xf numFmtId="1" fontId="229" fillId="46" borderId="0" xfId="0" applyNumberFormat="1" applyFont="1" applyFill="1"/>
    <xf numFmtId="164" fontId="230" fillId="46" borderId="7" xfId="6" applyNumberFormat="1" applyFont="1" applyFill="1" applyBorder="1"/>
    <xf numFmtId="0" fontId="174" fillId="46" borderId="0" xfId="0" applyFont="1" applyFill="1" applyAlignment="1">
      <alignment horizontal="right"/>
    </xf>
    <xf numFmtId="164" fontId="160" fillId="46" borderId="0" xfId="6" applyNumberFormat="1" applyFont="1" applyFill="1"/>
    <xf numFmtId="164" fontId="160" fillId="46" borderId="0" xfId="0" applyNumberFormat="1" applyFont="1" applyFill="1"/>
    <xf numFmtId="9" fontId="207" fillId="46" borderId="0" xfId="0" applyNumberFormat="1" applyFont="1" applyFill="1"/>
    <xf numFmtId="1" fontId="232" fillId="46" borderId="0" xfId="0" applyNumberFormat="1" applyFont="1" applyFill="1"/>
    <xf numFmtId="3" fontId="232" fillId="46" borderId="7" xfId="0" applyNumberFormat="1" applyFont="1" applyFill="1" applyBorder="1"/>
    <xf numFmtId="258" fontId="230" fillId="46" borderId="7" xfId="0" applyNumberFormat="1" applyFont="1" applyFill="1" applyBorder="1"/>
    <xf numFmtId="170" fontId="173" fillId="46" borderId="0" xfId="0" applyNumberFormat="1" applyFont="1" applyFill="1"/>
    <xf numFmtId="170" fontId="160" fillId="46" borderId="0" xfId="0" applyNumberFormat="1" applyFont="1" applyFill="1"/>
    <xf numFmtId="1" fontId="160" fillId="46" borderId="0" xfId="0" applyNumberFormat="1" applyFont="1" applyFill="1"/>
    <xf numFmtId="164" fontId="165" fillId="46" borderId="0" xfId="0" applyNumberFormat="1" applyFont="1" applyFill="1"/>
    <xf numFmtId="0" fontId="229" fillId="46" borderId="0" xfId="0" applyFont="1" applyFill="1" applyAlignment="1">
      <alignment horizontal="right"/>
    </xf>
    <xf numFmtId="164" fontId="230" fillId="46" borderId="0" xfId="0" applyNumberFormat="1" applyFont="1" applyFill="1"/>
    <xf numFmtId="0" fontId="110" fillId="46" borderId="0" xfId="0" applyFont="1" applyFill="1"/>
    <xf numFmtId="0" fontId="178" fillId="46" borderId="0" xfId="0" applyFont="1" applyFill="1" applyAlignment="1">
      <alignment horizontal="right"/>
    </xf>
    <xf numFmtId="164" fontId="173" fillId="46" borderId="0" xfId="6" applyNumberFormat="1" applyFont="1" applyFill="1" applyBorder="1"/>
    <xf numFmtId="0" fontId="166" fillId="46" borderId="0" xfId="0" applyFont="1" applyFill="1"/>
    <xf numFmtId="0" fontId="167" fillId="46" borderId="0" xfId="0" applyFont="1" applyFill="1" applyAlignment="1">
      <alignment horizontal="right"/>
    </xf>
    <xf numFmtId="164" fontId="166" fillId="46" borderId="0" xfId="0" applyNumberFormat="1" applyFont="1" applyFill="1"/>
    <xf numFmtId="1" fontId="166" fillId="46" borderId="0" xfId="0" applyNumberFormat="1" applyFont="1" applyFill="1"/>
    <xf numFmtId="9" fontId="166" fillId="46" borderId="0" xfId="0" applyNumberFormat="1" applyFont="1" applyFill="1"/>
    <xf numFmtId="164" fontId="207" fillId="0" borderId="0" xfId="6" applyNumberFormat="1" applyFont="1"/>
    <xf numFmtId="0" fontId="178" fillId="0" borderId="6" xfId="2" applyFont="1" applyBorder="1" applyAlignment="1">
      <alignment vertical="center" wrapText="1"/>
    </xf>
    <xf numFmtId="0" fontId="178" fillId="0" borderId="4" xfId="2" applyFont="1" applyBorder="1" applyAlignment="1">
      <alignment vertical="center" wrapText="1"/>
    </xf>
    <xf numFmtId="169" fontId="214" fillId="0" borderId="9" xfId="2" applyNumberFormat="1" applyFont="1" applyBorder="1" applyAlignment="1">
      <alignment horizontal="right" vertical="top" wrapText="1"/>
    </xf>
    <xf numFmtId="164" fontId="169" fillId="27" borderId="0" xfId="6" applyNumberFormat="1" applyFont="1" applyFill="1" applyAlignment="1">
      <alignment horizontal="right"/>
    </xf>
    <xf numFmtId="164" fontId="169" fillId="36" borderId="7" xfId="6" applyNumberFormat="1" applyFont="1" applyFill="1" applyBorder="1"/>
    <xf numFmtId="164" fontId="2" fillId="0" borderId="0" xfId="0" applyNumberFormat="1" applyFont="1" applyAlignment="1">
      <alignment horizontal="right"/>
    </xf>
    <xf numFmtId="0" fontId="178" fillId="46" borderId="5" xfId="2" applyFont="1" applyFill="1" applyBorder="1" applyAlignment="1">
      <alignment vertical="center" wrapText="1"/>
    </xf>
    <xf numFmtId="1" fontId="230" fillId="46" borderId="0" xfId="0" applyNumberFormat="1" applyFont="1" applyFill="1"/>
    <xf numFmtId="258" fontId="230" fillId="46" borderId="0" xfId="0" applyNumberFormat="1" applyFont="1" applyFill="1"/>
    <xf numFmtId="3" fontId="207" fillId="44" borderId="0" xfId="2" applyNumberFormat="1" applyFont="1" applyFill="1"/>
    <xf numFmtId="3" fontId="178" fillId="44" borderId="0" xfId="2" applyNumberFormat="1" applyFont="1" applyFill="1"/>
    <xf numFmtId="164" fontId="174" fillId="0" borderId="0" xfId="6" applyNumberFormat="1" applyFont="1"/>
    <xf numFmtId="0" fontId="174" fillId="0" borderId="0" xfId="0" applyFont="1" applyAlignment="1">
      <alignment horizontal="left" indent="1"/>
    </xf>
    <xf numFmtId="164" fontId="174" fillId="46" borderId="0" xfId="0" applyNumberFormat="1" applyFont="1" applyFill="1"/>
    <xf numFmtId="0" fontId="233" fillId="52" borderId="10" xfId="0" applyFont="1" applyFill="1" applyBorder="1"/>
    <xf numFmtId="0" fontId="234" fillId="52" borderId="10" xfId="0" applyFont="1" applyFill="1" applyBorder="1" applyAlignment="1">
      <alignment horizontal="right"/>
    </xf>
    <xf numFmtId="0" fontId="233" fillId="52" borderId="15" xfId="0" applyFont="1" applyFill="1" applyBorder="1"/>
    <xf numFmtId="0" fontId="233" fillId="52" borderId="15" xfId="0" applyFont="1" applyFill="1" applyBorder="1" applyAlignment="1">
      <alignment horizontal="right"/>
    </xf>
    <xf numFmtId="0" fontId="234" fillId="53" borderId="0" xfId="0" applyFont="1" applyFill="1"/>
    <xf numFmtId="3" fontId="234" fillId="53" borderId="0" xfId="0" applyNumberFormat="1" applyFont="1" applyFill="1"/>
    <xf numFmtId="0" fontId="234" fillId="52" borderId="0" xfId="0" applyFont="1" applyFill="1"/>
    <xf numFmtId="3" fontId="234" fillId="52" borderId="0" xfId="0" applyNumberFormat="1" applyFont="1" applyFill="1"/>
    <xf numFmtId="0" fontId="235" fillId="53" borderId="0" xfId="229" applyFont="1" applyFill="1"/>
    <xf numFmtId="0" fontId="235" fillId="53" borderId="0" xfId="229" applyFont="1" applyFill="1" applyAlignment="1">
      <alignment horizontal="right"/>
    </xf>
    <xf numFmtId="0" fontId="234" fillId="53" borderId="10" xfId="0" applyFont="1" applyFill="1" applyBorder="1"/>
    <xf numFmtId="3" fontId="234" fillId="53" borderId="10" xfId="0" applyNumberFormat="1" applyFont="1" applyFill="1" applyBorder="1"/>
    <xf numFmtId="0" fontId="234" fillId="0" borderId="0" xfId="0" applyFont="1"/>
    <xf numFmtId="0" fontId="235" fillId="0" borderId="0" xfId="229" applyFont="1"/>
    <xf numFmtId="0" fontId="235" fillId="0" borderId="0" xfId="229" applyFont="1" applyAlignment="1">
      <alignment horizontal="right"/>
    </xf>
    <xf numFmtId="3" fontId="234" fillId="0" borderId="0" xfId="0" applyNumberFormat="1" applyFont="1"/>
    <xf numFmtId="0" fontId="138" fillId="53" borderId="0" xfId="0" applyFont="1" applyFill="1"/>
    <xf numFmtId="0" fontId="138" fillId="0" borderId="0" xfId="0" applyFont="1"/>
    <xf numFmtId="0" fontId="234" fillId="0" borderId="0" xfId="229" applyFont="1"/>
    <xf numFmtId="0" fontId="234" fillId="0" borderId="0" xfId="229" applyFont="1" applyAlignment="1">
      <alignment horizontal="right"/>
    </xf>
    <xf numFmtId="164" fontId="169" fillId="53" borderId="0" xfId="8" applyNumberFormat="1" applyFont="1" applyFill="1"/>
    <xf numFmtId="164" fontId="169" fillId="52" borderId="0" xfId="67" applyNumberFormat="1" applyFont="1" applyFill="1" applyBorder="1"/>
    <xf numFmtId="167" fontId="169" fillId="53" borderId="0" xfId="67" applyNumberFormat="1" applyFont="1" applyFill="1" applyBorder="1"/>
    <xf numFmtId="0" fontId="233" fillId="52" borderId="0" xfId="0" applyFont="1" applyFill="1"/>
    <xf numFmtId="166" fontId="169" fillId="52" borderId="0" xfId="67" applyNumberFormat="1" applyFont="1" applyFill="1" applyBorder="1"/>
    <xf numFmtId="166" fontId="169" fillId="53" borderId="0" xfId="67" applyNumberFormat="1" applyFont="1" applyFill="1" applyBorder="1"/>
    <xf numFmtId="0" fontId="234" fillId="52" borderId="7" xfId="0" applyFont="1" applyFill="1" applyBorder="1"/>
    <xf numFmtId="166" fontId="169" fillId="52" borderId="7" xfId="67" applyNumberFormat="1" applyFont="1" applyFill="1" applyBorder="1"/>
    <xf numFmtId="0" fontId="233" fillId="53" borderId="0" xfId="0" applyFont="1" applyFill="1"/>
    <xf numFmtId="166" fontId="170" fillId="53" borderId="0" xfId="8" applyNumberFormat="1" applyFont="1" applyFill="1"/>
    <xf numFmtId="262" fontId="169" fillId="52" borderId="0" xfId="0" applyNumberFormat="1" applyFont="1" applyFill="1"/>
    <xf numFmtId="0" fontId="234" fillId="53" borderId="7" xfId="0" applyFont="1" applyFill="1" applyBorder="1"/>
    <xf numFmtId="262" fontId="169" fillId="53" borderId="7" xfId="0" applyNumberFormat="1" applyFont="1" applyFill="1" applyBorder="1"/>
    <xf numFmtId="166" fontId="170" fillId="52" borderId="0" xfId="0" applyNumberFormat="1" applyFont="1" applyFill="1"/>
    <xf numFmtId="9" fontId="165" fillId="27" borderId="0" xfId="0" applyNumberFormat="1" applyFont="1" applyFill="1"/>
    <xf numFmtId="262" fontId="169" fillId="36" borderId="0" xfId="417" applyNumberFormat="1" applyFont="1" applyFill="1"/>
    <xf numFmtId="9" fontId="216" fillId="27" borderId="26" xfId="0" applyNumberFormat="1" applyFont="1" applyFill="1" applyBorder="1"/>
    <xf numFmtId="3" fontId="234" fillId="36" borderId="0" xfId="0" applyNumberFormat="1" applyFont="1" applyFill="1"/>
    <xf numFmtId="3" fontId="234" fillId="48" borderId="0" xfId="0" applyNumberFormat="1" applyFont="1" applyFill="1"/>
    <xf numFmtId="3" fontId="235" fillId="0" borderId="0" xfId="229" applyNumberFormat="1" applyFont="1"/>
    <xf numFmtId="3" fontId="234" fillId="48" borderId="10" xfId="0" applyNumberFormat="1" applyFont="1" applyFill="1" applyBorder="1"/>
    <xf numFmtId="166" fontId="207" fillId="2" borderId="0" xfId="5" applyNumberFormat="1" applyFont="1" applyFill="1"/>
    <xf numFmtId="166" fontId="207" fillId="3" borderId="0" xfId="7" applyNumberFormat="1" applyFont="1" applyFill="1"/>
    <xf numFmtId="3" fontId="236" fillId="0" borderId="0" xfId="0" applyNumberFormat="1" applyFont="1"/>
    <xf numFmtId="3" fontId="234" fillId="3" borderId="0" xfId="0" applyNumberFormat="1" applyFont="1" applyFill="1"/>
    <xf numFmtId="0" fontId="233" fillId="0" borderId="0" xfId="0" applyFont="1"/>
    <xf numFmtId="0" fontId="233" fillId="0" borderId="0" xfId="229" applyFont="1" applyAlignment="1">
      <alignment horizontal="right"/>
    </xf>
    <xf numFmtId="0" fontId="233" fillId="0" borderId="0" xfId="229" applyFont="1"/>
    <xf numFmtId="268" fontId="206" fillId="0" borderId="2" xfId="2" applyNumberFormat="1" applyFont="1" applyBorder="1" applyAlignment="1">
      <alignment horizontal="right" vertical="top" wrapText="1"/>
    </xf>
    <xf numFmtId="3" fontId="160" fillId="34" borderId="0" xfId="0" applyNumberFormat="1" applyFont="1" applyFill="1"/>
    <xf numFmtId="10" fontId="173" fillId="54" borderId="0" xfId="2" applyNumberFormat="1" applyFont="1" applyFill="1"/>
    <xf numFmtId="9" fontId="173" fillId="0" borderId="0" xfId="6" applyFont="1"/>
    <xf numFmtId="9" fontId="168" fillId="0" borderId="0" xfId="2" applyNumberFormat="1" applyFont="1"/>
    <xf numFmtId="3" fontId="0" fillId="3" borderId="0" xfId="0" quotePrefix="1" applyNumberFormat="1" applyFill="1" applyAlignment="1">
      <alignment horizontal="right"/>
    </xf>
    <xf numFmtId="166" fontId="173" fillId="3" borderId="10" xfId="7" applyNumberFormat="1" applyFont="1" applyFill="1" applyBorder="1"/>
    <xf numFmtId="268" fontId="178" fillId="0" borderId="0" xfId="7" applyNumberFormat="1" applyFont="1"/>
    <xf numFmtId="166" fontId="173" fillId="28" borderId="0" xfId="7" applyNumberFormat="1" applyFont="1" applyFill="1"/>
    <xf numFmtId="166" fontId="207" fillId="3" borderId="0" xfId="5" applyNumberFormat="1" applyFont="1" applyFill="1"/>
    <xf numFmtId="168" fontId="207" fillId="3" borderId="0" xfId="7" applyNumberFormat="1" applyFont="1" applyFill="1"/>
    <xf numFmtId="43" fontId="173" fillId="3" borderId="0" xfId="5" applyFont="1" applyFill="1"/>
    <xf numFmtId="0" fontId="237" fillId="46" borderId="0" xfId="0" applyFont="1" applyFill="1"/>
    <xf numFmtId="0" fontId="238" fillId="0" borderId="0" xfId="0" applyFont="1"/>
    <xf numFmtId="0" fontId="237" fillId="0" borderId="64" xfId="0" applyFont="1" applyBorder="1"/>
    <xf numFmtId="0" fontId="239" fillId="0" borderId="0" xfId="0" applyFont="1"/>
    <xf numFmtId="3" fontId="240" fillId="0" borderId="0" xfId="0" applyNumberFormat="1" applyFont="1"/>
    <xf numFmtId="3" fontId="238" fillId="0" borderId="0" xfId="0" applyNumberFormat="1" applyFont="1"/>
    <xf numFmtId="9" fontId="238" fillId="0" borderId="0" xfId="0" applyNumberFormat="1" applyFont="1"/>
    <xf numFmtId="9" fontId="238" fillId="3" borderId="0" xfId="0" applyNumberFormat="1" applyFont="1" applyFill="1"/>
    <xf numFmtId="9" fontId="240" fillId="0" borderId="0" xfId="0" applyNumberFormat="1" applyFont="1"/>
    <xf numFmtId="0" fontId="241" fillId="0" borderId="0" xfId="0" applyFont="1"/>
    <xf numFmtId="3" fontId="241" fillId="0" borderId="10" xfId="0" applyNumberFormat="1" applyFont="1" applyBorder="1"/>
    <xf numFmtId="164" fontId="238" fillId="0" borderId="0" xfId="0" applyNumberFormat="1" applyFont="1"/>
    <xf numFmtId="164" fontId="238" fillId="3" borderId="0" xfId="0" applyNumberFormat="1" applyFont="1" applyFill="1"/>
    <xf numFmtId="171" fontId="230" fillId="0" borderId="0" xfId="0" applyNumberFormat="1" applyFont="1"/>
    <xf numFmtId="171" fontId="230" fillId="27" borderId="0" xfId="0" applyNumberFormat="1" applyFont="1" applyFill="1"/>
    <xf numFmtId="3" fontId="207" fillId="45" borderId="0" xfId="2" applyNumberFormat="1" applyFont="1" applyFill="1"/>
    <xf numFmtId="3" fontId="207" fillId="45" borderId="3" xfId="2" applyNumberFormat="1" applyFont="1" applyFill="1" applyBorder="1"/>
    <xf numFmtId="164" fontId="173" fillId="45" borderId="0" xfId="2" applyNumberFormat="1" applyFont="1" applyFill="1"/>
    <xf numFmtId="164" fontId="173" fillId="45" borderId="3" xfId="2" applyNumberFormat="1" applyFont="1" applyFill="1" applyBorder="1"/>
    <xf numFmtId="0" fontId="170" fillId="0" borderId="64" xfId="2" applyFont="1" applyBorder="1" applyAlignment="1">
      <alignment horizontal="right"/>
    </xf>
    <xf numFmtId="164" fontId="158" fillId="0" borderId="64" xfId="2" applyNumberFormat="1" applyFont="1" applyBorder="1" applyAlignment="1">
      <alignment horizontal="right"/>
    </xf>
    <xf numFmtId="3" fontId="159" fillId="0" borderId="64" xfId="2" applyNumberFormat="1" applyFont="1" applyBorder="1"/>
    <xf numFmtId="166" fontId="106" fillId="3" borderId="0" xfId="5" applyNumberFormat="1" applyFont="1" applyFill="1"/>
    <xf numFmtId="9" fontId="173" fillId="0" borderId="0" xfId="2" applyNumberFormat="1" applyFont="1" applyAlignment="1">
      <alignment horizontal="right" vertical="top" wrapText="1"/>
    </xf>
    <xf numFmtId="169" fontId="242" fillId="0" borderId="0" xfId="2" applyNumberFormat="1" applyFont="1" applyAlignment="1">
      <alignment horizontal="right" vertical="top" wrapText="1"/>
    </xf>
    <xf numFmtId="3" fontId="243" fillId="0" borderId="0" xfId="0" applyNumberFormat="1" applyFont="1"/>
    <xf numFmtId="169" fontId="207" fillId="51" borderId="0" xfId="2" applyNumberFormat="1" applyFont="1" applyFill="1" applyAlignment="1">
      <alignment horizontal="right" vertical="top" wrapText="1"/>
    </xf>
    <xf numFmtId="169" fontId="207" fillId="51" borderId="3" xfId="2" applyNumberFormat="1" applyFont="1" applyFill="1" applyBorder="1" applyAlignment="1">
      <alignment horizontal="right" vertical="top" wrapText="1"/>
    </xf>
    <xf numFmtId="169" fontId="208" fillId="51" borderId="9" xfId="2" applyNumberFormat="1" applyFont="1" applyFill="1" applyBorder="1" applyAlignment="1">
      <alignment horizontal="right" vertical="top" wrapText="1"/>
    </xf>
    <xf numFmtId="164" fontId="178" fillId="51" borderId="9" xfId="2" applyNumberFormat="1" applyFont="1" applyFill="1" applyBorder="1"/>
    <xf numFmtId="164" fontId="173" fillId="51" borderId="3" xfId="2" applyNumberFormat="1" applyFont="1" applyFill="1" applyBorder="1"/>
    <xf numFmtId="169" fontId="178" fillId="51" borderId="10" xfId="2" applyNumberFormat="1" applyFont="1" applyFill="1" applyBorder="1" applyAlignment="1">
      <alignment horizontal="right" vertical="top" wrapText="1"/>
    </xf>
    <xf numFmtId="9" fontId="173" fillId="3" borderId="3" xfId="2" applyNumberFormat="1" applyFont="1" applyFill="1" applyBorder="1"/>
    <xf numFmtId="0" fontId="5" fillId="28" borderId="0" xfId="2" applyFill="1"/>
    <xf numFmtId="10" fontId="206" fillId="0" borderId="0" xfId="2" applyNumberFormat="1" applyFont="1" applyAlignment="1">
      <alignment horizontal="right" vertical="top" wrapText="1"/>
    </xf>
    <xf numFmtId="0" fontId="178" fillId="46" borderId="0" xfId="2" applyFont="1" applyFill="1" applyAlignment="1">
      <alignment horizontal="left" wrapText="1"/>
    </xf>
    <xf numFmtId="9" fontId="173" fillId="28" borderId="0" xfId="2" applyNumberFormat="1" applyFont="1" applyFill="1" applyAlignment="1">
      <alignment horizontal="right" vertical="top" wrapText="1"/>
    </xf>
    <xf numFmtId="169" fontId="178" fillId="28" borderId="10" xfId="2" applyNumberFormat="1" applyFont="1" applyFill="1" applyBorder="1" applyAlignment="1">
      <alignment horizontal="right" vertical="top" wrapText="1"/>
    </xf>
    <xf numFmtId="169" fontId="178" fillId="28" borderId="0" xfId="2" applyNumberFormat="1" applyFont="1" applyFill="1" applyAlignment="1">
      <alignment horizontal="right" vertical="top" wrapText="1"/>
    </xf>
    <xf numFmtId="169" fontId="178" fillId="28" borderId="7" xfId="2" applyNumberFormat="1" applyFont="1" applyFill="1" applyBorder="1" applyAlignment="1">
      <alignment horizontal="right" vertical="top" wrapText="1"/>
    </xf>
    <xf numFmtId="169" fontId="173" fillId="28" borderId="10" xfId="2" applyNumberFormat="1" applyFont="1" applyFill="1" applyBorder="1" applyAlignment="1">
      <alignment horizontal="right" vertical="top" wrapText="1"/>
    </xf>
    <xf numFmtId="9" fontId="173" fillId="28" borderId="10" xfId="2" applyNumberFormat="1" applyFont="1" applyFill="1" applyBorder="1" applyAlignment="1">
      <alignment horizontal="right" vertical="top" wrapText="1"/>
    </xf>
    <xf numFmtId="164" fontId="173" fillId="28" borderId="0" xfId="6" applyNumberFormat="1" applyFont="1" applyFill="1" applyAlignment="1">
      <alignment horizontal="right" vertical="top" wrapText="1"/>
    </xf>
    <xf numFmtId="164" fontId="173" fillId="28" borderId="0" xfId="6" applyNumberFormat="1" applyFont="1" applyFill="1" applyBorder="1" applyAlignment="1">
      <alignment horizontal="right" vertical="top" wrapText="1"/>
    </xf>
    <xf numFmtId="169" fontId="173" fillId="28" borderId="7" xfId="2" applyNumberFormat="1" applyFont="1" applyFill="1" applyBorder="1" applyAlignment="1">
      <alignment horizontal="right" vertical="top" wrapText="1"/>
    </xf>
    <xf numFmtId="1" fontId="173" fillId="28" borderId="4" xfId="2" applyNumberFormat="1" applyFont="1" applyFill="1" applyBorder="1"/>
    <xf numFmtId="4" fontId="173" fillId="28" borderId="0" xfId="2" applyNumberFormat="1" applyFont="1" applyFill="1"/>
    <xf numFmtId="3" fontId="173" fillId="28" borderId="4" xfId="2" applyNumberFormat="1" applyFont="1" applyFill="1" applyBorder="1"/>
    <xf numFmtId="164" fontId="173" fillId="28" borderId="7" xfId="2" applyNumberFormat="1" applyFont="1" applyFill="1" applyBorder="1"/>
    <xf numFmtId="3" fontId="173" fillId="28" borderId="7" xfId="2" applyNumberFormat="1" applyFont="1" applyFill="1" applyBorder="1"/>
    <xf numFmtId="1" fontId="173" fillId="28" borderId="7" xfId="2" applyNumberFormat="1" applyFont="1" applyFill="1" applyBorder="1"/>
    <xf numFmtId="169" fontId="5" fillId="28" borderId="0" xfId="2" applyNumberFormat="1" applyFill="1"/>
    <xf numFmtId="9" fontId="173" fillId="28" borderId="0" xfId="6" applyFont="1" applyFill="1" applyBorder="1"/>
    <xf numFmtId="164" fontId="178" fillId="28" borderId="3" xfId="2" applyNumberFormat="1" applyFont="1" applyFill="1" applyBorder="1"/>
    <xf numFmtId="3" fontId="178" fillId="28" borderId="9" xfId="2" applyNumberFormat="1" applyFont="1" applyFill="1" applyBorder="1"/>
    <xf numFmtId="3" fontId="173" fillId="28" borderId="3" xfId="2" applyNumberFormat="1" applyFont="1" applyFill="1" applyBorder="1"/>
    <xf numFmtId="171" fontId="173" fillId="28" borderId="0" xfId="2" applyNumberFormat="1" applyFont="1" applyFill="1"/>
    <xf numFmtId="0" fontId="173" fillId="28" borderId="7" xfId="2" applyFont="1" applyFill="1" applyBorder="1"/>
    <xf numFmtId="171" fontId="207" fillId="0" borderId="0" xfId="0" applyNumberFormat="1" applyFont="1"/>
    <xf numFmtId="169" fontId="206" fillId="41" borderId="2" xfId="2" applyNumberFormat="1" applyFont="1" applyFill="1" applyBorder="1" applyAlignment="1">
      <alignment horizontal="right" vertical="top" wrapText="1"/>
    </xf>
    <xf numFmtId="0" fontId="174" fillId="42" borderId="0" xfId="0" applyFont="1" applyFill="1"/>
    <xf numFmtId="0" fontId="178" fillId="42" borderId="0" xfId="0" applyFont="1" applyFill="1"/>
    <xf numFmtId="0" fontId="178" fillId="28" borderId="0" xfId="0" applyFont="1" applyFill="1"/>
    <xf numFmtId="165" fontId="202" fillId="27" borderId="0" xfId="2" applyNumberFormat="1" applyFont="1" applyFill="1" applyAlignment="1">
      <alignment vertical="top"/>
    </xf>
    <xf numFmtId="165" fontId="202" fillId="27" borderId="0" xfId="2" applyNumberFormat="1" applyFont="1" applyFill="1" applyAlignment="1">
      <alignment horizontal="left" vertical="top" indent="1"/>
    </xf>
    <xf numFmtId="165" fontId="202" fillId="27" borderId="7" xfId="2" applyNumberFormat="1" applyFont="1" applyFill="1" applyBorder="1" applyAlignment="1">
      <alignment horizontal="left" vertical="top" indent="1"/>
    </xf>
    <xf numFmtId="164" fontId="160" fillId="0" borderId="0" xfId="6" applyNumberFormat="1" applyFont="1" applyFill="1"/>
    <xf numFmtId="1" fontId="160" fillId="44" borderId="0" xfId="0" applyNumberFormat="1" applyFont="1" applyFill="1"/>
    <xf numFmtId="3" fontId="214" fillId="0" borderId="0" xfId="0" applyNumberFormat="1" applyFont="1"/>
    <xf numFmtId="164" fontId="174" fillId="3" borderId="0" xfId="6" applyNumberFormat="1" applyFont="1" applyFill="1"/>
    <xf numFmtId="0" fontId="174" fillId="28" borderId="0" xfId="0" applyFont="1" applyFill="1"/>
    <xf numFmtId="169" fontId="173" fillId="47" borderId="0" xfId="2" applyNumberFormat="1" applyFont="1" applyFill="1" applyAlignment="1">
      <alignment horizontal="right" vertical="top" wrapText="1"/>
    </xf>
    <xf numFmtId="3" fontId="242" fillId="0" borderId="0" xfId="2" applyNumberFormat="1" applyFont="1"/>
    <xf numFmtId="164" fontId="173" fillId="46" borderId="0" xfId="2" applyNumberFormat="1" applyFont="1" applyFill="1"/>
    <xf numFmtId="164" fontId="178" fillId="46" borderId="0" xfId="2" applyNumberFormat="1" applyFont="1" applyFill="1"/>
    <xf numFmtId="164" fontId="207" fillId="46" borderId="0" xfId="2" applyNumberFormat="1" applyFont="1" applyFill="1"/>
    <xf numFmtId="9" fontId="178" fillId="46" borderId="0" xfId="2" applyNumberFormat="1" applyFont="1" applyFill="1"/>
    <xf numFmtId="164" fontId="2" fillId="3" borderId="0" xfId="0" applyNumberFormat="1" applyFont="1" applyFill="1"/>
    <xf numFmtId="169" fontId="244" fillId="0" borderId="10" xfId="2" applyNumberFormat="1" applyFont="1" applyBorder="1" applyAlignment="1">
      <alignment horizontal="right" vertical="top" wrapText="1"/>
    </xf>
    <xf numFmtId="3" fontId="173" fillId="40" borderId="0" xfId="2" applyNumberFormat="1" applyFont="1" applyFill="1"/>
    <xf numFmtId="0" fontId="174" fillId="0" borderId="64" xfId="0" applyFont="1" applyBorder="1" applyAlignment="1">
      <alignment horizontal="right"/>
    </xf>
    <xf numFmtId="0" fontId="181" fillId="46" borderId="0" xfId="0" applyFont="1" applyFill="1"/>
    <xf numFmtId="9" fontId="181" fillId="46" borderId="0" xfId="0" applyNumberFormat="1" applyFont="1" applyFill="1"/>
    <xf numFmtId="3" fontId="166" fillId="46" borderId="0" xfId="0" applyNumberFormat="1" applyFont="1" applyFill="1"/>
    <xf numFmtId="3" fontId="245" fillId="27" borderId="0" xfId="0" applyNumberFormat="1" applyFont="1" applyFill="1"/>
    <xf numFmtId="3" fontId="174" fillId="46" borderId="0" xfId="0" applyNumberFormat="1" applyFont="1" applyFill="1"/>
    <xf numFmtId="171" fontId="246" fillId="0" borderId="0" xfId="0" applyNumberFormat="1" applyFont="1"/>
    <xf numFmtId="171" fontId="246" fillId="27" borderId="0" xfId="0" applyNumberFormat="1" applyFont="1" applyFill="1"/>
    <xf numFmtId="1" fontId="174" fillId="46" borderId="0" xfId="0" applyNumberFormat="1" applyFont="1" applyFill="1"/>
    <xf numFmtId="1" fontId="245" fillId="27" borderId="0" xfId="0" applyNumberFormat="1" applyFont="1" applyFill="1"/>
    <xf numFmtId="3" fontId="229" fillId="0" borderId="10" xfId="0" applyNumberFormat="1" applyFont="1" applyBorder="1"/>
    <xf numFmtId="9" fontId="242" fillId="0" borderId="0" xfId="2" applyNumberFormat="1" applyFont="1"/>
    <xf numFmtId="2" fontId="244" fillId="0" borderId="0" xfId="2" applyNumberFormat="1" applyFont="1"/>
    <xf numFmtId="2" fontId="242" fillId="0" borderId="0" xfId="2" applyNumberFormat="1" applyFont="1"/>
    <xf numFmtId="170" fontId="242" fillId="0" borderId="0" xfId="2" applyNumberFormat="1" applyFont="1"/>
    <xf numFmtId="166" fontId="173" fillId="25" borderId="0" xfId="7" applyNumberFormat="1" applyFont="1" applyFill="1"/>
    <xf numFmtId="0" fontId="178" fillId="42" borderId="0" xfId="7" applyFont="1" applyFill="1"/>
    <xf numFmtId="0" fontId="173" fillId="42" borderId="0" xfId="0" applyFont="1" applyFill="1"/>
    <xf numFmtId="166" fontId="173" fillId="42" borderId="0" xfId="0" applyNumberFormat="1" applyFont="1" applyFill="1"/>
    <xf numFmtId="166" fontId="173" fillId="28" borderId="0" xfId="0" applyNumberFormat="1" applyFont="1" applyFill="1"/>
    <xf numFmtId="0" fontId="178" fillId="28" borderId="0" xfId="7" applyFont="1" applyFill="1"/>
    <xf numFmtId="164" fontId="178" fillId="0" borderId="0" xfId="7" applyNumberFormat="1" applyFont="1"/>
    <xf numFmtId="166" fontId="178" fillId="0" borderId="10" xfId="5" applyNumberFormat="1" applyFont="1" applyBorder="1"/>
    <xf numFmtId="166" fontId="178" fillId="3" borderId="10" xfId="7" applyNumberFormat="1" applyFont="1" applyFill="1" applyBorder="1"/>
    <xf numFmtId="166" fontId="178" fillId="3" borderId="10" xfId="5" applyNumberFormat="1" applyFont="1" applyFill="1" applyBorder="1"/>
    <xf numFmtId="166" fontId="177" fillId="3" borderId="0" xfId="7" applyNumberFormat="1" applyFont="1" applyFill="1"/>
    <xf numFmtId="166" fontId="247" fillId="0" borderId="0" xfId="5" applyNumberFormat="1" applyFont="1" applyFill="1"/>
    <xf numFmtId="0" fontId="160" fillId="35" borderId="0" xfId="0" applyFont="1" applyFill="1"/>
    <xf numFmtId="166" fontId="181" fillId="0" borderId="0" xfId="5" applyNumberFormat="1" applyFont="1"/>
    <xf numFmtId="166" fontId="178" fillId="0" borderId="0" xfId="5" applyNumberFormat="1" applyFont="1"/>
    <xf numFmtId="166" fontId="178" fillId="3" borderId="0" xfId="5" applyNumberFormat="1" applyFont="1" applyFill="1"/>
    <xf numFmtId="0" fontId="178" fillId="0" borderId="12" xfId="7" applyFont="1" applyBorder="1"/>
    <xf numFmtId="166" fontId="178" fillId="0" borderId="7" xfId="5" applyNumberFormat="1" applyFont="1" applyBorder="1"/>
    <xf numFmtId="166" fontId="178" fillId="0" borderId="7" xfId="7" applyNumberFormat="1" applyFont="1" applyBorder="1"/>
    <xf numFmtId="166" fontId="178" fillId="0" borderId="8" xfId="7" applyNumberFormat="1" applyFont="1" applyBorder="1"/>
    <xf numFmtId="166" fontId="173" fillId="0" borderId="10" xfId="5" applyNumberFormat="1" applyFont="1" applyFill="1" applyBorder="1"/>
    <xf numFmtId="166" fontId="207" fillId="0" borderId="0" xfId="7" applyNumberFormat="1" applyFont="1"/>
    <xf numFmtId="268" fontId="178" fillId="3" borderId="0" xfId="7" applyNumberFormat="1" applyFont="1" applyFill="1"/>
    <xf numFmtId="9" fontId="173" fillId="51" borderId="0" xfId="2" applyNumberFormat="1" applyFont="1" applyFill="1"/>
    <xf numFmtId="166" fontId="178" fillId="0" borderId="0" xfId="4" applyNumberFormat="1" applyFont="1"/>
    <xf numFmtId="9" fontId="178" fillId="3" borderId="0" xfId="9" applyNumberFormat="1" applyFont="1" applyFill="1"/>
    <xf numFmtId="9" fontId="174" fillId="0" borderId="0" xfId="0" applyNumberFormat="1" applyFont="1" applyAlignment="1">
      <alignment horizontal="right"/>
    </xf>
    <xf numFmtId="167" fontId="174" fillId="0" borderId="0" xfId="0" applyNumberFormat="1" applyFont="1" applyAlignment="1">
      <alignment horizontal="right"/>
    </xf>
    <xf numFmtId="266" fontId="174" fillId="0" borderId="0" xfId="0" applyNumberFormat="1" applyFont="1" applyAlignment="1">
      <alignment horizontal="right"/>
    </xf>
    <xf numFmtId="170" fontId="238" fillId="0" borderId="0" xfId="0" applyNumberFormat="1" applyFont="1"/>
    <xf numFmtId="0" fontId="237" fillId="0" borderId="6" xfId="0" applyFont="1" applyBorder="1"/>
    <xf numFmtId="9" fontId="237" fillId="3" borderId="5" xfId="0" applyNumberFormat="1" applyFont="1" applyFill="1" applyBorder="1"/>
    <xf numFmtId="0" fontId="238" fillId="3" borderId="0" xfId="0" applyFont="1" applyFill="1" applyAlignment="1">
      <alignment horizontal="right"/>
    </xf>
    <xf numFmtId="0" fontId="237" fillId="46" borderId="0" xfId="0" applyFont="1" applyFill="1" applyAlignment="1">
      <alignment vertical="center"/>
    </xf>
    <xf numFmtId="0" fontId="238" fillId="46" borderId="0" xfId="0" applyFont="1" applyFill="1"/>
    <xf numFmtId="0" fontId="237" fillId="0" borderId="0" xfId="0" applyFont="1"/>
    <xf numFmtId="0" fontId="237" fillId="0" borderId="64" xfId="0" applyFont="1" applyBorder="1" applyAlignment="1">
      <alignment horizontal="right"/>
    </xf>
    <xf numFmtId="0" fontId="237" fillId="0" borderId="0" xfId="0" applyFont="1" applyAlignment="1">
      <alignment horizontal="right"/>
    </xf>
    <xf numFmtId="258" fontId="241" fillId="0" borderId="0" xfId="0" applyNumberFormat="1" applyFont="1" applyAlignment="1">
      <alignment horizontal="right"/>
    </xf>
    <xf numFmtId="257" fontId="238" fillId="0" borderId="0" xfId="0" applyNumberFormat="1" applyFont="1"/>
    <xf numFmtId="0" fontId="241" fillId="0" borderId="64" xfId="0" applyFont="1" applyBorder="1"/>
    <xf numFmtId="0" fontId="239" fillId="0" borderId="6" xfId="0" applyFont="1" applyBorder="1"/>
    <xf numFmtId="9" fontId="0" fillId="0" borderId="4" xfId="6" applyFont="1" applyBorder="1"/>
    <xf numFmtId="9" fontId="0" fillId="0" borderId="5" xfId="6" applyFont="1" applyBorder="1"/>
    <xf numFmtId="164" fontId="239" fillId="0" borderId="4" xfId="0" applyNumberFormat="1" applyFont="1" applyBorder="1"/>
    <xf numFmtId="164" fontId="239" fillId="0" borderId="5" xfId="0" applyNumberFormat="1" applyFont="1" applyBorder="1"/>
    <xf numFmtId="0" fontId="238" fillId="47" borderId="0" xfId="0" applyFont="1" applyFill="1"/>
    <xf numFmtId="0" fontId="248" fillId="0" borderId="0" xfId="0" applyFont="1"/>
    <xf numFmtId="0" fontId="0" fillId="0" borderId="64" xfId="0" applyBorder="1"/>
    <xf numFmtId="164" fontId="238" fillId="3" borderId="0" xfId="6" applyNumberFormat="1" applyFont="1" applyFill="1"/>
    <xf numFmtId="164" fontId="0" fillId="3" borderId="0" xfId="6" applyNumberFormat="1" applyFont="1" applyFill="1"/>
    <xf numFmtId="0" fontId="241" fillId="0" borderId="10" xfId="0" applyFont="1" applyBorder="1"/>
    <xf numFmtId="3" fontId="2" fillId="0" borderId="10" xfId="0" applyNumberFormat="1" applyFont="1" applyBorder="1"/>
    <xf numFmtId="170" fontId="2" fillId="0" borderId="1" xfId="0" applyNumberFormat="1" applyFont="1" applyBorder="1"/>
    <xf numFmtId="170" fontId="2" fillId="0" borderId="0" xfId="0" applyNumberFormat="1" applyFont="1" applyAlignment="1">
      <alignment horizontal="right"/>
    </xf>
    <xf numFmtId="0" fontId="2" fillId="0" borderId="64" xfId="0" applyFont="1" applyBorder="1"/>
    <xf numFmtId="0" fontId="238" fillId="0" borderId="10" xfId="0" applyFont="1" applyBorder="1"/>
    <xf numFmtId="3" fontId="0" fillId="0" borderId="10" xfId="0" applyNumberFormat="1" applyBorder="1"/>
    <xf numFmtId="2" fontId="2" fillId="0" borderId="1" xfId="0" applyNumberFormat="1" applyFont="1" applyBorder="1"/>
    <xf numFmtId="0" fontId="160" fillId="27" borderId="10" xfId="0" applyFont="1" applyFill="1" applyBorder="1" applyAlignment="1">
      <alignment horizontal="right"/>
    </xf>
    <xf numFmtId="10" fontId="217" fillId="0" borderId="0" xfId="0" applyNumberFormat="1" applyFont="1"/>
    <xf numFmtId="10" fontId="0" fillId="0" borderId="0" xfId="6" applyNumberFormat="1" applyFont="1"/>
    <xf numFmtId="164" fontId="165" fillId="0" borderId="64" xfId="229" applyNumberFormat="1" applyFont="1" applyBorder="1"/>
    <xf numFmtId="164" fontId="20" fillId="0" borderId="0" xfId="6" applyNumberFormat="1" applyFont="1"/>
    <xf numFmtId="164" fontId="178" fillId="0" borderId="0" xfId="3" applyNumberFormat="1" applyFont="1"/>
    <xf numFmtId="164" fontId="165" fillId="36" borderId="0" xfId="0" applyNumberFormat="1" applyFont="1" applyFill="1"/>
    <xf numFmtId="0" fontId="169" fillId="36" borderId="0" xfId="0" applyFont="1" applyFill="1"/>
    <xf numFmtId="3" fontId="165" fillId="36" borderId="0" xfId="0" applyNumberFormat="1" applyFont="1" applyFill="1"/>
    <xf numFmtId="9" fontId="165" fillId="36" borderId="0" xfId="0" applyNumberFormat="1" applyFont="1" applyFill="1"/>
    <xf numFmtId="170" fontId="165" fillId="36" borderId="0" xfId="0" applyNumberFormat="1" applyFont="1" applyFill="1"/>
    <xf numFmtId="0" fontId="216" fillId="36" borderId="0" xfId="0" applyFont="1" applyFill="1"/>
    <xf numFmtId="3" fontId="216" fillId="36" borderId="10" xfId="0" applyNumberFormat="1" applyFont="1" applyFill="1" applyBorder="1"/>
    <xf numFmtId="0" fontId="170" fillId="36" borderId="4" xfId="0" applyFont="1" applyFill="1" applyBorder="1"/>
    <xf numFmtId="0" fontId="169" fillId="27" borderId="0" xfId="0" applyFont="1" applyFill="1"/>
    <xf numFmtId="3" fontId="236" fillId="27" borderId="0" xfId="0" applyNumberFormat="1" applyFont="1" applyFill="1"/>
    <xf numFmtId="3" fontId="165" fillId="27" borderId="0" xfId="0" applyNumberFormat="1" applyFont="1" applyFill="1"/>
    <xf numFmtId="3" fontId="216" fillId="27" borderId="10" xfId="0" applyNumberFormat="1" applyFont="1" applyFill="1" applyBorder="1"/>
    <xf numFmtId="9" fontId="236" fillId="27" borderId="0" xfId="0" applyNumberFormat="1" applyFont="1" applyFill="1"/>
    <xf numFmtId="3" fontId="216" fillId="27" borderId="0" xfId="0" applyNumberFormat="1" applyFont="1" applyFill="1"/>
    <xf numFmtId="164" fontId="0" fillId="36" borderId="0" xfId="6" applyNumberFormat="1" applyFont="1" applyFill="1"/>
    <xf numFmtId="0" fontId="216" fillId="36" borderId="4" xfId="0" applyFont="1" applyFill="1" applyBorder="1"/>
    <xf numFmtId="0" fontId="170" fillId="36" borderId="4" xfId="0" applyFont="1" applyFill="1" applyBorder="1" applyAlignment="1">
      <alignment horizontal="right"/>
    </xf>
    <xf numFmtId="0" fontId="165" fillId="36" borderId="4" xfId="0" applyFont="1" applyFill="1" applyBorder="1"/>
    <xf numFmtId="164" fontId="165" fillId="36" borderId="0" xfId="6" applyNumberFormat="1" applyFont="1" applyFill="1"/>
    <xf numFmtId="0" fontId="216" fillId="36" borderId="10" xfId="0" applyFont="1" applyFill="1" applyBorder="1"/>
    <xf numFmtId="2" fontId="165" fillId="36" borderId="0" xfId="0" applyNumberFormat="1" applyFont="1" applyFill="1"/>
    <xf numFmtId="9" fontId="165" fillId="36" borderId="0" xfId="6" applyFont="1" applyFill="1" applyBorder="1"/>
    <xf numFmtId="9" fontId="165" fillId="36" borderId="0" xfId="0" applyNumberFormat="1" applyFont="1" applyFill="1" applyAlignment="1">
      <alignment horizontal="left"/>
    </xf>
    <xf numFmtId="257" fontId="165" fillId="36" borderId="0" xfId="0" applyNumberFormat="1" applyFont="1" applyFill="1"/>
    <xf numFmtId="164" fontId="165" fillId="27" borderId="0" xfId="6" applyNumberFormat="1" applyFont="1" applyFill="1"/>
    <xf numFmtId="164" fontId="165" fillId="27" borderId="1" xfId="6" applyNumberFormat="1" applyFont="1" applyFill="1" applyBorder="1"/>
    <xf numFmtId="0" fontId="170" fillId="27" borderId="0" xfId="0" applyFont="1" applyFill="1"/>
    <xf numFmtId="258" fontId="216" fillId="27" borderId="0" xfId="0" applyNumberFormat="1" applyFont="1" applyFill="1" applyAlignment="1">
      <alignment horizontal="right"/>
    </xf>
    <xf numFmtId="0" fontId="165" fillId="27" borderId="10" xfId="0" applyFont="1" applyFill="1" applyBorder="1"/>
    <xf numFmtId="3" fontId="165" fillId="27" borderId="10" xfId="0" applyNumberFormat="1" applyFont="1" applyFill="1" applyBorder="1"/>
    <xf numFmtId="170" fontId="216" fillId="27" borderId="0" xfId="0" applyNumberFormat="1" applyFont="1" applyFill="1"/>
    <xf numFmtId="164" fontId="216" fillId="27" borderId="0" xfId="6" applyNumberFormat="1" applyFont="1" applyFill="1"/>
    <xf numFmtId="164" fontId="169" fillId="27" borderId="0" xfId="0" applyNumberFormat="1" applyFont="1" applyFill="1"/>
    <xf numFmtId="3" fontId="185" fillId="0" borderId="0" xfId="0" applyNumberFormat="1" applyFont="1"/>
    <xf numFmtId="164" fontId="178" fillId="0" borderId="10" xfId="5" applyNumberFormat="1" applyFont="1" applyBorder="1"/>
    <xf numFmtId="9" fontId="174" fillId="3" borderId="0" xfId="6" applyFont="1" applyFill="1"/>
    <xf numFmtId="3" fontId="249" fillId="0" borderId="0" xfId="2" applyNumberFormat="1" applyFont="1"/>
    <xf numFmtId="3" fontId="169" fillId="27" borderId="0" xfId="0" applyNumberFormat="1" applyFont="1" applyFill="1"/>
    <xf numFmtId="9" fontId="169" fillId="36" borderId="0" xfId="0" applyNumberFormat="1" applyFont="1" applyFill="1"/>
    <xf numFmtId="164" fontId="169" fillId="36" borderId="0" xfId="0" applyNumberFormat="1" applyFont="1" applyFill="1"/>
    <xf numFmtId="9" fontId="169" fillId="27" borderId="0" xfId="0" applyNumberFormat="1" applyFont="1" applyFill="1"/>
    <xf numFmtId="3" fontId="169" fillId="36" borderId="0" xfId="0" applyNumberFormat="1" applyFont="1" applyFill="1"/>
    <xf numFmtId="0" fontId="241" fillId="0" borderId="4" xfId="0" applyFont="1" applyBorder="1"/>
    <xf numFmtId="0" fontId="237" fillId="0" borderId="4" xfId="0" applyFont="1" applyBorder="1" applyAlignment="1">
      <alignment horizontal="right"/>
    </xf>
    <xf numFmtId="2" fontId="216" fillId="27" borderId="1" xfId="0" applyNumberFormat="1" applyFont="1" applyFill="1" applyBorder="1"/>
    <xf numFmtId="2" fontId="216" fillId="36" borderId="0" xfId="0" applyNumberFormat="1" applyFont="1" applyFill="1"/>
    <xf numFmtId="0" fontId="250" fillId="0" borderId="0" xfId="0" applyFont="1"/>
    <xf numFmtId="4" fontId="250" fillId="0" borderId="0" xfId="0" applyNumberFormat="1" applyFont="1"/>
    <xf numFmtId="0" fontId="251" fillId="0" borderId="0" xfId="0" applyFont="1"/>
    <xf numFmtId="3" fontId="251" fillId="0" borderId="0" xfId="0" applyNumberFormat="1" applyFont="1"/>
    <xf numFmtId="0" fontId="252" fillId="0" borderId="0" xfId="0" applyFont="1"/>
    <xf numFmtId="3" fontId="252" fillId="0" borderId="0" xfId="0" applyNumberFormat="1" applyFont="1"/>
    <xf numFmtId="3" fontId="250" fillId="0" borderId="0" xfId="0" applyNumberFormat="1" applyFont="1"/>
    <xf numFmtId="170" fontId="250" fillId="0" borderId="0" xfId="0" applyNumberFormat="1" applyFont="1"/>
    <xf numFmtId="3" fontId="253" fillId="0" borderId="0" xfId="0" applyNumberFormat="1" applyFont="1"/>
    <xf numFmtId="0" fontId="0" fillId="29" borderId="0" xfId="0" applyFill="1"/>
    <xf numFmtId="170" fontId="254" fillId="29" borderId="0" xfId="0" applyNumberFormat="1" applyFont="1" applyFill="1"/>
    <xf numFmtId="0" fontId="253" fillId="0" borderId="0" xfId="0" applyFont="1"/>
    <xf numFmtId="0" fontId="255" fillId="0" borderId="0" xfId="0" applyFont="1"/>
    <xf numFmtId="3" fontId="255" fillId="0" borderId="0" xfId="0" applyNumberFormat="1" applyFont="1"/>
    <xf numFmtId="3" fontId="256" fillId="0" borderId="10" xfId="0" applyNumberFormat="1" applyFont="1" applyBorder="1"/>
    <xf numFmtId="170" fontId="255" fillId="0" borderId="0" xfId="0" applyNumberFormat="1" applyFont="1"/>
    <xf numFmtId="170" fontId="256" fillId="0" borderId="1" xfId="0" applyNumberFormat="1" applyFont="1" applyBorder="1"/>
    <xf numFmtId="0" fontId="255" fillId="0" borderId="0" xfId="0" applyFont="1" applyAlignment="1">
      <alignment horizontal="right"/>
    </xf>
    <xf numFmtId="0" fontId="133" fillId="32" borderId="15" xfId="0" applyFont="1" applyFill="1" applyBorder="1" applyAlignment="1">
      <alignment horizontal="right" vertical="center" wrapText="1"/>
    </xf>
    <xf numFmtId="4" fontId="133" fillId="0" borderId="32" xfId="0" applyNumberFormat="1" applyFont="1" applyBorder="1" applyAlignment="1">
      <alignment horizontal="right" vertical="center" wrapText="1"/>
    </xf>
    <xf numFmtId="4" fontId="133" fillId="32" borderId="15" xfId="0" applyNumberFormat="1" applyFont="1" applyFill="1" applyBorder="1" applyAlignment="1">
      <alignment horizontal="right" vertical="center" wrapText="1"/>
    </xf>
    <xf numFmtId="0" fontId="134" fillId="32" borderId="58" xfId="0" applyFont="1" applyFill="1" applyBorder="1" applyAlignment="1">
      <alignment horizontal="right" vertical="center" wrapText="1"/>
    </xf>
    <xf numFmtId="0" fontId="133" fillId="0" borderId="0" xfId="0" applyFont="1" applyAlignment="1">
      <alignment horizontal="right" vertical="center" wrapText="1"/>
    </xf>
    <xf numFmtId="4" fontId="133" fillId="32" borderId="0" xfId="0" applyNumberFormat="1" applyFont="1" applyFill="1" applyAlignment="1">
      <alignment horizontal="right" vertical="center" wrapText="1"/>
    </xf>
    <xf numFmtId="4" fontId="133" fillId="0" borderId="0" xfId="0" applyNumberFormat="1" applyFont="1" applyAlignment="1">
      <alignment horizontal="right" vertical="center" wrapText="1"/>
    </xf>
    <xf numFmtId="0" fontId="133" fillId="32" borderId="0" xfId="0" applyFont="1" applyFill="1" applyAlignment="1">
      <alignment horizontal="right" vertical="center" wrapText="1"/>
    </xf>
    <xf numFmtId="0" fontId="132" fillId="0" borderId="0" xfId="0" applyFont="1" applyAlignment="1">
      <alignment horizontal="center" vertical="center" wrapText="1"/>
    </xf>
    <xf numFmtId="0" fontId="131" fillId="0" borderId="0" xfId="0" applyFont="1" applyAlignment="1">
      <alignment horizontal="center" vertical="center" wrapText="1"/>
    </xf>
    <xf numFmtId="0" fontId="131" fillId="0" borderId="15" xfId="0" applyFont="1" applyBorder="1" applyAlignment="1">
      <alignment horizontal="center" vertical="center" wrapText="1"/>
    </xf>
    <xf numFmtId="0" fontId="178" fillId="0" borderId="6" xfId="2" applyFont="1" applyBorder="1" applyAlignment="1">
      <alignment horizontal="center" vertical="center" wrapText="1"/>
    </xf>
    <xf numFmtId="0" fontId="178" fillId="0" borderId="4" xfId="2" applyFont="1" applyBorder="1" applyAlignment="1">
      <alignment horizontal="center" vertical="center" wrapText="1"/>
    </xf>
    <xf numFmtId="0" fontId="178" fillId="0" borderId="5" xfId="2" applyFont="1" applyBorder="1" applyAlignment="1">
      <alignment horizontal="center" vertical="center" wrapText="1"/>
    </xf>
    <xf numFmtId="0" fontId="173" fillId="0" borderId="6" xfId="2" applyFont="1" applyBorder="1" applyAlignment="1">
      <alignment horizontal="center" vertical="center" wrapText="1"/>
    </xf>
    <xf numFmtId="0" fontId="173" fillId="0" borderId="4" xfId="2" applyFont="1" applyBorder="1" applyAlignment="1">
      <alignment horizontal="center" vertical="center" wrapText="1"/>
    </xf>
    <xf numFmtId="0" fontId="173" fillId="0" borderId="5" xfId="2" applyFont="1" applyBorder="1" applyAlignment="1">
      <alignment horizontal="center" vertical="center" wrapText="1"/>
    </xf>
    <xf numFmtId="0" fontId="122" fillId="0" borderId="6" xfId="0" applyFont="1" applyBorder="1" applyAlignment="1">
      <alignment horizontal="center"/>
    </xf>
    <xf numFmtId="0" fontId="122" fillId="0" borderId="4" xfId="0" applyFont="1" applyBorder="1" applyAlignment="1">
      <alignment horizontal="center"/>
    </xf>
    <xf numFmtId="0" fontId="7" fillId="0" borderId="3" xfId="2" applyFont="1" applyBorder="1" applyAlignment="1">
      <alignment horizontal="center" vertical="center" wrapText="1"/>
    </xf>
    <xf numFmtId="0" fontId="7" fillId="0" borderId="0" xfId="2" applyFont="1" applyAlignment="1">
      <alignment horizontal="center" vertical="center" wrapText="1"/>
    </xf>
    <xf numFmtId="0" fontId="7" fillId="0" borderId="2" xfId="2" applyFont="1" applyBorder="1" applyAlignment="1">
      <alignment horizontal="center" vertical="center" wrapText="1"/>
    </xf>
    <xf numFmtId="165" fontId="7" fillId="0" borderId="3" xfId="2" applyNumberFormat="1" applyFont="1" applyBorder="1" applyAlignment="1">
      <alignment horizontal="center" vertical="center" wrapText="1"/>
    </xf>
    <xf numFmtId="165" fontId="7" fillId="0" borderId="0" xfId="2" applyNumberFormat="1" applyFont="1" applyAlignment="1">
      <alignment horizontal="center" vertical="center" wrapText="1"/>
    </xf>
    <xf numFmtId="165" fontId="7" fillId="0" borderId="2" xfId="2" applyNumberFormat="1" applyFont="1" applyBorder="1" applyAlignment="1">
      <alignment horizontal="center" vertical="center" wrapText="1"/>
    </xf>
  </cellXfs>
  <cellStyles count="418">
    <cellStyle name="_x000a_386grabber=M" xfId="10" xr:uid="{00000000-0005-0000-0000-000000000000}"/>
    <cellStyle name="%" xfId="7" xr:uid="{00000000-0005-0000-0000-000001000000}"/>
    <cellStyle name="% 2" xfId="9" xr:uid="{00000000-0005-0000-0000-000002000000}"/>
    <cellStyle name="% 2 3 2" xfId="417" xr:uid="{C60A1AC5-4FDD-4434-86FD-95255582A461}"/>
    <cellStyle name="% 3 2" xfId="416" xr:uid="{3F7E4422-AF78-4DB8-BDBC-5525CC0E2351}"/>
    <cellStyle name="******************************************" xfId="11" xr:uid="{00000000-0005-0000-0000-000003000000}"/>
    <cellStyle name="?Q\?1@" xfId="12" xr:uid="{00000000-0005-0000-0000-000004000000}"/>
    <cellStyle name="_Comma" xfId="13" xr:uid="{00000000-0005-0000-0000-000005000000}"/>
    <cellStyle name="_Currency" xfId="14" xr:uid="{00000000-0005-0000-0000-000006000000}"/>
    <cellStyle name="_CurrencySpace" xfId="15" xr:uid="{00000000-0005-0000-0000-000007000000}"/>
    <cellStyle name="_Innsamling" xfId="16" xr:uid="{00000000-0005-0000-0000-000008000000}"/>
    <cellStyle name="_JP Morgan" xfId="17" xr:uid="{00000000-0005-0000-0000-000009000000}"/>
    <cellStyle name="_Mal for innhenting av estimater Q4- 2002" xfId="18" xr:uid="{00000000-0005-0000-0000-00000A000000}"/>
    <cellStyle name="_Millicom_current" xfId="19" xr:uid="{00000000-0005-0000-0000-00000B000000}"/>
    <cellStyle name="_Multiple" xfId="20" xr:uid="{00000000-0005-0000-0000-00000C000000}"/>
    <cellStyle name="_MultipleSpace" xfId="21" xr:uid="{00000000-0005-0000-0000-00000D000000}"/>
    <cellStyle name="_Percent" xfId="22" xr:uid="{00000000-0005-0000-0000-00000E000000}"/>
    <cellStyle name="_PercentSpace" xfId="23" xr:uid="{00000000-0005-0000-0000-00000F000000}"/>
    <cellStyle name="¤@¯ë_Sheet1 (2)" xfId="24" xr:uid="{00000000-0005-0000-0000-000010000000}"/>
    <cellStyle name="§Q\òm1@À" xfId="25" xr:uid="{00000000-0005-0000-0000-000011000000}"/>
    <cellStyle name="•W€_VALUE" xfId="26" xr:uid="{00000000-0005-0000-0000-000012000000}"/>
    <cellStyle name="3f1o [0]_J-Hwang242" xfId="27" xr:uid="{00000000-0005-0000-0000-000013000000}"/>
    <cellStyle name="3f1o_J-Hwang2an" xfId="28" xr:uid="{00000000-0005-0000-0000-000014000000}"/>
    <cellStyle name="aaa" xfId="29" xr:uid="{00000000-0005-0000-0000-000015000000}"/>
    <cellStyle name="Acquisition" xfId="30" xr:uid="{00000000-0005-0000-0000-000016000000}"/>
    <cellStyle name="ÅëÈ­ [0]_TestResults" xfId="31" xr:uid="{00000000-0005-0000-0000-000017000000}"/>
    <cellStyle name="ÅëÈ­_TestResults" xfId="32" xr:uid="{00000000-0005-0000-0000-000018000000}"/>
    <cellStyle name="ANALYST" xfId="33" xr:uid="{00000000-0005-0000-0000-000019000000}"/>
    <cellStyle name="Année" xfId="34" xr:uid="{00000000-0005-0000-0000-00001A000000}"/>
    <cellStyle name="Année (e)" xfId="35" xr:uid="{00000000-0005-0000-0000-00001B000000}"/>
    <cellStyle name="Arial 10" xfId="36" xr:uid="{00000000-0005-0000-0000-00001C000000}"/>
    <cellStyle name="Arial 12" xfId="37" xr:uid="{00000000-0005-0000-0000-00001D000000}"/>
    <cellStyle name="Assumption" xfId="38" xr:uid="{00000000-0005-0000-0000-00001E000000}"/>
    <cellStyle name="Assumptions" xfId="39" xr:uid="{00000000-0005-0000-0000-00001F000000}"/>
    <cellStyle name="ÄÞ¸¶ [0]_TestResults" xfId="40" xr:uid="{00000000-0005-0000-0000-000020000000}"/>
    <cellStyle name="ÄÞ¸¶_TestResults" xfId="41" xr:uid="{00000000-0005-0000-0000-000021000000}"/>
    <cellStyle name="Availability" xfId="42" xr:uid="{00000000-0005-0000-0000-000022000000}"/>
    <cellStyle name="BalanceSheet" xfId="43" xr:uid="{00000000-0005-0000-0000-000023000000}"/>
    <cellStyle name="BlackTitle" xfId="44" xr:uid="{00000000-0005-0000-0000-000024000000}"/>
    <cellStyle name="Blank" xfId="45" xr:uid="{00000000-0005-0000-0000-000025000000}"/>
    <cellStyle name="block" xfId="46" xr:uid="{00000000-0005-0000-0000-000026000000}"/>
    <cellStyle name="Border Heavy" xfId="47" xr:uid="{00000000-0005-0000-0000-000027000000}"/>
    <cellStyle name="Border Thin" xfId="48" xr:uid="{00000000-0005-0000-0000-000028000000}"/>
    <cellStyle name="British Pound" xfId="49" xr:uid="{00000000-0005-0000-0000-000029000000}"/>
    <cellStyle name="Ç¥ÁØ_TestResults" xfId="50" xr:uid="{00000000-0005-0000-0000-00002A000000}"/>
    <cellStyle name="Calcul" xfId="51" xr:uid="{00000000-0005-0000-0000-00002B000000}"/>
    <cellStyle name="CashFlow" xfId="52" xr:uid="{00000000-0005-0000-0000-00002C000000}"/>
    <cellStyle name="Checksum" xfId="53" xr:uid="{00000000-0005-0000-0000-00002D000000}"/>
    <cellStyle name="ColHeading" xfId="54" xr:uid="{00000000-0005-0000-0000-00002E000000}"/>
    <cellStyle name="Column Heading" xfId="55" xr:uid="{00000000-0005-0000-0000-00002F000000}"/>
    <cellStyle name="Column Heading (No Wrap)" xfId="56" xr:uid="{00000000-0005-0000-0000-000030000000}"/>
    <cellStyle name="Column Heading_SHEET" xfId="57" xr:uid="{00000000-0005-0000-0000-000031000000}"/>
    <cellStyle name="Column label" xfId="58" xr:uid="{00000000-0005-0000-0000-000032000000}"/>
    <cellStyle name="Column label (left aligned)" xfId="59" xr:uid="{00000000-0005-0000-0000-000033000000}"/>
    <cellStyle name="Column label (no wrap)" xfId="60" xr:uid="{00000000-0005-0000-0000-000034000000}"/>
    <cellStyle name="Column label (not bold)" xfId="61" xr:uid="{00000000-0005-0000-0000-000035000000}"/>
    <cellStyle name="Column label_sheet" xfId="62" xr:uid="{00000000-0005-0000-0000-000036000000}"/>
    <cellStyle name="Column Total" xfId="63" xr:uid="{00000000-0005-0000-0000-000037000000}"/>
    <cellStyle name="Comma" xfId="5" builtinId="3"/>
    <cellStyle name="comma - number" xfId="64" xr:uid="{00000000-0005-0000-0000-000039000000}"/>
    <cellStyle name="Comma [2]" xfId="65" xr:uid="{00000000-0005-0000-0000-00003A000000}"/>
    <cellStyle name="Comma 0" xfId="66" xr:uid="{00000000-0005-0000-0000-00003B000000}"/>
    <cellStyle name="Comma 2" xfId="4" xr:uid="{00000000-0005-0000-0000-00003C000000}"/>
    <cellStyle name="Comma 3" xfId="67" xr:uid="{00000000-0005-0000-0000-00003D000000}"/>
    <cellStyle name="Comma 3 2" xfId="415" xr:uid="{64117832-0D51-4445-82FA-353FAF8CFF9F}"/>
    <cellStyle name="Comma 4" xfId="68" xr:uid="{00000000-0005-0000-0000-00003E000000}"/>
    <cellStyle name="Comma(1)" xfId="69" xr:uid="{00000000-0005-0000-0000-00003F000000}"/>
    <cellStyle name="Comma, 1 dec" xfId="70" xr:uid="{00000000-0005-0000-0000-000040000000}"/>
    <cellStyle name="Comma_BT3" xfId="412" xr:uid="{00000000-0005-0000-0000-000041000000}"/>
    <cellStyle name="Comma0" xfId="71" xr:uid="{00000000-0005-0000-0000-000042000000}"/>
    <cellStyle name="Company" xfId="72" xr:uid="{00000000-0005-0000-0000-000043000000}"/>
    <cellStyle name="Cover Date" xfId="73" xr:uid="{00000000-0005-0000-0000-000044000000}"/>
    <cellStyle name="Cover Subtitle" xfId="74" xr:uid="{00000000-0005-0000-0000-000045000000}"/>
    <cellStyle name="Cover Title" xfId="75" xr:uid="{00000000-0005-0000-0000-000046000000}"/>
    <cellStyle name="CurRatio" xfId="76" xr:uid="{00000000-0005-0000-0000-000047000000}"/>
    <cellStyle name="Currency - Euro" xfId="77" xr:uid="{00000000-0005-0000-0000-000048000000}"/>
    <cellStyle name="Currency (2dp)" xfId="78" xr:uid="{00000000-0005-0000-0000-000049000000}"/>
    <cellStyle name="Currency [0] - Euro" xfId="79" xr:uid="{00000000-0005-0000-0000-00004A000000}"/>
    <cellStyle name="Currency [1]" xfId="80" xr:uid="{00000000-0005-0000-0000-00004B000000}"/>
    <cellStyle name="Currency [2]" xfId="81" xr:uid="{00000000-0005-0000-0000-00004C000000}"/>
    <cellStyle name="Currency 0" xfId="82" xr:uid="{00000000-0005-0000-0000-00004D000000}"/>
    <cellStyle name="Currency 2" xfId="83" xr:uid="{00000000-0005-0000-0000-00004E000000}"/>
    <cellStyle name="Currency Dollar" xfId="84" xr:uid="{00000000-0005-0000-0000-00004F000000}"/>
    <cellStyle name="Currency Dollar (2dp)" xfId="85" xr:uid="{00000000-0005-0000-0000-000050000000}"/>
    <cellStyle name="Currency EUR" xfId="86" xr:uid="{00000000-0005-0000-0000-000051000000}"/>
    <cellStyle name="Currency EUR (2dp)" xfId="87" xr:uid="{00000000-0005-0000-0000-000052000000}"/>
    <cellStyle name="Currency Euro" xfId="88" xr:uid="{00000000-0005-0000-0000-000053000000}"/>
    <cellStyle name="Currency Euro (2dp)" xfId="89" xr:uid="{00000000-0005-0000-0000-000054000000}"/>
    <cellStyle name="Currency GBP" xfId="90" xr:uid="{00000000-0005-0000-0000-000055000000}"/>
    <cellStyle name="Currency GBP (2dp)" xfId="91" xr:uid="{00000000-0005-0000-0000-000056000000}"/>
    <cellStyle name="Currency Pound" xfId="92" xr:uid="{00000000-0005-0000-0000-000057000000}"/>
    <cellStyle name="Currency Pound (2dp)" xfId="93" xr:uid="{00000000-0005-0000-0000-000058000000}"/>
    <cellStyle name="Currency USD" xfId="94" xr:uid="{00000000-0005-0000-0000-000059000000}"/>
    <cellStyle name="Currency USD (2dp)" xfId="95" xr:uid="{00000000-0005-0000-0000-00005A000000}"/>
    <cellStyle name="Currency0" xfId="96" xr:uid="{00000000-0005-0000-0000-00005B000000}"/>
    <cellStyle name="Date" xfId="97" xr:uid="{00000000-0005-0000-0000-00005C000000}"/>
    <cellStyle name="Date (Month)" xfId="98" xr:uid="{00000000-0005-0000-0000-00005D000000}"/>
    <cellStyle name="Date (Year)" xfId="99" xr:uid="{00000000-0005-0000-0000-00005E000000}"/>
    <cellStyle name="Date [d-mmm-yy]" xfId="100" xr:uid="{00000000-0005-0000-0000-00005F000000}"/>
    <cellStyle name="Date [mm-d-yy]" xfId="101" xr:uid="{00000000-0005-0000-0000-000060000000}"/>
    <cellStyle name="Date [mm-d-yyyy]" xfId="102" xr:uid="{00000000-0005-0000-0000-000061000000}"/>
    <cellStyle name="Date [mmm-d-yyyy]" xfId="103" xr:uid="{00000000-0005-0000-0000-000062000000}"/>
    <cellStyle name="Date [mmm-yy]" xfId="104" xr:uid="{00000000-0005-0000-0000-000063000000}"/>
    <cellStyle name="Date [mmm-yyyy]" xfId="105" xr:uid="{00000000-0005-0000-0000-000064000000}"/>
    <cellStyle name="Date Aligned" xfId="106" xr:uid="{00000000-0005-0000-0000-000065000000}"/>
    <cellStyle name="Date_BT2" xfId="107" xr:uid="{00000000-0005-0000-0000-000066000000}"/>
    <cellStyle name="Date2" xfId="108" xr:uid="{00000000-0005-0000-0000-000067000000}"/>
    <cellStyle name="Dates" xfId="109" xr:uid="{00000000-0005-0000-0000-000068000000}"/>
    <cellStyle name="DateYear" xfId="110" xr:uid="{00000000-0005-0000-0000-000069000000}"/>
    <cellStyle name="Déprotégée" xfId="111" xr:uid="{00000000-0005-0000-0000-00006A000000}"/>
    <cellStyle name="Devise" xfId="112" xr:uid="{00000000-0005-0000-0000-00006B000000}"/>
    <cellStyle name="Dezimal (0.0)" xfId="113" xr:uid="{00000000-0005-0000-0000-00006C000000}"/>
    <cellStyle name="Dollar" xfId="114" xr:uid="{00000000-0005-0000-0000-00006D000000}"/>
    <cellStyle name="dollars" xfId="115" xr:uid="{00000000-0005-0000-0000-00006E000000}"/>
    <cellStyle name="DollarWhole" xfId="116" xr:uid="{00000000-0005-0000-0000-00006F000000}"/>
    <cellStyle name="Dotted Line" xfId="117" xr:uid="{00000000-0005-0000-0000-000070000000}"/>
    <cellStyle name="Double Accounting" xfId="118" xr:uid="{00000000-0005-0000-0000-000071000000}"/>
    <cellStyle name="Driver" xfId="119" xr:uid="{00000000-0005-0000-0000-000072000000}"/>
    <cellStyle name="Driver Lable" xfId="120" xr:uid="{00000000-0005-0000-0000-000073000000}"/>
    <cellStyle name="Entités" xfId="121" xr:uid="{00000000-0005-0000-0000-000074000000}"/>
    <cellStyle name="EPS" xfId="122" xr:uid="{00000000-0005-0000-0000-000075000000}"/>
    <cellStyle name="EPSActual" xfId="123" xr:uid="{00000000-0005-0000-0000-000076000000}"/>
    <cellStyle name="EPSEstimate" xfId="124" xr:uid="{00000000-0005-0000-0000-000077000000}"/>
    <cellStyle name="Est - $" xfId="125" xr:uid="{00000000-0005-0000-0000-000078000000}"/>
    <cellStyle name="Est - %" xfId="126" xr:uid="{00000000-0005-0000-0000-000079000000}"/>
    <cellStyle name="Est 0,000.0" xfId="127" xr:uid="{00000000-0005-0000-0000-00007A000000}"/>
    <cellStyle name="Euro" xfId="128" xr:uid="{00000000-0005-0000-0000-00007B000000}"/>
    <cellStyle name="fact_Feuil1 (8)" xfId="129" xr:uid="{00000000-0005-0000-0000-00007C000000}"/>
    <cellStyle name="FF_EURO" xfId="130" xr:uid="{00000000-0005-0000-0000-00007D000000}"/>
    <cellStyle name="Fixed" xfId="131" xr:uid="{00000000-0005-0000-0000-00007E000000}"/>
    <cellStyle name="Fixed [0]" xfId="132" xr:uid="{00000000-0005-0000-0000-00007F000000}"/>
    <cellStyle name="fo]_x000d__x000a_UserName=Murat Zelef_x000d__x000a_UserCompany=Bumerang_x000d__x000a__x000d__x000a_[File Paths]_x000d__x000a_WorkingDirectory=C:\EQUIS\DLWIN_x000d__x000a_DownLoader=C" xfId="133" xr:uid="{00000000-0005-0000-0000-000080000000}"/>
    <cellStyle name="Följde hyperlänken" xfId="134" xr:uid="{00000000-0005-0000-0000-000081000000}"/>
    <cellStyle name="Footer SBILogo1" xfId="135" xr:uid="{00000000-0005-0000-0000-000082000000}"/>
    <cellStyle name="Footer SBILogo2" xfId="136" xr:uid="{00000000-0005-0000-0000-000083000000}"/>
    <cellStyle name="Footnote" xfId="137" xr:uid="{00000000-0005-0000-0000-000084000000}"/>
    <cellStyle name="Footnote Reference" xfId="138" xr:uid="{00000000-0005-0000-0000-000085000000}"/>
    <cellStyle name="Footnote_Innsamling" xfId="139" xr:uid="{00000000-0005-0000-0000-000086000000}"/>
    <cellStyle name="front page small" xfId="140" xr:uid="{00000000-0005-0000-0000-000087000000}"/>
    <cellStyle name="General" xfId="141" xr:uid="{00000000-0005-0000-0000-000088000000}"/>
    <cellStyle name="Grey" xfId="142" xr:uid="{00000000-0005-0000-0000-000089000000}"/>
    <cellStyle name="GrowthRate" xfId="143" xr:uid="{00000000-0005-0000-0000-00008A000000}"/>
    <cellStyle name="GrowthSeq" xfId="144" xr:uid="{00000000-0005-0000-0000-00008B000000}"/>
    <cellStyle name="H0" xfId="145" xr:uid="{00000000-0005-0000-0000-00008C000000}"/>
    <cellStyle name="H1" xfId="146" xr:uid="{00000000-0005-0000-0000-00008D000000}"/>
    <cellStyle name="H2" xfId="147" xr:uid="{00000000-0005-0000-0000-00008E000000}"/>
    <cellStyle name="H3" xfId="148" xr:uid="{00000000-0005-0000-0000-00008F000000}"/>
    <cellStyle name="H4" xfId="149" xr:uid="{00000000-0005-0000-0000-000090000000}"/>
    <cellStyle name="haeding 2" xfId="150" xr:uid="{00000000-0005-0000-0000-000091000000}"/>
    <cellStyle name="Hard" xfId="151" xr:uid="{00000000-0005-0000-0000-000092000000}"/>
    <cellStyle name="Hard input" xfId="152" xr:uid="{00000000-0005-0000-0000-000093000000}"/>
    <cellStyle name="hard no." xfId="153" xr:uid="{00000000-0005-0000-0000-000094000000}"/>
    <cellStyle name="Hard Percent" xfId="154" xr:uid="{00000000-0005-0000-0000-000095000000}"/>
    <cellStyle name="head2" xfId="155" xr:uid="{00000000-0005-0000-0000-000096000000}"/>
    <cellStyle name="Header" xfId="156" xr:uid="{00000000-0005-0000-0000-000097000000}"/>
    <cellStyle name="Header Draft Stamp" xfId="157" xr:uid="{00000000-0005-0000-0000-000098000000}"/>
    <cellStyle name="Header_Innsamling" xfId="158" xr:uid="{00000000-0005-0000-0000-000099000000}"/>
    <cellStyle name="Heading" xfId="159" xr:uid="{00000000-0005-0000-0000-00009A000000}"/>
    <cellStyle name="Heading 1 Above" xfId="160" xr:uid="{00000000-0005-0000-0000-00009B000000}"/>
    <cellStyle name="Heading 1+" xfId="161" xr:uid="{00000000-0005-0000-0000-00009C000000}"/>
    <cellStyle name="Heading 2 Below" xfId="162" xr:uid="{00000000-0005-0000-0000-00009D000000}"/>
    <cellStyle name="Heading 2+" xfId="163" xr:uid="{00000000-0005-0000-0000-00009E000000}"/>
    <cellStyle name="Heading 3+" xfId="164" xr:uid="{00000000-0005-0000-0000-00009F000000}"/>
    <cellStyle name="Heading 5" xfId="165" xr:uid="{00000000-0005-0000-0000-0000A0000000}"/>
    <cellStyle name="Highlight" xfId="166" xr:uid="{00000000-0005-0000-0000-0000A1000000}"/>
    <cellStyle name="Hist inmatning" xfId="167" xr:uid="{00000000-0005-0000-0000-0000A2000000}"/>
    <cellStyle name="Hyperlänk" xfId="168" xr:uid="{00000000-0005-0000-0000-0000A3000000}"/>
    <cellStyle name="Hyperlink" xfId="1" builtinId="8"/>
    <cellStyle name="Hyperlink 2" xfId="169" xr:uid="{00000000-0005-0000-0000-0000A5000000}"/>
    <cellStyle name="IncomeStatement" xfId="170" xr:uid="{00000000-0005-0000-0000-0000A6000000}"/>
    <cellStyle name="InLink" xfId="171" xr:uid="{00000000-0005-0000-0000-0000A7000000}"/>
    <cellStyle name="Input [yellow]" xfId="172" xr:uid="{00000000-0005-0000-0000-0000A8000000}"/>
    <cellStyle name="Input calculation" xfId="173" xr:uid="{00000000-0005-0000-0000-0000A9000000}"/>
    <cellStyle name="Input Currency" xfId="174" xr:uid="{00000000-0005-0000-0000-0000AA000000}"/>
    <cellStyle name="Input data" xfId="175" xr:uid="{00000000-0005-0000-0000-0000AB000000}"/>
    <cellStyle name="Input Date" xfId="176" xr:uid="{00000000-0005-0000-0000-0000AC000000}"/>
    <cellStyle name="Input estimate" xfId="177" xr:uid="{00000000-0005-0000-0000-0000AD000000}"/>
    <cellStyle name="Input Fixed [0]" xfId="178" xr:uid="{00000000-0005-0000-0000-0000AE000000}"/>
    <cellStyle name="Input link" xfId="179" xr:uid="{00000000-0005-0000-0000-0000AF000000}"/>
    <cellStyle name="Input link (different workbook)" xfId="180" xr:uid="{00000000-0005-0000-0000-0000B0000000}"/>
    <cellStyle name="Input Link_Copy of ESA5 ForecastScaling" xfId="181" xr:uid="{00000000-0005-0000-0000-0000B1000000}"/>
    <cellStyle name="Input Normal" xfId="182" xr:uid="{00000000-0005-0000-0000-0000B2000000}"/>
    <cellStyle name="Input parameter" xfId="183" xr:uid="{00000000-0005-0000-0000-0000B3000000}"/>
    <cellStyle name="Input Percent" xfId="184" xr:uid="{00000000-0005-0000-0000-0000B4000000}"/>
    <cellStyle name="Input Percent [2]" xfId="185" xr:uid="{00000000-0005-0000-0000-0000B5000000}"/>
    <cellStyle name="Input Percent_Book1" xfId="186" xr:uid="{00000000-0005-0000-0000-0000B6000000}"/>
    <cellStyle name="Input Titles" xfId="187" xr:uid="{00000000-0005-0000-0000-0000B7000000}"/>
    <cellStyle name="Input%" xfId="188" xr:uid="{00000000-0005-0000-0000-0000B8000000}"/>
    <cellStyle name="Input0dec" xfId="189" xr:uid="{00000000-0005-0000-0000-0000B9000000}"/>
    <cellStyle name="Input2dec" xfId="190" xr:uid="{00000000-0005-0000-0000-0000BA000000}"/>
    <cellStyle name="InputBlueFont" xfId="191" xr:uid="{00000000-0005-0000-0000-0000BB000000}"/>
    <cellStyle name="InputDate" xfId="192" xr:uid="{00000000-0005-0000-0000-0000BC000000}"/>
    <cellStyle name="InputDecimal" xfId="193" xr:uid="{00000000-0005-0000-0000-0000BD000000}"/>
    <cellStyle name="InputValue" xfId="194" xr:uid="{00000000-0005-0000-0000-0000BE000000}"/>
    <cellStyle name="Integer" xfId="195" xr:uid="{00000000-0005-0000-0000-0000BF000000}"/>
    <cellStyle name="Item" xfId="196" xr:uid="{00000000-0005-0000-0000-0000C0000000}"/>
    <cellStyle name="Items_Optional" xfId="197" xr:uid="{00000000-0005-0000-0000-0000C1000000}"/>
    <cellStyle name="ItemTypeClass" xfId="198" xr:uid="{00000000-0005-0000-0000-0000C2000000}"/>
    <cellStyle name="James" xfId="199" xr:uid="{00000000-0005-0000-0000-0000C3000000}"/>
    <cellStyle name="kopregel" xfId="200" xr:uid="{00000000-0005-0000-0000-0000C4000000}"/>
    <cellStyle name="Libellés" xfId="201" xr:uid="{00000000-0005-0000-0000-0000C5000000}"/>
    <cellStyle name="Linked" xfId="202" xr:uid="{00000000-0005-0000-0000-0000C6000000}"/>
    <cellStyle name="Locked" xfId="203" xr:uid="{00000000-0005-0000-0000-0000C7000000}"/>
    <cellStyle name="Main Title" xfId="204" xr:uid="{00000000-0005-0000-0000-0000C8000000}"/>
    <cellStyle name="Major item" xfId="205" xr:uid="{00000000-0005-0000-0000-0000C9000000}"/>
    <cellStyle name="margenta-f" xfId="206" xr:uid="{00000000-0005-0000-0000-0000CA000000}"/>
    <cellStyle name="Margin" xfId="207" xr:uid="{00000000-0005-0000-0000-0000CB000000}"/>
    <cellStyle name="Margins" xfId="208" xr:uid="{00000000-0005-0000-0000-0000CC000000}"/>
    <cellStyle name="Migliaia_Foglio1" xfId="209" xr:uid="{00000000-0005-0000-0000-0000CD000000}"/>
    <cellStyle name="Milliers [0]_Aimants permanents" xfId="210" xr:uid="{00000000-0005-0000-0000-0000CE000000}"/>
    <cellStyle name="Milliers [00]" xfId="211" xr:uid="{00000000-0005-0000-0000-0000CF000000}"/>
    <cellStyle name="Milliers_Aimants permanents" xfId="212" xr:uid="{00000000-0005-0000-0000-0000D0000000}"/>
    <cellStyle name="mine" xfId="213" xr:uid="{00000000-0005-0000-0000-0000D1000000}"/>
    <cellStyle name="Monétaire [0]_Aimants permanents" xfId="214" xr:uid="{00000000-0005-0000-0000-0000D2000000}"/>
    <cellStyle name="Monétaire [00]" xfId="215" xr:uid="{00000000-0005-0000-0000-0000D3000000}"/>
    <cellStyle name="Monétaire_Aimants permanents" xfId="216" xr:uid="{00000000-0005-0000-0000-0000D4000000}"/>
    <cellStyle name="Multiple" xfId="217" xr:uid="{00000000-0005-0000-0000-0000D5000000}"/>
    <cellStyle name="NA is zero" xfId="218" xr:uid="{00000000-0005-0000-0000-0000D6000000}"/>
    <cellStyle name="Name" xfId="219" xr:uid="{00000000-0005-0000-0000-0000D7000000}"/>
    <cellStyle name="neg0.0" xfId="220" xr:uid="{00000000-0005-0000-0000-0000D8000000}"/>
    <cellStyle name="no dec" xfId="221" xr:uid="{00000000-0005-0000-0000-0000D9000000}"/>
    <cellStyle name="Normal" xfId="0" builtinId="0"/>
    <cellStyle name="Normal - Style1" xfId="222" xr:uid="{00000000-0005-0000-0000-0000DB000000}"/>
    <cellStyle name="Normal (no,)" xfId="223" xr:uid="{00000000-0005-0000-0000-0000DC000000}"/>
    <cellStyle name="Normal [0]" xfId="224" xr:uid="{00000000-0005-0000-0000-0000DD000000}"/>
    <cellStyle name="Normal [1]" xfId="225" xr:uid="{00000000-0005-0000-0000-0000DE000000}"/>
    <cellStyle name="Normal [2]" xfId="226" xr:uid="{00000000-0005-0000-0000-0000DF000000}"/>
    <cellStyle name="Normal [3]" xfId="227" xr:uid="{00000000-0005-0000-0000-0000E0000000}"/>
    <cellStyle name="Normal 1" xfId="228" xr:uid="{00000000-0005-0000-0000-0000E1000000}"/>
    <cellStyle name="Normal 2" xfId="2" xr:uid="{00000000-0005-0000-0000-0000E2000000}"/>
    <cellStyle name="Normal 3" xfId="229" xr:uid="{00000000-0005-0000-0000-0000E3000000}"/>
    <cellStyle name="Normal 4" xfId="414" xr:uid="{383C8017-2BAA-4F95-9E03-EC9D5CD202F7}"/>
    <cellStyle name="Normal Bold" xfId="230" xr:uid="{00000000-0005-0000-0000-0000E4000000}"/>
    <cellStyle name="Normal Pct" xfId="231" xr:uid="{00000000-0005-0000-0000-0000E5000000}"/>
    <cellStyle name="Normal_bt debt model" xfId="413" xr:uid="{00000000-0005-0000-0000-0000E6000000}"/>
    <cellStyle name="Normal_BT3" xfId="411" xr:uid="{00000000-0005-0000-0000-0000E7000000}"/>
    <cellStyle name="Normal_ft" xfId="410" xr:uid="{00000000-0005-0000-0000-0000E8000000}"/>
    <cellStyle name="NormalE" xfId="232" xr:uid="{00000000-0005-0000-0000-0000E9000000}"/>
    <cellStyle name="NormalGB" xfId="233" xr:uid="{00000000-0005-0000-0000-0000EA000000}"/>
    <cellStyle name="NormalMultiple" xfId="234" xr:uid="{00000000-0005-0000-0000-0000EB000000}"/>
    <cellStyle name="NOT" xfId="235" xr:uid="{00000000-0005-0000-0000-0000EC000000}"/>
    <cellStyle name="Notes" xfId="236" xr:uid="{00000000-0005-0000-0000-0000ED000000}"/>
    <cellStyle name="NPPESalesPct" xfId="237" xr:uid="{00000000-0005-0000-0000-0000EE000000}"/>
    <cellStyle name="Number" xfId="238" xr:uid="{00000000-0005-0000-0000-0000EF000000}"/>
    <cellStyle name="Number (2dp)" xfId="239" xr:uid="{00000000-0005-0000-0000-0000F0000000}"/>
    <cellStyle name="Number_Copy of ESA5 ForecastScaling" xfId="240" xr:uid="{00000000-0005-0000-0000-0000F1000000}"/>
    <cellStyle name="NWI%S" xfId="241" xr:uid="{00000000-0005-0000-0000-0000F2000000}"/>
    <cellStyle name="Ombrée" xfId="242" xr:uid="{00000000-0005-0000-0000-0000F3000000}"/>
    <cellStyle name="Onedec" xfId="243" xr:uid="{00000000-0005-0000-0000-0000F4000000}"/>
    <cellStyle name="Option" xfId="244" xr:uid="{00000000-0005-0000-0000-0000F5000000}"/>
    <cellStyle name="Page Number" xfId="245" xr:uid="{00000000-0005-0000-0000-0000F6000000}"/>
    <cellStyle name="PB Table Heading" xfId="246" xr:uid="{00000000-0005-0000-0000-0000F7000000}"/>
    <cellStyle name="PB Table Highlight1" xfId="247" xr:uid="{00000000-0005-0000-0000-0000F8000000}"/>
    <cellStyle name="PB Table Highlight2" xfId="248" xr:uid="{00000000-0005-0000-0000-0000F9000000}"/>
    <cellStyle name="PB Table Highlight3" xfId="249" xr:uid="{00000000-0005-0000-0000-0000FA000000}"/>
    <cellStyle name="PB Table Standard Row" xfId="250" xr:uid="{00000000-0005-0000-0000-0000FB000000}"/>
    <cellStyle name="PB Table Subtotal Row" xfId="251" xr:uid="{00000000-0005-0000-0000-0000FC000000}"/>
    <cellStyle name="PB Table Total Row" xfId="252" xr:uid="{00000000-0005-0000-0000-0000FD000000}"/>
    <cellStyle name="pb_page_heading_LS" xfId="253" xr:uid="{00000000-0005-0000-0000-0000FE000000}"/>
    <cellStyle name="pc1" xfId="254" xr:uid="{00000000-0005-0000-0000-0000FF000000}"/>
    <cellStyle name="PctLine" xfId="255" xr:uid="{00000000-0005-0000-0000-000000010000}"/>
    <cellStyle name="Percent" xfId="6" builtinId="5"/>
    <cellStyle name="Percent (0)" xfId="256" xr:uid="{00000000-0005-0000-0000-000002010000}"/>
    <cellStyle name="Percent (0.0)" xfId="257" xr:uid="{00000000-0005-0000-0000-000003010000}"/>
    <cellStyle name="Percent (0.00)" xfId="258" xr:uid="{00000000-0005-0000-0000-000004010000}"/>
    <cellStyle name="Percent [0]" xfId="259" xr:uid="{00000000-0005-0000-0000-000005010000}"/>
    <cellStyle name="Percent [1]" xfId="260" xr:uid="{00000000-0005-0000-0000-000006010000}"/>
    <cellStyle name="Percent [2]" xfId="261" xr:uid="{00000000-0005-0000-0000-000007010000}"/>
    <cellStyle name="Percent 0" xfId="262" xr:uid="{00000000-0005-0000-0000-000008010000}"/>
    <cellStyle name="Percent 0.00" xfId="263" xr:uid="{00000000-0005-0000-0000-000009010000}"/>
    <cellStyle name="Percent 0_3q" xfId="264" xr:uid="{00000000-0005-0000-0000-00000A010000}"/>
    <cellStyle name="Percent 2" xfId="3" xr:uid="{00000000-0005-0000-0000-00000B010000}"/>
    <cellStyle name="Percent 3" xfId="265" xr:uid="{00000000-0005-0000-0000-00000C010000}"/>
    <cellStyle name="Percentage" xfId="266" xr:uid="{00000000-0005-0000-0000-00000D010000}"/>
    <cellStyle name="Percentage (2dp)" xfId="267" xr:uid="{00000000-0005-0000-0000-00000E010000}"/>
    <cellStyle name="Percentage_Copy of ESA5 ForecastScaling" xfId="268" xr:uid="{00000000-0005-0000-0000-00000F010000}"/>
    <cellStyle name="PercentChange" xfId="269" xr:uid="{00000000-0005-0000-0000-000010010000}"/>
    <cellStyle name="PercentPresentation" xfId="270" xr:uid="{00000000-0005-0000-0000-000011010000}"/>
    <cellStyle name="PercentSales" xfId="271" xr:uid="{00000000-0005-0000-0000-000012010000}"/>
    <cellStyle name="PerShare" xfId="272" xr:uid="{00000000-0005-0000-0000-000013010000}"/>
    <cellStyle name="POPS" xfId="273" xr:uid="{00000000-0005-0000-0000-000014010000}"/>
    <cellStyle name="Pourcentage [0]" xfId="274" xr:uid="{00000000-0005-0000-0000-000015010000}"/>
    <cellStyle name="Pourcentage [00]" xfId="275" xr:uid="{00000000-0005-0000-0000-000016010000}"/>
    <cellStyle name="Pourcentage_BASCULER" xfId="276" xr:uid="{00000000-0005-0000-0000-000017010000}"/>
    <cellStyle name="Presentation" xfId="277" xr:uid="{00000000-0005-0000-0000-000018010000}"/>
    <cellStyle name="PresentationZero" xfId="278" xr:uid="{00000000-0005-0000-0000-000019010000}"/>
    <cellStyle name="Price" xfId="279" xr:uid="{00000000-0005-0000-0000-00001A010000}"/>
    <cellStyle name="Procenten" xfId="280" xr:uid="{00000000-0005-0000-0000-00001B010000}"/>
    <cellStyle name="Pub percent" xfId="281" xr:uid="{00000000-0005-0000-0000-00001C010000}"/>
    <cellStyle name="r" xfId="282" xr:uid="{00000000-0005-0000-0000-00001D010000}"/>
    <cellStyle name="r_Canal Digital" xfId="283" xr:uid="{00000000-0005-0000-0000-00001E010000}"/>
    <cellStyle name="r_Canal Digital_Deutsche" xfId="284" xr:uid="{00000000-0005-0000-0000-00001F010000}"/>
    <cellStyle name="r_Canal Digital_Fixed" xfId="285" xr:uid="{00000000-0005-0000-0000-000020010000}"/>
    <cellStyle name="r_Canal Digital_Fixed_Deutsche" xfId="286" xr:uid="{00000000-0005-0000-0000-000021010000}"/>
    <cellStyle name="r_Canal Digital_Fixed_Innsamling" xfId="287" xr:uid="{00000000-0005-0000-0000-000022010000}"/>
    <cellStyle name="r_Canal Digital_Group" xfId="288" xr:uid="{00000000-0005-0000-0000-000023010000}"/>
    <cellStyle name="r_Canal Digital_Group_Deutsche" xfId="289" xr:uid="{00000000-0005-0000-0000-000024010000}"/>
    <cellStyle name="r_Canal Digital_Group_Innsamling" xfId="290" xr:uid="{00000000-0005-0000-0000-000025010000}"/>
    <cellStyle name="r_Canal Digital_Innsamling" xfId="291" xr:uid="{00000000-0005-0000-0000-000026010000}"/>
    <cellStyle name="r_Canal Digital_Mobile" xfId="292" xr:uid="{00000000-0005-0000-0000-000027010000}"/>
    <cellStyle name="r_Canal Digital_Mobile_Deutsche" xfId="293" xr:uid="{00000000-0005-0000-0000-000028010000}"/>
    <cellStyle name="r_Canal Digital_Mobile_Innsamling" xfId="294" xr:uid="{00000000-0005-0000-0000-000029010000}"/>
    <cellStyle name="r_Canal Digital_Special items" xfId="295" xr:uid="{00000000-0005-0000-0000-00002A010000}"/>
    <cellStyle name="r_Canal Digital_Special items_Deutsche" xfId="296" xr:uid="{00000000-0005-0000-0000-00002B010000}"/>
    <cellStyle name="r_Canal Digital_Special items_Innsamling" xfId="297" xr:uid="{00000000-0005-0000-0000-00002C010000}"/>
    <cellStyle name="r_tel" xfId="298" xr:uid="{00000000-0005-0000-0000-00002D010000}"/>
    <cellStyle name="r_tel.xls Chart 680" xfId="299" xr:uid="{00000000-0005-0000-0000-00002E010000}"/>
    <cellStyle name="r_Telenor" xfId="300" xr:uid="{00000000-0005-0000-0000-00002F010000}"/>
    <cellStyle name="RatioX" xfId="301" xr:uid="{00000000-0005-0000-0000-000030010000}"/>
    <cellStyle name="Red font" xfId="302" xr:uid="{00000000-0005-0000-0000-000031010000}"/>
    <cellStyle name="Report" xfId="303" xr:uid="{00000000-0005-0000-0000-000032010000}"/>
    <cellStyle name="Right" xfId="304" xr:uid="{00000000-0005-0000-0000-000033010000}"/>
    <cellStyle name="Rmess" xfId="305" xr:uid="{00000000-0005-0000-0000-000034010000}"/>
    <cellStyle name="Rnumber" xfId="306" xr:uid="{00000000-0005-0000-0000-000035010000}"/>
    <cellStyle name="Rnumber 0d" xfId="307" xr:uid="{00000000-0005-0000-0000-000036010000}"/>
    <cellStyle name="Rnumber_eurosubs10" xfId="308" xr:uid="{00000000-0005-0000-0000-000037010000}"/>
    <cellStyle name="Row and Column Total" xfId="309" xr:uid="{00000000-0005-0000-0000-000038010000}"/>
    <cellStyle name="Row Heading" xfId="310" xr:uid="{00000000-0005-0000-0000-000039010000}"/>
    <cellStyle name="Row Heading (No Wrap)" xfId="311" xr:uid="{00000000-0005-0000-0000-00003A010000}"/>
    <cellStyle name="Row Ignore" xfId="312" xr:uid="{00000000-0005-0000-0000-00003B010000}"/>
    <cellStyle name="Row label" xfId="313" xr:uid="{00000000-0005-0000-0000-00003C010000}"/>
    <cellStyle name="Row label (indent)" xfId="314" xr:uid="{00000000-0005-0000-0000-00003D010000}"/>
    <cellStyle name="Row Sub total" xfId="315" xr:uid="{00000000-0005-0000-0000-00003E010000}"/>
    <cellStyle name="Row Title 1" xfId="316" xr:uid="{00000000-0005-0000-0000-00003F010000}"/>
    <cellStyle name="Row Title 2" xfId="317" xr:uid="{00000000-0005-0000-0000-000040010000}"/>
    <cellStyle name="Row Title 3" xfId="318" xr:uid="{00000000-0005-0000-0000-000041010000}"/>
    <cellStyle name="Row Total" xfId="319" xr:uid="{00000000-0005-0000-0000-000042010000}"/>
    <cellStyle name="Saisie" xfId="320" xr:uid="{00000000-0005-0000-0000-000043010000}"/>
    <cellStyle name="Salomon Logo" xfId="321" xr:uid="{00000000-0005-0000-0000-000044010000}"/>
    <cellStyle name="ScripFactor" xfId="322" xr:uid="{00000000-0005-0000-0000-000045010000}"/>
    <cellStyle name="Section Title" xfId="323" xr:uid="{00000000-0005-0000-0000-000046010000}"/>
    <cellStyle name="SectionHeading" xfId="324" xr:uid="{00000000-0005-0000-0000-000047010000}"/>
    <cellStyle name="Separador de milhares_Projeção" xfId="325" xr:uid="{00000000-0005-0000-0000-000048010000}"/>
    <cellStyle name="Shares" xfId="326" xr:uid="{00000000-0005-0000-0000-000049010000}"/>
    <cellStyle name="Single Accounting" xfId="327" xr:uid="{00000000-0005-0000-0000-00004A010000}"/>
    <cellStyle name="Small Number" xfId="328" xr:uid="{00000000-0005-0000-0000-00004B010000}"/>
    <cellStyle name="Small Percentage" xfId="329" xr:uid="{00000000-0005-0000-0000-00004C010000}"/>
    <cellStyle name="Sous titre" xfId="330" xr:uid="{00000000-0005-0000-0000-00004D010000}"/>
    <cellStyle name="Standaard_KPN" xfId="331" xr:uid="{00000000-0005-0000-0000-00004E010000}"/>
    <cellStyle name="Standard" xfId="332" xr:uid="{00000000-0005-0000-0000-00004F010000}"/>
    <cellStyle name="Strange" xfId="333" xr:uid="{00000000-0005-0000-0000-000050010000}"/>
    <cellStyle name="STYL1 - Style1" xfId="334" xr:uid="{00000000-0005-0000-0000-000051010000}"/>
    <cellStyle name="Style 1" xfId="8" xr:uid="{00000000-0005-0000-0000-000052010000}"/>
    <cellStyle name="Subhead" xfId="335" xr:uid="{00000000-0005-0000-0000-000053010000}"/>
    <cellStyle name="Sub-total row" xfId="336" xr:uid="{00000000-0005-0000-0000-000054010000}"/>
    <cellStyle name="Table" xfId="337" xr:uid="{00000000-0005-0000-0000-000055010000}"/>
    <cellStyle name="Table finish row" xfId="338" xr:uid="{00000000-0005-0000-0000-000056010000}"/>
    <cellStyle name="Table Head" xfId="339" xr:uid="{00000000-0005-0000-0000-000057010000}"/>
    <cellStyle name="Table Head Aligned" xfId="340" xr:uid="{00000000-0005-0000-0000-000058010000}"/>
    <cellStyle name="Table Head Blue" xfId="341" xr:uid="{00000000-0005-0000-0000-000059010000}"/>
    <cellStyle name="Table Head Green" xfId="342" xr:uid="{00000000-0005-0000-0000-00005A010000}"/>
    <cellStyle name="Table Head_Millicom_current" xfId="343" xr:uid="{00000000-0005-0000-0000-00005B010000}"/>
    <cellStyle name="table numbers 1" xfId="344" xr:uid="{00000000-0005-0000-0000-00005C010000}"/>
    <cellStyle name="Table numbers 2" xfId="345" xr:uid="{00000000-0005-0000-0000-00005D010000}"/>
    <cellStyle name="Table shading" xfId="346" xr:uid="{00000000-0005-0000-0000-00005E010000}"/>
    <cellStyle name="Table Source" xfId="347" xr:uid="{00000000-0005-0000-0000-00005F010000}"/>
    <cellStyle name="Table Sub Head" xfId="348" xr:uid="{00000000-0005-0000-0000-000060010000}"/>
    <cellStyle name="Table Text" xfId="349" xr:uid="{00000000-0005-0000-0000-000061010000}"/>
    <cellStyle name="Table Title" xfId="350" xr:uid="{00000000-0005-0000-0000-000062010000}"/>
    <cellStyle name="Table unfinish row" xfId="351" xr:uid="{00000000-0005-0000-0000-000063010000}"/>
    <cellStyle name="Table Units" xfId="352" xr:uid="{00000000-0005-0000-0000-000064010000}"/>
    <cellStyle name="Table unshading" xfId="353" xr:uid="{00000000-0005-0000-0000-000065010000}"/>
    <cellStyle name="TableBorder" xfId="354" xr:uid="{00000000-0005-0000-0000-000066010000}"/>
    <cellStyle name="TableFootnotes" xfId="355" xr:uid="{00000000-0005-0000-0000-000067010000}"/>
    <cellStyle name="TableTitleFormat" xfId="356" xr:uid="{00000000-0005-0000-0000-000068010000}"/>
    <cellStyle name="Test [green]" xfId="357" xr:uid="{00000000-0005-0000-0000-000069010000}"/>
    <cellStyle name="test a style" xfId="358" xr:uid="{00000000-0005-0000-0000-00006A010000}"/>
    <cellStyle name="Text" xfId="359" xr:uid="{00000000-0005-0000-0000-00006B010000}"/>
    <cellStyle name="Text 1" xfId="360" xr:uid="{00000000-0005-0000-0000-00006C010000}"/>
    <cellStyle name="Text 2" xfId="361" xr:uid="{00000000-0005-0000-0000-00006D010000}"/>
    <cellStyle name="Text Head 1" xfId="362" xr:uid="{00000000-0005-0000-0000-00006E010000}"/>
    <cellStyle name="Text Head 2" xfId="363" xr:uid="{00000000-0005-0000-0000-00006F010000}"/>
    <cellStyle name="Text Indent 1" xfId="364" xr:uid="{00000000-0005-0000-0000-000070010000}"/>
    <cellStyle name="Text Indent 2" xfId="365" xr:uid="{00000000-0005-0000-0000-000071010000}"/>
    <cellStyle name="TFCF" xfId="366" xr:uid="{00000000-0005-0000-0000-000072010000}"/>
    <cellStyle name="Time Strip" xfId="367" xr:uid="{00000000-0005-0000-0000-000073010000}"/>
    <cellStyle name="times" xfId="368" xr:uid="{00000000-0005-0000-0000-000074010000}"/>
    <cellStyle name="Times 10" xfId="369" xr:uid="{00000000-0005-0000-0000-000075010000}"/>
    <cellStyle name="Times 12" xfId="370" xr:uid="{00000000-0005-0000-0000-000076010000}"/>
    <cellStyle name="times_Deutsche" xfId="371" xr:uid="{00000000-0005-0000-0000-000077010000}"/>
    <cellStyle name="Title Heading" xfId="372" xr:uid="{00000000-0005-0000-0000-000078010000}"/>
    <cellStyle name="Title II" xfId="373" xr:uid="{00000000-0005-0000-0000-000079010000}"/>
    <cellStyle name="title1" xfId="374" xr:uid="{00000000-0005-0000-0000-00007A010000}"/>
    <cellStyle name="Title2" xfId="375" xr:uid="{00000000-0005-0000-0000-00007B010000}"/>
    <cellStyle name="TitleII" xfId="376" xr:uid="{00000000-0005-0000-0000-00007C010000}"/>
    <cellStyle name="Titles" xfId="377" xr:uid="{00000000-0005-0000-0000-00007D010000}"/>
    <cellStyle name="Titre" xfId="378" xr:uid="{00000000-0005-0000-0000-00007E010000}"/>
    <cellStyle name="TOC 1" xfId="379" xr:uid="{00000000-0005-0000-0000-00007F010000}"/>
    <cellStyle name="TOC 2" xfId="380" xr:uid="{00000000-0005-0000-0000-000080010000}"/>
    <cellStyle name="tom" xfId="381" xr:uid="{00000000-0005-0000-0000-000081010000}"/>
    <cellStyle name="Topline" xfId="382" xr:uid="{00000000-0005-0000-0000-000082010000}"/>
    <cellStyle name="Total row" xfId="383" xr:uid="{00000000-0005-0000-0000-000083010000}"/>
    <cellStyle name="Tusenskille_Korrigeringer for å nettoføre VØT" xfId="384" xr:uid="{00000000-0005-0000-0000-000084010000}"/>
    <cellStyle name="Tusental (0)_1998-Q2" xfId="385" xr:uid="{00000000-0005-0000-0000-000085010000}"/>
    <cellStyle name="Tusental_1998-Q4-NORGE" xfId="386" xr:uid="{00000000-0005-0000-0000-000086010000}"/>
    <cellStyle name="ul" xfId="387" xr:uid="{00000000-0005-0000-0000-000087010000}"/>
    <cellStyle name="Unhighlight" xfId="388" xr:uid="{00000000-0005-0000-0000-000088010000}"/>
    <cellStyle name="Unit" xfId="389" xr:uid="{00000000-0005-0000-0000-000089010000}"/>
    <cellStyle name="units" xfId="390" xr:uid="{00000000-0005-0000-0000-00008A010000}"/>
    <cellStyle name="Untotal row" xfId="391" xr:uid="{00000000-0005-0000-0000-00008B010000}"/>
    <cellStyle name="Upload Only" xfId="392" xr:uid="{00000000-0005-0000-0000-00008C010000}"/>
    <cellStyle name="Valuta (0)_1998-Q2" xfId="393" xr:uid="{00000000-0005-0000-0000-00008D010000}"/>
    <cellStyle name="web_ normal" xfId="394" xr:uid="{00000000-0005-0000-0000-00008E010000}"/>
    <cellStyle name="White" xfId="395" xr:uid="{00000000-0005-0000-0000-00008F010000}"/>
    <cellStyle name="WholeNumber" xfId="396" xr:uid="{00000000-0005-0000-0000-000090010000}"/>
    <cellStyle name="WP Header" xfId="397" xr:uid="{00000000-0005-0000-0000-000091010000}"/>
    <cellStyle name="Year" xfId="398" xr:uid="{00000000-0005-0000-0000-000092010000}"/>
    <cellStyle name="Yen" xfId="399" xr:uid="{00000000-0005-0000-0000-000093010000}"/>
    <cellStyle name="똿뗦먛귟 [0.00]_PRODUCT DETAIL Q1_x0013_" xfId="400" xr:uid="{00000000-0005-0000-0000-000094010000}"/>
    <cellStyle name="똿뗦먛귟_PRODUCT DETAIL Q1TAIL" xfId="401" xr:uid="{00000000-0005-0000-0000-000095010000}"/>
    <cellStyle name="믅됞 [0.00]_PRODUCT DETAIL Q1Q3" xfId="402" xr:uid="{00000000-0005-0000-0000-000096010000}"/>
    <cellStyle name="믅됞_PRODUCT DETAIL Q1TA" xfId="403" xr:uid="{00000000-0005-0000-0000-000097010000}"/>
    <cellStyle name="뷭?_BOOKSHIP_상세일정 (2) (2) " xfId="404" xr:uid="{00000000-0005-0000-0000-000098010000}"/>
    <cellStyle name="콤마 [0]_97년도 프로젝트 현황 (2)OMMENTS_총무" xfId="405" xr:uid="{00000000-0005-0000-0000-000099010000}"/>
    <cellStyle name="콤마_97년도 프로젝트 현황 (2) (2)OMMENT" xfId="406" xr:uid="{00000000-0005-0000-0000-00009A010000}"/>
    <cellStyle name="통화 [0]_97년도 프로젝트 현황 (2)OMMENT" xfId="407" xr:uid="{00000000-0005-0000-0000-00009B010000}"/>
    <cellStyle name="통화_97년도 프로젝트 현황 (2) (2)OMMENT" xfId="408" xr:uid="{00000000-0005-0000-0000-00009C010000}"/>
    <cellStyle name="표준_97년 프로젝트 현황) (2) (2)" xfId="409" xr:uid="{00000000-0005-0000-0000-00009D010000}"/>
  </cellStyles>
  <dxfs count="32">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
      <font>
        <color rgb="FFFFFFFF"/>
      </font>
    </dxf>
  </dxfs>
  <tableStyles count="0" defaultTableStyle="TableStyleMedium2" defaultPivotStyle="PivotStyleLight16"/>
  <colors>
    <mruColors>
      <color rgb="FF0000FF"/>
      <color rgb="FF08C47C"/>
      <color rgb="FF868686"/>
      <color rgb="FF4BACC6"/>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2.xml"/><Relationship Id="rId21" Type="http://schemas.openxmlformats.org/officeDocument/2006/relationships/worksheet" Target="worksheets/sheet21.xml"/><Relationship Id="rId34" Type="http://schemas.openxmlformats.org/officeDocument/2006/relationships/externalLink" Target="externalLinks/externalLink7.xml"/><Relationship Id="rId42" Type="http://schemas.openxmlformats.org/officeDocument/2006/relationships/externalLink" Target="externalLinks/externalLink15.xml"/><Relationship Id="rId47" Type="http://schemas.openxmlformats.org/officeDocument/2006/relationships/externalLink" Target="externalLinks/externalLink20.xml"/><Relationship Id="rId50" Type="http://schemas.openxmlformats.org/officeDocument/2006/relationships/theme" Target="theme/theme1.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2.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externalLink" Target="externalLinks/externalLink10.xml"/><Relationship Id="rId40" Type="http://schemas.openxmlformats.org/officeDocument/2006/relationships/externalLink" Target="externalLinks/externalLink13.xml"/><Relationship Id="rId45" Type="http://schemas.openxmlformats.org/officeDocument/2006/relationships/externalLink" Target="externalLinks/externalLink18.xml"/><Relationship Id="rId53" Type="http://schemas.openxmlformats.org/officeDocument/2006/relationships/sheetMetadata" Target="metadata.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 Id="rId43" Type="http://schemas.openxmlformats.org/officeDocument/2006/relationships/externalLink" Target="externalLinks/externalLink16.xml"/><Relationship Id="rId48" Type="http://schemas.openxmlformats.org/officeDocument/2006/relationships/externalLink" Target="externalLinks/externalLink21.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externalLink" Target="externalLinks/externalLink11.xml"/><Relationship Id="rId46" Type="http://schemas.openxmlformats.org/officeDocument/2006/relationships/externalLink" Target="externalLinks/externalLink19.xml"/><Relationship Id="rId20" Type="http://schemas.openxmlformats.org/officeDocument/2006/relationships/worksheet" Target="worksheets/sheet20.xml"/><Relationship Id="rId41" Type="http://schemas.openxmlformats.org/officeDocument/2006/relationships/externalLink" Target="externalLinks/externalLink14.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externalLink" Target="externalLinks/externalLink9.xml"/><Relationship Id="rId49" Type="http://schemas.openxmlformats.org/officeDocument/2006/relationships/externalLink" Target="externalLinks/externalLink22.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externalLink" Target="externalLinks/externalLink4.xml"/><Relationship Id="rId44" Type="http://schemas.openxmlformats.org/officeDocument/2006/relationships/externalLink" Target="externalLinks/externalLink17.xml"/><Relationship Id="rId5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0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101.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91.xml"/><Relationship Id="rId1" Type="http://schemas.microsoft.com/office/2011/relationships/chartStyle" Target="style91.xml"/></Relationships>
</file>

<file path=xl/charts/_rels/chart102.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92.xml"/><Relationship Id="rId1" Type="http://schemas.microsoft.com/office/2011/relationships/chartStyle" Target="style92.xml"/></Relationships>
</file>

<file path=xl/charts/_rels/chart103.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93.xml"/><Relationship Id="rId1" Type="http://schemas.microsoft.com/office/2011/relationships/chartStyle" Target="style93.xml"/></Relationships>
</file>

<file path=xl/charts/_rels/chart104.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94.xml"/><Relationship Id="rId1" Type="http://schemas.microsoft.com/office/2011/relationships/chartStyle" Target="style94.xml"/></Relationships>
</file>

<file path=xl/charts/_rels/chart105.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5.xml"/><Relationship Id="rId1" Type="http://schemas.microsoft.com/office/2011/relationships/chartStyle" Target="style95.xml"/></Relationships>
</file>

<file path=xl/charts/_rels/chart107.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109.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0.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117.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_rels/chart118.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119.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0.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21.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0.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41.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42.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43.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44.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5.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6.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4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5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5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5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5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5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5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5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5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6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6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6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6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6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6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6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6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7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7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7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7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7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7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7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7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8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8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8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8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8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8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8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8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8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9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9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9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9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9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9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9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9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9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608456895387377"/>
          <c:y val="7.8842586261292258E-2"/>
          <c:w val="0.58555629467681025"/>
          <c:h val="0.67398595776855641"/>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9AF-4ADA-9913-ACEBFA28BFA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89AF-4ADA-9913-ACEBFA28BFA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3-89AF-4ADA-9913-ACEBFA28BFA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4-89AF-4ADA-9913-ACEBFA28BFA1}"/>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5-89AF-4ADA-9913-ACEBFA28BFA1}"/>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SOP!$AN$34:$AN$42</c:f>
            </c:numRef>
          </c:val>
          <c:extLst>
            <c:ext xmlns:c15="http://schemas.microsoft.com/office/drawing/2012/chart" uri="{02D57815-91ED-43cb-92C2-25804820EDAC}">
              <c15:filteredCategoryTitle>
                <c15:cat>
                  <c:multiLvlStrRef>
                    <c:extLst>
                      <c:ext uri="{02D57815-91ED-43cb-92C2-25804820EDAC}">
                        <c15:formulaRef>
                          <c15:sqref>SOP!$AM$34:$AM$42</c15:sqref>
                        </c15:formulaRef>
                      </c:ext>
                    </c:extLst>
                  </c:multiLvlStrRef>
                </c15:cat>
              </c15:filteredCategoryTitle>
            </c:ext>
            <c:ext xmlns:c16="http://schemas.microsoft.com/office/drawing/2014/chart" uri="{C3380CC4-5D6E-409C-BE32-E72D297353CC}">
              <c16:uniqueId val="{00000000-89AF-4ADA-9913-ACEBFA28BFA1}"/>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layout>
        <c:manualLayout>
          <c:xMode val="edge"/>
          <c:yMode val="edge"/>
          <c:x val="0"/>
          <c:y val="0.77837782340008899"/>
          <c:w val="1"/>
          <c:h val="0.18994797033598351"/>
        </c:manualLayout>
      </c:layout>
      <c:overlay val="0"/>
      <c:spPr>
        <a:noFill/>
        <a:ln w="25400">
          <a:noFill/>
        </a:ln>
        <a:effectLst/>
      </c:spPr>
      <c:txPr>
        <a:bodyPr rot="0" spcFirstLastPara="1" vertOverflow="ellipsis" vert="horz" wrap="square" anchor="ctr" anchorCtr="1"/>
        <a:lstStyle/>
        <a:p>
          <a:pPr rtl="0">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cked"/>
        <c:varyColors val="0"/>
        <c:ser>
          <c:idx val="0"/>
          <c:order val="0"/>
          <c:tx>
            <c:strRef>
              <c:f>'Earnings Snaps'!$A$9</c:f>
              <c:strCache>
                <c:ptCount val="1"/>
                <c:pt idx="0">
                  <c:v>Revenue, y/y</c:v>
                </c:pt>
              </c:strCache>
            </c:strRef>
          </c:tx>
          <c:spPr>
            <a:ln w="25400" cap="rnd">
              <a:solidFill>
                <a:srgbClr val="263238"/>
              </a:solidFill>
              <a:prstDash val="solid"/>
              <a:round/>
            </a:ln>
            <a:effectLst/>
          </c:spPr>
          <c:marker>
            <c:symbol val="none"/>
          </c:marker>
          <c:dPt>
            <c:idx val="8"/>
            <c:marker>
              <c:symbol val="none"/>
            </c:marker>
            <c:bubble3D val="0"/>
            <c:extLst>
              <c:ext xmlns:c16="http://schemas.microsoft.com/office/drawing/2014/chart" uri="{C3380CC4-5D6E-409C-BE32-E72D297353CC}">
                <c16:uniqueId val="{00000001-EE9E-439C-8AE4-C8E909F04669}"/>
              </c:ext>
            </c:extLst>
          </c:dPt>
          <c:dLbls>
            <c:dLbl>
              <c:idx val="6"/>
              <c:layout>
                <c:manualLayout>
                  <c:x val="-0.10784608342644092"/>
                  <c:y val="-2.415916591145494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C7-4B6A-B9A5-AB1E87F818A8}"/>
                </c:ext>
              </c:extLst>
            </c:dLbl>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Snaps'!$AT$6:$BJ$6</c:f>
              <c:strCache>
                <c:ptCount val="17"/>
                <c:pt idx="0">
                  <c:v>Q1 21</c:v>
                </c:pt>
                <c:pt idx="1">
                  <c:v>Q2 21</c:v>
                </c:pt>
                <c:pt idx="2">
                  <c:v>Q3 21</c:v>
                </c:pt>
                <c:pt idx="3">
                  <c:v>Q4 21</c:v>
                </c:pt>
                <c:pt idx="4">
                  <c:v>Q1 22</c:v>
                </c:pt>
                <c:pt idx="5">
                  <c:v>Q2 22</c:v>
                </c:pt>
                <c:pt idx="6">
                  <c:v>Q3 22</c:v>
                </c:pt>
                <c:pt idx="7">
                  <c:v>Q4 22</c:v>
                </c:pt>
                <c:pt idx="8">
                  <c:v>Q1 23</c:v>
                </c:pt>
                <c:pt idx="9">
                  <c:v>Q2 23</c:v>
                </c:pt>
                <c:pt idx="10">
                  <c:v>Q3 23</c:v>
                </c:pt>
                <c:pt idx="11">
                  <c:v>Q4 23</c:v>
                </c:pt>
                <c:pt idx="12">
                  <c:v>Q1 24</c:v>
                </c:pt>
                <c:pt idx="13">
                  <c:v>Q2 24</c:v>
                </c:pt>
                <c:pt idx="14">
                  <c:v>Q3 24</c:v>
                </c:pt>
                <c:pt idx="15">
                  <c:v>Q4 24</c:v>
                </c:pt>
                <c:pt idx="16">
                  <c:v>Q1 25</c:v>
                </c:pt>
              </c:strCache>
            </c:strRef>
          </c:cat>
          <c:val>
            <c:numRef>
              <c:f>'Earnings Snaps'!$AT$9:$BJ$9</c:f>
              <c:numCache>
                <c:formatCode>0%</c:formatCode>
                <c:ptCount val="17"/>
                <c:pt idx="0">
                  <c:v>4.0608291861691237E-2</c:v>
                </c:pt>
                <c:pt idx="1">
                  <c:v>1.0045877382269364E-2</c:v>
                </c:pt>
                <c:pt idx="2">
                  <c:v>-2.4741420889976551E-2</c:v>
                </c:pt>
                <c:pt idx="3">
                  <c:v>-4.3530123913972485E-2</c:v>
                </c:pt>
                <c:pt idx="4">
                  <c:v>-6.2064428957474105E-2</c:v>
                </c:pt>
                <c:pt idx="5">
                  <c:v>-7.719789590851156E-2</c:v>
                </c:pt>
                <c:pt idx="6">
                  <c:v>-8.6602923398175546E-2</c:v>
                </c:pt>
                <c:pt idx="7">
                  <c:v>-8.110120432589385E-2</c:v>
                </c:pt>
                <c:pt idx="8">
                  <c:v>-0.1171598081771138</c:v>
                </c:pt>
                <c:pt idx="9">
                  <c:v>-0.13435536273613358</c:v>
                </c:pt>
                <c:pt idx="10">
                  <c:v>-0.13837083383467697</c:v>
                </c:pt>
                <c:pt idx="11">
                  <c:v>-0.15293926994287566</c:v>
                </c:pt>
                <c:pt idx="12">
                  <c:v>-0.12323943661971837</c:v>
                </c:pt>
                <c:pt idx="13">
                  <c:v>-0.13286886166985046</c:v>
                </c:pt>
                <c:pt idx="14">
                  <c:v>-0.13161569613182522</c:v>
                </c:pt>
                <c:pt idx="15">
                  <c:v>-0.12370862827625795</c:v>
                </c:pt>
                <c:pt idx="16">
                  <c:v>-0.15050445685179736</c:v>
                </c:pt>
              </c:numCache>
            </c:numRef>
          </c:val>
          <c:smooth val="0"/>
          <c:extLst>
            <c:ext xmlns:c16="http://schemas.microsoft.com/office/drawing/2014/chart" uri="{C3380CC4-5D6E-409C-BE32-E72D297353CC}">
              <c16:uniqueId val="{00000002-EE9E-439C-8AE4-C8E909F04669}"/>
            </c:ext>
          </c:extLst>
        </c:ser>
        <c:dLbls>
          <c:showLegendKey val="0"/>
          <c:showVal val="0"/>
          <c:showCatName val="0"/>
          <c:showSerName val="0"/>
          <c:showPercent val="0"/>
          <c:showBubbleSize val="0"/>
        </c:dLbls>
        <c:smooth val="0"/>
        <c:axId val="605615568"/>
        <c:axId val="602398432"/>
      </c:lineChart>
      <c:catAx>
        <c:axId val="605615568"/>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602398432"/>
        <c:crosses val="autoZero"/>
        <c:auto val="1"/>
        <c:lblAlgn val="ctr"/>
        <c:lblOffset val="100"/>
        <c:noMultiLvlLbl val="0"/>
      </c:catAx>
      <c:valAx>
        <c:axId val="602398432"/>
        <c:scaling>
          <c:orientation val="minMax"/>
        </c:scaling>
        <c:delete val="1"/>
        <c:axPos val="l"/>
        <c:numFmt formatCode="0%" sourceLinked="1"/>
        <c:majorTickMark val="out"/>
        <c:minorTickMark val="none"/>
        <c:tickLblPos val="nextTo"/>
        <c:crossAx val="605615568"/>
        <c:crosses val="autoZero"/>
        <c:crossBetween val="between"/>
      </c:valAx>
      <c:spPr>
        <a:noFill/>
        <a:ln w="25400">
          <a:noFill/>
        </a:ln>
        <a:effectLst/>
      </c:spPr>
    </c:plotArea>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Analysis!$B$3074</c:f>
              <c:strCache>
                <c:ptCount val="1"/>
                <c:pt idx="0">
                  <c:v>Megacable</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Analysis!$D$3073:$G$3073</c:f>
              <c:numCache>
                <c:formatCode>General</c:formatCode>
                <c:ptCount val="4"/>
                <c:pt idx="0">
                  <c:v>2024</c:v>
                </c:pt>
                <c:pt idx="1">
                  <c:v>2025</c:v>
                </c:pt>
                <c:pt idx="2">
                  <c:v>2026</c:v>
                </c:pt>
                <c:pt idx="3">
                  <c:v>2027</c:v>
                </c:pt>
              </c:numCache>
            </c:numRef>
          </c:cat>
          <c:val>
            <c:numRef>
              <c:f>Analysis!$D$3074:$G$3074</c:f>
              <c:numCache>
                <c:formatCode>0.0</c:formatCode>
                <c:ptCount val="4"/>
                <c:pt idx="0">
                  <c:v>1.460021065307634</c:v>
                </c:pt>
                <c:pt idx="1">
                  <c:v>1.3157042097376048</c:v>
                </c:pt>
                <c:pt idx="2">
                  <c:v>1.124450364320668</c:v>
                </c:pt>
                <c:pt idx="3">
                  <c:v>0.94567495589956907</c:v>
                </c:pt>
              </c:numCache>
            </c:numRef>
          </c:val>
          <c:extLst>
            <c:ext xmlns:c16="http://schemas.microsoft.com/office/drawing/2014/chart" uri="{C3380CC4-5D6E-409C-BE32-E72D297353CC}">
              <c16:uniqueId val="{00000000-44C6-4C4D-836D-BB5EB24D3588}"/>
            </c:ext>
          </c:extLst>
        </c:ser>
        <c:ser>
          <c:idx val="1"/>
          <c:order val="1"/>
          <c:tx>
            <c:strRef>
              <c:f>Analysis!$B$3075</c:f>
              <c:strCache>
                <c:ptCount val="1"/>
                <c:pt idx="0">
                  <c:v>Televisa</c:v>
                </c:pt>
              </c:strCache>
            </c:strRef>
          </c:tx>
          <c:spPr>
            <a:solidFill>
              <a:schemeClr val="bg1">
                <a:lumMod val="85000"/>
              </a:schemeClr>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Analysis!$D$3073:$G$3073</c:f>
              <c:numCache>
                <c:formatCode>General</c:formatCode>
                <c:ptCount val="4"/>
                <c:pt idx="0">
                  <c:v>2024</c:v>
                </c:pt>
                <c:pt idx="1">
                  <c:v>2025</c:v>
                </c:pt>
                <c:pt idx="2">
                  <c:v>2026</c:v>
                </c:pt>
                <c:pt idx="3">
                  <c:v>2027</c:v>
                </c:pt>
              </c:numCache>
            </c:numRef>
          </c:cat>
          <c:val>
            <c:numRef>
              <c:f>Analysis!$D$3075:$G$3075</c:f>
              <c:numCache>
                <c:formatCode>0.0</c:formatCode>
                <c:ptCount val="4"/>
                <c:pt idx="0">
                  <c:v>4.4930986773508073</c:v>
                </c:pt>
                <c:pt idx="1">
                  <c:v>3.7390327795160943</c:v>
                </c:pt>
                <c:pt idx="2">
                  <c:v>3.4504890703229756</c:v>
                </c:pt>
                <c:pt idx="3">
                  <c:v>3.3560418555358185</c:v>
                </c:pt>
              </c:numCache>
            </c:numRef>
          </c:val>
          <c:extLst>
            <c:ext xmlns:c16="http://schemas.microsoft.com/office/drawing/2014/chart" uri="{C3380CC4-5D6E-409C-BE32-E72D297353CC}">
              <c16:uniqueId val="{00000001-44C6-4C4D-836D-BB5EB24D3588}"/>
            </c:ext>
          </c:extLst>
        </c:ser>
        <c:ser>
          <c:idx val="2"/>
          <c:order val="2"/>
          <c:tx>
            <c:strRef>
              <c:f>Analysis!$B$3076</c:f>
              <c:strCache>
                <c:ptCount val="1"/>
                <c:pt idx="0">
                  <c:v>AMX</c:v>
                </c:pt>
              </c:strCache>
            </c:strRef>
          </c:tx>
          <c:spPr>
            <a:solidFill>
              <a:srgbClr val="868686"/>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Analysis!$D$3073:$G$3073</c:f>
              <c:numCache>
                <c:formatCode>General</c:formatCode>
                <c:ptCount val="4"/>
                <c:pt idx="0">
                  <c:v>2024</c:v>
                </c:pt>
                <c:pt idx="1">
                  <c:v>2025</c:v>
                </c:pt>
                <c:pt idx="2">
                  <c:v>2026</c:v>
                </c:pt>
                <c:pt idx="3">
                  <c:v>2027</c:v>
                </c:pt>
              </c:numCache>
            </c:numRef>
          </c:cat>
          <c:val>
            <c:numRef>
              <c:f>Analysis!$D$3076:$G$3076</c:f>
              <c:numCache>
                <c:formatCode>0.0</c:formatCode>
                <c:ptCount val="4"/>
                <c:pt idx="0">
                  <c:v>1.3834038397348298</c:v>
                </c:pt>
                <c:pt idx="1">
                  <c:v>1.2366398871671893</c:v>
                </c:pt>
                <c:pt idx="2">
                  <c:v>1.1052405457794643</c:v>
                </c:pt>
                <c:pt idx="3">
                  <c:v>0.9825643445841532</c:v>
                </c:pt>
              </c:numCache>
            </c:numRef>
          </c:val>
          <c:extLst>
            <c:ext xmlns:c16="http://schemas.microsoft.com/office/drawing/2014/chart" uri="{C3380CC4-5D6E-409C-BE32-E72D297353CC}">
              <c16:uniqueId val="{00000002-44C6-4C4D-836D-BB5EB24D3588}"/>
            </c:ext>
          </c:extLst>
        </c:ser>
        <c:dLbls>
          <c:showLegendKey val="0"/>
          <c:showVal val="0"/>
          <c:showCatName val="0"/>
          <c:showSerName val="0"/>
          <c:showPercent val="0"/>
          <c:showBubbleSize val="0"/>
        </c:dLbls>
        <c:gapWidth val="30"/>
        <c:overlap val="-27"/>
        <c:axId val="1364393071"/>
        <c:axId val="1364399311"/>
      </c:barChart>
      <c:catAx>
        <c:axId val="1364393071"/>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364399311"/>
        <c:crosses val="autoZero"/>
        <c:auto val="1"/>
        <c:lblAlgn val="ctr"/>
        <c:lblOffset val="100"/>
        <c:noMultiLvlLbl val="0"/>
      </c:catAx>
      <c:valAx>
        <c:axId val="1364399311"/>
        <c:scaling>
          <c:orientation val="minMax"/>
        </c:scaling>
        <c:delete val="1"/>
        <c:axPos val="l"/>
        <c:numFmt formatCode="0.0" sourceLinked="1"/>
        <c:majorTickMark val="out"/>
        <c:minorTickMark val="none"/>
        <c:tickLblPos val="nextTo"/>
        <c:crossAx val="1364393071"/>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3.9132953438975188E-2"/>
          <c:y val="3.6269882194280276E-2"/>
          <c:w val="0.90434166937139393"/>
          <c:h val="0.8555925588036967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Analysis!$X$3133:$AE$3133</c:f>
            </c:multiLvlStrRef>
          </c:cat>
          <c:val>
            <c:numRef>
              <c:f>Analysis!$X$3134:$AE$3134</c:f>
            </c:numRef>
          </c:val>
          <c:extLst>
            <c:ext xmlns:c16="http://schemas.microsoft.com/office/drawing/2014/chart" uri="{C3380CC4-5D6E-409C-BE32-E72D297353CC}">
              <c16:uniqueId val="{00000000-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Analysis!$S$3216</c:f>
              <c:strCache>
                <c:ptCount val="1"/>
                <c:pt idx="0">
                  <c:v>Televisa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Analysis!$T$3215:$W$3215</c:f>
            </c:multiLvlStrRef>
          </c:cat>
          <c:val>
            <c:numRef>
              <c:f>Analysis!$T$3216:$W$3216</c:f>
            </c:numRef>
          </c:val>
          <c:extLst>
            <c:ext xmlns:c16="http://schemas.microsoft.com/office/drawing/2014/chart" uri="{C3380CC4-5D6E-409C-BE32-E72D297353CC}">
              <c16:uniqueId val="{00000000-3847-4986-8373-DD0E19E8F0E7}"/>
            </c:ext>
          </c:extLst>
        </c:ser>
        <c:ser>
          <c:idx val="1"/>
          <c:order val="1"/>
          <c:tx>
            <c:strRef>
              <c:f>Analysis!$S$3217</c:f>
              <c:strCache>
                <c:ptCount val="1"/>
                <c:pt idx="0">
                  <c:v>AMX</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Analysis!$T$3215:$W$3215</c:f>
            </c:multiLvlStrRef>
          </c:cat>
          <c:val>
            <c:numRef>
              <c:f>Analysis!$T$3217:$W$3217</c:f>
            </c:numRef>
          </c:val>
          <c:extLst>
            <c:ext xmlns:c16="http://schemas.microsoft.com/office/drawing/2014/chart" uri="{C3380CC4-5D6E-409C-BE32-E72D297353CC}">
              <c16:uniqueId val="{00000002-3847-4986-8373-DD0E19E8F0E7}"/>
            </c:ext>
          </c:extLst>
        </c:ser>
        <c:ser>
          <c:idx val="2"/>
          <c:order val="2"/>
          <c:tx>
            <c:strRef>
              <c:f>Analysis!$S$3218</c:f>
              <c:strCache>
                <c:ptCount val="1"/>
                <c:pt idx="0">
                  <c:v>Megacable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Analysis!$T$3215:$W$3215</c:f>
            </c:multiLvlStrRef>
          </c:cat>
          <c:val>
            <c:numRef>
              <c:f>Analysis!$T$3218:$W$3218</c:f>
            </c:numRef>
          </c:val>
          <c:extLst>
            <c:ext xmlns:c16="http://schemas.microsoft.com/office/drawing/2014/chart" uri="{C3380CC4-5D6E-409C-BE32-E72D297353CC}">
              <c16:uniqueId val="{00000004-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Analysis!$P$3190</c:f>
              <c:strCache>
                <c:ptCount val="1"/>
                <c:pt idx="0">
                  <c:v>2025e</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Analysis!$O$3191:$O$3193</c:f>
              <c:strCache>
                <c:ptCount val="3"/>
                <c:pt idx="0">
                  <c:v>Megacable</c:v>
                </c:pt>
                <c:pt idx="1">
                  <c:v>AMX</c:v>
                </c:pt>
                <c:pt idx="2">
                  <c:v>Televisa</c:v>
                </c:pt>
              </c:strCache>
            </c:strRef>
          </c:cat>
          <c:val>
            <c:numRef>
              <c:f>Analysis!$P$3191:$P$3193</c:f>
              <c:numCache>
                <c:formatCode>0.0%</c:formatCode>
                <c:ptCount val="3"/>
                <c:pt idx="0">
                  <c:v>4.9350981500352026E-2</c:v>
                </c:pt>
                <c:pt idx="1">
                  <c:v>9.7112320373935732E-2</c:v>
                </c:pt>
                <c:pt idx="2">
                  <c:v>6.7494505446591066E-2</c:v>
                </c:pt>
              </c:numCache>
            </c:numRef>
          </c:val>
          <c:extLst>
            <c:ext xmlns:c16="http://schemas.microsoft.com/office/drawing/2014/chart" uri="{C3380CC4-5D6E-409C-BE32-E72D297353CC}">
              <c16:uniqueId val="{00000000-3847-4986-8373-DD0E19E8F0E7}"/>
            </c:ext>
          </c:extLst>
        </c:ser>
        <c:ser>
          <c:idx val="1"/>
          <c:order val="1"/>
          <c:tx>
            <c:strRef>
              <c:f>Analysis!$Q$3190</c:f>
              <c:strCache>
                <c:ptCount val="1"/>
                <c:pt idx="0">
                  <c:v>2026e</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Analysis!$O$3191:$O$3193</c:f>
              <c:strCache>
                <c:ptCount val="3"/>
                <c:pt idx="0">
                  <c:v>Megacable</c:v>
                </c:pt>
                <c:pt idx="1">
                  <c:v>AMX</c:v>
                </c:pt>
                <c:pt idx="2">
                  <c:v>Televisa</c:v>
                </c:pt>
              </c:strCache>
            </c:strRef>
          </c:cat>
          <c:val>
            <c:numRef>
              <c:f>Analysis!$Q$3191:$Q$3193</c:f>
              <c:numCache>
                <c:formatCode>0.0%</c:formatCode>
                <c:ptCount val="3"/>
                <c:pt idx="0">
                  <c:v>6.8859507886477142E-2</c:v>
                </c:pt>
                <c:pt idx="1">
                  <c:v>0.10103798919720747</c:v>
                </c:pt>
                <c:pt idx="2">
                  <c:v>0.122962817873793</c:v>
                </c:pt>
              </c:numCache>
            </c:numRef>
          </c:val>
          <c:extLst>
            <c:ext xmlns:c16="http://schemas.microsoft.com/office/drawing/2014/chart" uri="{C3380CC4-5D6E-409C-BE32-E72D297353CC}">
              <c16:uniqueId val="{00000002-3847-4986-8373-DD0E19E8F0E7}"/>
            </c:ext>
          </c:extLst>
        </c:ser>
        <c:ser>
          <c:idx val="2"/>
          <c:order val="2"/>
          <c:tx>
            <c:strRef>
              <c:f>Analysis!$R$3190</c:f>
              <c:strCache>
                <c:ptCount val="1"/>
                <c:pt idx="0">
                  <c:v>2027e</c:v>
                </c:pt>
              </c:strCache>
            </c:strRef>
          </c:tx>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Analysis!$O$3191:$O$3193</c:f>
              <c:strCache>
                <c:ptCount val="3"/>
                <c:pt idx="0">
                  <c:v>Megacable</c:v>
                </c:pt>
                <c:pt idx="1">
                  <c:v>AMX</c:v>
                </c:pt>
                <c:pt idx="2">
                  <c:v>Televisa</c:v>
                </c:pt>
              </c:strCache>
            </c:strRef>
          </c:cat>
          <c:val>
            <c:numRef>
              <c:f>Analysis!$R$3191:$R$3193</c:f>
              <c:numCache>
                <c:formatCode>0.0%</c:formatCode>
                <c:ptCount val="3"/>
                <c:pt idx="0">
                  <c:v>9.85076284838481E-2</c:v>
                </c:pt>
                <c:pt idx="1">
                  <c:v>0.12101200583144919</c:v>
                </c:pt>
                <c:pt idx="2">
                  <c:v>0.15339093406226506</c:v>
                </c:pt>
              </c:numCache>
            </c:numRef>
          </c:val>
          <c:extLst>
            <c:ext xmlns:c16="http://schemas.microsoft.com/office/drawing/2014/chart" uri="{C3380CC4-5D6E-409C-BE32-E72D297353CC}">
              <c16:uniqueId val="{00000004-3847-4986-8373-DD0E19E8F0E7}"/>
            </c:ext>
          </c:extLst>
        </c:ser>
        <c:ser>
          <c:idx val="3"/>
          <c:order val="3"/>
          <c:tx>
            <c:strRef>
              <c:f>Analysis!$S$3190</c:f>
              <c:strCache>
                <c:ptCount val="1"/>
                <c:pt idx="0">
                  <c:v>2028e</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Analysis!$O$3191:$O$3193</c:f>
              <c:strCache>
                <c:ptCount val="3"/>
                <c:pt idx="0">
                  <c:v>Megacable</c:v>
                </c:pt>
                <c:pt idx="1">
                  <c:v>AMX</c:v>
                </c:pt>
                <c:pt idx="2">
                  <c:v>Televisa</c:v>
                </c:pt>
              </c:strCache>
            </c:strRef>
          </c:cat>
          <c:val>
            <c:numRef>
              <c:f>Analysis!$S$3191:$S$3193</c:f>
            </c:numRef>
          </c:val>
          <c:extLst>
            <c:ext xmlns:c16="http://schemas.microsoft.com/office/drawing/2014/chart" uri="{C3380CC4-5D6E-409C-BE32-E72D297353CC}">
              <c16:uniqueId val="{00000006-3847-4986-8373-DD0E19E8F0E7}"/>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1.4977972356009499E-2"/>
          <c:y val="3.9339424326520038E-2"/>
          <c:w val="0.94508076802796515"/>
          <c:h val="0.71026996310432444"/>
        </c:manualLayout>
      </c:layout>
      <c:barChart>
        <c:barDir val="col"/>
        <c:grouping val="clustered"/>
        <c:varyColors val="0"/>
        <c:ser>
          <c:idx val="0"/>
          <c:order val="0"/>
          <c:tx>
            <c:strRef>
              <c:f>Analysis!$P$3190</c:f>
              <c:strCache>
                <c:ptCount val="1"/>
                <c:pt idx="0">
                  <c:v>2025e</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Analysis!$O$3200:$O$3202</c:f>
              <c:strCache>
                <c:ptCount val="3"/>
                <c:pt idx="0">
                  <c:v>Megacable</c:v>
                </c:pt>
                <c:pt idx="1">
                  <c:v>Televisa</c:v>
                </c:pt>
                <c:pt idx="2">
                  <c:v>AMX</c:v>
                </c:pt>
              </c:strCache>
            </c:strRef>
          </c:cat>
          <c:val>
            <c:numRef>
              <c:f>Analysis!$P$3200:$P$3202</c:f>
              <c:numCache>
                <c:formatCode>0.0</c:formatCode>
                <c:ptCount val="3"/>
                <c:pt idx="0">
                  <c:v>4.4799425231746026</c:v>
                </c:pt>
                <c:pt idx="1">
                  <c:v>3.2268826185459978</c:v>
                </c:pt>
                <c:pt idx="2">
                  <c:v>5.0088679726912666</c:v>
                </c:pt>
              </c:numCache>
            </c:numRef>
          </c:val>
          <c:extLst>
            <c:ext xmlns:c16="http://schemas.microsoft.com/office/drawing/2014/chart" uri="{C3380CC4-5D6E-409C-BE32-E72D297353CC}">
              <c16:uniqueId val="{00000000-D4CE-4431-8322-4321B68D2405}"/>
            </c:ext>
          </c:extLst>
        </c:ser>
        <c:ser>
          <c:idx val="1"/>
          <c:order val="1"/>
          <c:tx>
            <c:strRef>
              <c:f>Analysis!$Q$3190</c:f>
              <c:strCache>
                <c:ptCount val="1"/>
                <c:pt idx="0">
                  <c:v>2026e</c:v>
                </c:pt>
              </c:strCache>
            </c:strRef>
          </c:tx>
          <c:spPr>
            <a:solidFill>
              <a:srgbClr val="79909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Analysis!$O$3200:$O$3202</c:f>
              <c:strCache>
                <c:ptCount val="3"/>
                <c:pt idx="0">
                  <c:v>Megacable</c:v>
                </c:pt>
                <c:pt idx="1">
                  <c:v>Televisa</c:v>
                </c:pt>
                <c:pt idx="2">
                  <c:v>AMX</c:v>
                </c:pt>
              </c:strCache>
            </c:strRef>
          </c:cat>
          <c:val>
            <c:numRef>
              <c:f>Analysis!$Q$3200:$Q$3202</c:f>
              <c:numCache>
                <c:formatCode>0.0</c:formatCode>
                <c:ptCount val="3"/>
                <c:pt idx="0">
                  <c:v>3.8525643539685279</c:v>
                </c:pt>
                <c:pt idx="1">
                  <c:v>3.1028933833835288</c:v>
                </c:pt>
                <c:pt idx="2">
                  <c:v>4.3172073227661398</c:v>
                </c:pt>
              </c:numCache>
            </c:numRef>
          </c:val>
          <c:extLst>
            <c:ext xmlns:c16="http://schemas.microsoft.com/office/drawing/2014/chart" uri="{C3380CC4-5D6E-409C-BE32-E72D297353CC}">
              <c16:uniqueId val="{00000001-D4CE-4431-8322-4321B68D2405}"/>
            </c:ext>
          </c:extLst>
        </c:ser>
        <c:ser>
          <c:idx val="2"/>
          <c:order val="2"/>
          <c:tx>
            <c:strRef>
              <c:f>Analysis!$R$3190</c:f>
              <c:strCache>
                <c:ptCount val="1"/>
                <c:pt idx="0">
                  <c:v>2027e</c:v>
                </c:pt>
              </c:strCache>
            </c:strRef>
          </c:tx>
          <c:spPr>
            <a:solidFill>
              <a:srgbClr val="F9663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Analysis!$O$3200:$O$3202</c:f>
              <c:strCache>
                <c:ptCount val="3"/>
                <c:pt idx="0">
                  <c:v>Megacable</c:v>
                </c:pt>
                <c:pt idx="1">
                  <c:v>Televisa</c:v>
                </c:pt>
                <c:pt idx="2">
                  <c:v>AMX</c:v>
                </c:pt>
              </c:strCache>
            </c:strRef>
          </c:cat>
          <c:val>
            <c:numRef>
              <c:f>Analysis!$R$3200:$R$3202</c:f>
              <c:numCache>
                <c:formatCode>0.0</c:formatCode>
                <c:ptCount val="3"/>
                <c:pt idx="0">
                  <c:v>3.272163274121568</c:v>
                </c:pt>
                <c:pt idx="1">
                  <c:v>3.4674907671874453</c:v>
                </c:pt>
                <c:pt idx="2">
                  <c:v>3.9311488723572303</c:v>
                </c:pt>
              </c:numCache>
            </c:numRef>
          </c:val>
          <c:extLst>
            <c:ext xmlns:c16="http://schemas.microsoft.com/office/drawing/2014/chart" uri="{C3380CC4-5D6E-409C-BE32-E72D297353CC}">
              <c16:uniqueId val="{00000002-D4CE-4431-8322-4321B68D2405}"/>
            </c:ext>
          </c:extLst>
        </c:ser>
        <c:ser>
          <c:idx val="3"/>
          <c:order val="3"/>
          <c:tx>
            <c:strRef>
              <c:f>Analysis!$S$3190</c:f>
              <c:strCache>
                <c:ptCount val="1"/>
                <c:pt idx="0">
                  <c:v>2028e</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D4D4D"/>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Analysis!$O$3200:$O$3202</c:f>
              <c:strCache>
                <c:ptCount val="3"/>
                <c:pt idx="0">
                  <c:v>Megacable</c:v>
                </c:pt>
                <c:pt idx="1">
                  <c:v>Televisa</c:v>
                </c:pt>
                <c:pt idx="2">
                  <c:v>AMX</c:v>
                </c:pt>
              </c:strCache>
            </c:strRef>
          </c:cat>
          <c:val>
            <c:numRef>
              <c:f>Analysis!$S$3200:$S$3202</c:f>
            </c:numRef>
          </c:val>
          <c:extLst>
            <c:ext xmlns:c16="http://schemas.microsoft.com/office/drawing/2014/chart" uri="{C3380CC4-5D6E-409C-BE32-E72D297353CC}">
              <c16:uniqueId val="{00000003-D4CE-4431-8322-4321B68D2405}"/>
            </c:ext>
          </c:extLst>
        </c:ser>
        <c:dLbls>
          <c:dLblPos val="inEnd"/>
          <c:showLegendKey val="0"/>
          <c:showVal val="1"/>
          <c:showCatName val="0"/>
          <c:showSerName val="0"/>
          <c:showPercent val="0"/>
          <c:showBubbleSize val="0"/>
        </c:dLbls>
        <c:gapWidth val="200"/>
        <c:overlap val="-30"/>
        <c:axId val="1495160607"/>
        <c:axId val="1495161855"/>
      </c:barChart>
      <c:catAx>
        <c:axId val="1495160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0" sourceLinked="1"/>
        <c:majorTickMark val="none"/>
        <c:minorTickMark val="none"/>
        <c:tickLblPos val="nextTo"/>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Roboto" pitchFamily="2" charset="0"/>
                    <a:ea typeface="Roboto" pitchFamily="2" charset="0"/>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Analysis!$W$3112:$AI$3112</c:f>
            </c:multiLvlStrRef>
          </c:cat>
          <c:val>
            <c:numRef>
              <c:f>Analysis!$W$3113:$AI$3113</c:f>
            </c:numRef>
          </c:val>
          <c:extLst>
            <c:ext xmlns:c16="http://schemas.microsoft.com/office/drawing/2014/chart" uri="{C3380CC4-5D6E-409C-BE32-E72D297353CC}">
              <c16:uniqueId val="{00000000-A325-4D22-BC1F-61EAC2BE42D9}"/>
            </c:ext>
          </c:extLst>
        </c:ser>
        <c:dLbls>
          <c:showLegendKey val="0"/>
          <c:showVal val="0"/>
          <c:showCatName val="0"/>
          <c:showSerName val="0"/>
          <c:showPercent val="0"/>
          <c:showBubbleSize val="0"/>
        </c:dLbls>
        <c:gapWidth val="30"/>
        <c:axId val="1495160607"/>
        <c:axId val="1495161855"/>
        <c:extLst/>
      </c:bar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1"/>
        <c:axPos val="l"/>
        <c:numFmt formatCode="#,##0" sourceLinked="1"/>
        <c:majorTickMark val="none"/>
        <c:minorTickMark val="none"/>
        <c:tickLblPos val="nextTo"/>
        <c:crossAx val="1495160607"/>
        <c:crosses val="autoZero"/>
        <c:crossBetween val="between"/>
      </c:valAx>
      <c:spPr>
        <a:noFill/>
        <a:ln>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Content!$T$91</c:f>
              <c:strCache>
                <c:ptCount val="1"/>
                <c:pt idx="0">
                  <c:v>New underlying margin</c:v>
                </c:pt>
              </c:strCache>
            </c:strRef>
          </c:tx>
          <c:spPr>
            <a:ln w="25400">
              <a:solidFill>
                <a:srgbClr val="333399"/>
              </a:solidFill>
              <a:prstDash val="solid"/>
            </a:ln>
            <a:effectLst/>
          </c:spPr>
          <c:marker>
            <c:symbol val="none"/>
          </c:marker>
          <c:cat>
            <c:numRef>
              <c:f>Content!$AE$90:$AL$90</c:f>
              <c:numCache>
                <c:formatCode>General</c:formatCode>
                <c:ptCount val="8"/>
                <c:pt idx="0">
                  <c:v>2013</c:v>
                </c:pt>
                <c:pt idx="1">
                  <c:v>2014</c:v>
                </c:pt>
                <c:pt idx="2">
                  <c:v>2015</c:v>
                </c:pt>
                <c:pt idx="3">
                  <c:v>2016</c:v>
                </c:pt>
                <c:pt idx="4">
                  <c:v>2017</c:v>
                </c:pt>
                <c:pt idx="5">
                  <c:v>2018</c:v>
                </c:pt>
                <c:pt idx="6">
                  <c:v>2019</c:v>
                </c:pt>
                <c:pt idx="7">
                  <c:v>2020</c:v>
                </c:pt>
              </c:numCache>
            </c:numRef>
          </c:cat>
          <c:val>
            <c:numRef>
              <c:f>Content!$AE$91:$AL$91</c:f>
              <c:numCache>
                <c:formatCode>0.0%</c:formatCode>
                <c:ptCount val="8"/>
                <c:pt idx="0">
                  <c:v>0.39822449424695944</c:v>
                </c:pt>
                <c:pt idx="1">
                  <c:v>0.37008583101033654</c:v>
                </c:pt>
                <c:pt idx="2">
                  <c:v>0.32735594614260838</c:v>
                </c:pt>
                <c:pt idx="3">
                  <c:v>0.2822982472841688</c:v>
                </c:pt>
                <c:pt idx="4">
                  <c:v>0.24558932365650443</c:v>
                </c:pt>
                <c:pt idx="5">
                  <c:v>0.23615150212421604</c:v>
                </c:pt>
                <c:pt idx="6">
                  <c:v>0.18830919723239781</c:v>
                </c:pt>
                <c:pt idx="7">
                  <c:v>0.1720731570715259</c:v>
                </c:pt>
              </c:numCache>
            </c:numRef>
          </c:val>
          <c:smooth val="0"/>
          <c:extLst>
            <c:ext xmlns:c16="http://schemas.microsoft.com/office/drawing/2014/chart" uri="{C3380CC4-5D6E-409C-BE32-E72D297353CC}">
              <c16:uniqueId val="{00000000-70F0-4C86-A71D-E4496E37D7DB}"/>
            </c:ext>
          </c:extLst>
        </c:ser>
        <c:ser>
          <c:idx val="1"/>
          <c:order val="1"/>
          <c:tx>
            <c:strRef>
              <c:f>Content!$T$92</c:f>
              <c:strCache>
                <c:ptCount val="1"/>
                <c:pt idx="0">
                  <c:v>Old underlying margin</c:v>
                </c:pt>
              </c:strCache>
            </c:strRef>
          </c:tx>
          <c:spPr>
            <a:ln w="25400">
              <a:solidFill>
                <a:srgbClr val="99CCFF"/>
              </a:solidFill>
              <a:prstDash val="solid"/>
            </a:ln>
            <a:effectLst/>
          </c:spPr>
          <c:marker>
            <c:symbol val="none"/>
          </c:marker>
          <c:cat>
            <c:numRef>
              <c:f>Content!$AE$90:$AL$90</c:f>
              <c:numCache>
                <c:formatCode>General</c:formatCode>
                <c:ptCount val="8"/>
                <c:pt idx="0">
                  <c:v>2013</c:v>
                </c:pt>
                <c:pt idx="1">
                  <c:v>2014</c:v>
                </c:pt>
                <c:pt idx="2">
                  <c:v>2015</c:v>
                </c:pt>
                <c:pt idx="3">
                  <c:v>2016</c:v>
                </c:pt>
                <c:pt idx="4">
                  <c:v>2017</c:v>
                </c:pt>
                <c:pt idx="5">
                  <c:v>2018</c:v>
                </c:pt>
                <c:pt idx="6">
                  <c:v>2019</c:v>
                </c:pt>
                <c:pt idx="7">
                  <c:v>2020</c:v>
                </c:pt>
              </c:numCache>
            </c:numRef>
          </c:cat>
          <c:val>
            <c:numRef>
              <c:f>Content!$AE$92:$AL$92</c:f>
              <c:numCache>
                <c:formatCode>0.0%</c:formatCode>
                <c:ptCount val="8"/>
                <c:pt idx="0">
                  <c:v>0.39822449424695944</c:v>
                </c:pt>
                <c:pt idx="1">
                  <c:v>0.36499999999999999</c:v>
                </c:pt>
                <c:pt idx="2">
                  <c:v>0.35</c:v>
                </c:pt>
                <c:pt idx="3">
                  <c:v>0.33</c:v>
                </c:pt>
                <c:pt idx="4">
                  <c:v>0.32</c:v>
                </c:pt>
                <c:pt idx="5">
                  <c:v>0.32</c:v>
                </c:pt>
                <c:pt idx="6">
                  <c:v>0.30499999999999999</c:v>
                </c:pt>
                <c:pt idx="7">
                  <c:v>0.29749999999999999</c:v>
                </c:pt>
              </c:numCache>
            </c:numRef>
          </c:val>
          <c:smooth val="0"/>
          <c:extLst>
            <c:ext xmlns:c16="http://schemas.microsoft.com/office/drawing/2014/chart" uri="{C3380CC4-5D6E-409C-BE32-E72D297353CC}">
              <c16:uniqueId val="{00000001-70F0-4C86-A71D-E4496E37D7DB}"/>
            </c:ext>
          </c:extLst>
        </c:ser>
        <c:dLbls>
          <c:showLegendKey val="0"/>
          <c:showVal val="0"/>
          <c:showCatName val="0"/>
          <c:showSerName val="0"/>
          <c:showPercent val="0"/>
          <c:showBubbleSize val="0"/>
        </c:dLbls>
        <c:smooth val="0"/>
        <c:axId val="30143232"/>
        <c:axId val="30144768"/>
      </c:lineChart>
      <c:catAx>
        <c:axId val="30143232"/>
        <c:scaling>
          <c:orientation val="minMax"/>
        </c:scaling>
        <c:delete val="0"/>
        <c:axPos val="b"/>
        <c:numFmt formatCode="General" sourceLinked="1"/>
        <c:majorTickMark val="out"/>
        <c:minorTickMark val="none"/>
        <c:tickLblPos val="low"/>
        <c:crossAx val="30144768"/>
        <c:crosses val="autoZero"/>
        <c:auto val="1"/>
        <c:lblAlgn val="ctr"/>
        <c:lblOffset val="100"/>
        <c:noMultiLvlLbl val="0"/>
      </c:catAx>
      <c:valAx>
        <c:axId val="30144768"/>
        <c:scaling>
          <c:orientation val="minMax"/>
        </c:scaling>
        <c:delete val="0"/>
        <c:axPos val="l"/>
        <c:majorGridlines>
          <c:spPr>
            <a:ln w="3175">
              <a:solidFill>
                <a:srgbClr val="C0C0C0"/>
              </a:solidFill>
              <a:prstDash val="solid"/>
            </a:ln>
          </c:spPr>
        </c:majorGridlines>
        <c:numFmt formatCode="0.0%" sourceLinked="1"/>
        <c:majorTickMark val="out"/>
        <c:minorTickMark val="none"/>
        <c:tickLblPos val="nextTo"/>
        <c:crossAx val="30143232"/>
        <c:crosses val="autoZero"/>
        <c:crossBetween val="between"/>
      </c:valAx>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Content!$AG$5</c:f>
              <c:strCache>
                <c:ptCount val="1"/>
                <c:pt idx="0">
                  <c:v>Ad spend (LHS)</c:v>
                </c:pt>
              </c:strCache>
            </c:strRef>
          </c:tx>
          <c:spPr>
            <a:ln w="25400" cap="rnd">
              <a:solidFill>
                <a:srgbClr val="333399"/>
              </a:solidFill>
              <a:prstDash val="solid"/>
              <a:round/>
            </a:ln>
            <a:effectLst/>
          </c:spPr>
          <c:marker>
            <c:symbol val="none"/>
          </c:marker>
          <c:cat>
            <c:numRef>
              <c:f>Content!$AH$4:$AU$4</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Content!$AH$5:$AU$5</c:f>
              <c:numCache>
                <c:formatCode>0.0%</c:formatCode>
                <c:ptCount val="14"/>
                <c:pt idx="0">
                  <c:v>3.144862773150181E-2</c:v>
                </c:pt>
                <c:pt idx="1">
                  <c:v>3.8837060649484556E-2</c:v>
                </c:pt>
                <c:pt idx="2">
                  <c:v>2.4137861695924023E-2</c:v>
                </c:pt>
                <c:pt idx="3">
                  <c:v>-9.5673788664752957E-2</c:v>
                </c:pt>
                <c:pt idx="4">
                  <c:v>8.4197088057389458E-3</c:v>
                </c:pt>
                <c:pt idx="5">
                  <c:v>-0.10783182334906471</c:v>
                </c:pt>
                <c:pt idx="6">
                  <c:v>2.1043486654761301E-2</c:v>
                </c:pt>
                <c:pt idx="7">
                  <c:v>-8.1994800283620828E-2</c:v>
                </c:pt>
                <c:pt idx="8">
                  <c:v>-0.15811208831949919</c:v>
                </c:pt>
                <c:pt idx="9">
                  <c:v>0.17200210400127225</c:v>
                </c:pt>
                <c:pt idx="10">
                  <c:v>0.05</c:v>
                </c:pt>
                <c:pt idx="11">
                  <c:v>0.04</c:v>
                </c:pt>
                <c:pt idx="12">
                  <c:v>0</c:v>
                </c:pt>
                <c:pt idx="13">
                  <c:v>0</c:v>
                </c:pt>
              </c:numCache>
            </c:numRef>
          </c:val>
          <c:smooth val="0"/>
          <c:extLst>
            <c:ext xmlns:c16="http://schemas.microsoft.com/office/drawing/2014/chart" uri="{C3380CC4-5D6E-409C-BE32-E72D297353CC}">
              <c16:uniqueId val="{00000000-16E7-4649-BC15-96CB5AA9A2AD}"/>
            </c:ext>
          </c:extLst>
        </c:ser>
        <c:dLbls>
          <c:showLegendKey val="0"/>
          <c:showVal val="0"/>
          <c:showCatName val="0"/>
          <c:showSerName val="0"/>
          <c:showPercent val="0"/>
          <c:showBubbleSize val="0"/>
        </c:dLbls>
        <c:marker val="1"/>
        <c:smooth val="0"/>
        <c:axId val="688897136"/>
        <c:axId val="689024640"/>
      </c:lineChart>
      <c:lineChart>
        <c:grouping val="standard"/>
        <c:varyColors val="0"/>
        <c:ser>
          <c:idx val="1"/>
          <c:order val="1"/>
          <c:tx>
            <c:strRef>
              <c:f>Content!$AG$6</c:f>
              <c:strCache>
                <c:ptCount val="1"/>
                <c:pt idx="0">
                  <c:v>Content margins (RHS)</c:v>
                </c:pt>
              </c:strCache>
            </c:strRef>
          </c:tx>
          <c:spPr>
            <a:ln w="25400" cap="rnd">
              <a:solidFill>
                <a:srgbClr val="99CCFF"/>
              </a:solidFill>
              <a:prstDash val="solid"/>
              <a:round/>
            </a:ln>
            <a:effectLst/>
          </c:spPr>
          <c:marker>
            <c:symbol val="none"/>
          </c:marker>
          <c:cat>
            <c:numRef>
              <c:f>Content!$AH$4:$AU$4</c:f>
              <c:numCache>
                <c:formatCode>General</c:formatCode>
                <c:ptCount val="14"/>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Content!$AH$6:$AU$6</c:f>
              <c:numCache>
                <c:formatCode>0.0%</c:formatCode>
                <c:ptCount val="14"/>
                <c:pt idx="0">
                  <c:v>0.46865344848558571</c:v>
                </c:pt>
                <c:pt idx="1">
                  <c:v>0.46025203574153029</c:v>
                </c:pt>
                <c:pt idx="2">
                  <c:v>0.44551610211052511</c:v>
                </c:pt>
                <c:pt idx="3">
                  <c:v>0.42420906077605547</c:v>
                </c:pt>
                <c:pt idx="4">
                  <c:v>0.4019985444316333</c:v>
                </c:pt>
                <c:pt idx="5">
                  <c:v>0.37723916816189662</c:v>
                </c:pt>
                <c:pt idx="6">
                  <c:v>0.38070708235625778</c:v>
                </c:pt>
                <c:pt idx="7">
                  <c:v>0.36303649332957805</c:v>
                </c:pt>
                <c:pt idx="8">
                  <c:v>0.37901450341888204</c:v>
                </c:pt>
                <c:pt idx="9">
                  <c:v>0.3833687145086932</c:v>
                </c:pt>
                <c:pt idx="10">
                  <c:v>0.37</c:v>
                </c:pt>
                <c:pt idx="11">
                  <c:v>0.36</c:v>
                </c:pt>
                <c:pt idx="12">
                  <c:v>0.34499999999999997</c:v>
                </c:pt>
                <c:pt idx="13">
                  <c:v>0.33</c:v>
                </c:pt>
              </c:numCache>
            </c:numRef>
          </c:val>
          <c:smooth val="0"/>
          <c:extLst>
            <c:ext xmlns:c16="http://schemas.microsoft.com/office/drawing/2014/chart" uri="{C3380CC4-5D6E-409C-BE32-E72D297353CC}">
              <c16:uniqueId val="{00000001-16E7-4649-BC15-96CB5AA9A2AD}"/>
            </c:ext>
          </c:extLst>
        </c:ser>
        <c:dLbls>
          <c:showLegendKey val="0"/>
          <c:showVal val="0"/>
          <c:showCatName val="0"/>
          <c:showSerName val="0"/>
          <c:showPercent val="0"/>
          <c:showBubbleSize val="0"/>
        </c:dLbls>
        <c:marker val="1"/>
        <c:smooth val="0"/>
        <c:axId val="842938496"/>
        <c:axId val="671260064"/>
      </c:lineChart>
      <c:catAx>
        <c:axId val="68889713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89024640"/>
        <c:crosses val="autoZero"/>
        <c:auto val="1"/>
        <c:lblAlgn val="ctr"/>
        <c:lblOffset val="100"/>
        <c:noMultiLvlLbl val="0"/>
      </c:catAx>
      <c:valAx>
        <c:axId val="689024640"/>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Ad spend y/y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88897136"/>
        <c:crosses val="autoZero"/>
        <c:crossBetween val="between"/>
      </c:valAx>
      <c:valAx>
        <c:axId val="671260064"/>
        <c:scaling>
          <c:orientation val="minMax"/>
        </c:scaling>
        <c:delete val="0"/>
        <c:axPos val="r"/>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42938496"/>
        <c:crosses val="max"/>
        <c:crossBetween val="between"/>
      </c:valAx>
      <c:catAx>
        <c:axId val="842938496"/>
        <c:scaling>
          <c:orientation val="minMax"/>
        </c:scaling>
        <c:delete val="1"/>
        <c:axPos val="b"/>
        <c:numFmt formatCode="General" sourceLinked="1"/>
        <c:majorTickMark val="out"/>
        <c:minorTickMark val="none"/>
        <c:tickLblPos val="nextTo"/>
        <c:crossAx val="671260064"/>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000080"/>
              </a:solidFill>
              <a:ln w="25400">
                <a:noFill/>
              </a:ln>
              <a:effectLst/>
            </c:spPr>
            <c:extLst>
              <c:ext xmlns:c16="http://schemas.microsoft.com/office/drawing/2014/chart" uri="{C3380CC4-5D6E-409C-BE32-E72D297353CC}">
                <c16:uniqueId val="{00000001-4D24-4887-91B6-2E333785447F}"/>
              </c:ext>
            </c:extLst>
          </c:dPt>
          <c:dPt>
            <c:idx val="1"/>
            <c:bubble3D val="0"/>
            <c:spPr>
              <a:solidFill>
                <a:srgbClr val="9999FF"/>
              </a:solidFill>
              <a:ln w="25400">
                <a:noFill/>
              </a:ln>
              <a:effectLst/>
            </c:spPr>
            <c:extLst>
              <c:ext xmlns:c16="http://schemas.microsoft.com/office/drawing/2014/chart" uri="{C3380CC4-5D6E-409C-BE32-E72D297353CC}">
                <c16:uniqueId val="{00000003-4D24-4887-91B6-2E333785447F}"/>
              </c:ext>
            </c:extLst>
          </c:dPt>
          <c:dPt>
            <c:idx val="2"/>
            <c:bubble3D val="0"/>
            <c:spPr>
              <a:solidFill>
                <a:srgbClr val="3366FF"/>
              </a:solidFill>
              <a:ln w="25400">
                <a:noFill/>
              </a:ln>
              <a:effectLst/>
            </c:spPr>
            <c:extLst>
              <c:ext xmlns:c16="http://schemas.microsoft.com/office/drawing/2014/chart" uri="{C3380CC4-5D6E-409C-BE32-E72D297353CC}">
                <c16:uniqueId val="{00000005-4D24-4887-91B6-2E333785447F}"/>
              </c:ext>
            </c:extLst>
          </c:dPt>
          <c:dPt>
            <c:idx val="3"/>
            <c:bubble3D val="0"/>
            <c:spPr>
              <a:solidFill>
                <a:srgbClr val="CCCCFF"/>
              </a:solidFill>
              <a:ln w="25400">
                <a:noFill/>
              </a:ln>
              <a:effectLst/>
            </c:spPr>
            <c:extLst>
              <c:ext xmlns:c16="http://schemas.microsoft.com/office/drawing/2014/chart" uri="{C3380CC4-5D6E-409C-BE32-E72D297353CC}">
                <c16:uniqueId val="{00000007-4D24-4887-91B6-2E333785447F}"/>
              </c:ext>
            </c:extLst>
          </c:dPt>
          <c:dPt>
            <c:idx val="4"/>
            <c:bubble3D val="0"/>
            <c:spPr>
              <a:solidFill>
                <a:srgbClr val="969696"/>
              </a:solidFill>
              <a:ln w="25400">
                <a:noFill/>
              </a:ln>
              <a:effectLst/>
            </c:spPr>
            <c:extLst>
              <c:ext xmlns:c16="http://schemas.microsoft.com/office/drawing/2014/chart" uri="{C3380CC4-5D6E-409C-BE32-E72D297353CC}">
                <c16:uniqueId val="{00000009-4D24-4887-91B6-2E333785447F}"/>
              </c:ext>
            </c:extLst>
          </c:dPt>
          <c:dPt>
            <c:idx val="5"/>
            <c:bubble3D val="0"/>
            <c:spPr>
              <a:solidFill>
                <a:srgbClr val="C0C0C0"/>
              </a:solidFill>
              <a:ln w="3175">
                <a:solidFill>
                  <a:srgbClr val="C0C0C0"/>
                </a:solidFill>
                <a:prstDash val="solid"/>
              </a:ln>
              <a:effectLst/>
            </c:spPr>
            <c:extLst>
              <c:ext xmlns:c16="http://schemas.microsoft.com/office/drawing/2014/chart" uri="{C3380CC4-5D6E-409C-BE32-E72D297353CC}">
                <c16:uniqueId val="{0000000B-4D24-4887-91B6-2E333785447F}"/>
              </c:ext>
            </c:extLst>
          </c:dPt>
          <c:cat>
            <c:strRef>
              <c:f>Notes!$B$172:$B$177</c:f>
              <c:strCache>
                <c:ptCount val="6"/>
                <c:pt idx="0">
                  <c:v>SKY</c:v>
                </c:pt>
                <c:pt idx="1">
                  <c:v>Dish</c:v>
                </c:pt>
                <c:pt idx="2">
                  <c:v>Megacable</c:v>
                </c:pt>
                <c:pt idx="3">
                  <c:v>Cablemas</c:v>
                </c:pt>
                <c:pt idx="4">
                  <c:v>Cablevision</c:v>
                </c:pt>
                <c:pt idx="5">
                  <c:v>Other</c:v>
                </c:pt>
              </c:strCache>
            </c:strRef>
          </c:cat>
          <c:val>
            <c:numRef>
              <c:f>Notes!$C$172:$C$177</c:f>
              <c:numCache>
                <c:formatCode>0%</c:formatCode>
                <c:ptCount val="6"/>
                <c:pt idx="0">
                  <c:v>0.32</c:v>
                </c:pt>
                <c:pt idx="1">
                  <c:v>0.17</c:v>
                </c:pt>
                <c:pt idx="2">
                  <c:v>0.17</c:v>
                </c:pt>
                <c:pt idx="3">
                  <c:v>0.1</c:v>
                </c:pt>
                <c:pt idx="4">
                  <c:v>0.09</c:v>
                </c:pt>
                <c:pt idx="5">
                  <c:v>0.15000000000000002</c:v>
                </c:pt>
              </c:numCache>
            </c:numRef>
          </c:val>
          <c:extLst>
            <c:ext xmlns:c16="http://schemas.microsoft.com/office/drawing/2014/chart" uri="{C3380CC4-5D6E-409C-BE32-E72D297353CC}">
              <c16:uniqueId val="{0000000C-4D24-4887-91B6-2E333785447F}"/>
            </c:ext>
          </c:extLst>
        </c:ser>
        <c:dLbls>
          <c:showLegendKey val="0"/>
          <c:showVal val="0"/>
          <c:showCatName val="0"/>
          <c:showSerName val="0"/>
          <c:showPercent val="0"/>
          <c:showBubbleSize val="0"/>
          <c:showLeaderLines val="1"/>
        </c:dLbls>
        <c:firstSliceAng val="0"/>
      </c:pieChart>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8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Notes!$B$3128</c:f>
              <c:strCache>
                <c:ptCount val="1"/>
                <c:pt idx="0">
                  <c:v>Government</c:v>
                </c:pt>
              </c:strCache>
            </c:strRef>
          </c:tx>
          <c:spPr>
            <a:solidFill>
              <a:srgbClr val="000080"/>
            </a:solidFill>
            <a:ln w="25400">
              <a:noFill/>
            </a:ln>
            <a:effectLst/>
          </c:spPr>
          <c:invertIfNegative val="0"/>
          <c:cat>
            <c:strRef>
              <c:f>Notes!$C$3127:$G$3127</c:f>
              <c:strCache>
                <c:ptCount val="5"/>
                <c:pt idx="0">
                  <c:v>Q1 19</c:v>
                </c:pt>
                <c:pt idx="1">
                  <c:v>Q2 19</c:v>
                </c:pt>
                <c:pt idx="2">
                  <c:v>Q3 19</c:v>
                </c:pt>
                <c:pt idx="3">
                  <c:v>Q4 19</c:v>
                </c:pt>
                <c:pt idx="4">
                  <c:v>FY 19</c:v>
                </c:pt>
              </c:strCache>
            </c:strRef>
          </c:cat>
          <c:val>
            <c:numRef>
              <c:f>Notes!$C$3128:$G$3128</c:f>
              <c:numCache>
                <c:formatCode>0%</c:formatCode>
                <c:ptCount val="5"/>
                <c:pt idx="0">
                  <c:v>-0.83333333333333326</c:v>
                </c:pt>
                <c:pt idx="1">
                  <c:v>-0.75</c:v>
                </c:pt>
                <c:pt idx="2">
                  <c:v>-0.42857142857142838</c:v>
                </c:pt>
                <c:pt idx="3">
                  <c:v>0.3333333333333337</c:v>
                </c:pt>
                <c:pt idx="4">
                  <c:v>-0.5</c:v>
                </c:pt>
              </c:numCache>
            </c:numRef>
          </c:val>
          <c:extLst>
            <c:ext xmlns:c16="http://schemas.microsoft.com/office/drawing/2014/chart" uri="{C3380CC4-5D6E-409C-BE32-E72D297353CC}">
              <c16:uniqueId val="{00000000-6F38-42C8-A4EC-54122926433C}"/>
            </c:ext>
          </c:extLst>
        </c:ser>
        <c:ser>
          <c:idx val="1"/>
          <c:order val="1"/>
          <c:tx>
            <c:strRef>
              <c:f>Notes!$B$3129</c:f>
              <c:strCache>
                <c:ptCount val="1"/>
                <c:pt idx="0">
                  <c:v>Non-government</c:v>
                </c:pt>
              </c:strCache>
            </c:strRef>
          </c:tx>
          <c:spPr>
            <a:solidFill>
              <a:srgbClr val="9999FF"/>
            </a:solidFill>
            <a:ln w="25400">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Notes!$C$3127:$G$3127</c:f>
              <c:strCache>
                <c:ptCount val="5"/>
                <c:pt idx="0">
                  <c:v>Q1 19</c:v>
                </c:pt>
                <c:pt idx="1">
                  <c:v>Q2 19</c:v>
                </c:pt>
                <c:pt idx="2">
                  <c:v>Q3 19</c:v>
                </c:pt>
                <c:pt idx="3">
                  <c:v>Q4 19</c:v>
                </c:pt>
                <c:pt idx="4">
                  <c:v>FY 19</c:v>
                </c:pt>
              </c:strCache>
            </c:strRef>
          </c:cat>
          <c:val>
            <c:numRef>
              <c:f>Notes!$C$3129:$G$3129</c:f>
              <c:numCache>
                <c:formatCode>0.0%</c:formatCode>
                <c:ptCount val="5"/>
                <c:pt idx="0">
                  <c:v>-2.2727272727272707E-2</c:v>
                </c:pt>
                <c:pt idx="1">
                  <c:v>-0.11458333333333337</c:v>
                </c:pt>
                <c:pt idx="2">
                  <c:v>2.2727272727272707E-2</c:v>
                </c:pt>
                <c:pt idx="3">
                  <c:v>4.7804878048780752E-2</c:v>
                </c:pt>
                <c:pt idx="4">
                  <c:v>-0.02</c:v>
                </c:pt>
              </c:numCache>
            </c:numRef>
          </c:val>
          <c:extLst>
            <c:ext xmlns:c16="http://schemas.microsoft.com/office/drawing/2014/chart" uri="{C3380CC4-5D6E-409C-BE32-E72D297353CC}">
              <c16:uniqueId val="{00000001-6F38-42C8-A4EC-54122926433C}"/>
            </c:ext>
          </c:extLst>
        </c:ser>
        <c:ser>
          <c:idx val="2"/>
          <c:order val="2"/>
          <c:tx>
            <c:strRef>
              <c:f>Notes!$B$3130</c:f>
              <c:strCache>
                <c:ptCount val="1"/>
                <c:pt idx="0">
                  <c:v>Total Ad spend</c:v>
                </c:pt>
              </c:strCache>
            </c:strRef>
          </c:tx>
          <c:spPr>
            <a:solidFill>
              <a:srgbClr val="3366FF"/>
            </a:solidFill>
            <a:ln w="25400">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Notes!$C$3127:$G$3127</c:f>
              <c:strCache>
                <c:ptCount val="5"/>
                <c:pt idx="0">
                  <c:v>Q1 19</c:v>
                </c:pt>
                <c:pt idx="1">
                  <c:v>Q2 19</c:v>
                </c:pt>
                <c:pt idx="2">
                  <c:v>Q3 19</c:v>
                </c:pt>
                <c:pt idx="3">
                  <c:v>Q4 19</c:v>
                </c:pt>
                <c:pt idx="4">
                  <c:v>FY 19</c:v>
                </c:pt>
              </c:strCache>
            </c:strRef>
          </c:cat>
          <c:val>
            <c:numRef>
              <c:f>Notes!$C$3130:$G$3130</c:f>
              <c:numCache>
                <c:formatCode>0.0%</c:formatCode>
                <c:ptCount val="5"/>
                <c:pt idx="0">
                  <c:v>-0.13261296660117883</c:v>
                </c:pt>
                <c:pt idx="1">
                  <c:v>-0.17015209125475295</c:v>
                </c:pt>
                <c:pt idx="2">
                  <c:v>-4.7070124879923125E-2</c:v>
                </c:pt>
                <c:pt idx="3">
                  <c:v>6.996625421822289E-2</c:v>
                </c:pt>
                <c:pt idx="4">
                  <c:v>-7.5199999999999934E-2</c:v>
                </c:pt>
              </c:numCache>
            </c:numRef>
          </c:val>
          <c:extLst>
            <c:ext xmlns:c16="http://schemas.microsoft.com/office/drawing/2014/chart" uri="{C3380CC4-5D6E-409C-BE32-E72D297353CC}">
              <c16:uniqueId val="{00000002-6F38-42C8-A4EC-54122926433C}"/>
            </c:ext>
          </c:extLst>
        </c:ser>
        <c:dLbls>
          <c:showLegendKey val="0"/>
          <c:showVal val="0"/>
          <c:showCatName val="0"/>
          <c:showSerName val="0"/>
          <c:showPercent val="0"/>
          <c:showBubbleSize val="0"/>
        </c:dLbls>
        <c:gapWidth val="219"/>
        <c:overlap val="-27"/>
        <c:axId val="916275472"/>
        <c:axId val="913468368"/>
      </c:barChart>
      <c:catAx>
        <c:axId val="916275472"/>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13468368"/>
        <c:crosses val="autoZero"/>
        <c:auto val="1"/>
        <c:lblAlgn val="ctr"/>
        <c:lblOffset val="100"/>
        <c:noMultiLvlLbl val="0"/>
      </c:catAx>
      <c:valAx>
        <c:axId val="913468368"/>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y/y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1627547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'Earnings Snaps'!$A$90</c:f>
              <c:strCache>
                <c:ptCount val="1"/>
                <c:pt idx="0">
                  <c:v>Video</c:v>
                </c:pt>
              </c:strCache>
            </c:strRef>
          </c:tx>
          <c:spPr>
            <a:solidFill>
              <a:srgbClr val="263238"/>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chemeClr val="bg1"/>
                    </a:solidFill>
                    <a:latin typeface="Roboto" panose="02000000000000000000" pitchFamily="2" charset="0"/>
                    <a:ea typeface="Roboto" panose="02000000000000000000" pitchFamily="2" charset="0"/>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Snaps'!$AT$89:$BB$89</c:f>
              <c:strCache>
                <c:ptCount val="9"/>
                <c:pt idx="0">
                  <c:v>Q1 24</c:v>
                </c:pt>
                <c:pt idx="1">
                  <c:v>Q2 24</c:v>
                </c:pt>
                <c:pt idx="2">
                  <c:v>Q3 24</c:v>
                </c:pt>
                <c:pt idx="3">
                  <c:v>Q4 24</c:v>
                </c:pt>
                <c:pt idx="4">
                  <c:v>Q1 25</c:v>
                </c:pt>
                <c:pt idx="5">
                  <c:v>Q2 25</c:v>
                </c:pt>
                <c:pt idx="6">
                  <c:v>Q3 25</c:v>
                </c:pt>
                <c:pt idx="7">
                  <c:v>Q4 25</c:v>
                </c:pt>
                <c:pt idx="8">
                  <c:v>Q1 26</c:v>
                </c:pt>
              </c:strCache>
            </c:strRef>
          </c:cat>
          <c:val>
            <c:numRef>
              <c:f>'Earnings Snaps'!$AT$90:$BB$90</c:f>
              <c:numCache>
                <c:formatCode>0</c:formatCode>
                <c:ptCount val="9"/>
                <c:pt idx="0">
                  <c:v>2.7539999999999054</c:v>
                </c:pt>
                <c:pt idx="1">
                  <c:v>-65.590999999999894</c:v>
                </c:pt>
                <c:pt idx="2">
                  <c:v>-55.479000000000269</c:v>
                </c:pt>
                <c:pt idx="3">
                  <c:v>-94.659999999999854</c:v>
                </c:pt>
                <c:pt idx="4">
                  <c:v>-72.981999999999971</c:v>
                </c:pt>
                <c:pt idx="5">
                  <c:v>-53.01299999999992</c:v>
                </c:pt>
                <c:pt idx="6">
                  <c:v>-42.691000000000258</c:v>
                </c:pt>
                <c:pt idx="7">
                  <c:v>-31.26299999999992</c:v>
                </c:pt>
                <c:pt idx="8">
                  <c:v>-23.503000000000156</c:v>
                </c:pt>
              </c:numCache>
            </c:numRef>
          </c:val>
          <c:extLst>
            <c:ext xmlns:c16="http://schemas.microsoft.com/office/drawing/2014/chart" uri="{C3380CC4-5D6E-409C-BE32-E72D297353CC}">
              <c16:uniqueId val="{00000000-6097-45B7-894F-B20DF6E2F311}"/>
            </c:ext>
          </c:extLst>
        </c:ser>
        <c:ser>
          <c:idx val="1"/>
          <c:order val="1"/>
          <c:tx>
            <c:strRef>
              <c:f>'Earnings Snaps'!$A$91</c:f>
              <c:strCache>
                <c:ptCount val="1"/>
                <c:pt idx="0">
                  <c:v>Internet</c:v>
                </c:pt>
              </c:strCache>
            </c:strRef>
          </c:tx>
          <c:spPr>
            <a:solidFill>
              <a:srgbClr val="F9663E"/>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Snaps'!$AT$89:$BB$89</c:f>
              <c:strCache>
                <c:ptCount val="9"/>
                <c:pt idx="0">
                  <c:v>Q1 24</c:v>
                </c:pt>
                <c:pt idx="1">
                  <c:v>Q2 24</c:v>
                </c:pt>
                <c:pt idx="2">
                  <c:v>Q3 24</c:v>
                </c:pt>
                <c:pt idx="3">
                  <c:v>Q4 24</c:v>
                </c:pt>
                <c:pt idx="4">
                  <c:v>Q1 25</c:v>
                </c:pt>
                <c:pt idx="5">
                  <c:v>Q2 25</c:v>
                </c:pt>
                <c:pt idx="6">
                  <c:v>Q3 25</c:v>
                </c:pt>
                <c:pt idx="7">
                  <c:v>Q4 25</c:v>
                </c:pt>
                <c:pt idx="8">
                  <c:v>Q1 26</c:v>
                </c:pt>
              </c:strCache>
            </c:strRef>
          </c:cat>
          <c:val>
            <c:numRef>
              <c:f>'Earnings Snaps'!$AT$91:$BB$91</c:f>
              <c:numCache>
                <c:formatCode>0</c:formatCode>
                <c:ptCount val="9"/>
                <c:pt idx="0">
                  <c:v>10.712000000000444</c:v>
                </c:pt>
                <c:pt idx="1">
                  <c:v>10.680999999999585</c:v>
                </c:pt>
                <c:pt idx="2">
                  <c:v>11.345000000000255</c:v>
                </c:pt>
                <c:pt idx="3">
                  <c:v>-84.962999999999738</c:v>
                </c:pt>
                <c:pt idx="4">
                  <c:v>-5.7619999999997162</c:v>
                </c:pt>
                <c:pt idx="5">
                  <c:v>6.3809999999994034</c:v>
                </c:pt>
                <c:pt idx="6">
                  <c:v>21.583000000000538</c:v>
                </c:pt>
                <c:pt idx="7">
                  <c:v>24.714999999999236</c:v>
                </c:pt>
                <c:pt idx="8">
                  <c:v>25.046000000000276</c:v>
                </c:pt>
              </c:numCache>
            </c:numRef>
          </c:val>
          <c:extLst>
            <c:ext xmlns:c16="http://schemas.microsoft.com/office/drawing/2014/chart" uri="{C3380CC4-5D6E-409C-BE32-E72D297353CC}">
              <c16:uniqueId val="{00000001-6097-45B7-894F-B20DF6E2F311}"/>
            </c:ext>
          </c:extLst>
        </c:ser>
        <c:ser>
          <c:idx val="2"/>
          <c:order val="2"/>
          <c:tx>
            <c:strRef>
              <c:f>'Earnings Snaps'!$A$92</c:f>
              <c:strCache>
                <c:ptCount val="1"/>
                <c:pt idx="0">
                  <c:v>Voice</c:v>
                </c:pt>
              </c:strCache>
            </c:strRef>
          </c:tx>
          <c:spPr>
            <a:solidFill>
              <a:srgbClr val="C7FE02"/>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Snaps'!$AT$89:$BB$89</c:f>
              <c:strCache>
                <c:ptCount val="9"/>
                <c:pt idx="0">
                  <c:v>Q1 24</c:v>
                </c:pt>
                <c:pt idx="1">
                  <c:v>Q2 24</c:v>
                </c:pt>
                <c:pt idx="2">
                  <c:v>Q3 24</c:v>
                </c:pt>
                <c:pt idx="3">
                  <c:v>Q4 24</c:v>
                </c:pt>
                <c:pt idx="4">
                  <c:v>Q1 25</c:v>
                </c:pt>
                <c:pt idx="5">
                  <c:v>Q2 25</c:v>
                </c:pt>
                <c:pt idx="6">
                  <c:v>Q3 25</c:v>
                </c:pt>
                <c:pt idx="7">
                  <c:v>Q4 25</c:v>
                </c:pt>
                <c:pt idx="8">
                  <c:v>Q1 26</c:v>
                </c:pt>
              </c:strCache>
            </c:strRef>
          </c:cat>
          <c:val>
            <c:numRef>
              <c:f>'Earnings Snaps'!$AT$92:$BB$92</c:f>
              <c:numCache>
                <c:formatCode>0</c:formatCode>
                <c:ptCount val="9"/>
                <c:pt idx="0">
                  <c:v>4.3049999999993815</c:v>
                </c:pt>
                <c:pt idx="1">
                  <c:v>33.855000000000473</c:v>
                </c:pt>
                <c:pt idx="2">
                  <c:v>28.965000000000146</c:v>
                </c:pt>
                <c:pt idx="3">
                  <c:v>-35.321000000000822</c:v>
                </c:pt>
                <c:pt idx="4">
                  <c:v>61.731000000000677</c:v>
                </c:pt>
                <c:pt idx="5">
                  <c:v>27.514000000000124</c:v>
                </c:pt>
                <c:pt idx="6">
                  <c:v>40.687999999999192</c:v>
                </c:pt>
                <c:pt idx="7">
                  <c:v>39.431000000000495</c:v>
                </c:pt>
                <c:pt idx="8">
                  <c:v>41.463999999999942</c:v>
                </c:pt>
              </c:numCache>
            </c:numRef>
          </c:val>
          <c:extLst>
            <c:ext xmlns:c16="http://schemas.microsoft.com/office/drawing/2014/chart" uri="{C3380CC4-5D6E-409C-BE32-E72D297353CC}">
              <c16:uniqueId val="{00000002-6097-45B7-894F-B20DF6E2F311}"/>
            </c:ext>
          </c:extLst>
        </c:ser>
        <c:dLbls>
          <c:showLegendKey val="0"/>
          <c:showVal val="0"/>
          <c:showCatName val="0"/>
          <c:showSerName val="0"/>
          <c:showPercent val="0"/>
          <c:showBubbleSize val="0"/>
        </c:dLbls>
        <c:gapWidth val="30"/>
        <c:overlap val="100"/>
        <c:axId val="1007561176"/>
        <c:axId val="1007561832"/>
      </c:barChart>
      <c:catAx>
        <c:axId val="1007561176"/>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007561832"/>
        <c:crosses val="autoZero"/>
        <c:auto val="1"/>
        <c:lblAlgn val="ctr"/>
        <c:lblOffset val="100"/>
        <c:tickLblSkip val="1"/>
        <c:tickMarkSkip val="21"/>
        <c:noMultiLvlLbl val="0"/>
      </c:catAx>
      <c:valAx>
        <c:axId val="1007561832"/>
        <c:scaling>
          <c:orientation val="minMax"/>
        </c:scaling>
        <c:delete val="1"/>
        <c:axPos val="l"/>
        <c:numFmt formatCode="0" sourceLinked="1"/>
        <c:majorTickMark val="out"/>
        <c:minorTickMark val="none"/>
        <c:tickLblPos val="nextTo"/>
        <c:crossAx val="100756117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Content</c:v>
          </c:tx>
          <c:spPr>
            <a:solidFill>
              <a:srgbClr val="000080"/>
            </a:solidFill>
            <a:ln w="25400">
              <a:noFill/>
            </a:ln>
            <a:effectLst/>
          </c:spPr>
          <c:invertIfNegative val="0"/>
          <c:cat>
            <c:strRef>
              <c:f>Notes!$E$3744:$G$3744</c:f>
              <c:strCache>
                <c:ptCount val="3"/>
                <c:pt idx="0">
                  <c:v>2019</c:v>
                </c:pt>
                <c:pt idx="1">
                  <c:v>FY19 2020 guide</c:v>
                </c:pt>
                <c:pt idx="2">
                  <c:v>New 2020 guide</c:v>
                </c:pt>
              </c:strCache>
            </c:strRef>
          </c:cat>
          <c:val>
            <c:numRef>
              <c:f>Notes!$E$3745:$G$3745</c:f>
              <c:numCache>
                <c:formatCode>0</c:formatCode>
                <c:ptCount val="3"/>
                <c:pt idx="0">
                  <c:v>107.8</c:v>
                </c:pt>
                <c:pt idx="1">
                  <c:v>107.8</c:v>
                </c:pt>
                <c:pt idx="2">
                  <c:v>65.899999999999977</c:v>
                </c:pt>
              </c:numCache>
            </c:numRef>
          </c:val>
          <c:extLst>
            <c:ext xmlns:c16="http://schemas.microsoft.com/office/drawing/2014/chart" uri="{C3380CC4-5D6E-409C-BE32-E72D297353CC}">
              <c16:uniqueId val="{00000000-6F04-4A69-8F41-8ED348733185}"/>
            </c:ext>
          </c:extLst>
        </c:ser>
        <c:ser>
          <c:idx val="1"/>
          <c:order val="1"/>
          <c:tx>
            <c:v>SKY</c:v>
          </c:tx>
          <c:spPr>
            <a:solidFill>
              <a:srgbClr val="9999FF"/>
            </a:solidFill>
            <a:ln w="25400">
              <a:noFill/>
            </a:ln>
            <a:effectLst/>
          </c:spPr>
          <c:invertIfNegative val="0"/>
          <c:cat>
            <c:strRef>
              <c:f>Notes!$E$3744:$G$3744</c:f>
              <c:strCache>
                <c:ptCount val="3"/>
                <c:pt idx="0">
                  <c:v>2019</c:v>
                </c:pt>
                <c:pt idx="1">
                  <c:v>FY19 2020 guide</c:v>
                </c:pt>
                <c:pt idx="2">
                  <c:v>New 2020 guide</c:v>
                </c:pt>
              </c:strCache>
            </c:strRef>
          </c:cat>
          <c:val>
            <c:numRef>
              <c:f>Notes!$E$3746:$G$3746</c:f>
              <c:numCache>
                <c:formatCode>0</c:formatCode>
                <c:ptCount val="3"/>
                <c:pt idx="0">
                  <c:v>209.1</c:v>
                </c:pt>
                <c:pt idx="1">
                  <c:v>209.1</c:v>
                </c:pt>
                <c:pt idx="2">
                  <c:v>209.1</c:v>
                </c:pt>
              </c:numCache>
            </c:numRef>
          </c:val>
          <c:extLst>
            <c:ext xmlns:c16="http://schemas.microsoft.com/office/drawing/2014/chart" uri="{C3380CC4-5D6E-409C-BE32-E72D297353CC}">
              <c16:uniqueId val="{00000001-6F04-4A69-8F41-8ED348733185}"/>
            </c:ext>
          </c:extLst>
        </c:ser>
        <c:ser>
          <c:idx val="2"/>
          <c:order val="2"/>
          <c:tx>
            <c:v>Cable</c:v>
          </c:tx>
          <c:spPr>
            <a:solidFill>
              <a:srgbClr val="3366FF"/>
            </a:solidFill>
            <a:ln w="25400">
              <a:noFill/>
            </a:ln>
            <a:effectLst/>
          </c:spPr>
          <c:invertIfNegative val="0"/>
          <c:cat>
            <c:strRef>
              <c:f>Notes!$E$3744:$G$3744</c:f>
              <c:strCache>
                <c:ptCount val="3"/>
                <c:pt idx="0">
                  <c:v>2019</c:v>
                </c:pt>
                <c:pt idx="1">
                  <c:v>FY19 2020 guide</c:v>
                </c:pt>
                <c:pt idx="2">
                  <c:v>New 2020 guide</c:v>
                </c:pt>
              </c:strCache>
            </c:strRef>
          </c:cat>
          <c:val>
            <c:numRef>
              <c:f>Notes!$E$3747:$G$3747</c:f>
              <c:numCache>
                <c:formatCode>General</c:formatCode>
                <c:ptCount val="3"/>
                <c:pt idx="0" formatCode="0">
                  <c:v>673.6</c:v>
                </c:pt>
                <c:pt idx="1">
                  <c:v>575</c:v>
                </c:pt>
                <c:pt idx="2">
                  <c:v>500</c:v>
                </c:pt>
              </c:numCache>
            </c:numRef>
          </c:val>
          <c:extLst>
            <c:ext xmlns:c16="http://schemas.microsoft.com/office/drawing/2014/chart" uri="{C3380CC4-5D6E-409C-BE32-E72D297353CC}">
              <c16:uniqueId val="{00000002-6F04-4A69-8F41-8ED348733185}"/>
            </c:ext>
          </c:extLst>
        </c:ser>
        <c:dLbls>
          <c:showLegendKey val="0"/>
          <c:showVal val="0"/>
          <c:showCatName val="0"/>
          <c:showSerName val="0"/>
          <c:showPercent val="0"/>
          <c:showBubbleSize val="0"/>
        </c:dLbls>
        <c:gapWidth val="150"/>
        <c:overlap val="100"/>
        <c:axId val="622003064"/>
        <c:axId val="625991872"/>
      </c:barChart>
      <c:catAx>
        <c:axId val="62200306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991872"/>
        <c:crosses val="autoZero"/>
        <c:auto val="1"/>
        <c:lblAlgn val="ctr"/>
        <c:lblOffset val="100"/>
        <c:noMultiLvlLbl val="0"/>
      </c:catAx>
      <c:valAx>
        <c:axId val="625991872"/>
        <c:scaling>
          <c:orientation val="minMax"/>
          <c:max val="1000"/>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2003064"/>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25400">
              <a:solidFill>
                <a:srgbClr val="333399"/>
              </a:solidFill>
              <a:prstDash val="solid"/>
            </a:ln>
            <a:effectLst/>
          </c:spPr>
          <c:marker>
            <c:symbol val="none"/>
          </c:marker>
          <c:cat>
            <c:strRef>
              <c:f>Univision!$I$214:$AO$214</c:f>
              <c:strCache>
                <c:ptCount val="33"/>
                <c:pt idx="0">
                  <c:v>Q3 11</c:v>
                </c:pt>
                <c:pt idx="1">
                  <c:v>Q4 11</c:v>
                </c:pt>
                <c:pt idx="2">
                  <c:v>Q1 12</c:v>
                </c:pt>
                <c:pt idx="3">
                  <c:v>Q2 12</c:v>
                </c:pt>
                <c:pt idx="4">
                  <c:v>Q3 12</c:v>
                </c:pt>
                <c:pt idx="5">
                  <c:v>Q4 12</c:v>
                </c:pt>
                <c:pt idx="6">
                  <c:v>Q1 13</c:v>
                </c:pt>
                <c:pt idx="7">
                  <c:v>Q2 13</c:v>
                </c:pt>
                <c:pt idx="8">
                  <c:v>Q3 13</c:v>
                </c:pt>
                <c:pt idx="9">
                  <c:v>Q4 13</c:v>
                </c:pt>
                <c:pt idx="10">
                  <c:v>Q1 14</c:v>
                </c:pt>
                <c:pt idx="11">
                  <c:v>Q2 14</c:v>
                </c:pt>
                <c:pt idx="12">
                  <c:v>Q3 14</c:v>
                </c:pt>
                <c:pt idx="13">
                  <c:v>Q4 14</c:v>
                </c:pt>
                <c:pt idx="14">
                  <c:v>Q1 15</c:v>
                </c:pt>
                <c:pt idx="15">
                  <c:v>Q2 15</c:v>
                </c:pt>
                <c:pt idx="16">
                  <c:v>Q3 15</c:v>
                </c:pt>
                <c:pt idx="17">
                  <c:v>Q4 15</c:v>
                </c:pt>
                <c:pt idx="18">
                  <c:v>Q1 16</c:v>
                </c:pt>
                <c:pt idx="19">
                  <c:v>Q2 16</c:v>
                </c:pt>
                <c:pt idx="20">
                  <c:v>Q3 16</c:v>
                </c:pt>
                <c:pt idx="21">
                  <c:v>Q4 16</c:v>
                </c:pt>
                <c:pt idx="22">
                  <c:v>Q1 17</c:v>
                </c:pt>
                <c:pt idx="23">
                  <c:v>Q2 17</c:v>
                </c:pt>
                <c:pt idx="24">
                  <c:v>Q3 17</c:v>
                </c:pt>
                <c:pt idx="25">
                  <c:v>Q4 17</c:v>
                </c:pt>
                <c:pt idx="26">
                  <c:v>Q1 18</c:v>
                </c:pt>
                <c:pt idx="27">
                  <c:v>Q2 18</c:v>
                </c:pt>
                <c:pt idx="28">
                  <c:v>Q3 18</c:v>
                </c:pt>
                <c:pt idx="29">
                  <c:v>Q4 18</c:v>
                </c:pt>
                <c:pt idx="30">
                  <c:v>Q1 19</c:v>
                </c:pt>
                <c:pt idx="31">
                  <c:v>Q2 19</c:v>
                </c:pt>
                <c:pt idx="32">
                  <c:v>Q3 19</c:v>
                </c:pt>
              </c:strCache>
            </c:strRef>
          </c:cat>
          <c:val>
            <c:numRef>
              <c:f>Univision!$I$259:$AO$259</c:f>
              <c:numCache>
                <c:formatCode>0.0</c:formatCode>
                <c:ptCount val="33"/>
                <c:pt idx="0">
                  <c:v>10.003596338273757</c:v>
                </c:pt>
                <c:pt idx="1">
                  <c:v>9.8438805011243158</c:v>
                </c:pt>
                <c:pt idx="2">
                  <c:v>9.625553447185327</c:v>
                </c:pt>
                <c:pt idx="3">
                  <c:v>9.6504793005372385</c:v>
                </c:pt>
                <c:pt idx="4">
                  <c:v>9.2102869846402609</c:v>
                </c:pt>
                <c:pt idx="5">
                  <c:v>9.1311802232854866</c:v>
                </c:pt>
                <c:pt idx="6">
                  <c:v>8.9495065631886561</c:v>
                </c:pt>
                <c:pt idx="7">
                  <c:v>8.7070660663420032</c:v>
                </c:pt>
                <c:pt idx="8">
                  <c:v>8.5212823275862064</c:v>
                </c:pt>
                <c:pt idx="9">
                  <c:v>8.4873259550160682</c:v>
                </c:pt>
                <c:pt idx="10">
                  <c:v>8.1454339491111902</c:v>
                </c:pt>
                <c:pt idx="11">
                  <c:v>7.8732524844197407</c:v>
                </c:pt>
                <c:pt idx="12">
                  <c:v>7.6102273673690348</c:v>
                </c:pt>
                <c:pt idx="13">
                  <c:v>7.467117988394584</c:v>
                </c:pt>
                <c:pt idx="14">
                  <c:v>7.2359924026590683</c:v>
                </c:pt>
                <c:pt idx="15">
                  <c:v>7.5103563209269106</c:v>
                </c:pt>
                <c:pt idx="16">
                  <c:v>6.9416342412451355</c:v>
                </c:pt>
                <c:pt idx="17">
                  <c:v>6.9089627541178231</c:v>
                </c:pt>
                <c:pt idx="18">
                  <c:v>6.5791072849598491</c:v>
                </c:pt>
                <c:pt idx="19">
                  <c:v>6.5106106539627531</c:v>
                </c:pt>
                <c:pt idx="20">
                  <c:v>6.8430096132011204</c:v>
                </c:pt>
                <c:pt idx="21">
                  <c:v>6.459473261837017</c:v>
                </c:pt>
                <c:pt idx="22">
                  <c:v>6.4902365337852777</c:v>
                </c:pt>
                <c:pt idx="23">
                  <c:v>6.3700508737005093</c:v>
                </c:pt>
                <c:pt idx="24">
                  <c:v>5.8742506319971115</c:v>
                </c:pt>
                <c:pt idx="25">
                  <c:v>5.9563204659150299</c:v>
                </c:pt>
                <c:pt idx="26">
                  <c:v>6.0568033729398234</c:v>
                </c:pt>
                <c:pt idx="27">
                  <c:v>6.0317162721662374</c:v>
                </c:pt>
                <c:pt idx="28">
                  <c:v>6.4004020773998995</c:v>
                </c:pt>
                <c:pt idx="29">
                  <c:v>6.8024352284171012</c:v>
                </c:pt>
                <c:pt idx="30">
                  <c:v>7.1387211197392402</c:v>
                </c:pt>
                <c:pt idx="31">
                  <c:v>7.0393956779498952</c:v>
                </c:pt>
                <c:pt idx="32">
                  <c:v>7.0011557353366074</c:v>
                </c:pt>
              </c:numCache>
            </c:numRef>
          </c:val>
          <c:smooth val="0"/>
          <c:extLst>
            <c:ext xmlns:c16="http://schemas.microsoft.com/office/drawing/2014/chart" uri="{C3380CC4-5D6E-409C-BE32-E72D297353CC}">
              <c16:uniqueId val="{00000000-80C3-48D1-921A-31AF4E4B2733}"/>
            </c:ext>
          </c:extLst>
        </c:ser>
        <c:dLbls>
          <c:showLegendKey val="0"/>
          <c:showVal val="0"/>
          <c:showCatName val="0"/>
          <c:showSerName val="0"/>
          <c:showPercent val="0"/>
          <c:showBubbleSize val="0"/>
        </c:dLbls>
        <c:smooth val="0"/>
        <c:axId val="120626176"/>
        <c:axId val="120238848"/>
      </c:lineChart>
      <c:catAx>
        <c:axId val="120626176"/>
        <c:scaling>
          <c:orientation val="minMax"/>
        </c:scaling>
        <c:delete val="0"/>
        <c:axPos val="b"/>
        <c:numFmt formatCode="General" sourceLinked="0"/>
        <c:majorTickMark val="out"/>
        <c:minorTickMark val="none"/>
        <c:tickLblPos val="low"/>
        <c:crossAx val="120238848"/>
        <c:crosses val="autoZero"/>
        <c:auto val="1"/>
        <c:lblAlgn val="ctr"/>
        <c:lblOffset val="100"/>
        <c:noMultiLvlLbl val="0"/>
      </c:catAx>
      <c:valAx>
        <c:axId val="120238848"/>
        <c:scaling>
          <c:orientation val="minMax"/>
          <c:min val="5"/>
        </c:scaling>
        <c:delete val="0"/>
        <c:axPos val="l"/>
        <c:majorGridlines>
          <c:spPr>
            <a:ln w="3175">
              <a:solidFill>
                <a:srgbClr val="C0C0C0"/>
              </a:solidFill>
              <a:prstDash val="solid"/>
            </a:ln>
          </c:spPr>
        </c:majorGridlines>
        <c:title>
          <c:tx>
            <c:rich>
              <a:bodyPr rot="-5400000" vert="horz"/>
              <a:lstStyle/>
              <a:p>
                <a:pPr>
                  <a:defRPr/>
                </a:pPr>
                <a:r>
                  <a:rPr lang="en-US"/>
                  <a:t>Net debt to 12m rolling EBITDA</a:t>
                </a:r>
              </a:p>
            </c:rich>
          </c:tx>
          <c:overlay val="0"/>
        </c:title>
        <c:numFmt formatCode="0.0" sourceLinked="1"/>
        <c:majorTickMark val="out"/>
        <c:minorTickMark val="none"/>
        <c:tickLblPos val="nextTo"/>
        <c:crossAx val="120626176"/>
        <c:crosses val="autoZero"/>
        <c:crossBetween val="between"/>
      </c:valAx>
      <c:spPr>
        <a:noFill/>
        <a:ln w="25400">
          <a:noFill/>
        </a:ln>
      </c:spPr>
    </c:plotArea>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Univision!$AH$7</c:f>
              <c:strCache>
                <c:ptCount val="1"/>
                <c:pt idx="0">
                  <c:v>Revenue</c:v>
                </c:pt>
              </c:strCache>
            </c:strRef>
          </c:tx>
          <c:spPr>
            <a:solidFill>
              <a:srgbClr val="000080"/>
            </a:solidFill>
            <a:ln w="25400">
              <a:noFill/>
            </a:ln>
          </c:spPr>
          <c:invertIfNegative val="0"/>
          <c:cat>
            <c:numRef>
              <c:f>Univision!$AI$5:$AX$5</c:f>
              <c:numCache>
                <c:formatCode>General</c:formatCode>
                <c:ptCount val="16"/>
                <c:pt idx="0">
                  <c:v>2013</c:v>
                </c:pt>
                <c:pt idx="9">
                  <c:v>2014</c:v>
                </c:pt>
                <c:pt idx="10">
                  <c:v>2015</c:v>
                </c:pt>
                <c:pt idx="11">
                  <c:v>2016</c:v>
                </c:pt>
                <c:pt idx="12">
                  <c:v>2017</c:v>
                </c:pt>
                <c:pt idx="13">
                  <c:v>2018</c:v>
                </c:pt>
                <c:pt idx="14">
                  <c:v>2019</c:v>
                </c:pt>
                <c:pt idx="15">
                  <c:v>2020</c:v>
                </c:pt>
              </c:numCache>
            </c:numRef>
          </c:cat>
          <c:val>
            <c:numRef>
              <c:f>Univision!$AI$7:$AX$7</c:f>
              <c:numCache>
                <c:formatCode>0%</c:formatCode>
                <c:ptCount val="16"/>
                <c:pt idx="0">
                  <c:v>7.5528299286319822E-2</c:v>
                </c:pt>
                <c:pt idx="9">
                  <c:v>0</c:v>
                </c:pt>
                <c:pt idx="10">
                  <c:v>-1.8069391961525239E-2</c:v>
                </c:pt>
                <c:pt idx="11">
                  <c:v>6.4231738035264385E-2</c:v>
                </c:pt>
                <c:pt idx="12">
                  <c:v>-8.4155161078237617E-3</c:v>
                </c:pt>
                <c:pt idx="13">
                  <c:v>-0.10031826017769518</c:v>
                </c:pt>
                <c:pt idx="14">
                  <c:v>-1.286019603508004E-2</c:v>
                </c:pt>
                <c:pt idx="15">
                  <c:v>-5.1140393445070709E-2</c:v>
                </c:pt>
              </c:numCache>
            </c:numRef>
          </c:val>
          <c:extLst>
            <c:ext xmlns:c16="http://schemas.microsoft.com/office/drawing/2014/chart" uri="{C3380CC4-5D6E-409C-BE32-E72D297353CC}">
              <c16:uniqueId val="{00000000-1942-4471-92DE-FE4F0E63EAC6}"/>
            </c:ext>
          </c:extLst>
        </c:ser>
        <c:ser>
          <c:idx val="1"/>
          <c:order val="1"/>
          <c:tx>
            <c:strRef>
              <c:f>Univision!$AH$6</c:f>
              <c:strCache>
                <c:ptCount val="1"/>
                <c:pt idx="0">
                  <c:v>Revenue-ex World Cup</c:v>
                </c:pt>
              </c:strCache>
            </c:strRef>
          </c:tx>
          <c:spPr>
            <a:solidFill>
              <a:srgbClr val="9999FF"/>
            </a:solidFill>
            <a:ln w="25400">
              <a:noFill/>
            </a:ln>
          </c:spPr>
          <c:invertIfNegative val="0"/>
          <c:cat>
            <c:numRef>
              <c:f>Univision!$AI$5:$AX$5</c:f>
              <c:numCache>
                <c:formatCode>General</c:formatCode>
                <c:ptCount val="16"/>
                <c:pt idx="0">
                  <c:v>2013</c:v>
                </c:pt>
                <c:pt idx="9">
                  <c:v>2014</c:v>
                </c:pt>
                <c:pt idx="10">
                  <c:v>2015</c:v>
                </c:pt>
                <c:pt idx="11">
                  <c:v>2016</c:v>
                </c:pt>
                <c:pt idx="12">
                  <c:v>2017</c:v>
                </c:pt>
                <c:pt idx="13">
                  <c:v>2018</c:v>
                </c:pt>
                <c:pt idx="14">
                  <c:v>2019</c:v>
                </c:pt>
                <c:pt idx="15">
                  <c:v>2020</c:v>
                </c:pt>
              </c:numCache>
            </c:numRef>
          </c:cat>
          <c:val>
            <c:numRef>
              <c:f>Univision!$AI$6:$AX$6</c:f>
              <c:numCache>
                <c:formatCode>0%</c:formatCode>
                <c:ptCount val="16"/>
                <c:pt idx="10">
                  <c:v>0.10785507687623697</c:v>
                </c:pt>
              </c:numCache>
            </c:numRef>
          </c:val>
          <c:extLst>
            <c:ext xmlns:c16="http://schemas.microsoft.com/office/drawing/2014/chart" uri="{C3380CC4-5D6E-409C-BE32-E72D297353CC}">
              <c16:uniqueId val="{00000001-1942-4471-92DE-FE4F0E63EAC6}"/>
            </c:ext>
          </c:extLst>
        </c:ser>
        <c:dLbls>
          <c:showLegendKey val="0"/>
          <c:showVal val="0"/>
          <c:showCatName val="0"/>
          <c:showSerName val="0"/>
          <c:showPercent val="0"/>
          <c:showBubbleSize val="0"/>
        </c:dLbls>
        <c:gapWidth val="150"/>
        <c:overlap val="100"/>
        <c:axId val="120348032"/>
        <c:axId val="120349824"/>
      </c:barChart>
      <c:lineChart>
        <c:grouping val="standard"/>
        <c:varyColors val="0"/>
        <c:ser>
          <c:idx val="2"/>
          <c:order val="2"/>
          <c:tx>
            <c:strRef>
              <c:f>Univision!$AH$14</c:f>
              <c:strCache>
                <c:ptCount val="1"/>
                <c:pt idx="0">
                  <c:v>EBITDA</c:v>
                </c:pt>
              </c:strCache>
            </c:strRef>
          </c:tx>
          <c:spPr>
            <a:ln>
              <a:solidFill>
                <a:schemeClr val="tx2">
                  <a:lumMod val="20000"/>
                  <a:lumOff val="80000"/>
                </a:schemeClr>
              </a:solidFill>
            </a:ln>
          </c:spPr>
          <c:marker>
            <c:symbol val="none"/>
          </c:marker>
          <c:cat>
            <c:numRef>
              <c:f>Univision!$AI$5:$AX$5</c:f>
              <c:numCache>
                <c:formatCode>General</c:formatCode>
                <c:ptCount val="16"/>
                <c:pt idx="0">
                  <c:v>2013</c:v>
                </c:pt>
                <c:pt idx="9">
                  <c:v>2014</c:v>
                </c:pt>
                <c:pt idx="10">
                  <c:v>2015</c:v>
                </c:pt>
                <c:pt idx="11">
                  <c:v>2016</c:v>
                </c:pt>
                <c:pt idx="12">
                  <c:v>2017</c:v>
                </c:pt>
                <c:pt idx="13">
                  <c:v>2018</c:v>
                </c:pt>
                <c:pt idx="14">
                  <c:v>2019</c:v>
                </c:pt>
                <c:pt idx="15">
                  <c:v>2020</c:v>
                </c:pt>
              </c:numCache>
            </c:numRef>
          </c:cat>
          <c:val>
            <c:numRef>
              <c:f>Univision!$AI$14:$AX$14</c:f>
              <c:numCache>
                <c:formatCode>0%</c:formatCode>
                <c:ptCount val="16"/>
                <c:pt idx="0">
                  <c:v>0.15692665180741749</c:v>
                </c:pt>
                <c:pt idx="9">
                  <c:v>0</c:v>
                </c:pt>
                <c:pt idx="10">
                  <c:v>0</c:v>
                </c:pt>
                <c:pt idx="11">
                  <c:v>0</c:v>
                </c:pt>
                <c:pt idx="12">
                  <c:v>0</c:v>
                </c:pt>
                <c:pt idx="13">
                  <c:v>0</c:v>
                </c:pt>
                <c:pt idx="14">
                  <c:v>0</c:v>
                </c:pt>
                <c:pt idx="15">
                  <c:v>0</c:v>
                </c:pt>
              </c:numCache>
            </c:numRef>
          </c:val>
          <c:smooth val="0"/>
          <c:extLst>
            <c:ext xmlns:c16="http://schemas.microsoft.com/office/drawing/2014/chart" uri="{C3380CC4-5D6E-409C-BE32-E72D297353CC}">
              <c16:uniqueId val="{00000002-1942-4471-92DE-FE4F0E63EAC6}"/>
            </c:ext>
          </c:extLst>
        </c:ser>
        <c:dLbls>
          <c:showLegendKey val="0"/>
          <c:showVal val="0"/>
          <c:showCatName val="0"/>
          <c:showSerName val="0"/>
          <c:showPercent val="0"/>
          <c:showBubbleSize val="0"/>
        </c:dLbls>
        <c:marker val="1"/>
        <c:smooth val="0"/>
        <c:axId val="120348032"/>
        <c:axId val="120349824"/>
      </c:lineChart>
      <c:catAx>
        <c:axId val="120348032"/>
        <c:scaling>
          <c:orientation val="minMax"/>
        </c:scaling>
        <c:delete val="0"/>
        <c:axPos val="b"/>
        <c:numFmt formatCode="General" sourceLinked="1"/>
        <c:majorTickMark val="out"/>
        <c:minorTickMark val="none"/>
        <c:tickLblPos val="nextTo"/>
        <c:crossAx val="120349824"/>
        <c:crosses val="autoZero"/>
        <c:auto val="1"/>
        <c:lblAlgn val="ctr"/>
        <c:lblOffset val="100"/>
        <c:noMultiLvlLbl val="0"/>
      </c:catAx>
      <c:valAx>
        <c:axId val="120349824"/>
        <c:scaling>
          <c:orientation val="minMax"/>
        </c:scaling>
        <c:delete val="0"/>
        <c:axPos val="l"/>
        <c:majorGridlines>
          <c:spPr>
            <a:ln w="3175">
              <a:solidFill>
                <a:srgbClr val="C0C0C0"/>
              </a:solidFill>
              <a:prstDash val="solid"/>
            </a:ln>
          </c:spPr>
        </c:majorGridlines>
        <c:title>
          <c:tx>
            <c:rich>
              <a:bodyPr rot="-5400000" vert="horz"/>
              <a:lstStyle/>
              <a:p>
                <a:pPr>
                  <a:defRPr/>
                </a:pPr>
                <a:r>
                  <a:rPr lang="en-US"/>
                  <a:t>y/y growth</a:t>
                </a:r>
              </a:p>
            </c:rich>
          </c:tx>
          <c:overlay val="0"/>
        </c:title>
        <c:numFmt formatCode="0%" sourceLinked="1"/>
        <c:majorTickMark val="out"/>
        <c:minorTickMark val="none"/>
        <c:tickLblPos val="nextTo"/>
        <c:crossAx val="120348032"/>
        <c:crosses val="autoZero"/>
        <c:crossBetween val="between"/>
      </c:valAx>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1"/>
          <c:order val="0"/>
          <c:tx>
            <c:strRef>
              <c:f>Univision!$B$281</c:f>
              <c:strCache>
                <c:ptCount val="1"/>
                <c:pt idx="0">
                  <c:v>Univision share </c:v>
                </c:pt>
              </c:strCache>
            </c:strRef>
          </c:tx>
          <c:spPr>
            <a:ln w="25400">
              <a:solidFill>
                <a:srgbClr val="99CCFF"/>
              </a:solidFill>
              <a:prstDash val="solid"/>
            </a:ln>
            <a:effectLst/>
          </c:spPr>
          <c:marker>
            <c:symbol val="none"/>
          </c:marker>
          <c:cat>
            <c:strRef>
              <c:f>Univision!$G$265:$W$265</c:f>
              <c:strCache>
                <c:ptCount val="17"/>
                <c:pt idx="0">
                  <c:v>Q1 11</c:v>
                </c:pt>
                <c:pt idx="1">
                  <c:v>Q2 11</c:v>
                </c:pt>
                <c:pt idx="2">
                  <c:v>Q3 11</c:v>
                </c:pt>
                <c:pt idx="3">
                  <c:v>Q4 11</c:v>
                </c:pt>
                <c:pt idx="4">
                  <c:v>Q1 12</c:v>
                </c:pt>
                <c:pt idx="5">
                  <c:v>Q2 12</c:v>
                </c:pt>
                <c:pt idx="6">
                  <c:v>Q3 12</c:v>
                </c:pt>
                <c:pt idx="7">
                  <c:v>Q4 12</c:v>
                </c:pt>
                <c:pt idx="8">
                  <c:v>Q1 13</c:v>
                </c:pt>
                <c:pt idx="9">
                  <c:v>Q2 13</c:v>
                </c:pt>
                <c:pt idx="10">
                  <c:v>Q3 13</c:v>
                </c:pt>
                <c:pt idx="11">
                  <c:v>Q4 13</c:v>
                </c:pt>
                <c:pt idx="12">
                  <c:v>Q1 14</c:v>
                </c:pt>
                <c:pt idx="13">
                  <c:v>Q2 14</c:v>
                </c:pt>
                <c:pt idx="14">
                  <c:v>Q3 14</c:v>
                </c:pt>
                <c:pt idx="15">
                  <c:v>Q4 14</c:v>
                </c:pt>
                <c:pt idx="16">
                  <c:v>Q1 15</c:v>
                </c:pt>
              </c:strCache>
            </c:strRef>
          </c:cat>
          <c:val>
            <c:numRef>
              <c:f>Univision!$H$281:$W$281</c:f>
              <c:numCache>
                <c:formatCode>0.0%</c:formatCode>
                <c:ptCount val="16"/>
                <c:pt idx="0">
                  <c:v>0.1367887763055339</c:v>
                </c:pt>
                <c:pt idx="1">
                  <c:v>0.15334128878281622</c:v>
                </c:pt>
                <c:pt idx="2">
                  <c:v>0.10508508309284506</c:v>
                </c:pt>
                <c:pt idx="3">
                  <c:v>0.10748817115819791</c:v>
                </c:pt>
                <c:pt idx="4">
                  <c:v>0.12640626975097966</c:v>
                </c:pt>
                <c:pt idx="5">
                  <c:v>0.1245088741362959</c:v>
                </c:pt>
                <c:pt idx="6">
                  <c:v>9.840684946353094E-2</c:v>
                </c:pt>
                <c:pt idx="7">
                  <c:v>0.10239799977270145</c:v>
                </c:pt>
                <c:pt idx="8">
                  <c:v>0.11212409851680501</c:v>
                </c:pt>
                <c:pt idx="9">
                  <c:v>0.12204234122042341</c:v>
                </c:pt>
                <c:pt idx="10">
                  <c:v>7.7273244565835897E-2</c:v>
                </c:pt>
                <c:pt idx="11">
                  <c:v>7.8909266409266404E-2</c:v>
                </c:pt>
                <c:pt idx="12">
                  <c:v>0.10989365130518852</c:v>
                </c:pt>
                <c:pt idx="13">
                  <c:v>0.12581268669829557</c:v>
                </c:pt>
                <c:pt idx="14">
                  <c:v>9.8569890819621711E-2</c:v>
                </c:pt>
                <c:pt idx="15">
                  <c:v>9.4237943899405832E-2</c:v>
                </c:pt>
              </c:numCache>
            </c:numRef>
          </c:val>
          <c:smooth val="0"/>
          <c:extLst>
            <c:ext xmlns:c16="http://schemas.microsoft.com/office/drawing/2014/chart" uri="{C3380CC4-5D6E-409C-BE32-E72D297353CC}">
              <c16:uniqueId val="{00000000-7E9D-409A-B965-3691C76C450A}"/>
            </c:ext>
          </c:extLst>
        </c:ser>
        <c:dLbls>
          <c:showLegendKey val="0"/>
          <c:showVal val="0"/>
          <c:showCatName val="0"/>
          <c:showSerName val="0"/>
          <c:showPercent val="0"/>
          <c:showBubbleSize val="0"/>
        </c:dLbls>
        <c:smooth val="0"/>
        <c:axId val="120403456"/>
        <c:axId val="120404992"/>
      </c:lineChart>
      <c:catAx>
        <c:axId val="120403456"/>
        <c:scaling>
          <c:orientation val="minMax"/>
        </c:scaling>
        <c:delete val="0"/>
        <c:axPos val="b"/>
        <c:numFmt formatCode="General" sourceLinked="1"/>
        <c:majorTickMark val="out"/>
        <c:minorTickMark val="none"/>
        <c:tickLblPos val="low"/>
        <c:crossAx val="120404992"/>
        <c:crosses val="autoZero"/>
        <c:auto val="1"/>
        <c:lblAlgn val="ctr"/>
        <c:lblOffset val="100"/>
        <c:noMultiLvlLbl val="0"/>
      </c:catAx>
      <c:valAx>
        <c:axId val="120404992"/>
        <c:scaling>
          <c:orientation val="minMax"/>
        </c:scaling>
        <c:delete val="0"/>
        <c:axPos val="l"/>
        <c:majorGridlines>
          <c:spPr>
            <a:ln w="3175">
              <a:solidFill>
                <a:srgbClr val="C0C0C0"/>
              </a:solidFill>
              <a:prstDash val="solid"/>
            </a:ln>
          </c:spPr>
        </c:majorGridlines>
        <c:numFmt formatCode="0.0%" sourceLinked="1"/>
        <c:majorTickMark val="out"/>
        <c:minorTickMark val="none"/>
        <c:tickLblPos val="nextTo"/>
        <c:crossAx val="120403456"/>
        <c:crosses val="autoZero"/>
        <c:crossBetween val="between"/>
      </c:valAx>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rgbClr val="000080"/>
            </a:solidFill>
            <a:ln w="25400">
              <a:noFill/>
            </a:ln>
          </c:spPr>
          <c:invertIfNegative val="0"/>
          <c:dPt>
            <c:idx val="5"/>
            <c:invertIfNegative val="0"/>
            <c:bubble3D val="0"/>
            <c:spPr>
              <a:solidFill>
                <a:schemeClr val="tx2">
                  <a:lumMod val="20000"/>
                  <a:lumOff val="80000"/>
                </a:schemeClr>
              </a:solidFill>
              <a:ln w="6350">
                <a:solidFill>
                  <a:schemeClr val="tx1"/>
                </a:solidFill>
              </a:ln>
            </c:spPr>
            <c:extLst>
              <c:ext xmlns:c16="http://schemas.microsoft.com/office/drawing/2014/chart" uri="{C3380CC4-5D6E-409C-BE32-E72D297353CC}">
                <c16:uniqueId val="{00000001-BAE4-4B52-BB78-359AD6140A96}"/>
              </c:ext>
            </c:extLst>
          </c:dPt>
          <c:cat>
            <c:strRef>
              <c:f>Univision!$B$194:$B$203</c:f>
              <c:strCache>
                <c:ptCount val="10"/>
                <c:pt idx="0">
                  <c:v>AMC</c:v>
                </c:pt>
                <c:pt idx="1">
                  <c:v>USA</c:v>
                </c:pt>
                <c:pt idx="2">
                  <c:v>TBS</c:v>
                </c:pt>
                <c:pt idx="3">
                  <c:v>CW</c:v>
                </c:pt>
                <c:pt idx="4">
                  <c:v>ESPN</c:v>
                </c:pt>
                <c:pt idx="5">
                  <c:v>Univision</c:v>
                </c:pt>
                <c:pt idx="6">
                  <c:v>CBS</c:v>
                </c:pt>
                <c:pt idx="7">
                  <c:v>ABC</c:v>
                </c:pt>
                <c:pt idx="8">
                  <c:v>FOX</c:v>
                </c:pt>
                <c:pt idx="9">
                  <c:v>NBC</c:v>
                </c:pt>
              </c:strCache>
            </c:strRef>
          </c:cat>
          <c:val>
            <c:numRef>
              <c:f>Univision!$C$194:$C$203</c:f>
              <c:numCache>
                <c:formatCode>General</c:formatCode>
                <c:ptCount val="10"/>
                <c:pt idx="0">
                  <c:v>421</c:v>
                </c:pt>
                <c:pt idx="1">
                  <c:v>430</c:v>
                </c:pt>
                <c:pt idx="2">
                  <c:v>473</c:v>
                </c:pt>
                <c:pt idx="3">
                  <c:v>515</c:v>
                </c:pt>
                <c:pt idx="4">
                  <c:v>542</c:v>
                </c:pt>
                <c:pt idx="5">
                  <c:v>797</c:v>
                </c:pt>
                <c:pt idx="6">
                  <c:v>1027</c:v>
                </c:pt>
                <c:pt idx="7">
                  <c:v>1051</c:v>
                </c:pt>
                <c:pt idx="8">
                  <c:v>1144</c:v>
                </c:pt>
                <c:pt idx="9">
                  <c:v>1267</c:v>
                </c:pt>
              </c:numCache>
            </c:numRef>
          </c:val>
          <c:extLst>
            <c:ext xmlns:c16="http://schemas.microsoft.com/office/drawing/2014/chart" uri="{C3380CC4-5D6E-409C-BE32-E72D297353CC}">
              <c16:uniqueId val="{00000002-BAE4-4B52-BB78-359AD6140A96}"/>
            </c:ext>
          </c:extLst>
        </c:ser>
        <c:dLbls>
          <c:showLegendKey val="0"/>
          <c:showVal val="0"/>
          <c:showCatName val="0"/>
          <c:showSerName val="0"/>
          <c:showPercent val="0"/>
          <c:showBubbleSize val="0"/>
        </c:dLbls>
        <c:gapWidth val="150"/>
        <c:axId val="120422784"/>
        <c:axId val="120424320"/>
      </c:barChart>
      <c:catAx>
        <c:axId val="120422784"/>
        <c:scaling>
          <c:orientation val="minMax"/>
        </c:scaling>
        <c:delete val="0"/>
        <c:axPos val="l"/>
        <c:numFmt formatCode="General" sourceLinked="1"/>
        <c:majorTickMark val="out"/>
        <c:minorTickMark val="none"/>
        <c:tickLblPos val="nextTo"/>
        <c:crossAx val="120424320"/>
        <c:crosses val="autoZero"/>
        <c:auto val="1"/>
        <c:lblAlgn val="ctr"/>
        <c:lblOffset val="100"/>
        <c:noMultiLvlLbl val="0"/>
      </c:catAx>
      <c:valAx>
        <c:axId val="120424320"/>
        <c:scaling>
          <c:orientation val="minMax"/>
          <c:max val="1500"/>
          <c:min val="0"/>
        </c:scaling>
        <c:delete val="0"/>
        <c:axPos val="b"/>
        <c:majorGridlines>
          <c:spPr>
            <a:ln w="3175">
              <a:solidFill>
                <a:srgbClr val="C0C0C0"/>
              </a:solidFill>
              <a:prstDash val="solid"/>
            </a:ln>
          </c:spPr>
        </c:majorGridlines>
        <c:title>
          <c:tx>
            <c:rich>
              <a:bodyPr/>
              <a:lstStyle/>
              <a:p>
                <a:pPr>
                  <a:defRPr/>
                </a:pPr>
                <a:r>
                  <a:rPr lang="en-US"/>
                  <a:t>Average audience, 000s</a:t>
                </a:r>
              </a:p>
            </c:rich>
          </c:tx>
          <c:layout>
            <c:manualLayout>
              <c:xMode val="edge"/>
              <c:yMode val="edge"/>
              <c:x val="0.28792280376717616"/>
              <c:y val="0.86708838499760077"/>
            </c:manualLayout>
          </c:layout>
          <c:overlay val="0"/>
        </c:title>
        <c:numFmt formatCode="General" sourceLinked="1"/>
        <c:majorTickMark val="out"/>
        <c:minorTickMark val="none"/>
        <c:tickLblPos val="nextTo"/>
        <c:crossAx val="120422784"/>
        <c:crosses val="autoZero"/>
        <c:crossBetween val="between"/>
      </c:valAx>
      <c:spPr>
        <a:noFill/>
        <a:ln w="25400">
          <a:noFill/>
        </a:ln>
      </c:spPr>
    </c:plotArea>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Univision!$AZ$242</c:f>
              <c:strCache>
                <c:ptCount val="1"/>
                <c:pt idx="0">
                  <c:v>Clean revenue</c:v>
                </c:pt>
              </c:strCache>
            </c:strRef>
          </c:tx>
          <c:spPr>
            <a:solidFill>
              <a:srgbClr val="000080"/>
            </a:solidFill>
            <a:ln w="25400">
              <a:noFill/>
            </a:ln>
          </c:spPr>
          <c:invertIfNegative val="0"/>
          <c:cat>
            <c:strRef>
              <c:f>Univision!$BA$241:$BS$241</c:f>
              <c:strCache>
                <c:ptCount val="19"/>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pt idx="15">
                  <c:v>Q4 16</c:v>
                </c:pt>
                <c:pt idx="16">
                  <c:v>Q1 17</c:v>
                </c:pt>
                <c:pt idx="17">
                  <c:v>Q2 17</c:v>
                </c:pt>
                <c:pt idx="18">
                  <c:v>Q3 17</c:v>
                </c:pt>
              </c:strCache>
            </c:strRef>
          </c:cat>
          <c:val>
            <c:numRef>
              <c:f>Univision!$BA$242:$BS$242</c:f>
              <c:numCache>
                <c:formatCode>0%</c:formatCode>
                <c:ptCount val="19"/>
                <c:pt idx="0">
                  <c:v>6.3115228720324268E-2</c:v>
                </c:pt>
                <c:pt idx="1">
                  <c:v>7.6421404682274208E-2</c:v>
                </c:pt>
                <c:pt idx="2">
                  <c:v>5.0090624485088275E-2</c:v>
                </c:pt>
                <c:pt idx="3">
                  <c:v>0.11248593925759254</c:v>
                </c:pt>
                <c:pt idx="4">
                  <c:v>0.114560639070443</c:v>
                </c:pt>
                <c:pt idx="5">
                  <c:v>0.11573714463259277</c:v>
                </c:pt>
                <c:pt idx="6">
                  <c:v>2.8871802918562395E-2</c:v>
                </c:pt>
                <c:pt idx="7">
                  <c:v>-1.1989022100245328E-2</c:v>
                </c:pt>
                <c:pt idx="8">
                  <c:v>5.5383612966282136E-3</c:v>
                </c:pt>
                <c:pt idx="9">
                  <c:v>-3.0492898913951683E-2</c:v>
                </c:pt>
                <c:pt idx="10">
                  <c:v>8.3422296782064809E-2</c:v>
                </c:pt>
                <c:pt idx="11">
                  <c:v>3.5964912280701755E-2</c:v>
                </c:pt>
                <c:pt idx="12">
                  <c:v>7.5762599469495928E-2</c:v>
                </c:pt>
                <c:pt idx="13">
                  <c:v>4.9706744868035058E-2</c:v>
                </c:pt>
                <c:pt idx="14">
                  <c:v>-1.6751126126126059E-2</c:v>
                </c:pt>
                <c:pt idx="15">
                  <c:v>8.5097375105842366E-2</c:v>
                </c:pt>
                <c:pt idx="16">
                  <c:v>8.0000000000000002E-3</c:v>
                </c:pt>
                <c:pt idx="17">
                  <c:v>7.0000000000000001E-3</c:v>
                </c:pt>
                <c:pt idx="18">
                  <c:v>0.01</c:v>
                </c:pt>
              </c:numCache>
            </c:numRef>
          </c:val>
          <c:extLst>
            <c:ext xmlns:c16="http://schemas.microsoft.com/office/drawing/2014/chart" uri="{C3380CC4-5D6E-409C-BE32-E72D297353CC}">
              <c16:uniqueId val="{00000000-71CD-4716-A316-60738CF7CDF0}"/>
            </c:ext>
          </c:extLst>
        </c:ser>
        <c:ser>
          <c:idx val="1"/>
          <c:order val="1"/>
          <c:tx>
            <c:strRef>
              <c:f>Univision!$AZ$244</c:f>
              <c:strCache>
                <c:ptCount val="1"/>
                <c:pt idx="0">
                  <c:v>EBITDA</c:v>
                </c:pt>
              </c:strCache>
            </c:strRef>
          </c:tx>
          <c:spPr>
            <a:solidFill>
              <a:srgbClr val="9999FF"/>
            </a:solidFill>
            <a:ln w="25400">
              <a:noFill/>
            </a:ln>
          </c:spPr>
          <c:invertIfNegative val="0"/>
          <c:cat>
            <c:strRef>
              <c:f>Univision!$BA$241:$BS$241</c:f>
              <c:strCache>
                <c:ptCount val="19"/>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pt idx="15">
                  <c:v>Q4 16</c:v>
                </c:pt>
                <c:pt idx="16">
                  <c:v>Q1 17</c:v>
                </c:pt>
                <c:pt idx="17">
                  <c:v>Q2 17</c:v>
                </c:pt>
                <c:pt idx="18">
                  <c:v>Q3 17</c:v>
                </c:pt>
              </c:strCache>
            </c:strRef>
          </c:cat>
          <c:val>
            <c:numRef>
              <c:f>Univision!$BA$244:$BS$244</c:f>
              <c:numCache>
                <c:formatCode>0%</c:formatCode>
                <c:ptCount val="19"/>
                <c:pt idx="0">
                  <c:v>0.23806785508913197</c:v>
                </c:pt>
                <c:pt idx="1">
                  <c:v>0.16398846312319737</c:v>
                </c:pt>
                <c:pt idx="2">
                  <c:v>3.8150289017340855E-2</c:v>
                </c:pt>
                <c:pt idx="3">
                  <c:v>0.18749999999999978</c:v>
                </c:pt>
                <c:pt idx="4">
                  <c:v>0.14816535067347858</c:v>
                </c:pt>
                <c:pt idx="5">
                  <c:v>0.13557522123893806</c:v>
                </c:pt>
                <c:pt idx="6">
                  <c:v>-0.10207869339272446</c:v>
                </c:pt>
                <c:pt idx="7">
                  <c:v>-6.7911714770796383E-3</c:v>
                </c:pt>
                <c:pt idx="8">
                  <c:v>7.7265372168284996E-2</c:v>
                </c:pt>
                <c:pt idx="9">
                  <c:v>4.3017456359102368E-2</c:v>
                </c:pt>
                <c:pt idx="10">
                  <c:v>0.24142207523770165</c:v>
                </c:pt>
                <c:pt idx="11">
                  <c:v>9.5042735042734972E-2</c:v>
                </c:pt>
                <c:pt idx="12">
                  <c:v>8.7119789710852436E-2</c:v>
                </c:pt>
                <c:pt idx="13">
                  <c:v>-3.5863717872087753E-3</c:v>
                </c:pt>
                <c:pt idx="14">
                  <c:v>-5.2614052614052609E-2</c:v>
                </c:pt>
                <c:pt idx="15">
                  <c:v>8.429597252575638E-3</c:v>
                </c:pt>
                <c:pt idx="16" formatCode="0.0%">
                  <c:v>-5.1999999999999998E-2</c:v>
                </c:pt>
                <c:pt idx="17" formatCode="0.0%">
                  <c:v>-1.7999999999999999E-2</c:v>
                </c:pt>
                <c:pt idx="18" formatCode="0.0%">
                  <c:v>0.16400000000000001</c:v>
                </c:pt>
              </c:numCache>
            </c:numRef>
          </c:val>
          <c:extLst>
            <c:ext xmlns:c16="http://schemas.microsoft.com/office/drawing/2014/chart" uri="{C3380CC4-5D6E-409C-BE32-E72D297353CC}">
              <c16:uniqueId val="{00000001-71CD-4716-A316-60738CF7CDF0}"/>
            </c:ext>
          </c:extLst>
        </c:ser>
        <c:dLbls>
          <c:showLegendKey val="0"/>
          <c:showVal val="0"/>
          <c:showCatName val="0"/>
          <c:showSerName val="0"/>
          <c:showPercent val="0"/>
          <c:showBubbleSize val="0"/>
        </c:dLbls>
        <c:gapWidth val="150"/>
        <c:axId val="120724480"/>
        <c:axId val="120730368"/>
      </c:barChart>
      <c:catAx>
        <c:axId val="120724480"/>
        <c:scaling>
          <c:orientation val="minMax"/>
        </c:scaling>
        <c:delete val="0"/>
        <c:axPos val="b"/>
        <c:numFmt formatCode="General" sourceLinked="0"/>
        <c:majorTickMark val="out"/>
        <c:minorTickMark val="none"/>
        <c:tickLblPos val="low"/>
        <c:crossAx val="120730368"/>
        <c:crosses val="autoZero"/>
        <c:auto val="1"/>
        <c:lblAlgn val="ctr"/>
        <c:lblOffset val="100"/>
        <c:noMultiLvlLbl val="0"/>
      </c:catAx>
      <c:valAx>
        <c:axId val="120730368"/>
        <c:scaling>
          <c:orientation val="minMax"/>
        </c:scaling>
        <c:delete val="0"/>
        <c:axPos val="l"/>
        <c:majorGridlines>
          <c:spPr>
            <a:ln w="3175">
              <a:solidFill>
                <a:srgbClr val="C0C0C0"/>
              </a:solidFill>
              <a:prstDash val="solid"/>
            </a:ln>
          </c:spPr>
        </c:majorGridlines>
        <c:numFmt formatCode="0%" sourceLinked="1"/>
        <c:majorTickMark val="out"/>
        <c:minorTickMark val="none"/>
        <c:tickLblPos val="nextTo"/>
        <c:crossAx val="120724480"/>
        <c:crosses val="autoZero"/>
        <c:crossBetween val="between"/>
      </c:valAx>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Univision!$AZ$242</c:f>
              <c:strCache>
                <c:ptCount val="1"/>
                <c:pt idx="0">
                  <c:v>Clean revenue</c:v>
                </c:pt>
              </c:strCache>
            </c:strRef>
          </c:tx>
          <c:spPr>
            <a:ln w="25400">
              <a:solidFill>
                <a:srgbClr val="333399"/>
              </a:solidFill>
              <a:prstDash val="solid"/>
            </a:ln>
            <a:effectLst/>
          </c:spPr>
          <c:marker>
            <c:symbol val="none"/>
          </c:marker>
          <c:cat>
            <c:strRef>
              <c:f>Univision!$BA$214:$BS$214</c:f>
              <c:strCache>
                <c:ptCount val="19"/>
                <c:pt idx="0">
                  <c:v>Q1 13</c:v>
                </c:pt>
                <c:pt idx="1">
                  <c:v>Q2 13</c:v>
                </c:pt>
                <c:pt idx="2">
                  <c:v>Q3 13</c:v>
                </c:pt>
                <c:pt idx="3">
                  <c:v>Q4 13</c:v>
                </c:pt>
                <c:pt idx="4">
                  <c:v>Q1 14</c:v>
                </c:pt>
                <c:pt idx="5">
                  <c:v>Q2 14</c:v>
                </c:pt>
                <c:pt idx="6">
                  <c:v>Q3 14</c:v>
                </c:pt>
                <c:pt idx="7">
                  <c:v>Q4 14</c:v>
                </c:pt>
                <c:pt idx="8">
                  <c:v>Q1 15</c:v>
                </c:pt>
                <c:pt idx="9">
                  <c:v>Q2 15</c:v>
                </c:pt>
                <c:pt idx="10">
                  <c:v>Q3 15</c:v>
                </c:pt>
                <c:pt idx="11">
                  <c:v>Q4 15</c:v>
                </c:pt>
                <c:pt idx="12">
                  <c:v>Q1 16</c:v>
                </c:pt>
                <c:pt idx="13">
                  <c:v>Q2 16</c:v>
                </c:pt>
                <c:pt idx="14">
                  <c:v>Q3 16</c:v>
                </c:pt>
                <c:pt idx="15">
                  <c:v>Q4 16</c:v>
                </c:pt>
                <c:pt idx="16">
                  <c:v>Q1 17</c:v>
                </c:pt>
                <c:pt idx="17">
                  <c:v>Q2 17</c:v>
                </c:pt>
                <c:pt idx="18">
                  <c:v>Q3 17</c:v>
                </c:pt>
              </c:strCache>
            </c:strRef>
          </c:cat>
          <c:val>
            <c:numRef>
              <c:f>Univision!$BA$242:$BS$242</c:f>
              <c:numCache>
                <c:formatCode>0%</c:formatCode>
                <c:ptCount val="19"/>
                <c:pt idx="0">
                  <c:v>6.3115228720324268E-2</c:v>
                </c:pt>
                <c:pt idx="1">
                  <c:v>7.6421404682274208E-2</c:v>
                </c:pt>
                <c:pt idx="2">
                  <c:v>5.0090624485088275E-2</c:v>
                </c:pt>
                <c:pt idx="3">
                  <c:v>0.11248593925759254</c:v>
                </c:pt>
                <c:pt idx="4">
                  <c:v>0.114560639070443</c:v>
                </c:pt>
                <c:pt idx="5">
                  <c:v>0.11573714463259277</c:v>
                </c:pt>
                <c:pt idx="6">
                  <c:v>2.8871802918562395E-2</c:v>
                </c:pt>
                <c:pt idx="7">
                  <c:v>-1.1989022100245328E-2</c:v>
                </c:pt>
                <c:pt idx="8">
                  <c:v>5.5383612966282136E-3</c:v>
                </c:pt>
                <c:pt idx="9">
                  <c:v>-3.0492898913951683E-2</c:v>
                </c:pt>
                <c:pt idx="10">
                  <c:v>8.3422296782064809E-2</c:v>
                </c:pt>
                <c:pt idx="11">
                  <c:v>3.5964912280701755E-2</c:v>
                </c:pt>
                <c:pt idx="12">
                  <c:v>7.5762599469495928E-2</c:v>
                </c:pt>
                <c:pt idx="13">
                  <c:v>4.9706744868035058E-2</c:v>
                </c:pt>
                <c:pt idx="14">
                  <c:v>-1.6751126126126059E-2</c:v>
                </c:pt>
                <c:pt idx="15">
                  <c:v>8.5097375105842366E-2</c:v>
                </c:pt>
                <c:pt idx="16">
                  <c:v>8.0000000000000002E-3</c:v>
                </c:pt>
                <c:pt idx="17">
                  <c:v>7.0000000000000001E-3</c:v>
                </c:pt>
                <c:pt idx="18">
                  <c:v>0.01</c:v>
                </c:pt>
              </c:numCache>
            </c:numRef>
          </c:val>
          <c:smooth val="0"/>
          <c:extLst>
            <c:ext xmlns:c16="http://schemas.microsoft.com/office/drawing/2014/chart" uri="{C3380CC4-5D6E-409C-BE32-E72D297353CC}">
              <c16:uniqueId val="{00000000-90DC-4172-8578-F88BED0F3A29}"/>
            </c:ext>
          </c:extLst>
        </c:ser>
        <c:dLbls>
          <c:showLegendKey val="0"/>
          <c:showVal val="0"/>
          <c:showCatName val="0"/>
          <c:showSerName val="0"/>
          <c:showPercent val="0"/>
          <c:showBubbleSize val="0"/>
        </c:dLbls>
        <c:smooth val="0"/>
        <c:axId val="120756096"/>
        <c:axId val="120757632"/>
      </c:lineChart>
      <c:catAx>
        <c:axId val="120756096"/>
        <c:scaling>
          <c:orientation val="minMax"/>
        </c:scaling>
        <c:delete val="0"/>
        <c:axPos val="b"/>
        <c:numFmt formatCode="General" sourceLinked="0"/>
        <c:majorTickMark val="out"/>
        <c:minorTickMark val="none"/>
        <c:tickLblPos val="low"/>
        <c:crossAx val="120757632"/>
        <c:crosses val="autoZero"/>
        <c:auto val="1"/>
        <c:lblAlgn val="ctr"/>
        <c:lblOffset val="100"/>
        <c:noMultiLvlLbl val="0"/>
      </c:catAx>
      <c:valAx>
        <c:axId val="120757632"/>
        <c:scaling>
          <c:orientation val="minMax"/>
        </c:scaling>
        <c:delete val="0"/>
        <c:axPos val="l"/>
        <c:majorGridlines>
          <c:spPr>
            <a:ln w="3175">
              <a:solidFill>
                <a:srgbClr val="C0C0C0"/>
              </a:solidFill>
              <a:prstDash val="solid"/>
            </a:ln>
          </c:spPr>
        </c:majorGridlines>
        <c:numFmt formatCode="0%" sourceLinked="1"/>
        <c:majorTickMark val="out"/>
        <c:minorTickMark val="none"/>
        <c:tickLblPos val="nextTo"/>
        <c:crossAx val="120756096"/>
        <c:crosses val="autoZero"/>
        <c:crossBetween val="between"/>
      </c:valAx>
      <c:spPr>
        <a:noFill/>
        <a:ln w="25400">
          <a:noFill/>
        </a:ln>
      </c:spPr>
    </c:plotArea>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dPt>
            <c:idx val="9"/>
            <c:invertIfNegative val="0"/>
            <c:bubble3D val="0"/>
            <c:extLst>
              <c:ext xmlns:c16="http://schemas.microsoft.com/office/drawing/2014/chart" uri="{C3380CC4-5D6E-409C-BE32-E72D297353CC}">
                <c16:uniqueId val="{00000000-9F95-4B4D-8322-65B1176CE8BE}"/>
              </c:ext>
            </c:extLst>
          </c:dPt>
          <c:dPt>
            <c:idx val="10"/>
            <c:invertIfNegative val="0"/>
            <c:bubble3D val="0"/>
            <c:extLst>
              <c:ext xmlns:c16="http://schemas.microsoft.com/office/drawing/2014/chart" uri="{C3380CC4-5D6E-409C-BE32-E72D297353CC}">
                <c16:uniqueId val="{00000001-9F95-4B4D-8322-65B1176CE8BE}"/>
              </c:ext>
            </c:extLst>
          </c:dPt>
          <c:dPt>
            <c:idx val="11"/>
            <c:invertIfNegative val="0"/>
            <c:bubble3D val="0"/>
            <c:extLst>
              <c:ext xmlns:c16="http://schemas.microsoft.com/office/drawing/2014/chart" uri="{C3380CC4-5D6E-409C-BE32-E72D297353CC}">
                <c16:uniqueId val="{00000002-9F95-4B4D-8322-65B1176CE8BE}"/>
              </c:ext>
            </c:extLst>
          </c:dPt>
          <c:cat>
            <c:strRef>
              <c:f>Univision!$BQ$214:$CB$214</c:f>
              <c:strCache>
                <c:ptCount val="12"/>
                <c:pt idx="0">
                  <c:v>Q1 17</c:v>
                </c:pt>
                <c:pt idx="1">
                  <c:v>Q2 17</c:v>
                </c:pt>
                <c:pt idx="2">
                  <c:v>Q3 17</c:v>
                </c:pt>
                <c:pt idx="3">
                  <c:v>Q4 17</c:v>
                </c:pt>
                <c:pt idx="4">
                  <c:v>Q1 18</c:v>
                </c:pt>
                <c:pt idx="5">
                  <c:v>Q2 18</c:v>
                </c:pt>
                <c:pt idx="6">
                  <c:v>Q3 18</c:v>
                </c:pt>
                <c:pt idx="7">
                  <c:v>Q4 18</c:v>
                </c:pt>
                <c:pt idx="8">
                  <c:v>Q1 19</c:v>
                </c:pt>
                <c:pt idx="9">
                  <c:v>Q2 19</c:v>
                </c:pt>
                <c:pt idx="10">
                  <c:v>Q3 19</c:v>
                </c:pt>
                <c:pt idx="11">
                  <c:v>Q4 19e</c:v>
                </c:pt>
              </c:strCache>
            </c:strRef>
          </c:cat>
          <c:val>
            <c:numRef>
              <c:f>Univision!$BQ$218:$CB$218</c:f>
              <c:numCache>
                <c:formatCode>0.0%</c:formatCode>
                <c:ptCount val="12"/>
                <c:pt idx="0">
                  <c:v>8.0000000000000002E-3</c:v>
                </c:pt>
                <c:pt idx="1">
                  <c:v>7.0000000000000001E-3</c:v>
                </c:pt>
                <c:pt idx="2">
                  <c:v>0.01</c:v>
                </c:pt>
                <c:pt idx="3">
                  <c:v>-2.9000000000000001E-2</c:v>
                </c:pt>
                <c:pt idx="4">
                  <c:v>-1.2E-2</c:v>
                </c:pt>
                <c:pt idx="5">
                  <c:v>-3.0789648307896544E-2</c:v>
                </c:pt>
                <c:pt idx="6">
                  <c:v>-8.1788594877600151E-2</c:v>
                </c:pt>
                <c:pt idx="7">
                  <c:v>-8.6625086625086611E-2</c:v>
                </c:pt>
                <c:pt idx="8">
                  <c:v>-7.9981787828198425E-2</c:v>
                </c:pt>
                <c:pt idx="9">
                  <c:v>-3.9161988224017397E-2</c:v>
                </c:pt>
                <c:pt idx="10">
                  <c:v>2.5999999999999999E-2</c:v>
                </c:pt>
                <c:pt idx="11">
                  <c:v>-4.9092229484386518E-2</c:v>
                </c:pt>
              </c:numCache>
            </c:numRef>
          </c:val>
          <c:extLst>
            <c:ext xmlns:c16="http://schemas.microsoft.com/office/drawing/2014/chart" uri="{C3380CC4-5D6E-409C-BE32-E72D297353CC}">
              <c16:uniqueId val="{00000000-115D-47C6-98A7-218134702544}"/>
            </c:ext>
          </c:extLst>
        </c:ser>
        <c:dLbls>
          <c:showLegendKey val="0"/>
          <c:showVal val="0"/>
          <c:showCatName val="0"/>
          <c:showSerName val="0"/>
          <c:showPercent val="0"/>
          <c:showBubbleSize val="0"/>
        </c:dLbls>
        <c:gapWidth val="219"/>
        <c:overlap val="-27"/>
        <c:axId val="120786304"/>
        <c:axId val="120804480"/>
      </c:barChart>
      <c:catAx>
        <c:axId val="120786304"/>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0804480"/>
        <c:crosses val="autoZero"/>
        <c:auto val="1"/>
        <c:lblAlgn val="ctr"/>
        <c:lblOffset val="100"/>
        <c:noMultiLvlLbl val="0"/>
      </c:catAx>
      <c:valAx>
        <c:axId val="120804480"/>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y/y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0786304"/>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cat>
            <c:strRef>
              <c:f>Univision!$BK$214:$BQ$214</c:f>
              <c:strCache>
                <c:ptCount val="7"/>
                <c:pt idx="0">
                  <c:v>Q3 15</c:v>
                </c:pt>
                <c:pt idx="1">
                  <c:v>Q4 15</c:v>
                </c:pt>
                <c:pt idx="2">
                  <c:v>Q1 16</c:v>
                </c:pt>
                <c:pt idx="3">
                  <c:v>Q2 16</c:v>
                </c:pt>
                <c:pt idx="4">
                  <c:v>Q3 16</c:v>
                </c:pt>
                <c:pt idx="5">
                  <c:v>Q4 16</c:v>
                </c:pt>
                <c:pt idx="6">
                  <c:v>Q1 17</c:v>
                </c:pt>
              </c:strCache>
            </c:strRef>
          </c:cat>
          <c:val>
            <c:numRef>
              <c:f>Univision!$BK$237:$BQ$237</c:f>
              <c:numCache>
                <c:formatCode>0.0%</c:formatCode>
                <c:ptCount val="7"/>
                <c:pt idx="0">
                  <c:v>0.14000000000000001</c:v>
                </c:pt>
                <c:pt idx="1">
                  <c:v>8.6999999999999994E-2</c:v>
                </c:pt>
                <c:pt idx="2" formatCode="0%">
                  <c:v>0.16498993963782693</c:v>
                </c:pt>
                <c:pt idx="3" formatCode="0%">
                  <c:v>6.3137755102040671E-2</c:v>
                </c:pt>
                <c:pt idx="4" formatCode="0%">
                  <c:v>-0.13787878787878793</c:v>
                </c:pt>
                <c:pt idx="5" formatCode="0%">
                  <c:v>3.1948881789137351E-2</c:v>
                </c:pt>
                <c:pt idx="6" formatCode="0%">
                  <c:v>-6.0042887776983633E-2</c:v>
                </c:pt>
              </c:numCache>
            </c:numRef>
          </c:val>
          <c:extLst>
            <c:ext xmlns:c16="http://schemas.microsoft.com/office/drawing/2014/chart" uri="{C3380CC4-5D6E-409C-BE32-E72D297353CC}">
              <c16:uniqueId val="{00000000-D139-47B4-8FB7-2FEA8CE94987}"/>
            </c:ext>
          </c:extLst>
        </c:ser>
        <c:dLbls>
          <c:showLegendKey val="0"/>
          <c:showVal val="0"/>
          <c:showCatName val="0"/>
          <c:showSerName val="0"/>
          <c:showPercent val="0"/>
          <c:showBubbleSize val="0"/>
        </c:dLbls>
        <c:gapWidth val="219"/>
        <c:overlap val="-27"/>
        <c:axId val="120824576"/>
        <c:axId val="120826112"/>
      </c:barChart>
      <c:catAx>
        <c:axId val="12082457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0826112"/>
        <c:crosses val="autoZero"/>
        <c:auto val="1"/>
        <c:lblAlgn val="ctr"/>
        <c:lblOffset val="100"/>
        <c:noMultiLvlLbl val="0"/>
      </c:catAx>
      <c:valAx>
        <c:axId val="120826112"/>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0824576"/>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Adjusted core EBITDA</c:v>
          </c:tx>
          <c:spPr>
            <a:solidFill>
              <a:srgbClr val="000080"/>
            </a:solidFill>
            <a:ln w="25400">
              <a:noFill/>
            </a:ln>
            <a:effectLst/>
          </c:spPr>
          <c:invertIfNegative val="0"/>
          <c:dPt>
            <c:idx val="9"/>
            <c:invertIfNegative val="0"/>
            <c:bubble3D val="0"/>
            <c:extLst>
              <c:ext xmlns:c16="http://schemas.microsoft.com/office/drawing/2014/chart" uri="{C3380CC4-5D6E-409C-BE32-E72D297353CC}">
                <c16:uniqueId val="{00000008-B4A3-43D6-AD0C-4D91852C4946}"/>
              </c:ext>
            </c:extLst>
          </c:dPt>
          <c:dPt>
            <c:idx val="10"/>
            <c:invertIfNegative val="0"/>
            <c:bubble3D val="0"/>
            <c:extLst>
              <c:ext xmlns:c16="http://schemas.microsoft.com/office/drawing/2014/chart" uri="{C3380CC4-5D6E-409C-BE32-E72D297353CC}">
                <c16:uniqueId val="{00000007-B4A3-43D6-AD0C-4D91852C4946}"/>
              </c:ext>
            </c:extLst>
          </c:dPt>
          <c:dPt>
            <c:idx val="11"/>
            <c:invertIfNegative val="0"/>
            <c:bubble3D val="0"/>
            <c:extLst>
              <c:ext xmlns:c16="http://schemas.microsoft.com/office/drawing/2014/chart" uri="{C3380CC4-5D6E-409C-BE32-E72D297353CC}">
                <c16:uniqueId val="{00000006-B4A3-43D6-AD0C-4D91852C4946}"/>
              </c:ext>
            </c:extLst>
          </c:dPt>
          <c:cat>
            <c:strRef>
              <c:f>Univision!$BQ$214:$CB$214</c:f>
              <c:strCache>
                <c:ptCount val="12"/>
                <c:pt idx="0">
                  <c:v>Q1 17</c:v>
                </c:pt>
                <c:pt idx="1">
                  <c:v>Q2 17</c:v>
                </c:pt>
                <c:pt idx="2">
                  <c:v>Q3 17</c:v>
                </c:pt>
                <c:pt idx="3">
                  <c:v>Q4 17</c:v>
                </c:pt>
                <c:pt idx="4">
                  <c:v>Q1 18</c:v>
                </c:pt>
                <c:pt idx="5">
                  <c:v>Q2 18</c:v>
                </c:pt>
                <c:pt idx="6">
                  <c:v>Q3 18</c:v>
                </c:pt>
                <c:pt idx="7">
                  <c:v>Q4 18</c:v>
                </c:pt>
                <c:pt idx="8">
                  <c:v>Q1 19</c:v>
                </c:pt>
                <c:pt idx="9">
                  <c:v>Q2 19</c:v>
                </c:pt>
                <c:pt idx="10">
                  <c:v>Q3 19</c:v>
                </c:pt>
                <c:pt idx="11">
                  <c:v>Q4 19e</c:v>
                </c:pt>
              </c:strCache>
            </c:strRef>
          </c:cat>
          <c:val>
            <c:numRef>
              <c:f>Univision!$BQ$244:$CB$244</c:f>
              <c:numCache>
                <c:formatCode>0.0%</c:formatCode>
                <c:ptCount val="12"/>
                <c:pt idx="0">
                  <c:v>-5.1999999999999998E-2</c:v>
                </c:pt>
                <c:pt idx="1">
                  <c:v>-1.7999999999999999E-2</c:v>
                </c:pt>
                <c:pt idx="2">
                  <c:v>0.16400000000000001</c:v>
                </c:pt>
                <c:pt idx="3">
                  <c:v>-2E-3</c:v>
                </c:pt>
                <c:pt idx="4">
                  <c:v>-1E-3</c:v>
                </c:pt>
                <c:pt idx="5">
                  <c:v>-6.9084628670120773E-3</c:v>
                </c:pt>
                <c:pt idx="6" formatCode="0%">
                  <c:v>-0.17013422818791946</c:v>
                </c:pt>
                <c:pt idx="7" formatCode="0%">
                  <c:v>-0.28192602930914168</c:v>
                </c:pt>
                <c:pt idx="8" formatCode="0%">
                  <c:v>-0.19404186795491152</c:v>
                </c:pt>
                <c:pt idx="9" formatCode="0%">
                  <c:v>4.1391304347826008E-2</c:v>
                </c:pt>
                <c:pt idx="10" formatCode="0%">
                  <c:v>1.8196522442377683E-2</c:v>
                </c:pt>
                <c:pt idx="11" formatCode="0%">
                  <c:v>-9.3019650655022268E-2</c:v>
                </c:pt>
              </c:numCache>
            </c:numRef>
          </c:val>
          <c:extLst>
            <c:ext xmlns:c16="http://schemas.microsoft.com/office/drawing/2014/chart" uri="{C3380CC4-5D6E-409C-BE32-E72D297353CC}">
              <c16:uniqueId val="{00000000-B4A3-43D6-AD0C-4D91852C4946}"/>
            </c:ext>
          </c:extLst>
        </c:ser>
        <c:ser>
          <c:idx val="1"/>
          <c:order val="1"/>
          <c:tx>
            <c:v>Bank credit EBITDA</c:v>
          </c:tx>
          <c:spPr>
            <a:solidFill>
              <a:srgbClr val="9999FF"/>
            </a:solidFill>
            <a:ln w="25400">
              <a:noFill/>
            </a:ln>
            <a:effectLst/>
          </c:spPr>
          <c:invertIfNegative val="0"/>
          <c:dPt>
            <c:idx val="9"/>
            <c:invertIfNegative val="0"/>
            <c:bubble3D val="0"/>
            <c:extLst>
              <c:ext xmlns:c16="http://schemas.microsoft.com/office/drawing/2014/chart" uri="{C3380CC4-5D6E-409C-BE32-E72D297353CC}">
                <c16:uniqueId val="{00000004-B4A3-43D6-AD0C-4D91852C4946}"/>
              </c:ext>
            </c:extLst>
          </c:dPt>
          <c:dPt>
            <c:idx val="10"/>
            <c:invertIfNegative val="0"/>
            <c:bubble3D val="0"/>
            <c:extLst>
              <c:ext xmlns:c16="http://schemas.microsoft.com/office/drawing/2014/chart" uri="{C3380CC4-5D6E-409C-BE32-E72D297353CC}">
                <c16:uniqueId val="{00000003-B4A3-43D6-AD0C-4D91852C4946}"/>
              </c:ext>
            </c:extLst>
          </c:dPt>
          <c:dPt>
            <c:idx val="11"/>
            <c:invertIfNegative val="0"/>
            <c:bubble3D val="0"/>
            <c:extLst>
              <c:ext xmlns:c16="http://schemas.microsoft.com/office/drawing/2014/chart" uri="{C3380CC4-5D6E-409C-BE32-E72D297353CC}">
                <c16:uniqueId val="{00000002-B4A3-43D6-AD0C-4D91852C4946}"/>
              </c:ext>
            </c:extLst>
          </c:dPt>
          <c:cat>
            <c:strRef>
              <c:f>Univision!$BQ$214:$CB$214</c:f>
              <c:strCache>
                <c:ptCount val="12"/>
                <c:pt idx="0">
                  <c:v>Q1 17</c:v>
                </c:pt>
                <c:pt idx="1">
                  <c:v>Q2 17</c:v>
                </c:pt>
                <c:pt idx="2">
                  <c:v>Q3 17</c:v>
                </c:pt>
                <c:pt idx="3">
                  <c:v>Q4 17</c:v>
                </c:pt>
                <c:pt idx="4">
                  <c:v>Q1 18</c:v>
                </c:pt>
                <c:pt idx="5">
                  <c:v>Q2 18</c:v>
                </c:pt>
                <c:pt idx="6">
                  <c:v>Q3 18</c:v>
                </c:pt>
                <c:pt idx="7">
                  <c:v>Q4 18</c:v>
                </c:pt>
                <c:pt idx="8">
                  <c:v>Q1 19</c:v>
                </c:pt>
                <c:pt idx="9">
                  <c:v>Q2 19</c:v>
                </c:pt>
                <c:pt idx="10">
                  <c:v>Q3 19</c:v>
                </c:pt>
                <c:pt idx="11">
                  <c:v>Q4 19e</c:v>
                </c:pt>
              </c:strCache>
            </c:strRef>
          </c:cat>
          <c:val>
            <c:numRef>
              <c:f>Univision!$BQ$245:$CB$245</c:f>
              <c:numCache>
                <c:formatCode>0.0%</c:formatCode>
                <c:ptCount val="12"/>
                <c:pt idx="0">
                  <c:v>-4.9000000000000002E-2</c:v>
                </c:pt>
                <c:pt idx="1">
                  <c:v>2.3E-2</c:v>
                </c:pt>
                <c:pt idx="2">
                  <c:v>0.10199999999999999</c:v>
                </c:pt>
                <c:pt idx="3">
                  <c:v>-0.11600000000000001</c:v>
                </c:pt>
                <c:pt idx="4">
                  <c:v>-0.107</c:v>
                </c:pt>
                <c:pt idx="5">
                  <c:v>-7.2425051944197016E-2</c:v>
                </c:pt>
                <c:pt idx="6" formatCode="0%">
                  <c:v>-0.24289332958063614</c:v>
                </c:pt>
                <c:pt idx="7" formatCode="0%">
                  <c:v>-0.28835227272727271</c:v>
                </c:pt>
                <c:pt idx="8" formatCode="0%">
                  <c:v>-0.1890126776796005</c:v>
                </c:pt>
                <c:pt idx="9" formatCode="0%">
                  <c:v>4.1391304347826008E-2</c:v>
                </c:pt>
                <c:pt idx="10" formatCode="0%">
                  <c:v>1.8196522442377683E-2</c:v>
                </c:pt>
                <c:pt idx="11" formatCode="0%">
                  <c:v>-9.3019650655022268E-2</c:v>
                </c:pt>
              </c:numCache>
            </c:numRef>
          </c:val>
          <c:extLst>
            <c:ext xmlns:c16="http://schemas.microsoft.com/office/drawing/2014/chart" uri="{C3380CC4-5D6E-409C-BE32-E72D297353CC}">
              <c16:uniqueId val="{00000001-B4A3-43D6-AD0C-4D91852C4946}"/>
            </c:ext>
          </c:extLst>
        </c:ser>
        <c:dLbls>
          <c:showLegendKey val="0"/>
          <c:showVal val="0"/>
          <c:showCatName val="0"/>
          <c:showSerName val="0"/>
          <c:showPercent val="0"/>
          <c:showBubbleSize val="0"/>
        </c:dLbls>
        <c:gapWidth val="219"/>
        <c:overlap val="-27"/>
        <c:axId val="120786304"/>
        <c:axId val="120804480"/>
      </c:barChart>
      <c:catAx>
        <c:axId val="120786304"/>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0804480"/>
        <c:crosses val="autoZero"/>
        <c:auto val="1"/>
        <c:lblAlgn val="ctr"/>
        <c:lblOffset val="100"/>
        <c:noMultiLvlLbl val="0"/>
      </c:catAx>
      <c:valAx>
        <c:axId val="120804480"/>
        <c:scaling>
          <c:orientation val="minMax"/>
          <c:min val="-0.30000000000000004"/>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y/y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078630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'Earnings Snaps'!$A$90</c:f>
              <c:strCache>
                <c:ptCount val="1"/>
                <c:pt idx="0">
                  <c:v>Video</c:v>
                </c:pt>
              </c:strCache>
            </c:strRef>
          </c:tx>
          <c:spPr>
            <a:solidFill>
              <a:srgbClr val="263238"/>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Snaps'!$AD$89:$AO$89</c:f>
              <c:strCache>
                <c:ptCount val="12"/>
                <c:pt idx="0">
                  <c:v>Q1 20</c:v>
                </c:pt>
                <c:pt idx="1">
                  <c:v>Q2 20</c:v>
                </c:pt>
                <c:pt idx="2">
                  <c:v>Q3 20</c:v>
                </c:pt>
                <c:pt idx="3">
                  <c:v>Q4 20</c:v>
                </c:pt>
                <c:pt idx="4">
                  <c:v>Q1 21</c:v>
                </c:pt>
                <c:pt idx="5">
                  <c:v>Q2 21</c:v>
                </c:pt>
                <c:pt idx="6">
                  <c:v>Q3 21</c:v>
                </c:pt>
                <c:pt idx="7">
                  <c:v>Q4 21</c:v>
                </c:pt>
                <c:pt idx="8">
                  <c:v>Q1 22</c:v>
                </c:pt>
                <c:pt idx="9">
                  <c:v>Q2 22</c:v>
                </c:pt>
                <c:pt idx="10">
                  <c:v>Q3 22</c:v>
                </c:pt>
                <c:pt idx="11">
                  <c:v>Q4 22</c:v>
                </c:pt>
              </c:strCache>
            </c:strRef>
          </c:cat>
          <c:val>
            <c:numRef>
              <c:f>'Earnings Snaps'!$AD$97:$AO$97</c:f>
              <c:numCache>
                <c:formatCode>0</c:formatCode>
                <c:ptCount val="12"/>
                <c:pt idx="0">
                  <c:v>8.705000000000382</c:v>
                </c:pt>
                <c:pt idx="1">
                  <c:v>27.896999999999935</c:v>
                </c:pt>
                <c:pt idx="2">
                  <c:v>100.07200000000012</c:v>
                </c:pt>
                <c:pt idx="3">
                  <c:v>51.174999999999727</c:v>
                </c:pt>
                <c:pt idx="4">
                  <c:v>23.619999999999891</c:v>
                </c:pt>
                <c:pt idx="5">
                  <c:v>21.733000000000175</c:v>
                </c:pt>
                <c:pt idx="6">
                  <c:v>58</c:v>
                </c:pt>
                <c:pt idx="7">
                  <c:v>23.626000000000204</c:v>
                </c:pt>
                <c:pt idx="8">
                  <c:v>2.1779999999998836</c:v>
                </c:pt>
                <c:pt idx="9">
                  <c:v>1.4800000000000182</c:v>
                </c:pt>
                <c:pt idx="10">
                  <c:v>48.710000000000036</c:v>
                </c:pt>
                <c:pt idx="11">
                  <c:v>83.42699999999968</c:v>
                </c:pt>
              </c:numCache>
            </c:numRef>
          </c:val>
          <c:extLst>
            <c:ext xmlns:c16="http://schemas.microsoft.com/office/drawing/2014/chart" uri="{C3380CC4-5D6E-409C-BE32-E72D297353CC}">
              <c16:uniqueId val="{00000000-7D39-4D8A-81CB-66C0727FFDAE}"/>
            </c:ext>
          </c:extLst>
        </c:ser>
        <c:ser>
          <c:idx val="1"/>
          <c:order val="1"/>
          <c:tx>
            <c:strRef>
              <c:f>'Earnings Snaps'!$A$91</c:f>
              <c:strCache>
                <c:ptCount val="1"/>
                <c:pt idx="0">
                  <c:v>Internet</c:v>
                </c:pt>
              </c:strCache>
            </c:strRef>
          </c:tx>
          <c:spPr>
            <a:solidFill>
              <a:srgbClr val="F9663E"/>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Snaps'!$AD$89:$AO$89</c:f>
              <c:strCache>
                <c:ptCount val="12"/>
                <c:pt idx="0">
                  <c:v>Q1 20</c:v>
                </c:pt>
                <c:pt idx="1">
                  <c:v>Q2 20</c:v>
                </c:pt>
                <c:pt idx="2">
                  <c:v>Q3 20</c:v>
                </c:pt>
                <c:pt idx="3">
                  <c:v>Q4 20</c:v>
                </c:pt>
                <c:pt idx="4">
                  <c:v>Q1 21</c:v>
                </c:pt>
                <c:pt idx="5">
                  <c:v>Q2 21</c:v>
                </c:pt>
                <c:pt idx="6">
                  <c:v>Q3 21</c:v>
                </c:pt>
                <c:pt idx="7">
                  <c:v>Q4 21</c:v>
                </c:pt>
                <c:pt idx="8">
                  <c:v>Q1 22</c:v>
                </c:pt>
                <c:pt idx="9">
                  <c:v>Q2 22</c:v>
                </c:pt>
                <c:pt idx="10">
                  <c:v>Q3 22</c:v>
                </c:pt>
                <c:pt idx="11">
                  <c:v>Q4 22</c:v>
                </c:pt>
              </c:strCache>
            </c:strRef>
          </c:cat>
          <c:val>
            <c:numRef>
              <c:f>'Earnings Snaps'!$AD$98:$AO$98</c:f>
              <c:numCache>
                <c:formatCode>0</c:formatCode>
                <c:ptCount val="12"/>
                <c:pt idx="0">
                  <c:v>48.752999999999702</c:v>
                </c:pt>
                <c:pt idx="1">
                  <c:v>83.019000000000233</c:v>
                </c:pt>
                <c:pt idx="2">
                  <c:v>184.5949999999998</c:v>
                </c:pt>
                <c:pt idx="3">
                  <c:v>96.329000000000178</c:v>
                </c:pt>
                <c:pt idx="4">
                  <c:v>79.415999999999713</c:v>
                </c:pt>
                <c:pt idx="5">
                  <c:v>58.160000000000309</c:v>
                </c:pt>
                <c:pt idx="6">
                  <c:v>105</c:v>
                </c:pt>
                <c:pt idx="7">
                  <c:v>80.981000000000222</c:v>
                </c:pt>
                <c:pt idx="8">
                  <c:v>59.403999999999996</c:v>
                </c:pt>
                <c:pt idx="9">
                  <c:v>19.177999999999884</c:v>
                </c:pt>
                <c:pt idx="10">
                  <c:v>100.65700000000015</c:v>
                </c:pt>
                <c:pt idx="11">
                  <c:v>124.72799999999961</c:v>
                </c:pt>
              </c:numCache>
            </c:numRef>
          </c:val>
          <c:extLst>
            <c:ext xmlns:c16="http://schemas.microsoft.com/office/drawing/2014/chart" uri="{C3380CC4-5D6E-409C-BE32-E72D297353CC}">
              <c16:uniqueId val="{00000001-7D39-4D8A-81CB-66C0727FFDAE}"/>
            </c:ext>
          </c:extLst>
        </c:ser>
        <c:ser>
          <c:idx val="2"/>
          <c:order val="2"/>
          <c:tx>
            <c:strRef>
              <c:f>'Earnings Snaps'!$A$92</c:f>
              <c:strCache>
                <c:ptCount val="1"/>
                <c:pt idx="0">
                  <c:v>Voice</c:v>
                </c:pt>
              </c:strCache>
            </c:strRef>
          </c:tx>
          <c:spPr>
            <a:solidFill>
              <a:srgbClr val="C7FE02"/>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Snaps'!$AD$89:$AO$89</c:f>
              <c:strCache>
                <c:ptCount val="12"/>
                <c:pt idx="0">
                  <c:v>Q1 20</c:v>
                </c:pt>
                <c:pt idx="1">
                  <c:v>Q2 20</c:v>
                </c:pt>
                <c:pt idx="2">
                  <c:v>Q3 20</c:v>
                </c:pt>
                <c:pt idx="3">
                  <c:v>Q4 20</c:v>
                </c:pt>
                <c:pt idx="4">
                  <c:v>Q1 21</c:v>
                </c:pt>
                <c:pt idx="5">
                  <c:v>Q2 21</c:v>
                </c:pt>
                <c:pt idx="6">
                  <c:v>Q3 21</c:v>
                </c:pt>
                <c:pt idx="7">
                  <c:v>Q4 21</c:v>
                </c:pt>
                <c:pt idx="8">
                  <c:v>Q1 22</c:v>
                </c:pt>
                <c:pt idx="9">
                  <c:v>Q2 22</c:v>
                </c:pt>
                <c:pt idx="10">
                  <c:v>Q3 22</c:v>
                </c:pt>
                <c:pt idx="11">
                  <c:v>Q4 22</c:v>
                </c:pt>
              </c:strCache>
            </c:strRef>
          </c:cat>
          <c:val>
            <c:numRef>
              <c:f>'Earnings Snaps'!$AD$99:$AO$99</c:f>
              <c:numCache>
                <c:formatCode>0</c:formatCode>
                <c:ptCount val="12"/>
                <c:pt idx="0">
                  <c:v>55.963000000000193</c:v>
                </c:pt>
                <c:pt idx="1">
                  <c:v>81.598999999999705</c:v>
                </c:pt>
                <c:pt idx="2">
                  <c:v>243.48100000000022</c:v>
                </c:pt>
                <c:pt idx="3">
                  <c:v>115.21699999999964</c:v>
                </c:pt>
                <c:pt idx="4">
                  <c:v>100.67900000000009</c:v>
                </c:pt>
                <c:pt idx="5">
                  <c:v>78.423000000000229</c:v>
                </c:pt>
                <c:pt idx="6">
                  <c:v>129</c:v>
                </c:pt>
                <c:pt idx="7">
                  <c:v>96.579000000000178</c:v>
                </c:pt>
                <c:pt idx="8">
                  <c:v>58.096999999999753</c:v>
                </c:pt>
                <c:pt idx="9">
                  <c:v>45.121000000000095</c:v>
                </c:pt>
                <c:pt idx="10">
                  <c:v>128.92599999999993</c:v>
                </c:pt>
                <c:pt idx="11">
                  <c:v>140.86200000000008</c:v>
                </c:pt>
              </c:numCache>
            </c:numRef>
          </c:val>
          <c:extLst>
            <c:ext xmlns:c16="http://schemas.microsoft.com/office/drawing/2014/chart" uri="{C3380CC4-5D6E-409C-BE32-E72D297353CC}">
              <c16:uniqueId val="{00000002-7D39-4D8A-81CB-66C0727FFDAE}"/>
            </c:ext>
          </c:extLst>
        </c:ser>
        <c:dLbls>
          <c:showLegendKey val="0"/>
          <c:showVal val="0"/>
          <c:showCatName val="0"/>
          <c:showSerName val="0"/>
          <c:showPercent val="0"/>
          <c:showBubbleSize val="0"/>
        </c:dLbls>
        <c:gapWidth val="30"/>
        <c:overlap val="100"/>
        <c:axId val="1007561176"/>
        <c:axId val="1007561832"/>
      </c:barChart>
      <c:catAx>
        <c:axId val="1007561176"/>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007561832"/>
        <c:crosses val="autoZero"/>
        <c:auto val="1"/>
        <c:lblAlgn val="ctr"/>
        <c:lblOffset val="100"/>
        <c:noMultiLvlLbl val="0"/>
      </c:catAx>
      <c:valAx>
        <c:axId val="1007561832"/>
        <c:scaling>
          <c:orientation val="minMax"/>
        </c:scaling>
        <c:delete val="1"/>
        <c:axPos val="l"/>
        <c:numFmt formatCode="0" sourceLinked="1"/>
        <c:majorTickMark val="out"/>
        <c:minorTickMark val="none"/>
        <c:tickLblPos val="nextTo"/>
        <c:crossAx val="100756117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101645927043813"/>
          <c:y val="5.0925944490355965E-2"/>
          <c:w val="0.70246129151812975"/>
          <c:h val="0.782499920713007"/>
        </c:manualLayout>
      </c:layout>
      <c:barChart>
        <c:barDir val="col"/>
        <c:grouping val="clustered"/>
        <c:varyColors val="0"/>
        <c:ser>
          <c:idx val="0"/>
          <c:order val="0"/>
          <c:spPr>
            <a:solidFill>
              <a:srgbClr val="000080"/>
            </a:solidFill>
            <a:ln w="25400">
              <a:noFill/>
            </a:ln>
            <a:effectLst/>
          </c:spPr>
          <c:invertIfNegative val="0"/>
          <c:cat>
            <c:strRef>
              <c:f>Univision!$I$214:$AM$214</c:f>
              <c:strCache>
                <c:ptCount val="31"/>
                <c:pt idx="0">
                  <c:v>Q3 11</c:v>
                </c:pt>
                <c:pt idx="1">
                  <c:v>Q4 11</c:v>
                </c:pt>
                <c:pt idx="2">
                  <c:v>Q1 12</c:v>
                </c:pt>
                <c:pt idx="3">
                  <c:v>Q2 12</c:v>
                </c:pt>
                <c:pt idx="4">
                  <c:v>Q3 12</c:v>
                </c:pt>
                <c:pt idx="5">
                  <c:v>Q4 12</c:v>
                </c:pt>
                <c:pt idx="6">
                  <c:v>Q1 13</c:v>
                </c:pt>
                <c:pt idx="7">
                  <c:v>Q2 13</c:v>
                </c:pt>
                <c:pt idx="8">
                  <c:v>Q3 13</c:v>
                </c:pt>
                <c:pt idx="9">
                  <c:v>Q4 13</c:v>
                </c:pt>
                <c:pt idx="10">
                  <c:v>Q1 14</c:v>
                </c:pt>
                <c:pt idx="11">
                  <c:v>Q2 14</c:v>
                </c:pt>
                <c:pt idx="12">
                  <c:v>Q3 14</c:v>
                </c:pt>
                <c:pt idx="13">
                  <c:v>Q4 14</c:v>
                </c:pt>
                <c:pt idx="14">
                  <c:v>Q1 15</c:v>
                </c:pt>
                <c:pt idx="15">
                  <c:v>Q2 15</c:v>
                </c:pt>
                <c:pt idx="16">
                  <c:v>Q3 15</c:v>
                </c:pt>
                <c:pt idx="17">
                  <c:v>Q4 15</c:v>
                </c:pt>
                <c:pt idx="18">
                  <c:v>Q1 16</c:v>
                </c:pt>
                <c:pt idx="19">
                  <c:v>Q2 16</c:v>
                </c:pt>
                <c:pt idx="20">
                  <c:v>Q3 16</c:v>
                </c:pt>
                <c:pt idx="21">
                  <c:v>Q4 16</c:v>
                </c:pt>
                <c:pt idx="22">
                  <c:v>Q1 17</c:v>
                </c:pt>
                <c:pt idx="23">
                  <c:v>Q2 17</c:v>
                </c:pt>
                <c:pt idx="24">
                  <c:v>Q3 17</c:v>
                </c:pt>
                <c:pt idx="25">
                  <c:v>Q4 17</c:v>
                </c:pt>
                <c:pt idx="26">
                  <c:v>Q1 18</c:v>
                </c:pt>
                <c:pt idx="27">
                  <c:v>Q2 18</c:v>
                </c:pt>
                <c:pt idx="28">
                  <c:v>Q3 18</c:v>
                </c:pt>
                <c:pt idx="29">
                  <c:v>Q4 18</c:v>
                </c:pt>
                <c:pt idx="30">
                  <c:v>Q1 19</c:v>
                </c:pt>
              </c:strCache>
            </c:strRef>
          </c:cat>
          <c:val>
            <c:numRef>
              <c:f>Univision!$I$257:$AM$257</c:f>
              <c:numCache>
                <c:formatCode>General</c:formatCode>
                <c:ptCount val="31"/>
                <c:pt idx="0">
                  <c:v>9179.2999999999993</c:v>
                </c:pt>
                <c:pt idx="1">
                  <c:v>9193.1999999999989</c:v>
                </c:pt>
                <c:pt idx="2">
                  <c:v>9130.8000000000011</c:v>
                </c:pt>
                <c:pt idx="3">
                  <c:v>9161.2000000000007</c:v>
                </c:pt>
                <c:pt idx="4">
                  <c:v>9114.5000000000018</c:v>
                </c:pt>
                <c:pt idx="5">
                  <c:v>9160.4000000000015</c:v>
                </c:pt>
                <c:pt idx="6">
                  <c:v>9340.6</c:v>
                </c:pt>
                <c:pt idx="7">
                  <c:v>9475.9000000000015</c:v>
                </c:pt>
                <c:pt idx="8">
                  <c:v>9489.2999999999993</c:v>
                </c:pt>
                <c:pt idx="9">
                  <c:v>9509.2000000000007</c:v>
                </c:pt>
                <c:pt idx="10">
                  <c:v>9347.7000000000007</c:v>
                </c:pt>
                <c:pt idx="11">
                  <c:v>9348.7000000000007</c:v>
                </c:pt>
                <c:pt idx="12">
                  <c:v>9137.6</c:v>
                </c:pt>
                <c:pt idx="13">
                  <c:v>9265.1999999999989</c:v>
                </c:pt>
                <c:pt idx="14">
                  <c:v>9143.4</c:v>
                </c:pt>
                <c:pt idx="15">
                  <c:v>9463.7999999999993</c:v>
                </c:pt>
                <c:pt idx="16">
                  <c:v>9276.7999999999993</c:v>
                </c:pt>
                <c:pt idx="17">
                  <c:v>9311.9000000000015</c:v>
                </c:pt>
                <c:pt idx="18">
                  <c:v>9094.2999999999993</c:v>
                </c:pt>
                <c:pt idx="19">
                  <c:v>9019.7999999999993</c:v>
                </c:pt>
                <c:pt idx="20">
                  <c:v>9040.2999999999993</c:v>
                </c:pt>
                <c:pt idx="21">
                  <c:v>8854</c:v>
                </c:pt>
                <c:pt idx="22">
                  <c:v>8807.9</c:v>
                </c:pt>
                <c:pt idx="23">
                  <c:v>8639.7000000000007</c:v>
                </c:pt>
                <c:pt idx="24">
                  <c:v>8132.9</c:v>
                </c:pt>
                <c:pt idx="25">
                  <c:v>7977.2999999999993</c:v>
                </c:pt>
                <c:pt idx="26">
                  <c:v>7901.0999999999995</c:v>
                </c:pt>
                <c:pt idx="27">
                  <c:v>7721.2</c:v>
                </c:pt>
                <c:pt idx="28">
                  <c:v>7640.8</c:v>
                </c:pt>
                <c:pt idx="29">
                  <c:v>7430.2999999999993</c:v>
                </c:pt>
                <c:pt idx="30">
                  <c:v>7446.4000000000005</c:v>
                </c:pt>
              </c:numCache>
            </c:numRef>
          </c:val>
          <c:extLst>
            <c:ext xmlns:c16="http://schemas.microsoft.com/office/drawing/2014/chart" uri="{C3380CC4-5D6E-409C-BE32-E72D297353CC}">
              <c16:uniqueId val="{00000000-BD24-4E0F-8170-24C50579FC7E}"/>
            </c:ext>
          </c:extLst>
        </c:ser>
        <c:dLbls>
          <c:showLegendKey val="0"/>
          <c:showVal val="0"/>
          <c:showCatName val="0"/>
          <c:showSerName val="0"/>
          <c:showPercent val="0"/>
          <c:showBubbleSize val="0"/>
        </c:dLbls>
        <c:gapWidth val="219"/>
        <c:overlap val="-27"/>
        <c:axId val="810051488"/>
        <c:axId val="751942752"/>
      </c:barChart>
      <c:catAx>
        <c:axId val="810051488"/>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51942752"/>
        <c:crosses val="autoZero"/>
        <c:auto val="1"/>
        <c:lblAlgn val="ctr"/>
        <c:lblOffset val="100"/>
        <c:noMultiLvlLbl val="0"/>
      </c:catAx>
      <c:valAx>
        <c:axId val="751942752"/>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10051488"/>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881524182302484"/>
          <c:y val="5.0925944490355965E-2"/>
          <c:w val="0.72466250896554296"/>
          <c:h val="0.782499920713007"/>
        </c:manualLayout>
      </c:layout>
      <c:barChart>
        <c:barDir val="col"/>
        <c:grouping val="clustered"/>
        <c:varyColors val="0"/>
        <c:ser>
          <c:idx val="0"/>
          <c:order val="0"/>
          <c:spPr>
            <a:solidFill>
              <a:srgbClr val="000080"/>
            </a:solidFill>
            <a:ln w="25400">
              <a:noFill/>
            </a:ln>
            <a:effectLst/>
          </c:spPr>
          <c:invertIfNegative val="0"/>
          <c:cat>
            <c:strRef>
              <c:f>Univision!$I$214:$AM$214</c:f>
              <c:strCache>
                <c:ptCount val="31"/>
                <c:pt idx="0">
                  <c:v>Q3 11</c:v>
                </c:pt>
                <c:pt idx="1">
                  <c:v>Q4 11</c:v>
                </c:pt>
                <c:pt idx="2">
                  <c:v>Q1 12</c:v>
                </c:pt>
                <c:pt idx="3">
                  <c:v>Q2 12</c:v>
                </c:pt>
                <c:pt idx="4">
                  <c:v>Q3 12</c:v>
                </c:pt>
                <c:pt idx="5">
                  <c:v>Q4 12</c:v>
                </c:pt>
                <c:pt idx="6">
                  <c:v>Q1 13</c:v>
                </c:pt>
                <c:pt idx="7">
                  <c:v>Q2 13</c:v>
                </c:pt>
                <c:pt idx="8">
                  <c:v>Q3 13</c:v>
                </c:pt>
                <c:pt idx="9">
                  <c:v>Q4 13</c:v>
                </c:pt>
                <c:pt idx="10">
                  <c:v>Q1 14</c:v>
                </c:pt>
                <c:pt idx="11">
                  <c:v>Q2 14</c:v>
                </c:pt>
                <c:pt idx="12">
                  <c:v>Q3 14</c:v>
                </c:pt>
                <c:pt idx="13">
                  <c:v>Q4 14</c:v>
                </c:pt>
                <c:pt idx="14">
                  <c:v>Q1 15</c:v>
                </c:pt>
                <c:pt idx="15">
                  <c:v>Q2 15</c:v>
                </c:pt>
                <c:pt idx="16">
                  <c:v>Q3 15</c:v>
                </c:pt>
                <c:pt idx="17">
                  <c:v>Q4 15</c:v>
                </c:pt>
                <c:pt idx="18">
                  <c:v>Q1 16</c:v>
                </c:pt>
                <c:pt idx="19">
                  <c:v>Q2 16</c:v>
                </c:pt>
                <c:pt idx="20">
                  <c:v>Q3 16</c:v>
                </c:pt>
                <c:pt idx="21">
                  <c:v>Q4 16</c:v>
                </c:pt>
                <c:pt idx="22">
                  <c:v>Q1 17</c:v>
                </c:pt>
                <c:pt idx="23">
                  <c:v>Q2 17</c:v>
                </c:pt>
                <c:pt idx="24">
                  <c:v>Q3 17</c:v>
                </c:pt>
                <c:pt idx="25">
                  <c:v>Q4 17</c:v>
                </c:pt>
                <c:pt idx="26">
                  <c:v>Q1 18</c:v>
                </c:pt>
                <c:pt idx="27">
                  <c:v>Q2 18</c:v>
                </c:pt>
                <c:pt idx="28">
                  <c:v>Q3 18</c:v>
                </c:pt>
                <c:pt idx="29">
                  <c:v>Q4 18</c:v>
                </c:pt>
                <c:pt idx="30">
                  <c:v>Q1 19</c:v>
                </c:pt>
              </c:strCache>
            </c:strRef>
          </c:cat>
          <c:val>
            <c:numRef>
              <c:f>Univision!$I$258:$AM$258</c:f>
              <c:numCache>
                <c:formatCode>0.0</c:formatCode>
                <c:ptCount val="31"/>
                <c:pt idx="0">
                  <c:v>917.59999999999991</c:v>
                </c:pt>
                <c:pt idx="1">
                  <c:v>933.90000000000009</c:v>
                </c:pt>
                <c:pt idx="2">
                  <c:v>948.59999999999991</c:v>
                </c:pt>
                <c:pt idx="3">
                  <c:v>949.3</c:v>
                </c:pt>
                <c:pt idx="4">
                  <c:v>989.59999999999991</c:v>
                </c:pt>
                <c:pt idx="5">
                  <c:v>1003.2</c:v>
                </c:pt>
                <c:pt idx="6">
                  <c:v>1043.7</c:v>
                </c:pt>
                <c:pt idx="7">
                  <c:v>1088.3</c:v>
                </c:pt>
                <c:pt idx="8">
                  <c:v>1113.5999999999999</c:v>
                </c:pt>
                <c:pt idx="9">
                  <c:v>1120.3999999999999</c:v>
                </c:pt>
                <c:pt idx="10">
                  <c:v>1147.5999999999999</c:v>
                </c:pt>
                <c:pt idx="11">
                  <c:v>1187.4000000000001</c:v>
                </c:pt>
                <c:pt idx="12">
                  <c:v>1200.7</c:v>
                </c:pt>
                <c:pt idx="13">
                  <c:v>1240.8</c:v>
                </c:pt>
                <c:pt idx="14">
                  <c:v>1263.6000000000001</c:v>
                </c:pt>
                <c:pt idx="15">
                  <c:v>1260.0999999999999</c:v>
                </c:pt>
                <c:pt idx="16">
                  <c:v>1336.4</c:v>
                </c:pt>
                <c:pt idx="17">
                  <c:v>1347.8</c:v>
                </c:pt>
                <c:pt idx="18">
                  <c:v>1382.3</c:v>
                </c:pt>
                <c:pt idx="19">
                  <c:v>1385.4</c:v>
                </c:pt>
                <c:pt idx="20">
                  <c:v>1321.1</c:v>
                </c:pt>
                <c:pt idx="21">
                  <c:v>1370.7</c:v>
                </c:pt>
                <c:pt idx="22">
                  <c:v>1357.1</c:v>
                </c:pt>
                <c:pt idx="23">
                  <c:v>1356.3</c:v>
                </c:pt>
                <c:pt idx="24">
                  <c:v>1384.4999999999998</c:v>
                </c:pt>
                <c:pt idx="25">
                  <c:v>1339.3</c:v>
                </c:pt>
                <c:pt idx="26">
                  <c:v>1304.5</c:v>
                </c:pt>
                <c:pt idx="27">
                  <c:v>1280.0999999999999</c:v>
                </c:pt>
                <c:pt idx="28">
                  <c:v>1193.8</c:v>
                </c:pt>
                <c:pt idx="29">
                  <c:v>1092.3</c:v>
                </c:pt>
                <c:pt idx="30">
                  <c:v>1043.0999999999999</c:v>
                </c:pt>
              </c:numCache>
            </c:numRef>
          </c:val>
          <c:extLst>
            <c:ext xmlns:c16="http://schemas.microsoft.com/office/drawing/2014/chart" uri="{C3380CC4-5D6E-409C-BE32-E72D297353CC}">
              <c16:uniqueId val="{00000000-D990-40FD-807E-E61B11CEA172}"/>
            </c:ext>
          </c:extLst>
        </c:ser>
        <c:dLbls>
          <c:showLegendKey val="0"/>
          <c:showVal val="0"/>
          <c:showCatName val="0"/>
          <c:showSerName val="0"/>
          <c:showPercent val="0"/>
          <c:showBubbleSize val="0"/>
        </c:dLbls>
        <c:gapWidth val="219"/>
        <c:overlap val="-27"/>
        <c:axId val="810051488"/>
        <c:axId val="751942752"/>
      </c:barChart>
      <c:catAx>
        <c:axId val="810051488"/>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51942752"/>
        <c:crosses val="autoZero"/>
        <c:auto val="1"/>
        <c:lblAlgn val="ctr"/>
        <c:lblOffset val="100"/>
        <c:noMultiLvlLbl val="0"/>
      </c:catAx>
      <c:valAx>
        <c:axId val="751942752"/>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10051488"/>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'Earnings Snaps'!$A$120</c:f>
              <c:strCache>
                <c:ptCount val="1"/>
                <c:pt idx="0">
                  <c:v>Televisa</c:v>
                </c:pt>
              </c:strCache>
            </c:strRef>
          </c:tx>
          <c:spPr>
            <a:solidFill>
              <a:srgbClr val="000080"/>
            </a:solidFill>
            <a:ln w="25400">
              <a:noFill/>
            </a:ln>
            <a:effectLst/>
          </c:spPr>
          <c:invertIfNegative val="0"/>
          <c:cat>
            <c:multiLvlStrRef>
              <c:f>'Earnings Snaps'!$B$119:$R$119</c:f>
            </c:multiLvlStrRef>
          </c:cat>
          <c:val>
            <c:numRef>
              <c:f>'Earnings Snaps'!$B$120:$R$120</c:f>
            </c:numRef>
          </c:val>
          <c:extLst>
            <c:ext xmlns:c16="http://schemas.microsoft.com/office/drawing/2014/chart" uri="{C3380CC4-5D6E-409C-BE32-E72D297353CC}">
              <c16:uniqueId val="{00000000-8B91-44F0-92C2-8D780426902F}"/>
            </c:ext>
          </c:extLst>
        </c:ser>
        <c:ser>
          <c:idx val="1"/>
          <c:order val="1"/>
          <c:tx>
            <c:strRef>
              <c:f>'Earnings Snaps'!$A$121</c:f>
              <c:strCache>
                <c:ptCount val="1"/>
                <c:pt idx="0">
                  <c:v>Megacable</c:v>
                </c:pt>
              </c:strCache>
            </c:strRef>
          </c:tx>
          <c:spPr>
            <a:solidFill>
              <a:srgbClr val="9999FF"/>
            </a:solidFill>
            <a:ln w="25400">
              <a:noFill/>
            </a:ln>
            <a:effectLst/>
          </c:spPr>
          <c:invertIfNegative val="0"/>
          <c:cat>
            <c:multiLvlStrRef>
              <c:f>'Earnings Snaps'!$B$119:$R$119</c:f>
            </c:multiLvlStrRef>
          </c:cat>
          <c:val>
            <c:numRef>
              <c:f>'Earnings Snaps'!$B$121:$R$121</c:f>
            </c:numRef>
          </c:val>
          <c:extLst>
            <c:ext xmlns:c16="http://schemas.microsoft.com/office/drawing/2014/chart" uri="{C3380CC4-5D6E-409C-BE32-E72D297353CC}">
              <c16:uniqueId val="{00000001-8B91-44F0-92C2-8D780426902F}"/>
            </c:ext>
          </c:extLst>
        </c:ser>
        <c:dLbls>
          <c:showLegendKey val="0"/>
          <c:showVal val="0"/>
          <c:showCatName val="0"/>
          <c:showSerName val="0"/>
          <c:showPercent val="0"/>
          <c:showBubbleSize val="0"/>
        </c:dLbls>
        <c:gapWidth val="219"/>
        <c:overlap val="-27"/>
        <c:axId val="629854336"/>
        <c:axId val="629854008"/>
      </c:barChart>
      <c:catAx>
        <c:axId val="629854336"/>
        <c:scaling>
          <c:orientation val="minMax"/>
        </c:scaling>
        <c:delete val="0"/>
        <c:axPos val="b"/>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9854008"/>
        <c:crosses val="autoZero"/>
        <c:auto val="1"/>
        <c:lblAlgn val="ctr"/>
        <c:lblOffset val="100"/>
        <c:noMultiLvlLbl val="0"/>
      </c:catAx>
      <c:valAx>
        <c:axId val="62985400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985433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'Earnings Snaps'!$A$90</c:f>
              <c:strCache>
                <c:ptCount val="1"/>
                <c:pt idx="0">
                  <c:v>Video</c:v>
                </c:pt>
              </c:strCache>
            </c:strRef>
          </c:tx>
          <c:spPr>
            <a:solidFill>
              <a:srgbClr val="263238"/>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Snaps'!$AD$89:$AS$89</c:f>
              <c:strCache>
                <c:ptCount val="16"/>
                <c:pt idx="0">
                  <c:v>Q1 20</c:v>
                </c:pt>
                <c:pt idx="1">
                  <c:v>Q2 20</c:v>
                </c:pt>
                <c:pt idx="2">
                  <c:v>Q3 20</c:v>
                </c:pt>
                <c:pt idx="3">
                  <c:v>Q4 20</c:v>
                </c:pt>
                <c:pt idx="4">
                  <c:v>Q1 21</c:v>
                </c:pt>
                <c:pt idx="5">
                  <c:v>Q2 21</c:v>
                </c:pt>
                <c:pt idx="6">
                  <c:v>Q3 21</c:v>
                </c:pt>
                <c:pt idx="7">
                  <c:v>Q4 21</c:v>
                </c:pt>
                <c:pt idx="8">
                  <c:v>Q1 22</c:v>
                </c:pt>
                <c:pt idx="9">
                  <c:v>Q2 22</c:v>
                </c:pt>
                <c:pt idx="10">
                  <c:v>Q3 22</c:v>
                </c:pt>
                <c:pt idx="11">
                  <c:v>Q4 22</c:v>
                </c:pt>
                <c:pt idx="12">
                  <c:v>Q1 23</c:v>
                </c:pt>
                <c:pt idx="13">
                  <c:v>Q2 23</c:v>
                </c:pt>
                <c:pt idx="14">
                  <c:v>Q3 23</c:v>
                </c:pt>
                <c:pt idx="15">
                  <c:v>Q4 23</c:v>
                </c:pt>
              </c:strCache>
            </c:strRef>
          </c:cat>
          <c:val>
            <c:numRef>
              <c:f>'Earnings Snaps'!$AD$90:$AS$90</c:f>
              <c:numCache>
                <c:formatCode>0</c:formatCode>
                <c:ptCount val="16"/>
                <c:pt idx="0">
                  <c:v>-10.805000000000291</c:v>
                </c:pt>
                <c:pt idx="1">
                  <c:v>27.420000000000073</c:v>
                </c:pt>
                <c:pt idx="2">
                  <c:v>-1.569999999999709</c:v>
                </c:pt>
                <c:pt idx="3">
                  <c:v>-49.226000000000568</c:v>
                </c:pt>
                <c:pt idx="4">
                  <c:v>-38.59900000000016</c:v>
                </c:pt>
                <c:pt idx="5">
                  <c:v>-31.505000000000109</c:v>
                </c:pt>
                <c:pt idx="6">
                  <c:v>-59.066999999999098</c:v>
                </c:pt>
                <c:pt idx="7">
                  <c:v>10.930999999999585</c:v>
                </c:pt>
                <c:pt idx="8">
                  <c:v>89.041000000000167</c:v>
                </c:pt>
                <c:pt idx="9">
                  <c:v>79.146999999999935</c:v>
                </c:pt>
                <c:pt idx="10">
                  <c:v>71.046999999999571</c:v>
                </c:pt>
                <c:pt idx="11">
                  <c:v>52.525000000000546</c:v>
                </c:pt>
                <c:pt idx="12">
                  <c:v>30.869999999999891</c:v>
                </c:pt>
                <c:pt idx="13">
                  <c:v>-46.190000000000509</c:v>
                </c:pt>
                <c:pt idx="14">
                  <c:v>-383.50999999999976</c:v>
                </c:pt>
                <c:pt idx="15">
                  <c:v>0.10400000000026921</c:v>
                </c:pt>
              </c:numCache>
            </c:numRef>
          </c:val>
          <c:extLst>
            <c:ext xmlns:c16="http://schemas.microsoft.com/office/drawing/2014/chart" uri="{C3380CC4-5D6E-409C-BE32-E72D297353CC}">
              <c16:uniqueId val="{00000000-11BB-4D14-98AC-2D679C734AEA}"/>
            </c:ext>
          </c:extLst>
        </c:ser>
        <c:ser>
          <c:idx val="1"/>
          <c:order val="1"/>
          <c:tx>
            <c:strRef>
              <c:f>'Earnings Snaps'!$A$91</c:f>
              <c:strCache>
                <c:ptCount val="1"/>
                <c:pt idx="0">
                  <c:v>Internet</c:v>
                </c:pt>
              </c:strCache>
            </c:strRef>
          </c:tx>
          <c:spPr>
            <a:solidFill>
              <a:srgbClr val="F9663E"/>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Snaps'!$AD$89:$AS$89</c:f>
              <c:strCache>
                <c:ptCount val="16"/>
                <c:pt idx="0">
                  <c:v>Q1 20</c:v>
                </c:pt>
                <c:pt idx="1">
                  <c:v>Q2 20</c:v>
                </c:pt>
                <c:pt idx="2">
                  <c:v>Q3 20</c:v>
                </c:pt>
                <c:pt idx="3">
                  <c:v>Q4 20</c:v>
                </c:pt>
                <c:pt idx="4">
                  <c:v>Q1 21</c:v>
                </c:pt>
                <c:pt idx="5">
                  <c:v>Q2 21</c:v>
                </c:pt>
                <c:pt idx="6">
                  <c:v>Q3 21</c:v>
                </c:pt>
                <c:pt idx="7">
                  <c:v>Q4 21</c:v>
                </c:pt>
                <c:pt idx="8">
                  <c:v>Q1 22</c:v>
                </c:pt>
                <c:pt idx="9">
                  <c:v>Q2 22</c:v>
                </c:pt>
                <c:pt idx="10">
                  <c:v>Q3 22</c:v>
                </c:pt>
                <c:pt idx="11">
                  <c:v>Q4 22</c:v>
                </c:pt>
                <c:pt idx="12">
                  <c:v>Q1 23</c:v>
                </c:pt>
                <c:pt idx="13">
                  <c:v>Q2 23</c:v>
                </c:pt>
                <c:pt idx="14">
                  <c:v>Q3 23</c:v>
                </c:pt>
                <c:pt idx="15">
                  <c:v>Q4 23</c:v>
                </c:pt>
              </c:strCache>
            </c:strRef>
          </c:cat>
          <c:val>
            <c:numRef>
              <c:f>'Earnings Snaps'!$AD$91:$AS$91</c:f>
              <c:numCache>
                <c:formatCode>0</c:formatCode>
                <c:ptCount val="16"/>
                <c:pt idx="0">
                  <c:v>121.04899999999998</c:v>
                </c:pt>
                <c:pt idx="1">
                  <c:v>252.17399999999998</c:v>
                </c:pt>
                <c:pt idx="2">
                  <c:v>233.96799999999985</c:v>
                </c:pt>
                <c:pt idx="3">
                  <c:v>127.61400000000049</c:v>
                </c:pt>
                <c:pt idx="4">
                  <c:v>103.96000000000004</c:v>
                </c:pt>
                <c:pt idx="5">
                  <c:v>31.368999999999687</c:v>
                </c:pt>
                <c:pt idx="6">
                  <c:v>24.595000000000255</c:v>
                </c:pt>
                <c:pt idx="7">
                  <c:v>58.318999999999505</c:v>
                </c:pt>
                <c:pt idx="8">
                  <c:v>82.923999999999978</c:v>
                </c:pt>
                <c:pt idx="9">
                  <c:v>77.564000000000306</c:v>
                </c:pt>
                <c:pt idx="10">
                  <c:v>96.233999999999469</c:v>
                </c:pt>
                <c:pt idx="11">
                  <c:v>78.327000000000226</c:v>
                </c:pt>
                <c:pt idx="12">
                  <c:v>84.71100000000024</c:v>
                </c:pt>
                <c:pt idx="13">
                  <c:v>-37.76299999999992</c:v>
                </c:pt>
                <c:pt idx="14">
                  <c:v>-353.26299999999992</c:v>
                </c:pt>
                <c:pt idx="15">
                  <c:v>0.59499999999934516</c:v>
                </c:pt>
              </c:numCache>
            </c:numRef>
          </c:val>
          <c:extLst>
            <c:ext xmlns:c16="http://schemas.microsoft.com/office/drawing/2014/chart" uri="{C3380CC4-5D6E-409C-BE32-E72D297353CC}">
              <c16:uniqueId val="{00000001-11BB-4D14-98AC-2D679C734AEA}"/>
            </c:ext>
          </c:extLst>
        </c:ser>
        <c:ser>
          <c:idx val="2"/>
          <c:order val="2"/>
          <c:tx>
            <c:strRef>
              <c:f>'Earnings Snaps'!$A$92</c:f>
              <c:strCache>
                <c:ptCount val="1"/>
                <c:pt idx="0">
                  <c:v>Voice</c:v>
                </c:pt>
              </c:strCache>
            </c:strRef>
          </c:tx>
          <c:spPr>
            <a:solidFill>
              <a:srgbClr val="C7FE02"/>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Snaps'!$AD$89:$AS$89</c:f>
              <c:strCache>
                <c:ptCount val="16"/>
                <c:pt idx="0">
                  <c:v>Q1 20</c:v>
                </c:pt>
                <c:pt idx="1">
                  <c:v>Q2 20</c:v>
                </c:pt>
                <c:pt idx="2">
                  <c:v>Q3 20</c:v>
                </c:pt>
                <c:pt idx="3">
                  <c:v>Q4 20</c:v>
                </c:pt>
                <c:pt idx="4">
                  <c:v>Q1 21</c:v>
                </c:pt>
                <c:pt idx="5">
                  <c:v>Q2 21</c:v>
                </c:pt>
                <c:pt idx="6">
                  <c:v>Q3 21</c:v>
                </c:pt>
                <c:pt idx="7">
                  <c:v>Q4 21</c:v>
                </c:pt>
                <c:pt idx="8">
                  <c:v>Q1 22</c:v>
                </c:pt>
                <c:pt idx="9">
                  <c:v>Q2 22</c:v>
                </c:pt>
                <c:pt idx="10">
                  <c:v>Q3 22</c:v>
                </c:pt>
                <c:pt idx="11">
                  <c:v>Q4 22</c:v>
                </c:pt>
                <c:pt idx="12">
                  <c:v>Q1 23</c:v>
                </c:pt>
                <c:pt idx="13">
                  <c:v>Q2 23</c:v>
                </c:pt>
                <c:pt idx="14">
                  <c:v>Q3 23</c:v>
                </c:pt>
                <c:pt idx="15">
                  <c:v>Q4 23</c:v>
                </c:pt>
              </c:strCache>
            </c:strRef>
          </c:cat>
          <c:val>
            <c:numRef>
              <c:f>'Earnings Snaps'!$AD$92:$AS$92</c:f>
              <c:numCache>
                <c:formatCode>0</c:formatCode>
                <c:ptCount val="16"/>
                <c:pt idx="0">
                  <c:v>145.52699999999959</c:v>
                </c:pt>
                <c:pt idx="1">
                  <c:v>214.52800000000025</c:v>
                </c:pt>
                <c:pt idx="2">
                  <c:v>189.2170000000001</c:v>
                </c:pt>
                <c:pt idx="3">
                  <c:v>109.26599999999962</c:v>
                </c:pt>
                <c:pt idx="4">
                  <c:v>85.875</c:v>
                </c:pt>
                <c:pt idx="5">
                  <c:v>35.033000000000357</c:v>
                </c:pt>
                <c:pt idx="6">
                  <c:v>68.300000000000182</c:v>
                </c:pt>
                <c:pt idx="7">
                  <c:v>131.52700000000004</c:v>
                </c:pt>
                <c:pt idx="8">
                  <c:v>147.32699999999932</c:v>
                </c:pt>
                <c:pt idx="9">
                  <c:v>147.13500000000022</c:v>
                </c:pt>
                <c:pt idx="10">
                  <c:v>152.34799999999996</c:v>
                </c:pt>
                <c:pt idx="11">
                  <c:v>169.64900000000034</c:v>
                </c:pt>
                <c:pt idx="12">
                  <c:v>174.83600000000024</c:v>
                </c:pt>
                <c:pt idx="13">
                  <c:v>57.473999999999251</c:v>
                </c:pt>
                <c:pt idx="14">
                  <c:v>-115.27700000000004</c:v>
                </c:pt>
                <c:pt idx="15">
                  <c:v>0.38800000000082946</c:v>
                </c:pt>
              </c:numCache>
            </c:numRef>
          </c:val>
          <c:extLst>
            <c:ext xmlns:c16="http://schemas.microsoft.com/office/drawing/2014/chart" uri="{C3380CC4-5D6E-409C-BE32-E72D297353CC}">
              <c16:uniqueId val="{00000002-11BB-4D14-98AC-2D679C734AEA}"/>
            </c:ext>
          </c:extLst>
        </c:ser>
        <c:dLbls>
          <c:showLegendKey val="0"/>
          <c:showVal val="0"/>
          <c:showCatName val="0"/>
          <c:showSerName val="0"/>
          <c:showPercent val="0"/>
          <c:showBubbleSize val="0"/>
        </c:dLbls>
        <c:gapWidth val="30"/>
        <c:overlap val="-27"/>
        <c:axId val="749532744"/>
        <c:axId val="749537992"/>
      </c:barChart>
      <c:catAx>
        <c:axId val="749532744"/>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749537992"/>
        <c:crosses val="autoZero"/>
        <c:auto val="1"/>
        <c:lblAlgn val="ctr"/>
        <c:lblOffset val="100"/>
        <c:noMultiLvlLbl val="0"/>
      </c:catAx>
      <c:valAx>
        <c:axId val="749537992"/>
        <c:scaling>
          <c:orientation val="minMax"/>
        </c:scaling>
        <c:delete val="1"/>
        <c:axPos val="l"/>
        <c:numFmt formatCode="0" sourceLinked="1"/>
        <c:majorTickMark val="out"/>
        <c:minorTickMark val="none"/>
        <c:tickLblPos val="nextTo"/>
        <c:crossAx val="74953274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'Earnings Snaps'!$A$97</c:f>
              <c:strCache>
                <c:ptCount val="1"/>
                <c:pt idx="0">
                  <c:v>Video</c:v>
                </c:pt>
              </c:strCache>
            </c:strRef>
          </c:tx>
          <c:spPr>
            <a:solidFill>
              <a:srgbClr val="000080"/>
            </a:solidFill>
            <a:ln w="25400">
              <a:noFill/>
            </a:ln>
            <a:effectLst/>
          </c:spPr>
          <c:invertIfNegative val="0"/>
          <c:cat>
            <c:strRef>
              <c:f>'Earnings Snaps'!$AD$89:$AL$89</c:f>
              <c:strCache>
                <c:ptCount val="9"/>
                <c:pt idx="0">
                  <c:v>Q1 20</c:v>
                </c:pt>
                <c:pt idx="1">
                  <c:v>Q2 20</c:v>
                </c:pt>
                <c:pt idx="2">
                  <c:v>Q3 20</c:v>
                </c:pt>
                <c:pt idx="3">
                  <c:v>Q4 20</c:v>
                </c:pt>
                <c:pt idx="4">
                  <c:v>Q1 21</c:v>
                </c:pt>
                <c:pt idx="5">
                  <c:v>Q2 21</c:v>
                </c:pt>
                <c:pt idx="6">
                  <c:v>Q3 21</c:v>
                </c:pt>
                <c:pt idx="7">
                  <c:v>Q4 21</c:v>
                </c:pt>
                <c:pt idx="8">
                  <c:v>Q1 22</c:v>
                </c:pt>
              </c:strCache>
            </c:strRef>
          </c:cat>
          <c:val>
            <c:numRef>
              <c:f>'Earnings Snaps'!$AD$97:$AK$97</c:f>
              <c:numCache>
                <c:formatCode>0</c:formatCode>
                <c:ptCount val="8"/>
                <c:pt idx="0">
                  <c:v>8.705000000000382</c:v>
                </c:pt>
                <c:pt idx="1">
                  <c:v>27.896999999999935</c:v>
                </c:pt>
                <c:pt idx="2">
                  <c:v>100.07200000000012</c:v>
                </c:pt>
                <c:pt idx="3">
                  <c:v>51.174999999999727</c:v>
                </c:pt>
                <c:pt idx="4">
                  <c:v>23.619999999999891</c:v>
                </c:pt>
                <c:pt idx="5">
                  <c:v>21.733000000000175</c:v>
                </c:pt>
                <c:pt idx="6">
                  <c:v>58</c:v>
                </c:pt>
                <c:pt idx="7">
                  <c:v>23.626000000000204</c:v>
                </c:pt>
              </c:numCache>
            </c:numRef>
          </c:val>
          <c:extLst>
            <c:ext xmlns:c16="http://schemas.microsoft.com/office/drawing/2014/chart" uri="{C3380CC4-5D6E-409C-BE32-E72D297353CC}">
              <c16:uniqueId val="{00000000-D154-47D0-A475-7C91C97C8955}"/>
            </c:ext>
          </c:extLst>
        </c:ser>
        <c:ser>
          <c:idx val="1"/>
          <c:order val="1"/>
          <c:tx>
            <c:strRef>
              <c:f>'Earnings Snaps'!$A$98</c:f>
              <c:strCache>
                <c:ptCount val="1"/>
                <c:pt idx="0">
                  <c:v>Internet</c:v>
                </c:pt>
              </c:strCache>
            </c:strRef>
          </c:tx>
          <c:spPr>
            <a:solidFill>
              <a:srgbClr val="9999FF"/>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Snaps'!$AD$89:$AL$89</c:f>
              <c:strCache>
                <c:ptCount val="9"/>
                <c:pt idx="0">
                  <c:v>Q1 20</c:v>
                </c:pt>
                <c:pt idx="1">
                  <c:v>Q2 20</c:v>
                </c:pt>
                <c:pt idx="2">
                  <c:v>Q3 20</c:v>
                </c:pt>
                <c:pt idx="3">
                  <c:v>Q4 20</c:v>
                </c:pt>
                <c:pt idx="4">
                  <c:v>Q1 21</c:v>
                </c:pt>
                <c:pt idx="5">
                  <c:v>Q2 21</c:v>
                </c:pt>
                <c:pt idx="6">
                  <c:v>Q3 21</c:v>
                </c:pt>
                <c:pt idx="7">
                  <c:v>Q4 21</c:v>
                </c:pt>
                <c:pt idx="8">
                  <c:v>Q1 22</c:v>
                </c:pt>
              </c:strCache>
            </c:strRef>
          </c:cat>
          <c:val>
            <c:numRef>
              <c:f>'Earnings Snaps'!$AD$98:$AL$98</c:f>
              <c:numCache>
                <c:formatCode>0</c:formatCode>
                <c:ptCount val="9"/>
                <c:pt idx="0">
                  <c:v>48.752999999999702</c:v>
                </c:pt>
                <c:pt idx="1">
                  <c:v>83.019000000000233</c:v>
                </c:pt>
                <c:pt idx="2">
                  <c:v>184.5949999999998</c:v>
                </c:pt>
                <c:pt idx="3">
                  <c:v>96.329000000000178</c:v>
                </c:pt>
                <c:pt idx="4">
                  <c:v>79.415999999999713</c:v>
                </c:pt>
                <c:pt idx="5">
                  <c:v>58.160000000000309</c:v>
                </c:pt>
                <c:pt idx="6">
                  <c:v>105</c:v>
                </c:pt>
                <c:pt idx="7">
                  <c:v>80.981000000000222</c:v>
                </c:pt>
                <c:pt idx="8">
                  <c:v>59.403999999999996</c:v>
                </c:pt>
              </c:numCache>
            </c:numRef>
          </c:val>
          <c:extLst>
            <c:ext xmlns:c16="http://schemas.microsoft.com/office/drawing/2014/chart" uri="{C3380CC4-5D6E-409C-BE32-E72D297353CC}">
              <c16:uniqueId val="{00000001-D154-47D0-A475-7C91C97C8955}"/>
            </c:ext>
          </c:extLst>
        </c:ser>
        <c:ser>
          <c:idx val="2"/>
          <c:order val="2"/>
          <c:tx>
            <c:strRef>
              <c:f>'Earnings Snaps'!$A$99</c:f>
              <c:strCache>
                <c:ptCount val="1"/>
                <c:pt idx="0">
                  <c:v>Voice</c:v>
                </c:pt>
              </c:strCache>
            </c:strRef>
          </c:tx>
          <c:spPr>
            <a:solidFill>
              <a:srgbClr val="3366FF"/>
            </a:solidFill>
            <a:ln w="25400">
              <a:noFill/>
            </a:ln>
            <a:effectLst/>
          </c:spPr>
          <c:invertIfNegative val="0"/>
          <c:cat>
            <c:strRef>
              <c:f>'Earnings Snaps'!$AD$89:$AL$89</c:f>
              <c:strCache>
                <c:ptCount val="9"/>
                <c:pt idx="0">
                  <c:v>Q1 20</c:v>
                </c:pt>
                <c:pt idx="1">
                  <c:v>Q2 20</c:v>
                </c:pt>
                <c:pt idx="2">
                  <c:v>Q3 20</c:v>
                </c:pt>
                <c:pt idx="3">
                  <c:v>Q4 20</c:v>
                </c:pt>
                <c:pt idx="4">
                  <c:v>Q1 21</c:v>
                </c:pt>
                <c:pt idx="5">
                  <c:v>Q2 21</c:v>
                </c:pt>
                <c:pt idx="6">
                  <c:v>Q3 21</c:v>
                </c:pt>
                <c:pt idx="7">
                  <c:v>Q4 21</c:v>
                </c:pt>
                <c:pt idx="8">
                  <c:v>Q1 22</c:v>
                </c:pt>
              </c:strCache>
            </c:strRef>
          </c:cat>
          <c:val>
            <c:numRef>
              <c:f>'Earnings Snaps'!$AC$99:$AK$99</c:f>
              <c:numCache>
                <c:formatCode>0</c:formatCode>
                <c:ptCount val="8"/>
                <c:pt idx="0">
                  <c:v>55.963000000000193</c:v>
                </c:pt>
                <c:pt idx="1">
                  <c:v>81.598999999999705</c:v>
                </c:pt>
                <c:pt idx="2">
                  <c:v>243.48100000000022</c:v>
                </c:pt>
                <c:pt idx="3">
                  <c:v>115.21699999999964</c:v>
                </c:pt>
                <c:pt idx="4">
                  <c:v>100.67900000000009</c:v>
                </c:pt>
                <c:pt idx="5">
                  <c:v>78.423000000000229</c:v>
                </c:pt>
                <c:pt idx="6">
                  <c:v>129</c:v>
                </c:pt>
                <c:pt idx="7">
                  <c:v>96.579000000000178</c:v>
                </c:pt>
              </c:numCache>
            </c:numRef>
          </c:val>
          <c:extLst>
            <c:ext xmlns:c16="http://schemas.microsoft.com/office/drawing/2014/chart" uri="{C3380CC4-5D6E-409C-BE32-E72D297353CC}">
              <c16:uniqueId val="{00000002-D154-47D0-A475-7C91C97C8955}"/>
            </c:ext>
          </c:extLst>
        </c:ser>
        <c:dLbls>
          <c:showLegendKey val="0"/>
          <c:showVal val="0"/>
          <c:showCatName val="0"/>
          <c:showSerName val="0"/>
          <c:showPercent val="0"/>
          <c:showBubbleSize val="0"/>
        </c:dLbls>
        <c:gapWidth val="219"/>
        <c:overlap val="-27"/>
        <c:axId val="749532744"/>
        <c:axId val="749537992"/>
      </c:barChart>
      <c:catAx>
        <c:axId val="74953274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49537992"/>
        <c:crosses val="autoZero"/>
        <c:auto val="1"/>
        <c:lblAlgn val="ctr"/>
        <c:lblOffset val="100"/>
        <c:noMultiLvlLbl val="0"/>
      </c:catAx>
      <c:valAx>
        <c:axId val="74953799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4953274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'Earnings Snaps'!$A$111</c:f>
              <c:strCache>
                <c:ptCount val="1"/>
                <c:pt idx="0">
                  <c:v>Izzy</c:v>
                </c:pt>
              </c:strCache>
            </c:strRef>
          </c:tx>
          <c:spPr>
            <a:ln w="28575" cap="rnd">
              <a:solidFill>
                <a:srgbClr val="263238"/>
              </a:solidFill>
              <a:round/>
            </a:ln>
            <a:effectLst/>
          </c:spPr>
          <c:marker>
            <c:symbol val="none"/>
          </c:marker>
          <c:dPt>
            <c:idx val="5"/>
            <c:marker>
              <c:symbol val="circle"/>
              <c:size val="4"/>
              <c:spPr>
                <a:solidFill>
                  <a:sysClr val="windowText" lastClr="000000"/>
                </a:solidFill>
                <a:ln w="9525">
                  <a:solidFill>
                    <a:sysClr val="windowText" lastClr="000000"/>
                  </a:solidFill>
                </a:ln>
                <a:effectLst/>
              </c:spPr>
            </c:marker>
            <c:bubble3D val="0"/>
            <c:spPr>
              <a:ln w="28575" cap="rnd">
                <a:noFill/>
                <a:prstDash val="sysDash"/>
                <a:round/>
              </a:ln>
              <a:effectLst/>
            </c:spPr>
            <c:extLst>
              <c:ext xmlns:c16="http://schemas.microsoft.com/office/drawing/2014/chart" uri="{C3380CC4-5D6E-409C-BE32-E72D297353CC}">
                <c16:uniqueId val="{00000001-105E-4D38-AE4E-2379AEB34856}"/>
              </c:ext>
            </c:extLst>
          </c:dPt>
          <c:dLbls>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05E-4D38-AE4E-2379AEB3485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Snaps'!$AP$102:$BB$102</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'Earnings Snaps'!$AP$111:$BB$111</c:f>
              <c:numCache>
                <c:formatCode>0.0%</c:formatCode>
                <c:ptCount val="13"/>
                <c:pt idx="0">
                  <c:v>-4.478541160404137E-3</c:v>
                </c:pt>
                <c:pt idx="1">
                  <c:v>-2.2294923058281957E-2</c:v>
                </c:pt>
                <c:pt idx="2">
                  <c:v>-0.12042993241592692</c:v>
                </c:pt>
                <c:pt idx="3">
                  <c:v>-7.0661949281521141E-2</c:v>
                </c:pt>
                <c:pt idx="4">
                  <c:v>-8.6999999999999994E-2</c:v>
                </c:pt>
              </c:numCache>
            </c:numRef>
          </c:val>
          <c:smooth val="0"/>
          <c:extLst>
            <c:ext xmlns:c16="http://schemas.microsoft.com/office/drawing/2014/chart" uri="{C3380CC4-5D6E-409C-BE32-E72D297353CC}">
              <c16:uniqueId val="{00000000-96AF-4D4E-A9CA-D5AA75EDF64E}"/>
            </c:ext>
          </c:extLst>
        </c:ser>
        <c:ser>
          <c:idx val="1"/>
          <c:order val="1"/>
          <c:tx>
            <c:strRef>
              <c:f>'Earnings Snaps'!$A$112</c:f>
              <c:strCache>
                <c:ptCount val="1"/>
                <c:pt idx="0">
                  <c:v>Televisa MSO</c:v>
                </c:pt>
              </c:strCache>
            </c:strRef>
          </c:tx>
          <c:spPr>
            <a:ln w="28575" cap="rnd">
              <a:solidFill>
                <a:srgbClr val="799098"/>
              </a:solidFill>
              <a:prstDash val="solid"/>
              <a:round/>
            </a:ln>
            <a:effectLst/>
          </c:spPr>
          <c:marker>
            <c:symbol val="none"/>
          </c:marker>
          <c:cat>
            <c:strRef>
              <c:f>'Earnings Snaps'!$AP$102:$BB$102</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'Earnings Snaps'!$AP$112:$BB$112</c:f>
              <c:numCache>
                <c:formatCode>0.0%</c:formatCode>
                <c:ptCount val="13"/>
                <c:pt idx="0">
                  <c:v>1.4375869076906689E-2</c:v>
                </c:pt>
                <c:pt idx="1">
                  <c:v>-1.4347446622815396E-2</c:v>
                </c:pt>
                <c:pt idx="2">
                  <c:v>-7.3139426110035433E-2</c:v>
                </c:pt>
                <c:pt idx="3">
                  <c:v>-6.6745639475511709E-2</c:v>
                </c:pt>
                <c:pt idx="4">
                  <c:v>-8.6999999999999966E-2</c:v>
                </c:pt>
              </c:numCache>
            </c:numRef>
          </c:val>
          <c:smooth val="0"/>
          <c:extLst>
            <c:ext xmlns:c16="http://schemas.microsoft.com/office/drawing/2014/chart" uri="{C3380CC4-5D6E-409C-BE32-E72D297353CC}">
              <c16:uniqueId val="{00000001-96AF-4D4E-A9CA-D5AA75EDF64E}"/>
            </c:ext>
          </c:extLst>
        </c:ser>
        <c:ser>
          <c:idx val="2"/>
          <c:order val="2"/>
          <c:tx>
            <c:strRef>
              <c:f>'Earnings Snaps'!$A$113</c:f>
              <c:strCache>
                <c:ptCount val="1"/>
                <c:pt idx="0">
                  <c:v>MEGA</c:v>
                </c:pt>
              </c:strCache>
            </c:strRef>
          </c:tx>
          <c:spPr>
            <a:ln w="28575" cap="rnd">
              <a:solidFill>
                <a:srgbClr val="F9663E"/>
              </a:solidFill>
              <a:round/>
            </a:ln>
            <a:effectLst/>
          </c:spPr>
          <c:marker>
            <c:symbol val="none"/>
          </c:marker>
          <c:cat>
            <c:strRef>
              <c:f>'Earnings Snaps'!$AP$102:$BB$102</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'Earnings Snaps'!$AP$113:$BB$113</c:f>
              <c:numCache>
                <c:formatCode>0.0%</c:formatCode>
                <c:ptCount val="13"/>
                <c:pt idx="0">
                  <c:v>8.0529148597552336E-3</c:v>
                </c:pt>
                <c:pt idx="1">
                  <c:v>9.2038549644968271E-3</c:v>
                </c:pt>
                <c:pt idx="2">
                  <c:v>5.3525631668893014E-2</c:v>
                </c:pt>
                <c:pt idx="3">
                  <c:v>0.11403042596348878</c:v>
                </c:pt>
                <c:pt idx="4">
                  <c:v>0.12387491360451675</c:v>
                </c:pt>
                <c:pt idx="5">
                  <c:v>0.11647652428804478</c:v>
                </c:pt>
                <c:pt idx="6">
                  <c:v>9.2151546847509147E-2</c:v>
                </c:pt>
                <c:pt idx="7">
                  <c:v>9.9000000000000005E-2</c:v>
                </c:pt>
                <c:pt idx="8">
                  <c:v>8.2000000000000003E-2</c:v>
                </c:pt>
                <c:pt idx="9">
                  <c:v>9.6536431537110889E-2</c:v>
                </c:pt>
                <c:pt idx="10">
                  <c:v>0.10247998128969771</c:v>
                </c:pt>
                <c:pt idx="11">
                  <c:v>8.5000000000000006E-2</c:v>
                </c:pt>
                <c:pt idx="12">
                  <c:v>8.502103969188135E-2</c:v>
                </c:pt>
              </c:numCache>
            </c:numRef>
          </c:val>
          <c:smooth val="0"/>
          <c:extLst>
            <c:ext xmlns:c16="http://schemas.microsoft.com/office/drawing/2014/chart" uri="{C3380CC4-5D6E-409C-BE32-E72D297353CC}">
              <c16:uniqueId val="{00000002-96AF-4D4E-A9CA-D5AA75EDF64E}"/>
            </c:ext>
          </c:extLst>
        </c:ser>
        <c:ser>
          <c:idx val="3"/>
          <c:order val="3"/>
          <c:tx>
            <c:strRef>
              <c:f>'Earnings Snaps'!$A$114</c:f>
              <c:strCache>
                <c:ptCount val="1"/>
                <c:pt idx="0">
                  <c:v>Totalplay</c:v>
                </c:pt>
              </c:strCache>
            </c:strRef>
          </c:tx>
          <c:spPr>
            <a:ln w="28575" cap="rnd">
              <a:solidFill>
                <a:srgbClr val="08C47C"/>
              </a:solidFill>
              <a:round/>
            </a:ln>
            <a:effectLst/>
          </c:spPr>
          <c:marker>
            <c:symbol val="none"/>
          </c:marker>
          <c:cat>
            <c:strRef>
              <c:f>'Earnings Snaps'!$AP$102:$BB$102</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'Earnings Snaps'!$AP$114:$BB$114</c:f>
              <c:numCache>
                <c:formatCode>0.0%</c:formatCode>
                <c:ptCount val="13"/>
                <c:pt idx="0">
                  <c:v>0.18937768240343344</c:v>
                </c:pt>
                <c:pt idx="1">
                  <c:v>0.15032851511169509</c:v>
                </c:pt>
                <c:pt idx="2">
                  <c:v>0.1871763255240444</c:v>
                </c:pt>
                <c:pt idx="3">
                  <c:v>8.1525462434345775E-2</c:v>
                </c:pt>
                <c:pt idx="4">
                  <c:v>0.12494361750112759</c:v>
                </c:pt>
                <c:pt idx="5">
                  <c:v>0.16426776330820192</c:v>
                </c:pt>
                <c:pt idx="6">
                  <c:v>0.11965101786456178</c:v>
                </c:pt>
                <c:pt idx="7">
                  <c:v>0.15772804054054057</c:v>
                </c:pt>
                <c:pt idx="8">
                  <c:v>1.9045709703287894E-2</c:v>
                </c:pt>
                <c:pt idx="9">
                  <c:v>5.9458398744113072E-2</c:v>
                </c:pt>
                <c:pt idx="10">
                  <c:v>-5.3999999999999999E-2</c:v>
                </c:pt>
                <c:pt idx="11">
                  <c:v>-8.3000000000000004E-2</c:v>
                </c:pt>
                <c:pt idx="12">
                  <c:v>-4.6035805626598481E-2</c:v>
                </c:pt>
              </c:numCache>
            </c:numRef>
          </c:val>
          <c:smooth val="0"/>
          <c:extLst>
            <c:ext xmlns:c16="http://schemas.microsoft.com/office/drawing/2014/chart" uri="{C3380CC4-5D6E-409C-BE32-E72D297353CC}">
              <c16:uniqueId val="{00000003-96AF-4D4E-A9CA-D5AA75EDF64E}"/>
            </c:ext>
          </c:extLst>
        </c:ser>
        <c:ser>
          <c:idx val="4"/>
          <c:order val="4"/>
          <c:tx>
            <c:strRef>
              <c:f>'Earnings Snaps'!$A$110</c:f>
              <c:strCache>
                <c:ptCount val="1"/>
                <c:pt idx="0">
                  <c:v>Izzy / SKY combined (OSI)</c:v>
                </c:pt>
              </c:strCache>
            </c:strRef>
          </c:tx>
          <c:spPr>
            <a:ln w="28575" cap="rnd">
              <a:noFill/>
              <a:round/>
            </a:ln>
            <a:effectLst/>
          </c:spPr>
          <c:marker>
            <c:symbol val="circle"/>
            <c:size val="5"/>
            <c:spPr>
              <a:solidFill>
                <a:sysClr val="window" lastClr="FFFFFF">
                  <a:lumMod val="50000"/>
                </a:sysClr>
              </a:solidFill>
              <a:ln w="9525">
                <a:solidFill>
                  <a:sysClr val="windowText" lastClr="000000"/>
                </a:solidFill>
              </a:ln>
              <a:effectLst/>
            </c:spPr>
          </c:marker>
          <c:dPt>
            <c:idx val="5"/>
            <c:marker>
              <c:symbol val="circle"/>
              <c:size val="5"/>
              <c:spPr>
                <a:solidFill>
                  <a:sysClr val="window" lastClr="FFFFFF">
                    <a:lumMod val="50000"/>
                  </a:sysClr>
                </a:solidFill>
                <a:ln w="9525">
                  <a:solidFill>
                    <a:sysClr val="windowText" lastClr="000000"/>
                  </a:solidFill>
                </a:ln>
                <a:effectLst/>
              </c:spPr>
            </c:marker>
            <c:bubble3D val="0"/>
            <c:spPr>
              <a:ln w="28575" cap="rnd">
                <a:noFill/>
                <a:round/>
              </a:ln>
              <a:effectLst/>
            </c:spPr>
            <c:extLst>
              <c:ext xmlns:c16="http://schemas.microsoft.com/office/drawing/2014/chart" uri="{C3380CC4-5D6E-409C-BE32-E72D297353CC}">
                <c16:uniqueId val="{00000003-105E-4D38-AE4E-2379AEB34856}"/>
              </c:ext>
            </c:extLst>
          </c:dPt>
          <c:cat>
            <c:strRef>
              <c:f>'Earnings Snaps'!$AP$102:$BB$102</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'Earnings Snaps'!$AP$110:$BB$110</c:f>
              <c:numCache>
                <c:formatCode>0.0%</c:formatCode>
                <c:ptCount val="13"/>
                <c:pt idx="4">
                  <c:v>-0.125</c:v>
                </c:pt>
                <c:pt idx="5">
                  <c:v>-7.6999999999999999E-2</c:v>
                </c:pt>
                <c:pt idx="6">
                  <c:v>-4.7E-2</c:v>
                </c:pt>
                <c:pt idx="7">
                  <c:v>-4.3999999999999997E-2</c:v>
                </c:pt>
                <c:pt idx="8">
                  <c:v>-3.0815514838358649E-2</c:v>
                </c:pt>
                <c:pt idx="9">
                  <c:v>-4.2990874102956322E-2</c:v>
                </c:pt>
                <c:pt idx="10">
                  <c:v>-6.9965541970579137E-3</c:v>
                </c:pt>
                <c:pt idx="11">
                  <c:v>6.0831416189609966E-2</c:v>
                </c:pt>
                <c:pt idx="12">
                  <c:v>5.2454358920397626E-2</c:v>
                </c:pt>
              </c:numCache>
            </c:numRef>
          </c:val>
          <c:smooth val="0"/>
          <c:extLst>
            <c:ext xmlns:c16="http://schemas.microsoft.com/office/drawing/2014/chart" uri="{C3380CC4-5D6E-409C-BE32-E72D297353CC}">
              <c16:uniqueId val="{00000001-72A1-4033-A116-09F33F67EA04}"/>
            </c:ext>
          </c:extLst>
        </c:ser>
        <c:dLbls>
          <c:showLegendKey val="0"/>
          <c:showVal val="0"/>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0"/>
          <c:order val="0"/>
          <c:tx>
            <c:strRef>
              <c:f>'Earnings Snaps'!$A$103</c:f>
              <c:strCache>
                <c:ptCount val="1"/>
                <c:pt idx="0">
                  <c:v>Televisa</c:v>
                </c:pt>
              </c:strCache>
            </c:strRef>
          </c:tx>
          <c:spPr>
            <a:ln w="28575" cap="rnd">
              <a:solidFill>
                <a:srgbClr val="263238"/>
              </a:solidFill>
              <a:round/>
            </a:ln>
            <a:effectLst/>
          </c:spPr>
          <c:marker>
            <c:symbol val="none"/>
          </c:marker>
          <c:cat>
            <c:strRef>
              <c:f>'Earnings Snaps'!$AP$102:$BB$102</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'Earnings Snaps'!$AP$103:$BB$103</c:f>
              <c:numCache>
                <c:formatCode>0.0%</c:formatCode>
                <c:ptCount val="13"/>
                <c:pt idx="0">
                  <c:v>2.695582193231405E-2</c:v>
                </c:pt>
                <c:pt idx="1">
                  <c:v>4.6085106382978802E-2</c:v>
                </c:pt>
                <c:pt idx="2">
                  <c:v>-1.9856382120380878E-2</c:v>
                </c:pt>
                <c:pt idx="3">
                  <c:v>-1.7884508918183717E-2</c:v>
                </c:pt>
                <c:pt idx="4">
                  <c:v>-1.76528331147352E-2</c:v>
                </c:pt>
                <c:pt idx="5">
                  <c:v>-3.1460765569702676E-2</c:v>
                </c:pt>
                <c:pt idx="6">
                  <c:v>-3.8895611587187906E-2</c:v>
                </c:pt>
                <c:pt idx="7">
                  <c:v>-2.7466422665925916E-2</c:v>
                </c:pt>
                <c:pt idx="8">
                  <c:v>-3.1153694357906381E-2</c:v>
                </c:pt>
                <c:pt idx="9">
                  <c:v>-2.5435118607620377E-2</c:v>
                </c:pt>
                <c:pt idx="10">
                  <c:v>3.7686074995280094E-4</c:v>
                </c:pt>
                <c:pt idx="11">
                  <c:v>-9.5507843781873492E-3</c:v>
                </c:pt>
                <c:pt idx="12">
                  <c:v>3.4000000000000002E-2</c:v>
                </c:pt>
              </c:numCache>
            </c:numRef>
          </c:val>
          <c:smooth val="0"/>
          <c:extLst>
            <c:ext xmlns:c16="http://schemas.microsoft.com/office/drawing/2014/chart" uri="{C3380CC4-5D6E-409C-BE32-E72D297353CC}">
              <c16:uniqueId val="{00000000-96AF-4D4E-A9CA-D5AA75EDF64E}"/>
            </c:ext>
          </c:extLst>
        </c:ser>
        <c:ser>
          <c:idx val="1"/>
          <c:order val="1"/>
          <c:tx>
            <c:strRef>
              <c:f>'Earnings Snaps'!$A$104</c:f>
              <c:strCache>
                <c:ptCount val="1"/>
                <c:pt idx="0">
                  <c:v>Televisa MSO</c:v>
                </c:pt>
              </c:strCache>
            </c:strRef>
          </c:tx>
          <c:spPr>
            <a:ln w="28575" cap="rnd">
              <a:solidFill>
                <a:srgbClr val="799098"/>
              </a:solidFill>
              <a:prstDash val="solid"/>
              <a:round/>
            </a:ln>
            <a:effectLst/>
          </c:spPr>
          <c:marker>
            <c:symbol val="none"/>
          </c:marker>
          <c:cat>
            <c:strRef>
              <c:f>'Earnings Snaps'!$AP$102:$BB$102</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'Earnings Snaps'!$AP$104:$BB$104</c:f>
              <c:numCache>
                <c:formatCode>0.0%</c:formatCode>
                <c:ptCount val="13"/>
                <c:pt idx="0">
                  <c:v>4.0164131379036405E-2</c:v>
                </c:pt>
                <c:pt idx="1">
                  <c:v>4.3153133435470892E-2</c:v>
                </c:pt>
                <c:pt idx="2">
                  <c:v>1.7808591625883663E-2</c:v>
                </c:pt>
                <c:pt idx="3">
                  <c:v>-2.6485428525255816E-3</c:v>
                </c:pt>
                <c:pt idx="4">
                  <c:v>-3.649868505224263E-2</c:v>
                </c:pt>
                <c:pt idx="5">
                  <c:v>-4.9594363045074585E-2</c:v>
                </c:pt>
                <c:pt idx="6">
                  <c:v>-5.1288900761319645E-2</c:v>
                </c:pt>
                <c:pt idx="7">
                  <c:v>-4.2804288530611134E-2</c:v>
                </c:pt>
                <c:pt idx="8">
                  <c:v>-2.9803400833609883E-2</c:v>
                </c:pt>
                <c:pt idx="9">
                  <c:v>-3.0676539575955508E-2</c:v>
                </c:pt>
                <c:pt idx="10">
                  <c:v>-6.9172650053967999E-3</c:v>
                </c:pt>
                <c:pt idx="11">
                  <c:v>-6.0000000000000001E-3</c:v>
                </c:pt>
                <c:pt idx="12">
                  <c:v>8.9999999999999993E-3</c:v>
                </c:pt>
              </c:numCache>
            </c:numRef>
          </c:val>
          <c:smooth val="0"/>
          <c:extLst>
            <c:ext xmlns:c16="http://schemas.microsoft.com/office/drawing/2014/chart" uri="{C3380CC4-5D6E-409C-BE32-E72D297353CC}">
              <c16:uniqueId val="{00000001-96AF-4D4E-A9CA-D5AA75EDF64E}"/>
            </c:ext>
          </c:extLst>
        </c:ser>
        <c:ser>
          <c:idx val="2"/>
          <c:order val="2"/>
          <c:tx>
            <c:strRef>
              <c:f>'Earnings Snaps'!$A$105</c:f>
              <c:strCache>
                <c:ptCount val="1"/>
                <c:pt idx="0">
                  <c:v>MEGA cable</c:v>
                </c:pt>
              </c:strCache>
            </c:strRef>
          </c:tx>
          <c:spPr>
            <a:ln w="28575" cap="rnd">
              <a:solidFill>
                <a:srgbClr val="F9663E"/>
              </a:solidFill>
              <a:round/>
            </a:ln>
            <a:effectLst/>
          </c:spPr>
          <c:marker>
            <c:symbol val="none"/>
          </c:marker>
          <c:cat>
            <c:strRef>
              <c:f>'Earnings Snaps'!$AP$102:$BB$102</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'Earnings Snaps'!$AP$105:$BB$105</c:f>
              <c:numCache>
                <c:formatCode>0.0%</c:formatCode>
                <c:ptCount val="13"/>
                <c:pt idx="0">
                  <c:v>8.2097888511479811E-2</c:v>
                </c:pt>
                <c:pt idx="1">
                  <c:v>0.10045330199814262</c:v>
                </c:pt>
                <c:pt idx="2">
                  <c:v>0.12617952559748669</c:v>
                </c:pt>
                <c:pt idx="3">
                  <c:v>0.1363249841471148</c:v>
                </c:pt>
                <c:pt idx="4">
                  <c:v>0.12489002836358964</c:v>
                </c:pt>
                <c:pt idx="5">
                  <c:v>0.10904161328633566</c:v>
                </c:pt>
                <c:pt idx="6">
                  <c:v>9.8860000353236943E-2</c:v>
                </c:pt>
                <c:pt idx="7">
                  <c:v>0.11</c:v>
                </c:pt>
                <c:pt idx="8">
                  <c:v>9.2999999999999999E-2</c:v>
                </c:pt>
                <c:pt idx="9">
                  <c:v>0.10604497905149035</c:v>
                </c:pt>
                <c:pt idx="10">
                  <c:v>0.11244997273337276</c:v>
                </c:pt>
                <c:pt idx="11">
                  <c:v>0.10348005503615831</c:v>
                </c:pt>
                <c:pt idx="12">
                  <c:v>0.1127985538244165</c:v>
                </c:pt>
              </c:numCache>
            </c:numRef>
          </c:val>
          <c:smooth val="0"/>
          <c:extLst>
            <c:ext xmlns:c16="http://schemas.microsoft.com/office/drawing/2014/chart" uri="{C3380CC4-5D6E-409C-BE32-E72D297353CC}">
              <c16:uniqueId val="{00000002-96AF-4D4E-A9CA-D5AA75EDF64E}"/>
            </c:ext>
          </c:extLst>
        </c:ser>
        <c:ser>
          <c:idx val="3"/>
          <c:order val="3"/>
          <c:tx>
            <c:strRef>
              <c:f>'Earnings Snaps'!$A$106</c:f>
              <c:strCache>
                <c:ptCount val="1"/>
                <c:pt idx="0">
                  <c:v>Telmex</c:v>
                </c:pt>
              </c:strCache>
            </c:strRef>
          </c:tx>
          <c:spPr>
            <a:ln w="28575" cap="rnd">
              <a:solidFill>
                <a:srgbClr val="C7FE02"/>
              </a:solidFill>
              <a:round/>
            </a:ln>
            <a:effectLst/>
          </c:spPr>
          <c:marker>
            <c:symbol val="none"/>
          </c:marker>
          <c:cat>
            <c:strRef>
              <c:f>'Earnings Snaps'!$AP$102:$BB$102</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'Earnings Snaps'!$AP$106:$BB$106</c:f>
              <c:numCache>
                <c:formatCode>0.0%</c:formatCode>
                <c:ptCount val="13"/>
                <c:pt idx="0">
                  <c:v>4.1117439652834209E-2</c:v>
                </c:pt>
                <c:pt idx="1">
                  <c:v>5.589189189189181E-2</c:v>
                </c:pt>
                <c:pt idx="2">
                  <c:v>3.5903905798244207E-2</c:v>
                </c:pt>
                <c:pt idx="3">
                  <c:v>5.9358317035784092E-2</c:v>
                </c:pt>
                <c:pt idx="4">
                  <c:v>9.717084353670602E-2</c:v>
                </c:pt>
                <c:pt idx="5">
                  <c:v>6.0999999999999999E-2</c:v>
                </c:pt>
                <c:pt idx="6">
                  <c:v>5.6480259819344347E-2</c:v>
                </c:pt>
                <c:pt idx="7">
                  <c:v>3.9E-2</c:v>
                </c:pt>
                <c:pt idx="8">
                  <c:v>1.4999999999999999E-2</c:v>
                </c:pt>
                <c:pt idx="9">
                  <c:v>3.5999999999999997E-2</c:v>
                </c:pt>
                <c:pt idx="10">
                  <c:v>-1.4E-2</c:v>
                </c:pt>
                <c:pt idx="11">
                  <c:v>2.1999999999999999E-2</c:v>
                </c:pt>
                <c:pt idx="12">
                  <c:v>-8.1891018547208816E-3</c:v>
                </c:pt>
              </c:numCache>
            </c:numRef>
          </c:val>
          <c:smooth val="0"/>
          <c:extLst>
            <c:ext xmlns:c16="http://schemas.microsoft.com/office/drawing/2014/chart" uri="{C3380CC4-5D6E-409C-BE32-E72D297353CC}">
              <c16:uniqueId val="{00000003-96AF-4D4E-A9CA-D5AA75EDF64E}"/>
            </c:ext>
          </c:extLst>
        </c:ser>
        <c:ser>
          <c:idx val="4"/>
          <c:order val="4"/>
          <c:tx>
            <c:strRef>
              <c:f>'Earnings Snaps'!$A$107</c:f>
              <c:strCache>
                <c:ptCount val="1"/>
                <c:pt idx="0">
                  <c:v>Totalplay Residential</c:v>
                </c:pt>
              </c:strCache>
            </c:strRef>
          </c:tx>
          <c:spPr>
            <a:ln w="28575" cap="rnd">
              <a:solidFill>
                <a:schemeClr val="accent5"/>
              </a:solidFill>
              <a:round/>
            </a:ln>
            <a:effectLst/>
          </c:spPr>
          <c:marker>
            <c:symbol val="none"/>
          </c:marker>
          <c:cat>
            <c:strRef>
              <c:f>'Earnings Snaps'!$AP$102:$BB$102</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'Earnings Snaps'!$AP$107:$BB$107</c:f>
              <c:numCache>
                <c:formatCode>0.0%</c:formatCode>
                <c:ptCount val="13"/>
                <c:pt idx="0">
                  <c:v>0.18840579710144922</c:v>
                </c:pt>
                <c:pt idx="1">
                  <c:v>0.15868914876257811</c:v>
                </c:pt>
                <c:pt idx="2">
                  <c:v>0.1212927756653992</c:v>
                </c:pt>
                <c:pt idx="3">
                  <c:v>6.5134555846630082E-2</c:v>
                </c:pt>
                <c:pt idx="4">
                  <c:v>0.10975609756097571</c:v>
                </c:pt>
                <c:pt idx="5">
                  <c:v>7.9216054453702611E-2</c:v>
                </c:pt>
                <c:pt idx="6">
                  <c:v>7.8783768509099072E-2</c:v>
                </c:pt>
                <c:pt idx="7">
                  <c:v>7.9373951928451758E-2</c:v>
                </c:pt>
                <c:pt idx="8">
                  <c:v>5.4196959682749402E-2</c:v>
                </c:pt>
                <c:pt idx="9">
                  <c:v>7.7207481513701604E-2</c:v>
                </c:pt>
                <c:pt idx="10">
                  <c:v>0.03</c:v>
                </c:pt>
                <c:pt idx="11">
                  <c:v>3.2000000000000001E-2</c:v>
                </c:pt>
                <c:pt idx="12">
                  <c:v>2.9049111807732508E-2</c:v>
                </c:pt>
              </c:numCache>
            </c:numRef>
          </c:val>
          <c:smooth val="0"/>
          <c:extLst>
            <c:ext xmlns:c16="http://schemas.microsoft.com/office/drawing/2014/chart" uri="{C3380CC4-5D6E-409C-BE32-E72D297353CC}">
              <c16:uniqueId val="{00000006-E8AA-4807-AC22-D02B510A42E6}"/>
            </c:ext>
          </c:extLst>
        </c:ser>
        <c:dLbls>
          <c:showLegendKey val="0"/>
          <c:showVal val="0"/>
          <c:showCatName val="0"/>
          <c:showSerName val="0"/>
          <c:showPercent val="0"/>
          <c:showBubbleSize val="0"/>
        </c:dLbls>
        <c:smooth val="0"/>
        <c:axId val="1495160607"/>
        <c:axId val="1495161855"/>
      </c:line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'Earnings Snaps'!$BG$90</c:f>
              <c:strCache>
                <c:ptCount val="1"/>
                <c:pt idx="0">
                  <c:v>Televisa</c:v>
                </c:pt>
              </c:strCache>
            </c:strRef>
          </c:tx>
          <c:spPr>
            <a:solidFill>
              <a:srgbClr val="263238"/>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Snaps'!$BP$89:$CC$89</c:f>
              <c:strCache>
                <c:ptCount val="7"/>
                <c:pt idx="0">
                  <c:v>Q1 20</c:v>
                </c:pt>
                <c:pt idx="1">
                  <c:v>Q2 20</c:v>
                </c:pt>
                <c:pt idx="3">
                  <c:v>Q2 22</c:v>
                </c:pt>
                <c:pt idx="4">
                  <c:v>Q3 22</c:v>
                </c:pt>
                <c:pt idx="5">
                  <c:v>Q4 22</c:v>
                </c:pt>
                <c:pt idx="6">
                  <c:v>Q1 23</c:v>
                </c:pt>
              </c:strCache>
            </c:strRef>
          </c:cat>
          <c:val>
            <c:numRef>
              <c:f>'Earnings Snaps'!$BP$90:$CC$90</c:f>
              <c:numCache>
                <c:formatCode>0</c:formatCode>
                <c:ptCount val="7"/>
                <c:pt idx="0">
                  <c:v>121.04899999999998</c:v>
                </c:pt>
                <c:pt idx="1">
                  <c:v>252.17399999999998</c:v>
                </c:pt>
                <c:pt idx="3">
                  <c:v>77.564000000000306</c:v>
                </c:pt>
                <c:pt idx="4">
                  <c:v>96.233999999999469</c:v>
                </c:pt>
                <c:pt idx="5">
                  <c:v>78.327000000000226</c:v>
                </c:pt>
                <c:pt idx="6">
                  <c:v>84.71100000000024</c:v>
                </c:pt>
              </c:numCache>
            </c:numRef>
          </c:val>
          <c:extLst>
            <c:ext xmlns:c16="http://schemas.microsoft.com/office/drawing/2014/chart" uri="{C3380CC4-5D6E-409C-BE32-E72D297353CC}">
              <c16:uniqueId val="{00000000-3979-47D0-9BAC-FB0441BAAD11}"/>
            </c:ext>
          </c:extLst>
        </c:ser>
        <c:ser>
          <c:idx val="1"/>
          <c:order val="1"/>
          <c:tx>
            <c:strRef>
              <c:f>'Earnings Snaps'!$BG$91</c:f>
              <c:strCache>
                <c:ptCount val="1"/>
                <c:pt idx="0">
                  <c:v>MEGA</c:v>
                </c:pt>
              </c:strCache>
            </c:strRef>
          </c:tx>
          <c:spPr>
            <a:solidFill>
              <a:srgbClr val="799098"/>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Snaps'!$BP$89:$CC$89</c:f>
              <c:strCache>
                <c:ptCount val="7"/>
                <c:pt idx="0">
                  <c:v>Q1 20</c:v>
                </c:pt>
                <c:pt idx="1">
                  <c:v>Q2 20</c:v>
                </c:pt>
                <c:pt idx="3">
                  <c:v>Q2 22</c:v>
                </c:pt>
                <c:pt idx="4">
                  <c:v>Q3 22</c:v>
                </c:pt>
                <c:pt idx="5">
                  <c:v>Q4 22</c:v>
                </c:pt>
                <c:pt idx="6">
                  <c:v>Q1 23</c:v>
                </c:pt>
              </c:strCache>
            </c:strRef>
          </c:cat>
          <c:val>
            <c:numRef>
              <c:f>'Earnings Snaps'!$BP$91:$CC$91</c:f>
              <c:numCache>
                <c:formatCode>0</c:formatCode>
                <c:ptCount val="7"/>
                <c:pt idx="0">
                  <c:v>48.752999999999702</c:v>
                </c:pt>
                <c:pt idx="1">
                  <c:v>83.019000000000233</c:v>
                </c:pt>
                <c:pt idx="3">
                  <c:v>19.177999999999884</c:v>
                </c:pt>
                <c:pt idx="4">
                  <c:v>100.65700000000015</c:v>
                </c:pt>
                <c:pt idx="5">
                  <c:v>124.72799999999961</c:v>
                </c:pt>
                <c:pt idx="6">
                  <c:v>147.30500000000029</c:v>
                </c:pt>
              </c:numCache>
            </c:numRef>
          </c:val>
          <c:extLst>
            <c:ext xmlns:c16="http://schemas.microsoft.com/office/drawing/2014/chart" uri="{C3380CC4-5D6E-409C-BE32-E72D297353CC}">
              <c16:uniqueId val="{00000001-3979-47D0-9BAC-FB0441BAAD11}"/>
            </c:ext>
          </c:extLst>
        </c:ser>
        <c:dLbls>
          <c:dLblPos val="outEnd"/>
          <c:showLegendKey val="0"/>
          <c:showVal val="1"/>
          <c:showCatName val="0"/>
          <c:showSerName val="0"/>
          <c:showPercent val="0"/>
          <c:showBubbleSize val="0"/>
        </c:dLbls>
        <c:gapWidth val="30"/>
        <c:overlap val="-27"/>
        <c:axId val="1000432832"/>
        <c:axId val="954181136"/>
      </c:barChart>
      <c:catAx>
        <c:axId val="1000432832"/>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954181136"/>
        <c:crosses val="autoZero"/>
        <c:auto val="1"/>
        <c:lblAlgn val="ctr"/>
        <c:lblOffset val="100"/>
        <c:noMultiLvlLbl val="0"/>
      </c:catAx>
      <c:valAx>
        <c:axId val="954181136"/>
        <c:scaling>
          <c:orientation val="minMax"/>
        </c:scaling>
        <c:delete val="1"/>
        <c:axPos val="l"/>
        <c:title>
          <c:tx>
            <c:rich>
              <a:bodyPr rot="-54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r>
                  <a:rPr lang="en-US"/>
                  <a:t>000s</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title>
        <c:numFmt formatCode="0" sourceLinked="1"/>
        <c:majorTickMark val="out"/>
        <c:minorTickMark val="none"/>
        <c:tickLblPos val="nextTo"/>
        <c:crossAx val="100043283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353232319258312E-2"/>
          <c:y val="3.5531866514128048E-2"/>
          <c:w val="0.95988192593175448"/>
          <c:h val="0.85179981493925505"/>
        </c:manualLayout>
      </c:layout>
      <c:lineChart>
        <c:grouping val="standard"/>
        <c:varyColors val="0"/>
        <c:ser>
          <c:idx val="0"/>
          <c:order val="0"/>
          <c:tx>
            <c:strRef>
              <c:f>'Earnings Snaps'!$A$139</c:f>
              <c:strCache>
                <c:ptCount val="1"/>
                <c:pt idx="0">
                  <c:v>Retail</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Snaps'!$AD$138:$AT$138</c:f>
              <c:strCache>
                <c:ptCount val="17"/>
                <c:pt idx="0">
                  <c:v>Q1 20</c:v>
                </c:pt>
                <c:pt idx="1">
                  <c:v>Q2 20</c:v>
                </c:pt>
                <c:pt idx="2">
                  <c:v>Q3 20</c:v>
                </c:pt>
                <c:pt idx="3">
                  <c:v>Q4 20</c:v>
                </c:pt>
                <c:pt idx="4">
                  <c:v>Q1 21</c:v>
                </c:pt>
                <c:pt idx="5">
                  <c:v>Q2 21</c:v>
                </c:pt>
                <c:pt idx="6">
                  <c:v>Q3 21</c:v>
                </c:pt>
                <c:pt idx="7">
                  <c:v>Q4 21</c:v>
                </c:pt>
                <c:pt idx="8">
                  <c:v>Q1 22</c:v>
                </c:pt>
                <c:pt idx="9">
                  <c:v>Q2 22</c:v>
                </c:pt>
                <c:pt idx="10">
                  <c:v>Q3 22</c:v>
                </c:pt>
                <c:pt idx="11">
                  <c:v>Q4 22</c:v>
                </c:pt>
                <c:pt idx="12">
                  <c:v>Q1 23</c:v>
                </c:pt>
                <c:pt idx="13">
                  <c:v>Q2 23</c:v>
                </c:pt>
                <c:pt idx="14">
                  <c:v>Q3 23</c:v>
                </c:pt>
                <c:pt idx="15">
                  <c:v>Q4 23</c:v>
                </c:pt>
                <c:pt idx="16">
                  <c:v>Q1 24</c:v>
                </c:pt>
              </c:strCache>
            </c:strRef>
          </c:cat>
          <c:val>
            <c:numRef>
              <c:f>'Earnings Snaps'!$AD$139:$AT$139</c:f>
              <c:numCache>
                <c:formatCode>0.0%</c:formatCode>
                <c:ptCount val="17"/>
                <c:pt idx="0">
                  <c:v>9.9344166234702769E-2</c:v>
                </c:pt>
                <c:pt idx="1">
                  <c:v>7.7261088447183379E-2</c:v>
                </c:pt>
                <c:pt idx="2">
                  <c:v>6.4932630833628435E-2</c:v>
                </c:pt>
                <c:pt idx="3">
                  <c:v>7.4329908477792861E-2</c:v>
                </c:pt>
                <c:pt idx="4">
                  <c:v>7.2736218454662938E-2</c:v>
                </c:pt>
                <c:pt idx="5">
                  <c:v>6.4035290918430077E-2</c:v>
                </c:pt>
                <c:pt idx="6">
                  <c:v>5.823571973326569E-2</c:v>
                </c:pt>
                <c:pt idx="7">
                  <c:v>4.8198377875282583E-2</c:v>
                </c:pt>
                <c:pt idx="8">
                  <c:v>3.3940413171020811E-2</c:v>
                </c:pt>
                <c:pt idx="9">
                  <c:v>3.7947125805749327E-2</c:v>
                </c:pt>
                <c:pt idx="10">
                  <c:v>1.9495518802550071E-2</c:v>
                </c:pt>
                <c:pt idx="11">
                  <c:v>9.1783018782449766E-3</c:v>
                </c:pt>
                <c:pt idx="12">
                  <c:v>4.0164131379036405E-2</c:v>
                </c:pt>
                <c:pt idx="13">
                  <c:v>4.3153133435470892E-2</c:v>
                </c:pt>
                <c:pt idx="14">
                  <c:v>1.7808591625883663E-2</c:v>
                </c:pt>
                <c:pt idx="15">
                  <c:v>-2.6485428525255816E-3</c:v>
                </c:pt>
                <c:pt idx="16">
                  <c:v>-3.649868505224263E-2</c:v>
                </c:pt>
              </c:numCache>
            </c:numRef>
          </c:val>
          <c:smooth val="0"/>
          <c:extLst>
            <c:ext xmlns:c16="http://schemas.microsoft.com/office/drawing/2014/chart" uri="{C3380CC4-5D6E-409C-BE32-E72D297353CC}">
              <c16:uniqueId val="{00000000-A530-412B-A294-D6F26595B46D}"/>
            </c:ext>
          </c:extLst>
        </c:ser>
        <c:ser>
          <c:idx val="1"/>
          <c:order val="1"/>
          <c:tx>
            <c:strRef>
              <c:f>'Earnings Snaps'!$A$140</c:f>
              <c:strCache>
                <c:ptCount val="1"/>
                <c:pt idx="0">
                  <c:v>Wholesale</c:v>
                </c:pt>
              </c:strCache>
            </c:strRef>
          </c:tx>
          <c:spPr>
            <a:ln w="25400" cap="rnd">
              <a:solidFill>
                <a:srgbClr val="F9663E"/>
              </a:solidFill>
              <a:prstDash val="solid"/>
              <a:round/>
            </a:ln>
            <a:effectLst/>
          </c:spPr>
          <c:marker>
            <c:symbol val="none"/>
          </c:marker>
          <c:dLbls>
            <c:dLbl>
              <c:idx val="0"/>
              <c:layout>
                <c:manualLayout>
                  <c:x val="-5.281539385089274E-2"/>
                  <c:y val="-4.29580929258642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30-412B-A294-D6F26595B46D}"/>
                </c:ext>
              </c:extLst>
            </c:dLbl>
            <c:dLbl>
              <c:idx val="3"/>
              <c:layout>
                <c:manualLayout>
                  <c:x val="-2.7724945465670538E-2"/>
                  <c:y val="-7.04512723984173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530-412B-A294-D6F26595B46D}"/>
                </c:ext>
              </c:extLst>
            </c:dLbl>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'Earnings Snaps'!$AD$138:$AT$138</c:f>
              <c:strCache>
                <c:ptCount val="17"/>
                <c:pt idx="0">
                  <c:v>Q1 20</c:v>
                </c:pt>
                <c:pt idx="1">
                  <c:v>Q2 20</c:v>
                </c:pt>
                <c:pt idx="2">
                  <c:v>Q3 20</c:v>
                </c:pt>
                <c:pt idx="3">
                  <c:v>Q4 20</c:v>
                </c:pt>
                <c:pt idx="4">
                  <c:v>Q1 21</c:v>
                </c:pt>
                <c:pt idx="5">
                  <c:v>Q2 21</c:v>
                </c:pt>
                <c:pt idx="6">
                  <c:v>Q3 21</c:v>
                </c:pt>
                <c:pt idx="7">
                  <c:v>Q4 21</c:v>
                </c:pt>
                <c:pt idx="8">
                  <c:v>Q1 22</c:v>
                </c:pt>
                <c:pt idx="9">
                  <c:v>Q2 22</c:v>
                </c:pt>
                <c:pt idx="10">
                  <c:v>Q3 22</c:v>
                </c:pt>
                <c:pt idx="11">
                  <c:v>Q4 22</c:v>
                </c:pt>
                <c:pt idx="12">
                  <c:v>Q1 23</c:v>
                </c:pt>
                <c:pt idx="13">
                  <c:v>Q2 23</c:v>
                </c:pt>
                <c:pt idx="14">
                  <c:v>Q3 23</c:v>
                </c:pt>
                <c:pt idx="15">
                  <c:v>Q4 23</c:v>
                </c:pt>
                <c:pt idx="16">
                  <c:v>Q1 24</c:v>
                </c:pt>
              </c:strCache>
            </c:strRef>
          </c:cat>
          <c:val>
            <c:numRef>
              <c:f>'Earnings Snaps'!$AD$140:$AT$140</c:f>
              <c:numCache>
                <c:formatCode>0.0%</c:formatCode>
                <c:ptCount val="17"/>
                <c:pt idx="0">
                  <c:v>6.4388773239537844E-2</c:v>
                </c:pt>
                <c:pt idx="1">
                  <c:v>0.26627972819932055</c:v>
                </c:pt>
                <c:pt idx="2">
                  <c:v>0.20609306531265204</c:v>
                </c:pt>
                <c:pt idx="3">
                  <c:v>9.0190067443286281E-2</c:v>
                </c:pt>
                <c:pt idx="4">
                  <c:v>0.14668195306177512</c:v>
                </c:pt>
                <c:pt idx="5">
                  <c:v>4.2537730575740618E-2</c:v>
                </c:pt>
                <c:pt idx="6">
                  <c:v>5.9976931949250467E-3</c:v>
                </c:pt>
                <c:pt idx="7">
                  <c:v>0.10359372363759123</c:v>
                </c:pt>
                <c:pt idx="8">
                  <c:v>-0.10109980591660284</c:v>
                </c:pt>
                <c:pt idx="9">
                  <c:v>-0.18760388182939247</c:v>
                </c:pt>
                <c:pt idx="10">
                  <c:v>3.8179316670488461E-2</c:v>
                </c:pt>
                <c:pt idx="11">
                  <c:v>-4.8514498292820063E-2</c:v>
                </c:pt>
                <c:pt idx="12">
                  <c:v>-4.0499869144203116E-2</c:v>
                </c:pt>
                <c:pt idx="13">
                  <c:v>-7.9989440337909223E-2</c:v>
                </c:pt>
                <c:pt idx="14">
                  <c:v>-0.24014356709000562</c:v>
                </c:pt>
                <c:pt idx="15">
                  <c:v>-0.16067698569974831</c:v>
                </c:pt>
                <c:pt idx="16">
                  <c:v>-0.27425843845891584</c:v>
                </c:pt>
              </c:numCache>
            </c:numRef>
          </c:val>
          <c:smooth val="0"/>
          <c:extLst>
            <c:ext xmlns:c16="http://schemas.microsoft.com/office/drawing/2014/chart" uri="{C3380CC4-5D6E-409C-BE32-E72D297353CC}">
              <c16:uniqueId val="{00000001-A530-412B-A294-D6F26595B46D}"/>
            </c:ext>
          </c:extLst>
        </c:ser>
        <c:ser>
          <c:idx val="2"/>
          <c:order val="2"/>
          <c:tx>
            <c:strRef>
              <c:f>'Earnings Snaps'!$A$141</c:f>
              <c:strCache>
                <c:ptCount val="1"/>
                <c:pt idx="0">
                  <c:v>Total Cable (gross)</c:v>
                </c:pt>
              </c:strCache>
            </c:strRef>
          </c:tx>
          <c:spPr>
            <a:ln w="25400" cap="rnd">
              <a:solidFill>
                <a:srgbClr val="C7FE02"/>
              </a:solidFill>
              <a:prstDash val="solid"/>
              <a:round/>
            </a:ln>
            <a:effectLst/>
          </c:spPr>
          <c:marker>
            <c:symbol val="none"/>
          </c:marker>
          <c:dLbls>
            <c:dLbl>
              <c:idx val="8"/>
              <c:layout>
                <c:manualLayout>
                  <c:x val="-2.7724945465670538E-2"/>
                  <c:y val="2.2338208321449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30-412B-A294-D6F26595B46D}"/>
                </c:ext>
              </c:extLst>
            </c:dLbl>
            <c:dLbl>
              <c:idx val="9"/>
              <c:layout>
                <c:manualLayout>
                  <c:x val="-2.4821622152523527E-2"/>
                  <c:y val="-2.57748557555185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30-412B-A294-D6F26595B46D}"/>
                </c:ext>
              </c:extLst>
            </c:dLbl>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'Earnings Snaps'!$AD$138:$AT$138</c:f>
              <c:strCache>
                <c:ptCount val="17"/>
                <c:pt idx="0">
                  <c:v>Q1 20</c:v>
                </c:pt>
                <c:pt idx="1">
                  <c:v>Q2 20</c:v>
                </c:pt>
                <c:pt idx="2">
                  <c:v>Q3 20</c:v>
                </c:pt>
                <c:pt idx="3">
                  <c:v>Q4 20</c:v>
                </c:pt>
                <c:pt idx="4">
                  <c:v>Q1 21</c:v>
                </c:pt>
                <c:pt idx="5">
                  <c:v>Q2 21</c:v>
                </c:pt>
                <c:pt idx="6">
                  <c:v>Q3 21</c:v>
                </c:pt>
                <c:pt idx="7">
                  <c:v>Q4 21</c:v>
                </c:pt>
                <c:pt idx="8">
                  <c:v>Q1 22</c:v>
                </c:pt>
                <c:pt idx="9">
                  <c:v>Q2 22</c:v>
                </c:pt>
                <c:pt idx="10">
                  <c:v>Q3 22</c:v>
                </c:pt>
                <c:pt idx="11">
                  <c:v>Q4 22</c:v>
                </c:pt>
                <c:pt idx="12">
                  <c:v>Q1 23</c:v>
                </c:pt>
                <c:pt idx="13">
                  <c:v>Q2 23</c:v>
                </c:pt>
                <c:pt idx="14">
                  <c:v>Q3 23</c:v>
                </c:pt>
                <c:pt idx="15">
                  <c:v>Q4 23</c:v>
                </c:pt>
                <c:pt idx="16">
                  <c:v>Q1 24</c:v>
                </c:pt>
              </c:strCache>
            </c:strRef>
          </c:cat>
          <c:val>
            <c:numRef>
              <c:f>'Earnings Snaps'!$AD$141:$AT$141</c:f>
              <c:numCache>
                <c:formatCode>0.0%</c:formatCode>
                <c:ptCount val="17"/>
                <c:pt idx="0">
                  <c:v>9.460130706222647E-2</c:v>
                </c:pt>
                <c:pt idx="1">
                  <c:v>0.10238390908406725</c:v>
                </c:pt>
                <c:pt idx="2">
                  <c:v>8.3312955667255384E-2</c:v>
                </c:pt>
                <c:pt idx="3">
                  <c:v>7.6592692378344873E-2</c:v>
                </c:pt>
                <c:pt idx="4">
                  <c:v>8.2492481269909046E-2</c:v>
                </c:pt>
                <c:pt idx="5">
                  <c:v>6.0753206632587986E-2</c:v>
                </c:pt>
                <c:pt idx="6">
                  <c:v>5.0662965873560006E-2</c:v>
                </c:pt>
                <c:pt idx="7">
                  <c:v>5.620150314848682E-2</c:v>
                </c:pt>
                <c:pt idx="8">
                  <c:v>1.506695052483642E-2</c:v>
                </c:pt>
                <c:pt idx="9">
                  <c:v>4.1030426877344262E-3</c:v>
                </c:pt>
                <c:pt idx="10">
                  <c:v>2.2088896669159919E-2</c:v>
                </c:pt>
                <c:pt idx="11">
                  <c:v>4.6925964674748855E-4</c:v>
                </c:pt>
                <c:pt idx="12">
                  <c:v>3.0180581423597141E-2</c:v>
                </c:pt>
                <c:pt idx="13">
                  <c:v>2.8203320299980517E-2</c:v>
                </c:pt>
                <c:pt idx="14">
                  <c:v>-1.8559750875827175E-2</c:v>
                </c:pt>
                <c:pt idx="15">
                  <c:v>-2.5335824625345005E-2</c:v>
                </c:pt>
                <c:pt idx="16">
                  <c:v>-6.3906553369439734E-2</c:v>
                </c:pt>
              </c:numCache>
            </c:numRef>
          </c:val>
          <c:smooth val="0"/>
          <c:extLst>
            <c:ext xmlns:c16="http://schemas.microsoft.com/office/drawing/2014/chart" uri="{C3380CC4-5D6E-409C-BE32-E72D297353CC}">
              <c16:uniqueId val="{00000002-A530-412B-A294-D6F26595B46D}"/>
            </c:ext>
          </c:extLst>
        </c:ser>
        <c:dLbls>
          <c:showLegendKey val="0"/>
          <c:showVal val="0"/>
          <c:showCatName val="0"/>
          <c:showSerName val="0"/>
          <c:showPercent val="0"/>
          <c:showBubbleSize val="0"/>
        </c:dLbls>
        <c:smooth val="0"/>
        <c:axId val="35666880"/>
        <c:axId val="35649408"/>
      </c:lineChart>
      <c:catAx>
        <c:axId val="3566688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35649408"/>
        <c:crosses val="autoZero"/>
        <c:auto val="1"/>
        <c:lblAlgn val="ctr"/>
        <c:lblOffset val="100"/>
        <c:noMultiLvlLbl val="0"/>
      </c:catAx>
      <c:valAx>
        <c:axId val="35649408"/>
        <c:scaling>
          <c:orientation val="minMax"/>
        </c:scaling>
        <c:delete val="1"/>
        <c:axPos val="l"/>
        <c:numFmt formatCode="0.0%" sourceLinked="1"/>
        <c:majorTickMark val="out"/>
        <c:minorTickMark val="none"/>
        <c:tickLblPos val="nextTo"/>
        <c:crossAx val="3566688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35290780538359"/>
          <c:y val="5.3421172353455816E-2"/>
          <c:w val="0.80277438511777199"/>
          <c:h val="0.68338757655293092"/>
        </c:manualLayout>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F6A6-49D9-AD68-03D3684DF358}"/>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F6A6-49D9-AD68-03D3684DF358}"/>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5-F6A6-49D9-AD68-03D3684DF358}"/>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7-F6A6-49D9-AD68-03D3684DF358}"/>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9-F6A6-49D9-AD68-03D3684DF358}"/>
              </c:ext>
            </c:extLst>
          </c:dPt>
          <c:dPt>
            <c:idx val="5"/>
            <c:bubble3D val="0"/>
            <c:spPr>
              <a:pattFill prst="wdDnDiag">
                <a:fgClr>
                  <a:srgbClr val="C0C0C0"/>
                </a:fgClr>
                <a:bgClr>
                  <a:srgbClr val="C0C0C0"/>
                </a:bgClr>
              </a:pattFill>
              <a:ln w="25400">
                <a:noFill/>
              </a:ln>
              <a:effectLst/>
            </c:spPr>
            <c:extLst>
              <c:ext xmlns:c16="http://schemas.microsoft.com/office/drawing/2014/chart" uri="{C3380CC4-5D6E-409C-BE32-E72D297353CC}">
                <c16:uniqueId val="{0000000B-F6A6-49D9-AD68-03D3684DF358}"/>
              </c:ext>
            </c:extLst>
          </c:dPt>
          <c:dPt>
            <c:idx val="6"/>
            <c:bubble3D val="0"/>
            <c:spPr>
              <a:pattFill prst="wdDnDiag">
                <a:fgClr>
                  <a:srgbClr val="0000FF"/>
                </a:fgClr>
                <a:bgClr>
                  <a:srgbClr val="0000FF"/>
                </a:bgClr>
              </a:pattFill>
              <a:ln w="25400">
                <a:noFill/>
              </a:ln>
              <a:effectLst/>
            </c:spPr>
            <c:extLst>
              <c:ext xmlns:c16="http://schemas.microsoft.com/office/drawing/2014/chart" uri="{C3380CC4-5D6E-409C-BE32-E72D297353CC}">
                <c16:uniqueId val="{0000000D-F6A6-49D9-AD68-03D3684DF358}"/>
              </c:ext>
            </c:extLst>
          </c:dPt>
          <c:dPt>
            <c:idx val="7"/>
            <c:bubble3D val="0"/>
            <c:spPr>
              <a:pattFill prst="wdDnDiag">
                <a:fgClr>
                  <a:srgbClr val="333399"/>
                </a:fgClr>
                <a:bgClr>
                  <a:srgbClr val="333399"/>
                </a:bgClr>
              </a:pattFill>
              <a:ln w="25400">
                <a:noFill/>
              </a:ln>
              <a:effectLst/>
            </c:spPr>
            <c:extLst>
              <c:ext xmlns:c16="http://schemas.microsoft.com/office/drawing/2014/chart" uri="{C3380CC4-5D6E-409C-BE32-E72D297353CC}">
                <c16:uniqueId val="{0000000F-F6A6-49D9-AD68-03D3684DF358}"/>
              </c:ext>
            </c:extLst>
          </c:dPt>
          <c:dPt>
            <c:idx val="8"/>
            <c:bubble3D val="0"/>
            <c:spPr>
              <a:pattFill prst="wdDnDiag">
                <a:fgClr>
                  <a:srgbClr val="99CCFF"/>
                </a:fgClr>
                <a:bgClr>
                  <a:srgbClr val="000080"/>
                </a:bgClr>
              </a:pattFill>
              <a:ln w="25400">
                <a:noFill/>
              </a:ln>
              <a:effectLst/>
            </c:spPr>
            <c:extLst>
              <c:ext xmlns:c16="http://schemas.microsoft.com/office/drawing/2014/chart" uri="{C3380CC4-5D6E-409C-BE32-E72D297353CC}">
                <c16:uniqueId val="{00000011-F6A6-49D9-AD68-03D3684DF358}"/>
              </c:ext>
            </c:extLst>
          </c:dPt>
          <c:dLbls>
            <c:dLbl>
              <c:idx val="0"/>
              <c:layout>
                <c:manualLayout>
                  <c:x val="-5.6731861063566917E-2"/>
                  <c:y val="0.135893482064741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A6-49D9-AD68-03D3684DF358}"/>
                </c:ext>
              </c:extLst>
            </c:dLbl>
            <c:dLbl>
              <c:idx val="8"/>
              <c:layout>
                <c:manualLayout>
                  <c:x val="3.1258158226547357E-3"/>
                  <c:y val="1.88371245261009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F6A6-49D9-AD68-03D3684DF358}"/>
                </c:ext>
              </c:extLst>
            </c:dLbl>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Cable!$B$135:$B$146</c:f>
              <c:strCache>
                <c:ptCount val="12"/>
                <c:pt idx="0">
                  <c:v>Telmex</c:v>
                </c:pt>
                <c:pt idx="1">
                  <c:v>Axtel</c:v>
                </c:pt>
                <c:pt idx="2">
                  <c:v>Maxcom</c:v>
                </c:pt>
                <c:pt idx="3">
                  <c:v>Megacable</c:v>
                </c:pt>
                <c:pt idx="4">
                  <c:v>Televisa</c:v>
                </c:pt>
                <c:pt idx="5">
                  <c:v>Cablevision</c:v>
                </c:pt>
                <c:pt idx="6">
                  <c:v>Cablemas</c:v>
                </c:pt>
                <c:pt idx="7">
                  <c:v>TVI</c:v>
                </c:pt>
                <c:pt idx="8">
                  <c:v>Cablecom</c:v>
                </c:pt>
                <c:pt idx="9">
                  <c:v>Cablevision Red</c:v>
                </c:pt>
                <c:pt idx="10">
                  <c:v>Total Play</c:v>
                </c:pt>
                <c:pt idx="11">
                  <c:v>Others </c:v>
                </c:pt>
              </c:strCache>
            </c:strRef>
          </c:cat>
          <c:val>
            <c:numRef>
              <c:f>Cable!$I$135:$I$146</c:f>
              <c:numCache>
                <c:formatCode>0.0%</c:formatCode>
                <c:ptCount val="12"/>
                <c:pt idx="0">
                  <c:v>0.70430107526881724</c:v>
                </c:pt>
                <c:pt idx="1">
                  <c:v>4.8817204301075272E-2</c:v>
                </c:pt>
                <c:pt idx="2">
                  <c:v>1.7365591397849461E-2</c:v>
                </c:pt>
                <c:pt idx="3">
                  <c:v>3.8763440860215055E-2</c:v>
                </c:pt>
                <c:pt idx="4">
                  <c:v>7.1263440860215049E-2</c:v>
                </c:pt>
                <c:pt idx="5">
                  <c:v>2.5483870967741934E-2</c:v>
                </c:pt>
                <c:pt idx="6">
                  <c:v>2.327956989247312E-2</c:v>
                </c:pt>
                <c:pt idx="7">
                  <c:v>9.8387096774193543E-3</c:v>
                </c:pt>
                <c:pt idx="8">
                  <c:v>7.4193548387096776E-3</c:v>
                </c:pt>
                <c:pt idx="9">
                  <c:v>5.2419354838709681E-3</c:v>
                </c:pt>
                <c:pt idx="11">
                  <c:v>4.8225806451612903E-2</c:v>
                </c:pt>
              </c:numCache>
            </c:numRef>
          </c:val>
          <c:extLst>
            <c:ext xmlns:c16="http://schemas.microsoft.com/office/drawing/2014/chart" uri="{C3380CC4-5D6E-409C-BE32-E72D297353CC}">
              <c16:uniqueId val="{00000012-F6A6-49D9-AD68-03D3684DF358}"/>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1.5662647135359392E-2"/>
          <c:y val="0.7510183727034121"/>
          <c:w val="0.86630533683289579"/>
          <c:h val="0.24787067221692829"/>
        </c:manualLayout>
      </c:layout>
      <c:overlay val="0"/>
      <c:spPr>
        <a:ln w="25400">
          <a:noFill/>
        </a:ln>
      </c:spPr>
      <c:txPr>
        <a:bodyPr/>
        <a:lstStyle/>
        <a:p>
          <a:pPr rtl="0">
            <a:defRPr/>
          </a:pPr>
          <a:endParaRPr lang="en-US"/>
        </a:p>
      </c:txPr>
    </c:legend>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14382785956965E-2"/>
          <c:y val="4.4897959183673466E-2"/>
          <c:w val="0.9377123442808607"/>
          <c:h val="0.72361947613691147"/>
        </c:manualLayout>
      </c:layout>
      <c:lineChart>
        <c:grouping val="standard"/>
        <c:varyColors val="0"/>
        <c:ser>
          <c:idx val="0"/>
          <c:order val="0"/>
          <c:tx>
            <c:strRef>
              <c:f>'Earnings Snaps'!$A$9</c:f>
              <c:strCache>
                <c:ptCount val="1"/>
                <c:pt idx="0">
                  <c:v>Revenue, y/y</c:v>
                </c:pt>
              </c:strCache>
            </c:strRef>
          </c:tx>
          <c:spPr>
            <a:ln w="25400" cap="rnd">
              <a:solidFill>
                <a:srgbClr val="263238"/>
              </a:solidFill>
              <a:prstDash val="solid"/>
              <a:round/>
            </a:ln>
            <a:effectLst/>
          </c:spPr>
          <c:marker>
            <c:symbol val="none"/>
          </c:marker>
          <c:dLbls>
            <c:dLbl>
              <c:idx val="4"/>
              <c:layout>
                <c:manualLayout>
                  <c:x val="-6.3945775045342712E-2"/>
                  <c:y val="3.93518518518518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33D-444C-8379-B624E3CA9FC0}"/>
                </c:ext>
              </c:extLst>
            </c:dLbl>
            <c:dLbl>
              <c:idx val="5"/>
              <c:layout>
                <c:manualLayout>
                  <c:x val="-6.6729351941654469E-2"/>
                  <c:y val="3.0092592592592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3D-444C-8379-B624E3CA9FC0}"/>
                </c:ext>
              </c:extLst>
            </c:dLbl>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Snaps'!$AV$6:$BN$6</c:f>
              <c:strCache>
                <c:ptCount val="19"/>
                <c:pt idx="0">
                  <c:v>Q3 21</c:v>
                </c:pt>
                <c:pt idx="1">
                  <c:v>Q4 21</c:v>
                </c:pt>
                <c:pt idx="2">
                  <c:v>Q1 22</c:v>
                </c:pt>
                <c:pt idx="3">
                  <c:v>Q2 22</c:v>
                </c:pt>
                <c:pt idx="4">
                  <c:v>Q3 22</c:v>
                </c:pt>
                <c:pt idx="5">
                  <c:v>Q4 22</c:v>
                </c:pt>
                <c:pt idx="6">
                  <c:v>Q1 23</c:v>
                </c:pt>
                <c:pt idx="7">
                  <c:v>Q2 23</c:v>
                </c:pt>
                <c:pt idx="8">
                  <c:v>Q3 23</c:v>
                </c:pt>
                <c:pt idx="9">
                  <c:v>Q4 23</c:v>
                </c:pt>
                <c:pt idx="10">
                  <c:v>Q1 24</c:v>
                </c:pt>
                <c:pt idx="11">
                  <c:v>Q2 24</c:v>
                </c:pt>
                <c:pt idx="12">
                  <c:v>Q3 24</c:v>
                </c:pt>
                <c:pt idx="13">
                  <c:v>Q4 24</c:v>
                </c:pt>
                <c:pt idx="14">
                  <c:v>Q1 25</c:v>
                </c:pt>
                <c:pt idx="15">
                  <c:v>Q2 25</c:v>
                </c:pt>
                <c:pt idx="16">
                  <c:v>Q3 25</c:v>
                </c:pt>
                <c:pt idx="17">
                  <c:v>Q4 25</c:v>
                </c:pt>
                <c:pt idx="18">
                  <c:v>Q1 26</c:v>
                </c:pt>
              </c:strCache>
            </c:strRef>
          </c:cat>
          <c:val>
            <c:numRef>
              <c:f>'Earnings Snaps'!$AV$9:$BN$9</c:f>
              <c:numCache>
                <c:formatCode>0%</c:formatCode>
                <c:ptCount val="19"/>
                <c:pt idx="0">
                  <c:v>-2.4741420889976551E-2</c:v>
                </c:pt>
                <c:pt idx="1">
                  <c:v>-4.3530123913972485E-2</c:v>
                </c:pt>
                <c:pt idx="2">
                  <c:v>-6.2064428957474105E-2</c:v>
                </c:pt>
                <c:pt idx="3">
                  <c:v>-7.719789590851156E-2</c:v>
                </c:pt>
                <c:pt idx="4">
                  <c:v>-8.6602923398175546E-2</c:v>
                </c:pt>
                <c:pt idx="5">
                  <c:v>-8.110120432589385E-2</c:v>
                </c:pt>
                <c:pt idx="6">
                  <c:v>-0.1171598081771138</c:v>
                </c:pt>
                <c:pt idx="7">
                  <c:v>-0.13435536273613358</c:v>
                </c:pt>
                <c:pt idx="8">
                  <c:v>-0.13837083383467697</c:v>
                </c:pt>
                <c:pt idx="9">
                  <c:v>-0.15293926994287566</c:v>
                </c:pt>
                <c:pt idx="10">
                  <c:v>-0.12323943661971837</c:v>
                </c:pt>
                <c:pt idx="11">
                  <c:v>-0.13286886166985046</c:v>
                </c:pt>
                <c:pt idx="12">
                  <c:v>-0.13161569613182522</c:v>
                </c:pt>
                <c:pt idx="13">
                  <c:v>-0.12370862827625795</c:v>
                </c:pt>
                <c:pt idx="14">
                  <c:v>-0.15050445685179736</c:v>
                </c:pt>
                <c:pt idx="15">
                  <c:v>-0.1629733302231553</c:v>
                </c:pt>
                <c:pt idx="16">
                  <c:v>-0.182278684570234</c:v>
                </c:pt>
                <c:pt idx="17">
                  <c:v>-0.16800000000000001</c:v>
                </c:pt>
                <c:pt idx="18">
                  <c:v>-0.246</c:v>
                </c:pt>
              </c:numCache>
            </c:numRef>
          </c:val>
          <c:smooth val="0"/>
          <c:extLst>
            <c:ext xmlns:c16="http://schemas.microsoft.com/office/drawing/2014/chart" uri="{C3380CC4-5D6E-409C-BE32-E72D297353CC}">
              <c16:uniqueId val="{00000000-88E0-41F2-9A34-3588868EF3CF}"/>
            </c:ext>
          </c:extLst>
        </c:ser>
        <c:ser>
          <c:idx val="1"/>
          <c:order val="1"/>
          <c:tx>
            <c:strRef>
              <c:f>'Earnings Snaps'!$A$10</c:f>
              <c:strCache>
                <c:ptCount val="1"/>
                <c:pt idx="0">
                  <c:v>EBITDA, y/y</c:v>
                </c:pt>
              </c:strCache>
            </c:strRef>
          </c:tx>
          <c:spPr>
            <a:ln w="25400" cap="rnd">
              <a:solidFill>
                <a:srgbClr val="799098"/>
              </a:solidFill>
              <a:prstDash val="solid"/>
              <a:round/>
            </a:ln>
            <a:effectLst/>
          </c:spPr>
          <c:marker>
            <c:symbol val="none"/>
          </c:marker>
          <c:dLbls>
            <c:dLbl>
              <c:idx val="0"/>
              <c:layout>
                <c:manualLayout>
                  <c:x val="-5.4537285135808966E-2"/>
                  <c:y val="4.39814814814814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33D-444C-8379-B624E3CA9FC0}"/>
                </c:ext>
              </c:extLst>
            </c:dLbl>
            <c:dLbl>
              <c:idx val="1"/>
              <c:layout>
                <c:manualLayout>
                  <c:x val="-5.4537285135809015E-2"/>
                  <c:y val="4.86111111111111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8E0-41F2-9A34-3588868EF3CF}"/>
                </c:ext>
              </c:extLst>
            </c:dLbl>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Snaps'!$AV$6:$BN$6</c:f>
              <c:strCache>
                <c:ptCount val="19"/>
                <c:pt idx="0">
                  <c:v>Q3 21</c:v>
                </c:pt>
                <c:pt idx="1">
                  <c:v>Q4 21</c:v>
                </c:pt>
                <c:pt idx="2">
                  <c:v>Q1 22</c:v>
                </c:pt>
                <c:pt idx="3">
                  <c:v>Q2 22</c:v>
                </c:pt>
                <c:pt idx="4">
                  <c:v>Q3 22</c:v>
                </c:pt>
                <c:pt idx="5">
                  <c:v>Q4 22</c:v>
                </c:pt>
                <c:pt idx="6">
                  <c:v>Q1 23</c:v>
                </c:pt>
                <c:pt idx="7">
                  <c:v>Q2 23</c:v>
                </c:pt>
                <c:pt idx="8">
                  <c:v>Q3 23</c:v>
                </c:pt>
                <c:pt idx="9">
                  <c:v>Q4 23</c:v>
                </c:pt>
                <c:pt idx="10">
                  <c:v>Q1 24</c:v>
                </c:pt>
                <c:pt idx="11">
                  <c:v>Q2 24</c:v>
                </c:pt>
                <c:pt idx="12">
                  <c:v>Q3 24</c:v>
                </c:pt>
                <c:pt idx="13">
                  <c:v>Q4 24</c:v>
                </c:pt>
                <c:pt idx="14">
                  <c:v>Q1 25</c:v>
                </c:pt>
                <c:pt idx="15">
                  <c:v>Q2 25</c:v>
                </c:pt>
                <c:pt idx="16">
                  <c:v>Q3 25</c:v>
                </c:pt>
                <c:pt idx="17">
                  <c:v>Q4 25</c:v>
                </c:pt>
                <c:pt idx="18">
                  <c:v>Q1 26</c:v>
                </c:pt>
              </c:strCache>
            </c:strRef>
          </c:cat>
          <c:val>
            <c:numRef>
              <c:f>'Earnings Snaps'!$AV$10:$BN$10</c:f>
              <c:numCache>
                <c:formatCode>0%</c:formatCode>
                <c:ptCount val="19"/>
                <c:pt idx="0">
                  <c:v>-7.1818442976156249E-2</c:v>
                </c:pt>
                <c:pt idx="1">
                  <c:v>-0.13915193357279454</c:v>
                </c:pt>
                <c:pt idx="2">
                  <c:v>-0.13604084474355993</c:v>
                </c:pt>
                <c:pt idx="3">
                  <c:v>-0.24095955767601551</c:v>
                </c:pt>
                <c:pt idx="4">
                  <c:v>-0.24791086350974922</c:v>
                </c:pt>
                <c:pt idx="5">
                  <c:v>-0.37596185108919489</c:v>
                </c:pt>
                <c:pt idx="6">
                  <c:v>-0.13565058558074572</c:v>
                </c:pt>
                <c:pt idx="7">
                  <c:v>-0.14915114844621979</c:v>
                </c:pt>
                <c:pt idx="8">
                  <c:v>-9.8647854203409713E-2</c:v>
                </c:pt>
                <c:pt idx="9">
                  <c:v>-9.291420632163816E-3</c:v>
                </c:pt>
                <c:pt idx="10">
                  <c:v>-0.2444527316800299</c:v>
                </c:pt>
              </c:numCache>
            </c:numRef>
          </c:val>
          <c:smooth val="0"/>
          <c:extLst>
            <c:ext xmlns:c16="http://schemas.microsoft.com/office/drawing/2014/chart" uri="{C3380CC4-5D6E-409C-BE32-E72D297353CC}">
              <c16:uniqueId val="{00000001-88E0-41F2-9A34-3588868EF3CF}"/>
            </c:ext>
          </c:extLst>
        </c:ser>
        <c:dLbls>
          <c:showLegendKey val="0"/>
          <c:showVal val="0"/>
          <c:showCatName val="0"/>
          <c:showSerName val="0"/>
          <c:showPercent val="0"/>
          <c:showBubbleSize val="0"/>
        </c:dLbls>
        <c:smooth val="0"/>
        <c:axId val="29848144"/>
        <c:axId val="29848976"/>
      </c:lineChart>
      <c:catAx>
        <c:axId val="29848144"/>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29848976"/>
        <c:crosses val="autoZero"/>
        <c:auto val="1"/>
        <c:lblAlgn val="ctr"/>
        <c:lblOffset val="100"/>
        <c:noMultiLvlLbl val="0"/>
      </c:catAx>
      <c:valAx>
        <c:axId val="29848976"/>
        <c:scaling>
          <c:orientation val="minMax"/>
        </c:scaling>
        <c:delete val="1"/>
        <c:axPos val="l"/>
        <c:numFmt formatCode="0%" sourceLinked="1"/>
        <c:majorTickMark val="out"/>
        <c:minorTickMark val="none"/>
        <c:tickLblPos val="nextTo"/>
        <c:crossAx val="2984814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180044614489304E-3"/>
          <c:y val="6.1505320936701822E-2"/>
          <c:w val="0.93973463394937451"/>
          <c:h val="0.75515458175897465"/>
        </c:manualLayout>
      </c:layout>
      <c:barChart>
        <c:barDir val="col"/>
        <c:grouping val="clustered"/>
        <c:varyColors val="0"/>
        <c:ser>
          <c:idx val="0"/>
          <c:order val="0"/>
          <c:tx>
            <c:strRef>
              <c:f>'Earnings Snaps'!$A$168</c:f>
              <c:strCache>
                <c:ptCount val="1"/>
                <c:pt idx="0">
                  <c:v>TV</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'Earnings Snaps'!$AE$167:$AH$167</c:f>
              <c:numCache>
                <c:formatCode>General</c:formatCode>
                <c:ptCount val="4"/>
                <c:pt idx="0">
                  <c:v>2023</c:v>
                </c:pt>
                <c:pt idx="1">
                  <c:v>2024</c:v>
                </c:pt>
                <c:pt idx="2">
                  <c:v>2025</c:v>
                </c:pt>
                <c:pt idx="3">
                  <c:v>2026</c:v>
                </c:pt>
              </c:numCache>
            </c:numRef>
          </c:cat>
          <c:val>
            <c:numRef>
              <c:f>'Earnings Snaps'!$AE$168:$AH$168</c:f>
              <c:numCache>
                <c:formatCode>0.0%</c:formatCode>
                <c:ptCount val="4"/>
                <c:pt idx="0">
                  <c:v>-0.14941941954122767</c:v>
                </c:pt>
                <c:pt idx="1">
                  <c:v>5.3132879932841506E-2</c:v>
                </c:pt>
                <c:pt idx="2">
                  <c:v>0.12478732540355314</c:v>
                </c:pt>
                <c:pt idx="3">
                  <c:v>-2.8389954055223548E-3</c:v>
                </c:pt>
              </c:numCache>
            </c:numRef>
          </c:val>
          <c:extLst>
            <c:ext xmlns:c16="http://schemas.microsoft.com/office/drawing/2014/chart" uri="{C3380CC4-5D6E-409C-BE32-E72D297353CC}">
              <c16:uniqueId val="{00000000-8DA7-4994-BD3F-E6FB61AD6F88}"/>
            </c:ext>
          </c:extLst>
        </c:ser>
        <c:ser>
          <c:idx val="1"/>
          <c:order val="1"/>
          <c:tx>
            <c:strRef>
              <c:f>'Earnings Snaps'!$A$169</c:f>
              <c:strCache>
                <c:ptCount val="1"/>
                <c:pt idx="0">
                  <c:v>MEGA</c:v>
                </c:pt>
              </c:strCache>
            </c:strRef>
          </c:tx>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'Earnings Snaps'!$AE$167:$AH$167</c:f>
              <c:numCache>
                <c:formatCode>General</c:formatCode>
                <c:ptCount val="4"/>
                <c:pt idx="0">
                  <c:v>2023</c:v>
                </c:pt>
                <c:pt idx="1">
                  <c:v>2024</c:v>
                </c:pt>
                <c:pt idx="2">
                  <c:v>2025</c:v>
                </c:pt>
                <c:pt idx="3">
                  <c:v>2026</c:v>
                </c:pt>
              </c:numCache>
            </c:numRef>
          </c:cat>
          <c:val>
            <c:numRef>
              <c:f>'Earnings Snaps'!$AE$169:$AH$169</c:f>
              <c:numCache>
                <c:formatCode>0.0%</c:formatCode>
                <c:ptCount val="4"/>
                <c:pt idx="0">
                  <c:v>-8.8484984705841825E-3</c:v>
                </c:pt>
                <c:pt idx="1">
                  <c:v>3.7129766922799838E-2</c:v>
                </c:pt>
                <c:pt idx="2">
                  <c:v>0.10052678170534821</c:v>
                </c:pt>
                <c:pt idx="3">
                  <c:v>0.14276765466158792</c:v>
                </c:pt>
              </c:numCache>
            </c:numRef>
          </c:val>
          <c:extLst>
            <c:ext xmlns:c16="http://schemas.microsoft.com/office/drawing/2014/chart" uri="{C3380CC4-5D6E-409C-BE32-E72D297353CC}">
              <c16:uniqueId val="{00000001-8DA7-4994-BD3F-E6FB61AD6F88}"/>
            </c:ext>
          </c:extLst>
        </c:ser>
        <c:dLbls>
          <c:showLegendKey val="0"/>
          <c:showVal val="0"/>
          <c:showCatName val="0"/>
          <c:showSerName val="0"/>
          <c:showPercent val="0"/>
          <c:showBubbleSize val="0"/>
        </c:dLbls>
        <c:gapWidth val="30"/>
        <c:overlap val="-27"/>
        <c:axId val="369721695"/>
        <c:axId val="369712959"/>
      </c:barChart>
      <c:catAx>
        <c:axId val="369721695"/>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369712959"/>
        <c:crosses val="autoZero"/>
        <c:auto val="1"/>
        <c:lblAlgn val="ctr"/>
        <c:lblOffset val="100"/>
        <c:noMultiLvlLbl val="0"/>
      </c:catAx>
      <c:valAx>
        <c:axId val="369712959"/>
        <c:scaling>
          <c:orientation val="minMax"/>
        </c:scaling>
        <c:delete val="1"/>
        <c:axPos val="l"/>
        <c:numFmt formatCode="0.0%" sourceLinked="1"/>
        <c:majorTickMark val="out"/>
        <c:minorTickMark val="none"/>
        <c:tickLblPos val="nextTo"/>
        <c:crossAx val="369721695"/>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Megacable</c:v>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Snaps'!$AD$89:$AO$89</c:f>
              <c:strCache>
                <c:ptCount val="12"/>
                <c:pt idx="0">
                  <c:v>Q1 20</c:v>
                </c:pt>
                <c:pt idx="1">
                  <c:v>Q2 20</c:v>
                </c:pt>
                <c:pt idx="2">
                  <c:v>Q3 20</c:v>
                </c:pt>
                <c:pt idx="3">
                  <c:v>Q4 20</c:v>
                </c:pt>
                <c:pt idx="4">
                  <c:v>Q1 21</c:v>
                </c:pt>
                <c:pt idx="5">
                  <c:v>Q2 21</c:v>
                </c:pt>
                <c:pt idx="6">
                  <c:v>Q3 21</c:v>
                </c:pt>
                <c:pt idx="7">
                  <c:v>Q4 21</c:v>
                </c:pt>
                <c:pt idx="8">
                  <c:v>Q1 22</c:v>
                </c:pt>
                <c:pt idx="9">
                  <c:v>Q2 22</c:v>
                </c:pt>
                <c:pt idx="10">
                  <c:v>Q3 22</c:v>
                </c:pt>
                <c:pt idx="11">
                  <c:v>Q4 22</c:v>
                </c:pt>
              </c:strCache>
            </c:strRef>
          </c:cat>
          <c:val>
            <c:numRef>
              <c:f>'Earnings Snaps'!$AD$98:$AO$98</c:f>
              <c:numCache>
                <c:formatCode>0</c:formatCode>
                <c:ptCount val="12"/>
                <c:pt idx="0">
                  <c:v>48.752999999999702</c:v>
                </c:pt>
                <c:pt idx="1">
                  <c:v>83.019000000000233</c:v>
                </c:pt>
                <c:pt idx="2">
                  <c:v>184.5949999999998</c:v>
                </c:pt>
                <c:pt idx="3">
                  <c:v>96.329000000000178</c:v>
                </c:pt>
                <c:pt idx="4">
                  <c:v>79.415999999999713</c:v>
                </c:pt>
                <c:pt idx="5">
                  <c:v>58.160000000000309</c:v>
                </c:pt>
                <c:pt idx="6">
                  <c:v>105</c:v>
                </c:pt>
                <c:pt idx="7">
                  <c:v>80.981000000000222</c:v>
                </c:pt>
                <c:pt idx="8">
                  <c:v>59.403999999999996</c:v>
                </c:pt>
                <c:pt idx="9">
                  <c:v>19.177999999999884</c:v>
                </c:pt>
                <c:pt idx="10">
                  <c:v>100.65700000000015</c:v>
                </c:pt>
                <c:pt idx="11">
                  <c:v>124.72799999999961</c:v>
                </c:pt>
              </c:numCache>
            </c:numRef>
          </c:val>
          <c:extLst>
            <c:ext xmlns:c16="http://schemas.microsoft.com/office/drawing/2014/chart" uri="{C3380CC4-5D6E-409C-BE32-E72D297353CC}">
              <c16:uniqueId val="{00000000-63CD-4C20-8ECF-C009D94430C5}"/>
            </c:ext>
          </c:extLst>
        </c:ser>
        <c:ser>
          <c:idx val="1"/>
          <c:order val="1"/>
          <c:tx>
            <c:v>Izzy</c:v>
          </c:tx>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Snaps'!$AD$89:$AO$89</c:f>
              <c:strCache>
                <c:ptCount val="12"/>
                <c:pt idx="0">
                  <c:v>Q1 20</c:v>
                </c:pt>
                <c:pt idx="1">
                  <c:v>Q2 20</c:v>
                </c:pt>
                <c:pt idx="2">
                  <c:v>Q3 20</c:v>
                </c:pt>
                <c:pt idx="3">
                  <c:v>Q4 20</c:v>
                </c:pt>
                <c:pt idx="4">
                  <c:v>Q1 21</c:v>
                </c:pt>
                <c:pt idx="5">
                  <c:v>Q2 21</c:v>
                </c:pt>
                <c:pt idx="6">
                  <c:v>Q3 21</c:v>
                </c:pt>
                <c:pt idx="7">
                  <c:v>Q4 21</c:v>
                </c:pt>
                <c:pt idx="8">
                  <c:v>Q1 22</c:v>
                </c:pt>
                <c:pt idx="9">
                  <c:v>Q2 22</c:v>
                </c:pt>
                <c:pt idx="10">
                  <c:v>Q3 22</c:v>
                </c:pt>
                <c:pt idx="11">
                  <c:v>Q4 22</c:v>
                </c:pt>
              </c:strCache>
            </c:strRef>
          </c:cat>
          <c:val>
            <c:numRef>
              <c:f>'Earnings Snaps'!$AD$91:$AO$91</c:f>
              <c:numCache>
                <c:formatCode>0</c:formatCode>
                <c:ptCount val="12"/>
                <c:pt idx="0">
                  <c:v>121.04899999999998</c:v>
                </c:pt>
                <c:pt idx="1">
                  <c:v>252.17399999999998</c:v>
                </c:pt>
                <c:pt idx="2">
                  <c:v>233.96799999999985</c:v>
                </c:pt>
                <c:pt idx="3">
                  <c:v>127.61400000000049</c:v>
                </c:pt>
                <c:pt idx="4">
                  <c:v>103.96000000000004</c:v>
                </c:pt>
                <c:pt idx="5">
                  <c:v>31.368999999999687</c:v>
                </c:pt>
                <c:pt idx="6">
                  <c:v>24.595000000000255</c:v>
                </c:pt>
                <c:pt idx="7">
                  <c:v>58.318999999999505</c:v>
                </c:pt>
                <c:pt idx="8">
                  <c:v>82.923999999999978</c:v>
                </c:pt>
                <c:pt idx="9">
                  <c:v>77.564000000000306</c:v>
                </c:pt>
                <c:pt idx="10">
                  <c:v>96.233999999999469</c:v>
                </c:pt>
                <c:pt idx="11">
                  <c:v>78.327000000000226</c:v>
                </c:pt>
              </c:numCache>
            </c:numRef>
          </c:val>
          <c:extLst>
            <c:ext xmlns:c16="http://schemas.microsoft.com/office/drawing/2014/chart" uri="{C3380CC4-5D6E-409C-BE32-E72D297353CC}">
              <c16:uniqueId val="{00000001-63CD-4C20-8ECF-C009D94430C5}"/>
            </c:ext>
          </c:extLst>
        </c:ser>
        <c:dLbls>
          <c:showLegendKey val="0"/>
          <c:showVal val="0"/>
          <c:showCatName val="0"/>
          <c:showSerName val="0"/>
          <c:showPercent val="0"/>
          <c:showBubbleSize val="0"/>
        </c:dLbls>
        <c:gapWidth val="30"/>
        <c:overlap val="-27"/>
        <c:axId val="1621016751"/>
        <c:axId val="1621013839"/>
      </c:barChart>
      <c:catAx>
        <c:axId val="1621016751"/>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621013839"/>
        <c:crosses val="autoZero"/>
        <c:auto val="1"/>
        <c:lblAlgn val="ctr"/>
        <c:lblOffset val="100"/>
        <c:noMultiLvlLbl val="0"/>
      </c:catAx>
      <c:valAx>
        <c:axId val="1621013839"/>
        <c:scaling>
          <c:orientation val="minMax"/>
        </c:scaling>
        <c:delete val="1"/>
        <c:axPos val="l"/>
        <c:numFmt formatCode="0" sourceLinked="1"/>
        <c:majorTickMark val="out"/>
        <c:minorTickMark val="none"/>
        <c:tickLblPos val="nextTo"/>
        <c:crossAx val="1621016751"/>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Snaps'!$AD$177:$AJ$177</c:f>
              <c:strCache>
                <c:ptCount val="7"/>
                <c:pt idx="0">
                  <c:v>Q1 22</c:v>
                </c:pt>
                <c:pt idx="1">
                  <c:v>Q2 22</c:v>
                </c:pt>
                <c:pt idx="2">
                  <c:v>Q3 22</c:v>
                </c:pt>
                <c:pt idx="3">
                  <c:v>Q4 22</c:v>
                </c:pt>
                <c:pt idx="4">
                  <c:v>Q1 23</c:v>
                </c:pt>
                <c:pt idx="5">
                  <c:v>Q2 23</c:v>
                </c:pt>
                <c:pt idx="6">
                  <c:v>Q3 23</c:v>
                </c:pt>
              </c:strCache>
            </c:strRef>
          </c:cat>
          <c:val>
            <c:numRef>
              <c:f>'Earnings Snaps'!$AD$178:$AJ$178</c:f>
              <c:numCache>
                <c:formatCode>0.00</c:formatCode>
                <c:ptCount val="7"/>
                <c:pt idx="0">
                  <c:v>2.1202493000536129</c:v>
                </c:pt>
                <c:pt idx="1">
                  <c:v>2.1988741219192756</c:v>
                </c:pt>
                <c:pt idx="2">
                  <c:v>2.2718424678505817</c:v>
                </c:pt>
                <c:pt idx="3">
                  <c:v>2.6523995044794342</c:v>
                </c:pt>
                <c:pt idx="4">
                  <c:v>2.3832494622382727</c:v>
                </c:pt>
                <c:pt idx="5">
                  <c:v>2.46690060166158</c:v>
                </c:pt>
                <c:pt idx="6">
                  <c:v>2.6314437303340701</c:v>
                </c:pt>
              </c:numCache>
            </c:numRef>
          </c:val>
          <c:extLst>
            <c:ext xmlns:c16="http://schemas.microsoft.com/office/drawing/2014/chart" uri="{C3380CC4-5D6E-409C-BE32-E72D297353CC}">
              <c16:uniqueId val="{00000000-8591-401B-8023-7054D915B9DB}"/>
            </c:ext>
          </c:extLst>
        </c:ser>
        <c:dLbls>
          <c:showLegendKey val="0"/>
          <c:showVal val="0"/>
          <c:showCatName val="0"/>
          <c:showSerName val="0"/>
          <c:showPercent val="0"/>
          <c:showBubbleSize val="0"/>
        </c:dLbls>
        <c:gapWidth val="30"/>
        <c:overlap val="-27"/>
        <c:axId val="1655562207"/>
        <c:axId val="1609001967"/>
      </c:barChart>
      <c:catAx>
        <c:axId val="1655562207"/>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609001967"/>
        <c:crosses val="autoZero"/>
        <c:auto val="1"/>
        <c:lblAlgn val="ctr"/>
        <c:lblOffset val="100"/>
        <c:noMultiLvlLbl val="0"/>
      </c:catAx>
      <c:valAx>
        <c:axId val="1609001967"/>
        <c:scaling>
          <c:orientation val="minMax"/>
        </c:scaling>
        <c:delete val="1"/>
        <c:axPos val="l"/>
        <c:numFmt formatCode="0.00" sourceLinked="1"/>
        <c:majorTickMark val="out"/>
        <c:minorTickMark val="none"/>
        <c:tickLblPos val="nextTo"/>
        <c:crossAx val="1655562207"/>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32587155947564E-2"/>
          <c:y val="3.3360434214304104E-2"/>
          <c:w val="0.9268759551196154"/>
          <c:h val="0.65222259175950192"/>
        </c:manualLayout>
      </c:layout>
      <c:lineChart>
        <c:grouping val="standard"/>
        <c:varyColors val="0"/>
        <c:ser>
          <c:idx val="0"/>
          <c:order val="0"/>
          <c:tx>
            <c:strRef>
              <c:f>'Earnings Snaps'!$A$103</c:f>
              <c:strCache>
                <c:ptCount val="1"/>
                <c:pt idx="0">
                  <c:v>Televisa</c:v>
                </c:pt>
              </c:strCache>
            </c:strRef>
          </c:tx>
          <c:spPr>
            <a:ln w="25400" cap="rnd">
              <a:solidFill>
                <a:srgbClr val="263238"/>
              </a:solidFill>
              <a:prstDash val="solid"/>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0-9F48-42CF-8BB0-90D068F26CE1}"/>
                </c:ext>
              </c:extLst>
            </c:dLbl>
            <c:dLbl>
              <c:idx val="2"/>
              <c:delete val="1"/>
              <c:extLst>
                <c:ext xmlns:c15="http://schemas.microsoft.com/office/drawing/2012/chart" uri="{CE6537A1-D6FC-4f65-9D91-7224C49458BB}"/>
                <c:ext xmlns:c16="http://schemas.microsoft.com/office/drawing/2014/chart" uri="{C3380CC4-5D6E-409C-BE32-E72D297353CC}">
                  <c16:uniqueId val="{00000001-9F48-42CF-8BB0-90D068F26CE1}"/>
                </c:ext>
              </c:extLst>
            </c:dLbl>
            <c:dLbl>
              <c:idx val="6"/>
              <c:delete val="1"/>
              <c:extLst>
                <c:ext xmlns:c15="http://schemas.microsoft.com/office/drawing/2012/chart" uri="{CE6537A1-D6FC-4f65-9D91-7224C49458BB}"/>
                <c:ext xmlns:c16="http://schemas.microsoft.com/office/drawing/2014/chart" uri="{C3380CC4-5D6E-409C-BE32-E72D297353CC}">
                  <c16:uniqueId val="{00000002-9F48-42CF-8BB0-90D068F26CE1}"/>
                </c:ext>
              </c:extLst>
            </c:dLbl>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Snaps'!$AE$102:$AS$102</c:f>
              <c:strCache>
                <c:ptCount val="15"/>
                <c:pt idx="0">
                  <c:v>Q2 20</c:v>
                </c:pt>
                <c:pt idx="1">
                  <c:v>Q3 20</c:v>
                </c:pt>
                <c:pt idx="2">
                  <c:v>Q4 20</c:v>
                </c:pt>
                <c:pt idx="3">
                  <c:v>Q1 21</c:v>
                </c:pt>
                <c:pt idx="4">
                  <c:v>Q2 21</c:v>
                </c:pt>
                <c:pt idx="5">
                  <c:v>Q3 21</c:v>
                </c:pt>
                <c:pt idx="6">
                  <c:v>Q4 21</c:v>
                </c:pt>
                <c:pt idx="7">
                  <c:v>Q1 22</c:v>
                </c:pt>
                <c:pt idx="8">
                  <c:v>Q2 22</c:v>
                </c:pt>
                <c:pt idx="9">
                  <c:v>Q3 22</c:v>
                </c:pt>
                <c:pt idx="10">
                  <c:v>Q4 22</c:v>
                </c:pt>
                <c:pt idx="11">
                  <c:v>Q1 23</c:v>
                </c:pt>
                <c:pt idx="12">
                  <c:v>Q2 23</c:v>
                </c:pt>
                <c:pt idx="13">
                  <c:v>Q3 23</c:v>
                </c:pt>
                <c:pt idx="14">
                  <c:v>Q4 23</c:v>
                </c:pt>
              </c:strCache>
            </c:strRef>
          </c:cat>
          <c:val>
            <c:numRef>
              <c:f>'Earnings Snaps'!$AE$103:$AS$103</c:f>
              <c:numCache>
                <c:formatCode>0.0%</c:formatCode>
                <c:ptCount val="15"/>
                <c:pt idx="0">
                  <c:v>0.10700196755973623</c:v>
                </c:pt>
                <c:pt idx="1">
                  <c:v>7.9057140965371087E-2</c:v>
                </c:pt>
                <c:pt idx="2">
                  <c:v>7.3492433801435553E-2</c:v>
                </c:pt>
                <c:pt idx="3">
                  <c:v>7.8690402505381174E-2</c:v>
                </c:pt>
                <c:pt idx="4">
                  <c:v>5.9493491794001319E-2</c:v>
                </c:pt>
                <c:pt idx="5">
                  <c:v>5.7740688470270696E-2</c:v>
                </c:pt>
                <c:pt idx="6">
                  <c:v>3.9786228299382387E-2</c:v>
                </c:pt>
                <c:pt idx="7">
                  <c:v>1.0962189012118317E-2</c:v>
                </c:pt>
                <c:pt idx="8">
                  <c:v>-1.9329638779461922E-2</c:v>
                </c:pt>
                <c:pt idx="9">
                  <c:v>2.7132746589760171E-2</c:v>
                </c:pt>
                <c:pt idx="10">
                  <c:v>1.3589564255623632E-2</c:v>
                </c:pt>
                <c:pt idx="11">
                  <c:v>2.695582193231405E-2</c:v>
                </c:pt>
                <c:pt idx="12">
                  <c:v>4.6085106382978802E-2</c:v>
                </c:pt>
                <c:pt idx="13">
                  <c:v>-1.9856382120380878E-2</c:v>
                </c:pt>
                <c:pt idx="14">
                  <c:v>-1.7884508918183717E-2</c:v>
                </c:pt>
              </c:numCache>
            </c:numRef>
          </c:val>
          <c:smooth val="0"/>
          <c:extLst>
            <c:ext xmlns:c16="http://schemas.microsoft.com/office/drawing/2014/chart" uri="{C3380CC4-5D6E-409C-BE32-E72D297353CC}">
              <c16:uniqueId val="{00000003-9F48-42CF-8BB0-90D068F26CE1}"/>
            </c:ext>
          </c:extLst>
        </c:ser>
        <c:ser>
          <c:idx val="1"/>
          <c:order val="1"/>
          <c:tx>
            <c:strRef>
              <c:f>'Earnings Snaps'!$A$104</c:f>
              <c:strCache>
                <c:ptCount val="1"/>
                <c:pt idx="0">
                  <c:v>Televisa MSO</c:v>
                </c:pt>
              </c:strCache>
            </c:strRef>
          </c:tx>
          <c:spPr>
            <a:ln w="25400" cap="rnd">
              <a:solidFill>
                <a:srgbClr val="799098"/>
              </a:solidFill>
              <a:prstDash val="solid"/>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9F48-42CF-8BB0-90D068F26CE1}"/>
                </c:ext>
              </c:extLst>
            </c:dLbl>
            <c:dLbl>
              <c:idx val="2"/>
              <c:delete val="1"/>
              <c:extLst>
                <c:ext xmlns:c15="http://schemas.microsoft.com/office/drawing/2012/chart" uri="{CE6537A1-D6FC-4f65-9D91-7224C49458BB}"/>
                <c:ext xmlns:c16="http://schemas.microsoft.com/office/drawing/2014/chart" uri="{C3380CC4-5D6E-409C-BE32-E72D297353CC}">
                  <c16:uniqueId val="{00000005-9F48-42CF-8BB0-90D068F26CE1}"/>
                </c:ext>
              </c:extLst>
            </c:dLbl>
            <c:dLbl>
              <c:idx val="3"/>
              <c:delete val="1"/>
              <c:extLst>
                <c:ext xmlns:c15="http://schemas.microsoft.com/office/drawing/2012/chart" uri="{CE6537A1-D6FC-4f65-9D91-7224C49458BB}"/>
                <c:ext xmlns:c16="http://schemas.microsoft.com/office/drawing/2014/chart" uri="{C3380CC4-5D6E-409C-BE32-E72D297353CC}">
                  <c16:uniqueId val="{00000006-9F48-42CF-8BB0-90D068F26CE1}"/>
                </c:ext>
              </c:extLst>
            </c:dLbl>
            <c:dLbl>
              <c:idx val="4"/>
              <c:delete val="1"/>
              <c:extLst>
                <c:ext xmlns:c15="http://schemas.microsoft.com/office/drawing/2012/chart" uri="{CE6537A1-D6FC-4f65-9D91-7224C49458BB}"/>
                <c:ext xmlns:c16="http://schemas.microsoft.com/office/drawing/2014/chart" uri="{C3380CC4-5D6E-409C-BE32-E72D297353CC}">
                  <c16:uniqueId val="{00000007-9F48-42CF-8BB0-90D068F26CE1}"/>
                </c:ext>
              </c:extLst>
            </c:dLbl>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Snaps'!$AE$102:$AS$102</c:f>
              <c:strCache>
                <c:ptCount val="15"/>
                <c:pt idx="0">
                  <c:v>Q2 20</c:v>
                </c:pt>
                <c:pt idx="1">
                  <c:v>Q3 20</c:v>
                </c:pt>
                <c:pt idx="2">
                  <c:v>Q4 20</c:v>
                </c:pt>
                <c:pt idx="3">
                  <c:v>Q1 21</c:v>
                </c:pt>
                <c:pt idx="4">
                  <c:v>Q2 21</c:v>
                </c:pt>
                <c:pt idx="5">
                  <c:v>Q3 21</c:v>
                </c:pt>
                <c:pt idx="6">
                  <c:v>Q4 21</c:v>
                </c:pt>
                <c:pt idx="7">
                  <c:v>Q1 22</c:v>
                </c:pt>
                <c:pt idx="8">
                  <c:v>Q2 22</c:v>
                </c:pt>
                <c:pt idx="9">
                  <c:v>Q3 22</c:v>
                </c:pt>
                <c:pt idx="10">
                  <c:v>Q4 22</c:v>
                </c:pt>
                <c:pt idx="11">
                  <c:v>Q1 23</c:v>
                </c:pt>
                <c:pt idx="12">
                  <c:v>Q2 23</c:v>
                </c:pt>
                <c:pt idx="13">
                  <c:v>Q3 23</c:v>
                </c:pt>
                <c:pt idx="14">
                  <c:v>Q4 23</c:v>
                </c:pt>
              </c:strCache>
            </c:strRef>
          </c:cat>
          <c:val>
            <c:numRef>
              <c:f>'Earnings Snaps'!$AE$104:$AS$104</c:f>
              <c:numCache>
                <c:formatCode>0.0%</c:formatCode>
                <c:ptCount val="15"/>
                <c:pt idx="0">
                  <c:v>7.7261088447183379E-2</c:v>
                </c:pt>
                <c:pt idx="1">
                  <c:v>6.4932630833628435E-2</c:v>
                </c:pt>
                <c:pt idx="2">
                  <c:v>7.4329908477792861E-2</c:v>
                </c:pt>
                <c:pt idx="3">
                  <c:v>7.2736218454662938E-2</c:v>
                </c:pt>
                <c:pt idx="4">
                  <c:v>6.4035290918430077E-2</c:v>
                </c:pt>
                <c:pt idx="5">
                  <c:v>5.823571973326569E-2</c:v>
                </c:pt>
                <c:pt idx="6">
                  <c:v>4.8198377875282583E-2</c:v>
                </c:pt>
                <c:pt idx="7">
                  <c:v>3.3940413171020811E-2</c:v>
                </c:pt>
                <c:pt idx="8">
                  <c:v>3.7947125805749327E-2</c:v>
                </c:pt>
                <c:pt idx="9">
                  <c:v>1.9495518802550071E-2</c:v>
                </c:pt>
                <c:pt idx="10">
                  <c:v>9.1783018782449766E-3</c:v>
                </c:pt>
                <c:pt idx="11">
                  <c:v>4.0164131379036405E-2</c:v>
                </c:pt>
                <c:pt idx="12">
                  <c:v>4.3153133435470892E-2</c:v>
                </c:pt>
                <c:pt idx="13">
                  <c:v>1.7808591625883663E-2</c:v>
                </c:pt>
                <c:pt idx="14">
                  <c:v>-2.6485428525255816E-3</c:v>
                </c:pt>
              </c:numCache>
            </c:numRef>
          </c:val>
          <c:smooth val="0"/>
          <c:extLst>
            <c:ext xmlns:c16="http://schemas.microsoft.com/office/drawing/2014/chart" uri="{C3380CC4-5D6E-409C-BE32-E72D297353CC}">
              <c16:uniqueId val="{00000008-9F48-42CF-8BB0-90D068F26CE1}"/>
            </c:ext>
          </c:extLst>
        </c:ser>
        <c:ser>
          <c:idx val="2"/>
          <c:order val="2"/>
          <c:tx>
            <c:strRef>
              <c:f>'Earnings Snaps'!$A$105</c:f>
              <c:strCache>
                <c:ptCount val="1"/>
                <c:pt idx="0">
                  <c:v>MEGA cable</c:v>
                </c:pt>
              </c:strCache>
            </c:strRef>
          </c:tx>
          <c:spPr>
            <a:ln w="25400" cap="rnd">
              <a:solidFill>
                <a:srgbClr val="F9663E"/>
              </a:solidFill>
              <a:prstDash val="solid"/>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9-9F48-42CF-8BB0-90D068F26CE1}"/>
                </c:ext>
              </c:extLst>
            </c:dLbl>
            <c:dLbl>
              <c:idx val="2"/>
              <c:delete val="1"/>
              <c:extLst>
                <c:ext xmlns:c15="http://schemas.microsoft.com/office/drawing/2012/chart" uri="{CE6537A1-D6FC-4f65-9D91-7224C49458BB}"/>
                <c:ext xmlns:c16="http://schemas.microsoft.com/office/drawing/2014/chart" uri="{C3380CC4-5D6E-409C-BE32-E72D297353CC}">
                  <c16:uniqueId val="{0000000A-9F48-42CF-8BB0-90D068F26CE1}"/>
                </c:ext>
              </c:extLst>
            </c:dLbl>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Snaps'!$AE$102:$AS$102</c:f>
              <c:strCache>
                <c:ptCount val="15"/>
                <c:pt idx="0">
                  <c:v>Q2 20</c:v>
                </c:pt>
                <c:pt idx="1">
                  <c:v>Q3 20</c:v>
                </c:pt>
                <c:pt idx="2">
                  <c:v>Q4 20</c:v>
                </c:pt>
                <c:pt idx="3">
                  <c:v>Q1 21</c:v>
                </c:pt>
                <c:pt idx="4">
                  <c:v>Q2 21</c:v>
                </c:pt>
                <c:pt idx="5">
                  <c:v>Q3 21</c:v>
                </c:pt>
                <c:pt idx="6">
                  <c:v>Q4 21</c:v>
                </c:pt>
                <c:pt idx="7">
                  <c:v>Q1 22</c:v>
                </c:pt>
                <c:pt idx="8">
                  <c:v>Q2 22</c:v>
                </c:pt>
                <c:pt idx="9">
                  <c:v>Q3 22</c:v>
                </c:pt>
                <c:pt idx="10">
                  <c:v>Q4 22</c:v>
                </c:pt>
                <c:pt idx="11">
                  <c:v>Q1 23</c:v>
                </c:pt>
                <c:pt idx="12">
                  <c:v>Q2 23</c:v>
                </c:pt>
                <c:pt idx="13">
                  <c:v>Q3 23</c:v>
                </c:pt>
                <c:pt idx="14">
                  <c:v>Q4 23</c:v>
                </c:pt>
              </c:strCache>
            </c:strRef>
          </c:cat>
          <c:val>
            <c:numRef>
              <c:f>'Earnings Snaps'!$AE$105:$AS$105</c:f>
              <c:numCache>
                <c:formatCode>0.0%</c:formatCode>
                <c:ptCount val="15"/>
                <c:pt idx="0">
                  <c:v>1.350615526185317E-2</c:v>
                </c:pt>
                <c:pt idx="1">
                  <c:v>6.7481874999999913E-2</c:v>
                </c:pt>
                <c:pt idx="2">
                  <c:v>8.5060236050259919E-2</c:v>
                </c:pt>
                <c:pt idx="3">
                  <c:v>8.9488805042994501E-2</c:v>
                </c:pt>
                <c:pt idx="4">
                  <c:v>0.11933043688411837</c:v>
                </c:pt>
                <c:pt idx="5">
                  <c:v>9.7694672021168438E-2</c:v>
                </c:pt>
                <c:pt idx="6">
                  <c:v>0.12241253664376783</c:v>
                </c:pt>
                <c:pt idx="7">
                  <c:v>0.10316272509113578</c:v>
                </c:pt>
                <c:pt idx="8">
                  <c:v>0.10100000000000001</c:v>
                </c:pt>
                <c:pt idx="9">
                  <c:v>9.0518041451565612E-2</c:v>
                </c:pt>
                <c:pt idx="10">
                  <c:v>6.6835881134052588E-2</c:v>
                </c:pt>
                <c:pt idx="11">
                  <c:v>8.2097888511479811E-2</c:v>
                </c:pt>
                <c:pt idx="12">
                  <c:v>0.10045330199814262</c:v>
                </c:pt>
                <c:pt idx="13">
                  <c:v>0.12617952559748669</c:v>
                </c:pt>
                <c:pt idx="14">
                  <c:v>0.1363249841471148</c:v>
                </c:pt>
              </c:numCache>
            </c:numRef>
          </c:val>
          <c:smooth val="0"/>
          <c:extLst>
            <c:ext xmlns:c16="http://schemas.microsoft.com/office/drawing/2014/chart" uri="{C3380CC4-5D6E-409C-BE32-E72D297353CC}">
              <c16:uniqueId val="{0000000B-9F48-42CF-8BB0-90D068F26CE1}"/>
            </c:ext>
          </c:extLst>
        </c:ser>
        <c:ser>
          <c:idx val="3"/>
          <c:order val="3"/>
          <c:tx>
            <c:strRef>
              <c:f>'Earnings Snaps'!$A$106</c:f>
              <c:strCache>
                <c:ptCount val="1"/>
                <c:pt idx="0">
                  <c:v>Telmex</c:v>
                </c:pt>
              </c:strCache>
            </c:strRef>
          </c:tx>
          <c:spPr>
            <a:ln w="25400" cap="rnd">
              <a:solidFill>
                <a:srgbClr val="C7FE02"/>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Snaps'!$AE$102:$AS$102</c:f>
              <c:strCache>
                <c:ptCount val="15"/>
                <c:pt idx="0">
                  <c:v>Q2 20</c:v>
                </c:pt>
                <c:pt idx="1">
                  <c:v>Q3 20</c:v>
                </c:pt>
                <c:pt idx="2">
                  <c:v>Q4 20</c:v>
                </c:pt>
                <c:pt idx="3">
                  <c:v>Q1 21</c:v>
                </c:pt>
                <c:pt idx="4">
                  <c:v>Q2 21</c:v>
                </c:pt>
                <c:pt idx="5">
                  <c:v>Q3 21</c:v>
                </c:pt>
                <c:pt idx="6">
                  <c:v>Q4 21</c:v>
                </c:pt>
                <c:pt idx="7">
                  <c:v>Q1 22</c:v>
                </c:pt>
                <c:pt idx="8">
                  <c:v>Q2 22</c:v>
                </c:pt>
                <c:pt idx="9">
                  <c:v>Q3 22</c:v>
                </c:pt>
                <c:pt idx="10">
                  <c:v>Q4 22</c:v>
                </c:pt>
                <c:pt idx="11">
                  <c:v>Q1 23</c:v>
                </c:pt>
                <c:pt idx="12">
                  <c:v>Q2 23</c:v>
                </c:pt>
                <c:pt idx="13">
                  <c:v>Q3 23</c:v>
                </c:pt>
                <c:pt idx="14">
                  <c:v>Q4 23</c:v>
                </c:pt>
              </c:strCache>
            </c:strRef>
          </c:cat>
          <c:val>
            <c:numRef>
              <c:f>'Earnings Snaps'!$AE$106:$AS$106</c:f>
              <c:numCache>
                <c:formatCode>0.0%</c:formatCode>
                <c:ptCount val="15"/>
                <c:pt idx="0">
                  <c:v>-5.9119621002763467E-2</c:v>
                </c:pt>
                <c:pt idx="1">
                  <c:v>-4.7392394697783891E-2</c:v>
                </c:pt>
                <c:pt idx="2">
                  <c:v>-2.5054129291679605E-2</c:v>
                </c:pt>
                <c:pt idx="3">
                  <c:v>-2.6254988447804717E-4</c:v>
                </c:pt>
                <c:pt idx="4">
                  <c:v>-4.300849680058727E-3</c:v>
                </c:pt>
                <c:pt idx="5">
                  <c:v>1.9341320582388688E-2</c:v>
                </c:pt>
                <c:pt idx="6">
                  <c:v>1.3271996615905168E-2</c:v>
                </c:pt>
                <c:pt idx="7">
                  <c:v>-3.1724355270760007E-2</c:v>
                </c:pt>
                <c:pt idx="8">
                  <c:v>-2.5000000000000001E-2</c:v>
                </c:pt>
                <c:pt idx="9">
                  <c:v>2.6353238813050517E-3</c:v>
                </c:pt>
                <c:pt idx="10">
                  <c:v>-1.2732870636121718E-2</c:v>
                </c:pt>
                <c:pt idx="11">
                  <c:v>4.1117439652834209E-2</c:v>
                </c:pt>
                <c:pt idx="12">
                  <c:v>5.589189189189181E-2</c:v>
                </c:pt>
                <c:pt idx="13">
                  <c:v>3.5903905798244207E-2</c:v>
                </c:pt>
                <c:pt idx="14">
                  <c:v>5.9358317035784092E-2</c:v>
                </c:pt>
              </c:numCache>
            </c:numRef>
          </c:val>
          <c:smooth val="0"/>
          <c:extLst>
            <c:ext xmlns:c16="http://schemas.microsoft.com/office/drawing/2014/chart" uri="{C3380CC4-5D6E-409C-BE32-E72D297353CC}">
              <c16:uniqueId val="{0000000C-9F48-42CF-8BB0-90D068F26CE1}"/>
            </c:ext>
          </c:extLst>
        </c:ser>
        <c:dLbls>
          <c:showLegendKey val="0"/>
          <c:showVal val="0"/>
          <c:showCatName val="0"/>
          <c:showSerName val="0"/>
          <c:showPercent val="0"/>
          <c:showBubbleSize val="0"/>
        </c:dLbls>
        <c:smooth val="0"/>
        <c:axId val="1183144960"/>
        <c:axId val="1178271328"/>
      </c:lineChart>
      <c:catAx>
        <c:axId val="1183144960"/>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178271328"/>
        <c:crosses val="autoZero"/>
        <c:auto val="1"/>
        <c:lblAlgn val="ctr"/>
        <c:lblOffset val="100"/>
        <c:noMultiLvlLbl val="0"/>
      </c:catAx>
      <c:valAx>
        <c:axId val="1178271328"/>
        <c:scaling>
          <c:orientation val="minMax"/>
        </c:scaling>
        <c:delete val="1"/>
        <c:axPos val="l"/>
        <c:numFmt formatCode="0%" sourceLinked="0"/>
        <c:majorTickMark val="out"/>
        <c:minorTickMark val="none"/>
        <c:tickLblPos val="nextTo"/>
        <c:crossAx val="1183144960"/>
        <c:crosses val="autoZero"/>
        <c:crossBetween val="between"/>
      </c:valAx>
      <c:spPr>
        <a:noFill/>
        <a:ln w="25400">
          <a:noFill/>
        </a:ln>
        <a:effectLst/>
      </c:spPr>
    </c:plotArea>
    <c:legend>
      <c:legendPos val="b"/>
      <c:layout>
        <c:manualLayout>
          <c:xMode val="edge"/>
          <c:yMode val="edge"/>
          <c:x val="5.2814478187122482E-2"/>
          <c:y val="0.85590470787578099"/>
          <c:w val="0.90159097802409904"/>
          <c:h val="0.11552385283983986"/>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908234218937631E-2"/>
          <c:y val="4.3818460463327678E-2"/>
          <c:w val="0.90882601246639283"/>
          <c:h val="0.6766071913424615"/>
        </c:manualLayout>
      </c:layout>
      <c:lineChart>
        <c:grouping val="standard"/>
        <c:varyColors val="0"/>
        <c:ser>
          <c:idx val="0"/>
          <c:order val="0"/>
          <c:tx>
            <c:strRef>
              <c:f>'Earnings Snaps'!$A$111</c:f>
              <c:strCache>
                <c:ptCount val="1"/>
                <c:pt idx="0">
                  <c:v>Izzy</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Snaps'!$AH$102:$AT$102</c:f>
              <c:strCache>
                <c:ptCount val="13"/>
                <c:pt idx="0">
                  <c:v>Q1 21</c:v>
                </c:pt>
                <c:pt idx="1">
                  <c:v>Q2 21</c:v>
                </c:pt>
                <c:pt idx="2">
                  <c:v>Q3 21</c:v>
                </c:pt>
                <c:pt idx="3">
                  <c:v>Q4 21</c:v>
                </c:pt>
                <c:pt idx="4">
                  <c:v>Q1 22</c:v>
                </c:pt>
                <c:pt idx="5">
                  <c:v>Q2 22</c:v>
                </c:pt>
                <c:pt idx="6">
                  <c:v>Q3 22</c:v>
                </c:pt>
                <c:pt idx="7">
                  <c:v>Q4 22</c:v>
                </c:pt>
                <c:pt idx="8">
                  <c:v>Q1 23</c:v>
                </c:pt>
                <c:pt idx="9">
                  <c:v>Q2 23</c:v>
                </c:pt>
                <c:pt idx="10">
                  <c:v>Q3 23</c:v>
                </c:pt>
                <c:pt idx="11">
                  <c:v>Q4 23</c:v>
                </c:pt>
                <c:pt idx="12">
                  <c:v>Q1 24</c:v>
                </c:pt>
              </c:strCache>
            </c:strRef>
          </c:cat>
          <c:val>
            <c:numRef>
              <c:f>'Earnings Snaps'!$AH$111:$AT$111</c:f>
              <c:numCache>
                <c:formatCode>0.0%</c:formatCode>
                <c:ptCount val="13"/>
                <c:pt idx="0">
                  <c:v>7.6676391332427762E-2</c:v>
                </c:pt>
                <c:pt idx="1">
                  <c:v>7.8084398153119405E-2</c:v>
                </c:pt>
                <c:pt idx="2">
                  <c:v>5.5830049825922101E-2</c:v>
                </c:pt>
                <c:pt idx="3">
                  <c:v>8.2949866795834382E-2</c:v>
                </c:pt>
                <c:pt idx="4">
                  <c:v>2.9930087287469487E-2</c:v>
                </c:pt>
                <c:pt idx="5">
                  <c:v>-1.3605306667197947E-2</c:v>
                </c:pt>
                <c:pt idx="6">
                  <c:v>-3.0032579721591568E-2</c:v>
                </c:pt>
                <c:pt idx="7">
                  <c:v>-5.7121025755712096E-2</c:v>
                </c:pt>
                <c:pt idx="8">
                  <c:v>-4.478541160404137E-3</c:v>
                </c:pt>
                <c:pt idx="9">
                  <c:v>-2.2294923058281957E-2</c:v>
                </c:pt>
                <c:pt idx="10">
                  <c:v>-0.12042993241592692</c:v>
                </c:pt>
                <c:pt idx="11">
                  <c:v>-7.0661949281521141E-2</c:v>
                </c:pt>
                <c:pt idx="12">
                  <c:v>-8.6999999999999994E-2</c:v>
                </c:pt>
              </c:numCache>
            </c:numRef>
          </c:val>
          <c:smooth val="0"/>
          <c:extLst>
            <c:ext xmlns:c16="http://schemas.microsoft.com/office/drawing/2014/chart" uri="{C3380CC4-5D6E-409C-BE32-E72D297353CC}">
              <c16:uniqueId val="{00000000-639B-4C9F-B3E8-DB67F9713A48}"/>
            </c:ext>
          </c:extLst>
        </c:ser>
        <c:ser>
          <c:idx val="1"/>
          <c:order val="1"/>
          <c:tx>
            <c:strRef>
              <c:f>'Earnings Snaps'!$A$112</c:f>
              <c:strCache>
                <c:ptCount val="1"/>
                <c:pt idx="0">
                  <c:v>Televisa MSO</c:v>
                </c:pt>
              </c:strCache>
            </c:strRef>
          </c:tx>
          <c:spPr>
            <a:ln w="25400" cap="rnd">
              <a:solidFill>
                <a:srgbClr val="F9663E"/>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Snaps'!$AH$102:$AT$102</c:f>
              <c:strCache>
                <c:ptCount val="13"/>
                <c:pt idx="0">
                  <c:v>Q1 21</c:v>
                </c:pt>
                <c:pt idx="1">
                  <c:v>Q2 21</c:v>
                </c:pt>
                <c:pt idx="2">
                  <c:v>Q3 21</c:v>
                </c:pt>
                <c:pt idx="3">
                  <c:v>Q4 21</c:v>
                </c:pt>
                <c:pt idx="4">
                  <c:v>Q1 22</c:v>
                </c:pt>
                <c:pt idx="5">
                  <c:v>Q2 22</c:v>
                </c:pt>
                <c:pt idx="6">
                  <c:v>Q3 22</c:v>
                </c:pt>
                <c:pt idx="7">
                  <c:v>Q4 22</c:v>
                </c:pt>
                <c:pt idx="8">
                  <c:v>Q1 23</c:v>
                </c:pt>
                <c:pt idx="9">
                  <c:v>Q2 23</c:v>
                </c:pt>
                <c:pt idx="10">
                  <c:v>Q3 23</c:v>
                </c:pt>
                <c:pt idx="11">
                  <c:v>Q4 23</c:v>
                </c:pt>
                <c:pt idx="12">
                  <c:v>Q1 24</c:v>
                </c:pt>
              </c:strCache>
            </c:strRef>
          </c:cat>
          <c:val>
            <c:numRef>
              <c:f>'Earnings Snaps'!$AH$112:$AT$112</c:f>
              <c:numCache>
                <c:formatCode>0.0%</c:formatCode>
                <c:ptCount val="13"/>
                <c:pt idx="0">
                  <c:v>8.7466951269798976E-2</c:v>
                </c:pt>
                <c:pt idx="1">
                  <c:v>7.1964161655846404E-2</c:v>
                </c:pt>
                <c:pt idx="2">
                  <c:v>6.0211422358955158E-2</c:v>
                </c:pt>
                <c:pt idx="3">
                  <c:v>8.379925750324313E-2</c:v>
                </c:pt>
                <c:pt idx="4">
                  <c:v>4.2647157227934773E-2</c:v>
                </c:pt>
                <c:pt idx="5">
                  <c:v>4.983574317831363E-2</c:v>
                </c:pt>
                <c:pt idx="6">
                  <c:v>2.9017759741676308E-3</c:v>
                </c:pt>
                <c:pt idx="7">
                  <c:v>1.0338210107096124E-2</c:v>
                </c:pt>
                <c:pt idx="8">
                  <c:v>1.4375869076906689E-2</c:v>
                </c:pt>
                <c:pt idx="9">
                  <c:v>-1.4347446622815396E-2</c:v>
                </c:pt>
                <c:pt idx="10">
                  <c:v>-7.3139426110035433E-2</c:v>
                </c:pt>
                <c:pt idx="11">
                  <c:v>-6.6745639475511709E-2</c:v>
                </c:pt>
                <c:pt idx="12">
                  <c:v>-8.6999999999999966E-2</c:v>
                </c:pt>
              </c:numCache>
            </c:numRef>
          </c:val>
          <c:smooth val="0"/>
          <c:extLst>
            <c:ext xmlns:c16="http://schemas.microsoft.com/office/drawing/2014/chart" uri="{C3380CC4-5D6E-409C-BE32-E72D297353CC}">
              <c16:uniqueId val="{00000001-639B-4C9F-B3E8-DB67F9713A48}"/>
            </c:ext>
          </c:extLst>
        </c:ser>
        <c:ser>
          <c:idx val="2"/>
          <c:order val="2"/>
          <c:tx>
            <c:strRef>
              <c:f>'Earnings Snaps'!$A$113</c:f>
              <c:strCache>
                <c:ptCount val="1"/>
                <c:pt idx="0">
                  <c:v>MEGA</c:v>
                </c:pt>
              </c:strCache>
            </c:strRef>
          </c:tx>
          <c:spPr>
            <a:ln w="25400" cap="rnd">
              <a:solidFill>
                <a:srgbClr val="C7FE02"/>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Snaps'!$AH$102:$AT$102</c:f>
              <c:strCache>
                <c:ptCount val="13"/>
                <c:pt idx="0">
                  <c:v>Q1 21</c:v>
                </c:pt>
                <c:pt idx="1">
                  <c:v>Q2 21</c:v>
                </c:pt>
                <c:pt idx="2">
                  <c:v>Q3 21</c:v>
                </c:pt>
                <c:pt idx="3">
                  <c:v>Q4 21</c:v>
                </c:pt>
                <c:pt idx="4">
                  <c:v>Q1 22</c:v>
                </c:pt>
                <c:pt idx="5">
                  <c:v>Q2 22</c:v>
                </c:pt>
                <c:pt idx="6">
                  <c:v>Q3 22</c:v>
                </c:pt>
                <c:pt idx="7">
                  <c:v>Q4 22</c:v>
                </c:pt>
                <c:pt idx="8">
                  <c:v>Q1 23</c:v>
                </c:pt>
                <c:pt idx="9">
                  <c:v>Q2 23</c:v>
                </c:pt>
                <c:pt idx="10">
                  <c:v>Q3 23</c:v>
                </c:pt>
                <c:pt idx="11">
                  <c:v>Q4 23</c:v>
                </c:pt>
                <c:pt idx="12">
                  <c:v>Q1 24</c:v>
                </c:pt>
              </c:strCache>
            </c:strRef>
          </c:cat>
          <c:val>
            <c:numRef>
              <c:f>'Earnings Snaps'!$AH$113:$AT$113</c:f>
              <c:numCache>
                <c:formatCode>0.0%</c:formatCode>
                <c:ptCount val="13"/>
                <c:pt idx="0">
                  <c:v>9.5395834234278887E-2</c:v>
                </c:pt>
                <c:pt idx="1">
                  <c:v>0.11859159936920571</c:v>
                </c:pt>
                <c:pt idx="2">
                  <c:v>8.7999999999999995E-2</c:v>
                </c:pt>
                <c:pt idx="3">
                  <c:v>0.13363084598915265</c:v>
                </c:pt>
                <c:pt idx="4">
                  <c:v>7.8632397287918154E-2</c:v>
                </c:pt>
                <c:pt idx="5">
                  <c:v>8.0107822410147897E-2</c:v>
                </c:pt>
                <c:pt idx="6">
                  <c:v>4.6471352287487333E-2</c:v>
                </c:pt>
                <c:pt idx="7">
                  <c:v>2.9770583408494922E-3</c:v>
                </c:pt>
                <c:pt idx="8">
                  <c:v>8.0529148597552336E-3</c:v>
                </c:pt>
                <c:pt idx="9">
                  <c:v>9.2038549644968271E-3</c:v>
                </c:pt>
                <c:pt idx="10">
                  <c:v>5.3525631668893014E-2</c:v>
                </c:pt>
                <c:pt idx="11">
                  <c:v>0.11403042596348878</c:v>
                </c:pt>
                <c:pt idx="12">
                  <c:v>0.12387491360451675</c:v>
                </c:pt>
              </c:numCache>
            </c:numRef>
          </c:val>
          <c:smooth val="0"/>
          <c:extLst>
            <c:ext xmlns:c16="http://schemas.microsoft.com/office/drawing/2014/chart" uri="{C3380CC4-5D6E-409C-BE32-E72D297353CC}">
              <c16:uniqueId val="{00000002-639B-4C9F-B3E8-DB67F9713A48}"/>
            </c:ext>
          </c:extLst>
        </c:ser>
        <c:dLbls>
          <c:showLegendKey val="0"/>
          <c:showVal val="0"/>
          <c:showCatName val="0"/>
          <c:showSerName val="0"/>
          <c:showPercent val="0"/>
          <c:showBubbleSize val="0"/>
        </c:dLbls>
        <c:smooth val="0"/>
        <c:axId val="1183144960"/>
        <c:axId val="1178271328"/>
      </c:lineChart>
      <c:catAx>
        <c:axId val="1183144960"/>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178271328"/>
        <c:crosses val="autoZero"/>
        <c:auto val="1"/>
        <c:lblAlgn val="ctr"/>
        <c:lblOffset val="100"/>
        <c:noMultiLvlLbl val="0"/>
      </c:catAx>
      <c:valAx>
        <c:axId val="1178271328"/>
        <c:scaling>
          <c:orientation val="minMax"/>
        </c:scaling>
        <c:delete val="1"/>
        <c:axPos val="l"/>
        <c:numFmt formatCode="0%" sourceLinked="0"/>
        <c:majorTickMark val="out"/>
        <c:minorTickMark val="none"/>
        <c:tickLblPos val="nextTo"/>
        <c:crossAx val="118314496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1473857918375405E-2"/>
          <c:y val="5.2953139838946763E-2"/>
          <c:w val="0.85487278162359703"/>
          <c:h val="0.65326991486470287"/>
        </c:manualLayout>
      </c:layout>
      <c:barChart>
        <c:barDir val="col"/>
        <c:grouping val="clustered"/>
        <c:varyColors val="0"/>
        <c:ser>
          <c:idx val="0"/>
          <c:order val="0"/>
          <c:tx>
            <c:strRef>
              <c:f>'Earnings Snaps'!$AG$207</c:f>
              <c:strCache>
                <c:ptCount val="1"/>
                <c:pt idx="0">
                  <c:v>OpFCF</c:v>
                </c:pt>
              </c:strCache>
            </c:strRef>
          </c:tx>
          <c:spPr>
            <a:solidFill>
              <a:srgbClr val="263238"/>
            </a:solidFill>
            <a:ln>
              <a:noFill/>
            </a:ln>
            <a:effectLst/>
          </c:spPr>
          <c:invertIfNegative val="0"/>
          <c:cat>
            <c:strRef>
              <c:f>'Earnings Snaps'!$AH$206:$AT$206</c:f>
              <c:strCache>
                <c:ptCount val="13"/>
                <c:pt idx="0">
                  <c:v>1Q23</c:v>
                </c:pt>
                <c:pt idx="1">
                  <c:v>2Q23</c:v>
                </c:pt>
                <c:pt idx="2">
                  <c:v>3Q23</c:v>
                </c:pt>
                <c:pt idx="3">
                  <c:v>4Q23</c:v>
                </c:pt>
                <c:pt idx="4">
                  <c:v>1Q24</c:v>
                </c:pt>
                <c:pt idx="5">
                  <c:v>2Q24</c:v>
                </c:pt>
                <c:pt idx="6">
                  <c:v>3Q24</c:v>
                </c:pt>
                <c:pt idx="7">
                  <c:v>4Q24 ex other exp</c:v>
                </c:pt>
                <c:pt idx="8">
                  <c:v>1Q25</c:v>
                </c:pt>
                <c:pt idx="9">
                  <c:v>2Q25</c:v>
                </c:pt>
                <c:pt idx="10">
                  <c:v>3Q25</c:v>
                </c:pt>
                <c:pt idx="11">
                  <c:v>4Q25</c:v>
                </c:pt>
                <c:pt idx="12">
                  <c:v>1Q26</c:v>
                </c:pt>
              </c:strCache>
            </c:strRef>
          </c:cat>
          <c:val>
            <c:numRef>
              <c:f>'Earnings Snaps'!$AH$207:$AT$207</c:f>
              <c:numCache>
                <c:formatCode>#,##0</c:formatCode>
                <c:ptCount val="13"/>
                <c:pt idx="0">
                  <c:v>2578.1399999999994</c:v>
                </c:pt>
                <c:pt idx="1">
                  <c:v>2738.6859999999979</c:v>
                </c:pt>
                <c:pt idx="2">
                  <c:v>2281.7379999999998</c:v>
                </c:pt>
                <c:pt idx="3">
                  <c:v>1910.2150000000011</c:v>
                </c:pt>
                <c:pt idx="4">
                  <c:v>5924.7999999999993</c:v>
                </c:pt>
                <c:pt idx="5">
                  <c:v>3537.275000000001</c:v>
                </c:pt>
                <c:pt idx="6">
                  <c:v>2848.5480000000007</c:v>
                </c:pt>
                <c:pt idx="7">
                  <c:v>2325.132000000001</c:v>
                </c:pt>
                <c:pt idx="8">
                  <c:v>3564.3900000000003</c:v>
                </c:pt>
                <c:pt idx="9">
                  <c:v>3229.7409999999995</c:v>
                </c:pt>
                <c:pt idx="10">
                  <c:v>1885.8400000000011</c:v>
                </c:pt>
                <c:pt idx="11">
                  <c:v>527.96</c:v>
                </c:pt>
                <c:pt idx="12">
                  <c:v>3311.0427</c:v>
                </c:pt>
              </c:numCache>
            </c:numRef>
          </c:val>
          <c:extLst>
            <c:ext xmlns:c16="http://schemas.microsoft.com/office/drawing/2014/chart" uri="{C3380CC4-5D6E-409C-BE32-E72D297353CC}">
              <c16:uniqueId val="{00000000-3847-4986-8373-DD0E19E8F0E7}"/>
            </c:ext>
          </c:extLst>
        </c:ser>
        <c:dLbls>
          <c:showLegendKey val="0"/>
          <c:showVal val="0"/>
          <c:showCatName val="0"/>
          <c:showSerName val="0"/>
          <c:showPercent val="0"/>
          <c:showBubbleSize val="0"/>
        </c:dLbls>
        <c:gapWidth val="75"/>
        <c:axId val="1495160607"/>
        <c:axId val="1495161855"/>
      </c:barChart>
      <c:lineChart>
        <c:grouping val="standard"/>
        <c:varyColors val="0"/>
        <c:ser>
          <c:idx val="1"/>
          <c:order val="1"/>
          <c:tx>
            <c:strRef>
              <c:f>'Earnings Snaps'!$AG$208</c:f>
              <c:strCache>
                <c:ptCount val="1"/>
                <c:pt idx="0">
                  <c:v>OpFCF margin (RHS)</c:v>
                </c:pt>
              </c:strCache>
            </c:strRef>
          </c:tx>
          <c:spPr>
            <a:ln w="28575" cap="rnd">
              <a:solidFill>
                <a:schemeClr val="accent2"/>
              </a:solidFill>
              <a:round/>
            </a:ln>
            <a:effectLst/>
          </c:spPr>
          <c:marker>
            <c:symbol val="none"/>
          </c:marker>
          <c:cat>
            <c:strRef>
              <c:f>'Earnings Snaps'!$AH$206:$AT$206</c:f>
              <c:strCache>
                <c:ptCount val="13"/>
                <c:pt idx="0">
                  <c:v>1Q23</c:v>
                </c:pt>
                <c:pt idx="1">
                  <c:v>2Q23</c:v>
                </c:pt>
                <c:pt idx="2">
                  <c:v>3Q23</c:v>
                </c:pt>
                <c:pt idx="3">
                  <c:v>4Q23</c:v>
                </c:pt>
                <c:pt idx="4">
                  <c:v>1Q24</c:v>
                </c:pt>
                <c:pt idx="5">
                  <c:v>2Q24</c:v>
                </c:pt>
                <c:pt idx="6">
                  <c:v>3Q24</c:v>
                </c:pt>
                <c:pt idx="7">
                  <c:v>4Q24 ex other exp</c:v>
                </c:pt>
                <c:pt idx="8">
                  <c:v>1Q25</c:v>
                </c:pt>
                <c:pt idx="9">
                  <c:v>2Q25</c:v>
                </c:pt>
                <c:pt idx="10">
                  <c:v>3Q25</c:v>
                </c:pt>
                <c:pt idx="11">
                  <c:v>4Q25</c:v>
                </c:pt>
                <c:pt idx="12">
                  <c:v>1Q26</c:v>
                </c:pt>
              </c:strCache>
            </c:strRef>
          </c:cat>
          <c:val>
            <c:numRef>
              <c:f>'Earnings Snaps'!$AH$208:$AT$208</c:f>
              <c:numCache>
                <c:formatCode>0%</c:formatCode>
                <c:ptCount val="13"/>
                <c:pt idx="0">
                  <c:v>0.13921143005248487</c:v>
                </c:pt>
                <c:pt idx="1">
                  <c:v>0.14787561689398593</c:v>
                </c:pt>
                <c:pt idx="2">
                  <c:v>0.12457825799723733</c:v>
                </c:pt>
                <c:pt idx="3">
                  <c:v>0.10374611674740943</c:v>
                </c:pt>
                <c:pt idx="4">
                  <c:v>0.37142821319758762</c:v>
                </c:pt>
                <c:pt idx="5">
                  <c:v>0.22501319949364842</c:v>
                </c:pt>
                <c:pt idx="6">
                  <c:v>0.18541854349467551</c:v>
                </c:pt>
                <c:pt idx="7">
                  <c:v>0.15270398781064473</c:v>
                </c:pt>
                <c:pt idx="8">
                  <c:v>0.23804495912806542</c:v>
                </c:pt>
                <c:pt idx="9">
                  <c:v>0.21927172865154043</c:v>
                </c:pt>
                <c:pt idx="10">
                  <c:v>0.12892869351199843</c:v>
                </c:pt>
                <c:pt idx="11">
                  <c:v>3.6290400186964708E-2</c:v>
                </c:pt>
                <c:pt idx="12">
                  <c:v>0.22815109043927648</c:v>
                </c:pt>
              </c:numCache>
            </c:numRef>
          </c:val>
          <c:smooth val="0"/>
          <c:extLst>
            <c:ext xmlns:c16="http://schemas.microsoft.com/office/drawing/2014/chart" uri="{C3380CC4-5D6E-409C-BE32-E72D297353CC}">
              <c16:uniqueId val="{00000002-3847-4986-8373-DD0E19E8F0E7}"/>
            </c:ext>
          </c:extLst>
        </c:ser>
        <c:dLbls>
          <c:showLegendKey val="0"/>
          <c:showVal val="0"/>
          <c:showCatName val="0"/>
          <c:showSerName val="0"/>
          <c:showPercent val="0"/>
          <c:showBubbleSize val="0"/>
        </c:dLbls>
        <c:marker val="1"/>
        <c:smooth val="0"/>
        <c:axId val="709366111"/>
        <c:axId val="709369951"/>
      </c:lineChart>
      <c:catAx>
        <c:axId val="149516060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crossAx val="1495161855"/>
        <c:crosses val="autoZero"/>
        <c:auto val="1"/>
        <c:lblAlgn val="ctr"/>
        <c:lblOffset val="100"/>
        <c:noMultiLvlLbl val="0"/>
      </c:catAx>
      <c:valAx>
        <c:axId val="149516185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95160607"/>
        <c:crosses val="autoZero"/>
        <c:crossBetween val="between"/>
      </c:valAx>
      <c:valAx>
        <c:axId val="709369951"/>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9366111"/>
        <c:crosses val="max"/>
        <c:crossBetween val="between"/>
      </c:valAx>
      <c:catAx>
        <c:axId val="709366111"/>
        <c:scaling>
          <c:orientation val="minMax"/>
        </c:scaling>
        <c:delete val="1"/>
        <c:axPos val="b"/>
        <c:numFmt formatCode="General" sourceLinked="1"/>
        <c:majorTickMark val="out"/>
        <c:minorTickMark val="none"/>
        <c:tickLblPos val="nextTo"/>
        <c:crossAx val="709369951"/>
        <c:crosses val="autoZero"/>
        <c:auto val="1"/>
        <c:lblAlgn val="ctr"/>
        <c:lblOffset val="100"/>
        <c:noMultiLvlLbl val="0"/>
      </c:catAx>
      <c:spPr>
        <a:noFill/>
        <a:ln>
          <a:noFill/>
        </a:ln>
        <a:effectLst/>
      </c:spPr>
    </c:plotArea>
    <c:legend>
      <c:legendPos val="b"/>
      <c:layout>
        <c:manualLayout>
          <c:xMode val="edge"/>
          <c:yMode val="edge"/>
          <c:x val="5.3787489084947716E-2"/>
          <c:y val="0.9272286395672622"/>
          <c:w val="0.87167057995537922"/>
          <c:h val="5.2466791904819003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Roboto" pitchFamily="2" charset="0"/>
              <a:ea typeface="Roboto" pitchFamily="2" charset="0"/>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VOD!$B$216</c:f>
              <c:strCache>
                <c:ptCount val="1"/>
                <c:pt idx="0">
                  <c:v>Net debt to EBITDA</c:v>
                </c:pt>
              </c:strCache>
            </c:strRef>
          </c:tx>
          <c:spPr>
            <a:ln w="25400" cap="rnd">
              <a:solidFill>
                <a:srgbClr val="333399"/>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VOD!$F$238:$N$238</c:f>
              <c:numCache>
                <c:formatCode>General</c:formatCode>
                <c:ptCount val="9"/>
                <c:pt idx="0">
                  <c:v>2022</c:v>
                </c:pt>
                <c:pt idx="1">
                  <c:v>2023</c:v>
                </c:pt>
                <c:pt idx="2">
                  <c:v>2024</c:v>
                </c:pt>
                <c:pt idx="3">
                  <c:v>2025</c:v>
                </c:pt>
                <c:pt idx="4">
                  <c:v>2026</c:v>
                </c:pt>
                <c:pt idx="5">
                  <c:v>2027</c:v>
                </c:pt>
                <c:pt idx="6">
                  <c:v>2028</c:v>
                </c:pt>
                <c:pt idx="7">
                  <c:v>2029</c:v>
                </c:pt>
                <c:pt idx="8">
                  <c:v>2030</c:v>
                </c:pt>
              </c:numCache>
            </c:numRef>
          </c:cat>
          <c:val>
            <c:numRef>
              <c:f>VOD!$F$216:$N$216</c:f>
              <c:numCache>
                <c:formatCode>0.0\x</c:formatCode>
                <c:ptCount val="9"/>
                <c:pt idx="0">
                  <c:v>5.6133727810650882</c:v>
                </c:pt>
                <c:pt idx="1">
                  <c:v>5.9798786527984156</c:v>
                </c:pt>
                <c:pt idx="2">
                  <c:v>5.8354252946798351</c:v>
                </c:pt>
                <c:pt idx="3">
                  <c:v>5.5346781222761807</c:v>
                </c:pt>
                <c:pt idx="4">
                  <c:v>5.035684046571177</c:v>
                </c:pt>
                <c:pt idx="5">
                  <c:v>4.5828652060769759</c:v>
                </c:pt>
                <c:pt idx="6">
                  <c:v>3.9712032382256179</c:v>
                </c:pt>
                <c:pt idx="7">
                  <c:v>3.4216003571062474</c:v>
                </c:pt>
                <c:pt idx="8">
                  <c:v>2.8800322302785992</c:v>
                </c:pt>
              </c:numCache>
            </c:numRef>
          </c:val>
          <c:smooth val="0"/>
          <c:extLst>
            <c:ext xmlns:c16="http://schemas.microsoft.com/office/drawing/2014/chart" uri="{C3380CC4-5D6E-409C-BE32-E72D297353CC}">
              <c16:uniqueId val="{00000000-E935-4E84-8017-D4EB82A07B25}"/>
            </c:ext>
          </c:extLst>
        </c:ser>
        <c:dLbls>
          <c:dLblPos val="t"/>
          <c:showLegendKey val="0"/>
          <c:showVal val="1"/>
          <c:showCatName val="0"/>
          <c:showSerName val="0"/>
          <c:showPercent val="0"/>
          <c:showBubbleSize val="0"/>
        </c:dLbls>
        <c:smooth val="0"/>
        <c:axId val="51021839"/>
        <c:axId val="51022671"/>
      </c:lineChart>
      <c:catAx>
        <c:axId val="51021839"/>
        <c:scaling>
          <c:orientation val="minMax"/>
        </c:scaling>
        <c:delete val="0"/>
        <c:axPos val="b"/>
        <c:numFmt formatCode="General" sourceLinked="1"/>
        <c:majorTickMark val="none"/>
        <c:minorTickMark val="none"/>
        <c:tickLblPos val="low"/>
        <c:spPr>
          <a:noFill/>
          <a:ln w="9525" cap="flat" cmpd="sng" algn="ctr">
            <a:solidFill>
              <a:schemeClr val="tx1">
                <a:lumMod val="95000"/>
                <a:lumOff val="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51022671"/>
        <c:crosses val="autoZero"/>
        <c:auto val="1"/>
        <c:lblAlgn val="ctr"/>
        <c:lblOffset val="100"/>
        <c:noMultiLvlLbl val="0"/>
      </c:catAx>
      <c:valAx>
        <c:axId val="51022671"/>
        <c:scaling>
          <c:orientation val="minMax"/>
        </c:scaling>
        <c:delete val="0"/>
        <c:axPos val="l"/>
        <c:majorGridlines>
          <c:spPr>
            <a:ln w="3175" cap="flat" cmpd="sng" algn="ctr">
              <a:solidFill>
                <a:srgbClr val="C0C0C0"/>
              </a:solidFill>
              <a:prstDash val="solid"/>
              <a:round/>
            </a:ln>
            <a:effectLst/>
          </c:spPr>
        </c:majorGridlines>
        <c:numFmt formatCode="0.0\x" sourceLinked="1"/>
        <c:majorTickMark val="none"/>
        <c:minorTickMark val="none"/>
        <c:tickLblPos val="nextTo"/>
        <c:spPr>
          <a:noFill/>
          <a:ln>
            <a:solidFill>
              <a:schemeClr val="tx1">
                <a:lumMod val="95000"/>
                <a:lumOff val="5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51021839"/>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9944953436221548E-2"/>
          <c:y val="5.1846065061801477E-2"/>
          <c:w val="0.96124770731783094"/>
          <c:h val="0.83269456655464902"/>
        </c:manualLayout>
      </c:layout>
      <c:lineChart>
        <c:grouping val="standard"/>
        <c:varyColors val="0"/>
        <c:ser>
          <c:idx val="0"/>
          <c:order val="0"/>
          <c:spPr>
            <a:ln w="25400" cap="rnd">
              <a:solidFill>
                <a:srgbClr val="26323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'VOD-quarts'!$J$109:$V$109</c:f>
              <c:strCache>
                <c:ptCount val="13"/>
                <c:pt idx="0">
                  <c:v>Q4 22</c:v>
                </c:pt>
                <c:pt idx="1">
                  <c:v>Q1 23</c:v>
                </c:pt>
                <c:pt idx="2">
                  <c:v>Q2 23</c:v>
                </c:pt>
                <c:pt idx="3">
                  <c:v>Q3 23</c:v>
                </c:pt>
                <c:pt idx="4">
                  <c:v>Q4 23</c:v>
                </c:pt>
                <c:pt idx="5">
                  <c:v>Q1 24</c:v>
                </c:pt>
                <c:pt idx="6">
                  <c:v>Q2 24</c:v>
                </c:pt>
                <c:pt idx="7">
                  <c:v>Q3 24</c:v>
                </c:pt>
                <c:pt idx="8">
                  <c:v>Q4 24</c:v>
                </c:pt>
                <c:pt idx="9">
                  <c:v>Q1 25</c:v>
                </c:pt>
                <c:pt idx="10">
                  <c:v>Q2 25</c:v>
                </c:pt>
                <c:pt idx="11">
                  <c:v>Q3 25</c:v>
                </c:pt>
                <c:pt idx="12">
                  <c:v>Q4 25</c:v>
                </c:pt>
              </c:strCache>
            </c:strRef>
          </c:cat>
          <c:val>
            <c:numRef>
              <c:f>'VOD-quarts'!$J$110:$V$110</c:f>
              <c:numCache>
                <c:formatCode>0.0%</c:formatCode>
                <c:ptCount val="13"/>
                <c:pt idx="0">
                  <c:v>-9.9679709253112092E-3</c:v>
                </c:pt>
                <c:pt idx="1">
                  <c:v>7.4251560487318846E-2</c:v>
                </c:pt>
                <c:pt idx="2">
                  <c:v>0.13799494244820543</c:v>
                </c:pt>
                <c:pt idx="3">
                  <c:v>2.4742425167785242E-2</c:v>
                </c:pt>
                <c:pt idx="4">
                  <c:v>-1.4443091812879283E-2</c:v>
                </c:pt>
                <c:pt idx="5">
                  <c:v>8.1775435993254098E-2</c:v>
                </c:pt>
                <c:pt idx="6">
                  <c:v>0.10518554944371061</c:v>
                </c:pt>
                <c:pt idx="7">
                  <c:v>0.10175489014896133</c:v>
                </c:pt>
                <c:pt idx="8">
                  <c:v>9.8207043013560202E-2</c:v>
                </c:pt>
                <c:pt idx="9">
                  <c:v>1.4464393906159501E-2</c:v>
                </c:pt>
                <c:pt idx="10">
                  <c:v>5.5219817245746317E-3</c:v>
                </c:pt>
                <c:pt idx="11">
                  <c:v>1.6986221476999352E-2</c:v>
                </c:pt>
                <c:pt idx="12">
                  <c:v>4.6903011157307217E-2</c:v>
                </c:pt>
              </c:numCache>
            </c:numRef>
          </c:val>
          <c:smooth val="0"/>
          <c:extLst>
            <c:ext xmlns:c16="http://schemas.microsoft.com/office/drawing/2014/chart" uri="{C3380CC4-5D6E-409C-BE32-E72D297353CC}">
              <c16:uniqueId val="{00000000-8C1F-4BCB-8F7C-1E049DCAD056}"/>
            </c:ext>
          </c:extLst>
        </c:ser>
        <c:dLbls>
          <c:showLegendKey val="0"/>
          <c:showVal val="0"/>
          <c:showCatName val="0"/>
          <c:showSerName val="0"/>
          <c:showPercent val="0"/>
          <c:showBubbleSize val="0"/>
        </c:dLbls>
        <c:smooth val="0"/>
        <c:axId val="861455776"/>
        <c:axId val="861469696"/>
      </c:lineChart>
      <c:catAx>
        <c:axId val="861455776"/>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861469696"/>
        <c:crosses val="autoZero"/>
        <c:auto val="1"/>
        <c:lblAlgn val="ctr"/>
        <c:lblOffset val="100"/>
        <c:noMultiLvlLbl val="0"/>
      </c:catAx>
      <c:valAx>
        <c:axId val="861469696"/>
        <c:scaling>
          <c:orientation val="minMax"/>
        </c:scaling>
        <c:delete val="1"/>
        <c:axPos val="l"/>
        <c:numFmt formatCode="0.0%" sourceLinked="1"/>
        <c:majorTickMark val="out"/>
        <c:minorTickMark val="none"/>
        <c:tickLblPos val="nextTo"/>
        <c:crossAx val="86145577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5400" cap="rnd">
              <a:solidFill>
                <a:srgbClr val="26323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'VOD-quarts'!$G$109:$S$109</c:f>
              <c:strCache>
                <c:ptCount val="13"/>
                <c:pt idx="0">
                  <c:v>Q1 22</c:v>
                </c:pt>
                <c:pt idx="1">
                  <c:v>Q2 22</c:v>
                </c:pt>
                <c:pt idx="2">
                  <c:v>Q3 22</c:v>
                </c:pt>
                <c:pt idx="3">
                  <c:v>Q4 22</c:v>
                </c:pt>
                <c:pt idx="4">
                  <c:v>Q1 23</c:v>
                </c:pt>
                <c:pt idx="5">
                  <c:v>Q2 23</c:v>
                </c:pt>
                <c:pt idx="6">
                  <c:v>Q3 23</c:v>
                </c:pt>
                <c:pt idx="7">
                  <c:v>Q4 23</c:v>
                </c:pt>
                <c:pt idx="8">
                  <c:v>Q1 24</c:v>
                </c:pt>
                <c:pt idx="9">
                  <c:v>Q2 24</c:v>
                </c:pt>
                <c:pt idx="10">
                  <c:v>Q3 24</c:v>
                </c:pt>
                <c:pt idx="11">
                  <c:v>Q4 24</c:v>
                </c:pt>
                <c:pt idx="12">
                  <c:v>Q1 25</c:v>
                </c:pt>
              </c:strCache>
            </c:strRef>
          </c:cat>
          <c:val>
            <c:numRef>
              <c:f>'VOD-quarts'!$G$111:$S$111</c:f>
              <c:numCache>
                <c:formatCode>0.0%</c:formatCode>
                <c:ptCount val="13"/>
                <c:pt idx="0">
                  <c:v>0.13043315091171648</c:v>
                </c:pt>
                <c:pt idx="1">
                  <c:v>0.10618077933594039</c:v>
                </c:pt>
                <c:pt idx="2">
                  <c:v>5.1131916993547799E-2</c:v>
                </c:pt>
                <c:pt idx="3">
                  <c:v>0.19437973371131068</c:v>
                </c:pt>
                <c:pt idx="4">
                  <c:v>3.0044164370758963E-2</c:v>
                </c:pt>
                <c:pt idx="5">
                  <c:v>6.7013241517820621E-2</c:v>
                </c:pt>
                <c:pt idx="6">
                  <c:v>4.763713239283951E-2</c:v>
                </c:pt>
                <c:pt idx="7">
                  <c:v>-0.10628196075073126</c:v>
                </c:pt>
                <c:pt idx="8">
                  <c:v>3.8480411465906528E-2</c:v>
                </c:pt>
                <c:pt idx="9">
                  <c:v>2.206482194349646E-2</c:v>
                </c:pt>
                <c:pt idx="10">
                  <c:v>5.7093480299211352E-2</c:v>
                </c:pt>
                <c:pt idx="11">
                  <c:v>4.4335381054130929E-2</c:v>
                </c:pt>
                <c:pt idx="12">
                  <c:v>-5.3225807278805104E-2</c:v>
                </c:pt>
              </c:numCache>
            </c:numRef>
          </c:val>
          <c:smooth val="0"/>
          <c:extLst>
            <c:ext xmlns:c16="http://schemas.microsoft.com/office/drawing/2014/chart" uri="{C3380CC4-5D6E-409C-BE32-E72D297353CC}">
              <c16:uniqueId val="{00000000-5A86-4D10-97EB-312B200B69BA}"/>
            </c:ext>
          </c:extLst>
        </c:ser>
        <c:dLbls>
          <c:showLegendKey val="0"/>
          <c:showVal val="0"/>
          <c:showCatName val="0"/>
          <c:showSerName val="0"/>
          <c:showPercent val="0"/>
          <c:showBubbleSize val="0"/>
        </c:dLbls>
        <c:smooth val="0"/>
        <c:axId val="861455776"/>
        <c:axId val="861469696"/>
      </c:lineChart>
      <c:catAx>
        <c:axId val="861455776"/>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861469696"/>
        <c:crosses val="autoZero"/>
        <c:auto val="1"/>
        <c:lblAlgn val="ctr"/>
        <c:lblOffset val="100"/>
        <c:noMultiLvlLbl val="0"/>
      </c:catAx>
      <c:valAx>
        <c:axId val="861469696"/>
        <c:scaling>
          <c:orientation val="minMax"/>
        </c:scaling>
        <c:delete val="1"/>
        <c:axPos val="l"/>
        <c:numFmt formatCode="0.0%" sourceLinked="1"/>
        <c:majorTickMark val="out"/>
        <c:minorTickMark val="none"/>
        <c:tickLblPos val="nextTo"/>
        <c:crossAx val="86145577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Capex to sales in Cable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Cable!$J$1:$S$1</c:f>
              <c:numCache>
                <c:formatCode>General</c:formatCode>
                <c:ptCount val="10"/>
                <c:pt idx="0">
                  <c:v>2015</c:v>
                </c:pt>
                <c:pt idx="1">
                  <c:v>2016</c:v>
                </c:pt>
                <c:pt idx="2">
                  <c:v>2017</c:v>
                </c:pt>
                <c:pt idx="3">
                  <c:v>2018</c:v>
                </c:pt>
                <c:pt idx="4">
                  <c:v>2019</c:v>
                </c:pt>
                <c:pt idx="5">
                  <c:v>2020</c:v>
                </c:pt>
                <c:pt idx="6">
                  <c:v>2021</c:v>
                </c:pt>
                <c:pt idx="7">
                  <c:v>2022</c:v>
                </c:pt>
                <c:pt idx="8">
                  <c:v>2023</c:v>
                </c:pt>
                <c:pt idx="9">
                  <c:v>2024</c:v>
                </c:pt>
              </c:numCache>
            </c:numRef>
          </c:cat>
          <c:val>
            <c:numRef>
              <c:f>Cable!$J$301:$S$301</c:f>
              <c:numCache>
                <c:formatCode>0%</c:formatCode>
                <c:ptCount val="10"/>
                <c:pt idx="0">
                  <c:v>0.60007666305114737</c:v>
                </c:pt>
                <c:pt idx="1">
                  <c:v>0.58172590901679444</c:v>
                </c:pt>
                <c:pt idx="2">
                  <c:v>0.32008986928104577</c:v>
                </c:pt>
                <c:pt idx="3">
                  <c:v>0.35330361824855794</c:v>
                </c:pt>
                <c:pt idx="4">
                  <c:v>0.310939523284255</c:v>
                </c:pt>
                <c:pt idx="5">
                  <c:v>0.31367444690094803</c:v>
                </c:pt>
                <c:pt idx="6">
                  <c:v>0.36096736547868669</c:v>
                </c:pt>
                <c:pt idx="7">
                  <c:v>0.26830336818709483</c:v>
                </c:pt>
                <c:pt idx="8">
                  <c:v>0.22958045182111572</c:v>
                </c:pt>
                <c:pt idx="9">
                  <c:v>0.1541442829109784</c:v>
                </c:pt>
              </c:numCache>
            </c:numRef>
          </c:val>
          <c:smooth val="0"/>
          <c:extLst>
            <c:ext xmlns:c16="http://schemas.microsoft.com/office/drawing/2014/chart" uri="{C3380CC4-5D6E-409C-BE32-E72D297353CC}">
              <c16:uniqueId val="{00000000-862C-40E4-B11F-BA4E9ACABC05}"/>
            </c:ext>
          </c:extLst>
        </c:ser>
        <c:dLbls>
          <c:showLegendKey val="0"/>
          <c:showVal val="0"/>
          <c:showCatName val="0"/>
          <c:showSerName val="0"/>
          <c:showPercent val="0"/>
          <c:showBubbleSize val="0"/>
        </c:dLbls>
        <c:smooth val="0"/>
        <c:axId val="294983408"/>
        <c:axId val="294990128"/>
      </c:lineChart>
      <c:catAx>
        <c:axId val="294983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4990128"/>
        <c:crosses val="autoZero"/>
        <c:auto val="1"/>
        <c:lblAlgn val="ctr"/>
        <c:lblOffset val="100"/>
        <c:noMultiLvlLbl val="0"/>
      </c:catAx>
      <c:valAx>
        <c:axId val="29499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49834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1"/>
          <c:order val="1"/>
          <c:tx>
            <c:strRef>
              <c:f>'VOD-quarts'!$B$161</c:f>
              <c:strCache>
                <c:ptCount val="1"/>
                <c:pt idx="0">
                  <c:v>EBITDA (USD million)</c:v>
                </c:pt>
              </c:strCache>
            </c:strRef>
          </c:tx>
          <c:spPr>
            <a:solidFill>
              <a:srgbClr val="2632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Roboto" pitchFamily="2" charset="0"/>
                    <a:ea typeface="Roboto" pitchFamily="2" charset="0"/>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'VOD-quarts'!$I$159:$W$159</c:f>
              <c:strCache>
                <c:ptCount val="15"/>
                <c:pt idx="0">
                  <c:v>Q3 22</c:v>
                </c:pt>
                <c:pt idx="1">
                  <c:v>Q4 22</c:v>
                </c:pt>
                <c:pt idx="2">
                  <c:v>Q1 23</c:v>
                </c:pt>
                <c:pt idx="3">
                  <c:v>Q2 23</c:v>
                </c:pt>
                <c:pt idx="4">
                  <c:v>Q3 23</c:v>
                </c:pt>
                <c:pt idx="5">
                  <c:v>Q4 23</c:v>
                </c:pt>
                <c:pt idx="6">
                  <c:v>Q1 24</c:v>
                </c:pt>
                <c:pt idx="7">
                  <c:v>Q2 24</c:v>
                </c:pt>
                <c:pt idx="8">
                  <c:v>Q3 24</c:v>
                </c:pt>
                <c:pt idx="9">
                  <c:v>Q4 24</c:v>
                </c:pt>
                <c:pt idx="10">
                  <c:v>Q1 25</c:v>
                </c:pt>
                <c:pt idx="11">
                  <c:v>Q2 25</c:v>
                </c:pt>
                <c:pt idx="12">
                  <c:v>Q3 25</c:v>
                </c:pt>
                <c:pt idx="13">
                  <c:v>Q4 25</c:v>
                </c:pt>
                <c:pt idx="14">
                  <c:v>Q1 26</c:v>
                </c:pt>
              </c:strCache>
            </c:strRef>
          </c:cat>
          <c:val>
            <c:numRef>
              <c:f>'VOD-quarts'!$I$161:$W$161</c:f>
              <c:numCache>
                <c:formatCode>0</c:formatCode>
                <c:ptCount val="15"/>
                <c:pt idx="0">
                  <c:v>410.9</c:v>
                </c:pt>
                <c:pt idx="1">
                  <c:v>504.4</c:v>
                </c:pt>
                <c:pt idx="2">
                  <c:v>361</c:v>
                </c:pt>
                <c:pt idx="3">
                  <c:v>373.9</c:v>
                </c:pt>
                <c:pt idx="4">
                  <c:v>412.2</c:v>
                </c:pt>
                <c:pt idx="5">
                  <c:v>468.1</c:v>
                </c:pt>
                <c:pt idx="6">
                  <c:v>328.5</c:v>
                </c:pt>
                <c:pt idx="7">
                  <c:v>362</c:v>
                </c:pt>
                <c:pt idx="8">
                  <c:v>427.1</c:v>
                </c:pt>
                <c:pt idx="9">
                  <c:v>451.9</c:v>
                </c:pt>
                <c:pt idx="10">
                  <c:v>345.1</c:v>
                </c:pt>
                <c:pt idx="11">
                  <c:v>398</c:v>
                </c:pt>
                <c:pt idx="12">
                  <c:v>466.7</c:v>
                </c:pt>
                <c:pt idx="13">
                  <c:v>396.4</c:v>
                </c:pt>
                <c:pt idx="14">
                  <c:v>323.3</c:v>
                </c:pt>
              </c:numCache>
            </c:numRef>
          </c:val>
          <c:extLst>
            <c:ext xmlns:c16="http://schemas.microsoft.com/office/drawing/2014/chart" uri="{C3380CC4-5D6E-409C-BE32-E72D297353CC}">
              <c16:uniqueId val="{00000001-7A59-4488-BF3B-9C20F24B96E9}"/>
            </c:ext>
          </c:extLst>
        </c:ser>
        <c:dLbls>
          <c:showLegendKey val="0"/>
          <c:showVal val="0"/>
          <c:showCatName val="0"/>
          <c:showSerName val="0"/>
          <c:showPercent val="0"/>
          <c:showBubbleSize val="0"/>
        </c:dLbls>
        <c:gapWidth val="30"/>
        <c:axId val="867558080"/>
        <c:axId val="867595520"/>
      </c:barChart>
      <c:lineChart>
        <c:grouping val="standard"/>
        <c:varyColors val="0"/>
        <c:ser>
          <c:idx val="0"/>
          <c:order val="0"/>
          <c:tx>
            <c:strRef>
              <c:f>'VOD-quarts'!$B$160</c:f>
              <c:strCache>
                <c:ptCount val="1"/>
                <c:pt idx="0">
                  <c:v>EBITDA margin</c:v>
                </c:pt>
              </c:strCache>
            </c:strRef>
          </c:tx>
          <c:spPr>
            <a:ln w="28575" cap="rnd">
              <a:solidFill>
                <a:srgbClr val="799098"/>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404040"/>
                    </a:solidFill>
                    <a:latin typeface="Roboto" pitchFamily="2" charset="0"/>
                    <a:ea typeface="Roboto" pitchFamily="2" charset="0"/>
                    <a:cs typeface="Helvetica Neue"/>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'VOD-quarts'!$I$159:$W$159</c:f>
              <c:strCache>
                <c:ptCount val="15"/>
                <c:pt idx="0">
                  <c:v>Q3 22</c:v>
                </c:pt>
                <c:pt idx="1">
                  <c:v>Q4 22</c:v>
                </c:pt>
                <c:pt idx="2">
                  <c:v>Q1 23</c:v>
                </c:pt>
                <c:pt idx="3">
                  <c:v>Q2 23</c:v>
                </c:pt>
                <c:pt idx="4">
                  <c:v>Q3 23</c:v>
                </c:pt>
                <c:pt idx="5">
                  <c:v>Q4 23</c:v>
                </c:pt>
                <c:pt idx="6">
                  <c:v>Q1 24</c:v>
                </c:pt>
                <c:pt idx="7">
                  <c:v>Q2 24</c:v>
                </c:pt>
                <c:pt idx="8">
                  <c:v>Q3 24</c:v>
                </c:pt>
                <c:pt idx="9">
                  <c:v>Q4 24</c:v>
                </c:pt>
                <c:pt idx="10">
                  <c:v>Q1 25</c:v>
                </c:pt>
                <c:pt idx="11">
                  <c:v>Q2 25</c:v>
                </c:pt>
                <c:pt idx="12">
                  <c:v>Q3 25</c:v>
                </c:pt>
                <c:pt idx="13">
                  <c:v>Q4 25</c:v>
                </c:pt>
                <c:pt idx="14">
                  <c:v>Q1 26</c:v>
                </c:pt>
              </c:strCache>
            </c:strRef>
          </c:cat>
          <c:val>
            <c:numRef>
              <c:f>'VOD-quarts'!$I$160:$W$160</c:f>
              <c:numCache>
                <c:formatCode>0.0%</c:formatCode>
                <c:ptCount val="15"/>
                <c:pt idx="0">
                  <c:v>0.35683890577507599</c:v>
                </c:pt>
                <c:pt idx="1">
                  <c:v>0.34702442380460957</c:v>
                </c:pt>
                <c:pt idx="2">
                  <c:v>0.33709963582033803</c:v>
                </c:pt>
                <c:pt idx="3">
                  <c:v>0.30652565994425313</c:v>
                </c:pt>
                <c:pt idx="4">
                  <c:v>0.32190550566185083</c:v>
                </c:pt>
                <c:pt idx="5">
                  <c:v>0.34500294811320759</c:v>
                </c:pt>
                <c:pt idx="6">
                  <c:v>0.28590078328981722</c:v>
                </c:pt>
                <c:pt idx="7">
                  <c:v>0.28782698576767113</c:v>
                </c:pt>
                <c:pt idx="8">
                  <c:v>0.32738003985896064</c:v>
                </c:pt>
                <c:pt idx="9">
                  <c:v>0.33618509150424042</c:v>
                </c:pt>
                <c:pt idx="10">
                  <c:v>0.33711048158640233</c:v>
                </c:pt>
                <c:pt idx="11">
                  <c:v>0.32892561983471075</c:v>
                </c:pt>
                <c:pt idx="12">
                  <c:v>0.3672778783347761</c:v>
                </c:pt>
                <c:pt idx="13">
                  <c:v>0.2996673722407015</c:v>
                </c:pt>
                <c:pt idx="14">
                  <c:v>0.30074418604651165</c:v>
                </c:pt>
              </c:numCache>
            </c:numRef>
          </c:val>
          <c:smooth val="0"/>
          <c:extLst>
            <c:ext xmlns:c16="http://schemas.microsoft.com/office/drawing/2014/chart" uri="{C3380CC4-5D6E-409C-BE32-E72D297353CC}">
              <c16:uniqueId val="{00000000-7A59-4488-BF3B-9C20F24B96E9}"/>
            </c:ext>
          </c:extLst>
        </c:ser>
        <c:dLbls>
          <c:showLegendKey val="0"/>
          <c:showVal val="0"/>
          <c:showCatName val="0"/>
          <c:showSerName val="0"/>
          <c:showPercent val="0"/>
          <c:showBubbleSize val="0"/>
        </c:dLbls>
        <c:marker val="1"/>
        <c:smooth val="0"/>
        <c:axId val="867624800"/>
        <c:axId val="867639200"/>
      </c:lineChart>
      <c:catAx>
        <c:axId val="86755808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867595520"/>
        <c:crosses val="autoZero"/>
        <c:auto val="1"/>
        <c:lblAlgn val="ctr"/>
        <c:lblOffset val="100"/>
        <c:noMultiLvlLbl val="0"/>
      </c:catAx>
      <c:valAx>
        <c:axId val="867595520"/>
        <c:scaling>
          <c:orientation val="minMax"/>
        </c:scaling>
        <c:delete val="0"/>
        <c:axPos val="l"/>
        <c:numFmt formatCode="0" sourceLinked="1"/>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867558080"/>
        <c:crosses val="autoZero"/>
        <c:crossBetween val="between"/>
      </c:valAx>
      <c:valAx>
        <c:axId val="867639200"/>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867624800"/>
        <c:crosses val="max"/>
        <c:crossBetween val="between"/>
      </c:valAx>
      <c:catAx>
        <c:axId val="867624800"/>
        <c:scaling>
          <c:orientation val="minMax"/>
        </c:scaling>
        <c:delete val="1"/>
        <c:axPos val="b"/>
        <c:numFmt formatCode="General" sourceLinked="1"/>
        <c:majorTickMark val="out"/>
        <c:minorTickMark val="none"/>
        <c:tickLblPos val="nextTo"/>
        <c:crossAx val="867639200"/>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'VOD-quarts'!$I$18:$W$18</c:f>
              <c:strCache>
                <c:ptCount val="15"/>
                <c:pt idx="0">
                  <c:v>Q3 22</c:v>
                </c:pt>
                <c:pt idx="1">
                  <c:v>Q4 22</c:v>
                </c:pt>
                <c:pt idx="2">
                  <c:v>Q1 23</c:v>
                </c:pt>
                <c:pt idx="3">
                  <c:v>Q2 23</c:v>
                </c:pt>
                <c:pt idx="4">
                  <c:v>Q3 23</c:v>
                </c:pt>
                <c:pt idx="5">
                  <c:v>Q4 23</c:v>
                </c:pt>
                <c:pt idx="6">
                  <c:v>Q1 24</c:v>
                </c:pt>
                <c:pt idx="7">
                  <c:v>Q2 24</c:v>
                </c:pt>
                <c:pt idx="8">
                  <c:v>Q3 24</c:v>
                </c:pt>
                <c:pt idx="9">
                  <c:v>Q4 24</c:v>
                </c:pt>
                <c:pt idx="10">
                  <c:v>Q1 25</c:v>
                </c:pt>
                <c:pt idx="11">
                  <c:v>Q2 25</c:v>
                </c:pt>
                <c:pt idx="12">
                  <c:v>Q3 25</c:v>
                </c:pt>
                <c:pt idx="13">
                  <c:v>Q4 25</c:v>
                </c:pt>
                <c:pt idx="14">
                  <c:v>Q1 26</c:v>
                </c:pt>
              </c:strCache>
            </c:strRef>
          </c:cat>
          <c:val>
            <c:numRef>
              <c:f>'VOD-quarts'!$I$129:$W$129</c:f>
              <c:numCache>
                <c:formatCode>#,##0</c:formatCode>
                <c:ptCount val="15"/>
                <c:pt idx="0">
                  <c:v>2789.6</c:v>
                </c:pt>
                <c:pt idx="1">
                  <c:v>3021.6</c:v>
                </c:pt>
                <c:pt idx="2">
                  <c:v>3122.5</c:v>
                </c:pt>
                <c:pt idx="3">
                  <c:v>3245.5000000000005</c:v>
                </c:pt>
                <c:pt idx="4">
                  <c:v>3373.2</c:v>
                </c:pt>
                <c:pt idx="5">
                  <c:v>3312.8</c:v>
                </c:pt>
                <c:pt idx="6">
                  <c:v>3423.3999999999996</c:v>
                </c:pt>
                <c:pt idx="7">
                  <c:v>3473.2</c:v>
                </c:pt>
                <c:pt idx="8">
                  <c:v>3482.3999999999996</c:v>
                </c:pt>
                <c:pt idx="9">
                  <c:v>3486</c:v>
                </c:pt>
                <c:pt idx="10">
                  <c:v>3344.1</c:v>
                </c:pt>
                <c:pt idx="11">
                  <c:v>3260.3999999999996</c:v>
                </c:pt>
                <c:pt idx="12">
                  <c:v>3186.8999999999996</c:v>
                </c:pt>
                <c:pt idx="13">
                  <c:v>3221</c:v>
                </c:pt>
                <c:pt idx="14">
                  <c:v>3294.1000000000004</c:v>
                </c:pt>
              </c:numCache>
            </c:numRef>
          </c:val>
          <c:extLst>
            <c:ext xmlns:c16="http://schemas.microsoft.com/office/drawing/2014/chart" uri="{C3380CC4-5D6E-409C-BE32-E72D297353CC}">
              <c16:uniqueId val="{00000000-0825-49C4-B172-5CB9DAE21A77}"/>
            </c:ext>
          </c:extLst>
        </c:ser>
        <c:dLbls>
          <c:showLegendKey val="0"/>
          <c:showVal val="0"/>
          <c:showCatName val="0"/>
          <c:showSerName val="0"/>
          <c:showPercent val="0"/>
          <c:showBubbleSize val="0"/>
        </c:dLbls>
        <c:gapWidth val="30"/>
        <c:overlap val="-27"/>
        <c:axId val="867532160"/>
        <c:axId val="867543200"/>
      </c:barChart>
      <c:catAx>
        <c:axId val="86753216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867543200"/>
        <c:crosses val="autoZero"/>
        <c:auto val="1"/>
        <c:lblAlgn val="ctr"/>
        <c:lblOffset val="100"/>
        <c:noMultiLvlLbl val="0"/>
      </c:catAx>
      <c:valAx>
        <c:axId val="867543200"/>
        <c:scaling>
          <c:orientation val="minMax"/>
        </c:scaling>
        <c:delete val="1"/>
        <c:axPos val="l"/>
        <c:numFmt formatCode="#,##0" sourceLinked="1"/>
        <c:majorTickMark val="out"/>
        <c:minorTickMark val="none"/>
        <c:tickLblPos val="nextTo"/>
        <c:crossAx val="867532160"/>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Analysis!$C$21</c:f>
              <c:strCache>
                <c:ptCount val="1"/>
                <c:pt idx="0">
                  <c:v>DOCSIS 3.0</c:v>
                </c:pt>
              </c:strCache>
            </c:strRef>
          </c:tx>
          <c:spPr>
            <a:solidFill>
              <a:srgbClr val="000080"/>
            </a:solidFill>
            <a:ln w="25400">
              <a:noFill/>
            </a:ln>
          </c:spPr>
          <c:invertIfNegative val="0"/>
          <c:cat>
            <c:strRef>
              <c:f>Analysis!$B$22:$B$24</c:f>
              <c:strCache>
                <c:ptCount val="3"/>
                <c:pt idx="0">
                  <c:v>Cablevision</c:v>
                </c:pt>
                <c:pt idx="1">
                  <c:v>Cablemas</c:v>
                </c:pt>
                <c:pt idx="2">
                  <c:v>TVI Cablevision*</c:v>
                </c:pt>
              </c:strCache>
            </c:strRef>
          </c:cat>
          <c:val>
            <c:numRef>
              <c:f>Analysis!$C$22:$C$24</c:f>
              <c:numCache>
                <c:formatCode>0%</c:formatCode>
                <c:ptCount val="3"/>
                <c:pt idx="0">
                  <c:v>0.95</c:v>
                </c:pt>
                <c:pt idx="1">
                  <c:v>0.95</c:v>
                </c:pt>
                <c:pt idx="2">
                  <c:v>0.83</c:v>
                </c:pt>
              </c:numCache>
            </c:numRef>
          </c:val>
          <c:extLst>
            <c:ext xmlns:c16="http://schemas.microsoft.com/office/drawing/2014/chart" uri="{C3380CC4-5D6E-409C-BE32-E72D297353CC}">
              <c16:uniqueId val="{00000000-AEBE-43BA-A34A-61C406A1D3BD}"/>
            </c:ext>
          </c:extLst>
        </c:ser>
        <c:ser>
          <c:idx val="1"/>
          <c:order val="1"/>
          <c:tx>
            <c:strRef>
              <c:f>Analysis!$D$21</c:f>
              <c:strCache>
                <c:ptCount val="1"/>
                <c:pt idx="0">
                  <c:v>Digital</c:v>
                </c:pt>
              </c:strCache>
            </c:strRef>
          </c:tx>
          <c:spPr>
            <a:solidFill>
              <a:srgbClr val="9999FF"/>
            </a:solidFill>
            <a:ln w="25400">
              <a:noFill/>
            </a:ln>
          </c:spPr>
          <c:invertIfNegative val="0"/>
          <c:cat>
            <c:strRef>
              <c:f>Analysis!$B$22:$B$24</c:f>
              <c:strCache>
                <c:ptCount val="3"/>
                <c:pt idx="0">
                  <c:v>Cablevision</c:v>
                </c:pt>
                <c:pt idx="1">
                  <c:v>Cablemas</c:v>
                </c:pt>
                <c:pt idx="2">
                  <c:v>TVI Cablevision*</c:v>
                </c:pt>
              </c:strCache>
            </c:strRef>
          </c:cat>
          <c:val>
            <c:numRef>
              <c:f>Analysis!$D$22:$D$24</c:f>
              <c:numCache>
                <c:formatCode>0%</c:formatCode>
                <c:ptCount val="3"/>
                <c:pt idx="0">
                  <c:v>1</c:v>
                </c:pt>
                <c:pt idx="1">
                  <c:v>0.42</c:v>
                </c:pt>
                <c:pt idx="2">
                  <c:v>0.3</c:v>
                </c:pt>
              </c:numCache>
            </c:numRef>
          </c:val>
          <c:extLst>
            <c:ext xmlns:c16="http://schemas.microsoft.com/office/drawing/2014/chart" uri="{C3380CC4-5D6E-409C-BE32-E72D297353CC}">
              <c16:uniqueId val="{00000001-AEBE-43BA-A34A-61C406A1D3BD}"/>
            </c:ext>
          </c:extLst>
        </c:ser>
        <c:dLbls>
          <c:showLegendKey val="0"/>
          <c:showVal val="0"/>
          <c:showCatName val="0"/>
          <c:showSerName val="0"/>
          <c:showPercent val="0"/>
          <c:showBubbleSize val="0"/>
        </c:dLbls>
        <c:gapWidth val="150"/>
        <c:axId val="112883200"/>
        <c:axId val="112884736"/>
      </c:barChart>
      <c:catAx>
        <c:axId val="112883200"/>
        <c:scaling>
          <c:orientation val="minMax"/>
        </c:scaling>
        <c:delete val="0"/>
        <c:axPos val="b"/>
        <c:numFmt formatCode="General" sourceLinked="0"/>
        <c:majorTickMark val="out"/>
        <c:minorTickMark val="none"/>
        <c:tickLblPos val="nextTo"/>
        <c:crossAx val="112884736"/>
        <c:crosses val="autoZero"/>
        <c:auto val="1"/>
        <c:lblAlgn val="ctr"/>
        <c:lblOffset val="100"/>
        <c:noMultiLvlLbl val="0"/>
      </c:catAx>
      <c:valAx>
        <c:axId val="112884736"/>
        <c:scaling>
          <c:orientation val="minMax"/>
          <c:max val="1"/>
        </c:scaling>
        <c:delete val="0"/>
        <c:axPos val="l"/>
        <c:majorGridlines>
          <c:spPr>
            <a:ln w="3175">
              <a:solidFill>
                <a:srgbClr val="C0C0C0"/>
              </a:solidFill>
              <a:prstDash val="solid"/>
            </a:ln>
          </c:spPr>
        </c:majorGridlines>
        <c:numFmt formatCode="0%" sourceLinked="1"/>
        <c:majorTickMark val="out"/>
        <c:minorTickMark val="none"/>
        <c:tickLblPos val="nextTo"/>
        <c:crossAx val="112883200"/>
        <c:crosses val="autoZero"/>
        <c:crossBetween val="between"/>
      </c:valAx>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1"/>
          <c:tx>
            <c:strRef>
              <c:f>Analysis!$B$52</c:f>
              <c:strCache>
                <c:ptCount val="1"/>
                <c:pt idx="0">
                  <c:v>GDP growth (RHS)</c:v>
                </c:pt>
              </c:strCache>
            </c:strRef>
          </c:tx>
          <c:spPr>
            <a:solidFill>
              <a:srgbClr val="000080"/>
            </a:solidFill>
            <a:ln w="25400">
              <a:noFill/>
            </a:ln>
            <a:effectLst/>
          </c:spPr>
          <c:invertIfNegative val="0"/>
          <c:val>
            <c:numRef>
              <c:f>Analysis!$E$52:$I$52</c:f>
              <c:numCache>
                <c:formatCode>0.0%</c:formatCode>
                <c:ptCount val="5"/>
                <c:pt idx="0">
                  <c:v>-2.0000000000000001E-4</c:v>
                </c:pt>
                <c:pt idx="1">
                  <c:v>-0.03</c:v>
                </c:pt>
                <c:pt idx="2">
                  <c:v>2.4E-2</c:v>
                </c:pt>
                <c:pt idx="3">
                  <c:v>1.7999999999999999E-2</c:v>
                </c:pt>
                <c:pt idx="4">
                  <c:v>2.3E-2</c:v>
                </c:pt>
              </c:numCache>
            </c:numRef>
          </c:val>
          <c:extLst>
            <c:ext xmlns:c16="http://schemas.microsoft.com/office/drawing/2014/chart" uri="{C3380CC4-5D6E-409C-BE32-E72D297353CC}">
              <c16:uniqueId val="{00000000-7521-4835-A764-616ECA964D82}"/>
            </c:ext>
          </c:extLst>
        </c:ser>
        <c:dLbls>
          <c:showLegendKey val="0"/>
          <c:showVal val="0"/>
          <c:showCatName val="0"/>
          <c:showSerName val="0"/>
          <c:showPercent val="0"/>
          <c:showBubbleSize val="0"/>
        </c:dLbls>
        <c:gapWidth val="150"/>
        <c:axId val="112907008"/>
        <c:axId val="112908544"/>
      </c:barChart>
      <c:lineChart>
        <c:grouping val="standard"/>
        <c:varyColors val="0"/>
        <c:ser>
          <c:idx val="0"/>
          <c:order val="0"/>
          <c:tx>
            <c:strRef>
              <c:f>Analysis!$B$51</c:f>
              <c:strCache>
                <c:ptCount val="1"/>
                <c:pt idx="0">
                  <c:v>% Video revs growth</c:v>
                </c:pt>
              </c:strCache>
            </c:strRef>
          </c:tx>
          <c:spPr>
            <a:ln w="25400">
              <a:solidFill>
                <a:srgbClr val="000080"/>
              </a:solidFill>
              <a:prstDash val="solid"/>
            </a:ln>
            <a:effectLst/>
          </c:spPr>
          <c:marker>
            <c:symbol val="none"/>
          </c:marker>
          <c:cat>
            <c:numRef>
              <c:f>Analysis!$E$47:$I$47</c:f>
              <c:numCache>
                <c:formatCode>General</c:formatCode>
                <c:ptCount val="5"/>
                <c:pt idx="0">
                  <c:v>2008</c:v>
                </c:pt>
                <c:pt idx="1">
                  <c:v>2009</c:v>
                </c:pt>
                <c:pt idx="2">
                  <c:v>2010</c:v>
                </c:pt>
                <c:pt idx="3">
                  <c:v>2011</c:v>
                </c:pt>
                <c:pt idx="4">
                  <c:v>2012</c:v>
                </c:pt>
              </c:numCache>
            </c:numRef>
          </c:cat>
          <c:val>
            <c:numRef>
              <c:f>Analysis!$E$51:$I$51</c:f>
              <c:numCache>
                <c:formatCode>0.0%</c:formatCode>
                <c:ptCount val="5"/>
                <c:pt idx="0">
                  <c:v>5.2631578947368363E-2</c:v>
                </c:pt>
                <c:pt idx="1">
                  <c:v>2.2296815701012385E-2</c:v>
                </c:pt>
                <c:pt idx="2">
                  <c:v>4.5454989504364773E-2</c:v>
                </c:pt>
                <c:pt idx="3">
                  <c:v>5.2486060402930912E-2</c:v>
                </c:pt>
                <c:pt idx="4">
                  <c:v>3.6277792093244221E-2</c:v>
                </c:pt>
              </c:numCache>
            </c:numRef>
          </c:val>
          <c:smooth val="0"/>
          <c:extLst>
            <c:ext xmlns:c16="http://schemas.microsoft.com/office/drawing/2014/chart" uri="{C3380CC4-5D6E-409C-BE32-E72D297353CC}">
              <c16:uniqueId val="{00000001-7521-4835-A764-616ECA964D82}"/>
            </c:ext>
          </c:extLst>
        </c:ser>
        <c:dLbls>
          <c:showLegendKey val="0"/>
          <c:showVal val="0"/>
          <c:showCatName val="0"/>
          <c:showSerName val="0"/>
          <c:showPercent val="0"/>
          <c:showBubbleSize val="0"/>
        </c:dLbls>
        <c:marker val="1"/>
        <c:smooth val="0"/>
        <c:axId val="112907008"/>
        <c:axId val="112908544"/>
      </c:lineChart>
      <c:catAx>
        <c:axId val="112907008"/>
        <c:scaling>
          <c:orientation val="minMax"/>
        </c:scaling>
        <c:delete val="0"/>
        <c:axPos val="b"/>
        <c:numFmt formatCode="General" sourceLinked="1"/>
        <c:majorTickMark val="out"/>
        <c:minorTickMark val="none"/>
        <c:tickLblPos val="low"/>
        <c:crossAx val="112908544"/>
        <c:crosses val="autoZero"/>
        <c:auto val="1"/>
        <c:lblAlgn val="ctr"/>
        <c:lblOffset val="100"/>
        <c:noMultiLvlLbl val="0"/>
      </c:catAx>
      <c:valAx>
        <c:axId val="112908544"/>
        <c:scaling>
          <c:orientation val="minMax"/>
        </c:scaling>
        <c:delete val="0"/>
        <c:axPos val="l"/>
        <c:majorGridlines>
          <c:spPr>
            <a:ln w="3175">
              <a:solidFill>
                <a:srgbClr val="C0C0C0"/>
              </a:solidFill>
              <a:prstDash val="solid"/>
            </a:ln>
          </c:spPr>
        </c:majorGridlines>
        <c:numFmt formatCode="0.0%" sourceLinked="1"/>
        <c:majorTickMark val="out"/>
        <c:minorTickMark val="none"/>
        <c:tickLblPos val="nextTo"/>
        <c:crossAx val="112907008"/>
        <c:crosses val="autoZero"/>
        <c:crossBetween val="between"/>
      </c:valAx>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Analysis!$B$198</c:f>
              <c:strCache>
                <c:ptCount val="1"/>
                <c:pt idx="0">
                  <c:v>Nominal GDP growth</c:v>
                </c:pt>
              </c:strCache>
            </c:strRef>
          </c:tx>
          <c:spPr>
            <a:ln w="25400">
              <a:solidFill>
                <a:srgbClr val="333399"/>
              </a:solidFill>
              <a:prstDash val="solid"/>
            </a:ln>
            <a:effectLst/>
          </c:spPr>
          <c:marker>
            <c:symbol val="none"/>
          </c:marker>
          <c:dPt>
            <c:idx val="9"/>
            <c:bubble3D val="0"/>
            <c:spPr>
              <a:ln w="25400">
                <a:solidFill>
                  <a:srgbClr val="333399"/>
                </a:solidFill>
                <a:prstDash val="dash"/>
              </a:ln>
              <a:effectLst/>
            </c:spPr>
            <c:extLst>
              <c:ext xmlns:c16="http://schemas.microsoft.com/office/drawing/2014/chart" uri="{C3380CC4-5D6E-409C-BE32-E72D297353CC}">
                <c16:uniqueId val="{00000001-33B9-47D1-9223-F16B8AE0FFD1}"/>
              </c:ext>
            </c:extLst>
          </c:dPt>
          <c:dPt>
            <c:idx val="10"/>
            <c:bubble3D val="0"/>
            <c:spPr>
              <a:ln w="25400">
                <a:solidFill>
                  <a:srgbClr val="333399"/>
                </a:solidFill>
                <a:prstDash val="dash"/>
              </a:ln>
              <a:effectLst/>
            </c:spPr>
            <c:extLst>
              <c:ext xmlns:c16="http://schemas.microsoft.com/office/drawing/2014/chart" uri="{C3380CC4-5D6E-409C-BE32-E72D297353CC}">
                <c16:uniqueId val="{00000003-33B9-47D1-9223-F16B8AE0FFD1}"/>
              </c:ext>
            </c:extLst>
          </c:dPt>
          <c:dPt>
            <c:idx val="11"/>
            <c:bubble3D val="0"/>
            <c:spPr>
              <a:ln w="25400">
                <a:solidFill>
                  <a:srgbClr val="333399"/>
                </a:solidFill>
                <a:prstDash val="dash"/>
              </a:ln>
              <a:effectLst/>
            </c:spPr>
            <c:extLst>
              <c:ext xmlns:c16="http://schemas.microsoft.com/office/drawing/2014/chart" uri="{C3380CC4-5D6E-409C-BE32-E72D297353CC}">
                <c16:uniqueId val="{00000005-33B9-47D1-9223-F16B8AE0FFD1}"/>
              </c:ext>
            </c:extLst>
          </c:dPt>
          <c:cat>
            <c:strRef>
              <c:f>Analysis!$C$195:$N$195</c:f>
              <c:strCache>
                <c:ptCount val="12"/>
                <c:pt idx="0">
                  <c:v>2003</c:v>
                </c:pt>
                <c:pt idx="1">
                  <c:v>2004</c:v>
                </c:pt>
                <c:pt idx="2">
                  <c:v>2005</c:v>
                </c:pt>
                <c:pt idx="3">
                  <c:v>2006</c:v>
                </c:pt>
                <c:pt idx="4">
                  <c:v>2007</c:v>
                </c:pt>
                <c:pt idx="5">
                  <c:v>2008</c:v>
                </c:pt>
                <c:pt idx="6">
                  <c:v>2009</c:v>
                </c:pt>
                <c:pt idx="7">
                  <c:v>2010</c:v>
                </c:pt>
                <c:pt idx="8">
                  <c:v>2011</c:v>
                </c:pt>
                <c:pt idx="9">
                  <c:v>2012e</c:v>
                </c:pt>
                <c:pt idx="10">
                  <c:v>2013e</c:v>
                </c:pt>
                <c:pt idx="11">
                  <c:v>2014e</c:v>
                </c:pt>
              </c:strCache>
            </c:strRef>
          </c:cat>
          <c:val>
            <c:numRef>
              <c:f>Analysis!$C$198:$N$198</c:f>
              <c:numCache>
                <c:formatCode>0%</c:formatCode>
                <c:ptCount val="12"/>
                <c:pt idx="0">
                  <c:v>5.3530000000000001E-2</c:v>
                </c:pt>
                <c:pt idx="1">
                  <c:v>9.2499999999999999E-2</c:v>
                </c:pt>
                <c:pt idx="2">
                  <c:v>6.5000000000000002E-2</c:v>
                </c:pt>
                <c:pt idx="3">
                  <c:v>9.1749999999999998E-2</c:v>
                </c:pt>
                <c:pt idx="4">
                  <c:v>7.0750000000000007E-2</c:v>
                </c:pt>
                <c:pt idx="5">
                  <c:v>7.9500000000000001E-2</c:v>
                </c:pt>
                <c:pt idx="6">
                  <c:v>-2.5549999999999996E-2</c:v>
                </c:pt>
                <c:pt idx="7">
                  <c:v>9.9500000000000005E-2</c:v>
                </c:pt>
                <c:pt idx="8">
                  <c:v>7.7449999999999991E-2</c:v>
                </c:pt>
                <c:pt idx="9">
                  <c:v>8.1100000000000005E-2</c:v>
                </c:pt>
                <c:pt idx="10">
                  <c:v>5.21E-2</c:v>
                </c:pt>
                <c:pt idx="11">
                  <c:v>6.1200000000000004E-2</c:v>
                </c:pt>
              </c:numCache>
            </c:numRef>
          </c:val>
          <c:smooth val="0"/>
          <c:extLst>
            <c:ext xmlns:c16="http://schemas.microsoft.com/office/drawing/2014/chart" uri="{C3380CC4-5D6E-409C-BE32-E72D297353CC}">
              <c16:uniqueId val="{00000006-33B9-47D1-9223-F16B8AE0FFD1}"/>
            </c:ext>
          </c:extLst>
        </c:ser>
        <c:ser>
          <c:idx val="1"/>
          <c:order val="1"/>
          <c:tx>
            <c:strRef>
              <c:f>Analysis!$B$199</c:f>
              <c:strCache>
                <c:ptCount val="1"/>
                <c:pt idx="0">
                  <c:v>TV broadcasting revs growth</c:v>
                </c:pt>
              </c:strCache>
            </c:strRef>
          </c:tx>
          <c:spPr>
            <a:ln w="25400">
              <a:solidFill>
                <a:srgbClr val="99CCFF"/>
              </a:solidFill>
              <a:prstDash val="solid"/>
            </a:ln>
            <a:effectLst/>
          </c:spPr>
          <c:marker>
            <c:symbol val="none"/>
          </c:marker>
          <c:dPt>
            <c:idx val="9"/>
            <c:bubble3D val="0"/>
            <c:spPr>
              <a:ln w="25400">
                <a:solidFill>
                  <a:srgbClr val="99CCFF"/>
                </a:solidFill>
                <a:prstDash val="dash"/>
              </a:ln>
              <a:effectLst/>
            </c:spPr>
            <c:extLst>
              <c:ext xmlns:c16="http://schemas.microsoft.com/office/drawing/2014/chart" uri="{C3380CC4-5D6E-409C-BE32-E72D297353CC}">
                <c16:uniqueId val="{00000008-33B9-47D1-9223-F16B8AE0FFD1}"/>
              </c:ext>
            </c:extLst>
          </c:dPt>
          <c:dPt>
            <c:idx val="10"/>
            <c:bubble3D val="0"/>
            <c:spPr>
              <a:ln w="25400">
                <a:solidFill>
                  <a:srgbClr val="99CCFF"/>
                </a:solidFill>
                <a:prstDash val="dash"/>
              </a:ln>
              <a:effectLst/>
            </c:spPr>
            <c:extLst>
              <c:ext xmlns:c16="http://schemas.microsoft.com/office/drawing/2014/chart" uri="{C3380CC4-5D6E-409C-BE32-E72D297353CC}">
                <c16:uniqueId val="{0000000A-33B9-47D1-9223-F16B8AE0FFD1}"/>
              </c:ext>
            </c:extLst>
          </c:dPt>
          <c:dPt>
            <c:idx val="11"/>
            <c:bubble3D val="0"/>
            <c:spPr>
              <a:ln w="25400">
                <a:solidFill>
                  <a:srgbClr val="99CCFF"/>
                </a:solidFill>
                <a:prstDash val="dash"/>
              </a:ln>
              <a:effectLst/>
            </c:spPr>
            <c:extLst>
              <c:ext xmlns:c16="http://schemas.microsoft.com/office/drawing/2014/chart" uri="{C3380CC4-5D6E-409C-BE32-E72D297353CC}">
                <c16:uniqueId val="{0000000C-33B9-47D1-9223-F16B8AE0FFD1}"/>
              </c:ext>
            </c:extLst>
          </c:dPt>
          <c:cat>
            <c:strRef>
              <c:f>Analysis!$C$195:$N$195</c:f>
              <c:strCache>
                <c:ptCount val="12"/>
                <c:pt idx="0">
                  <c:v>2003</c:v>
                </c:pt>
                <c:pt idx="1">
                  <c:v>2004</c:v>
                </c:pt>
                <c:pt idx="2">
                  <c:v>2005</c:v>
                </c:pt>
                <c:pt idx="3">
                  <c:v>2006</c:v>
                </c:pt>
                <c:pt idx="4">
                  <c:v>2007</c:v>
                </c:pt>
                <c:pt idx="5">
                  <c:v>2008</c:v>
                </c:pt>
                <c:pt idx="6">
                  <c:v>2009</c:v>
                </c:pt>
                <c:pt idx="7">
                  <c:v>2010</c:v>
                </c:pt>
                <c:pt idx="8">
                  <c:v>2011</c:v>
                </c:pt>
                <c:pt idx="9">
                  <c:v>2012e</c:v>
                </c:pt>
                <c:pt idx="10">
                  <c:v>2013e</c:v>
                </c:pt>
                <c:pt idx="11">
                  <c:v>2014e</c:v>
                </c:pt>
              </c:strCache>
            </c:strRef>
          </c:cat>
          <c:val>
            <c:numRef>
              <c:f>Analysis!$C$199:$N$199</c:f>
              <c:numCache>
                <c:formatCode>0%</c:formatCode>
                <c:ptCount val="12"/>
                <c:pt idx="0">
                  <c:v>0.05</c:v>
                </c:pt>
                <c:pt idx="1">
                  <c:v>0.05</c:v>
                </c:pt>
                <c:pt idx="2">
                  <c:v>0.05</c:v>
                </c:pt>
                <c:pt idx="3">
                  <c:v>8.5313879872452647E-2</c:v>
                </c:pt>
                <c:pt idx="4">
                  <c:v>-2.5149253948690053E-2</c:v>
                </c:pt>
                <c:pt idx="5">
                  <c:v>1.1664120599360395E-2</c:v>
                </c:pt>
                <c:pt idx="6">
                  <c:v>4.7075920612233979E-3</c:v>
                </c:pt>
                <c:pt idx="7">
                  <c:v>5.5119388437268935E-2</c:v>
                </c:pt>
                <c:pt idx="8">
                  <c:v>3.4769077938119342E-3</c:v>
                </c:pt>
                <c:pt idx="9">
                  <c:v>3.144862773150181E-2</c:v>
                </c:pt>
                <c:pt idx="10">
                  <c:v>3.8837060649484556E-2</c:v>
                </c:pt>
                <c:pt idx="11">
                  <c:v>2.4137861695924023E-2</c:v>
                </c:pt>
              </c:numCache>
            </c:numRef>
          </c:val>
          <c:smooth val="0"/>
          <c:extLst>
            <c:ext xmlns:c16="http://schemas.microsoft.com/office/drawing/2014/chart" uri="{C3380CC4-5D6E-409C-BE32-E72D297353CC}">
              <c16:uniqueId val="{0000000D-33B9-47D1-9223-F16B8AE0FFD1}"/>
            </c:ext>
          </c:extLst>
        </c:ser>
        <c:dLbls>
          <c:showLegendKey val="0"/>
          <c:showVal val="0"/>
          <c:showCatName val="0"/>
          <c:showSerName val="0"/>
          <c:showPercent val="0"/>
          <c:showBubbleSize val="0"/>
        </c:dLbls>
        <c:smooth val="0"/>
        <c:axId val="112697728"/>
        <c:axId val="112699264"/>
      </c:lineChart>
      <c:catAx>
        <c:axId val="112697728"/>
        <c:scaling>
          <c:orientation val="minMax"/>
        </c:scaling>
        <c:delete val="0"/>
        <c:axPos val="b"/>
        <c:numFmt formatCode="General" sourceLinked="1"/>
        <c:majorTickMark val="out"/>
        <c:minorTickMark val="none"/>
        <c:tickLblPos val="low"/>
        <c:crossAx val="112699264"/>
        <c:crosses val="autoZero"/>
        <c:auto val="1"/>
        <c:lblAlgn val="ctr"/>
        <c:lblOffset val="100"/>
        <c:noMultiLvlLbl val="0"/>
      </c:catAx>
      <c:valAx>
        <c:axId val="112699264"/>
        <c:scaling>
          <c:orientation val="minMax"/>
        </c:scaling>
        <c:delete val="0"/>
        <c:axPos val="l"/>
        <c:majorGridlines>
          <c:spPr>
            <a:ln w="3175">
              <a:solidFill>
                <a:srgbClr val="C0C0C0"/>
              </a:solidFill>
              <a:prstDash val="solid"/>
            </a:ln>
          </c:spPr>
        </c:majorGridlines>
        <c:numFmt formatCode="0%" sourceLinked="1"/>
        <c:majorTickMark val="out"/>
        <c:minorTickMark val="none"/>
        <c:tickLblPos val="nextTo"/>
        <c:crossAx val="112697728"/>
        <c:crosses val="autoZero"/>
        <c:crossBetween val="between"/>
      </c:valAx>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Analysis!$B$202</c:f>
              <c:strCache>
                <c:ptCount val="1"/>
                <c:pt idx="0">
                  <c:v>Nominal GDP growth</c:v>
                </c:pt>
              </c:strCache>
            </c:strRef>
          </c:tx>
          <c:spPr>
            <a:ln w="25400">
              <a:solidFill>
                <a:srgbClr val="333399"/>
              </a:solidFill>
              <a:prstDash val="solid"/>
            </a:ln>
            <a:effectLst/>
          </c:spPr>
          <c:marker>
            <c:symbol val="none"/>
          </c:marker>
          <c:cat>
            <c:numRef>
              <c:f>Analysis!$C$201:$I$201</c:f>
              <c:numCache>
                <c:formatCode>General</c:formatCode>
                <c:ptCount val="7"/>
                <c:pt idx="0">
                  <c:v>2012</c:v>
                </c:pt>
                <c:pt idx="1">
                  <c:v>2013</c:v>
                </c:pt>
                <c:pt idx="2">
                  <c:v>2014</c:v>
                </c:pt>
                <c:pt idx="3">
                  <c:v>2015</c:v>
                </c:pt>
                <c:pt idx="4">
                  <c:v>2016</c:v>
                </c:pt>
                <c:pt idx="5">
                  <c:v>2017</c:v>
                </c:pt>
                <c:pt idx="6">
                  <c:v>2018</c:v>
                </c:pt>
              </c:numCache>
            </c:numRef>
          </c:cat>
          <c:val>
            <c:numRef>
              <c:f>Analysis!$C$202:$I$202</c:f>
              <c:numCache>
                <c:formatCode>0.0%</c:formatCode>
                <c:ptCount val="7"/>
                <c:pt idx="0">
                  <c:v>8.1100000000000005E-2</c:v>
                </c:pt>
                <c:pt idx="1">
                  <c:v>5.21E-2</c:v>
                </c:pt>
                <c:pt idx="2">
                  <c:v>6.1200000000000004E-2</c:v>
                </c:pt>
                <c:pt idx="3">
                  <c:v>5.5E-2</c:v>
                </c:pt>
                <c:pt idx="4">
                  <c:v>6.4000000000000001E-2</c:v>
                </c:pt>
                <c:pt idx="5">
                  <c:v>5.7999999999999996E-2</c:v>
                </c:pt>
                <c:pt idx="6">
                  <c:v>5.6999999999999995E-2</c:v>
                </c:pt>
              </c:numCache>
            </c:numRef>
          </c:val>
          <c:smooth val="0"/>
          <c:extLst>
            <c:ext xmlns:c16="http://schemas.microsoft.com/office/drawing/2014/chart" uri="{C3380CC4-5D6E-409C-BE32-E72D297353CC}">
              <c16:uniqueId val="{00000000-3187-4004-B40D-382FD29F6A17}"/>
            </c:ext>
          </c:extLst>
        </c:ser>
        <c:ser>
          <c:idx val="1"/>
          <c:order val="1"/>
          <c:tx>
            <c:strRef>
              <c:f>Analysis!$B$203</c:f>
              <c:strCache>
                <c:ptCount val="1"/>
                <c:pt idx="0">
                  <c:v>Advertising revenue</c:v>
                </c:pt>
              </c:strCache>
            </c:strRef>
          </c:tx>
          <c:spPr>
            <a:ln w="25400">
              <a:solidFill>
                <a:srgbClr val="99CCFF"/>
              </a:solidFill>
              <a:prstDash val="solid"/>
            </a:ln>
            <a:effectLst/>
          </c:spPr>
          <c:marker>
            <c:symbol val="none"/>
          </c:marker>
          <c:cat>
            <c:numRef>
              <c:f>Analysis!$C$201:$I$201</c:f>
              <c:numCache>
                <c:formatCode>General</c:formatCode>
                <c:ptCount val="7"/>
                <c:pt idx="0">
                  <c:v>2012</c:v>
                </c:pt>
                <c:pt idx="1">
                  <c:v>2013</c:v>
                </c:pt>
                <c:pt idx="2">
                  <c:v>2014</c:v>
                </c:pt>
                <c:pt idx="3">
                  <c:v>2015</c:v>
                </c:pt>
                <c:pt idx="4">
                  <c:v>2016</c:v>
                </c:pt>
                <c:pt idx="5">
                  <c:v>2017</c:v>
                </c:pt>
                <c:pt idx="6">
                  <c:v>2018</c:v>
                </c:pt>
              </c:numCache>
            </c:numRef>
          </c:cat>
          <c:val>
            <c:numRef>
              <c:f>Analysis!$C$203:$I$203</c:f>
              <c:numCache>
                <c:formatCode>0.0%</c:formatCode>
                <c:ptCount val="7"/>
                <c:pt idx="0">
                  <c:v>3.144862773150181E-2</c:v>
                </c:pt>
                <c:pt idx="1">
                  <c:v>3.8837060649484556E-2</c:v>
                </c:pt>
                <c:pt idx="2">
                  <c:v>2.4137861695924023E-2</c:v>
                </c:pt>
                <c:pt idx="3">
                  <c:v>-9.5673788664752957E-2</c:v>
                </c:pt>
                <c:pt idx="4">
                  <c:v>8.4197088057389458E-3</c:v>
                </c:pt>
                <c:pt idx="5">
                  <c:v>-0.10783182334906471</c:v>
                </c:pt>
                <c:pt idx="6">
                  <c:v>2.1043486654761301E-2</c:v>
                </c:pt>
              </c:numCache>
            </c:numRef>
          </c:val>
          <c:smooth val="0"/>
          <c:extLst>
            <c:ext xmlns:c16="http://schemas.microsoft.com/office/drawing/2014/chart" uri="{C3380CC4-5D6E-409C-BE32-E72D297353CC}">
              <c16:uniqueId val="{00000001-3187-4004-B40D-382FD29F6A17}"/>
            </c:ext>
          </c:extLst>
        </c:ser>
        <c:dLbls>
          <c:showLegendKey val="0"/>
          <c:showVal val="0"/>
          <c:showCatName val="0"/>
          <c:showSerName val="0"/>
          <c:showPercent val="0"/>
          <c:showBubbleSize val="0"/>
        </c:dLbls>
        <c:smooth val="0"/>
        <c:axId val="119024640"/>
        <c:axId val="119030528"/>
      </c:lineChart>
      <c:catAx>
        <c:axId val="119024640"/>
        <c:scaling>
          <c:orientation val="minMax"/>
        </c:scaling>
        <c:delete val="0"/>
        <c:axPos val="b"/>
        <c:numFmt formatCode="General" sourceLinked="1"/>
        <c:majorTickMark val="out"/>
        <c:minorTickMark val="none"/>
        <c:tickLblPos val="low"/>
        <c:crossAx val="119030528"/>
        <c:crosses val="autoZero"/>
        <c:auto val="1"/>
        <c:lblAlgn val="ctr"/>
        <c:lblOffset val="100"/>
        <c:noMultiLvlLbl val="0"/>
      </c:catAx>
      <c:valAx>
        <c:axId val="11903052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crossAx val="119024640"/>
        <c:crosses val="autoZero"/>
        <c:crossBetween val="between"/>
      </c:valAx>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Analysis!$B$222</c:f>
              <c:strCache>
                <c:ptCount val="1"/>
                <c:pt idx="0">
                  <c:v>Share of broadcast audience</c:v>
                </c:pt>
              </c:strCache>
            </c:strRef>
          </c:tx>
          <c:spPr>
            <a:ln w="25400">
              <a:solidFill>
                <a:srgbClr val="333399"/>
              </a:solidFill>
              <a:prstDash val="solid"/>
            </a:ln>
            <a:effectLst/>
          </c:spPr>
          <c:marker>
            <c:symbol val="none"/>
          </c:marker>
          <c:cat>
            <c:strRef>
              <c:f>Analysis!$C$221:$I$221</c:f>
              <c:strCache>
                <c:ptCount val="7"/>
                <c:pt idx="0">
                  <c:v>2006</c:v>
                </c:pt>
                <c:pt idx="1">
                  <c:v>2007</c:v>
                </c:pt>
                <c:pt idx="2">
                  <c:v>2008</c:v>
                </c:pt>
                <c:pt idx="3">
                  <c:v>2009</c:v>
                </c:pt>
                <c:pt idx="4">
                  <c:v>2010</c:v>
                </c:pt>
                <c:pt idx="5">
                  <c:v>2011</c:v>
                </c:pt>
                <c:pt idx="6">
                  <c:v>Q2 12</c:v>
                </c:pt>
              </c:strCache>
            </c:strRef>
          </c:cat>
          <c:val>
            <c:numRef>
              <c:f>Analysis!$C$222:$I$222</c:f>
              <c:numCache>
                <c:formatCode>0%</c:formatCode>
                <c:ptCount val="7"/>
                <c:pt idx="0">
                  <c:v>0.71</c:v>
                </c:pt>
                <c:pt idx="1">
                  <c:v>0.71</c:v>
                </c:pt>
                <c:pt idx="2">
                  <c:v>0.72</c:v>
                </c:pt>
                <c:pt idx="3">
                  <c:v>0.71</c:v>
                </c:pt>
                <c:pt idx="4">
                  <c:v>0.7</c:v>
                </c:pt>
                <c:pt idx="5">
                  <c:v>0.69</c:v>
                </c:pt>
                <c:pt idx="6">
                  <c:v>0.7</c:v>
                </c:pt>
              </c:numCache>
            </c:numRef>
          </c:val>
          <c:smooth val="0"/>
          <c:extLst>
            <c:ext xmlns:c16="http://schemas.microsoft.com/office/drawing/2014/chart" uri="{C3380CC4-5D6E-409C-BE32-E72D297353CC}">
              <c16:uniqueId val="{00000000-DD02-400A-8471-D2AE7FAB7B36}"/>
            </c:ext>
          </c:extLst>
        </c:ser>
        <c:dLbls>
          <c:showLegendKey val="0"/>
          <c:showVal val="0"/>
          <c:showCatName val="0"/>
          <c:showSerName val="0"/>
          <c:showPercent val="0"/>
          <c:showBubbleSize val="0"/>
        </c:dLbls>
        <c:smooth val="0"/>
        <c:axId val="119071488"/>
        <c:axId val="119073024"/>
      </c:lineChart>
      <c:catAx>
        <c:axId val="119071488"/>
        <c:scaling>
          <c:orientation val="minMax"/>
        </c:scaling>
        <c:delete val="0"/>
        <c:axPos val="b"/>
        <c:numFmt formatCode="General" sourceLinked="0"/>
        <c:majorTickMark val="out"/>
        <c:minorTickMark val="none"/>
        <c:tickLblPos val="low"/>
        <c:txPr>
          <a:bodyPr rot="-5400000" vert="horz"/>
          <a:lstStyle/>
          <a:p>
            <a:pPr>
              <a:defRPr/>
            </a:pPr>
            <a:endParaRPr lang="en-US"/>
          </a:p>
        </c:txPr>
        <c:crossAx val="119073024"/>
        <c:crosses val="autoZero"/>
        <c:auto val="1"/>
        <c:lblAlgn val="ctr"/>
        <c:lblOffset val="100"/>
        <c:noMultiLvlLbl val="0"/>
      </c:catAx>
      <c:valAx>
        <c:axId val="119073024"/>
        <c:scaling>
          <c:orientation val="minMax"/>
          <c:min val="0"/>
        </c:scaling>
        <c:delete val="0"/>
        <c:axPos val="l"/>
        <c:majorGridlines>
          <c:spPr>
            <a:ln w="3175">
              <a:solidFill>
                <a:srgbClr val="C0C0C0"/>
              </a:solidFill>
              <a:prstDash val="solid"/>
            </a:ln>
          </c:spPr>
        </c:majorGridlines>
        <c:numFmt formatCode="0%" sourceLinked="1"/>
        <c:majorTickMark val="out"/>
        <c:minorTickMark val="none"/>
        <c:tickLblPos val="nextTo"/>
        <c:crossAx val="119071488"/>
        <c:crosses val="autoZero"/>
        <c:crossBetween val="between"/>
      </c:valAx>
      <c:spPr>
        <a:noFill/>
        <a:ln w="25400">
          <a:noFill/>
        </a:ln>
      </c:spPr>
    </c:plotArea>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Analysis!$B$240</c:f>
              <c:strCache>
                <c:ptCount val="1"/>
                <c:pt idx="0">
                  <c:v>Pay TV penetration</c:v>
                </c:pt>
              </c:strCache>
            </c:strRef>
          </c:tx>
          <c:spPr>
            <a:ln w="25400">
              <a:solidFill>
                <a:srgbClr val="333399"/>
              </a:solidFill>
              <a:prstDash val="solid"/>
            </a:ln>
            <a:effectLst/>
          </c:spPr>
          <c:marker>
            <c:symbol val="none"/>
          </c:marker>
          <c:cat>
            <c:numRef>
              <c:f>Analysis!$C$239:$L$239</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Analysis!$C$240:$L$240</c:f>
              <c:numCache>
                <c:formatCode>0%</c:formatCode>
                <c:ptCount val="10"/>
                <c:pt idx="0">
                  <c:v>0.28827215756490598</c:v>
                </c:pt>
                <c:pt idx="1">
                  <c:v>0.35189519650655021</c:v>
                </c:pt>
                <c:pt idx="2">
                  <c:v>0.39208866155157718</c:v>
                </c:pt>
                <c:pt idx="3">
                  <c:v>0.43360532889258951</c:v>
                </c:pt>
                <c:pt idx="4">
                  <c:v>0.47951179820992679</c:v>
                </c:pt>
                <c:pt idx="5">
                  <c:v>0.51217183770883057</c:v>
                </c:pt>
                <c:pt idx="6">
                  <c:v>0.53437839515753527</c:v>
                </c:pt>
                <c:pt idx="7">
                  <c:v>0.6334002780781709</c:v>
                </c:pt>
                <c:pt idx="8">
                  <c:v>0.68712901737659537</c:v>
                </c:pt>
                <c:pt idx="9">
                  <c:v>0.70411755701821521</c:v>
                </c:pt>
              </c:numCache>
            </c:numRef>
          </c:val>
          <c:smooth val="0"/>
          <c:extLst>
            <c:ext xmlns:c16="http://schemas.microsoft.com/office/drawing/2014/chart" uri="{C3380CC4-5D6E-409C-BE32-E72D297353CC}">
              <c16:uniqueId val="{00000000-4243-447C-B045-28093E45E910}"/>
            </c:ext>
          </c:extLst>
        </c:ser>
        <c:dLbls>
          <c:showLegendKey val="0"/>
          <c:showVal val="0"/>
          <c:showCatName val="0"/>
          <c:showSerName val="0"/>
          <c:showPercent val="0"/>
          <c:showBubbleSize val="0"/>
        </c:dLbls>
        <c:smooth val="0"/>
        <c:axId val="118765440"/>
        <c:axId val="118766976"/>
      </c:lineChart>
      <c:catAx>
        <c:axId val="118765440"/>
        <c:scaling>
          <c:orientation val="minMax"/>
        </c:scaling>
        <c:delete val="0"/>
        <c:axPos val="b"/>
        <c:numFmt formatCode="General" sourceLinked="1"/>
        <c:majorTickMark val="out"/>
        <c:minorTickMark val="none"/>
        <c:tickLblPos val="low"/>
        <c:crossAx val="118766976"/>
        <c:crosses val="autoZero"/>
        <c:auto val="1"/>
        <c:lblAlgn val="ctr"/>
        <c:lblOffset val="100"/>
        <c:noMultiLvlLbl val="0"/>
      </c:catAx>
      <c:valAx>
        <c:axId val="118766976"/>
        <c:scaling>
          <c:orientation val="minMax"/>
        </c:scaling>
        <c:delete val="0"/>
        <c:axPos val="l"/>
        <c:majorGridlines>
          <c:spPr>
            <a:ln w="3175">
              <a:solidFill>
                <a:srgbClr val="C0C0C0"/>
              </a:solidFill>
              <a:prstDash val="solid"/>
            </a:ln>
          </c:spPr>
        </c:majorGridlines>
        <c:numFmt formatCode="0%" sourceLinked="1"/>
        <c:majorTickMark val="out"/>
        <c:minorTickMark val="none"/>
        <c:tickLblPos val="nextTo"/>
        <c:crossAx val="118765440"/>
        <c:crosses val="autoZero"/>
        <c:crossBetween val="between"/>
      </c:valAx>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Analysis!$B$242</c:f>
              <c:strCache>
                <c:ptCount val="1"/>
                <c:pt idx="0">
                  <c:v>Televisa share of distribution</c:v>
                </c:pt>
              </c:strCache>
            </c:strRef>
          </c:tx>
          <c:spPr>
            <a:ln w="25400">
              <a:solidFill>
                <a:srgbClr val="333399"/>
              </a:solidFill>
              <a:prstDash val="solid"/>
            </a:ln>
            <a:effectLst/>
          </c:spPr>
          <c:marker>
            <c:symbol val="none"/>
          </c:marker>
          <c:cat>
            <c:numRef>
              <c:f>Analysis!$C$239:$L$239</c:f>
              <c:numCache>
                <c:formatCode>General</c:formatCode>
                <c:ptCount val="10"/>
                <c:pt idx="0">
                  <c:v>2009</c:v>
                </c:pt>
                <c:pt idx="1">
                  <c:v>2010</c:v>
                </c:pt>
                <c:pt idx="2">
                  <c:v>2011</c:v>
                </c:pt>
                <c:pt idx="3">
                  <c:v>2012</c:v>
                </c:pt>
                <c:pt idx="4">
                  <c:v>2013</c:v>
                </c:pt>
                <c:pt idx="5">
                  <c:v>2014</c:v>
                </c:pt>
                <c:pt idx="6">
                  <c:v>2015</c:v>
                </c:pt>
                <c:pt idx="7">
                  <c:v>2016</c:v>
                </c:pt>
                <c:pt idx="8">
                  <c:v>2017</c:v>
                </c:pt>
                <c:pt idx="9">
                  <c:v>2018</c:v>
                </c:pt>
              </c:numCache>
            </c:numRef>
          </c:cat>
          <c:val>
            <c:numRef>
              <c:f>Analysis!$C$242:$L$242</c:f>
              <c:numCache>
                <c:formatCode>0%</c:formatCode>
                <c:ptCount val="10"/>
                <c:pt idx="0">
                  <c:v>0.51769576649011162</c:v>
                </c:pt>
                <c:pt idx="1">
                  <c:v>0.55432439307574133</c:v>
                </c:pt>
                <c:pt idx="2">
                  <c:v>0.60089475861543984</c:v>
                </c:pt>
                <c:pt idx="3">
                  <c:v>0.62754082400568867</c:v>
                </c:pt>
                <c:pt idx="4">
                  <c:v>0.63519529700932909</c:v>
                </c:pt>
                <c:pt idx="5">
                  <c:v>0.63452003727865802</c:v>
                </c:pt>
                <c:pt idx="6">
                  <c:v>0.64793133894859134</c:v>
                </c:pt>
                <c:pt idx="7">
                  <c:v>0.58661975609756101</c:v>
                </c:pt>
                <c:pt idx="8">
                  <c:v>0.53767420105630648</c:v>
                </c:pt>
                <c:pt idx="9">
                  <c:v>0.51573969565217392</c:v>
                </c:pt>
              </c:numCache>
            </c:numRef>
          </c:val>
          <c:smooth val="0"/>
          <c:extLst>
            <c:ext xmlns:c16="http://schemas.microsoft.com/office/drawing/2014/chart" uri="{C3380CC4-5D6E-409C-BE32-E72D297353CC}">
              <c16:uniqueId val="{00000000-B49C-4DF3-A8B7-797256B35988}"/>
            </c:ext>
          </c:extLst>
        </c:ser>
        <c:dLbls>
          <c:showLegendKey val="0"/>
          <c:showVal val="0"/>
          <c:showCatName val="0"/>
          <c:showSerName val="0"/>
          <c:showPercent val="0"/>
          <c:showBubbleSize val="0"/>
        </c:dLbls>
        <c:smooth val="0"/>
        <c:axId val="118783360"/>
        <c:axId val="118817920"/>
      </c:lineChart>
      <c:catAx>
        <c:axId val="118783360"/>
        <c:scaling>
          <c:orientation val="minMax"/>
        </c:scaling>
        <c:delete val="0"/>
        <c:axPos val="b"/>
        <c:numFmt formatCode="General" sourceLinked="1"/>
        <c:majorTickMark val="out"/>
        <c:minorTickMark val="none"/>
        <c:tickLblPos val="low"/>
        <c:crossAx val="118817920"/>
        <c:crosses val="autoZero"/>
        <c:auto val="1"/>
        <c:lblAlgn val="ctr"/>
        <c:lblOffset val="100"/>
        <c:noMultiLvlLbl val="0"/>
      </c:catAx>
      <c:valAx>
        <c:axId val="118817920"/>
        <c:scaling>
          <c:orientation val="minMax"/>
        </c:scaling>
        <c:delete val="0"/>
        <c:axPos val="l"/>
        <c:majorGridlines>
          <c:spPr>
            <a:ln w="3175">
              <a:solidFill>
                <a:srgbClr val="C0C0C0"/>
              </a:solidFill>
              <a:prstDash val="solid"/>
            </a:ln>
          </c:spPr>
        </c:majorGridlines>
        <c:numFmt formatCode="0%" sourceLinked="1"/>
        <c:majorTickMark val="out"/>
        <c:minorTickMark val="none"/>
        <c:tickLblPos val="nextTo"/>
        <c:crossAx val="118783360"/>
        <c:crosses val="autoZero"/>
        <c:crossBetween val="between"/>
      </c:valAx>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Analysis!$E$82</c:f>
              <c:strCache>
                <c:ptCount val="1"/>
                <c:pt idx="0">
                  <c:v>Capex</c:v>
                </c:pt>
              </c:strCache>
            </c:strRef>
          </c:tx>
          <c:spPr>
            <a:solidFill>
              <a:srgbClr val="000080"/>
            </a:solidFill>
            <a:ln w="25400">
              <a:noFill/>
            </a:ln>
          </c:spPr>
          <c:invertIfNegative val="0"/>
          <c:cat>
            <c:numRef>
              <c:f>Analysis!$F$81:$J$81</c:f>
              <c:numCache>
                <c:formatCode>0</c:formatCode>
                <c:ptCount val="5"/>
                <c:pt idx="0">
                  <c:v>2012</c:v>
                </c:pt>
                <c:pt idx="1">
                  <c:v>2013</c:v>
                </c:pt>
                <c:pt idx="2">
                  <c:v>2014</c:v>
                </c:pt>
                <c:pt idx="3">
                  <c:v>2015</c:v>
                </c:pt>
                <c:pt idx="4">
                  <c:v>2016</c:v>
                </c:pt>
              </c:numCache>
            </c:numRef>
          </c:cat>
          <c:val>
            <c:numRef>
              <c:f>Analysis!$F$82:$J$82</c:f>
              <c:numCache>
                <c:formatCode>0</c:formatCode>
                <c:ptCount val="5"/>
                <c:pt idx="0">
                  <c:v>455</c:v>
                </c:pt>
                <c:pt idx="1">
                  <c:v>599.9</c:v>
                </c:pt>
                <c:pt idx="2">
                  <c:v>702.9</c:v>
                </c:pt>
                <c:pt idx="3">
                  <c:v>1077.2</c:v>
                </c:pt>
                <c:pt idx="4">
                  <c:v>984.2</c:v>
                </c:pt>
              </c:numCache>
            </c:numRef>
          </c:val>
          <c:extLst>
            <c:ext xmlns:c16="http://schemas.microsoft.com/office/drawing/2014/chart" uri="{C3380CC4-5D6E-409C-BE32-E72D297353CC}">
              <c16:uniqueId val="{00000000-0886-4211-96E5-A8984D903E4E}"/>
            </c:ext>
          </c:extLst>
        </c:ser>
        <c:dLbls>
          <c:showLegendKey val="0"/>
          <c:showVal val="0"/>
          <c:showCatName val="0"/>
          <c:showSerName val="0"/>
          <c:showPercent val="0"/>
          <c:showBubbleSize val="0"/>
        </c:dLbls>
        <c:gapWidth val="150"/>
        <c:axId val="118836608"/>
        <c:axId val="118838400"/>
      </c:barChart>
      <c:lineChart>
        <c:grouping val="standard"/>
        <c:varyColors val="0"/>
        <c:ser>
          <c:idx val="1"/>
          <c:order val="1"/>
          <c:tx>
            <c:strRef>
              <c:f>Analysis!$E$83</c:f>
              <c:strCache>
                <c:ptCount val="1"/>
                <c:pt idx="0">
                  <c:v>OpFCF margin</c:v>
                </c:pt>
              </c:strCache>
            </c:strRef>
          </c:tx>
          <c:spPr>
            <a:ln w="25400">
              <a:solidFill>
                <a:srgbClr val="000080"/>
              </a:solidFill>
              <a:prstDash val="solid"/>
            </a:ln>
            <a:effectLst/>
          </c:spPr>
          <c:marker>
            <c:symbol val="none"/>
          </c:marker>
          <c:cat>
            <c:numRef>
              <c:f>Analysis!$F$81:$J$81</c:f>
              <c:numCache>
                <c:formatCode>0</c:formatCode>
                <c:ptCount val="5"/>
                <c:pt idx="0">
                  <c:v>2012</c:v>
                </c:pt>
                <c:pt idx="1">
                  <c:v>2013</c:v>
                </c:pt>
                <c:pt idx="2">
                  <c:v>2014</c:v>
                </c:pt>
                <c:pt idx="3">
                  <c:v>2015</c:v>
                </c:pt>
                <c:pt idx="4">
                  <c:v>2016</c:v>
                </c:pt>
              </c:numCache>
            </c:numRef>
          </c:cat>
          <c:val>
            <c:numRef>
              <c:f>Analysis!$F$83:$J$83</c:f>
              <c:numCache>
                <c:formatCode>0%</c:formatCode>
                <c:ptCount val="5"/>
                <c:pt idx="0">
                  <c:v>-1.1239274520885842E-2</c:v>
                </c:pt>
                <c:pt idx="1">
                  <c:v>-8.8858263122272227E-2</c:v>
                </c:pt>
                <c:pt idx="2">
                  <c:v>-7.0338870527100111E-2</c:v>
                </c:pt>
                <c:pt idx="3">
                  <c:v>-0.19971581315838433</c:v>
                </c:pt>
                <c:pt idx="4">
                  <c:v>-0.16669185616275137</c:v>
                </c:pt>
              </c:numCache>
            </c:numRef>
          </c:val>
          <c:smooth val="0"/>
          <c:extLst>
            <c:ext xmlns:c16="http://schemas.microsoft.com/office/drawing/2014/chart" uri="{C3380CC4-5D6E-409C-BE32-E72D297353CC}">
              <c16:uniqueId val="{00000001-0886-4211-96E5-A8984D903E4E}"/>
            </c:ext>
          </c:extLst>
        </c:ser>
        <c:dLbls>
          <c:showLegendKey val="0"/>
          <c:showVal val="0"/>
          <c:showCatName val="0"/>
          <c:showSerName val="0"/>
          <c:showPercent val="0"/>
          <c:showBubbleSize val="0"/>
        </c:dLbls>
        <c:marker val="1"/>
        <c:smooth val="0"/>
        <c:axId val="118845824"/>
        <c:axId val="118839936"/>
      </c:lineChart>
      <c:catAx>
        <c:axId val="118836608"/>
        <c:scaling>
          <c:orientation val="minMax"/>
        </c:scaling>
        <c:delete val="0"/>
        <c:axPos val="b"/>
        <c:numFmt formatCode="0" sourceLinked="1"/>
        <c:majorTickMark val="out"/>
        <c:minorTickMark val="none"/>
        <c:tickLblPos val="nextTo"/>
        <c:crossAx val="118838400"/>
        <c:crosses val="autoZero"/>
        <c:auto val="1"/>
        <c:lblAlgn val="ctr"/>
        <c:lblOffset val="100"/>
        <c:noMultiLvlLbl val="0"/>
      </c:catAx>
      <c:valAx>
        <c:axId val="118838400"/>
        <c:scaling>
          <c:orientation val="minMax"/>
        </c:scaling>
        <c:delete val="0"/>
        <c:axPos val="l"/>
        <c:majorGridlines>
          <c:spPr>
            <a:ln w="3175">
              <a:solidFill>
                <a:srgbClr val="C0C0C0"/>
              </a:solidFill>
              <a:prstDash val="solid"/>
            </a:ln>
          </c:spPr>
        </c:majorGridlines>
        <c:numFmt formatCode="0" sourceLinked="1"/>
        <c:majorTickMark val="out"/>
        <c:minorTickMark val="none"/>
        <c:tickLblPos val="nextTo"/>
        <c:crossAx val="118836608"/>
        <c:crosses val="autoZero"/>
        <c:crossBetween val="between"/>
      </c:valAx>
      <c:valAx>
        <c:axId val="118839936"/>
        <c:scaling>
          <c:orientation val="minMax"/>
        </c:scaling>
        <c:delete val="0"/>
        <c:axPos val="r"/>
        <c:numFmt formatCode="0%" sourceLinked="1"/>
        <c:majorTickMark val="out"/>
        <c:minorTickMark val="none"/>
        <c:tickLblPos val="nextTo"/>
        <c:crossAx val="118845824"/>
        <c:crosses val="max"/>
        <c:crossBetween val="between"/>
      </c:valAx>
      <c:catAx>
        <c:axId val="118845824"/>
        <c:scaling>
          <c:orientation val="minMax"/>
        </c:scaling>
        <c:delete val="1"/>
        <c:axPos val="b"/>
        <c:numFmt formatCode="0" sourceLinked="1"/>
        <c:majorTickMark val="out"/>
        <c:minorTickMark val="none"/>
        <c:tickLblPos val="nextTo"/>
        <c:crossAx val="118839936"/>
        <c:crosses val="autoZero"/>
        <c:auto val="1"/>
        <c:lblAlgn val="ctr"/>
        <c:lblOffset val="100"/>
        <c:noMultiLvlLbl val="0"/>
      </c:catAx>
      <c:spPr>
        <a:noFill/>
        <a:ln w="25400">
          <a:noFill/>
        </a:ln>
      </c:spPr>
    </c:plotArea>
    <c:legend>
      <c:legendPos val="b"/>
      <c:overlay val="0"/>
      <c:spPr>
        <a:ln w="25400">
          <a:noFill/>
        </a:ln>
      </c:spPr>
    </c:legend>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Revenue</c:v>
          </c:tx>
          <c:spPr>
            <a:solidFill>
              <a:srgbClr val="000080"/>
            </a:solidFill>
            <a:ln w="25400">
              <a:noFill/>
            </a:ln>
            <a:effectLst/>
          </c:spPr>
          <c:invertIfNegative val="0"/>
          <c:dPt>
            <c:idx val="4"/>
            <c:invertIfNegative val="0"/>
            <c:bubble3D val="0"/>
            <c:extLst>
              <c:ext xmlns:c16="http://schemas.microsoft.com/office/drawing/2014/chart" uri="{C3380CC4-5D6E-409C-BE32-E72D297353CC}">
                <c16:uniqueId val="{00000001-73A0-4EE8-B695-558ACA073027}"/>
              </c:ext>
            </c:extLst>
          </c:dPt>
          <c:val>
            <c:numRef>
              <c:f>Interims!$FL$394:$FQ$394</c:f>
              <c:numCache>
                <c:formatCode>0.0%</c:formatCode>
                <c:ptCount val="6"/>
                <c:pt idx="0">
                  <c:v>-0.28430973138868521</c:v>
                </c:pt>
                <c:pt idx="1">
                  <c:v>-0.33135025055488188</c:v>
                </c:pt>
                <c:pt idx="2">
                  <c:v>-0.13004240740353878</c:v>
                </c:pt>
                <c:pt idx="3">
                  <c:v>1.1328278403770486E-3</c:v>
                </c:pt>
                <c:pt idx="4">
                  <c:v>0.28074835869606485</c:v>
                </c:pt>
                <c:pt idx="5">
                  <c:v>0.32092259256724387</c:v>
                </c:pt>
              </c:numCache>
            </c:numRef>
          </c:val>
          <c:extLst>
            <c:ext xmlns:c15="http://schemas.microsoft.com/office/drawing/2012/chart" uri="{02D57815-91ED-43cb-92C2-25804820EDAC}">
              <c15:filteredCategoryTitle>
                <c15:cat>
                  <c:strRef>
                    <c:extLst>
                      <c:ext uri="{02D57815-91ED-43cb-92C2-25804820EDAC}">
                        <c15:formulaRef>
                          <c15:sqref>Interims!$FL$393:$FQ$393</c15:sqref>
                        </c15:formulaRef>
                      </c:ext>
                    </c:extLst>
                    <c:strCache>
                      <c:ptCount val="6"/>
                      <c:pt idx="0">
                        <c:v>Q1 20</c:v>
                      </c:pt>
                      <c:pt idx="1">
                        <c:v>Q2 20</c:v>
                      </c:pt>
                      <c:pt idx="2">
                        <c:v>Q3 20</c:v>
                      </c:pt>
                      <c:pt idx="3">
                        <c:v>Q4 20</c:v>
                      </c:pt>
                      <c:pt idx="4">
                        <c:v>Q1 21</c:v>
                      </c:pt>
                      <c:pt idx="5">
                        <c:v>Q2 21</c:v>
                      </c:pt>
                    </c:strCache>
                  </c:strRef>
                </c15:cat>
              </c15:filteredCategoryTitle>
            </c:ext>
            <c:ext xmlns:c16="http://schemas.microsoft.com/office/drawing/2014/chart" uri="{C3380CC4-5D6E-409C-BE32-E72D297353CC}">
              <c16:uniqueId val="{00000000-73A0-4EE8-B695-558ACA073027}"/>
            </c:ext>
          </c:extLst>
        </c:ser>
        <c:ser>
          <c:idx val="1"/>
          <c:order val="1"/>
          <c:tx>
            <c:v>EBITDA</c:v>
          </c:tx>
          <c:spPr>
            <a:solidFill>
              <a:srgbClr val="9999FF"/>
            </a:solidFill>
            <a:ln w="25400">
              <a:noFill/>
            </a:ln>
            <a:effectLst/>
          </c:spPr>
          <c:invertIfNegative val="0"/>
          <c:val>
            <c:numRef>
              <c:f>Interims!$FL$395:$FQ$395</c:f>
              <c:numCache>
                <c:formatCode>0%</c:formatCode>
                <c:ptCount val="6"/>
                <c:pt idx="0">
                  <c:v>-0.28818418383098843</c:v>
                </c:pt>
                <c:pt idx="1">
                  <c:v>-0.28941706792336852</c:v>
                </c:pt>
                <c:pt idx="2">
                  <c:v>5.8606175497220692E-2</c:v>
                </c:pt>
                <c:pt idx="3">
                  <c:v>0.18182618261826144</c:v>
                </c:pt>
                <c:pt idx="4">
                  <c:v>0.47251998265072181</c:v>
                </c:pt>
                <c:pt idx="5">
                  <c:v>0.23471741637831589</c:v>
                </c:pt>
              </c:numCache>
            </c:numRef>
          </c:val>
          <c:extLst>
            <c:ext xmlns:c15="http://schemas.microsoft.com/office/drawing/2012/chart" uri="{02D57815-91ED-43cb-92C2-25804820EDAC}">
              <c15:filteredCategoryTitle>
                <c15:cat>
                  <c:strRef>
                    <c:extLst>
                      <c:ext uri="{02D57815-91ED-43cb-92C2-25804820EDAC}">
                        <c15:formulaRef>
                          <c15:sqref>Interims!$FL$393:$FQ$393</c15:sqref>
                        </c15:formulaRef>
                      </c:ext>
                    </c:extLst>
                    <c:strCache>
                      <c:ptCount val="6"/>
                      <c:pt idx="0">
                        <c:v>Q1 20</c:v>
                      </c:pt>
                      <c:pt idx="1">
                        <c:v>Q2 20</c:v>
                      </c:pt>
                      <c:pt idx="2">
                        <c:v>Q3 20</c:v>
                      </c:pt>
                      <c:pt idx="3">
                        <c:v>Q4 20</c:v>
                      </c:pt>
                      <c:pt idx="4">
                        <c:v>Q1 21</c:v>
                      </c:pt>
                      <c:pt idx="5">
                        <c:v>Q2 21</c:v>
                      </c:pt>
                    </c:strCache>
                  </c:strRef>
                </c15:cat>
              </c15:filteredCategoryTitle>
            </c:ext>
            <c:ext xmlns:c16="http://schemas.microsoft.com/office/drawing/2014/chart" uri="{C3380CC4-5D6E-409C-BE32-E72D297353CC}">
              <c16:uniqueId val="{00000002-EEDE-4C66-BE96-614F738D0C5F}"/>
            </c:ext>
          </c:extLst>
        </c:ser>
        <c:dLbls>
          <c:showLegendKey val="0"/>
          <c:showVal val="0"/>
          <c:showCatName val="0"/>
          <c:showSerName val="0"/>
          <c:showPercent val="0"/>
          <c:showBubbleSize val="0"/>
        </c:dLbls>
        <c:gapWidth val="219"/>
        <c:overlap val="-27"/>
        <c:axId val="625265264"/>
        <c:axId val="625264280"/>
      </c:barChart>
      <c:catAx>
        <c:axId val="625265264"/>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264280"/>
        <c:crosses val="autoZero"/>
        <c:auto val="1"/>
        <c:lblAlgn val="ctr"/>
        <c:lblOffset val="100"/>
        <c:noMultiLvlLbl val="0"/>
      </c:catAx>
      <c:valAx>
        <c:axId val="625264280"/>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y/y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265264"/>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Analysis!$B$744</c:f>
              <c:strCache>
                <c:ptCount val="1"/>
                <c:pt idx="0">
                  <c:v>Content</c:v>
                </c:pt>
              </c:strCache>
            </c:strRef>
          </c:tx>
          <c:spPr>
            <a:solidFill>
              <a:srgbClr val="000080"/>
            </a:solidFill>
            <a:ln w="25400">
              <a:noFill/>
            </a:ln>
            <a:effectLst/>
          </c:spPr>
          <c:invertIfNegative val="0"/>
          <c:cat>
            <c:numRef>
              <c:f>Analysis!$C$743:$G$743</c:f>
              <c:numCache>
                <c:formatCode>General</c:formatCode>
                <c:ptCount val="5"/>
                <c:pt idx="0">
                  <c:v>2016</c:v>
                </c:pt>
                <c:pt idx="1">
                  <c:v>2017</c:v>
                </c:pt>
                <c:pt idx="2">
                  <c:v>2018</c:v>
                </c:pt>
                <c:pt idx="3">
                  <c:v>2019</c:v>
                </c:pt>
                <c:pt idx="4">
                  <c:v>2020</c:v>
                </c:pt>
              </c:numCache>
            </c:numRef>
          </c:cat>
          <c:val>
            <c:numRef>
              <c:f>Analysis!$C$744:$G$744</c:f>
              <c:numCache>
                <c:formatCode>0</c:formatCode>
                <c:ptCount val="5"/>
                <c:pt idx="0">
                  <c:v>150</c:v>
                </c:pt>
                <c:pt idx="1">
                  <c:v>113.59999999999998</c:v>
                </c:pt>
                <c:pt idx="2">
                  <c:v>94.8</c:v>
                </c:pt>
                <c:pt idx="3">
                  <c:v>107.8</c:v>
                </c:pt>
                <c:pt idx="4">
                  <c:v>26.7</c:v>
                </c:pt>
              </c:numCache>
            </c:numRef>
          </c:val>
          <c:extLst>
            <c:ext xmlns:c16="http://schemas.microsoft.com/office/drawing/2014/chart" uri="{C3380CC4-5D6E-409C-BE32-E72D297353CC}">
              <c16:uniqueId val="{00000000-8845-4D99-9102-4322CCCA8274}"/>
            </c:ext>
          </c:extLst>
        </c:ser>
        <c:ser>
          <c:idx val="1"/>
          <c:order val="1"/>
          <c:tx>
            <c:strRef>
              <c:f>Analysis!$B$745</c:f>
              <c:strCache>
                <c:ptCount val="1"/>
                <c:pt idx="0">
                  <c:v>SKY growth</c:v>
                </c:pt>
              </c:strCache>
            </c:strRef>
          </c:tx>
          <c:spPr>
            <a:solidFill>
              <a:srgbClr val="9999FF"/>
            </a:solidFill>
            <a:ln w="25400">
              <a:noFill/>
            </a:ln>
            <a:effectLst/>
          </c:spPr>
          <c:invertIfNegative val="0"/>
          <c:cat>
            <c:numRef>
              <c:f>Analysis!$C$743:$G$743</c:f>
              <c:numCache>
                <c:formatCode>General</c:formatCode>
                <c:ptCount val="5"/>
                <c:pt idx="0">
                  <c:v>2016</c:v>
                </c:pt>
                <c:pt idx="1">
                  <c:v>2017</c:v>
                </c:pt>
                <c:pt idx="2">
                  <c:v>2018</c:v>
                </c:pt>
                <c:pt idx="3">
                  <c:v>2019</c:v>
                </c:pt>
                <c:pt idx="4">
                  <c:v>2020</c:v>
                </c:pt>
              </c:numCache>
            </c:numRef>
          </c:cat>
          <c:val>
            <c:numRef>
              <c:f>Analysis!$C$745:$G$745</c:f>
              <c:numCache>
                <c:formatCode>General</c:formatCode>
                <c:ptCount val="5"/>
                <c:pt idx="0" formatCode="0">
                  <c:v>170</c:v>
                </c:pt>
                <c:pt idx="1">
                  <c:v>150</c:v>
                </c:pt>
                <c:pt idx="2">
                  <c:v>120</c:v>
                </c:pt>
                <c:pt idx="3">
                  <c:v>80</c:v>
                </c:pt>
                <c:pt idx="4">
                  <c:v>0</c:v>
                </c:pt>
              </c:numCache>
            </c:numRef>
          </c:val>
          <c:extLst>
            <c:ext xmlns:c16="http://schemas.microsoft.com/office/drawing/2014/chart" uri="{C3380CC4-5D6E-409C-BE32-E72D297353CC}">
              <c16:uniqueId val="{00000001-8845-4D99-9102-4322CCCA8274}"/>
            </c:ext>
          </c:extLst>
        </c:ser>
        <c:ser>
          <c:idx val="2"/>
          <c:order val="2"/>
          <c:tx>
            <c:strRef>
              <c:f>Analysis!$B$746</c:f>
              <c:strCache>
                <c:ptCount val="1"/>
                <c:pt idx="0">
                  <c:v>SKY maintenance</c:v>
                </c:pt>
              </c:strCache>
            </c:strRef>
          </c:tx>
          <c:spPr>
            <a:solidFill>
              <a:srgbClr val="3366FF"/>
            </a:solidFill>
            <a:ln w="25400">
              <a:noFill/>
            </a:ln>
            <a:effectLst/>
          </c:spPr>
          <c:invertIfNegative val="0"/>
          <c:cat>
            <c:numRef>
              <c:f>Analysis!$C$743:$G$743</c:f>
              <c:numCache>
                <c:formatCode>General</c:formatCode>
                <c:ptCount val="5"/>
                <c:pt idx="0">
                  <c:v>2016</c:v>
                </c:pt>
                <c:pt idx="1">
                  <c:v>2017</c:v>
                </c:pt>
                <c:pt idx="2">
                  <c:v>2018</c:v>
                </c:pt>
                <c:pt idx="3">
                  <c:v>2019</c:v>
                </c:pt>
                <c:pt idx="4">
                  <c:v>2020</c:v>
                </c:pt>
              </c:numCache>
            </c:numRef>
          </c:cat>
          <c:val>
            <c:numRef>
              <c:f>Analysis!$C$746:$G$746</c:f>
              <c:numCache>
                <c:formatCode>0</c:formatCode>
                <c:ptCount val="5"/>
                <c:pt idx="0">
                  <c:v>176.60000000000002</c:v>
                </c:pt>
                <c:pt idx="1">
                  <c:v>61.400000000000006</c:v>
                </c:pt>
                <c:pt idx="2">
                  <c:v>89.6</c:v>
                </c:pt>
                <c:pt idx="3">
                  <c:v>129.1</c:v>
                </c:pt>
                <c:pt idx="4">
                  <c:v>250.2</c:v>
                </c:pt>
              </c:numCache>
            </c:numRef>
          </c:val>
          <c:extLst>
            <c:ext xmlns:c16="http://schemas.microsoft.com/office/drawing/2014/chart" uri="{C3380CC4-5D6E-409C-BE32-E72D297353CC}">
              <c16:uniqueId val="{00000002-8845-4D99-9102-4322CCCA8274}"/>
            </c:ext>
          </c:extLst>
        </c:ser>
        <c:ser>
          <c:idx val="3"/>
          <c:order val="3"/>
          <c:tx>
            <c:strRef>
              <c:f>Analysis!$B$747</c:f>
              <c:strCache>
                <c:ptCount val="1"/>
                <c:pt idx="0">
                  <c:v>Cable network upgrade</c:v>
                </c:pt>
              </c:strCache>
            </c:strRef>
          </c:tx>
          <c:spPr>
            <a:solidFill>
              <a:srgbClr val="CCCCFF"/>
            </a:solidFill>
            <a:ln w="25400">
              <a:noFill/>
            </a:ln>
            <a:effectLst/>
          </c:spPr>
          <c:invertIfNegative val="0"/>
          <c:cat>
            <c:numRef>
              <c:f>Analysis!$C$743:$G$743</c:f>
              <c:numCache>
                <c:formatCode>General</c:formatCode>
                <c:ptCount val="5"/>
                <c:pt idx="0">
                  <c:v>2016</c:v>
                </c:pt>
                <c:pt idx="1">
                  <c:v>2017</c:v>
                </c:pt>
                <c:pt idx="2">
                  <c:v>2018</c:v>
                </c:pt>
                <c:pt idx="3">
                  <c:v>2019</c:v>
                </c:pt>
                <c:pt idx="4">
                  <c:v>2020</c:v>
                </c:pt>
              </c:numCache>
            </c:numRef>
          </c:cat>
          <c:val>
            <c:numRef>
              <c:f>Analysis!$C$747:$G$747</c:f>
              <c:numCache>
                <c:formatCode>General</c:formatCode>
                <c:ptCount val="5"/>
                <c:pt idx="0" formatCode="0">
                  <c:v>393.68000000000006</c:v>
                </c:pt>
                <c:pt idx="1">
                  <c:v>180</c:v>
                </c:pt>
                <c:pt idx="2">
                  <c:v>160</c:v>
                </c:pt>
                <c:pt idx="3" formatCode="0">
                  <c:v>140</c:v>
                </c:pt>
                <c:pt idx="4">
                  <c:v>140</c:v>
                </c:pt>
              </c:numCache>
            </c:numRef>
          </c:val>
          <c:extLst>
            <c:ext xmlns:c16="http://schemas.microsoft.com/office/drawing/2014/chart" uri="{C3380CC4-5D6E-409C-BE32-E72D297353CC}">
              <c16:uniqueId val="{00000003-8845-4D99-9102-4322CCCA8274}"/>
            </c:ext>
          </c:extLst>
        </c:ser>
        <c:ser>
          <c:idx val="4"/>
          <c:order val="4"/>
          <c:tx>
            <c:strRef>
              <c:f>Analysis!$B$748</c:f>
              <c:strCache>
                <c:ptCount val="1"/>
                <c:pt idx="0">
                  <c:v>Cable CPE/growth</c:v>
                </c:pt>
              </c:strCache>
            </c:strRef>
          </c:tx>
          <c:spPr>
            <a:solidFill>
              <a:srgbClr val="969696"/>
            </a:solidFill>
            <a:ln w="25400">
              <a:noFill/>
            </a:ln>
            <a:effectLst/>
          </c:spPr>
          <c:invertIfNegative val="0"/>
          <c:cat>
            <c:numRef>
              <c:f>Analysis!$C$743:$G$743</c:f>
              <c:numCache>
                <c:formatCode>General</c:formatCode>
                <c:ptCount val="5"/>
                <c:pt idx="0">
                  <c:v>2016</c:v>
                </c:pt>
                <c:pt idx="1">
                  <c:v>2017</c:v>
                </c:pt>
                <c:pt idx="2">
                  <c:v>2018</c:v>
                </c:pt>
                <c:pt idx="3">
                  <c:v>2019</c:v>
                </c:pt>
                <c:pt idx="4">
                  <c:v>2020</c:v>
                </c:pt>
              </c:numCache>
            </c:numRef>
          </c:cat>
          <c:val>
            <c:numRef>
              <c:f>Analysis!$C$748:$G$748</c:f>
              <c:numCache>
                <c:formatCode>0</c:formatCode>
                <c:ptCount val="5"/>
                <c:pt idx="0">
                  <c:v>295.26</c:v>
                </c:pt>
                <c:pt idx="1">
                  <c:v>300</c:v>
                </c:pt>
                <c:pt idx="2">
                  <c:v>225</c:v>
                </c:pt>
                <c:pt idx="3">
                  <c:v>130</c:v>
                </c:pt>
                <c:pt idx="4">
                  <c:v>130</c:v>
                </c:pt>
              </c:numCache>
            </c:numRef>
          </c:val>
          <c:extLst>
            <c:ext xmlns:c16="http://schemas.microsoft.com/office/drawing/2014/chart" uri="{C3380CC4-5D6E-409C-BE32-E72D297353CC}">
              <c16:uniqueId val="{00000004-8845-4D99-9102-4322CCCA8274}"/>
            </c:ext>
          </c:extLst>
        </c:ser>
        <c:ser>
          <c:idx val="5"/>
          <c:order val="5"/>
          <c:tx>
            <c:strRef>
              <c:f>Analysis!$B$749</c:f>
              <c:strCache>
                <c:ptCount val="1"/>
                <c:pt idx="0">
                  <c:v>Cable maintenance</c:v>
                </c:pt>
              </c:strCache>
            </c:strRef>
          </c:tx>
          <c:spPr>
            <a:solidFill>
              <a:srgbClr val="C0C0C0"/>
            </a:solidFill>
            <a:ln w="25400">
              <a:noFill/>
            </a:ln>
            <a:effectLst/>
          </c:spPr>
          <c:invertIfNegative val="0"/>
          <c:cat>
            <c:numRef>
              <c:f>Analysis!$C$743:$G$743</c:f>
              <c:numCache>
                <c:formatCode>General</c:formatCode>
                <c:ptCount val="5"/>
                <c:pt idx="0">
                  <c:v>2016</c:v>
                </c:pt>
                <c:pt idx="1">
                  <c:v>2017</c:v>
                </c:pt>
                <c:pt idx="2">
                  <c:v>2018</c:v>
                </c:pt>
                <c:pt idx="3">
                  <c:v>2019</c:v>
                </c:pt>
                <c:pt idx="4">
                  <c:v>2020</c:v>
                </c:pt>
              </c:numCache>
            </c:numRef>
          </c:cat>
          <c:val>
            <c:numRef>
              <c:f>Analysis!$C$749:$G$749</c:f>
              <c:numCache>
                <c:formatCode>0</c:formatCode>
                <c:ptCount val="5"/>
                <c:pt idx="0">
                  <c:v>295.26</c:v>
                </c:pt>
                <c:pt idx="1">
                  <c:v>79.700000000000045</c:v>
                </c:pt>
                <c:pt idx="2">
                  <c:v>280</c:v>
                </c:pt>
                <c:pt idx="3">
                  <c:v>403.6</c:v>
                </c:pt>
                <c:pt idx="4">
                  <c:v>392.5</c:v>
                </c:pt>
              </c:numCache>
            </c:numRef>
          </c:val>
          <c:extLst>
            <c:ext xmlns:c16="http://schemas.microsoft.com/office/drawing/2014/chart" uri="{C3380CC4-5D6E-409C-BE32-E72D297353CC}">
              <c16:uniqueId val="{00000005-8845-4D99-9102-4322CCCA8274}"/>
            </c:ext>
          </c:extLst>
        </c:ser>
        <c:dLbls>
          <c:showLegendKey val="0"/>
          <c:showVal val="0"/>
          <c:showCatName val="0"/>
          <c:showSerName val="0"/>
          <c:showPercent val="0"/>
          <c:showBubbleSize val="0"/>
        </c:dLbls>
        <c:gapWidth val="219"/>
        <c:overlap val="100"/>
        <c:axId val="118958336"/>
        <c:axId val="118976512"/>
      </c:barChart>
      <c:catAx>
        <c:axId val="118958336"/>
        <c:scaling>
          <c:orientation val="minMax"/>
        </c:scaling>
        <c:delete val="0"/>
        <c:axPos val="b"/>
        <c:numFmt formatCode="General" sourceLinked="1"/>
        <c:majorTickMark val="none"/>
        <c:minorTickMark val="none"/>
        <c:tickLblPos val="nextTo"/>
        <c:spPr>
          <a:noFill/>
          <a:ln w="9525" cap="flat" cmpd="sng" algn="ctr">
            <a:solidFill>
              <a:srgbClr val="868686"/>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976512"/>
        <c:crosses val="autoZero"/>
        <c:auto val="1"/>
        <c:lblAlgn val="ctr"/>
        <c:lblOffset val="100"/>
        <c:noMultiLvlLbl val="0"/>
      </c:catAx>
      <c:valAx>
        <c:axId val="11897651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895833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Analysis!$B$804</c:f>
              <c:strCache>
                <c:ptCount val="1"/>
                <c:pt idx="0">
                  <c:v>Core service revs</c:v>
                </c:pt>
              </c:strCache>
            </c:strRef>
          </c:tx>
          <c:spPr>
            <a:ln w="25400" cap="rnd">
              <a:solidFill>
                <a:srgbClr val="333399"/>
              </a:solidFill>
              <a:prstDash val="solid"/>
              <a:round/>
            </a:ln>
            <a:effectLst/>
          </c:spPr>
          <c:marker>
            <c:symbol val="none"/>
          </c:marker>
          <c:dLbls>
            <c:delete val="1"/>
          </c:dLbls>
          <c:cat>
            <c:strRef>
              <c:f>Analysis!$C$803:$H$803</c:f>
              <c:strCache>
                <c:ptCount val="6"/>
                <c:pt idx="0">
                  <c:v>Q1 15</c:v>
                </c:pt>
                <c:pt idx="1">
                  <c:v>Q2 15</c:v>
                </c:pt>
                <c:pt idx="2">
                  <c:v>Q3 15</c:v>
                </c:pt>
                <c:pt idx="3">
                  <c:v>Q4 15</c:v>
                </c:pt>
                <c:pt idx="4">
                  <c:v>Q1 16</c:v>
                </c:pt>
                <c:pt idx="5">
                  <c:v>Q2 16</c:v>
                </c:pt>
              </c:strCache>
            </c:strRef>
          </c:cat>
          <c:val>
            <c:numRef>
              <c:f>Analysis!$C$804:$H$804</c:f>
              <c:numCache>
                <c:formatCode>0%</c:formatCode>
                <c:ptCount val="6"/>
                <c:pt idx="0">
                  <c:v>0.1672202778518217</c:v>
                </c:pt>
                <c:pt idx="1">
                  <c:v>0.12916219451866939</c:v>
                </c:pt>
                <c:pt idx="2">
                  <c:v>0.16855895196506543</c:v>
                </c:pt>
                <c:pt idx="3">
                  <c:v>0.21446542023787041</c:v>
                </c:pt>
                <c:pt idx="4">
                  <c:v>0.19744562106468222</c:v>
                </c:pt>
                <c:pt idx="5">
                  <c:v>0.2390799035516058</c:v>
                </c:pt>
              </c:numCache>
            </c:numRef>
          </c:val>
          <c:smooth val="0"/>
          <c:extLst>
            <c:ext xmlns:c16="http://schemas.microsoft.com/office/drawing/2014/chart" uri="{C3380CC4-5D6E-409C-BE32-E72D297353CC}">
              <c16:uniqueId val="{00000000-845A-47F7-8237-B3855250F899}"/>
            </c:ext>
          </c:extLst>
        </c:ser>
        <c:ser>
          <c:idx val="1"/>
          <c:order val="1"/>
          <c:tx>
            <c:strRef>
              <c:f>Analysis!$B$805</c:f>
              <c:strCache>
                <c:ptCount val="1"/>
                <c:pt idx="0">
                  <c:v>RGUs</c:v>
                </c:pt>
              </c:strCache>
            </c:strRef>
          </c:tx>
          <c:spPr>
            <a:ln w="25400" cap="rnd">
              <a:solidFill>
                <a:srgbClr val="99CCFF"/>
              </a:solidFill>
              <a:prstDash val="solid"/>
              <a:round/>
            </a:ln>
            <a:effectLst/>
          </c:spPr>
          <c:marker>
            <c:symbol val="none"/>
          </c:marker>
          <c:dLbls>
            <c:delete val="1"/>
          </c:dLbls>
          <c:cat>
            <c:strRef>
              <c:f>Analysis!$C$803:$H$803</c:f>
              <c:strCache>
                <c:ptCount val="6"/>
                <c:pt idx="0">
                  <c:v>Q1 15</c:v>
                </c:pt>
                <c:pt idx="1">
                  <c:v>Q2 15</c:v>
                </c:pt>
                <c:pt idx="2">
                  <c:v>Q3 15</c:v>
                </c:pt>
                <c:pt idx="3">
                  <c:v>Q4 15</c:v>
                </c:pt>
                <c:pt idx="4">
                  <c:v>Q1 16</c:v>
                </c:pt>
                <c:pt idx="5">
                  <c:v>Q2 16</c:v>
                </c:pt>
              </c:strCache>
            </c:strRef>
          </c:cat>
          <c:val>
            <c:numRef>
              <c:f>Analysis!$C$805:$H$805</c:f>
              <c:numCache>
                <c:formatCode>0%</c:formatCode>
                <c:ptCount val="6"/>
                <c:pt idx="0">
                  <c:v>0.22920845748095742</c:v>
                </c:pt>
                <c:pt idx="1">
                  <c:v>0.23566511819716318</c:v>
                </c:pt>
                <c:pt idx="2">
                  <c:v>0.24169424500651271</c:v>
                </c:pt>
                <c:pt idx="3">
                  <c:v>0.24749175207689733</c:v>
                </c:pt>
                <c:pt idx="4">
                  <c:v>0.23357183853070596</c:v>
                </c:pt>
                <c:pt idx="5">
                  <c:v>0.20039464068209512</c:v>
                </c:pt>
              </c:numCache>
            </c:numRef>
          </c:val>
          <c:smooth val="0"/>
          <c:extLst>
            <c:ext xmlns:c16="http://schemas.microsoft.com/office/drawing/2014/chart" uri="{C3380CC4-5D6E-409C-BE32-E72D297353CC}">
              <c16:uniqueId val="{00000001-845A-47F7-8237-B3855250F899}"/>
            </c:ext>
          </c:extLst>
        </c:ser>
        <c:ser>
          <c:idx val="2"/>
          <c:order val="2"/>
          <c:tx>
            <c:strRef>
              <c:f>Analysis!$B$806</c:f>
              <c:strCache>
                <c:ptCount val="1"/>
                <c:pt idx="0">
                  <c:v>ARPU</c:v>
                </c:pt>
              </c:strCache>
            </c:strRef>
          </c:tx>
          <c:spPr>
            <a:ln w="25400" cap="rnd">
              <a:solidFill>
                <a:srgbClr val="333399"/>
              </a:solidFill>
              <a:prstDash val="lgDash"/>
              <a:round/>
            </a:ln>
            <a:effectLst/>
          </c:spPr>
          <c:marker>
            <c:symbol val="none"/>
          </c:marker>
          <c:dLbls>
            <c:delete val="1"/>
          </c:dLbls>
          <c:cat>
            <c:strRef>
              <c:f>Analysis!$C$803:$H$803</c:f>
              <c:strCache>
                <c:ptCount val="6"/>
                <c:pt idx="0">
                  <c:v>Q1 15</c:v>
                </c:pt>
                <c:pt idx="1">
                  <c:v>Q2 15</c:v>
                </c:pt>
                <c:pt idx="2">
                  <c:v>Q3 15</c:v>
                </c:pt>
                <c:pt idx="3">
                  <c:v>Q4 15</c:v>
                </c:pt>
                <c:pt idx="4">
                  <c:v>Q1 16</c:v>
                </c:pt>
                <c:pt idx="5">
                  <c:v>Q2 16</c:v>
                </c:pt>
              </c:strCache>
            </c:strRef>
          </c:cat>
          <c:val>
            <c:numRef>
              <c:f>Analysis!$C$806:$H$806</c:f>
              <c:numCache>
                <c:formatCode>0%</c:formatCode>
                <c:ptCount val="6"/>
                <c:pt idx="0">
                  <c:v>-9.1351074718526104E-2</c:v>
                </c:pt>
                <c:pt idx="1">
                  <c:v>-1.9646924829157086E-2</c:v>
                </c:pt>
                <c:pt idx="2">
                  <c:v>0</c:v>
                </c:pt>
                <c:pt idx="3">
                  <c:v>3.3276931754089079E-2</c:v>
                </c:pt>
                <c:pt idx="4">
                  <c:v>-3.9425513939735923E-3</c:v>
                </c:pt>
                <c:pt idx="5">
                  <c:v>4.0952657566075912E-2</c:v>
                </c:pt>
              </c:numCache>
            </c:numRef>
          </c:val>
          <c:smooth val="0"/>
          <c:extLst>
            <c:ext xmlns:c16="http://schemas.microsoft.com/office/drawing/2014/chart" uri="{C3380CC4-5D6E-409C-BE32-E72D297353CC}">
              <c16:uniqueId val="{00000002-845A-47F7-8237-B3855250F899}"/>
            </c:ext>
          </c:extLst>
        </c:ser>
        <c:dLbls>
          <c:dLblPos val="ctr"/>
          <c:showLegendKey val="0"/>
          <c:showVal val="1"/>
          <c:showCatName val="0"/>
          <c:showSerName val="0"/>
          <c:showPercent val="0"/>
          <c:showBubbleSize val="0"/>
        </c:dLbls>
        <c:smooth val="0"/>
        <c:axId val="119007872"/>
        <c:axId val="119144832"/>
      </c:lineChart>
      <c:catAx>
        <c:axId val="119007872"/>
        <c:scaling>
          <c:orientation val="minMax"/>
        </c:scaling>
        <c:delete val="0"/>
        <c:axPos val="b"/>
        <c:numFmt formatCode="General" sourceLinked="1"/>
        <c:majorTickMark val="none"/>
        <c:minorTickMark val="none"/>
        <c:tickLblPos val="low"/>
        <c:spPr>
          <a:noFill/>
          <a:ln w="9525" cap="flat" cmpd="sng" algn="ctr">
            <a:solidFill>
              <a:srgbClr val="868686"/>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144832"/>
        <c:crosses val="autoZero"/>
        <c:auto val="1"/>
        <c:lblAlgn val="ctr"/>
        <c:lblOffset val="100"/>
        <c:noMultiLvlLbl val="0"/>
      </c:catAx>
      <c:valAx>
        <c:axId val="11914483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00787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6350" cap="flat" cmpd="sng" algn="ctr">
      <a:solidFill>
        <a:schemeClr val="tx1">
          <a:lumMod val="15000"/>
          <a:lumOff val="85000"/>
          <a:alpha val="9000"/>
        </a:schemeClr>
      </a:solid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Analysis!$B$809</c:f>
              <c:strCache>
                <c:ptCount val="1"/>
                <c:pt idx="0">
                  <c:v>Core service revs</c:v>
                </c:pt>
              </c:strCache>
            </c:strRef>
          </c:tx>
          <c:spPr>
            <a:ln w="25400" cap="rnd">
              <a:solidFill>
                <a:srgbClr val="333399"/>
              </a:solidFill>
              <a:prstDash val="solid"/>
              <a:round/>
            </a:ln>
            <a:effectLst/>
          </c:spPr>
          <c:marker>
            <c:symbol val="none"/>
          </c:marker>
          <c:dLbls>
            <c:delete val="1"/>
          </c:dLbls>
          <c:cat>
            <c:strRef>
              <c:f>Analysis!$C$803:$H$803</c:f>
              <c:strCache>
                <c:ptCount val="6"/>
                <c:pt idx="0">
                  <c:v>Q1 15</c:v>
                </c:pt>
                <c:pt idx="1">
                  <c:v>Q2 15</c:v>
                </c:pt>
                <c:pt idx="2">
                  <c:v>Q3 15</c:v>
                </c:pt>
                <c:pt idx="3">
                  <c:v>Q4 15</c:v>
                </c:pt>
                <c:pt idx="4">
                  <c:v>Q1 16</c:v>
                </c:pt>
                <c:pt idx="5">
                  <c:v>Q2 16</c:v>
                </c:pt>
              </c:strCache>
            </c:strRef>
          </c:cat>
          <c:val>
            <c:numRef>
              <c:f>Analysis!$C$809:$H$809</c:f>
              <c:numCache>
                <c:formatCode>0%</c:formatCode>
                <c:ptCount val="6"/>
                <c:pt idx="0">
                  <c:v>0.12365778376733472</c:v>
                </c:pt>
                <c:pt idx="1">
                  <c:v>0.10564772987488813</c:v>
                </c:pt>
                <c:pt idx="2">
                  <c:v>0.13799895485790081</c:v>
                </c:pt>
                <c:pt idx="3">
                  <c:v>0.12566235267670733</c:v>
                </c:pt>
                <c:pt idx="4">
                  <c:v>0.13502122272693429</c:v>
                </c:pt>
                <c:pt idx="5">
                  <c:v>0.12915177214640305</c:v>
                </c:pt>
              </c:numCache>
            </c:numRef>
          </c:val>
          <c:smooth val="0"/>
          <c:extLst>
            <c:ext xmlns:c16="http://schemas.microsoft.com/office/drawing/2014/chart" uri="{C3380CC4-5D6E-409C-BE32-E72D297353CC}">
              <c16:uniqueId val="{00000000-A3EE-49DB-98F0-AA5D8F8ACE92}"/>
            </c:ext>
          </c:extLst>
        </c:ser>
        <c:ser>
          <c:idx val="1"/>
          <c:order val="1"/>
          <c:tx>
            <c:strRef>
              <c:f>Analysis!$B$810</c:f>
              <c:strCache>
                <c:ptCount val="1"/>
                <c:pt idx="0">
                  <c:v>RGUs</c:v>
                </c:pt>
              </c:strCache>
            </c:strRef>
          </c:tx>
          <c:spPr>
            <a:ln w="25400" cap="rnd">
              <a:solidFill>
                <a:srgbClr val="99CCFF"/>
              </a:solidFill>
              <a:prstDash val="solid"/>
              <a:round/>
            </a:ln>
            <a:effectLst/>
          </c:spPr>
          <c:marker>
            <c:symbol val="none"/>
          </c:marker>
          <c:dLbls>
            <c:delete val="1"/>
          </c:dLbls>
          <c:cat>
            <c:strRef>
              <c:f>Analysis!$C$803:$H$803</c:f>
              <c:strCache>
                <c:ptCount val="6"/>
                <c:pt idx="0">
                  <c:v>Q1 15</c:v>
                </c:pt>
                <c:pt idx="1">
                  <c:v>Q2 15</c:v>
                </c:pt>
                <c:pt idx="2">
                  <c:v>Q3 15</c:v>
                </c:pt>
                <c:pt idx="3">
                  <c:v>Q4 15</c:v>
                </c:pt>
                <c:pt idx="4">
                  <c:v>Q1 16</c:v>
                </c:pt>
                <c:pt idx="5">
                  <c:v>Q2 16</c:v>
                </c:pt>
              </c:strCache>
            </c:strRef>
          </c:cat>
          <c:val>
            <c:numRef>
              <c:f>Analysis!$C$810:$H$810</c:f>
              <c:numCache>
                <c:formatCode>0%</c:formatCode>
                <c:ptCount val="6"/>
                <c:pt idx="4">
                  <c:v>0.17049829523929771</c:v>
                </c:pt>
                <c:pt idx="5">
                  <c:v>0.15358625700517892</c:v>
                </c:pt>
              </c:numCache>
            </c:numRef>
          </c:val>
          <c:smooth val="0"/>
          <c:extLst>
            <c:ext xmlns:c16="http://schemas.microsoft.com/office/drawing/2014/chart" uri="{C3380CC4-5D6E-409C-BE32-E72D297353CC}">
              <c16:uniqueId val="{00000001-A3EE-49DB-98F0-AA5D8F8ACE92}"/>
            </c:ext>
          </c:extLst>
        </c:ser>
        <c:ser>
          <c:idx val="2"/>
          <c:order val="2"/>
          <c:tx>
            <c:strRef>
              <c:f>Analysis!$B$811</c:f>
              <c:strCache>
                <c:ptCount val="1"/>
                <c:pt idx="0">
                  <c:v>ARPU</c:v>
                </c:pt>
              </c:strCache>
            </c:strRef>
          </c:tx>
          <c:spPr>
            <a:ln w="25400" cap="rnd">
              <a:solidFill>
                <a:srgbClr val="333399"/>
              </a:solidFill>
              <a:prstDash val="lgDash"/>
              <a:round/>
            </a:ln>
            <a:effectLst/>
          </c:spPr>
          <c:marker>
            <c:symbol val="none"/>
          </c:marker>
          <c:dLbls>
            <c:delete val="1"/>
          </c:dLbls>
          <c:cat>
            <c:strRef>
              <c:f>Analysis!$C$803:$H$803</c:f>
              <c:strCache>
                <c:ptCount val="6"/>
                <c:pt idx="0">
                  <c:v>Q1 15</c:v>
                </c:pt>
                <c:pt idx="1">
                  <c:v>Q2 15</c:v>
                </c:pt>
                <c:pt idx="2">
                  <c:v>Q3 15</c:v>
                </c:pt>
                <c:pt idx="3">
                  <c:v>Q4 15</c:v>
                </c:pt>
                <c:pt idx="4">
                  <c:v>Q1 16</c:v>
                </c:pt>
                <c:pt idx="5">
                  <c:v>Q2 16</c:v>
                </c:pt>
              </c:strCache>
            </c:strRef>
          </c:cat>
          <c:val>
            <c:numRef>
              <c:f>Analysis!$C$811:$H$811</c:f>
              <c:numCache>
                <c:formatCode>0%</c:formatCode>
                <c:ptCount val="6"/>
                <c:pt idx="4">
                  <c:v>0</c:v>
                </c:pt>
                <c:pt idx="5">
                  <c:v>-2.8154708641171644E-2</c:v>
                </c:pt>
              </c:numCache>
            </c:numRef>
          </c:val>
          <c:smooth val="0"/>
          <c:extLst>
            <c:ext xmlns:c16="http://schemas.microsoft.com/office/drawing/2014/chart" uri="{C3380CC4-5D6E-409C-BE32-E72D297353CC}">
              <c16:uniqueId val="{00000002-A3EE-49DB-98F0-AA5D8F8ACE92}"/>
            </c:ext>
          </c:extLst>
        </c:ser>
        <c:dLbls>
          <c:dLblPos val="ctr"/>
          <c:showLegendKey val="0"/>
          <c:showVal val="1"/>
          <c:showCatName val="0"/>
          <c:showSerName val="0"/>
          <c:showPercent val="0"/>
          <c:showBubbleSize val="0"/>
        </c:dLbls>
        <c:smooth val="0"/>
        <c:axId val="119192576"/>
        <c:axId val="119194368"/>
      </c:lineChart>
      <c:catAx>
        <c:axId val="119192576"/>
        <c:scaling>
          <c:orientation val="minMax"/>
        </c:scaling>
        <c:delete val="0"/>
        <c:axPos val="b"/>
        <c:numFmt formatCode="General" sourceLinked="1"/>
        <c:majorTickMark val="none"/>
        <c:minorTickMark val="none"/>
        <c:tickLblPos val="low"/>
        <c:spPr>
          <a:noFill/>
          <a:ln w="9525" cap="flat" cmpd="sng" algn="ctr">
            <a:solidFill>
              <a:srgbClr val="868686"/>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194368"/>
        <c:crosses val="autoZero"/>
        <c:auto val="1"/>
        <c:lblAlgn val="ctr"/>
        <c:lblOffset val="100"/>
        <c:noMultiLvlLbl val="0"/>
      </c:catAx>
      <c:valAx>
        <c:axId val="11919436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19257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6350" cap="flat" cmpd="sng" algn="ctr">
      <a:solidFill>
        <a:schemeClr val="tx1">
          <a:lumMod val="15000"/>
          <a:lumOff val="85000"/>
          <a:alpha val="9000"/>
        </a:schemeClr>
      </a:solid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Analysis!$B$830</c:f>
              <c:strCache>
                <c:ptCount val="1"/>
                <c:pt idx="0">
                  <c:v>Televisa</c:v>
                </c:pt>
              </c:strCache>
            </c:strRef>
          </c:tx>
          <c:spPr>
            <a:ln w="25400" cap="rnd">
              <a:solidFill>
                <a:srgbClr val="333399"/>
              </a:solidFill>
              <a:prstDash val="solid"/>
              <a:round/>
            </a:ln>
            <a:effectLst/>
          </c:spPr>
          <c:marker>
            <c:symbol val="none"/>
          </c:marker>
          <c:cat>
            <c:strRef>
              <c:f>Analysis!$F$826:$L$826</c:f>
              <c:strCache>
                <c:ptCount val="7"/>
                <c:pt idx="0">
                  <c:v>Q4 14</c:v>
                </c:pt>
                <c:pt idx="1">
                  <c:v>Q1 15</c:v>
                </c:pt>
                <c:pt idx="2">
                  <c:v>Q2 15</c:v>
                </c:pt>
                <c:pt idx="3">
                  <c:v>Q3 15</c:v>
                </c:pt>
                <c:pt idx="4">
                  <c:v>Q4 15</c:v>
                </c:pt>
                <c:pt idx="5">
                  <c:v>Q1 16</c:v>
                </c:pt>
                <c:pt idx="6">
                  <c:v>Q2 16</c:v>
                </c:pt>
              </c:strCache>
            </c:strRef>
          </c:cat>
          <c:val>
            <c:numRef>
              <c:f>Analysis!$F$830:$L$830</c:f>
              <c:numCache>
                <c:formatCode>0.0%</c:formatCode>
                <c:ptCount val="7"/>
                <c:pt idx="0">
                  <c:v>0.37454021873391091</c:v>
                </c:pt>
                <c:pt idx="1">
                  <c:v>0.38507444967291754</c:v>
                </c:pt>
                <c:pt idx="2">
                  <c:v>0.39254277968653328</c:v>
                </c:pt>
                <c:pt idx="3">
                  <c:v>0.40105976051914366</c:v>
                </c:pt>
                <c:pt idx="4">
                  <c:v>0.40029192883628145</c:v>
                </c:pt>
                <c:pt idx="5">
                  <c:v>0.40474471761468461</c:v>
                </c:pt>
                <c:pt idx="6">
                  <c:v>0.41028805439045374</c:v>
                </c:pt>
              </c:numCache>
            </c:numRef>
          </c:val>
          <c:smooth val="0"/>
          <c:extLst>
            <c:ext xmlns:c16="http://schemas.microsoft.com/office/drawing/2014/chart" uri="{C3380CC4-5D6E-409C-BE32-E72D297353CC}">
              <c16:uniqueId val="{00000000-0698-4F9A-A546-0C0DD00E9595}"/>
            </c:ext>
          </c:extLst>
        </c:ser>
        <c:ser>
          <c:idx val="1"/>
          <c:order val="1"/>
          <c:tx>
            <c:strRef>
              <c:f>Analysis!$B$831</c:f>
              <c:strCache>
                <c:ptCount val="1"/>
                <c:pt idx="0">
                  <c:v>Megacable</c:v>
                </c:pt>
              </c:strCache>
            </c:strRef>
          </c:tx>
          <c:spPr>
            <a:ln w="25400" cap="rnd">
              <a:solidFill>
                <a:srgbClr val="99CCFF"/>
              </a:solidFill>
              <a:prstDash val="solid"/>
              <a:round/>
            </a:ln>
            <a:effectLst/>
          </c:spPr>
          <c:marker>
            <c:symbol val="none"/>
          </c:marker>
          <c:cat>
            <c:strRef>
              <c:f>Analysis!$F$826:$L$826</c:f>
              <c:strCache>
                <c:ptCount val="7"/>
                <c:pt idx="0">
                  <c:v>Q4 14</c:v>
                </c:pt>
                <c:pt idx="1">
                  <c:v>Q1 15</c:v>
                </c:pt>
                <c:pt idx="2">
                  <c:v>Q2 15</c:v>
                </c:pt>
                <c:pt idx="3">
                  <c:v>Q3 15</c:v>
                </c:pt>
                <c:pt idx="4">
                  <c:v>Q4 15</c:v>
                </c:pt>
                <c:pt idx="5">
                  <c:v>Q1 16</c:v>
                </c:pt>
                <c:pt idx="6">
                  <c:v>Q2 16</c:v>
                </c:pt>
              </c:strCache>
            </c:strRef>
          </c:cat>
          <c:val>
            <c:numRef>
              <c:f>Analysis!$F$831:$L$831</c:f>
              <c:numCache>
                <c:formatCode>0.0%</c:formatCode>
                <c:ptCount val="7"/>
                <c:pt idx="0">
                  <c:v>0.45510386824123994</c:v>
                </c:pt>
                <c:pt idx="1">
                  <c:v>0.45978400119361273</c:v>
                </c:pt>
                <c:pt idx="2">
                  <c:v>0.458470742668733</c:v>
                </c:pt>
                <c:pt idx="3">
                  <c:v>0.45701622910177092</c:v>
                </c:pt>
                <c:pt idx="4">
                  <c:v>0.46028026224410495</c:v>
                </c:pt>
                <c:pt idx="5">
                  <c:v>0.46090871550186363</c:v>
                </c:pt>
                <c:pt idx="6">
                  <c:v>0.46236909382317887</c:v>
                </c:pt>
              </c:numCache>
            </c:numRef>
          </c:val>
          <c:smooth val="0"/>
          <c:extLst>
            <c:ext xmlns:c16="http://schemas.microsoft.com/office/drawing/2014/chart" uri="{C3380CC4-5D6E-409C-BE32-E72D297353CC}">
              <c16:uniqueId val="{00000001-0698-4F9A-A546-0C0DD00E9595}"/>
            </c:ext>
          </c:extLst>
        </c:ser>
        <c:dLbls>
          <c:showLegendKey val="0"/>
          <c:showVal val="0"/>
          <c:showCatName val="0"/>
          <c:showSerName val="0"/>
          <c:showPercent val="0"/>
          <c:showBubbleSize val="0"/>
        </c:dLbls>
        <c:smooth val="0"/>
        <c:axId val="119547776"/>
        <c:axId val="119549312"/>
      </c:lineChart>
      <c:catAx>
        <c:axId val="119547776"/>
        <c:scaling>
          <c:orientation val="minMax"/>
        </c:scaling>
        <c:delete val="0"/>
        <c:axPos val="b"/>
        <c:numFmt formatCode="General" sourceLinked="1"/>
        <c:majorTickMark val="none"/>
        <c:minorTickMark val="none"/>
        <c:tickLblPos val="low"/>
        <c:spPr>
          <a:noFill/>
          <a:ln w="9525" cap="flat" cmpd="sng" algn="ctr">
            <a:solidFill>
              <a:srgbClr val="868686"/>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549312"/>
        <c:crosses val="autoZero"/>
        <c:auto val="1"/>
        <c:lblAlgn val="ctr"/>
        <c:lblOffset val="100"/>
        <c:noMultiLvlLbl val="0"/>
      </c:catAx>
      <c:valAx>
        <c:axId val="119549312"/>
        <c:scaling>
          <c:orientation val="minMax"/>
          <c:min val="0"/>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54777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cat>
            <c:strRef>
              <c:f>Analysis!$B$835:$B$836</c:f>
              <c:strCache>
                <c:ptCount val="2"/>
                <c:pt idx="0">
                  <c:v>TV</c:v>
                </c:pt>
                <c:pt idx="1">
                  <c:v>MEGA</c:v>
                </c:pt>
              </c:strCache>
            </c:strRef>
          </c:cat>
          <c:val>
            <c:numRef>
              <c:f>Analysis!$E$835:$E$836</c:f>
              <c:numCache>
                <c:formatCode>0</c:formatCode>
                <c:ptCount val="2"/>
                <c:pt idx="0">
                  <c:v>91.666666666666671</c:v>
                </c:pt>
                <c:pt idx="1">
                  <c:v>32.894736842105267</c:v>
                </c:pt>
              </c:numCache>
            </c:numRef>
          </c:val>
          <c:extLst>
            <c:ext xmlns:c16="http://schemas.microsoft.com/office/drawing/2014/chart" uri="{C3380CC4-5D6E-409C-BE32-E72D297353CC}">
              <c16:uniqueId val="{00000000-1B40-44AC-8643-453668744A7D}"/>
            </c:ext>
          </c:extLst>
        </c:ser>
        <c:dLbls>
          <c:showLegendKey val="0"/>
          <c:showVal val="0"/>
          <c:showCatName val="0"/>
          <c:showSerName val="0"/>
          <c:showPercent val="0"/>
          <c:showBubbleSize val="0"/>
        </c:dLbls>
        <c:gapWidth val="219"/>
        <c:overlap val="-27"/>
        <c:axId val="119577984"/>
        <c:axId val="119596160"/>
      </c:barChart>
      <c:catAx>
        <c:axId val="119577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596160"/>
        <c:crosses val="autoZero"/>
        <c:auto val="1"/>
        <c:lblAlgn val="ctr"/>
        <c:lblOffset val="100"/>
        <c:noMultiLvlLbl val="0"/>
      </c:catAx>
      <c:valAx>
        <c:axId val="11959616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577984"/>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Analysis!$D$732</c:f>
              <c:strCache>
                <c:ptCount val="1"/>
                <c:pt idx="0">
                  <c:v>OpFCF (MXN m)</c:v>
                </c:pt>
              </c:strCache>
            </c:strRef>
          </c:tx>
          <c:spPr>
            <a:ln w="25400" cap="rnd">
              <a:solidFill>
                <a:srgbClr val="000080"/>
              </a:solidFill>
              <a:prstDash val="solid"/>
              <a:round/>
            </a:ln>
            <a:effectLst/>
          </c:spPr>
          <c:marker>
            <c:symbol val="none"/>
          </c:marker>
          <c:cat>
            <c:numRef>
              <c:f>Analysis!$E$731:$N$731</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Analysis!$E$732:$N$732</c:f>
              <c:numCache>
                <c:formatCode>General</c:formatCode>
                <c:ptCount val="10"/>
                <c:pt idx="0">
                  <c:v>13794.86</c:v>
                </c:pt>
                <c:pt idx="1">
                  <c:v>15019.84</c:v>
                </c:pt>
                <c:pt idx="2">
                  <c:v>13432.048890624999</c:v>
                </c:pt>
                <c:pt idx="3">
                  <c:v>13062.938999999998</c:v>
                </c:pt>
                <c:pt idx="4">
                  <c:v>6897.6019999999999</c:v>
                </c:pt>
                <c:pt idx="5">
                  <c:v>5664.8199999999979</c:v>
                </c:pt>
                <c:pt idx="6">
                  <c:v>16059.169999999998</c:v>
                </c:pt>
                <c:pt idx="7">
                  <c:v>17911.550000000003</c:v>
                </c:pt>
                <c:pt idx="8">
                  <c:v>19150.974999999999</c:v>
                </c:pt>
                <c:pt idx="9">
                  <c:v>18631.987999999998</c:v>
                </c:pt>
              </c:numCache>
            </c:numRef>
          </c:val>
          <c:smooth val="0"/>
          <c:extLst>
            <c:ext xmlns:c16="http://schemas.microsoft.com/office/drawing/2014/chart" uri="{C3380CC4-5D6E-409C-BE32-E72D297353CC}">
              <c16:uniqueId val="{00000000-C5E5-4637-A2C3-B387328CB604}"/>
            </c:ext>
          </c:extLst>
        </c:ser>
        <c:dLbls>
          <c:showLegendKey val="0"/>
          <c:showVal val="0"/>
          <c:showCatName val="0"/>
          <c:showSerName val="0"/>
          <c:showPercent val="0"/>
          <c:showBubbleSize val="0"/>
        </c:dLbls>
        <c:marker val="1"/>
        <c:smooth val="0"/>
        <c:axId val="119307264"/>
        <c:axId val="119313152"/>
      </c:lineChart>
      <c:lineChart>
        <c:grouping val="standard"/>
        <c:varyColors val="0"/>
        <c:ser>
          <c:idx val="1"/>
          <c:order val="1"/>
          <c:tx>
            <c:strRef>
              <c:f>Analysis!$D$733</c:f>
              <c:strCache>
                <c:ptCount val="1"/>
                <c:pt idx="0">
                  <c:v>OpFCF as % sales (RHS)</c:v>
                </c:pt>
              </c:strCache>
            </c:strRef>
          </c:tx>
          <c:spPr>
            <a:ln w="25400" cap="rnd">
              <a:solidFill>
                <a:srgbClr val="9999FF"/>
              </a:solidFill>
              <a:prstDash val="solid"/>
              <a:round/>
            </a:ln>
            <a:effectLst/>
          </c:spPr>
          <c:marker>
            <c:symbol val="none"/>
          </c:marker>
          <c:cat>
            <c:numRef>
              <c:f>Analysis!$E$731:$N$731</c:f>
              <c:numCache>
                <c:formatCode>General</c:formatCode>
                <c:ptCount val="10"/>
                <c:pt idx="0">
                  <c:v>2011</c:v>
                </c:pt>
                <c:pt idx="1">
                  <c:v>2012</c:v>
                </c:pt>
                <c:pt idx="2">
                  <c:v>2013</c:v>
                </c:pt>
                <c:pt idx="3">
                  <c:v>2014</c:v>
                </c:pt>
                <c:pt idx="4">
                  <c:v>2015</c:v>
                </c:pt>
                <c:pt idx="5">
                  <c:v>2016</c:v>
                </c:pt>
                <c:pt idx="6">
                  <c:v>2017</c:v>
                </c:pt>
                <c:pt idx="7">
                  <c:v>2018</c:v>
                </c:pt>
                <c:pt idx="8">
                  <c:v>2019</c:v>
                </c:pt>
                <c:pt idx="9">
                  <c:v>2020</c:v>
                </c:pt>
              </c:numCache>
            </c:numRef>
          </c:cat>
          <c:val>
            <c:numRef>
              <c:f>Analysis!$E$733:$N$733</c:f>
              <c:numCache>
                <c:formatCode>0%</c:formatCode>
                <c:ptCount val="10"/>
                <c:pt idx="0">
                  <c:v>0.22043031886420109</c:v>
                </c:pt>
                <c:pt idx="1">
                  <c:v>0.2167665362012631</c:v>
                </c:pt>
                <c:pt idx="2">
                  <c:v>0.18202186762300523</c:v>
                </c:pt>
                <c:pt idx="3">
                  <c:v>0.16304543026321044</c:v>
                </c:pt>
                <c:pt idx="4">
                  <c:v>7.8335551719438512E-2</c:v>
                </c:pt>
                <c:pt idx="5">
                  <c:v>5.8832412132843945E-2</c:v>
                </c:pt>
                <c:pt idx="6">
                  <c:v>0.17034388756298063</c:v>
                </c:pt>
                <c:pt idx="7">
                  <c:v>0.17679942749975325</c:v>
                </c:pt>
                <c:pt idx="8">
                  <c:v>0.19027184139985254</c:v>
                </c:pt>
                <c:pt idx="9">
                  <c:v>0.19180887456338022</c:v>
                </c:pt>
              </c:numCache>
            </c:numRef>
          </c:val>
          <c:smooth val="0"/>
          <c:extLst>
            <c:ext xmlns:c16="http://schemas.microsoft.com/office/drawing/2014/chart" uri="{C3380CC4-5D6E-409C-BE32-E72D297353CC}">
              <c16:uniqueId val="{00000001-C5E5-4637-A2C3-B387328CB604}"/>
            </c:ext>
          </c:extLst>
        </c:ser>
        <c:dLbls>
          <c:showLegendKey val="0"/>
          <c:showVal val="0"/>
          <c:showCatName val="0"/>
          <c:showSerName val="0"/>
          <c:showPercent val="0"/>
          <c:showBubbleSize val="0"/>
        </c:dLbls>
        <c:marker val="1"/>
        <c:smooth val="0"/>
        <c:axId val="119328768"/>
        <c:axId val="119314688"/>
      </c:lineChart>
      <c:catAx>
        <c:axId val="119307264"/>
        <c:scaling>
          <c:orientation val="minMax"/>
        </c:scaling>
        <c:delete val="0"/>
        <c:axPos val="b"/>
        <c:numFmt formatCode="General" sourceLinked="1"/>
        <c:majorTickMark val="none"/>
        <c:minorTickMark val="none"/>
        <c:tickLblPos val="nextTo"/>
        <c:spPr>
          <a:noFill/>
          <a:ln w="9525" cap="flat" cmpd="sng" algn="ctr">
            <a:solidFill>
              <a:srgbClr val="868686"/>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313152"/>
        <c:crosses val="autoZero"/>
        <c:auto val="1"/>
        <c:lblAlgn val="ctr"/>
        <c:lblOffset val="100"/>
        <c:noMultiLvlLbl val="0"/>
      </c:catAx>
      <c:valAx>
        <c:axId val="119313152"/>
        <c:scaling>
          <c:orientation val="minMax"/>
        </c:scaling>
        <c:delete val="0"/>
        <c:axPos val="l"/>
        <c:majorGridlines>
          <c:spPr>
            <a:ln w="3175" cap="flat" cmpd="sng" algn="ctr">
              <a:solidFill>
                <a:srgbClr val="C0C0C0"/>
              </a:solidFill>
              <a:prstDash val="solid"/>
              <a:round/>
            </a:ln>
            <a:effectLst/>
          </c:spPr>
        </c:majorGridlines>
        <c:numFmt formatCode="General" sourceLinked="1"/>
        <c:majorTickMark val="none"/>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307264"/>
        <c:crosses val="autoZero"/>
        <c:crossBetween val="between"/>
      </c:valAx>
      <c:valAx>
        <c:axId val="11931468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328768"/>
        <c:crosses val="max"/>
        <c:crossBetween val="between"/>
      </c:valAx>
      <c:catAx>
        <c:axId val="119328768"/>
        <c:scaling>
          <c:orientation val="minMax"/>
        </c:scaling>
        <c:delete val="1"/>
        <c:axPos val="b"/>
        <c:numFmt formatCode="General" sourceLinked="1"/>
        <c:majorTickMark val="out"/>
        <c:minorTickMark val="none"/>
        <c:tickLblPos val="nextTo"/>
        <c:crossAx val="119314688"/>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cat>
            <c:numRef>
              <c:f>Analysis!$E$877:$J$877</c:f>
              <c:numCache>
                <c:formatCode>General</c:formatCode>
                <c:ptCount val="6"/>
                <c:pt idx="0">
                  <c:v>2015</c:v>
                </c:pt>
                <c:pt idx="1">
                  <c:v>2016</c:v>
                </c:pt>
                <c:pt idx="2">
                  <c:v>2017</c:v>
                </c:pt>
                <c:pt idx="3">
                  <c:v>2018</c:v>
                </c:pt>
                <c:pt idx="4">
                  <c:v>2019</c:v>
                </c:pt>
                <c:pt idx="5">
                  <c:v>2020</c:v>
                </c:pt>
              </c:numCache>
            </c:numRef>
          </c:cat>
          <c:val>
            <c:numRef>
              <c:f>Analysis!$E$878:$J$878</c:f>
              <c:numCache>
                <c:formatCode>0%</c:formatCode>
                <c:ptCount val="6"/>
                <c:pt idx="0">
                  <c:v>0.12324170529420775</c:v>
                </c:pt>
                <c:pt idx="1">
                  <c:v>0.11946307782493171</c:v>
                </c:pt>
                <c:pt idx="2">
                  <c:v>3.6260331874224061E-2</c:v>
                </c:pt>
                <c:pt idx="3">
                  <c:v>9.6374969740982808E-2</c:v>
                </c:pt>
                <c:pt idx="4">
                  <c:v>0.15093975105566759</c:v>
                </c:pt>
                <c:pt idx="5">
                  <c:v>8.7887871085319702E-2</c:v>
                </c:pt>
              </c:numCache>
            </c:numRef>
          </c:val>
          <c:extLst>
            <c:ext xmlns:c16="http://schemas.microsoft.com/office/drawing/2014/chart" uri="{C3380CC4-5D6E-409C-BE32-E72D297353CC}">
              <c16:uniqueId val="{00000000-A4E2-4108-9E2D-D93EDD49D321}"/>
            </c:ext>
          </c:extLst>
        </c:ser>
        <c:dLbls>
          <c:showLegendKey val="0"/>
          <c:showVal val="0"/>
          <c:showCatName val="0"/>
          <c:showSerName val="0"/>
          <c:showPercent val="0"/>
          <c:showBubbleSize val="0"/>
        </c:dLbls>
        <c:gapWidth val="219"/>
        <c:overlap val="-27"/>
        <c:axId val="119345152"/>
        <c:axId val="119346688"/>
      </c:barChart>
      <c:catAx>
        <c:axId val="119345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346688"/>
        <c:crosses val="autoZero"/>
        <c:auto val="1"/>
        <c:lblAlgn val="ctr"/>
        <c:lblOffset val="100"/>
        <c:noMultiLvlLbl val="0"/>
      </c:catAx>
      <c:valAx>
        <c:axId val="11934668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345152"/>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smoothMarker"/>
        <c:varyColors val="0"/>
        <c:ser>
          <c:idx val="0"/>
          <c:order val="0"/>
          <c:spPr>
            <a:ln w="25400">
              <a:noFill/>
            </a:ln>
            <a:effectLst/>
          </c:spPr>
          <c:marker>
            <c:symbol val="diamond"/>
            <c:size val="5"/>
            <c:spPr>
              <a:solidFill>
                <a:srgbClr val="333399"/>
              </a:solidFill>
              <a:ln>
                <a:solidFill>
                  <a:srgbClr val="333399"/>
                </a:solidFill>
                <a:prstDash val="solid"/>
              </a:ln>
            </c:spPr>
          </c:marker>
          <c:dLbls>
            <c:dLbl>
              <c:idx val="0"/>
              <c:tx>
                <c:strRef>
                  <c:f>Analysis!$B$1093</c:f>
                  <c:strCache>
                    <c:ptCount val="1"/>
                    <c:pt idx="0">
                      <c:v>2002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{406A8C98-FF02-404F-AE7C-07E90360B1E3}</c15:txfldGUID>
                      <c15:f>Analysis!$B$1093</c15:f>
                      <c15:dlblFieldTableCache>
                        <c:ptCount val="1"/>
                        <c:pt idx="0">
                          <c:v>2002</c:v>
                        </c:pt>
                      </c15:dlblFieldTableCache>
                    </c15:dlblFTEntry>
                  </c15:dlblFieldTable>
                  <c15:showDataLabelsRange val="0"/>
                </c:ext>
                <c:ext xmlns:c16="http://schemas.microsoft.com/office/drawing/2014/chart" uri="{C3380CC4-5D6E-409C-BE32-E72D297353CC}">
                  <c16:uniqueId val="{00000001-8BE9-4575-8169-132AFCFF9595}"/>
                </c:ext>
              </c:extLst>
            </c:dLbl>
            <c:dLbl>
              <c:idx val="1"/>
              <c:tx>
                <c:strRef>
                  <c:f>Analysis!$B$1094</c:f>
                  <c:strCache>
                    <c:ptCount val="1"/>
                    <c:pt idx="0">
                      <c:v>2003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{24FA95C1-82DD-44EC-90F4-870AC11CFD53}</c15:txfldGUID>
                      <c15:f>Analysis!$B$1094</c15:f>
                      <c15:dlblFieldTableCache>
                        <c:ptCount val="1"/>
                        <c:pt idx="0">
                          <c:v>2003</c:v>
                        </c:pt>
                      </c15:dlblFieldTableCache>
                    </c15:dlblFTEntry>
                  </c15:dlblFieldTable>
                  <c15:showDataLabelsRange val="0"/>
                </c:ext>
                <c:ext xmlns:c16="http://schemas.microsoft.com/office/drawing/2014/chart" uri="{C3380CC4-5D6E-409C-BE32-E72D297353CC}">
                  <c16:uniqueId val="{00000002-8BE9-4575-8169-132AFCFF9595}"/>
                </c:ext>
              </c:extLst>
            </c:dLbl>
            <c:dLbl>
              <c:idx val="2"/>
              <c:tx>
                <c:strRef>
                  <c:f>Analysis!$B$1095</c:f>
                  <c:strCache>
                    <c:ptCount val="1"/>
                    <c:pt idx="0">
                      <c:v>2004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{B31296B3-3844-48E3-85C7-06CE467B0D74}</c15:txfldGUID>
                      <c15:f>Analysis!$B$1095</c15:f>
                      <c15:dlblFieldTableCache>
                        <c:ptCount val="1"/>
                        <c:pt idx="0">
                          <c:v>2004</c:v>
                        </c:pt>
                      </c15:dlblFieldTableCache>
                    </c15:dlblFTEntry>
                  </c15:dlblFieldTable>
                  <c15:showDataLabelsRange val="0"/>
                </c:ext>
                <c:ext xmlns:c16="http://schemas.microsoft.com/office/drawing/2014/chart" uri="{C3380CC4-5D6E-409C-BE32-E72D297353CC}">
                  <c16:uniqueId val="{00000003-8BE9-4575-8169-132AFCFF9595}"/>
                </c:ext>
              </c:extLst>
            </c:dLbl>
            <c:dLbl>
              <c:idx val="3"/>
              <c:tx>
                <c:strRef>
                  <c:f>Analysis!$B$1096</c:f>
                  <c:strCache>
                    <c:ptCount val="1"/>
                    <c:pt idx="0">
                      <c:v>2005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{1F39A466-7F23-4533-A0C0-4DA94214AC1B}</c15:txfldGUID>
                      <c15:f>Analysis!$B$1096</c15:f>
                      <c15:dlblFieldTableCache>
                        <c:ptCount val="1"/>
                        <c:pt idx="0">
                          <c:v>2005</c:v>
                        </c:pt>
                      </c15:dlblFieldTableCache>
                    </c15:dlblFTEntry>
                  </c15:dlblFieldTable>
                  <c15:showDataLabelsRange val="0"/>
                </c:ext>
                <c:ext xmlns:c16="http://schemas.microsoft.com/office/drawing/2014/chart" uri="{C3380CC4-5D6E-409C-BE32-E72D297353CC}">
                  <c16:uniqueId val="{00000004-8BE9-4575-8169-132AFCFF9595}"/>
                </c:ext>
              </c:extLst>
            </c:dLbl>
            <c:dLbl>
              <c:idx val="4"/>
              <c:tx>
                <c:strRef>
                  <c:f>Analysis!$B$1097</c:f>
                  <c:strCache>
                    <c:ptCount val="1"/>
                    <c:pt idx="0">
                      <c:v>2006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{F13AE0E3-25D4-4183-B128-4E8E2021F8CF}</c15:txfldGUID>
                      <c15:f>Analysis!$B$1097</c15:f>
                      <c15:dlblFieldTableCache>
                        <c:ptCount val="1"/>
                        <c:pt idx="0">
                          <c:v>2006</c:v>
                        </c:pt>
                      </c15:dlblFieldTableCache>
                    </c15:dlblFTEntry>
                  </c15:dlblFieldTable>
                  <c15:showDataLabelsRange val="0"/>
                </c:ext>
                <c:ext xmlns:c16="http://schemas.microsoft.com/office/drawing/2014/chart" uri="{C3380CC4-5D6E-409C-BE32-E72D297353CC}">
                  <c16:uniqueId val="{00000005-8BE9-4575-8169-132AFCFF9595}"/>
                </c:ext>
              </c:extLst>
            </c:dLbl>
            <c:dLbl>
              <c:idx val="5"/>
              <c:tx>
                <c:strRef>
                  <c:f>Analysis!$B$1098</c:f>
                  <c:strCache>
                    <c:ptCount val="1"/>
                    <c:pt idx="0">
                      <c:v>2007</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{80362DF6-483B-49BB-8912-E40C8BF64507}</c15:txfldGUID>
                      <c15:f>Analysis!$B$1098</c15:f>
                      <c15:dlblFieldTableCache>
                        <c:ptCount val="1"/>
                        <c:pt idx="0">
                          <c:v>2007</c:v>
                        </c:pt>
                      </c15:dlblFieldTableCache>
                    </c15:dlblFTEntry>
                  </c15:dlblFieldTable>
                  <c15:showDataLabelsRange val="0"/>
                </c:ext>
                <c:ext xmlns:c16="http://schemas.microsoft.com/office/drawing/2014/chart" uri="{C3380CC4-5D6E-409C-BE32-E72D297353CC}">
                  <c16:uniqueId val="{00000006-8BE9-4575-8169-132AFCFF9595}"/>
                </c:ext>
              </c:extLst>
            </c:dLbl>
            <c:dLbl>
              <c:idx val="6"/>
              <c:tx>
                <c:strRef>
                  <c:f>Analysis!$B$1099</c:f>
                  <c:strCache>
                    <c:ptCount val="1"/>
                    <c:pt idx="0">
                      <c:v>2008</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{973B343E-6004-4960-8C65-FBFC839618DA}</c15:txfldGUID>
                      <c15:f>Analysis!$B$1099</c15:f>
                      <c15:dlblFieldTableCache>
                        <c:ptCount val="1"/>
                        <c:pt idx="0">
                          <c:v>2008</c:v>
                        </c:pt>
                      </c15:dlblFieldTableCache>
                    </c15:dlblFTEntry>
                  </c15:dlblFieldTable>
                  <c15:showDataLabelsRange val="0"/>
                </c:ext>
                <c:ext xmlns:c16="http://schemas.microsoft.com/office/drawing/2014/chart" uri="{C3380CC4-5D6E-409C-BE32-E72D297353CC}">
                  <c16:uniqueId val="{00000007-8BE9-4575-8169-132AFCFF9595}"/>
                </c:ext>
              </c:extLst>
            </c:dLbl>
            <c:dLbl>
              <c:idx val="7"/>
              <c:tx>
                <c:strRef>
                  <c:f>Analysis!$B$1100</c:f>
                  <c:strCache>
                    <c:ptCount val="1"/>
                    <c:pt idx="0">
                      <c:v>2009</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{4BFF48AB-D0B0-4137-9076-45A88F479013}</c15:txfldGUID>
                      <c15:f>Analysis!$B$1100</c15:f>
                      <c15:dlblFieldTableCache>
                        <c:ptCount val="1"/>
                        <c:pt idx="0">
                          <c:v>2009</c:v>
                        </c:pt>
                      </c15:dlblFieldTableCache>
                    </c15:dlblFTEntry>
                  </c15:dlblFieldTable>
                  <c15:showDataLabelsRange val="0"/>
                </c:ext>
                <c:ext xmlns:c16="http://schemas.microsoft.com/office/drawing/2014/chart" uri="{C3380CC4-5D6E-409C-BE32-E72D297353CC}">
                  <c16:uniqueId val="{00000008-8BE9-4575-8169-132AFCFF9595}"/>
                </c:ext>
              </c:extLst>
            </c:dLbl>
            <c:dLbl>
              <c:idx val="8"/>
              <c:tx>
                <c:strRef>
                  <c:f>Analysis!$B$1101</c:f>
                  <c:strCache>
                    <c:ptCount val="1"/>
                    <c:pt idx="0">
                      <c:v>2010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{9C1A84D3-9C8D-4047-98DB-FA35638A04DA}</c15:txfldGUID>
                      <c15:f>Analysis!$B$1101</c15:f>
                      <c15:dlblFieldTableCache>
                        <c:ptCount val="1"/>
                        <c:pt idx="0">
                          <c:v>2010</c:v>
                        </c:pt>
                      </c15:dlblFieldTableCache>
                    </c15:dlblFTEntry>
                  </c15:dlblFieldTable>
                  <c15:showDataLabelsRange val="0"/>
                </c:ext>
                <c:ext xmlns:c16="http://schemas.microsoft.com/office/drawing/2014/chart" uri="{C3380CC4-5D6E-409C-BE32-E72D297353CC}">
                  <c16:uniqueId val="{00000009-8BE9-4575-8169-132AFCFF9595}"/>
                </c:ext>
              </c:extLst>
            </c:dLbl>
            <c:dLbl>
              <c:idx val="9"/>
              <c:tx>
                <c:strRef>
                  <c:f>Analysis!$B$1102</c:f>
                  <c:strCache>
                    <c:ptCount val="1"/>
                    <c:pt idx="0">
                      <c:v>2011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{918608B3-6803-4886-AE9B-02D4DEF870DC}</c15:txfldGUID>
                      <c15:f>Analysis!$B$1102</c15:f>
                      <c15:dlblFieldTableCache>
                        <c:ptCount val="1"/>
                        <c:pt idx="0">
                          <c:v>2011</c:v>
                        </c:pt>
                      </c15:dlblFieldTableCache>
                    </c15:dlblFTEntry>
                  </c15:dlblFieldTable>
                  <c15:showDataLabelsRange val="0"/>
                </c:ext>
                <c:ext xmlns:c16="http://schemas.microsoft.com/office/drawing/2014/chart" uri="{C3380CC4-5D6E-409C-BE32-E72D297353CC}">
                  <c16:uniqueId val="{0000000A-8BE9-4575-8169-132AFCFF9595}"/>
                </c:ext>
              </c:extLst>
            </c:dLbl>
            <c:dLbl>
              <c:idx val="10"/>
              <c:tx>
                <c:strRef>
                  <c:f>Analysis!$B$1103</c:f>
                  <c:strCache>
                    <c:ptCount val="1"/>
                    <c:pt idx="0">
                      <c:v>2012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{1EACE267-105B-457F-99C6-D72E5BA03B70}</c15:txfldGUID>
                      <c15:f>Analysis!$B$1103</c15:f>
                      <c15:dlblFieldTableCache>
                        <c:ptCount val="1"/>
                        <c:pt idx="0">
                          <c:v>2012</c:v>
                        </c:pt>
                      </c15:dlblFieldTableCache>
                    </c15:dlblFTEntry>
                  </c15:dlblFieldTable>
                  <c15:showDataLabelsRange val="0"/>
                </c:ext>
                <c:ext xmlns:c16="http://schemas.microsoft.com/office/drawing/2014/chart" uri="{C3380CC4-5D6E-409C-BE32-E72D297353CC}">
                  <c16:uniqueId val="{0000000B-8BE9-4575-8169-132AFCFF9595}"/>
                </c:ext>
              </c:extLst>
            </c:dLbl>
            <c:dLbl>
              <c:idx val="11"/>
              <c:tx>
                <c:strRef>
                  <c:f>Analysis!$B$1104</c:f>
                  <c:strCache>
                    <c:ptCount val="1"/>
                    <c:pt idx="0">
                      <c:v>2013</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{090324AE-EB90-4E1D-A59E-3A499BFA3396}</c15:txfldGUID>
                      <c15:f>Analysis!$B$1104</c15:f>
                      <c15:dlblFieldTableCache>
                        <c:ptCount val="1"/>
                        <c:pt idx="0">
                          <c:v>2013</c:v>
                        </c:pt>
                      </c15:dlblFieldTableCache>
                    </c15:dlblFTEntry>
                  </c15:dlblFieldTable>
                  <c15:showDataLabelsRange val="0"/>
                </c:ext>
                <c:ext xmlns:c16="http://schemas.microsoft.com/office/drawing/2014/chart" uri="{C3380CC4-5D6E-409C-BE32-E72D297353CC}">
                  <c16:uniqueId val="{0000000C-8BE9-4575-8169-132AFCFF9595}"/>
                </c:ext>
              </c:extLst>
            </c:dLbl>
            <c:dLbl>
              <c:idx val="12"/>
              <c:tx>
                <c:strRef>
                  <c:f>Analysis!$B$1105</c:f>
                  <c:strCache>
                    <c:ptCount val="1"/>
                    <c:pt idx="0">
                      <c:v>2014</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{237178FC-A48A-4A8A-BA94-6C3F2D1227BD}</c15:txfldGUID>
                      <c15:f>Analysis!$B$1105</c15:f>
                      <c15:dlblFieldTableCache>
                        <c:ptCount val="1"/>
                        <c:pt idx="0">
                          <c:v>2014</c:v>
                        </c:pt>
                      </c15:dlblFieldTableCache>
                    </c15:dlblFTEntry>
                  </c15:dlblFieldTable>
                  <c15:showDataLabelsRange val="0"/>
                </c:ext>
                <c:ext xmlns:c16="http://schemas.microsoft.com/office/drawing/2014/chart" uri="{C3380CC4-5D6E-409C-BE32-E72D297353CC}">
                  <c16:uniqueId val="{0000000D-8BE9-4575-8169-132AFCFF9595}"/>
                </c:ext>
              </c:extLst>
            </c:dLbl>
            <c:dLbl>
              <c:idx val="13"/>
              <c:tx>
                <c:strRef>
                  <c:f>Analysis!$B$1106</c:f>
                  <c:strCache>
                    <c:ptCount val="1"/>
                    <c:pt idx="0">
                      <c:v>2015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{D699EAFC-2109-4B41-A92B-9F4F1436DD18}</c15:txfldGUID>
                      <c15:f>Analysis!$B$1106</c15:f>
                      <c15:dlblFieldTableCache>
                        <c:ptCount val="1"/>
                        <c:pt idx="0">
                          <c:v>2015</c:v>
                        </c:pt>
                      </c15:dlblFieldTableCache>
                    </c15:dlblFTEntry>
                  </c15:dlblFieldTable>
                  <c15:showDataLabelsRange val="0"/>
                </c:ext>
                <c:ext xmlns:c16="http://schemas.microsoft.com/office/drawing/2014/chart" uri="{C3380CC4-5D6E-409C-BE32-E72D297353CC}">
                  <c16:uniqueId val="{0000000E-8BE9-4575-8169-132AFCFF9595}"/>
                </c:ext>
              </c:extLst>
            </c:dLbl>
            <c:dLbl>
              <c:idx val="14"/>
              <c:tx>
                <c:strRef>
                  <c:f>Analysis!$B$1107</c:f>
                  <c:strCache>
                    <c:ptCount val="1"/>
                    <c:pt idx="0">
                      <c:v>2016</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{E73FECD9-2C83-44F8-88E8-8EB9A4F88FF0}</c15:txfldGUID>
                      <c15:f>Analysis!$B$1107</c15:f>
                      <c15:dlblFieldTableCache>
                        <c:ptCount val="1"/>
                        <c:pt idx="0">
                          <c:v>2016</c:v>
                        </c:pt>
                      </c15:dlblFieldTableCache>
                    </c15:dlblFTEntry>
                  </c15:dlblFieldTable>
                  <c15:showDataLabelsRange val="0"/>
                </c:ext>
                <c:ext xmlns:c16="http://schemas.microsoft.com/office/drawing/2014/chart" uri="{C3380CC4-5D6E-409C-BE32-E72D297353CC}">
                  <c16:uniqueId val="{0000000F-8BE9-4575-8169-132AFCFF959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trendline>
            <c:spPr>
              <a:ln>
                <a:prstDash val="dash"/>
              </a:ln>
            </c:spPr>
            <c:trendlineType val="linear"/>
            <c:dispRSqr val="1"/>
            <c:dispEq val="0"/>
            <c:trendlineLbl>
              <c:layout>
                <c:manualLayout>
                  <c:x val="2.0653521260077076E-2"/>
                  <c:y val="-7.4029290883150412E-2"/>
                </c:manualLayout>
              </c:layout>
              <c:numFmt formatCode="General" sourceLinked="0"/>
            </c:trendlineLbl>
          </c:trendline>
          <c:xVal>
            <c:numRef>
              <c:f>Analysis!$D$1093:$D$1107</c:f>
              <c:numCache>
                <c:formatCode>0.00%</c:formatCode>
                <c:ptCount val="15"/>
                <c:pt idx="0">
                  <c:v>3.3000000000000002E-2</c:v>
                </c:pt>
                <c:pt idx="1">
                  <c:v>2.4E-2</c:v>
                </c:pt>
                <c:pt idx="2">
                  <c:v>5.0999999999999997E-2</c:v>
                </c:pt>
                <c:pt idx="3">
                  <c:v>4.2999999999999997E-2</c:v>
                </c:pt>
                <c:pt idx="4">
                  <c:v>0.02</c:v>
                </c:pt>
                <c:pt idx="5">
                  <c:v>8.3000000000000004E-2</c:v>
                </c:pt>
                <c:pt idx="6">
                  <c:v>-3.2000000000000001E-2</c:v>
                </c:pt>
                <c:pt idx="7">
                  <c:v>0.04</c:v>
                </c:pt>
                <c:pt idx="8">
                  <c:v>5.5E-2</c:v>
                </c:pt>
                <c:pt idx="9">
                  <c:v>-7.0000000000000007E-2</c:v>
                </c:pt>
                <c:pt idx="10">
                  <c:v>8.8999999999999996E-2</c:v>
                </c:pt>
                <c:pt idx="11">
                  <c:v>7.0000000000000001E-3</c:v>
                </c:pt>
                <c:pt idx="12">
                  <c:v>0.04</c:v>
                </c:pt>
                <c:pt idx="13">
                  <c:v>-0.115</c:v>
                </c:pt>
                <c:pt idx="14">
                  <c:v>0</c:v>
                </c:pt>
              </c:numCache>
            </c:numRef>
          </c:xVal>
          <c:yVal>
            <c:numRef>
              <c:f>Analysis!$C$1093:$C$1107</c:f>
              <c:numCache>
                <c:formatCode>0.00%</c:formatCode>
                <c:ptCount val="15"/>
                <c:pt idx="0">
                  <c:v>4.3999999999999997E-2</c:v>
                </c:pt>
                <c:pt idx="1">
                  <c:v>5.3999999999999999E-2</c:v>
                </c:pt>
                <c:pt idx="2">
                  <c:v>5.7000000000000002E-2</c:v>
                </c:pt>
                <c:pt idx="3">
                  <c:v>5.0999999999999997E-2</c:v>
                </c:pt>
                <c:pt idx="4">
                  <c:v>8.5000000000000006E-2</c:v>
                </c:pt>
                <c:pt idx="5">
                  <c:v>-2.5000000000000001E-2</c:v>
                </c:pt>
                <c:pt idx="6">
                  <c:v>4.7E-2</c:v>
                </c:pt>
                <c:pt idx="7">
                  <c:v>5.0000000000000001E-3</c:v>
                </c:pt>
                <c:pt idx="8">
                  <c:v>5.5E-2</c:v>
                </c:pt>
                <c:pt idx="9">
                  <c:v>3.0000000000000001E-3</c:v>
                </c:pt>
                <c:pt idx="10">
                  <c:v>3.1E-2</c:v>
                </c:pt>
                <c:pt idx="11">
                  <c:v>3.9E-2</c:v>
                </c:pt>
                <c:pt idx="12">
                  <c:v>2.4E-2</c:v>
                </c:pt>
                <c:pt idx="13">
                  <c:v>-9.6000000000000002E-2</c:v>
                </c:pt>
                <c:pt idx="14">
                  <c:v>8.4197088057389458E-3</c:v>
                </c:pt>
              </c:numCache>
            </c:numRef>
          </c:yVal>
          <c:smooth val="0"/>
          <c:extLst>
            <c:ext xmlns:c16="http://schemas.microsoft.com/office/drawing/2014/chart" uri="{C3380CC4-5D6E-409C-BE32-E72D297353CC}">
              <c16:uniqueId val="{00000000-8BE9-4575-8169-132AFCFF9595}"/>
            </c:ext>
          </c:extLst>
        </c:ser>
        <c:dLbls>
          <c:showLegendKey val="0"/>
          <c:showVal val="0"/>
          <c:showCatName val="0"/>
          <c:showSerName val="0"/>
          <c:showPercent val="0"/>
          <c:showBubbleSize val="0"/>
        </c:dLbls>
        <c:axId val="119390592"/>
        <c:axId val="119392512"/>
      </c:scatterChart>
      <c:valAx>
        <c:axId val="119390592"/>
        <c:scaling>
          <c:orientation val="minMax"/>
        </c:scaling>
        <c:delete val="0"/>
        <c:axPos val="b"/>
        <c:title>
          <c:tx>
            <c:rich>
              <a:bodyPr/>
              <a:lstStyle/>
              <a:p>
                <a:pPr>
                  <a:defRPr/>
                </a:pPr>
                <a:r>
                  <a:rPr lang="en-US"/>
                  <a:t>Upfronts </a:t>
                </a:r>
              </a:p>
            </c:rich>
          </c:tx>
          <c:overlay val="0"/>
        </c:title>
        <c:numFmt formatCode="0%" sourceLinked="0"/>
        <c:majorTickMark val="out"/>
        <c:minorTickMark val="none"/>
        <c:tickLblPos val="nextTo"/>
        <c:crossAx val="119392512"/>
        <c:crosses val="autoZero"/>
        <c:crossBetween val="midCat"/>
      </c:valAx>
      <c:valAx>
        <c:axId val="119392512"/>
        <c:scaling>
          <c:orientation val="minMax"/>
        </c:scaling>
        <c:delete val="0"/>
        <c:axPos val="l"/>
        <c:majorGridlines>
          <c:spPr>
            <a:ln w="3175">
              <a:solidFill>
                <a:srgbClr val="C0C0C0"/>
              </a:solidFill>
              <a:prstDash val="solid"/>
            </a:ln>
          </c:spPr>
        </c:majorGridlines>
        <c:title>
          <c:tx>
            <c:rich>
              <a:bodyPr/>
              <a:lstStyle/>
              <a:p>
                <a:pPr>
                  <a:defRPr/>
                </a:pPr>
                <a:r>
                  <a:rPr lang="en-US"/>
                  <a:t>Advertising revenue growth</a:t>
                </a:r>
              </a:p>
            </c:rich>
          </c:tx>
          <c:overlay val="0"/>
        </c:title>
        <c:numFmt formatCode="0%" sourceLinked="0"/>
        <c:majorTickMark val="out"/>
        <c:minorTickMark val="none"/>
        <c:tickLblPos val="nextTo"/>
        <c:crossAx val="119390592"/>
        <c:crosses val="autoZero"/>
        <c:crossBetween val="midCat"/>
      </c:valAx>
      <c:spPr>
        <a:noFill/>
        <a:ln w="25400">
          <a:noFill/>
        </a:ln>
      </c:spPr>
    </c:plotArea>
    <c:plotVisOnly val="1"/>
    <c:dispBlanksAs val="gap"/>
    <c:showDLblsOverMax val="0"/>
  </c:chart>
  <c:spPr>
    <a:ln w="25400">
      <a:noFill/>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Analysis!$B$1112</c:f>
              <c:strCache>
                <c:ptCount val="1"/>
                <c:pt idx="0">
                  <c:v>Cable</c:v>
                </c:pt>
              </c:strCache>
            </c:strRef>
          </c:tx>
          <c:spPr>
            <a:solidFill>
              <a:srgbClr val="000080"/>
            </a:solidFill>
            <a:ln w="25400">
              <a:noFill/>
            </a:ln>
            <a:effectLst/>
          </c:spPr>
          <c:invertIfNegative val="0"/>
          <c:cat>
            <c:strRef>
              <c:f>Analysis!$C$1111:$D$1111</c:f>
              <c:strCache>
                <c:ptCount val="2"/>
                <c:pt idx="0">
                  <c:v>2016</c:v>
                </c:pt>
                <c:pt idx="1">
                  <c:v>2017 guidance</c:v>
                </c:pt>
              </c:strCache>
            </c:strRef>
          </c:cat>
          <c:val>
            <c:numRef>
              <c:f>Analysis!$C$1112:$D$1112</c:f>
              <c:numCache>
                <c:formatCode>General</c:formatCode>
                <c:ptCount val="2"/>
                <c:pt idx="0" formatCode="0">
                  <c:v>984.2</c:v>
                </c:pt>
                <c:pt idx="1">
                  <c:v>550</c:v>
                </c:pt>
              </c:numCache>
            </c:numRef>
          </c:val>
          <c:extLst>
            <c:ext xmlns:c16="http://schemas.microsoft.com/office/drawing/2014/chart" uri="{C3380CC4-5D6E-409C-BE32-E72D297353CC}">
              <c16:uniqueId val="{00000000-322A-4A47-A52B-FAFAFE1A8508}"/>
            </c:ext>
          </c:extLst>
        </c:ser>
        <c:ser>
          <c:idx val="1"/>
          <c:order val="1"/>
          <c:tx>
            <c:strRef>
              <c:f>Analysis!$B$1113</c:f>
              <c:strCache>
                <c:ptCount val="1"/>
                <c:pt idx="0">
                  <c:v>SKY</c:v>
                </c:pt>
              </c:strCache>
            </c:strRef>
          </c:tx>
          <c:spPr>
            <a:solidFill>
              <a:srgbClr val="9999FF"/>
            </a:solidFill>
            <a:ln w="25400">
              <a:noFill/>
            </a:ln>
            <a:effectLst/>
          </c:spPr>
          <c:invertIfNegative val="0"/>
          <c:cat>
            <c:strRef>
              <c:f>Analysis!$C$1111:$D$1111</c:f>
              <c:strCache>
                <c:ptCount val="2"/>
                <c:pt idx="0">
                  <c:v>2016</c:v>
                </c:pt>
                <c:pt idx="1">
                  <c:v>2017 guidance</c:v>
                </c:pt>
              </c:strCache>
            </c:strRef>
          </c:cat>
          <c:val>
            <c:numRef>
              <c:f>Analysis!$C$1113:$D$1113</c:f>
              <c:numCache>
                <c:formatCode>General</c:formatCode>
                <c:ptCount val="2"/>
                <c:pt idx="0" formatCode="0">
                  <c:v>346.6</c:v>
                </c:pt>
                <c:pt idx="1">
                  <c:v>300</c:v>
                </c:pt>
              </c:numCache>
            </c:numRef>
          </c:val>
          <c:extLst>
            <c:ext xmlns:c16="http://schemas.microsoft.com/office/drawing/2014/chart" uri="{C3380CC4-5D6E-409C-BE32-E72D297353CC}">
              <c16:uniqueId val="{00000001-322A-4A47-A52B-FAFAFE1A8508}"/>
            </c:ext>
          </c:extLst>
        </c:ser>
        <c:ser>
          <c:idx val="2"/>
          <c:order val="2"/>
          <c:tx>
            <c:strRef>
              <c:f>Analysis!$B$1114</c:f>
              <c:strCache>
                <c:ptCount val="1"/>
                <c:pt idx="0">
                  <c:v>Content</c:v>
                </c:pt>
              </c:strCache>
            </c:strRef>
          </c:tx>
          <c:spPr>
            <a:solidFill>
              <a:srgbClr val="3366FF"/>
            </a:solidFill>
            <a:ln w="25400">
              <a:noFill/>
            </a:ln>
            <a:effectLst/>
          </c:spPr>
          <c:invertIfNegative val="0"/>
          <c:cat>
            <c:strRef>
              <c:f>Analysis!$C$1111:$D$1111</c:f>
              <c:strCache>
                <c:ptCount val="2"/>
                <c:pt idx="0">
                  <c:v>2016</c:v>
                </c:pt>
                <c:pt idx="1">
                  <c:v>2017 guidance</c:v>
                </c:pt>
              </c:strCache>
            </c:strRef>
          </c:cat>
          <c:val>
            <c:numRef>
              <c:f>Analysis!$C$1114:$D$1114</c:f>
              <c:numCache>
                <c:formatCode>General</c:formatCode>
                <c:ptCount val="2"/>
                <c:pt idx="0" formatCode="0">
                  <c:v>150</c:v>
                </c:pt>
                <c:pt idx="1">
                  <c:v>150</c:v>
                </c:pt>
              </c:numCache>
            </c:numRef>
          </c:val>
          <c:extLst>
            <c:ext xmlns:c16="http://schemas.microsoft.com/office/drawing/2014/chart" uri="{C3380CC4-5D6E-409C-BE32-E72D297353CC}">
              <c16:uniqueId val="{00000002-322A-4A47-A52B-FAFAFE1A8508}"/>
            </c:ext>
          </c:extLst>
        </c:ser>
        <c:dLbls>
          <c:showLegendKey val="0"/>
          <c:showVal val="0"/>
          <c:showCatName val="0"/>
          <c:showSerName val="0"/>
          <c:showPercent val="0"/>
          <c:showBubbleSize val="0"/>
        </c:dLbls>
        <c:gapWidth val="150"/>
        <c:overlap val="100"/>
        <c:axId val="119534336"/>
        <c:axId val="119535872"/>
      </c:barChart>
      <c:catAx>
        <c:axId val="11953433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535872"/>
        <c:crosses val="autoZero"/>
        <c:auto val="1"/>
        <c:lblAlgn val="ctr"/>
        <c:lblOffset val="100"/>
        <c:noMultiLvlLbl val="0"/>
      </c:catAx>
      <c:valAx>
        <c:axId val="119535872"/>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US$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53433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Analysis!$B$1301</c:f>
              <c:strCache>
                <c:ptCount val="1"/>
                <c:pt idx="0">
                  <c:v>Cable </c:v>
                </c:pt>
              </c:strCache>
            </c:strRef>
          </c:tx>
          <c:spPr>
            <a:ln w="25400" cap="rnd">
              <a:solidFill>
                <a:srgbClr val="333399"/>
              </a:solidFill>
              <a:prstDash val="solid"/>
              <a:round/>
            </a:ln>
            <a:effectLst/>
          </c:spPr>
          <c:marker>
            <c:symbol val="none"/>
          </c:marker>
          <c:cat>
            <c:numRef>
              <c:f>Analysis!$C$1290:$P$1290</c:f>
              <c:numCache>
                <c:formatCode>0</c:formatCode>
                <c:ptCount val="1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numCache>
            </c:numRef>
          </c:cat>
          <c:val>
            <c:numRef>
              <c:f>Analysis!$C$1301:$P$1301</c:f>
              <c:numCache>
                <c:formatCode>0%</c:formatCode>
                <c:ptCount val="14"/>
                <c:pt idx="0">
                  <c:v>0.54452637549631311</c:v>
                </c:pt>
                <c:pt idx="1">
                  <c:v>0.3799086859750237</c:v>
                </c:pt>
                <c:pt idx="2">
                  <c:v>0.28099472276440396</c:v>
                </c:pt>
                <c:pt idx="3">
                  <c:v>0.24476331388477898</c:v>
                </c:pt>
                <c:pt idx="4">
                  <c:v>0.22170272915081005</c:v>
                </c:pt>
                <c:pt idx="5">
                  <c:v>0.21205796669337657</c:v>
                </c:pt>
                <c:pt idx="6">
                  <c:v>0.21262356200617955</c:v>
                </c:pt>
                <c:pt idx="7">
                  <c:v>0.2104810164713983</c:v>
                </c:pt>
                <c:pt idx="8">
                  <c:v>0.20788727292145942</c:v>
                </c:pt>
                <c:pt idx="9">
                  <c:v>0.21297433895291462</c:v>
                </c:pt>
                <c:pt idx="10">
                  <c:v>0.21595564371049925</c:v>
                </c:pt>
                <c:pt idx="11">
                  <c:v>0.21879209662920157</c:v>
                </c:pt>
                <c:pt idx="12">
                  <c:v>0.22233802496111874</c:v>
                </c:pt>
                <c:pt idx="13">
                  <c:v>0.22616455769432078</c:v>
                </c:pt>
              </c:numCache>
            </c:numRef>
          </c:val>
          <c:smooth val="0"/>
          <c:extLst>
            <c:ext xmlns:c16="http://schemas.microsoft.com/office/drawing/2014/chart" uri="{C3380CC4-5D6E-409C-BE32-E72D297353CC}">
              <c16:uniqueId val="{00000000-39BB-4B98-B59C-5B0EC4994A84}"/>
            </c:ext>
          </c:extLst>
        </c:ser>
        <c:ser>
          <c:idx val="1"/>
          <c:order val="1"/>
          <c:tx>
            <c:strRef>
              <c:f>Analysis!$B$1302</c:f>
              <c:strCache>
                <c:ptCount val="1"/>
                <c:pt idx="0">
                  <c:v>Partial ULL (SMPF)</c:v>
                </c:pt>
              </c:strCache>
            </c:strRef>
          </c:tx>
          <c:spPr>
            <a:ln w="25400" cap="rnd">
              <a:solidFill>
                <a:srgbClr val="99CCFF"/>
              </a:solidFill>
              <a:prstDash val="solid"/>
              <a:round/>
            </a:ln>
            <a:effectLst/>
          </c:spPr>
          <c:marker>
            <c:symbol val="none"/>
          </c:marker>
          <c:cat>
            <c:numRef>
              <c:f>Analysis!$C$1290:$P$1290</c:f>
              <c:numCache>
                <c:formatCode>0</c:formatCode>
                <c:ptCount val="1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numCache>
            </c:numRef>
          </c:cat>
          <c:val>
            <c:numRef>
              <c:f>Analysis!$C$1302:$P$1302</c:f>
              <c:numCache>
                <c:formatCode>0%</c:formatCode>
                <c:ptCount val="14"/>
                <c:pt idx="0">
                  <c:v>1.7016449234259785E-3</c:v>
                </c:pt>
                <c:pt idx="1">
                  <c:v>3.0642290260487321E-3</c:v>
                </c:pt>
                <c:pt idx="2">
                  <c:v>5.7832718860695437E-3</c:v>
                </c:pt>
                <c:pt idx="3">
                  <c:v>3.7222113657724054E-3</c:v>
                </c:pt>
                <c:pt idx="4">
                  <c:v>9.9670182305824362E-2</c:v>
                </c:pt>
                <c:pt idx="5">
                  <c:v>0.19877134462603036</c:v>
                </c:pt>
                <c:pt idx="6">
                  <c:v>0.23007901127592381</c:v>
                </c:pt>
                <c:pt idx="7">
                  <c:v>0.19655940354387891</c:v>
                </c:pt>
                <c:pt idx="8">
                  <c:v>0.15141273317121401</c:v>
                </c:pt>
                <c:pt idx="9">
                  <c:v>0.10516217803638175</c:v>
                </c:pt>
                <c:pt idx="10">
                  <c:v>8.4680340495366532E-2</c:v>
                </c:pt>
                <c:pt idx="11">
                  <c:v>6.5141684025030677E-2</c:v>
                </c:pt>
                <c:pt idx="12">
                  <c:v>4.6207009008588214E-2</c:v>
                </c:pt>
                <c:pt idx="13">
                  <c:v>4.2732466567686707E-2</c:v>
                </c:pt>
              </c:numCache>
            </c:numRef>
          </c:val>
          <c:smooth val="0"/>
          <c:extLst>
            <c:ext xmlns:c16="http://schemas.microsoft.com/office/drawing/2014/chart" uri="{C3380CC4-5D6E-409C-BE32-E72D297353CC}">
              <c16:uniqueId val="{00000001-39BB-4B98-B59C-5B0EC4994A84}"/>
            </c:ext>
          </c:extLst>
        </c:ser>
        <c:ser>
          <c:idx val="2"/>
          <c:order val="2"/>
          <c:tx>
            <c:strRef>
              <c:f>Analysis!$B$1303</c:f>
              <c:strCache>
                <c:ptCount val="1"/>
                <c:pt idx="0">
                  <c:v>Full ULL (MPF)</c:v>
                </c:pt>
              </c:strCache>
            </c:strRef>
          </c:tx>
          <c:spPr>
            <a:ln w="25400" cap="rnd">
              <a:solidFill>
                <a:srgbClr val="333399"/>
              </a:solidFill>
              <a:prstDash val="lgDash"/>
              <a:round/>
            </a:ln>
            <a:effectLst/>
          </c:spPr>
          <c:marker>
            <c:symbol val="none"/>
          </c:marker>
          <c:cat>
            <c:numRef>
              <c:f>Analysis!$C$1290:$P$1290</c:f>
              <c:numCache>
                <c:formatCode>0</c:formatCode>
                <c:ptCount val="1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numCache>
            </c:numRef>
          </c:cat>
          <c:val>
            <c:numRef>
              <c:f>Analysis!$C$1303:$P$1303</c:f>
              <c:numCache>
                <c:formatCode>0%</c:formatCode>
                <c:ptCount val="14"/>
                <c:pt idx="0">
                  <c:v>0</c:v>
                </c:pt>
                <c:pt idx="1">
                  <c:v>2.7856627509533928E-6</c:v>
                </c:pt>
                <c:pt idx="2">
                  <c:v>1.445817971517386E-4</c:v>
                </c:pt>
                <c:pt idx="3">
                  <c:v>2.9405469789602005E-2</c:v>
                </c:pt>
                <c:pt idx="4">
                  <c:v>3.8780761842629845E-2</c:v>
                </c:pt>
                <c:pt idx="5">
                  <c:v>6.8327649715197933E-2</c:v>
                </c:pt>
                <c:pt idx="6">
                  <c:v>9.7709471091906197E-2</c:v>
                </c:pt>
                <c:pt idx="7">
                  <c:v>0.15954986067628485</c:v>
                </c:pt>
                <c:pt idx="8">
                  <c:v>0.23682504419087319</c:v>
                </c:pt>
                <c:pt idx="9">
                  <c:v>0.29930773748816336</c:v>
                </c:pt>
                <c:pt idx="10">
                  <c:v>0.33872136198146613</c:v>
                </c:pt>
                <c:pt idx="11">
                  <c:v>0.36913620947517367</c:v>
                </c:pt>
                <c:pt idx="12">
                  <c:v>0.39248845171479008</c:v>
                </c:pt>
                <c:pt idx="13">
                  <c:v>0.39812651349936573</c:v>
                </c:pt>
              </c:numCache>
            </c:numRef>
          </c:val>
          <c:smooth val="0"/>
          <c:extLst>
            <c:ext xmlns:c16="http://schemas.microsoft.com/office/drawing/2014/chart" uri="{C3380CC4-5D6E-409C-BE32-E72D297353CC}">
              <c16:uniqueId val="{00000002-39BB-4B98-B59C-5B0EC4994A84}"/>
            </c:ext>
          </c:extLst>
        </c:ser>
        <c:ser>
          <c:idx val="3"/>
          <c:order val="3"/>
          <c:tx>
            <c:strRef>
              <c:f>Analysis!$B$1304</c:f>
              <c:strCache>
                <c:ptCount val="1"/>
                <c:pt idx="0">
                  <c:v>Bitstream</c:v>
                </c:pt>
              </c:strCache>
            </c:strRef>
          </c:tx>
          <c:spPr>
            <a:ln w="25400" cap="rnd">
              <a:solidFill>
                <a:srgbClr val="99CCFF"/>
              </a:solidFill>
              <a:prstDash val="lgDash"/>
              <a:round/>
            </a:ln>
            <a:effectLst/>
          </c:spPr>
          <c:marker>
            <c:symbol val="none"/>
          </c:marker>
          <c:cat>
            <c:numRef>
              <c:f>Analysis!$C$1290:$P$1290</c:f>
              <c:numCache>
                <c:formatCode>0</c:formatCode>
                <c:ptCount val="1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numCache>
            </c:numRef>
          </c:cat>
          <c:val>
            <c:numRef>
              <c:f>Analysis!$C$1304:$P$1304</c:f>
              <c:numCache>
                <c:formatCode>0%</c:formatCode>
                <c:ptCount val="14"/>
                <c:pt idx="0">
                  <c:v>0.20476460578559275</c:v>
                </c:pt>
                <c:pt idx="1">
                  <c:v>0.34765071131898351</c:v>
                </c:pt>
                <c:pt idx="2">
                  <c:v>0.45572182462228006</c:v>
                </c:pt>
                <c:pt idx="3">
                  <c:v>0.47383750686282722</c:v>
                </c:pt>
                <c:pt idx="4">
                  <c:v>0.37461491065927294</c:v>
                </c:pt>
                <c:pt idx="5">
                  <c:v>0.2474703240594078</c:v>
                </c:pt>
                <c:pt idx="6">
                  <c:v>0.18840711899577012</c:v>
                </c:pt>
                <c:pt idx="7">
                  <c:v>0.15734435012748926</c:v>
                </c:pt>
                <c:pt idx="8">
                  <c:v>0.12328933196638826</c:v>
                </c:pt>
                <c:pt idx="9">
                  <c:v>0.10195812621655836</c:v>
                </c:pt>
                <c:pt idx="10">
                  <c:v>8.1107956668958328E-2</c:v>
                </c:pt>
                <c:pt idx="11">
                  <c:v>7.0694175490224304E-2</c:v>
                </c:pt>
                <c:pt idx="12">
                  <c:v>6.4895915721191313E-2</c:v>
                </c:pt>
                <c:pt idx="13">
                  <c:v>6.2063893468820498E-2</c:v>
                </c:pt>
              </c:numCache>
            </c:numRef>
          </c:val>
          <c:smooth val="0"/>
          <c:extLst>
            <c:ext xmlns:c16="http://schemas.microsoft.com/office/drawing/2014/chart" uri="{C3380CC4-5D6E-409C-BE32-E72D297353CC}">
              <c16:uniqueId val="{00000003-39BB-4B98-B59C-5B0EC4994A84}"/>
            </c:ext>
          </c:extLst>
        </c:ser>
        <c:ser>
          <c:idx val="4"/>
          <c:order val="4"/>
          <c:tx>
            <c:strRef>
              <c:f>Analysis!$B$1305</c:f>
              <c:strCache>
                <c:ptCount val="1"/>
                <c:pt idx="0">
                  <c:v>BT Retail</c:v>
                </c:pt>
              </c:strCache>
            </c:strRef>
          </c:tx>
          <c:spPr>
            <a:ln w="25400" cap="rnd">
              <a:solidFill>
                <a:srgbClr val="333399"/>
              </a:solidFill>
              <a:prstDash val="sysDash"/>
              <a:round/>
            </a:ln>
            <a:effectLst/>
          </c:spPr>
          <c:marker>
            <c:symbol val="none"/>
          </c:marker>
          <c:cat>
            <c:numRef>
              <c:f>Analysis!$C$1290:$P$1290</c:f>
              <c:numCache>
                <c:formatCode>0</c:formatCode>
                <c:ptCount val="1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numCache>
            </c:numRef>
          </c:cat>
          <c:val>
            <c:numRef>
              <c:f>Analysis!$C$1305:$P$1305</c:f>
              <c:numCache>
                <c:formatCode>0%</c:formatCode>
                <c:ptCount val="14"/>
                <c:pt idx="0">
                  <c:v>0.24900737379466817</c:v>
                </c:pt>
                <c:pt idx="1">
                  <c:v>0.26937358801719308</c:v>
                </c:pt>
                <c:pt idx="2">
                  <c:v>0.25735559893009469</c:v>
                </c:pt>
                <c:pt idx="3">
                  <c:v>0.24827149809701946</c:v>
                </c:pt>
                <c:pt idx="4">
                  <c:v>0.26523141604146278</c:v>
                </c:pt>
                <c:pt idx="5">
                  <c:v>0.27337271490598736</c:v>
                </c:pt>
                <c:pt idx="6">
                  <c:v>0.27118083663022041</c:v>
                </c:pt>
                <c:pt idx="7">
                  <c:v>0.27606536918094871</c:v>
                </c:pt>
                <c:pt idx="8">
                  <c:v>0.28058561775006519</c:v>
                </c:pt>
                <c:pt idx="9">
                  <c:v>0.28059761930598187</c:v>
                </c:pt>
                <c:pt idx="10">
                  <c:v>0.27953469714370976</c:v>
                </c:pt>
                <c:pt idx="11">
                  <c:v>0.27623583438036964</c:v>
                </c:pt>
                <c:pt idx="12">
                  <c:v>0.27407059859431171</c:v>
                </c:pt>
                <c:pt idx="13">
                  <c:v>0.27091256876980629</c:v>
                </c:pt>
              </c:numCache>
            </c:numRef>
          </c:val>
          <c:smooth val="0"/>
          <c:extLst>
            <c:ext xmlns:c16="http://schemas.microsoft.com/office/drawing/2014/chart" uri="{C3380CC4-5D6E-409C-BE32-E72D297353CC}">
              <c16:uniqueId val="{00000004-39BB-4B98-B59C-5B0EC4994A84}"/>
            </c:ext>
          </c:extLst>
        </c:ser>
        <c:dLbls>
          <c:showLegendKey val="0"/>
          <c:showVal val="0"/>
          <c:showCatName val="0"/>
          <c:showSerName val="0"/>
          <c:showPercent val="0"/>
          <c:showBubbleSize val="0"/>
        </c:dLbls>
        <c:smooth val="0"/>
        <c:axId val="119696768"/>
        <c:axId val="119710848"/>
      </c:lineChart>
      <c:catAx>
        <c:axId val="119696768"/>
        <c:scaling>
          <c:orientation val="minMax"/>
        </c:scaling>
        <c:delete val="0"/>
        <c:axPos val="b"/>
        <c:numFmt formatCode="0" sourceLinked="1"/>
        <c:majorTickMark val="none"/>
        <c:minorTickMark val="none"/>
        <c:tickLblPos val="low"/>
        <c:spPr>
          <a:noFill/>
          <a:ln w="9525" cap="flat" cmpd="sng" algn="ctr">
            <a:solidFill>
              <a:schemeClr val="bg1">
                <a:lumMod val="50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710848"/>
        <c:crosses val="autoZero"/>
        <c:auto val="1"/>
        <c:lblAlgn val="ctr"/>
        <c:lblOffset val="100"/>
        <c:noMultiLvlLbl val="0"/>
      </c:catAx>
      <c:valAx>
        <c:axId val="11971084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69676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Cable revenue</c:v>
          </c:tx>
          <c:spPr>
            <a:ln w="25400" cap="rnd">
              <a:solidFill>
                <a:srgbClr val="333399"/>
              </a:solidFill>
              <a:prstDash val="solid"/>
              <a:round/>
            </a:ln>
            <a:effectLst/>
          </c:spPr>
          <c:marker>
            <c:symbol val="none"/>
          </c:marker>
          <c:val>
            <c:numRef>
              <c:f>Interims!$FP$369:$FW$369</c:f>
              <c:numCache>
                <c:formatCode>0.0%</c:formatCode>
                <c:ptCount val="8"/>
                <c:pt idx="0">
                  <c:v>0.14168887043380973</c:v>
                </c:pt>
                <c:pt idx="1">
                  <c:v>0.15749458966427587</c:v>
                </c:pt>
                <c:pt idx="2">
                  <c:v>0.14666102669226366</c:v>
                </c:pt>
                <c:pt idx="3">
                  <c:v>0.15743299326517946</c:v>
                </c:pt>
                <c:pt idx="4">
                  <c:v>9.3613925904971751E-2</c:v>
                </c:pt>
                <c:pt idx="5">
                  <c:v>0.10700196755973623</c:v>
                </c:pt>
                <c:pt idx="6">
                  <c:v>7.9057140965371087E-2</c:v>
                </c:pt>
                <c:pt idx="7">
                  <c:v>7.3492433801435553E-2</c:v>
                </c:pt>
              </c:numCache>
            </c:numRef>
          </c:val>
          <c:smooth val="0"/>
          <c:extLst>
            <c:ext xmlns:c15="http://schemas.microsoft.com/office/drawing/2012/chart" uri="{02D57815-91ED-43cb-92C2-25804820EDAC}">
              <c15:filteredCategoryTitle>
                <c15:cat>
                  <c:strRef>
                    <c:extLst>
                      <c:ext uri="{02D57815-91ED-43cb-92C2-25804820EDAC}">
                        <c15:formulaRef>
                          <c15:sqref>Interims!$FP$368:$FW$368</c15:sqref>
                        </c15:formulaRef>
                      </c:ext>
                    </c:extLst>
                    <c:strCache>
                      <c:ptCount val="8"/>
                      <c:pt idx="0">
                        <c:v>Q1 19</c:v>
                      </c:pt>
                      <c:pt idx="1">
                        <c:v>Q2 19</c:v>
                      </c:pt>
                      <c:pt idx="2">
                        <c:v>Q3 19</c:v>
                      </c:pt>
                      <c:pt idx="3">
                        <c:v>Q4 19</c:v>
                      </c:pt>
                      <c:pt idx="4">
                        <c:v>Q1 20</c:v>
                      </c:pt>
                      <c:pt idx="5">
                        <c:v>Q2 20</c:v>
                      </c:pt>
                      <c:pt idx="6">
                        <c:v>Q3 20</c:v>
                      </c:pt>
                      <c:pt idx="7">
                        <c:v>Q4 20</c:v>
                      </c:pt>
                    </c:strCache>
                  </c:strRef>
                </c15:cat>
              </c15:filteredCategoryTitle>
            </c:ext>
            <c:ext xmlns:c16="http://schemas.microsoft.com/office/drawing/2014/chart" uri="{C3380CC4-5D6E-409C-BE32-E72D297353CC}">
              <c16:uniqueId val="{00000000-4515-436B-A61D-342EA6765378}"/>
            </c:ext>
          </c:extLst>
        </c:ser>
        <c:ser>
          <c:idx val="1"/>
          <c:order val="1"/>
          <c:tx>
            <c:v>OTT adj revenue</c:v>
          </c:tx>
          <c:spPr>
            <a:ln w="25400" cap="rnd">
              <a:solidFill>
                <a:srgbClr val="7030A0"/>
              </a:solidFill>
              <a:prstDash val="dash"/>
              <a:round/>
            </a:ln>
            <a:effectLst/>
          </c:spPr>
          <c:marker>
            <c:symbol val="none"/>
          </c:marker>
          <c:val>
            <c:numRef>
              <c:f>Interims!$FP$370:$FW$370</c:f>
              <c:numCache>
                <c:formatCode>0.0%</c:formatCode>
                <c:ptCount val="8"/>
                <c:pt idx="0">
                  <c:v>0.14168887043380973</c:v>
                </c:pt>
                <c:pt idx="1">
                  <c:v>0.15749458966427587</c:v>
                </c:pt>
                <c:pt idx="2">
                  <c:v>0.14666102669226366</c:v>
                </c:pt>
                <c:pt idx="3">
                  <c:v>0.15743299326517946</c:v>
                </c:pt>
                <c:pt idx="4">
                  <c:v>9.3613925904971751E-2</c:v>
                </c:pt>
                <c:pt idx="5">
                  <c:v>0.10700196755973623</c:v>
                </c:pt>
                <c:pt idx="6">
                  <c:v>7.9057140965371087E-2</c:v>
                </c:pt>
                <c:pt idx="7">
                  <c:v>9.3492433801435557E-2</c:v>
                </c:pt>
              </c:numCache>
            </c:numRef>
          </c:val>
          <c:smooth val="0"/>
          <c:extLst>
            <c:ext xmlns:c15="http://schemas.microsoft.com/office/drawing/2012/chart" uri="{02D57815-91ED-43cb-92C2-25804820EDAC}">
              <c15:filteredCategoryTitle>
                <c15:cat>
                  <c:strRef>
                    <c:extLst>
                      <c:ext uri="{02D57815-91ED-43cb-92C2-25804820EDAC}">
                        <c15:formulaRef>
                          <c15:sqref>Interims!$FP$368:$FW$368</c15:sqref>
                        </c15:formulaRef>
                      </c:ext>
                    </c:extLst>
                    <c:strCache>
                      <c:ptCount val="8"/>
                      <c:pt idx="0">
                        <c:v>Q1 19</c:v>
                      </c:pt>
                      <c:pt idx="1">
                        <c:v>Q2 19</c:v>
                      </c:pt>
                      <c:pt idx="2">
                        <c:v>Q3 19</c:v>
                      </c:pt>
                      <c:pt idx="3">
                        <c:v>Q4 19</c:v>
                      </c:pt>
                      <c:pt idx="4">
                        <c:v>Q1 20</c:v>
                      </c:pt>
                      <c:pt idx="5">
                        <c:v>Q2 20</c:v>
                      </c:pt>
                      <c:pt idx="6">
                        <c:v>Q3 20</c:v>
                      </c:pt>
                      <c:pt idx="7">
                        <c:v>Q4 20</c:v>
                      </c:pt>
                    </c:strCache>
                  </c:strRef>
                </c15:cat>
              </c15:filteredCategoryTitle>
            </c:ext>
            <c:ext xmlns:c16="http://schemas.microsoft.com/office/drawing/2014/chart" uri="{C3380CC4-5D6E-409C-BE32-E72D297353CC}">
              <c16:uniqueId val="{00000001-4515-436B-A61D-342EA6765378}"/>
            </c:ext>
          </c:extLst>
        </c:ser>
        <c:ser>
          <c:idx val="2"/>
          <c:order val="2"/>
          <c:tx>
            <c:v>Cable EBITDA</c:v>
          </c:tx>
          <c:spPr>
            <a:ln w="25400" cap="rnd">
              <a:solidFill>
                <a:schemeClr val="tx2">
                  <a:lumMod val="60000"/>
                  <a:lumOff val="40000"/>
                </a:schemeClr>
              </a:solidFill>
              <a:prstDash val="solid"/>
              <a:round/>
            </a:ln>
            <a:effectLst/>
          </c:spPr>
          <c:marker>
            <c:symbol val="none"/>
          </c:marker>
          <c:val>
            <c:numRef>
              <c:f>Interims!$FP$374:$FW$374</c:f>
              <c:numCache>
                <c:formatCode>0.0%</c:formatCode>
                <c:ptCount val="8"/>
                <c:pt idx="0">
                  <c:v>0.17250129607901998</c:v>
                </c:pt>
                <c:pt idx="1">
                  <c:v>0.20118676833852422</c:v>
                </c:pt>
                <c:pt idx="2">
                  <c:v>0.14694817658349324</c:v>
                </c:pt>
                <c:pt idx="3">
                  <c:v>0.13463314776443558</c:v>
                </c:pt>
                <c:pt idx="4">
                  <c:v>4.4960554792767171E-2</c:v>
                </c:pt>
                <c:pt idx="5">
                  <c:v>4.0861032255180341E-2</c:v>
                </c:pt>
                <c:pt idx="6">
                  <c:v>7.0285829038088332E-2</c:v>
                </c:pt>
                <c:pt idx="7">
                  <c:v>9.0165016501650097E-2</c:v>
                </c:pt>
              </c:numCache>
            </c:numRef>
          </c:val>
          <c:smooth val="0"/>
          <c:extLst>
            <c:ext xmlns:c15="http://schemas.microsoft.com/office/drawing/2012/chart" uri="{02D57815-91ED-43cb-92C2-25804820EDAC}">
              <c15:filteredCategoryTitle>
                <c15:cat>
                  <c:strRef>
                    <c:extLst>
                      <c:ext uri="{02D57815-91ED-43cb-92C2-25804820EDAC}">
                        <c15:formulaRef>
                          <c15:sqref>Interims!$FP$368:$FW$368</c15:sqref>
                        </c15:formulaRef>
                      </c:ext>
                    </c:extLst>
                    <c:strCache>
                      <c:ptCount val="8"/>
                      <c:pt idx="0">
                        <c:v>Q1 19</c:v>
                      </c:pt>
                      <c:pt idx="1">
                        <c:v>Q2 19</c:v>
                      </c:pt>
                      <c:pt idx="2">
                        <c:v>Q3 19</c:v>
                      </c:pt>
                      <c:pt idx="3">
                        <c:v>Q4 19</c:v>
                      </c:pt>
                      <c:pt idx="4">
                        <c:v>Q1 20</c:v>
                      </c:pt>
                      <c:pt idx="5">
                        <c:v>Q2 20</c:v>
                      </c:pt>
                      <c:pt idx="6">
                        <c:v>Q3 20</c:v>
                      </c:pt>
                      <c:pt idx="7">
                        <c:v>Q4 20</c:v>
                      </c:pt>
                    </c:strCache>
                  </c:strRef>
                </c15:cat>
              </c15:filteredCategoryTitle>
            </c:ext>
            <c:ext xmlns:c16="http://schemas.microsoft.com/office/drawing/2014/chart" uri="{C3380CC4-5D6E-409C-BE32-E72D297353CC}">
              <c16:uniqueId val="{00000002-4515-436B-A61D-342EA6765378}"/>
            </c:ext>
          </c:extLst>
        </c:ser>
        <c:dLbls>
          <c:showLegendKey val="0"/>
          <c:showVal val="0"/>
          <c:showCatName val="0"/>
          <c:showSerName val="0"/>
          <c:showPercent val="0"/>
          <c:showBubbleSize val="0"/>
        </c:dLbls>
        <c:smooth val="0"/>
        <c:axId val="910421664"/>
        <c:axId val="910421008"/>
      </c:lineChart>
      <c:catAx>
        <c:axId val="910421664"/>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10421008"/>
        <c:crosses val="autoZero"/>
        <c:auto val="1"/>
        <c:lblAlgn val="ctr"/>
        <c:lblOffset val="100"/>
        <c:noMultiLvlLbl val="0"/>
      </c:catAx>
      <c:valAx>
        <c:axId val="910421008"/>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1042166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4"/>
          <c:order val="0"/>
          <c:tx>
            <c:strRef>
              <c:f>Analysis!$B$1322</c:f>
              <c:strCache>
                <c:ptCount val="1"/>
                <c:pt idx="0">
                  <c:v>Residential penetration</c:v>
                </c:pt>
              </c:strCache>
            </c:strRef>
          </c:tx>
          <c:spPr>
            <a:ln w="25400" cap="rnd">
              <a:solidFill>
                <a:srgbClr val="333399"/>
              </a:solidFill>
              <a:prstDash val="solid"/>
              <a:round/>
            </a:ln>
            <a:effectLst/>
          </c:spPr>
          <c:marker>
            <c:symbol val="none"/>
          </c:marker>
          <c:cat>
            <c:numRef>
              <c:f>Analysis!$C$1290:$P$1290</c:f>
              <c:numCache>
                <c:formatCode>0</c:formatCode>
                <c:ptCount val="14"/>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numCache>
            </c:numRef>
          </c:cat>
          <c:val>
            <c:numRef>
              <c:f>Analysis!$C$1322:$P$1322</c:f>
              <c:numCache>
                <c:formatCode>0%</c:formatCode>
                <c:ptCount val="14"/>
                <c:pt idx="0">
                  <c:v>3.4874869231868895E-2</c:v>
                </c:pt>
                <c:pt idx="1">
                  <c:v>9.6094626795354188E-2</c:v>
                </c:pt>
                <c:pt idx="2">
                  <c:v>0.20471169162386613</c:v>
                </c:pt>
                <c:pt idx="3">
                  <c:v>0.34421826162599178</c:v>
                </c:pt>
                <c:pt idx="4">
                  <c:v>0.46329364003649531</c:v>
                </c:pt>
                <c:pt idx="5">
                  <c:v>0.53995451714076759</c:v>
                </c:pt>
                <c:pt idx="6">
                  <c:v>0.59385843179274589</c:v>
                </c:pt>
                <c:pt idx="7">
                  <c:v>0.62009437349439867</c:v>
                </c:pt>
                <c:pt idx="8">
                  <c:v>0.66321109540111389</c:v>
                </c:pt>
                <c:pt idx="9">
                  <c:v>0.68792643852953606</c:v>
                </c:pt>
                <c:pt idx="10">
                  <c:v>0.70332749225090074</c:v>
                </c:pt>
                <c:pt idx="11">
                  <c:v>0.71886493485605651</c:v>
                </c:pt>
                <c:pt idx="12">
                  <c:v>0.73134547719010068</c:v>
                </c:pt>
                <c:pt idx="13">
                  <c:v>0.74015175322178151</c:v>
                </c:pt>
              </c:numCache>
            </c:numRef>
          </c:val>
          <c:smooth val="0"/>
          <c:extLst>
            <c:ext xmlns:c16="http://schemas.microsoft.com/office/drawing/2014/chart" uri="{C3380CC4-5D6E-409C-BE32-E72D297353CC}">
              <c16:uniqueId val="{00000004-DE40-4DF7-93DD-9AD7B47D04C7}"/>
            </c:ext>
          </c:extLst>
        </c:ser>
        <c:dLbls>
          <c:showLegendKey val="0"/>
          <c:showVal val="0"/>
          <c:showCatName val="0"/>
          <c:showSerName val="0"/>
          <c:showPercent val="0"/>
          <c:showBubbleSize val="0"/>
        </c:dLbls>
        <c:smooth val="0"/>
        <c:axId val="120002048"/>
        <c:axId val="120003584"/>
      </c:lineChart>
      <c:catAx>
        <c:axId val="120002048"/>
        <c:scaling>
          <c:orientation val="minMax"/>
        </c:scaling>
        <c:delete val="0"/>
        <c:axPos val="b"/>
        <c:numFmt formatCode="0" sourceLinked="1"/>
        <c:majorTickMark val="none"/>
        <c:minorTickMark val="none"/>
        <c:tickLblPos val="low"/>
        <c:spPr>
          <a:noFill/>
          <a:ln w="9525" cap="flat" cmpd="sng" algn="ctr">
            <a:solidFill>
              <a:schemeClr val="bg1">
                <a:lumMod val="50000"/>
              </a:schemeClr>
            </a:solidFill>
            <a:round/>
          </a:ln>
          <a:effectLst/>
        </c:spPr>
        <c:txPr>
          <a:bodyPr rot="-5400000" spcFirstLastPara="1" vertOverflow="ellipsis"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0003584"/>
        <c:crosses val="autoZero"/>
        <c:auto val="1"/>
        <c:lblAlgn val="ctr"/>
        <c:lblOffset val="100"/>
        <c:noMultiLvlLbl val="0"/>
      </c:catAx>
      <c:valAx>
        <c:axId val="12000358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0002048"/>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66AF-42B6-A278-E5CE5B68D333}"/>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2-66AF-42B6-A278-E5CE5B68D333}"/>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3-66AF-42B6-A278-E5CE5B68D333}"/>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4-66AF-42B6-A278-E5CE5B68D333}"/>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5-66AF-42B6-A278-E5CE5B68D333}"/>
              </c:ext>
            </c:extLst>
          </c:dPt>
          <c:dLbls>
            <c:dLbl>
              <c:idx val="4"/>
              <c:layout>
                <c:manualLayout>
                  <c:x val="0.10862069457058073"/>
                  <c:y val="-1.3888888888888888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6AF-42B6-A278-E5CE5B68D33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Analysis!$B$1268:$B$1272</c:f>
              <c:strCache>
                <c:ptCount val="5"/>
                <c:pt idx="0">
                  <c:v>1 GHz</c:v>
                </c:pt>
                <c:pt idx="1">
                  <c:v>870 MHz</c:v>
                </c:pt>
                <c:pt idx="2">
                  <c:v>750 MHz</c:v>
                </c:pt>
                <c:pt idx="3">
                  <c:v>550 MHz</c:v>
                </c:pt>
                <c:pt idx="4">
                  <c:v>Gpon</c:v>
                </c:pt>
              </c:strCache>
            </c:strRef>
          </c:cat>
          <c:val>
            <c:numRef>
              <c:f>Analysis!$C$1268:$C$1272</c:f>
              <c:numCache>
                <c:formatCode>0.0%</c:formatCode>
                <c:ptCount val="5"/>
                <c:pt idx="0">
                  <c:v>0.61799999999999999</c:v>
                </c:pt>
                <c:pt idx="1">
                  <c:v>0.157</c:v>
                </c:pt>
                <c:pt idx="2">
                  <c:v>0.20499999999999999</c:v>
                </c:pt>
                <c:pt idx="3">
                  <c:v>1.2E-2</c:v>
                </c:pt>
                <c:pt idx="4">
                  <c:v>7.0000000000000001E-3</c:v>
                </c:pt>
              </c:numCache>
            </c:numRef>
          </c:val>
          <c:extLst>
            <c:ext xmlns:c16="http://schemas.microsoft.com/office/drawing/2014/chart" uri="{C3380CC4-5D6E-409C-BE32-E72D297353CC}">
              <c16:uniqueId val="{00000000-66AF-42B6-A278-E5CE5B68D333}"/>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E70F-4C0B-9716-DFEEAA347D81}"/>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E70F-4C0B-9716-DFEEAA347D81}"/>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5-E70F-4C0B-9716-DFEEAA347D81}"/>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7-E70F-4C0B-9716-DFEEAA347D81}"/>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9-E70F-4C0B-9716-DFEEAA347D81}"/>
              </c:ext>
            </c:extLst>
          </c:dPt>
          <c:dLbls>
            <c:dLbl>
              <c:idx val="4"/>
              <c:layout>
                <c:manualLayout>
                  <c:x val="0.10862069457058073"/>
                  <c:y val="-1.3888888888888888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70F-4C0B-9716-DFEEAA347D81}"/>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Analysis!$B$1275:$B$1277</c:f>
              <c:strCache>
                <c:ptCount val="3"/>
                <c:pt idx="0">
                  <c:v>1 GHz</c:v>
                </c:pt>
                <c:pt idx="1">
                  <c:v>870 MHz</c:v>
                </c:pt>
                <c:pt idx="2">
                  <c:v>&lt; 870 MHz</c:v>
                </c:pt>
              </c:strCache>
            </c:strRef>
          </c:cat>
          <c:val>
            <c:numRef>
              <c:f>Analysis!$C$1275:$C$1277</c:f>
              <c:numCache>
                <c:formatCode>0%</c:formatCode>
                <c:ptCount val="3"/>
                <c:pt idx="0">
                  <c:v>0.57999999999999996</c:v>
                </c:pt>
                <c:pt idx="1">
                  <c:v>0.26</c:v>
                </c:pt>
                <c:pt idx="2">
                  <c:v>0.16000000000000003</c:v>
                </c:pt>
              </c:numCache>
            </c:numRef>
          </c:val>
          <c:extLst>
            <c:ext xmlns:c16="http://schemas.microsoft.com/office/drawing/2014/chart" uri="{C3380CC4-5D6E-409C-BE32-E72D297353CC}">
              <c16:uniqueId val="{0000000A-E70F-4C0B-9716-DFEEAA347D81}"/>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Analysis!$B$1376</c:f>
              <c:strCache>
                <c:ptCount val="1"/>
                <c:pt idx="0">
                  <c:v>FT</c:v>
                </c:pt>
              </c:strCache>
            </c:strRef>
          </c:tx>
          <c:spPr>
            <a:ln w="25400" cap="rnd">
              <a:solidFill>
                <a:srgbClr val="333399"/>
              </a:solidFill>
              <a:prstDash val="solid"/>
              <a:round/>
            </a:ln>
            <a:effectLst/>
          </c:spPr>
          <c:marker>
            <c:symbol val="none"/>
          </c:marker>
          <c:cat>
            <c:numRef>
              <c:f>Analysis!$C$1375:$Q$1375</c:f>
              <c:numCache>
                <c:formatCode>General</c:formatCode>
                <c:ptCount val="1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numCache>
            </c:numRef>
          </c:cat>
          <c:val>
            <c:numRef>
              <c:f>Analysis!$C$1376:$Q$1376</c:f>
              <c:numCache>
                <c:formatCode>0%</c:formatCode>
                <c:ptCount val="15"/>
                <c:pt idx="0">
                  <c:v>0.86046511627906974</c:v>
                </c:pt>
                <c:pt idx="1">
                  <c:v>0.70049680624556421</c:v>
                </c:pt>
                <c:pt idx="2">
                  <c:v>0.54791929382093318</c:v>
                </c:pt>
                <c:pt idx="3">
                  <c:v>0.47686481146056314</c:v>
                </c:pt>
                <c:pt idx="4">
                  <c:v>0.47014767932489454</c:v>
                </c:pt>
                <c:pt idx="5">
                  <c:v>0.46670874092773745</c:v>
                </c:pt>
                <c:pt idx="6">
                  <c:v>0.4685685221032671</c:v>
                </c:pt>
                <c:pt idx="7">
                  <c:v>0.46693785039534108</c:v>
                </c:pt>
                <c:pt idx="8">
                  <c:v>0.45130100232864229</c:v>
                </c:pt>
                <c:pt idx="9">
                  <c:v>0.43352418013123206</c:v>
                </c:pt>
                <c:pt idx="10">
                  <c:v>0.42182991069587322</c:v>
                </c:pt>
                <c:pt idx="11">
                  <c:v>0.41234533343073554</c:v>
                </c:pt>
                <c:pt idx="12">
                  <c:v>0.40383521121757304</c:v>
                </c:pt>
                <c:pt idx="13">
                  <c:v>0.40154614718388248</c:v>
                </c:pt>
                <c:pt idx="14">
                  <c:v>0.40077270227540451</c:v>
                </c:pt>
              </c:numCache>
            </c:numRef>
          </c:val>
          <c:smooth val="0"/>
          <c:extLst>
            <c:ext xmlns:c16="http://schemas.microsoft.com/office/drawing/2014/chart" uri="{C3380CC4-5D6E-409C-BE32-E72D297353CC}">
              <c16:uniqueId val="{00000000-AEB0-4EEF-A447-8404EDBCE799}"/>
            </c:ext>
          </c:extLst>
        </c:ser>
        <c:ser>
          <c:idx val="1"/>
          <c:order val="1"/>
          <c:tx>
            <c:strRef>
              <c:f>Analysis!$B$1377</c:f>
              <c:strCache>
                <c:ptCount val="1"/>
                <c:pt idx="0">
                  <c:v>Iliad</c:v>
                </c:pt>
              </c:strCache>
            </c:strRef>
          </c:tx>
          <c:spPr>
            <a:ln w="25400" cap="rnd">
              <a:solidFill>
                <a:srgbClr val="99CCFF"/>
              </a:solidFill>
              <a:prstDash val="solid"/>
              <a:round/>
            </a:ln>
            <a:effectLst/>
          </c:spPr>
          <c:marker>
            <c:symbol val="none"/>
          </c:marker>
          <c:cat>
            <c:numRef>
              <c:f>Analysis!$C$1375:$Q$1375</c:f>
              <c:numCache>
                <c:formatCode>General</c:formatCode>
                <c:ptCount val="1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numCache>
            </c:numRef>
          </c:cat>
          <c:val>
            <c:numRef>
              <c:f>Analysis!$C$1377:$Q$1377</c:f>
              <c:numCache>
                <c:formatCode>0%</c:formatCode>
                <c:ptCount val="15"/>
                <c:pt idx="0">
                  <c:v>4.6511627906976744E-2</c:v>
                </c:pt>
                <c:pt idx="1">
                  <c:v>7.0333569907735982E-2</c:v>
                </c:pt>
                <c:pt idx="2">
                  <c:v>0.15290037831021439</c:v>
                </c:pt>
                <c:pt idx="3">
                  <c:v>0.1752017124979417</c:v>
                </c:pt>
                <c:pt idx="4">
                  <c:v>0.16824894514767932</c:v>
                </c:pt>
                <c:pt idx="5">
                  <c:v>0.17970968759861156</c:v>
                </c:pt>
                <c:pt idx="6">
                  <c:v>0.18642594714178484</c:v>
                </c:pt>
                <c:pt idx="7">
                  <c:v>0.18953795364592296</c:v>
                </c:pt>
                <c:pt idx="8">
                  <c:v>0.19125240457628834</c:v>
                </c:pt>
                <c:pt idx="9">
                  <c:v>0.21407085958560296</c:v>
                </c:pt>
                <c:pt idx="10">
                  <c:v>0.21373597042469061</c:v>
                </c:pt>
                <c:pt idx="11">
                  <c:v>0.22355168471017439</c:v>
                </c:pt>
                <c:pt idx="12">
                  <c:v>0.2253295005210835</c:v>
                </c:pt>
                <c:pt idx="13">
                  <c:v>0.22757125668099501</c:v>
                </c:pt>
                <c:pt idx="14">
                  <c:v>0.22917298738274949</c:v>
                </c:pt>
              </c:numCache>
            </c:numRef>
          </c:val>
          <c:smooth val="0"/>
          <c:extLst>
            <c:ext xmlns:c16="http://schemas.microsoft.com/office/drawing/2014/chart" uri="{C3380CC4-5D6E-409C-BE32-E72D297353CC}">
              <c16:uniqueId val="{00000001-AEB0-4EEF-A447-8404EDBCE799}"/>
            </c:ext>
          </c:extLst>
        </c:ser>
        <c:ser>
          <c:idx val="2"/>
          <c:order val="2"/>
          <c:tx>
            <c:strRef>
              <c:f>Analysis!$B$1378</c:f>
              <c:strCache>
                <c:ptCount val="1"/>
                <c:pt idx="0">
                  <c:v>Other, inc cable</c:v>
                </c:pt>
              </c:strCache>
            </c:strRef>
          </c:tx>
          <c:spPr>
            <a:ln w="25400" cap="rnd">
              <a:solidFill>
                <a:srgbClr val="333399"/>
              </a:solidFill>
              <a:prstDash val="lgDash"/>
              <a:round/>
            </a:ln>
            <a:effectLst/>
          </c:spPr>
          <c:marker>
            <c:symbol val="none"/>
          </c:marker>
          <c:cat>
            <c:numRef>
              <c:f>Analysis!$C$1375:$Q$1375</c:f>
              <c:numCache>
                <c:formatCode>General</c:formatCode>
                <c:ptCount val="1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numCache>
            </c:numRef>
          </c:cat>
          <c:val>
            <c:numRef>
              <c:f>Analysis!$C$1378:$Q$1378</c:f>
              <c:numCache>
                <c:formatCode>0%</c:formatCode>
                <c:ptCount val="15"/>
                <c:pt idx="0">
                  <c:v>9.3023255813953543E-2</c:v>
                </c:pt>
                <c:pt idx="1">
                  <c:v>0.22916962384669981</c:v>
                </c:pt>
                <c:pt idx="2">
                  <c:v>0.2991803278688524</c:v>
                </c:pt>
                <c:pt idx="3">
                  <c:v>0.34793347604149516</c:v>
                </c:pt>
                <c:pt idx="4">
                  <c:v>0.36160337552742616</c:v>
                </c:pt>
                <c:pt idx="5">
                  <c:v>0.35358157147365105</c:v>
                </c:pt>
                <c:pt idx="6">
                  <c:v>0.34500553075494805</c:v>
                </c:pt>
                <c:pt idx="7">
                  <c:v>0.34352419595873596</c:v>
                </c:pt>
                <c:pt idx="8">
                  <c:v>0.35744659309506938</c:v>
                </c:pt>
                <c:pt idx="9">
                  <c:v>0.35240496028316504</c:v>
                </c:pt>
                <c:pt idx="10">
                  <c:v>0.36443411887943616</c:v>
                </c:pt>
                <c:pt idx="11">
                  <c:v>0.36410298185909007</c:v>
                </c:pt>
                <c:pt idx="12">
                  <c:v>0.37083528826134349</c:v>
                </c:pt>
                <c:pt idx="13">
                  <c:v>0.37088259613512253</c:v>
                </c:pt>
                <c:pt idx="14">
                  <c:v>0.37005431034184599</c:v>
                </c:pt>
              </c:numCache>
            </c:numRef>
          </c:val>
          <c:smooth val="0"/>
          <c:extLst>
            <c:ext xmlns:c16="http://schemas.microsoft.com/office/drawing/2014/chart" uri="{C3380CC4-5D6E-409C-BE32-E72D297353CC}">
              <c16:uniqueId val="{00000002-AEB0-4EEF-A447-8404EDBCE799}"/>
            </c:ext>
          </c:extLst>
        </c:ser>
        <c:dLbls>
          <c:showLegendKey val="0"/>
          <c:showVal val="0"/>
          <c:showCatName val="0"/>
          <c:showSerName val="0"/>
          <c:showPercent val="0"/>
          <c:showBubbleSize val="0"/>
        </c:dLbls>
        <c:smooth val="0"/>
        <c:axId val="119877632"/>
        <c:axId val="119879168"/>
      </c:lineChart>
      <c:catAx>
        <c:axId val="119877632"/>
        <c:scaling>
          <c:orientation val="minMax"/>
        </c:scaling>
        <c:delete val="0"/>
        <c:axPos val="b"/>
        <c:numFmt formatCode="General" sourceLinked="1"/>
        <c:majorTickMark val="none"/>
        <c:minorTickMark val="none"/>
        <c:tickLblPos val="low"/>
        <c:spPr>
          <a:noFill/>
          <a:ln w="9525" cap="flat" cmpd="sng" algn="ctr">
            <a:solidFill>
              <a:schemeClr val="accent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879168"/>
        <c:crosses val="autoZero"/>
        <c:auto val="1"/>
        <c:lblAlgn val="ctr"/>
        <c:lblOffset val="100"/>
        <c:noMultiLvlLbl val="0"/>
      </c:catAx>
      <c:valAx>
        <c:axId val="11987916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87763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Analysis!$B$1382</c:f>
              <c:strCache>
                <c:ptCount val="1"/>
                <c:pt idx="0">
                  <c:v>ULL</c:v>
                </c:pt>
              </c:strCache>
            </c:strRef>
          </c:tx>
          <c:spPr>
            <a:ln w="25400" cap="rnd">
              <a:solidFill>
                <a:srgbClr val="333399"/>
              </a:solidFill>
              <a:prstDash val="solid"/>
              <a:round/>
            </a:ln>
            <a:effectLst/>
          </c:spPr>
          <c:marker>
            <c:symbol val="none"/>
          </c:marker>
          <c:cat>
            <c:numRef>
              <c:extLst>
                <c:ext xmlns:c15="http://schemas.microsoft.com/office/drawing/2012/chart" uri="{02D57815-91ED-43cb-92C2-25804820EDAC}">
                  <c15:fullRef>
                    <c15:sqref>Analysis!$C$1381:$Q$1381</c15:sqref>
                  </c15:fullRef>
                </c:ext>
              </c:extLst>
              <c:f>(Analysis!$C$1381,Analysis!$E$1381:$Q$1381)</c:f>
              <c:numCache>
                <c:formatCode>General</c:formatCode>
                <c:ptCount val="14"/>
                <c:pt idx="0">
                  <c:v>2001</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numCache>
            </c:numRef>
          </c:cat>
          <c:val>
            <c:numRef>
              <c:extLst>
                <c:ext xmlns:c15="http://schemas.microsoft.com/office/drawing/2012/chart" uri="{02D57815-91ED-43cb-92C2-25804820EDAC}">
                  <c15:fullRef>
                    <c15:sqref>Analysis!$C$1382:$Q$1382</c15:sqref>
                  </c15:fullRef>
                </c:ext>
              </c:extLst>
              <c:f>(Analysis!$C$1382,Analysis!$E$1382:$Q$1382)</c:f>
              <c:numCache>
                <c:formatCode>General</c:formatCode>
                <c:ptCount val="14"/>
                <c:pt idx="0">
                  <c:v>0</c:v>
                </c:pt>
                <c:pt idx="1">
                  <c:v>163</c:v>
                </c:pt>
                <c:pt idx="2">
                  <c:v>566</c:v>
                </c:pt>
                <c:pt idx="3">
                  <c:v>1120</c:v>
                </c:pt>
                <c:pt idx="4">
                  <c:v>1730</c:v>
                </c:pt>
                <c:pt idx="5">
                  <c:v>2366</c:v>
                </c:pt>
                <c:pt idx="6">
                  <c:v>2900.9839999999999</c:v>
                </c:pt>
                <c:pt idx="7">
                  <c:v>3226.4119999999998</c:v>
                </c:pt>
                <c:pt idx="8">
                  <c:v>4044.328</c:v>
                </c:pt>
                <c:pt idx="9">
                  <c:v>4470.7780000000002</c:v>
                </c:pt>
                <c:pt idx="10">
                  <c:v>5047.5239999999994</c:v>
                </c:pt>
                <c:pt idx="11">
                  <c:v>5346.7199999999993</c:v>
                </c:pt>
                <c:pt idx="12">
                  <c:v>5656.7519999999995</c:v>
                </c:pt>
                <c:pt idx="13">
                  <c:v>5966.1359999999995</c:v>
                </c:pt>
              </c:numCache>
            </c:numRef>
          </c:val>
          <c:smooth val="0"/>
          <c:extLst>
            <c:ext xmlns:c16="http://schemas.microsoft.com/office/drawing/2014/chart" uri="{C3380CC4-5D6E-409C-BE32-E72D297353CC}">
              <c16:uniqueId val="{00000000-1A38-4C60-B53C-71D8402672D3}"/>
            </c:ext>
          </c:extLst>
        </c:ser>
        <c:ser>
          <c:idx val="1"/>
          <c:order val="1"/>
          <c:tx>
            <c:strRef>
              <c:f>Analysis!$B$1383</c:f>
              <c:strCache>
                <c:ptCount val="1"/>
                <c:pt idx="0">
                  <c:v>Wholesale/bitstream</c:v>
                </c:pt>
              </c:strCache>
            </c:strRef>
          </c:tx>
          <c:spPr>
            <a:ln w="25400" cap="rnd">
              <a:solidFill>
                <a:srgbClr val="99CCFF"/>
              </a:solidFill>
              <a:prstDash val="solid"/>
              <a:round/>
            </a:ln>
            <a:effectLst/>
          </c:spPr>
          <c:marker>
            <c:symbol val="none"/>
          </c:marker>
          <c:cat>
            <c:numRef>
              <c:extLst>
                <c:ext xmlns:c15="http://schemas.microsoft.com/office/drawing/2012/chart" uri="{02D57815-91ED-43cb-92C2-25804820EDAC}">
                  <c15:fullRef>
                    <c15:sqref>Analysis!$C$1381:$Q$1381</c15:sqref>
                  </c15:fullRef>
                </c:ext>
              </c:extLst>
              <c:f>(Analysis!$C$1381,Analysis!$E$1381:$Q$1381)</c:f>
              <c:numCache>
                <c:formatCode>General</c:formatCode>
                <c:ptCount val="14"/>
                <c:pt idx="0">
                  <c:v>2001</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numCache>
            </c:numRef>
          </c:cat>
          <c:val>
            <c:numRef>
              <c:extLst>
                <c:ext xmlns:c15="http://schemas.microsoft.com/office/drawing/2012/chart" uri="{02D57815-91ED-43cb-92C2-25804820EDAC}">
                  <c15:fullRef>
                    <c15:sqref>Analysis!$C$1383:$Q$1383</c15:sqref>
                  </c15:fullRef>
                </c:ext>
              </c:extLst>
              <c:f>(Analysis!$C$1383,Analysis!$E$1383:$Q$1383)</c:f>
              <c:numCache>
                <c:formatCode>General</c:formatCode>
                <c:ptCount val="14"/>
                <c:pt idx="0">
                  <c:v>20</c:v>
                </c:pt>
                <c:pt idx="1">
                  <c:v>322</c:v>
                </c:pt>
                <c:pt idx="2">
                  <c:v>498</c:v>
                </c:pt>
                <c:pt idx="3">
                  <c:v>475</c:v>
                </c:pt>
                <c:pt idx="4">
                  <c:v>548</c:v>
                </c:pt>
                <c:pt idx="5">
                  <c:v>538</c:v>
                </c:pt>
                <c:pt idx="6">
                  <c:v>488.01600000000008</c:v>
                </c:pt>
                <c:pt idx="7">
                  <c:v>551.58800000000019</c:v>
                </c:pt>
                <c:pt idx="8">
                  <c:v>489.67200000000003</c:v>
                </c:pt>
                <c:pt idx="9">
                  <c:v>378.22199999999975</c:v>
                </c:pt>
                <c:pt idx="10">
                  <c:v>316.47600000000057</c:v>
                </c:pt>
                <c:pt idx="11">
                  <c:v>293.28000000000065</c:v>
                </c:pt>
                <c:pt idx="12">
                  <c:v>211.2480000000005</c:v>
                </c:pt>
                <c:pt idx="13">
                  <c:v>171.86400000000049</c:v>
                </c:pt>
              </c:numCache>
            </c:numRef>
          </c:val>
          <c:smooth val="0"/>
          <c:extLst>
            <c:ext xmlns:c16="http://schemas.microsoft.com/office/drawing/2014/chart" uri="{C3380CC4-5D6E-409C-BE32-E72D297353CC}">
              <c16:uniqueId val="{00000001-1A38-4C60-B53C-71D8402672D3}"/>
            </c:ext>
          </c:extLst>
        </c:ser>
        <c:dLbls>
          <c:showLegendKey val="0"/>
          <c:showVal val="0"/>
          <c:showCatName val="0"/>
          <c:showSerName val="0"/>
          <c:showPercent val="0"/>
          <c:showBubbleSize val="0"/>
        </c:dLbls>
        <c:smooth val="0"/>
        <c:axId val="119918976"/>
        <c:axId val="119920512"/>
      </c:lineChart>
      <c:catAx>
        <c:axId val="119918976"/>
        <c:scaling>
          <c:orientation val="minMax"/>
        </c:scaling>
        <c:delete val="0"/>
        <c:axPos val="b"/>
        <c:numFmt formatCode="General" sourceLinked="1"/>
        <c:majorTickMark val="none"/>
        <c:minorTickMark val="none"/>
        <c:tickLblPos val="low"/>
        <c:spPr>
          <a:noFill/>
          <a:ln w="9525" cap="flat" cmpd="sng" algn="ctr">
            <a:solidFill>
              <a:schemeClr val="accent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920512"/>
        <c:crosses val="autoZero"/>
        <c:auto val="1"/>
        <c:lblAlgn val="ctr"/>
        <c:lblOffset val="100"/>
        <c:noMultiLvlLbl val="0"/>
      </c:catAx>
      <c:valAx>
        <c:axId val="119920512"/>
        <c:scaling>
          <c:orientation val="minMax"/>
        </c:scaling>
        <c:delete val="0"/>
        <c:axPos val="l"/>
        <c:majorGridlines>
          <c:spPr>
            <a:ln w="3175" cap="flat" cmpd="sng" algn="ctr">
              <a:solidFill>
                <a:srgbClr val="C0C0C0"/>
              </a:solidFill>
              <a:prstDash val="solid"/>
              <a:round/>
            </a:ln>
            <a:effectLst/>
          </c:spPr>
        </c:majorGridlines>
        <c:numFmt formatCode="#,##0" sourceLinked="0"/>
        <c:majorTickMark val="none"/>
        <c:minorTickMark val="none"/>
        <c:tickLblPos val="nextTo"/>
        <c:spPr>
          <a:noFill/>
          <a:ln>
            <a:solidFill>
              <a:schemeClr val="accent1"/>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991897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dPt>
            <c:idx val="10"/>
            <c:invertIfNegative val="0"/>
            <c:bubble3D val="0"/>
            <c:spPr>
              <a:solidFill>
                <a:srgbClr val="FF0000"/>
              </a:solidFill>
              <a:ln w="25400">
                <a:noFill/>
              </a:ln>
              <a:effectLst/>
            </c:spPr>
            <c:extLst>
              <c:ext xmlns:c16="http://schemas.microsoft.com/office/drawing/2014/chart" uri="{C3380CC4-5D6E-409C-BE32-E72D297353CC}">
                <c16:uniqueId val="{00000000-DD3A-426B-B123-824FEF54F8FB}"/>
              </c:ext>
            </c:extLst>
          </c:dPt>
          <c:cat>
            <c:strRef>
              <c:f>Analysis!$C$1418:$C$1429</c:f>
              <c:strCache>
                <c:ptCount val="12"/>
                <c:pt idx="0">
                  <c:v>UK</c:v>
                </c:pt>
                <c:pt idx="1">
                  <c:v>US</c:v>
                </c:pt>
                <c:pt idx="2">
                  <c:v>Australia</c:v>
                </c:pt>
                <c:pt idx="3">
                  <c:v>Japan</c:v>
                </c:pt>
                <c:pt idx="4">
                  <c:v>Brazil</c:v>
                </c:pt>
                <c:pt idx="5">
                  <c:v>Canada</c:v>
                </c:pt>
                <c:pt idx="6">
                  <c:v>Germany</c:v>
                </c:pt>
                <c:pt idx="7">
                  <c:v>France</c:v>
                </c:pt>
                <c:pt idx="8">
                  <c:v>China</c:v>
                </c:pt>
                <c:pt idx="9">
                  <c:v>Italy</c:v>
                </c:pt>
                <c:pt idx="10">
                  <c:v>Mexico</c:v>
                </c:pt>
                <c:pt idx="11">
                  <c:v>India</c:v>
                </c:pt>
              </c:strCache>
            </c:strRef>
          </c:cat>
          <c:val>
            <c:numRef>
              <c:f>Analysis!$D$1418:$D$1429</c:f>
              <c:numCache>
                <c:formatCode>0.00%</c:formatCode>
                <c:ptCount val="12"/>
                <c:pt idx="0">
                  <c:v>1.0200000000000001E-2</c:v>
                </c:pt>
                <c:pt idx="1">
                  <c:v>9.7999999999999997E-3</c:v>
                </c:pt>
                <c:pt idx="2">
                  <c:v>9.4999999999999998E-3</c:v>
                </c:pt>
                <c:pt idx="3">
                  <c:v>7.7999999999999996E-3</c:v>
                </c:pt>
                <c:pt idx="4">
                  <c:v>7.1999999999999998E-3</c:v>
                </c:pt>
                <c:pt idx="5">
                  <c:v>6.8999999999999999E-3</c:v>
                </c:pt>
                <c:pt idx="6">
                  <c:v>6.1999999999999998E-3</c:v>
                </c:pt>
                <c:pt idx="7">
                  <c:v>5.7000000000000002E-3</c:v>
                </c:pt>
                <c:pt idx="8">
                  <c:v>5.5999999999999999E-3</c:v>
                </c:pt>
                <c:pt idx="9">
                  <c:v>4.4999999999999997E-3</c:v>
                </c:pt>
                <c:pt idx="10">
                  <c:v>4.0000000000000001E-3</c:v>
                </c:pt>
                <c:pt idx="11">
                  <c:v>3.0000000000000001E-3</c:v>
                </c:pt>
              </c:numCache>
            </c:numRef>
          </c:val>
          <c:extLst>
            <c:ext xmlns:c16="http://schemas.microsoft.com/office/drawing/2014/chart" uri="{C3380CC4-5D6E-409C-BE32-E72D297353CC}">
              <c16:uniqueId val="{00000000-2FED-4099-A613-FB2A02EAA754}"/>
            </c:ext>
          </c:extLst>
        </c:ser>
        <c:dLbls>
          <c:showLegendKey val="0"/>
          <c:showVal val="0"/>
          <c:showCatName val="0"/>
          <c:showSerName val="0"/>
          <c:showPercent val="0"/>
          <c:showBubbleSize val="0"/>
        </c:dLbls>
        <c:gapWidth val="219"/>
        <c:overlap val="-27"/>
        <c:axId val="729580432"/>
        <c:axId val="638538640"/>
      </c:barChart>
      <c:catAx>
        <c:axId val="729580432"/>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38538640"/>
        <c:crosses val="autoZero"/>
        <c:auto val="1"/>
        <c:lblAlgn val="ctr"/>
        <c:lblOffset val="100"/>
        <c:noMultiLvlLbl val="0"/>
      </c:catAx>
      <c:valAx>
        <c:axId val="638538640"/>
        <c:scaling>
          <c:orientation val="minMax"/>
        </c:scaling>
        <c:delete val="0"/>
        <c:axPos val="l"/>
        <c:majorGridlines>
          <c:spPr>
            <a:ln w="3175" cap="flat" cmpd="sng" algn="ctr">
              <a:solidFill>
                <a:srgbClr val="C0C0C0"/>
              </a:solidFill>
              <a:prstDash val="solid"/>
              <a:round/>
            </a:ln>
            <a:effectLst/>
          </c:spPr>
        </c:majorGridlines>
        <c:numFmt formatCode="0.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29580432"/>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5400" cap="rnd">
              <a:solidFill>
                <a:srgbClr val="333399"/>
              </a:solidFill>
              <a:prstDash val="solid"/>
              <a:round/>
            </a:ln>
            <a:effectLst/>
          </c:spPr>
          <c:marker>
            <c:symbol val="none"/>
          </c:marker>
          <c:cat>
            <c:numRef>
              <c:f>Analysis!$C$1404:$AA$1404</c:f>
              <c:numCache>
                <c:formatCode>General</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cat>
          <c:val>
            <c:numRef>
              <c:f>Analysis!$C$1407:$AA$1407</c:f>
              <c:numCache>
                <c:formatCode>0.00%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smooth val="0"/>
          <c:extLst>
            <c:ext xmlns:c16="http://schemas.microsoft.com/office/drawing/2014/chart" uri="{C3380CC4-5D6E-409C-BE32-E72D297353CC}">
              <c16:uniqueId val="{00000000-0FC3-4807-8318-D80E7BAFAFCE}"/>
            </c:ext>
          </c:extLst>
        </c:ser>
        <c:dLbls>
          <c:showLegendKey val="0"/>
          <c:showVal val="0"/>
          <c:showCatName val="0"/>
          <c:showSerName val="0"/>
          <c:showPercent val="0"/>
          <c:showBubbleSize val="0"/>
        </c:dLbls>
        <c:smooth val="0"/>
        <c:axId val="647024672"/>
        <c:axId val="569455536"/>
      </c:lineChart>
      <c:catAx>
        <c:axId val="647024672"/>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569455536"/>
        <c:crosses val="autoZero"/>
        <c:auto val="1"/>
        <c:lblAlgn val="ctr"/>
        <c:lblOffset val="100"/>
        <c:noMultiLvlLbl val="0"/>
      </c:catAx>
      <c:valAx>
        <c:axId val="569455536"/>
        <c:scaling>
          <c:orientation val="minMax"/>
        </c:scaling>
        <c:delete val="0"/>
        <c:axPos val="l"/>
        <c:majorGridlines>
          <c:spPr>
            <a:ln w="3175" cap="flat" cmpd="sng" algn="ctr">
              <a:solidFill>
                <a:srgbClr val="C0C0C0"/>
              </a:solidFill>
              <a:prstDash val="solid"/>
              <a:round/>
            </a:ln>
            <a:effectLst/>
          </c:spPr>
        </c:majorGridlines>
        <c:numFmt formatCode="0.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47024672"/>
        <c:crosses val="autoZero"/>
        <c:crossBetween val="between"/>
      </c:valAx>
      <c:spPr>
        <a:noFill/>
        <a:ln w="25400">
          <a:noFill/>
        </a:ln>
        <a:effectLst/>
      </c:spPr>
    </c:plotArea>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20138094772453"/>
          <c:y val="5.5495482898095673E-2"/>
          <c:w val="0.82140854033278332"/>
          <c:h val="0.69229839947784633"/>
        </c:manualLayout>
      </c:layout>
      <c:lineChart>
        <c:grouping val="standard"/>
        <c:varyColors val="0"/>
        <c:ser>
          <c:idx val="0"/>
          <c:order val="0"/>
          <c:tx>
            <c:strRef>
              <c:f>Analysis!$B$1478</c:f>
              <c:strCache>
                <c:ptCount val="1"/>
                <c:pt idx="0">
                  <c:v>Ad</c:v>
                </c:pt>
              </c:strCache>
            </c:strRef>
          </c:tx>
          <c:spPr>
            <a:ln w="25400" cap="rnd">
              <a:solidFill>
                <a:srgbClr val="333399"/>
              </a:solidFill>
              <a:prstDash val="solid"/>
              <a:round/>
            </a:ln>
            <a:effectLst/>
          </c:spPr>
          <c:marker>
            <c:symbol val="none"/>
          </c:marker>
          <c:cat>
            <c:numRef>
              <c:f>Analysis!$C$1477:$G$1477</c:f>
              <c:numCache>
                <c:formatCode>General</c:formatCode>
                <c:ptCount val="5"/>
                <c:pt idx="0">
                  <c:v>2017</c:v>
                </c:pt>
                <c:pt idx="1">
                  <c:v>2018</c:v>
                </c:pt>
                <c:pt idx="2">
                  <c:v>2019</c:v>
                </c:pt>
                <c:pt idx="3">
                  <c:v>2020</c:v>
                </c:pt>
                <c:pt idx="4">
                  <c:v>2021</c:v>
                </c:pt>
              </c:numCache>
            </c:numRef>
          </c:cat>
          <c:val>
            <c:numRef>
              <c:f>Analysis!$C$1478:$G$1478</c:f>
              <c:numCache>
                <c:formatCode>0.0%</c:formatCode>
                <c:ptCount val="5"/>
                <c:pt idx="0">
                  <c:v>-0.10783182334906471</c:v>
                </c:pt>
                <c:pt idx="1">
                  <c:v>2.1043486654761301E-2</c:v>
                </c:pt>
                <c:pt idx="2">
                  <c:v>-8.1994800283620828E-2</c:v>
                </c:pt>
                <c:pt idx="3">
                  <c:v>-0.15811208831949919</c:v>
                </c:pt>
                <c:pt idx="4">
                  <c:v>0.17200210400127225</c:v>
                </c:pt>
              </c:numCache>
            </c:numRef>
          </c:val>
          <c:smooth val="0"/>
          <c:extLst>
            <c:ext xmlns:c16="http://schemas.microsoft.com/office/drawing/2014/chart" uri="{C3380CC4-5D6E-409C-BE32-E72D297353CC}">
              <c16:uniqueId val="{00000000-2309-43C5-BA24-4BF385EBF49D}"/>
            </c:ext>
          </c:extLst>
        </c:ser>
        <c:ser>
          <c:idx val="1"/>
          <c:order val="1"/>
          <c:tx>
            <c:strRef>
              <c:f>Analysis!$B$1479</c:f>
              <c:strCache>
                <c:ptCount val="1"/>
                <c:pt idx="0">
                  <c:v>Total Content</c:v>
                </c:pt>
              </c:strCache>
            </c:strRef>
          </c:tx>
          <c:spPr>
            <a:ln w="25400" cap="rnd">
              <a:solidFill>
                <a:srgbClr val="99CCFF"/>
              </a:solidFill>
              <a:prstDash val="solid"/>
              <a:round/>
            </a:ln>
            <a:effectLst/>
          </c:spPr>
          <c:marker>
            <c:symbol val="none"/>
          </c:marker>
          <c:cat>
            <c:numRef>
              <c:f>Analysis!$C$1477:$G$1477</c:f>
              <c:numCache>
                <c:formatCode>General</c:formatCode>
                <c:ptCount val="5"/>
                <c:pt idx="0">
                  <c:v>2017</c:v>
                </c:pt>
                <c:pt idx="1">
                  <c:v>2018</c:v>
                </c:pt>
                <c:pt idx="2">
                  <c:v>2019</c:v>
                </c:pt>
                <c:pt idx="3">
                  <c:v>2020</c:v>
                </c:pt>
                <c:pt idx="4">
                  <c:v>2021</c:v>
                </c:pt>
              </c:numCache>
            </c:numRef>
          </c:cat>
          <c:val>
            <c:numRef>
              <c:f>Analysis!$C$1479:$G$1479</c:f>
              <c:numCache>
                <c:formatCode>0.0%</c:formatCode>
                <c:ptCount val="5"/>
                <c:pt idx="0">
                  <c:v>-7.331539767817763E-2</c:v>
                </c:pt>
                <c:pt idx="1">
                  <c:v>7.4124187428302513E-2</c:v>
                </c:pt>
                <c:pt idx="2">
                  <c:v>-4.7145165265492728E-2</c:v>
                </c:pt>
                <c:pt idx="3">
                  <c:v>-6.2720934376383153E-2</c:v>
                </c:pt>
                <c:pt idx="4">
                  <c:v>0.102072793057983</c:v>
                </c:pt>
              </c:numCache>
            </c:numRef>
          </c:val>
          <c:smooth val="0"/>
          <c:extLst>
            <c:ext xmlns:c16="http://schemas.microsoft.com/office/drawing/2014/chart" uri="{C3380CC4-5D6E-409C-BE32-E72D297353CC}">
              <c16:uniqueId val="{00000001-2309-43C5-BA24-4BF385EBF49D}"/>
            </c:ext>
          </c:extLst>
        </c:ser>
        <c:ser>
          <c:idx val="2"/>
          <c:order val="2"/>
          <c:tx>
            <c:strRef>
              <c:f>Analysis!$B$1480</c:f>
              <c:strCache>
                <c:ptCount val="1"/>
                <c:pt idx="0">
                  <c:v>SKY</c:v>
                </c:pt>
              </c:strCache>
            </c:strRef>
          </c:tx>
          <c:spPr>
            <a:ln w="25400" cap="rnd">
              <a:solidFill>
                <a:srgbClr val="333399"/>
              </a:solidFill>
              <a:prstDash val="lgDash"/>
              <a:round/>
            </a:ln>
            <a:effectLst/>
          </c:spPr>
          <c:marker>
            <c:symbol val="none"/>
          </c:marker>
          <c:cat>
            <c:numRef>
              <c:f>Analysis!$C$1477:$G$1477</c:f>
              <c:numCache>
                <c:formatCode>General</c:formatCode>
                <c:ptCount val="5"/>
                <c:pt idx="0">
                  <c:v>2017</c:v>
                </c:pt>
                <c:pt idx="1">
                  <c:v>2018</c:v>
                </c:pt>
                <c:pt idx="2">
                  <c:v>2019</c:v>
                </c:pt>
                <c:pt idx="3">
                  <c:v>2020</c:v>
                </c:pt>
                <c:pt idx="4">
                  <c:v>2021</c:v>
                </c:pt>
              </c:numCache>
            </c:numRef>
          </c:cat>
          <c:val>
            <c:numRef>
              <c:f>Analysis!$C$1480:$G$1480</c:f>
              <c:numCache>
                <c:formatCode>0.0%</c:formatCode>
                <c:ptCount val="5"/>
                <c:pt idx="0">
                  <c:v>1.1658432537873908E-2</c:v>
                </c:pt>
                <c:pt idx="1">
                  <c:v>-8.7849709420192434E-3</c:v>
                </c:pt>
                <c:pt idx="2">
                  <c:v>-2.9770020907190275E-2</c:v>
                </c:pt>
                <c:pt idx="3">
                  <c:v>3.6899798566543351E-2</c:v>
                </c:pt>
                <c:pt idx="4">
                  <c:v>-4.8837345886776351E-3</c:v>
                </c:pt>
              </c:numCache>
            </c:numRef>
          </c:val>
          <c:smooth val="0"/>
          <c:extLst>
            <c:ext xmlns:c16="http://schemas.microsoft.com/office/drawing/2014/chart" uri="{C3380CC4-5D6E-409C-BE32-E72D297353CC}">
              <c16:uniqueId val="{00000002-2309-43C5-BA24-4BF385EBF49D}"/>
            </c:ext>
          </c:extLst>
        </c:ser>
        <c:ser>
          <c:idx val="3"/>
          <c:order val="3"/>
          <c:tx>
            <c:strRef>
              <c:f>Analysis!$B$1481</c:f>
              <c:strCache>
                <c:ptCount val="1"/>
                <c:pt idx="0">
                  <c:v>Cable</c:v>
                </c:pt>
              </c:strCache>
            </c:strRef>
          </c:tx>
          <c:spPr>
            <a:ln w="25400" cap="rnd">
              <a:solidFill>
                <a:srgbClr val="99CCFF"/>
              </a:solidFill>
              <a:prstDash val="lgDash"/>
              <a:round/>
            </a:ln>
            <a:effectLst/>
          </c:spPr>
          <c:marker>
            <c:symbol val="none"/>
          </c:marker>
          <c:cat>
            <c:numRef>
              <c:f>Analysis!$C$1477:$G$1477</c:f>
              <c:numCache>
                <c:formatCode>General</c:formatCode>
                <c:ptCount val="5"/>
                <c:pt idx="0">
                  <c:v>2017</c:v>
                </c:pt>
                <c:pt idx="1">
                  <c:v>2018</c:v>
                </c:pt>
                <c:pt idx="2">
                  <c:v>2019</c:v>
                </c:pt>
                <c:pt idx="3">
                  <c:v>2020</c:v>
                </c:pt>
                <c:pt idx="4">
                  <c:v>2021</c:v>
                </c:pt>
              </c:numCache>
            </c:numRef>
          </c:cat>
          <c:val>
            <c:numRef>
              <c:f>Analysis!$C$1481:$G$1481</c:f>
              <c:numCache>
                <c:formatCode>0.0%</c:formatCode>
                <c:ptCount val="5"/>
                <c:pt idx="0">
                  <c:v>3.6260331874224061E-2</c:v>
                </c:pt>
                <c:pt idx="1">
                  <c:v>9.6374969740982808E-2</c:v>
                </c:pt>
                <c:pt idx="2">
                  <c:v>0.15093975105566759</c:v>
                </c:pt>
                <c:pt idx="3">
                  <c:v>8.7887871085319702E-2</c:v>
                </c:pt>
                <c:pt idx="4">
                  <c:v>5.849613486425187E-2</c:v>
                </c:pt>
              </c:numCache>
            </c:numRef>
          </c:val>
          <c:smooth val="0"/>
          <c:extLst>
            <c:ext xmlns:c16="http://schemas.microsoft.com/office/drawing/2014/chart" uri="{C3380CC4-5D6E-409C-BE32-E72D297353CC}">
              <c16:uniqueId val="{00000003-2309-43C5-BA24-4BF385EBF49D}"/>
            </c:ext>
          </c:extLst>
        </c:ser>
        <c:ser>
          <c:idx val="4"/>
          <c:order val="4"/>
          <c:tx>
            <c:strRef>
              <c:f>Analysis!$B$1482</c:f>
              <c:strCache>
                <c:ptCount val="1"/>
                <c:pt idx="0">
                  <c:v>Group</c:v>
                </c:pt>
              </c:strCache>
            </c:strRef>
          </c:tx>
          <c:spPr>
            <a:ln w="25400" cap="rnd">
              <a:solidFill>
                <a:srgbClr val="333399"/>
              </a:solidFill>
              <a:prstDash val="sysDash"/>
              <a:round/>
            </a:ln>
            <a:effectLst/>
          </c:spPr>
          <c:marker>
            <c:symbol val="none"/>
          </c:marker>
          <c:cat>
            <c:numRef>
              <c:f>Analysis!$C$1477:$G$1477</c:f>
              <c:numCache>
                <c:formatCode>General</c:formatCode>
                <c:ptCount val="5"/>
                <c:pt idx="0">
                  <c:v>2017</c:v>
                </c:pt>
                <c:pt idx="1">
                  <c:v>2018</c:v>
                </c:pt>
                <c:pt idx="2">
                  <c:v>2019</c:v>
                </c:pt>
                <c:pt idx="3">
                  <c:v>2020</c:v>
                </c:pt>
                <c:pt idx="4">
                  <c:v>2021</c:v>
                </c:pt>
              </c:numCache>
            </c:numRef>
          </c:cat>
          <c:val>
            <c:numRef>
              <c:f>Analysis!$C$1482:$G$1482</c:f>
              <c:numCache>
                <c:formatCode>0.0%</c:formatCode>
                <c:ptCount val="5"/>
                <c:pt idx="0">
                  <c:v>-2.0899930832071423E-2</c:v>
                </c:pt>
                <c:pt idx="1">
                  <c:v>7.4622116149562379E-2</c:v>
                </c:pt>
                <c:pt idx="2">
                  <c:v>-6.5087355641101352E-3</c:v>
                </c:pt>
                <c:pt idx="3">
                  <c:v>-3.4895966839740722E-2</c:v>
                </c:pt>
                <c:pt idx="4">
                  <c:v>6.5715582833959507E-2</c:v>
                </c:pt>
              </c:numCache>
            </c:numRef>
          </c:val>
          <c:smooth val="0"/>
          <c:extLst>
            <c:ext xmlns:c16="http://schemas.microsoft.com/office/drawing/2014/chart" uri="{C3380CC4-5D6E-409C-BE32-E72D297353CC}">
              <c16:uniqueId val="{00000000-EE47-4173-A011-F5EF2DD3832A}"/>
            </c:ext>
          </c:extLst>
        </c:ser>
        <c:dLbls>
          <c:showLegendKey val="0"/>
          <c:showVal val="0"/>
          <c:showCatName val="0"/>
          <c:showSerName val="0"/>
          <c:showPercent val="0"/>
          <c:showBubbleSize val="0"/>
        </c:dLbls>
        <c:smooth val="0"/>
        <c:axId val="700227600"/>
        <c:axId val="806403840"/>
      </c:lineChart>
      <c:catAx>
        <c:axId val="700227600"/>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06403840"/>
        <c:crosses val="autoZero"/>
        <c:auto val="1"/>
        <c:lblAlgn val="ctr"/>
        <c:lblOffset val="100"/>
        <c:noMultiLvlLbl val="0"/>
      </c:catAx>
      <c:valAx>
        <c:axId val="806403840"/>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GB"/>
                  <a:t>y/y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00227600"/>
        <c:crosses val="autoZero"/>
        <c:crossBetween val="between"/>
      </c:valAx>
      <c:spPr>
        <a:noFill/>
        <a:ln w="25400">
          <a:noFill/>
        </a:ln>
        <a:effectLst/>
      </c:spPr>
    </c:plotArea>
    <c:legend>
      <c:legendPos val="b"/>
      <c:layout>
        <c:manualLayout>
          <c:xMode val="edge"/>
          <c:yMode val="edge"/>
          <c:x val="0.17983099907433539"/>
          <c:y val="0.85952284674484436"/>
          <c:w val="0.71755271905749407"/>
          <c:h val="0.14047715325515567"/>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Analysis!$B$1485</c:f>
              <c:strCache>
                <c:ptCount val="1"/>
                <c:pt idx="0">
                  <c:v>Content</c:v>
                </c:pt>
              </c:strCache>
            </c:strRef>
          </c:tx>
          <c:spPr>
            <a:ln w="25400" cap="rnd">
              <a:solidFill>
                <a:srgbClr val="333399"/>
              </a:solidFill>
              <a:prstDash val="solid"/>
              <a:round/>
            </a:ln>
            <a:effectLst/>
          </c:spPr>
          <c:marker>
            <c:symbol val="none"/>
          </c:marker>
          <c:cat>
            <c:numRef>
              <c:f>Analysis!$C$1477:$G$1477</c:f>
              <c:numCache>
                <c:formatCode>General</c:formatCode>
                <c:ptCount val="5"/>
                <c:pt idx="0">
                  <c:v>2017</c:v>
                </c:pt>
                <c:pt idx="1">
                  <c:v>2018</c:v>
                </c:pt>
                <c:pt idx="2">
                  <c:v>2019</c:v>
                </c:pt>
                <c:pt idx="3">
                  <c:v>2020</c:v>
                </c:pt>
                <c:pt idx="4">
                  <c:v>2021</c:v>
                </c:pt>
              </c:numCache>
            </c:numRef>
          </c:cat>
          <c:val>
            <c:numRef>
              <c:f>Analysis!$C$1485:$G$1485</c:f>
              <c:numCache>
                <c:formatCode>0.0%</c:formatCode>
                <c:ptCount val="5"/>
                <c:pt idx="0">
                  <c:v>-0.13039056143205863</c:v>
                </c:pt>
                <c:pt idx="1">
                  <c:v>0.15828460038986347</c:v>
                </c:pt>
                <c:pt idx="2">
                  <c:v>-0.14964658364187144</c:v>
                </c:pt>
                <c:pt idx="3">
                  <c:v>-2.1469284357188201E-2</c:v>
                </c:pt>
                <c:pt idx="4">
                  <c:v>0.1147336741958449</c:v>
                </c:pt>
              </c:numCache>
            </c:numRef>
          </c:val>
          <c:smooth val="0"/>
          <c:extLst>
            <c:ext xmlns:c16="http://schemas.microsoft.com/office/drawing/2014/chart" uri="{C3380CC4-5D6E-409C-BE32-E72D297353CC}">
              <c16:uniqueId val="{00000000-5E35-4ECB-82F3-C11FDA8B3E4A}"/>
            </c:ext>
          </c:extLst>
        </c:ser>
        <c:ser>
          <c:idx val="1"/>
          <c:order val="1"/>
          <c:tx>
            <c:strRef>
              <c:f>Analysis!$B$1486</c:f>
              <c:strCache>
                <c:ptCount val="1"/>
                <c:pt idx="0">
                  <c:v>SKY</c:v>
                </c:pt>
              </c:strCache>
            </c:strRef>
          </c:tx>
          <c:spPr>
            <a:ln w="25400" cap="rnd">
              <a:solidFill>
                <a:srgbClr val="99CCFF"/>
              </a:solidFill>
              <a:prstDash val="solid"/>
              <a:round/>
            </a:ln>
            <a:effectLst/>
          </c:spPr>
          <c:marker>
            <c:symbol val="none"/>
          </c:marker>
          <c:cat>
            <c:numRef>
              <c:f>Analysis!$C$1477:$G$1477</c:f>
              <c:numCache>
                <c:formatCode>General</c:formatCode>
                <c:ptCount val="5"/>
                <c:pt idx="0">
                  <c:v>2017</c:v>
                </c:pt>
                <c:pt idx="1">
                  <c:v>2018</c:v>
                </c:pt>
                <c:pt idx="2">
                  <c:v>2019</c:v>
                </c:pt>
                <c:pt idx="3">
                  <c:v>2020</c:v>
                </c:pt>
                <c:pt idx="4">
                  <c:v>2021</c:v>
                </c:pt>
              </c:numCache>
            </c:numRef>
          </c:cat>
          <c:val>
            <c:numRef>
              <c:f>Analysis!$C$1486:$G$1486</c:f>
              <c:numCache>
                <c:formatCode>0.0%</c:formatCode>
                <c:ptCount val="5"/>
                <c:pt idx="0">
                  <c:v>2.1063797545082696E-2</c:v>
                </c:pt>
                <c:pt idx="1">
                  <c:v>-3.3640051449490449E-2</c:v>
                </c:pt>
                <c:pt idx="2">
                  <c:v>-6.6141087334903204E-2</c:v>
                </c:pt>
                <c:pt idx="3">
                  <c:v>1.6226290976866231E-3</c:v>
                </c:pt>
                <c:pt idx="4">
                  <c:v>-6.9134613279625112E-2</c:v>
                </c:pt>
              </c:numCache>
            </c:numRef>
          </c:val>
          <c:smooth val="0"/>
          <c:extLst>
            <c:ext xmlns:c16="http://schemas.microsoft.com/office/drawing/2014/chart" uri="{C3380CC4-5D6E-409C-BE32-E72D297353CC}">
              <c16:uniqueId val="{00000001-5E35-4ECB-82F3-C11FDA8B3E4A}"/>
            </c:ext>
          </c:extLst>
        </c:ser>
        <c:ser>
          <c:idx val="2"/>
          <c:order val="2"/>
          <c:tx>
            <c:strRef>
              <c:f>Analysis!$B$1487</c:f>
              <c:strCache>
                <c:ptCount val="1"/>
                <c:pt idx="0">
                  <c:v>Cable</c:v>
                </c:pt>
              </c:strCache>
            </c:strRef>
          </c:tx>
          <c:spPr>
            <a:ln w="25400" cap="rnd">
              <a:solidFill>
                <a:srgbClr val="333399"/>
              </a:solidFill>
              <a:prstDash val="lgDash"/>
              <a:round/>
            </a:ln>
            <a:effectLst/>
          </c:spPr>
          <c:marker>
            <c:symbol val="none"/>
          </c:marker>
          <c:cat>
            <c:numRef>
              <c:f>Analysis!$C$1477:$G$1477</c:f>
              <c:numCache>
                <c:formatCode>General</c:formatCode>
                <c:ptCount val="5"/>
                <c:pt idx="0">
                  <c:v>2017</c:v>
                </c:pt>
                <c:pt idx="1">
                  <c:v>2018</c:v>
                </c:pt>
                <c:pt idx="2">
                  <c:v>2019</c:v>
                </c:pt>
                <c:pt idx="3">
                  <c:v>2020</c:v>
                </c:pt>
                <c:pt idx="4">
                  <c:v>2021</c:v>
                </c:pt>
              </c:numCache>
            </c:numRef>
          </c:cat>
          <c:val>
            <c:numRef>
              <c:f>Analysis!$C$1487:$G$1487</c:f>
              <c:numCache>
                <c:formatCode>0.0%</c:formatCode>
                <c:ptCount val="5"/>
                <c:pt idx="0">
                  <c:v>6.0357658222588206E-2</c:v>
                </c:pt>
                <c:pt idx="1">
                  <c:v>9.0345564659779054E-2</c:v>
                </c:pt>
                <c:pt idx="2">
                  <c:v>0.16303992681173618</c:v>
                </c:pt>
                <c:pt idx="3">
                  <c:v>6.1821552983481354E-2</c:v>
                </c:pt>
                <c:pt idx="4">
                  <c:v>7.3376970415328424E-2</c:v>
                </c:pt>
              </c:numCache>
            </c:numRef>
          </c:val>
          <c:smooth val="0"/>
          <c:extLst>
            <c:ext xmlns:c16="http://schemas.microsoft.com/office/drawing/2014/chart" uri="{C3380CC4-5D6E-409C-BE32-E72D297353CC}">
              <c16:uniqueId val="{00000002-5E35-4ECB-82F3-C11FDA8B3E4A}"/>
            </c:ext>
          </c:extLst>
        </c:ser>
        <c:ser>
          <c:idx val="3"/>
          <c:order val="3"/>
          <c:tx>
            <c:strRef>
              <c:f>Analysis!$B$1488</c:f>
              <c:strCache>
                <c:ptCount val="1"/>
                <c:pt idx="0">
                  <c:v>Group</c:v>
                </c:pt>
              </c:strCache>
            </c:strRef>
          </c:tx>
          <c:spPr>
            <a:ln w="25400" cap="rnd">
              <a:solidFill>
                <a:srgbClr val="99CCFF"/>
              </a:solidFill>
              <a:prstDash val="lgDash"/>
              <a:round/>
            </a:ln>
            <a:effectLst/>
          </c:spPr>
          <c:marker>
            <c:symbol val="none"/>
          </c:marker>
          <c:cat>
            <c:numRef>
              <c:f>Analysis!$C$1477:$G$1477</c:f>
              <c:numCache>
                <c:formatCode>General</c:formatCode>
                <c:ptCount val="5"/>
                <c:pt idx="0">
                  <c:v>2017</c:v>
                </c:pt>
                <c:pt idx="1">
                  <c:v>2018</c:v>
                </c:pt>
                <c:pt idx="2">
                  <c:v>2019</c:v>
                </c:pt>
                <c:pt idx="3">
                  <c:v>2020</c:v>
                </c:pt>
                <c:pt idx="4">
                  <c:v>2021</c:v>
                </c:pt>
              </c:numCache>
            </c:numRef>
          </c:cat>
          <c:val>
            <c:numRef>
              <c:f>Analysis!$C$1488:$G$1488</c:f>
              <c:numCache>
                <c:formatCode>0.0%</c:formatCode>
                <c:ptCount val="5"/>
                <c:pt idx="0">
                  <c:v>-2.3762653411916634E-2</c:v>
                </c:pt>
                <c:pt idx="1">
                  <c:v>0.11569554606467358</c:v>
                </c:pt>
                <c:pt idx="2">
                  <c:v>4.4995556770797585E-2</c:v>
                </c:pt>
                <c:pt idx="3">
                  <c:v>1.549527579863974E-2</c:v>
                </c:pt>
                <c:pt idx="4">
                  <c:v>0.12345434072913641</c:v>
                </c:pt>
              </c:numCache>
            </c:numRef>
          </c:val>
          <c:smooth val="0"/>
          <c:extLst>
            <c:ext xmlns:c16="http://schemas.microsoft.com/office/drawing/2014/chart" uri="{C3380CC4-5D6E-409C-BE32-E72D297353CC}">
              <c16:uniqueId val="{00000003-5E35-4ECB-82F3-C11FDA8B3E4A}"/>
            </c:ext>
          </c:extLst>
        </c:ser>
        <c:dLbls>
          <c:showLegendKey val="0"/>
          <c:showVal val="0"/>
          <c:showCatName val="0"/>
          <c:showSerName val="0"/>
          <c:showPercent val="0"/>
          <c:showBubbleSize val="0"/>
        </c:dLbls>
        <c:smooth val="0"/>
        <c:axId val="700227600"/>
        <c:axId val="806403840"/>
      </c:lineChart>
      <c:catAx>
        <c:axId val="700227600"/>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06403840"/>
        <c:crosses val="autoZero"/>
        <c:auto val="1"/>
        <c:lblAlgn val="ctr"/>
        <c:lblOffset val="100"/>
        <c:noMultiLvlLbl val="0"/>
      </c:catAx>
      <c:valAx>
        <c:axId val="806403840"/>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0022760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Analysis!$B$1514</c:f>
              <c:strCache>
                <c:ptCount val="1"/>
                <c:pt idx="0">
                  <c:v>Content costs - new</c:v>
                </c:pt>
              </c:strCache>
            </c:strRef>
          </c:tx>
          <c:spPr>
            <a:solidFill>
              <a:srgbClr val="000080"/>
            </a:solidFill>
            <a:ln w="25400">
              <a:noFill/>
            </a:ln>
            <a:effectLst/>
          </c:spPr>
          <c:invertIfNegative val="0"/>
          <c:cat>
            <c:numRef>
              <c:f>Analysis!$C$1513:$F$1513</c:f>
              <c:numCache>
                <c:formatCode>General</c:formatCode>
                <c:ptCount val="4"/>
                <c:pt idx="0">
                  <c:v>2017</c:v>
                </c:pt>
                <c:pt idx="1">
                  <c:v>2018</c:v>
                </c:pt>
                <c:pt idx="2">
                  <c:v>2019</c:v>
                </c:pt>
                <c:pt idx="3">
                  <c:v>2020</c:v>
                </c:pt>
              </c:numCache>
            </c:numRef>
          </c:cat>
          <c:val>
            <c:numRef>
              <c:f>Analysis!$C$1514:$F$1514</c:f>
              <c:numCache>
                <c:formatCode>#,##0</c:formatCode>
                <c:ptCount val="4"/>
                <c:pt idx="0">
                  <c:v>-43.645123714088868</c:v>
                </c:pt>
                <c:pt idx="1">
                  <c:v>135.08706108706087</c:v>
                </c:pt>
                <c:pt idx="2">
                  <c:v>-103.9532467532465</c:v>
                </c:pt>
                <c:pt idx="3">
                  <c:v>-208.50560352124614</c:v>
                </c:pt>
              </c:numCache>
            </c:numRef>
          </c:val>
          <c:extLst>
            <c:ext xmlns:c16="http://schemas.microsoft.com/office/drawing/2014/chart" uri="{C3380CC4-5D6E-409C-BE32-E72D297353CC}">
              <c16:uniqueId val="{00000000-09D4-4E88-95DA-8F8DA65B5AC8}"/>
            </c:ext>
          </c:extLst>
        </c:ser>
        <c:ser>
          <c:idx val="1"/>
          <c:order val="1"/>
          <c:tx>
            <c:strRef>
              <c:f>Analysis!$B$1515</c:f>
              <c:strCache>
                <c:ptCount val="1"/>
                <c:pt idx="0">
                  <c:v>Content costs - old</c:v>
                </c:pt>
              </c:strCache>
            </c:strRef>
          </c:tx>
          <c:spPr>
            <a:solidFill>
              <a:srgbClr val="9999FF"/>
            </a:solidFill>
            <a:ln w="25400">
              <a:noFill/>
            </a:ln>
            <a:effectLst/>
          </c:spPr>
          <c:invertIfNegative val="0"/>
          <c:cat>
            <c:numRef>
              <c:f>Analysis!$C$1513:$F$1513</c:f>
              <c:numCache>
                <c:formatCode>General</c:formatCode>
                <c:ptCount val="4"/>
                <c:pt idx="0">
                  <c:v>2017</c:v>
                </c:pt>
                <c:pt idx="1">
                  <c:v>2018</c:v>
                </c:pt>
                <c:pt idx="2">
                  <c:v>2019</c:v>
                </c:pt>
                <c:pt idx="3">
                  <c:v>2020</c:v>
                </c:pt>
              </c:numCache>
            </c:numRef>
          </c:cat>
          <c:val>
            <c:numRef>
              <c:f>Analysis!$C$1515:$F$1515</c:f>
              <c:numCache>
                <c:formatCode>0</c:formatCode>
                <c:ptCount val="4"/>
                <c:pt idx="0">
                  <c:v>-48.891678016273772</c:v>
                </c:pt>
                <c:pt idx="1">
                  <c:v>16.039953971715931</c:v>
                </c:pt>
                <c:pt idx="2">
                  <c:v>-6.242016782188557</c:v>
                </c:pt>
                <c:pt idx="3">
                  <c:v>-5.5717121435363879</c:v>
                </c:pt>
              </c:numCache>
            </c:numRef>
          </c:val>
          <c:extLst>
            <c:ext xmlns:c16="http://schemas.microsoft.com/office/drawing/2014/chart" uri="{C3380CC4-5D6E-409C-BE32-E72D297353CC}">
              <c16:uniqueId val="{00000001-09D4-4E88-95DA-8F8DA65B5AC8}"/>
            </c:ext>
          </c:extLst>
        </c:ser>
        <c:dLbls>
          <c:showLegendKey val="0"/>
          <c:showVal val="0"/>
          <c:showCatName val="0"/>
          <c:showSerName val="0"/>
          <c:showPercent val="0"/>
          <c:showBubbleSize val="0"/>
        </c:dLbls>
        <c:gapWidth val="219"/>
        <c:overlap val="-27"/>
        <c:axId val="906500992"/>
        <c:axId val="983976864"/>
      </c:barChart>
      <c:catAx>
        <c:axId val="906500992"/>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83976864"/>
        <c:crosses val="autoZero"/>
        <c:auto val="1"/>
        <c:lblAlgn val="ctr"/>
        <c:lblOffset val="100"/>
        <c:noMultiLvlLbl val="0"/>
      </c:catAx>
      <c:valAx>
        <c:axId val="983976864"/>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GB"/>
                  <a:t>US$ mn</a:t>
                </a:r>
              </a:p>
            </c:rich>
          </c:tx>
          <c:layout>
            <c:manualLayout>
              <c:xMode val="edge"/>
              <c:yMode val="edge"/>
              <c:x val="3.0555555555555555E-2"/>
              <c:y val="0.3024908865558472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0650099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Interims!$FK$417</c:f>
              <c:strCache>
                <c:ptCount val="1"/>
                <c:pt idx="0">
                  <c:v>Cable revenue</c:v>
                </c:pt>
              </c:strCache>
            </c:strRef>
          </c:tx>
          <c:spPr>
            <a:solidFill>
              <a:srgbClr val="000080"/>
            </a:solidFill>
            <a:ln w="25400">
              <a:noFill/>
            </a:ln>
            <a:effectLst/>
          </c:spPr>
          <c:invertIfNegative val="0"/>
          <c:dPt>
            <c:idx val="4"/>
            <c:invertIfNegative val="0"/>
            <c:bubble3D val="0"/>
            <c:extLst>
              <c:ext xmlns:c16="http://schemas.microsoft.com/office/drawing/2014/chart" uri="{C3380CC4-5D6E-409C-BE32-E72D297353CC}">
                <c16:uniqueId val="{00000001-D188-48C2-B3BF-0FEE269E6B8C}"/>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Interims!$FL$417:$FS$417</c:f>
              <c:numCache>
                <c:formatCode>0.0%</c:formatCode>
                <c:ptCount val="8"/>
                <c:pt idx="0">
                  <c:v>9.3613925904971751E-2</c:v>
                </c:pt>
                <c:pt idx="1">
                  <c:v>0.10700196755973623</c:v>
                </c:pt>
                <c:pt idx="2">
                  <c:v>7.9057140965371087E-2</c:v>
                </c:pt>
                <c:pt idx="3">
                  <c:v>7.3492433801435553E-2</c:v>
                </c:pt>
                <c:pt idx="4">
                  <c:v>7.8690402505381174E-2</c:v>
                </c:pt>
                <c:pt idx="5">
                  <c:v>5.9493491794001319E-2</c:v>
                </c:pt>
                <c:pt idx="6">
                  <c:v>5.7740688470270696E-2</c:v>
                </c:pt>
                <c:pt idx="7">
                  <c:v>3.9786228299382387E-2</c:v>
                </c:pt>
              </c:numCache>
            </c:numRef>
          </c:val>
          <c:extLst>
            <c:ext xmlns:c15="http://schemas.microsoft.com/office/drawing/2012/chart" uri="{02D57815-91ED-43cb-92C2-25804820EDAC}">
              <c15:filteredCategoryTitle>
                <c15:cat>
                  <c:strRef>
                    <c:extLst>
                      <c:ext uri="{02D57815-91ED-43cb-92C2-25804820EDAC}">
                        <c15:formulaRef>
                          <c15:sqref>Interims!$FL$393:$FS$393</c15:sqref>
                        </c15:formulaRef>
                      </c:ext>
                    </c:extLst>
                    <c:strCache>
                      <c:ptCount val="8"/>
                      <c:pt idx="0">
                        <c:v>Q1 20</c:v>
                      </c:pt>
                      <c:pt idx="1">
                        <c:v>Q2 20</c:v>
                      </c:pt>
                      <c:pt idx="2">
                        <c:v>Q3 20</c:v>
                      </c:pt>
                      <c:pt idx="3">
                        <c:v>Q4 20</c:v>
                      </c:pt>
                      <c:pt idx="4">
                        <c:v>Q1 21</c:v>
                      </c:pt>
                      <c:pt idx="5">
                        <c:v>Q2 21</c:v>
                      </c:pt>
                      <c:pt idx="6">
                        <c:v>Q3 21e</c:v>
                      </c:pt>
                      <c:pt idx="7">
                        <c:v>Q4 21e</c:v>
                      </c:pt>
                    </c:strCache>
                  </c:strRef>
                </c15:cat>
              </c15:filteredCategoryTitle>
            </c:ext>
            <c:ext xmlns:c16="http://schemas.microsoft.com/office/drawing/2014/chart" uri="{C3380CC4-5D6E-409C-BE32-E72D297353CC}">
              <c16:uniqueId val="{00000002-D188-48C2-B3BF-0FEE269E6B8C}"/>
            </c:ext>
          </c:extLst>
        </c:ser>
        <c:ser>
          <c:idx val="1"/>
          <c:order val="1"/>
          <c:tx>
            <c:strRef>
              <c:f>Interims!$FK$418</c:f>
              <c:strCache>
                <c:ptCount val="1"/>
                <c:pt idx="0">
                  <c:v>Retail revs</c:v>
                </c:pt>
              </c:strCache>
            </c:strRef>
          </c:tx>
          <c:spPr>
            <a:solidFill>
              <a:srgbClr val="9999FF"/>
            </a:solidFill>
            <a:ln w="25400">
              <a:noFill/>
            </a:ln>
            <a:effectLst/>
          </c:spPr>
          <c:invertIfNegative val="0"/>
          <c:val>
            <c:numRef>
              <c:f>Interims!$FL$418:$FS$418</c:f>
              <c:numCache>
                <c:formatCode>0.0%</c:formatCode>
                <c:ptCount val="8"/>
                <c:pt idx="0">
                  <c:v>9.9344166234702769E-2</c:v>
                </c:pt>
                <c:pt idx="1">
                  <c:v>7.7261088447183379E-2</c:v>
                </c:pt>
                <c:pt idx="2">
                  <c:v>6.4932630833628435E-2</c:v>
                </c:pt>
                <c:pt idx="3">
                  <c:v>7.4329908477792861E-2</c:v>
                </c:pt>
                <c:pt idx="4">
                  <c:v>7.2736218454662938E-2</c:v>
                </c:pt>
                <c:pt idx="5">
                  <c:v>6.4035290918430077E-2</c:v>
                </c:pt>
                <c:pt idx="6">
                  <c:v>5.823571973326569E-2</c:v>
                </c:pt>
                <c:pt idx="7">
                  <c:v>4.8198377875282583E-2</c:v>
                </c:pt>
              </c:numCache>
            </c:numRef>
          </c:val>
          <c:extLst>
            <c:ext xmlns:c15="http://schemas.microsoft.com/office/drawing/2012/chart" uri="{02D57815-91ED-43cb-92C2-25804820EDAC}">
              <c15:filteredCategoryTitle>
                <c15:cat>
                  <c:strRef>
                    <c:extLst>
                      <c:ext uri="{02D57815-91ED-43cb-92C2-25804820EDAC}">
                        <c15:formulaRef>
                          <c15:sqref>Interims!$FL$393:$FS$393</c15:sqref>
                        </c15:formulaRef>
                      </c:ext>
                    </c:extLst>
                    <c:strCache>
                      <c:ptCount val="8"/>
                      <c:pt idx="0">
                        <c:v>Q1 20</c:v>
                      </c:pt>
                      <c:pt idx="1">
                        <c:v>Q2 20</c:v>
                      </c:pt>
                      <c:pt idx="2">
                        <c:v>Q3 20</c:v>
                      </c:pt>
                      <c:pt idx="3">
                        <c:v>Q4 20</c:v>
                      </c:pt>
                      <c:pt idx="4">
                        <c:v>Q1 21</c:v>
                      </c:pt>
                      <c:pt idx="5">
                        <c:v>Q2 21</c:v>
                      </c:pt>
                      <c:pt idx="6">
                        <c:v>Q3 21e</c:v>
                      </c:pt>
                      <c:pt idx="7">
                        <c:v>Q4 21e</c:v>
                      </c:pt>
                    </c:strCache>
                  </c:strRef>
                </c15:cat>
              </c15:filteredCategoryTitle>
            </c:ext>
            <c:ext xmlns:c16="http://schemas.microsoft.com/office/drawing/2014/chart" uri="{C3380CC4-5D6E-409C-BE32-E72D297353CC}">
              <c16:uniqueId val="{00000003-D188-48C2-B3BF-0FEE269E6B8C}"/>
            </c:ext>
          </c:extLst>
        </c:ser>
        <c:ser>
          <c:idx val="2"/>
          <c:order val="2"/>
          <c:tx>
            <c:strRef>
              <c:f>Interims!$FK$419</c:f>
              <c:strCache>
                <c:ptCount val="1"/>
                <c:pt idx="0">
                  <c:v>Enterprise revs</c:v>
                </c:pt>
              </c:strCache>
            </c:strRef>
          </c:tx>
          <c:spPr>
            <a:solidFill>
              <a:srgbClr val="3366FF"/>
            </a:solidFill>
            <a:ln w="25400">
              <a:noFill/>
            </a:ln>
            <a:effectLst/>
          </c:spPr>
          <c:invertIfNegative val="0"/>
          <c:val>
            <c:numRef>
              <c:f>Interims!$FL$419:$FS$419</c:f>
              <c:numCache>
                <c:formatCode>0.0%</c:formatCode>
                <c:ptCount val="8"/>
                <c:pt idx="0">
                  <c:v>6.4388773239537844E-2</c:v>
                </c:pt>
                <c:pt idx="1">
                  <c:v>0.26627972819932055</c:v>
                </c:pt>
                <c:pt idx="2">
                  <c:v>0.20609306531265204</c:v>
                </c:pt>
                <c:pt idx="3">
                  <c:v>9.0190067443286281E-2</c:v>
                </c:pt>
                <c:pt idx="4">
                  <c:v>0.14668195306177512</c:v>
                </c:pt>
                <c:pt idx="5">
                  <c:v>4.2537730575740618E-2</c:v>
                </c:pt>
                <c:pt idx="6">
                  <c:v>5.9976931949250467E-3</c:v>
                </c:pt>
                <c:pt idx="7">
                  <c:v>0.10359372363759123</c:v>
                </c:pt>
              </c:numCache>
            </c:numRef>
          </c:val>
          <c:extLst>
            <c:ext xmlns:c15="http://schemas.microsoft.com/office/drawing/2012/chart" uri="{02D57815-91ED-43cb-92C2-25804820EDAC}">
              <c15:filteredCategoryTitle>
                <c15:cat>
                  <c:strRef>
                    <c:extLst>
                      <c:ext uri="{02D57815-91ED-43cb-92C2-25804820EDAC}">
                        <c15:formulaRef>
                          <c15:sqref>Interims!$FL$393:$FS$393</c15:sqref>
                        </c15:formulaRef>
                      </c:ext>
                    </c:extLst>
                    <c:strCache>
                      <c:ptCount val="8"/>
                      <c:pt idx="0">
                        <c:v>Q1 20</c:v>
                      </c:pt>
                      <c:pt idx="1">
                        <c:v>Q2 20</c:v>
                      </c:pt>
                      <c:pt idx="2">
                        <c:v>Q3 20</c:v>
                      </c:pt>
                      <c:pt idx="3">
                        <c:v>Q4 20</c:v>
                      </c:pt>
                      <c:pt idx="4">
                        <c:v>Q1 21</c:v>
                      </c:pt>
                      <c:pt idx="5">
                        <c:v>Q2 21</c:v>
                      </c:pt>
                      <c:pt idx="6">
                        <c:v>Q3 21e</c:v>
                      </c:pt>
                      <c:pt idx="7">
                        <c:v>Q4 21e</c:v>
                      </c:pt>
                    </c:strCache>
                  </c:strRef>
                </c15:cat>
              </c15:filteredCategoryTitle>
            </c:ext>
            <c:ext xmlns:c16="http://schemas.microsoft.com/office/drawing/2014/chart" uri="{C3380CC4-5D6E-409C-BE32-E72D297353CC}">
              <c16:uniqueId val="{00000005-D188-48C2-B3BF-0FEE269E6B8C}"/>
            </c:ext>
          </c:extLst>
        </c:ser>
        <c:ser>
          <c:idx val="3"/>
          <c:order val="3"/>
          <c:tx>
            <c:strRef>
              <c:f>Interims!$FK$420</c:f>
              <c:strCache>
                <c:ptCount val="1"/>
                <c:pt idx="0">
                  <c:v>Cable EBITDA</c:v>
                </c:pt>
              </c:strCache>
            </c:strRef>
          </c:tx>
          <c:spPr>
            <a:solidFill>
              <a:srgbClr val="CCCCFF"/>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Interims!$FL$420:$FS$420</c:f>
              <c:numCache>
                <c:formatCode>0.0%</c:formatCode>
                <c:ptCount val="8"/>
                <c:pt idx="0">
                  <c:v>4.4960554792767171E-2</c:v>
                </c:pt>
                <c:pt idx="1">
                  <c:v>4.0861032255180341E-2</c:v>
                </c:pt>
                <c:pt idx="2">
                  <c:v>7.0285829038088332E-2</c:v>
                </c:pt>
                <c:pt idx="3">
                  <c:v>9.0165016501650097E-2</c:v>
                </c:pt>
                <c:pt idx="4">
                  <c:v>7.6676391332427762E-2</c:v>
                </c:pt>
                <c:pt idx="5">
                  <c:v>7.8084398153119405E-2</c:v>
                </c:pt>
                <c:pt idx="6">
                  <c:v>5.5830049825922101E-2</c:v>
                </c:pt>
                <c:pt idx="7">
                  <c:v>8.2949866795834382E-2</c:v>
                </c:pt>
              </c:numCache>
            </c:numRef>
          </c:val>
          <c:extLst>
            <c:ext xmlns:c15="http://schemas.microsoft.com/office/drawing/2012/chart" uri="{02D57815-91ED-43cb-92C2-25804820EDAC}">
              <c15:filteredCategoryTitle>
                <c15:cat>
                  <c:strRef>
                    <c:extLst>
                      <c:ext uri="{02D57815-91ED-43cb-92C2-25804820EDAC}">
                        <c15:formulaRef>
                          <c15:sqref>Interims!$FL$393:$FS$393</c15:sqref>
                        </c15:formulaRef>
                      </c:ext>
                    </c:extLst>
                    <c:strCache>
                      <c:ptCount val="8"/>
                      <c:pt idx="0">
                        <c:v>Q1 20</c:v>
                      </c:pt>
                      <c:pt idx="1">
                        <c:v>Q2 20</c:v>
                      </c:pt>
                      <c:pt idx="2">
                        <c:v>Q3 20</c:v>
                      </c:pt>
                      <c:pt idx="3">
                        <c:v>Q4 20</c:v>
                      </c:pt>
                      <c:pt idx="4">
                        <c:v>Q1 21</c:v>
                      </c:pt>
                      <c:pt idx="5">
                        <c:v>Q2 21</c:v>
                      </c:pt>
                      <c:pt idx="6">
                        <c:v>Q3 21e</c:v>
                      </c:pt>
                      <c:pt idx="7">
                        <c:v>Q4 21e</c:v>
                      </c:pt>
                    </c:strCache>
                  </c:strRef>
                </c15:cat>
              </c15:filteredCategoryTitle>
            </c:ext>
            <c:ext xmlns:c16="http://schemas.microsoft.com/office/drawing/2014/chart" uri="{C3380CC4-5D6E-409C-BE32-E72D297353CC}">
              <c16:uniqueId val="{00000006-D188-48C2-B3BF-0FEE269E6B8C}"/>
            </c:ext>
          </c:extLst>
        </c:ser>
        <c:dLbls>
          <c:showLegendKey val="0"/>
          <c:showVal val="0"/>
          <c:showCatName val="0"/>
          <c:showSerName val="0"/>
          <c:showPercent val="0"/>
          <c:showBubbleSize val="0"/>
        </c:dLbls>
        <c:gapWidth val="219"/>
        <c:overlap val="-27"/>
        <c:axId val="625265264"/>
        <c:axId val="625264280"/>
      </c:barChart>
      <c:catAx>
        <c:axId val="625265264"/>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264280"/>
        <c:crosses val="autoZero"/>
        <c:auto val="1"/>
        <c:lblAlgn val="ctr"/>
        <c:lblOffset val="100"/>
        <c:noMultiLvlLbl val="0"/>
      </c:catAx>
      <c:valAx>
        <c:axId val="625264280"/>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y/y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26526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304881392406134"/>
          <c:y val="6.4530529314073617E-2"/>
          <c:w val="0.64199322188481356"/>
          <c:h val="0.61367001418180822"/>
        </c:manualLayout>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6C57-4EF7-B926-47B125A29A27}"/>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2-6C57-4EF7-B926-47B125A29A27}"/>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3-6C57-4EF7-B926-47B125A29A27}"/>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4-6C57-4EF7-B926-47B125A29A27}"/>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5-6C57-4EF7-B926-47B125A29A27}"/>
              </c:ext>
            </c:extLst>
          </c:dPt>
          <c:dPt>
            <c:idx val="5"/>
            <c:bubble3D val="0"/>
            <c:spPr>
              <a:pattFill prst="wdDnDiag">
                <a:fgClr>
                  <a:srgbClr val="C0C0C0"/>
                </a:fgClr>
                <a:bgClr>
                  <a:srgbClr val="C0C0C0"/>
                </a:bgClr>
              </a:pattFill>
              <a:ln w="25400">
                <a:noFill/>
              </a:ln>
              <a:effectLst/>
            </c:spPr>
            <c:extLst>
              <c:ext xmlns:c16="http://schemas.microsoft.com/office/drawing/2014/chart" uri="{C3380CC4-5D6E-409C-BE32-E72D297353CC}">
                <c16:uniqueId val="{00000006-6C57-4EF7-B926-47B125A29A27}"/>
              </c:ext>
            </c:extLst>
          </c:dPt>
          <c:dPt>
            <c:idx val="6"/>
            <c:bubble3D val="0"/>
            <c:spPr>
              <a:pattFill prst="wdDnDiag">
                <a:fgClr>
                  <a:srgbClr val="0000FF"/>
                </a:fgClr>
                <a:bgClr>
                  <a:srgbClr val="0000FF"/>
                </a:bgClr>
              </a:pattFill>
              <a:ln w="25400">
                <a:noFill/>
              </a:ln>
              <a:effectLst/>
            </c:spPr>
            <c:extLst>
              <c:ext xmlns:c16="http://schemas.microsoft.com/office/drawing/2014/chart" uri="{C3380CC4-5D6E-409C-BE32-E72D297353CC}">
                <c16:uniqueId val="{00000007-6C57-4EF7-B926-47B125A29A27}"/>
              </c:ext>
            </c:extLst>
          </c:dPt>
          <c:dPt>
            <c:idx val="7"/>
            <c:bubble3D val="0"/>
            <c:spPr>
              <a:pattFill prst="wdDnDiag">
                <a:fgClr>
                  <a:srgbClr val="333399"/>
                </a:fgClr>
                <a:bgClr>
                  <a:srgbClr val="333399"/>
                </a:bgClr>
              </a:pattFill>
              <a:ln w="25400">
                <a:noFill/>
              </a:ln>
              <a:effectLst/>
            </c:spPr>
            <c:extLst>
              <c:ext xmlns:c16="http://schemas.microsoft.com/office/drawing/2014/chart" uri="{C3380CC4-5D6E-409C-BE32-E72D297353CC}">
                <c16:uniqueId val="{00000008-6C57-4EF7-B926-47B125A29A27}"/>
              </c:ext>
            </c:extLst>
          </c:dPt>
          <c:dPt>
            <c:idx val="8"/>
            <c:bubble3D val="0"/>
            <c:spPr>
              <a:pattFill prst="wdDnDiag">
                <a:fgClr>
                  <a:srgbClr val="99CCFF"/>
                </a:fgClr>
                <a:bgClr>
                  <a:srgbClr val="000080"/>
                </a:bgClr>
              </a:pattFill>
              <a:ln w="25400">
                <a:noFill/>
              </a:ln>
              <a:effectLst/>
            </c:spPr>
            <c:extLst>
              <c:ext xmlns:c16="http://schemas.microsoft.com/office/drawing/2014/chart" uri="{C3380CC4-5D6E-409C-BE32-E72D297353CC}">
                <c16:uniqueId val="{00000009-6C57-4EF7-B926-47B125A29A27}"/>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Analysis!$B$1490:$B$1498</c:f>
              <c:strCache>
                <c:ptCount val="9"/>
                <c:pt idx="0">
                  <c:v>FTA TV</c:v>
                </c:pt>
                <c:pt idx="1">
                  <c:v>Pay TV</c:v>
                </c:pt>
                <c:pt idx="2">
                  <c:v>Radio</c:v>
                </c:pt>
                <c:pt idx="3">
                  <c:v>Press</c:v>
                </c:pt>
                <c:pt idx="4">
                  <c:v>Journals</c:v>
                </c:pt>
                <c:pt idx="5">
                  <c:v>Outdoor ads</c:v>
                </c:pt>
                <c:pt idx="6">
                  <c:v>Cinema</c:v>
                </c:pt>
                <c:pt idx="7">
                  <c:v>Internet</c:v>
                </c:pt>
                <c:pt idx="8">
                  <c:v>Other</c:v>
                </c:pt>
              </c:strCache>
            </c:strRef>
          </c:cat>
          <c:val>
            <c:numRef>
              <c:f>Analysis!$C$1490:$C$1498</c:f>
              <c:numCache>
                <c:formatCode>General</c:formatCode>
                <c:ptCount val="9"/>
                <c:pt idx="0">
                  <c:v>33.200000000000003</c:v>
                </c:pt>
                <c:pt idx="1">
                  <c:v>12.6</c:v>
                </c:pt>
                <c:pt idx="2">
                  <c:v>5.8</c:v>
                </c:pt>
                <c:pt idx="3">
                  <c:v>4.0999999999999996</c:v>
                </c:pt>
                <c:pt idx="4">
                  <c:v>1.6</c:v>
                </c:pt>
                <c:pt idx="5">
                  <c:v>10</c:v>
                </c:pt>
                <c:pt idx="6">
                  <c:v>1.6</c:v>
                </c:pt>
                <c:pt idx="7">
                  <c:v>23.8</c:v>
                </c:pt>
                <c:pt idx="8">
                  <c:v>0.7</c:v>
                </c:pt>
              </c:numCache>
            </c:numRef>
          </c:val>
          <c:extLst>
            <c:ext xmlns:c16="http://schemas.microsoft.com/office/drawing/2014/chart" uri="{C3380CC4-5D6E-409C-BE32-E72D297353CC}">
              <c16:uniqueId val="{00000000-6C57-4EF7-B926-47B125A29A27}"/>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layout>
        <c:manualLayout>
          <c:xMode val="edge"/>
          <c:yMode val="edge"/>
          <c:x val="0"/>
          <c:y val="0.7389184359903308"/>
          <c:w val="0.95033936115118034"/>
          <c:h val="0.23820574309192238"/>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Analysis!$G$1091</c:f>
              <c:strCache>
                <c:ptCount val="1"/>
                <c:pt idx="0">
                  <c:v>Upfronts</c:v>
                </c:pt>
              </c:strCache>
            </c:strRef>
          </c:tx>
          <c:spPr>
            <a:solidFill>
              <a:srgbClr val="000080"/>
            </a:solidFill>
            <a:ln w="25400">
              <a:noFill/>
            </a:ln>
            <a:effectLst/>
          </c:spPr>
          <c:invertIfNegative val="0"/>
          <c:cat>
            <c:numRef>
              <c:f>Analysis!$B$1100:$B$1108</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Analysis!$G$1100:$G$1108</c:f>
              <c:numCache>
                <c:formatCode>0.0</c:formatCode>
                <c:ptCount val="9"/>
                <c:pt idx="0">
                  <c:v>17.117599999999999</c:v>
                </c:pt>
                <c:pt idx="1">
                  <c:v>18.059068</c:v>
                </c:pt>
                <c:pt idx="2">
                  <c:v>16.794933239999999</c:v>
                </c:pt>
                <c:pt idx="3">
                  <c:v>18.289682298359999</c:v>
                </c:pt>
                <c:pt idx="4">
                  <c:v>18.417710074448518</c:v>
                </c:pt>
                <c:pt idx="5">
                  <c:v>19.154418477426461</c:v>
                </c:pt>
                <c:pt idx="6">
                  <c:v>16.951660352522417</c:v>
                </c:pt>
                <c:pt idx="7">
                  <c:v>16.951660352522417</c:v>
                </c:pt>
                <c:pt idx="8">
                  <c:v>18.612923067069616</c:v>
                </c:pt>
              </c:numCache>
            </c:numRef>
          </c:val>
          <c:extLst>
            <c:ext xmlns:c16="http://schemas.microsoft.com/office/drawing/2014/chart" uri="{C3380CC4-5D6E-409C-BE32-E72D297353CC}">
              <c16:uniqueId val="{00000000-E78A-4BD1-A489-AC28701DF6E9}"/>
            </c:ext>
          </c:extLst>
        </c:ser>
        <c:ser>
          <c:idx val="1"/>
          <c:order val="1"/>
          <c:tx>
            <c:strRef>
              <c:f>Analysis!$H$1091</c:f>
              <c:strCache>
                <c:ptCount val="1"/>
                <c:pt idx="0">
                  <c:v>Spot</c:v>
                </c:pt>
              </c:strCache>
            </c:strRef>
          </c:tx>
          <c:spPr>
            <a:solidFill>
              <a:srgbClr val="9999FF"/>
            </a:solidFill>
            <a:ln w="25400">
              <a:noFill/>
            </a:ln>
            <a:effectLst/>
          </c:spPr>
          <c:invertIfNegative val="0"/>
          <c:cat>
            <c:numRef>
              <c:f>Analysis!$B$1100:$B$1108</c:f>
              <c:numCache>
                <c:formatCode>General</c:formatCode>
                <c:ptCount val="9"/>
                <c:pt idx="0">
                  <c:v>2009</c:v>
                </c:pt>
                <c:pt idx="1">
                  <c:v>2010</c:v>
                </c:pt>
                <c:pt idx="2">
                  <c:v>2011</c:v>
                </c:pt>
                <c:pt idx="3">
                  <c:v>2012</c:v>
                </c:pt>
                <c:pt idx="4">
                  <c:v>2013</c:v>
                </c:pt>
                <c:pt idx="5">
                  <c:v>2014</c:v>
                </c:pt>
                <c:pt idx="6">
                  <c:v>2015</c:v>
                </c:pt>
                <c:pt idx="7">
                  <c:v>2016</c:v>
                </c:pt>
                <c:pt idx="8">
                  <c:v>2017</c:v>
                </c:pt>
              </c:numCache>
            </c:numRef>
          </c:cat>
          <c:val>
            <c:numRef>
              <c:f>Analysis!$H$1100:$H$1108</c:f>
              <c:numCache>
                <c:formatCode>#,##0.0</c:formatCode>
                <c:ptCount val="9"/>
                <c:pt idx="0">
                  <c:v>4.279399999999999</c:v>
                </c:pt>
                <c:pt idx="1">
                  <c:v>4.5147669999999955</c:v>
                </c:pt>
                <c:pt idx="2">
                  <c:v>5.8466232649999945</c:v>
                </c:pt>
                <c:pt idx="3">
                  <c:v>6.5758177016400019</c:v>
                </c:pt>
                <c:pt idx="4">
                  <c:v>7.0479899255514802</c:v>
                </c:pt>
                <c:pt idx="5">
                  <c:v>6.3112815225735375</c:v>
                </c:pt>
                <c:pt idx="6">
                  <c:v>6.0776396474775822</c:v>
                </c:pt>
                <c:pt idx="7">
                  <c:v>6.2715396474775851</c:v>
                </c:pt>
                <c:pt idx="8">
                  <c:v>2.1060769329303852</c:v>
                </c:pt>
              </c:numCache>
            </c:numRef>
          </c:val>
          <c:extLst>
            <c:ext xmlns:c16="http://schemas.microsoft.com/office/drawing/2014/chart" uri="{C3380CC4-5D6E-409C-BE32-E72D297353CC}">
              <c16:uniqueId val="{00000001-E78A-4BD1-A489-AC28701DF6E9}"/>
            </c:ext>
          </c:extLst>
        </c:ser>
        <c:dLbls>
          <c:showLegendKey val="0"/>
          <c:showVal val="0"/>
          <c:showCatName val="0"/>
          <c:showSerName val="0"/>
          <c:showPercent val="0"/>
          <c:showBubbleSize val="0"/>
        </c:dLbls>
        <c:gapWidth val="150"/>
        <c:overlap val="100"/>
        <c:axId val="561711632"/>
        <c:axId val="206684624"/>
      </c:barChart>
      <c:catAx>
        <c:axId val="561711632"/>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06684624"/>
        <c:crosses val="autoZero"/>
        <c:auto val="1"/>
        <c:lblAlgn val="ctr"/>
        <c:lblOffset val="100"/>
        <c:noMultiLvlLbl val="0"/>
      </c:catAx>
      <c:valAx>
        <c:axId val="206684624"/>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56171163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298809403426802"/>
          <c:y val="4.7464956795677124E-2"/>
          <c:w val="0.81497863722632713"/>
          <c:h val="0.73905553909590305"/>
        </c:manualLayout>
      </c:layout>
      <c:lineChart>
        <c:grouping val="standard"/>
        <c:varyColors val="0"/>
        <c:ser>
          <c:idx val="0"/>
          <c:order val="0"/>
          <c:tx>
            <c:strRef>
              <c:f>Analysis!$B$1607</c:f>
              <c:strCache>
                <c:ptCount val="1"/>
                <c:pt idx="0">
                  <c:v>Izzy </c:v>
                </c:pt>
              </c:strCache>
            </c:strRef>
          </c:tx>
          <c:spPr>
            <a:ln w="25400" cap="rnd">
              <a:solidFill>
                <a:srgbClr val="333399"/>
              </a:solidFill>
              <a:prstDash val="solid"/>
              <a:round/>
            </a:ln>
            <a:effectLst/>
          </c:spPr>
          <c:marker>
            <c:symbol val="none"/>
          </c:marker>
          <c:cat>
            <c:numRef>
              <c:f>Analysis!$C$1606:$G$1606</c:f>
              <c:numCache>
                <c:formatCode>General</c:formatCode>
                <c:ptCount val="5"/>
                <c:pt idx="0">
                  <c:v>2016</c:v>
                </c:pt>
                <c:pt idx="1">
                  <c:v>2017</c:v>
                </c:pt>
                <c:pt idx="2">
                  <c:v>2018</c:v>
                </c:pt>
                <c:pt idx="3">
                  <c:v>2019</c:v>
                </c:pt>
                <c:pt idx="4">
                  <c:v>2020</c:v>
                </c:pt>
              </c:numCache>
            </c:numRef>
          </c:cat>
          <c:val>
            <c:numRef>
              <c:f>Analysis!$C$1607:$G$1607</c:f>
              <c:numCache>
                <c:formatCode>0%</c:formatCode>
                <c:ptCount val="5"/>
                <c:pt idx="0">
                  <c:v>0.11946307782493171</c:v>
                </c:pt>
                <c:pt idx="1">
                  <c:v>3.6260331874224061E-2</c:v>
                </c:pt>
                <c:pt idx="2">
                  <c:v>9.6374969740982808E-2</c:v>
                </c:pt>
                <c:pt idx="3">
                  <c:v>0.15093975105566759</c:v>
                </c:pt>
                <c:pt idx="4">
                  <c:v>8.7887871085319702E-2</c:v>
                </c:pt>
              </c:numCache>
            </c:numRef>
          </c:val>
          <c:smooth val="0"/>
          <c:extLst>
            <c:ext xmlns:c16="http://schemas.microsoft.com/office/drawing/2014/chart" uri="{C3380CC4-5D6E-409C-BE32-E72D297353CC}">
              <c16:uniqueId val="{00000000-336B-4706-A4B6-A7BB53D752C9}"/>
            </c:ext>
          </c:extLst>
        </c:ser>
        <c:ser>
          <c:idx val="1"/>
          <c:order val="1"/>
          <c:tx>
            <c:strRef>
              <c:f>Analysis!$B$1608</c:f>
              <c:strCache>
                <c:ptCount val="1"/>
                <c:pt idx="0">
                  <c:v>MEGA</c:v>
                </c:pt>
              </c:strCache>
            </c:strRef>
          </c:tx>
          <c:spPr>
            <a:ln w="25400" cap="rnd">
              <a:solidFill>
                <a:srgbClr val="99CCFF"/>
              </a:solidFill>
              <a:prstDash val="solid"/>
              <a:round/>
            </a:ln>
            <a:effectLst/>
          </c:spPr>
          <c:marker>
            <c:symbol val="none"/>
          </c:marker>
          <c:cat>
            <c:numRef>
              <c:f>Analysis!$C$1606:$G$1606</c:f>
              <c:numCache>
                <c:formatCode>General</c:formatCode>
                <c:ptCount val="5"/>
                <c:pt idx="0">
                  <c:v>2016</c:v>
                </c:pt>
                <c:pt idx="1">
                  <c:v>2017</c:v>
                </c:pt>
                <c:pt idx="2">
                  <c:v>2018</c:v>
                </c:pt>
                <c:pt idx="3">
                  <c:v>2019</c:v>
                </c:pt>
                <c:pt idx="4">
                  <c:v>2020</c:v>
                </c:pt>
              </c:numCache>
            </c:numRef>
          </c:cat>
          <c:val>
            <c:numRef>
              <c:f>Analysis!$C$1608:$G$1608</c:f>
              <c:numCache>
                <c:formatCode>0%</c:formatCode>
                <c:ptCount val="5"/>
                <c:pt idx="0">
                  <c:v>0.18306039996252865</c:v>
                </c:pt>
                <c:pt idx="1">
                  <c:v>2.841687019413297E-2</c:v>
                </c:pt>
                <c:pt idx="2">
                  <c:v>0.1169965557024355</c:v>
                </c:pt>
                <c:pt idx="3">
                  <c:v>0.10164037679249538</c:v>
                </c:pt>
                <c:pt idx="4">
                  <c:v>8.0131243509477867E-2</c:v>
                </c:pt>
              </c:numCache>
            </c:numRef>
          </c:val>
          <c:smooth val="0"/>
          <c:extLst>
            <c:ext xmlns:c16="http://schemas.microsoft.com/office/drawing/2014/chart" uri="{C3380CC4-5D6E-409C-BE32-E72D297353CC}">
              <c16:uniqueId val="{00000001-336B-4706-A4B6-A7BB53D752C9}"/>
            </c:ext>
          </c:extLst>
        </c:ser>
        <c:dLbls>
          <c:showLegendKey val="0"/>
          <c:showVal val="0"/>
          <c:showCatName val="0"/>
          <c:showSerName val="0"/>
          <c:showPercent val="0"/>
          <c:showBubbleSize val="0"/>
        </c:dLbls>
        <c:smooth val="0"/>
        <c:axId val="1138469344"/>
        <c:axId val="1108668464"/>
      </c:lineChart>
      <c:catAx>
        <c:axId val="1138469344"/>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08668464"/>
        <c:crosses val="autoZero"/>
        <c:auto val="1"/>
        <c:lblAlgn val="ctr"/>
        <c:lblOffset val="100"/>
        <c:noMultiLvlLbl val="0"/>
      </c:catAx>
      <c:valAx>
        <c:axId val="1108668464"/>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GB"/>
                  <a:t>y/y growth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3846934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90288713910762"/>
          <c:y val="4.8132530182748573E-2"/>
          <c:w val="0.86054155730533688"/>
          <c:h val="0.74243032411419085"/>
        </c:manualLayout>
      </c:layout>
      <c:barChart>
        <c:barDir val="col"/>
        <c:grouping val="stacked"/>
        <c:varyColors val="0"/>
        <c:ser>
          <c:idx val="0"/>
          <c:order val="0"/>
          <c:tx>
            <c:strRef>
              <c:f>Analysis!$B$1612</c:f>
              <c:strCache>
                <c:ptCount val="1"/>
                <c:pt idx="0">
                  <c:v>Underlying </c:v>
                </c:pt>
              </c:strCache>
            </c:strRef>
          </c:tx>
          <c:spPr>
            <a:solidFill>
              <a:srgbClr val="00008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Analysis!$C$1611:$F$1611</c:f>
              <c:strCache>
                <c:ptCount val="4"/>
                <c:pt idx="0">
                  <c:v>Q1 14</c:v>
                </c:pt>
                <c:pt idx="1">
                  <c:v>Q2 14</c:v>
                </c:pt>
                <c:pt idx="2">
                  <c:v>Q1 18</c:v>
                </c:pt>
                <c:pt idx="3">
                  <c:v>Q2 18</c:v>
                </c:pt>
              </c:strCache>
            </c:strRef>
          </c:cat>
          <c:val>
            <c:numRef>
              <c:f>Analysis!$C$1612:$F$1612</c:f>
              <c:numCache>
                <c:formatCode>0%</c:formatCode>
                <c:ptCount val="4"/>
                <c:pt idx="0">
                  <c:v>8.1968771537894947E-2</c:v>
                </c:pt>
                <c:pt idx="1">
                  <c:v>5.9765876103799576E-2</c:v>
                </c:pt>
                <c:pt idx="2">
                  <c:v>3.5003149072234896E-2</c:v>
                </c:pt>
                <c:pt idx="3">
                  <c:v>0.14099573198524834</c:v>
                </c:pt>
              </c:numCache>
            </c:numRef>
          </c:val>
          <c:extLst>
            <c:ext xmlns:c16="http://schemas.microsoft.com/office/drawing/2014/chart" uri="{C3380CC4-5D6E-409C-BE32-E72D297353CC}">
              <c16:uniqueId val="{00000000-7049-40FE-8581-156E78AB3D57}"/>
            </c:ext>
          </c:extLst>
        </c:ser>
        <c:ser>
          <c:idx val="1"/>
          <c:order val="1"/>
          <c:tx>
            <c:strRef>
              <c:f>Analysis!$B$1613</c:f>
              <c:strCache>
                <c:ptCount val="1"/>
                <c:pt idx="0">
                  <c:v>Political Ad impact</c:v>
                </c:pt>
              </c:strCache>
            </c:strRef>
          </c:tx>
          <c:spPr>
            <a:solidFill>
              <a:srgbClr val="9999FF"/>
            </a:solidFill>
            <a:ln w="25400">
              <a:noFill/>
            </a:ln>
            <a:effectLst/>
          </c:spPr>
          <c:invertIfNegative val="0"/>
          <c:cat>
            <c:strRef>
              <c:f>Analysis!$C$1611:$F$1611</c:f>
              <c:strCache>
                <c:ptCount val="4"/>
                <c:pt idx="0">
                  <c:v>Q1 14</c:v>
                </c:pt>
                <c:pt idx="1">
                  <c:v>Q2 14</c:v>
                </c:pt>
                <c:pt idx="2">
                  <c:v>Q1 18</c:v>
                </c:pt>
                <c:pt idx="3">
                  <c:v>Q2 18</c:v>
                </c:pt>
              </c:strCache>
            </c:strRef>
          </c:cat>
          <c:val>
            <c:numRef>
              <c:f>Analysis!$C$1613:$F$1613</c:f>
              <c:numCache>
                <c:formatCode>0%</c:formatCode>
                <c:ptCount val="4"/>
                <c:pt idx="0">
                  <c:v>0</c:v>
                </c:pt>
                <c:pt idx="1">
                  <c:v>0</c:v>
                </c:pt>
                <c:pt idx="2">
                  <c:v>0</c:v>
                </c:pt>
                <c:pt idx="3">
                  <c:v>-0.05</c:v>
                </c:pt>
              </c:numCache>
            </c:numRef>
          </c:val>
          <c:extLst>
            <c:ext xmlns:c16="http://schemas.microsoft.com/office/drawing/2014/chart" uri="{C3380CC4-5D6E-409C-BE32-E72D297353CC}">
              <c16:uniqueId val="{00000001-7049-40FE-8581-156E78AB3D57}"/>
            </c:ext>
          </c:extLst>
        </c:ser>
        <c:dLbls>
          <c:showLegendKey val="0"/>
          <c:showVal val="0"/>
          <c:showCatName val="0"/>
          <c:showSerName val="0"/>
          <c:showPercent val="0"/>
          <c:showBubbleSize val="0"/>
        </c:dLbls>
        <c:gapWidth val="150"/>
        <c:overlap val="100"/>
        <c:axId val="467431568"/>
        <c:axId val="672969968"/>
      </c:barChart>
      <c:catAx>
        <c:axId val="467431568"/>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72969968"/>
        <c:crosses val="autoZero"/>
        <c:auto val="1"/>
        <c:lblAlgn val="ctr"/>
        <c:lblOffset val="100"/>
        <c:noMultiLvlLbl val="0"/>
      </c:catAx>
      <c:valAx>
        <c:axId val="672969968"/>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y/y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6743156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Analysis!$B$1667</c:f>
              <c:strCache>
                <c:ptCount val="1"/>
                <c:pt idx="0">
                  <c:v>Subs</c:v>
                </c:pt>
              </c:strCache>
            </c:strRef>
          </c:tx>
          <c:spPr>
            <a:solidFill>
              <a:srgbClr val="000080"/>
            </a:solidFill>
            <a:ln w="25400">
              <a:noFill/>
            </a:ln>
            <a:effectLst/>
          </c:spPr>
          <c:invertIfNegative val="0"/>
          <c:cat>
            <c:numRef>
              <c:f>Analysis!$C$1666:$I$1666</c:f>
              <c:numCache>
                <c:formatCode>General</c:formatCode>
                <c:ptCount val="7"/>
                <c:pt idx="0">
                  <c:v>2019</c:v>
                </c:pt>
                <c:pt idx="1">
                  <c:v>2020</c:v>
                </c:pt>
                <c:pt idx="2">
                  <c:v>2021</c:v>
                </c:pt>
                <c:pt idx="3">
                  <c:v>2022</c:v>
                </c:pt>
                <c:pt idx="4">
                  <c:v>2023</c:v>
                </c:pt>
                <c:pt idx="5">
                  <c:v>2024</c:v>
                </c:pt>
                <c:pt idx="6">
                  <c:v>2025</c:v>
                </c:pt>
              </c:numCache>
            </c:numRef>
          </c:cat>
          <c:val>
            <c:numRef>
              <c:f>Analysis!$C$1667:$I$1667</c:f>
              <c:numCache>
                <c:formatCode>0</c:formatCode>
                <c:ptCount val="7"/>
                <c:pt idx="0">
                  <c:v>0</c:v>
                </c:pt>
                <c:pt idx="1">
                  <c:v>386</c:v>
                </c:pt>
                <c:pt idx="2">
                  <c:v>666</c:v>
                </c:pt>
                <c:pt idx="3">
                  <c:v>727.226</c:v>
                </c:pt>
                <c:pt idx="4">
                  <c:v>640.29399999999998</c:v>
                </c:pt>
                <c:pt idx="5">
                  <c:v>515.08900000000006</c:v>
                </c:pt>
                <c:pt idx="6">
                  <c:v>350.88499999999999</c:v>
                </c:pt>
              </c:numCache>
            </c:numRef>
          </c:val>
          <c:extLst>
            <c:ext xmlns:c16="http://schemas.microsoft.com/office/drawing/2014/chart" uri="{C3380CC4-5D6E-409C-BE32-E72D297353CC}">
              <c16:uniqueId val="{00000000-6AB7-450A-B480-5CDE82EC3171}"/>
            </c:ext>
          </c:extLst>
        </c:ser>
        <c:dLbls>
          <c:showLegendKey val="0"/>
          <c:showVal val="0"/>
          <c:showCatName val="0"/>
          <c:showSerName val="0"/>
          <c:showPercent val="0"/>
          <c:showBubbleSize val="0"/>
        </c:dLbls>
        <c:gapWidth val="219"/>
        <c:overlap val="-27"/>
        <c:axId val="888529376"/>
        <c:axId val="882430080"/>
      </c:barChart>
      <c:catAx>
        <c:axId val="88852937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82430080"/>
        <c:crosses val="autoZero"/>
        <c:auto val="1"/>
        <c:lblAlgn val="ctr"/>
        <c:lblOffset val="100"/>
        <c:noMultiLvlLbl val="0"/>
      </c:catAx>
      <c:valAx>
        <c:axId val="882430080"/>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Subs, 000s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8852937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Analysis!$B$1668</c:f>
              <c:strCache>
                <c:ptCount val="1"/>
                <c:pt idx="0">
                  <c:v>Revenue (MXN m)</c:v>
                </c:pt>
              </c:strCache>
            </c:strRef>
          </c:tx>
          <c:spPr>
            <a:solidFill>
              <a:srgbClr val="000080"/>
            </a:solidFill>
            <a:ln w="25400">
              <a:noFill/>
            </a:ln>
            <a:effectLst/>
          </c:spPr>
          <c:invertIfNegative val="0"/>
          <c:cat>
            <c:numRef>
              <c:f>Analysis!$C$1666:$I$1666</c:f>
              <c:numCache>
                <c:formatCode>General</c:formatCode>
                <c:ptCount val="7"/>
                <c:pt idx="0">
                  <c:v>2019</c:v>
                </c:pt>
                <c:pt idx="1">
                  <c:v>2020</c:v>
                </c:pt>
                <c:pt idx="2">
                  <c:v>2021</c:v>
                </c:pt>
                <c:pt idx="3">
                  <c:v>2022</c:v>
                </c:pt>
                <c:pt idx="4">
                  <c:v>2023</c:v>
                </c:pt>
                <c:pt idx="5">
                  <c:v>2024</c:v>
                </c:pt>
                <c:pt idx="6">
                  <c:v>2025</c:v>
                </c:pt>
              </c:numCache>
            </c:numRef>
          </c:cat>
          <c:val>
            <c:numRef>
              <c:f>Analysis!$C$1668:$I$1668</c:f>
              <c:numCache>
                <c:formatCode>#,##0</c:formatCode>
                <c:ptCount val="7"/>
                <c:pt idx="0">
                  <c:v>0</c:v>
                </c:pt>
                <c:pt idx="1">
                  <c:v>576.59136000000012</c:v>
                </c:pt>
                <c:pt idx="2">
                  <c:v>1571.4355200000002</c:v>
                </c:pt>
                <c:pt idx="3">
                  <c:v>2081.1452697600007</c:v>
                </c:pt>
                <c:pt idx="4">
                  <c:v>2042.7466752000005</c:v>
                </c:pt>
                <c:pt idx="5">
                  <c:v>1725.8649100800003</c:v>
                </c:pt>
                <c:pt idx="6">
                  <c:v>1293.5573222400001</c:v>
                </c:pt>
              </c:numCache>
            </c:numRef>
          </c:val>
          <c:extLst>
            <c:ext xmlns:c16="http://schemas.microsoft.com/office/drawing/2014/chart" uri="{C3380CC4-5D6E-409C-BE32-E72D297353CC}">
              <c16:uniqueId val="{00000000-C572-4FD4-BAE9-3C96E0BBBC94}"/>
            </c:ext>
          </c:extLst>
        </c:ser>
        <c:dLbls>
          <c:showLegendKey val="0"/>
          <c:showVal val="0"/>
          <c:showCatName val="0"/>
          <c:showSerName val="0"/>
          <c:showPercent val="0"/>
          <c:showBubbleSize val="0"/>
        </c:dLbls>
        <c:gapWidth val="219"/>
        <c:overlap val="-27"/>
        <c:axId val="888529376"/>
        <c:axId val="882430080"/>
      </c:barChart>
      <c:catAx>
        <c:axId val="88852937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82430080"/>
        <c:crosses val="autoZero"/>
        <c:auto val="1"/>
        <c:lblAlgn val="ctr"/>
        <c:lblOffset val="100"/>
        <c:noMultiLvlLbl val="0"/>
      </c:catAx>
      <c:valAx>
        <c:axId val="882430080"/>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MXN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8852937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Analysis!$B$1672</c:f>
              <c:strCache>
                <c:ptCount val="1"/>
              </c:strCache>
            </c:strRef>
          </c:tx>
          <c:spPr>
            <a:solidFill>
              <a:srgbClr val="000080"/>
            </a:solidFill>
            <a:ln w="25400">
              <a:noFill/>
            </a:ln>
            <a:effectLst/>
          </c:spPr>
          <c:invertIfNegative val="0"/>
          <c:cat>
            <c:numRef>
              <c:f>Analysis!$D$1671:$J$1671</c:f>
              <c:numCache>
                <c:formatCode>General</c:formatCode>
                <c:ptCount val="7"/>
                <c:pt idx="0">
                  <c:v>2016</c:v>
                </c:pt>
                <c:pt idx="1">
                  <c:v>2017</c:v>
                </c:pt>
                <c:pt idx="2">
                  <c:v>2018</c:v>
                </c:pt>
                <c:pt idx="3">
                  <c:v>2019</c:v>
                </c:pt>
                <c:pt idx="4">
                  <c:v>2020</c:v>
                </c:pt>
                <c:pt idx="5">
                  <c:v>2021</c:v>
                </c:pt>
                <c:pt idx="6">
                  <c:v>2022</c:v>
                </c:pt>
              </c:numCache>
            </c:numRef>
          </c:cat>
          <c:val>
            <c:numRef>
              <c:f>Analysis!$D$1672:$J$1672</c:f>
              <c:numCache>
                <c:formatCode>0%</c:formatCode>
                <c:ptCount val="7"/>
                <c:pt idx="0">
                  <c:v>0.11946307782493171</c:v>
                </c:pt>
                <c:pt idx="1">
                  <c:v>3.6260331874224061E-2</c:v>
                </c:pt>
                <c:pt idx="2">
                  <c:v>9.6374969740982808E-2</c:v>
                </c:pt>
                <c:pt idx="3">
                  <c:v>0.10093975105566759</c:v>
                </c:pt>
                <c:pt idx="4">
                  <c:v>8.7887871085319702E-2</c:v>
                </c:pt>
                <c:pt idx="5">
                  <c:v>5.849613486425187E-2</c:v>
                </c:pt>
                <c:pt idx="6">
                  <c:v>8.1402056188035754E-3</c:v>
                </c:pt>
              </c:numCache>
            </c:numRef>
          </c:val>
          <c:extLst>
            <c:ext xmlns:c16="http://schemas.microsoft.com/office/drawing/2014/chart" uri="{C3380CC4-5D6E-409C-BE32-E72D297353CC}">
              <c16:uniqueId val="{00000000-AA14-403B-A7EC-3DC366282770}"/>
            </c:ext>
          </c:extLst>
        </c:ser>
        <c:ser>
          <c:idx val="1"/>
          <c:order val="1"/>
          <c:tx>
            <c:strRef>
              <c:f>Analysis!$B$1673</c:f>
              <c:strCache>
                <c:ptCount val="1"/>
              </c:strCache>
            </c:strRef>
          </c:tx>
          <c:spPr>
            <a:solidFill>
              <a:srgbClr val="9999FF"/>
            </a:solidFill>
            <a:ln w="25400">
              <a:noFill/>
            </a:ln>
            <a:effectLst/>
          </c:spPr>
          <c:invertIfNegative val="0"/>
          <c:cat>
            <c:numRef>
              <c:f>Analysis!$D$1671:$J$1671</c:f>
              <c:numCache>
                <c:formatCode>General</c:formatCode>
                <c:ptCount val="7"/>
                <c:pt idx="0">
                  <c:v>2016</c:v>
                </c:pt>
                <c:pt idx="1">
                  <c:v>2017</c:v>
                </c:pt>
                <c:pt idx="2">
                  <c:v>2018</c:v>
                </c:pt>
                <c:pt idx="3">
                  <c:v>2019</c:v>
                </c:pt>
                <c:pt idx="4">
                  <c:v>2020</c:v>
                </c:pt>
                <c:pt idx="5">
                  <c:v>2021</c:v>
                </c:pt>
                <c:pt idx="6">
                  <c:v>2022</c:v>
                </c:pt>
              </c:numCache>
            </c:numRef>
          </c:cat>
          <c:val>
            <c:numRef>
              <c:f>Analysis!$D$1673:$J$1673</c:f>
              <c:numCache>
                <c:formatCode>0%</c:formatCode>
                <c:ptCount val="7"/>
                <c:pt idx="0">
                  <c:v>0</c:v>
                </c:pt>
                <c:pt idx="1">
                  <c:v>0</c:v>
                </c:pt>
                <c:pt idx="2">
                  <c:v>0</c:v>
                </c:pt>
                <c:pt idx="3">
                  <c:v>0.05</c:v>
                </c:pt>
                <c:pt idx="4">
                  <c:v>0</c:v>
                </c:pt>
                <c:pt idx="5">
                  <c:v>0</c:v>
                </c:pt>
                <c:pt idx="6">
                  <c:v>0</c:v>
                </c:pt>
              </c:numCache>
            </c:numRef>
          </c:val>
          <c:extLst>
            <c:ext xmlns:c16="http://schemas.microsoft.com/office/drawing/2014/chart" uri="{C3380CC4-5D6E-409C-BE32-E72D297353CC}">
              <c16:uniqueId val="{00000001-AA14-403B-A7EC-3DC366282770}"/>
            </c:ext>
          </c:extLst>
        </c:ser>
        <c:dLbls>
          <c:showLegendKey val="0"/>
          <c:showVal val="0"/>
          <c:showCatName val="0"/>
          <c:showSerName val="0"/>
          <c:showPercent val="0"/>
          <c:showBubbleSize val="0"/>
        </c:dLbls>
        <c:gapWidth val="219"/>
        <c:overlap val="100"/>
        <c:axId val="888529376"/>
        <c:axId val="882430080"/>
      </c:barChart>
      <c:catAx>
        <c:axId val="88852937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82430080"/>
        <c:crosses val="autoZero"/>
        <c:auto val="1"/>
        <c:lblAlgn val="ctr"/>
        <c:lblOffset val="100"/>
        <c:noMultiLvlLbl val="0"/>
      </c:catAx>
      <c:valAx>
        <c:axId val="88243008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8852937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Analysis!$C$1693</c:f>
              <c:strCache>
                <c:ptCount val="1"/>
                <c:pt idx="0">
                  <c:v>EBITDA margin</c:v>
                </c:pt>
              </c:strCache>
            </c:strRef>
          </c:tx>
          <c:spPr>
            <a:ln w="25400" cap="rnd">
              <a:solidFill>
                <a:srgbClr val="333399"/>
              </a:solidFill>
              <a:prstDash val="solid"/>
              <a:round/>
            </a:ln>
            <a:effectLst/>
          </c:spPr>
          <c:marker>
            <c:symbol val="none"/>
          </c:marker>
          <c:cat>
            <c:numRef>
              <c:f>Analysis!$D$1692:$L$1692</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Analysis!$D$1693:$L$1693</c:f>
              <c:numCache>
                <c:formatCode>0%</c:formatCode>
                <c:ptCount val="9"/>
                <c:pt idx="0">
                  <c:v>0.40036084989276299</c:v>
                </c:pt>
                <c:pt idx="1">
                  <c:v>0.4150340528540431</c:v>
                </c:pt>
                <c:pt idx="2">
                  <c:v>0.42468530622125394</c:v>
                </c:pt>
                <c:pt idx="3">
                  <c:v>0.42234979162641789</c:v>
                </c:pt>
                <c:pt idx="4">
                  <c:v>0.42679008201045515</c:v>
                </c:pt>
                <c:pt idx="5">
                  <c:v>0.41656398579587411</c:v>
                </c:pt>
                <c:pt idx="6">
                  <c:v>0.4224202378547674</c:v>
                </c:pt>
                <c:pt idx="7">
                  <c:v>0.41111464560293148</c:v>
                </c:pt>
                <c:pt idx="8">
                  <c:v>0.38374058706008912</c:v>
                </c:pt>
              </c:numCache>
            </c:numRef>
          </c:val>
          <c:smooth val="0"/>
          <c:extLst>
            <c:ext xmlns:c16="http://schemas.microsoft.com/office/drawing/2014/chart" uri="{C3380CC4-5D6E-409C-BE32-E72D297353CC}">
              <c16:uniqueId val="{00000000-8467-4315-A676-B718783106AA}"/>
            </c:ext>
          </c:extLst>
        </c:ser>
        <c:ser>
          <c:idx val="1"/>
          <c:order val="1"/>
          <c:tx>
            <c:strRef>
              <c:f>Analysis!$C$1694</c:f>
              <c:strCache>
                <c:ptCount val="1"/>
                <c:pt idx="0">
                  <c:v>Capex/sales</c:v>
                </c:pt>
              </c:strCache>
            </c:strRef>
          </c:tx>
          <c:spPr>
            <a:ln w="25400" cap="rnd">
              <a:solidFill>
                <a:srgbClr val="99CCFF"/>
              </a:solidFill>
              <a:prstDash val="solid"/>
              <a:round/>
            </a:ln>
            <a:effectLst/>
          </c:spPr>
          <c:marker>
            <c:symbol val="none"/>
          </c:marker>
          <c:cat>
            <c:numRef>
              <c:f>Analysis!$D$1692:$L$1692</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Analysis!$D$1694:$L$1694</c:f>
              <c:numCache>
                <c:formatCode>0%</c:formatCode>
                <c:ptCount val="9"/>
                <c:pt idx="0">
                  <c:v>0.60007666305114737</c:v>
                </c:pt>
                <c:pt idx="1">
                  <c:v>0.58172590901679444</c:v>
                </c:pt>
                <c:pt idx="2">
                  <c:v>0.32008986928104577</c:v>
                </c:pt>
                <c:pt idx="3">
                  <c:v>0.35330361824855794</c:v>
                </c:pt>
                <c:pt idx="4">
                  <c:v>0.310939523284255</c:v>
                </c:pt>
                <c:pt idx="5">
                  <c:v>0.31367444690094803</c:v>
                </c:pt>
                <c:pt idx="6">
                  <c:v>0.36096736547868669</c:v>
                </c:pt>
                <c:pt idx="7">
                  <c:v>0.26830336818709483</c:v>
                </c:pt>
                <c:pt idx="8">
                  <c:v>0.22958045182111572</c:v>
                </c:pt>
              </c:numCache>
            </c:numRef>
          </c:val>
          <c:smooth val="0"/>
          <c:extLst>
            <c:ext xmlns:c16="http://schemas.microsoft.com/office/drawing/2014/chart" uri="{C3380CC4-5D6E-409C-BE32-E72D297353CC}">
              <c16:uniqueId val="{00000001-8467-4315-A676-B718783106AA}"/>
            </c:ext>
          </c:extLst>
        </c:ser>
        <c:ser>
          <c:idx val="2"/>
          <c:order val="2"/>
          <c:tx>
            <c:strRef>
              <c:f>Analysis!$C$1695</c:f>
              <c:strCache>
                <c:ptCount val="1"/>
                <c:pt idx="0">
                  <c:v>OpFCF margin</c:v>
                </c:pt>
              </c:strCache>
            </c:strRef>
          </c:tx>
          <c:spPr>
            <a:ln w="25400" cap="rnd">
              <a:solidFill>
                <a:srgbClr val="333399"/>
              </a:solidFill>
              <a:prstDash val="lgDash"/>
              <a:round/>
            </a:ln>
            <a:effectLst/>
          </c:spPr>
          <c:marker>
            <c:symbol val="none"/>
          </c:marker>
          <c:cat>
            <c:numRef>
              <c:f>Analysis!$D$1692:$L$1692</c:f>
              <c:numCache>
                <c:formatCode>General</c:formatCode>
                <c:ptCount val="9"/>
                <c:pt idx="0">
                  <c:v>2015</c:v>
                </c:pt>
                <c:pt idx="1">
                  <c:v>2016</c:v>
                </c:pt>
                <c:pt idx="2">
                  <c:v>2017</c:v>
                </c:pt>
                <c:pt idx="3">
                  <c:v>2018</c:v>
                </c:pt>
                <c:pt idx="4">
                  <c:v>2019</c:v>
                </c:pt>
                <c:pt idx="5">
                  <c:v>2020</c:v>
                </c:pt>
                <c:pt idx="6">
                  <c:v>2021</c:v>
                </c:pt>
                <c:pt idx="7">
                  <c:v>2022</c:v>
                </c:pt>
                <c:pt idx="8">
                  <c:v>2023</c:v>
                </c:pt>
              </c:numCache>
            </c:numRef>
          </c:cat>
          <c:val>
            <c:numRef>
              <c:f>Analysis!$D$1695:$L$1695</c:f>
              <c:numCache>
                <c:formatCode>0%</c:formatCode>
                <c:ptCount val="9"/>
                <c:pt idx="0">
                  <c:v>-0.19971581315838433</c:v>
                </c:pt>
                <c:pt idx="1">
                  <c:v>-0.16669185616275137</c:v>
                </c:pt>
                <c:pt idx="2">
                  <c:v>0.10459543694020819</c:v>
                </c:pt>
                <c:pt idx="3">
                  <c:v>6.9046173377859968E-2</c:v>
                </c:pt>
                <c:pt idx="4">
                  <c:v>0.11585055872620016</c:v>
                </c:pt>
                <c:pt idx="5">
                  <c:v>0.10288953889492605</c:v>
                </c:pt>
                <c:pt idx="6">
                  <c:v>6.14528723760807E-2</c:v>
                </c:pt>
                <c:pt idx="7">
                  <c:v>0.14281127741583663</c:v>
                </c:pt>
                <c:pt idx="8">
                  <c:v>0.1541601352389734</c:v>
                </c:pt>
              </c:numCache>
            </c:numRef>
          </c:val>
          <c:smooth val="0"/>
          <c:extLst>
            <c:ext xmlns:c16="http://schemas.microsoft.com/office/drawing/2014/chart" uri="{C3380CC4-5D6E-409C-BE32-E72D297353CC}">
              <c16:uniqueId val="{00000002-8467-4315-A676-B718783106AA}"/>
            </c:ext>
          </c:extLst>
        </c:ser>
        <c:dLbls>
          <c:showLegendKey val="0"/>
          <c:showVal val="0"/>
          <c:showCatName val="0"/>
          <c:showSerName val="0"/>
          <c:showPercent val="0"/>
          <c:showBubbleSize val="0"/>
        </c:dLbls>
        <c:smooth val="0"/>
        <c:axId val="856107936"/>
        <c:axId val="1216657952"/>
      </c:lineChart>
      <c:catAx>
        <c:axId val="856107936"/>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16657952"/>
        <c:crosses val="autoZero"/>
        <c:auto val="1"/>
        <c:lblAlgn val="ctr"/>
        <c:lblOffset val="100"/>
        <c:noMultiLvlLbl val="0"/>
      </c:catAx>
      <c:valAx>
        <c:axId val="121665795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5610793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Trebuchet MS"/>
              <a:ea typeface="Trebuchet MS"/>
              <a:cs typeface="Trebuchet MS"/>
            </a:defRPr>
          </a:pPr>
          <a:endParaRPr lang="en-US"/>
        </a:p>
      </c:txPr>
    </c:title>
    <c:autoTitleDeleted val="0"/>
    <c:plotArea>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1ED1-454D-82DF-C3C404122C34}"/>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2-1ED1-454D-82DF-C3C404122C34}"/>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3-1ED1-454D-82DF-C3C404122C34}"/>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4-1ED1-454D-82DF-C3C404122C34}"/>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5-1ED1-454D-82DF-C3C404122C34}"/>
              </c:ext>
            </c:extLst>
          </c:dPt>
          <c:dPt>
            <c:idx val="5"/>
            <c:bubble3D val="0"/>
            <c:spPr>
              <a:pattFill prst="wdDnDiag">
                <a:fgClr>
                  <a:srgbClr val="C0C0C0"/>
                </a:fgClr>
                <a:bgClr>
                  <a:srgbClr val="C0C0C0"/>
                </a:bgClr>
              </a:pattFill>
              <a:ln w="25400">
                <a:noFill/>
              </a:ln>
              <a:effectLst/>
            </c:spPr>
            <c:extLst>
              <c:ext xmlns:c16="http://schemas.microsoft.com/office/drawing/2014/chart" uri="{C3380CC4-5D6E-409C-BE32-E72D297353CC}">
                <c16:uniqueId val="{00000006-1ED1-454D-82DF-C3C404122C34}"/>
              </c:ext>
            </c:extLst>
          </c:dPt>
          <c:cat>
            <c:strRef>
              <c:f>Analysis!$A$1708:$A$1713</c:f>
              <c:strCache>
                <c:ptCount val="6"/>
                <c:pt idx="0">
                  <c:v>Content</c:v>
                </c:pt>
                <c:pt idx="1">
                  <c:v>SKY</c:v>
                </c:pt>
                <c:pt idx="2">
                  <c:v>Retail cable</c:v>
                </c:pt>
                <c:pt idx="3">
                  <c:v>Fixed wholesale</c:v>
                </c:pt>
                <c:pt idx="4">
                  <c:v>Other</c:v>
                </c:pt>
                <c:pt idx="5">
                  <c:v>Intersegment</c:v>
                </c:pt>
              </c:strCache>
            </c:strRef>
          </c:cat>
          <c:val>
            <c:numRef>
              <c:f>Analysis!$B$1708:$B$1713</c:f>
              <c:numCache>
                <c:formatCode>#,##0</c:formatCode>
                <c:ptCount val="6"/>
                <c:pt idx="0">
                  <c:v>7184.9</c:v>
                </c:pt>
                <c:pt idx="1">
                  <c:v>5281.6</c:v>
                </c:pt>
                <c:pt idx="2">
                  <c:v>8874.2000000000007</c:v>
                </c:pt>
                <c:pt idx="3">
                  <c:v>1023.8999999999992</c:v>
                </c:pt>
                <c:pt idx="4">
                  <c:v>2260.3000000000002</c:v>
                </c:pt>
                <c:pt idx="5">
                  <c:v>-1229.7</c:v>
                </c:pt>
              </c:numCache>
            </c:numRef>
          </c:val>
          <c:extLst>
            <c:ext xmlns:c16="http://schemas.microsoft.com/office/drawing/2014/chart" uri="{C3380CC4-5D6E-409C-BE32-E72D297353CC}">
              <c16:uniqueId val="{00000000-1ED1-454D-82DF-C3C404122C34}"/>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cat>
            <c:strRef>
              <c:f>Analysis!$G$1724:$N$1724</c:f>
              <c:strCache>
                <c:ptCount val="8"/>
                <c:pt idx="0">
                  <c:v>Q1 18</c:v>
                </c:pt>
                <c:pt idx="1">
                  <c:v>Q2 18</c:v>
                </c:pt>
                <c:pt idx="2">
                  <c:v>Q3 18</c:v>
                </c:pt>
                <c:pt idx="3">
                  <c:v>Q4 18</c:v>
                </c:pt>
                <c:pt idx="4">
                  <c:v>Q1 19</c:v>
                </c:pt>
                <c:pt idx="5">
                  <c:v>Q2 19</c:v>
                </c:pt>
                <c:pt idx="6">
                  <c:v>Q3 19</c:v>
                </c:pt>
                <c:pt idx="7">
                  <c:v>Q4 19</c:v>
                </c:pt>
              </c:strCache>
            </c:strRef>
          </c:cat>
          <c:val>
            <c:numRef>
              <c:f>Analysis!$G$1727:$N$1727</c:f>
              <c:numCache>
                <c:formatCode>0%</c:formatCode>
                <c:ptCount val="8"/>
                <c:pt idx="0">
                  <c:v>-4.457300275482079E-2</c:v>
                </c:pt>
                <c:pt idx="1">
                  <c:v>-0.10725274725274747</c:v>
                </c:pt>
                <c:pt idx="2">
                  <c:v>-0.14908188585607929</c:v>
                </c:pt>
                <c:pt idx="3">
                  <c:v>-0.11634517766497454</c:v>
                </c:pt>
                <c:pt idx="4">
                  <c:v>-7.8534031413612593E-2</c:v>
                </c:pt>
                <c:pt idx="5">
                  <c:v>0</c:v>
                </c:pt>
                <c:pt idx="6">
                  <c:v>0</c:v>
                </c:pt>
                <c:pt idx="7">
                  <c:v>0</c:v>
                </c:pt>
              </c:numCache>
            </c:numRef>
          </c:val>
          <c:extLst>
            <c:ext xmlns:c16="http://schemas.microsoft.com/office/drawing/2014/chart" uri="{C3380CC4-5D6E-409C-BE32-E72D297353CC}">
              <c16:uniqueId val="{00000000-F718-423E-8D2E-D4F14DFD5A6B}"/>
            </c:ext>
          </c:extLst>
        </c:ser>
        <c:dLbls>
          <c:showLegendKey val="0"/>
          <c:showVal val="0"/>
          <c:showCatName val="0"/>
          <c:showSerName val="0"/>
          <c:showPercent val="0"/>
          <c:showBubbleSize val="0"/>
        </c:dLbls>
        <c:gapWidth val="219"/>
        <c:overlap val="-27"/>
        <c:axId val="630684096"/>
        <c:axId val="557728848"/>
      </c:barChart>
      <c:catAx>
        <c:axId val="630684096"/>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557728848"/>
        <c:crosses val="autoZero"/>
        <c:auto val="1"/>
        <c:lblAlgn val="ctr"/>
        <c:lblOffset val="100"/>
        <c:noMultiLvlLbl val="0"/>
      </c:catAx>
      <c:valAx>
        <c:axId val="557728848"/>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y/y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3068409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Interims!$FK$441</c:f>
              <c:strCache>
                <c:ptCount val="1"/>
                <c:pt idx="0">
                  <c:v>SKY revenue</c:v>
                </c:pt>
              </c:strCache>
            </c:strRef>
          </c:tx>
          <c:spPr>
            <a:solidFill>
              <a:srgbClr val="000080"/>
            </a:solidFill>
            <a:ln w="25400">
              <a:noFill/>
            </a:ln>
            <a:effectLst/>
          </c:spPr>
          <c:invertIfNegative val="0"/>
          <c:dPt>
            <c:idx val="4"/>
            <c:invertIfNegative val="0"/>
            <c:bubble3D val="0"/>
            <c:extLst>
              <c:ext xmlns:c16="http://schemas.microsoft.com/office/drawing/2014/chart" uri="{C3380CC4-5D6E-409C-BE32-E72D297353CC}">
                <c16:uniqueId val="{00000001-308B-4D58-B356-164022603921}"/>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Interims!$FL$441:$FS$441</c:f>
              <c:numCache>
                <c:formatCode>0%</c:formatCode>
                <c:ptCount val="8"/>
                <c:pt idx="0">
                  <c:v>2.3420933050590786E-2</c:v>
                </c:pt>
                <c:pt idx="1">
                  <c:v>3.1151249976627104E-2</c:v>
                </c:pt>
                <c:pt idx="2">
                  <c:v>4.8629713579229294E-2</c:v>
                </c:pt>
                <c:pt idx="3">
                  <c:v>4.4189548437471027E-2</c:v>
                </c:pt>
                <c:pt idx="4">
                  <c:v>4.0608291861691237E-2</c:v>
                </c:pt>
                <c:pt idx="5">
                  <c:v>1.0045877382269364E-2</c:v>
                </c:pt>
                <c:pt idx="6">
                  <c:v>-2.4741420889976551E-2</c:v>
                </c:pt>
                <c:pt idx="7">
                  <c:v>-4.3530123913972485E-2</c:v>
                </c:pt>
              </c:numCache>
            </c:numRef>
          </c:val>
          <c:extLst>
            <c:ext xmlns:c15="http://schemas.microsoft.com/office/drawing/2012/chart" uri="{02D57815-91ED-43cb-92C2-25804820EDAC}">
              <c15:filteredCategoryTitle>
                <c15:cat>
                  <c:strRef>
                    <c:extLst>
                      <c:ext uri="{02D57815-91ED-43cb-92C2-25804820EDAC}">
                        <c15:formulaRef>
                          <c15:sqref>Interims!$FL$393:$FS$393</c15:sqref>
                        </c15:formulaRef>
                      </c:ext>
                    </c:extLst>
                    <c:strCache>
                      <c:ptCount val="8"/>
                      <c:pt idx="0">
                        <c:v>Q1 20</c:v>
                      </c:pt>
                      <c:pt idx="1">
                        <c:v>Q2 20</c:v>
                      </c:pt>
                      <c:pt idx="2">
                        <c:v>Q3 20</c:v>
                      </c:pt>
                      <c:pt idx="3">
                        <c:v>Q4 20</c:v>
                      </c:pt>
                      <c:pt idx="4">
                        <c:v>Q1 21</c:v>
                      </c:pt>
                      <c:pt idx="5">
                        <c:v>Q2 21</c:v>
                      </c:pt>
                      <c:pt idx="6">
                        <c:v>Q3 21e</c:v>
                      </c:pt>
                      <c:pt idx="7">
                        <c:v>Q4 21e</c:v>
                      </c:pt>
                    </c:strCache>
                  </c:strRef>
                </c15:cat>
              </c15:filteredCategoryTitle>
            </c:ext>
            <c:ext xmlns:c16="http://schemas.microsoft.com/office/drawing/2014/chart" uri="{C3380CC4-5D6E-409C-BE32-E72D297353CC}">
              <c16:uniqueId val="{00000002-308B-4D58-B356-164022603921}"/>
            </c:ext>
          </c:extLst>
        </c:ser>
        <c:ser>
          <c:idx val="1"/>
          <c:order val="1"/>
          <c:tx>
            <c:strRef>
              <c:f>Interims!$FK$442</c:f>
              <c:strCache>
                <c:ptCount val="1"/>
                <c:pt idx="0">
                  <c:v>SKY EBITDA</c:v>
                </c:pt>
              </c:strCache>
            </c:strRef>
          </c:tx>
          <c:spPr>
            <a:solidFill>
              <a:srgbClr val="9999FF"/>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Interims!$FL$442:$FS$442</c:f>
              <c:numCache>
                <c:formatCode>0%</c:formatCode>
                <c:ptCount val="8"/>
                <c:pt idx="0">
                  <c:v>-3.1600849625037952E-2</c:v>
                </c:pt>
                <c:pt idx="1">
                  <c:v>6.8528799444831368E-3</c:v>
                </c:pt>
                <c:pt idx="2">
                  <c:v>1.5333972248843697E-2</c:v>
                </c:pt>
                <c:pt idx="3">
                  <c:v>1.6501493669685452E-2</c:v>
                </c:pt>
                <c:pt idx="4">
                  <c:v>-3.558639212175474E-2</c:v>
                </c:pt>
                <c:pt idx="5">
                  <c:v>-3.3901955716378218E-2</c:v>
                </c:pt>
                <c:pt idx="6">
                  <c:v>-7.1818442976156249E-2</c:v>
                </c:pt>
                <c:pt idx="7">
                  <c:v>-0.13915193357279454</c:v>
                </c:pt>
              </c:numCache>
            </c:numRef>
          </c:val>
          <c:extLst>
            <c:ext xmlns:c15="http://schemas.microsoft.com/office/drawing/2012/chart" uri="{02D57815-91ED-43cb-92C2-25804820EDAC}">
              <c15:filteredCategoryTitle>
                <c15:cat>
                  <c:strRef>
                    <c:extLst>
                      <c:ext uri="{02D57815-91ED-43cb-92C2-25804820EDAC}">
                        <c15:formulaRef>
                          <c15:sqref>Interims!$FL$393:$FS$393</c15:sqref>
                        </c15:formulaRef>
                      </c:ext>
                    </c:extLst>
                    <c:strCache>
                      <c:ptCount val="8"/>
                      <c:pt idx="0">
                        <c:v>Q1 20</c:v>
                      </c:pt>
                      <c:pt idx="1">
                        <c:v>Q2 20</c:v>
                      </c:pt>
                      <c:pt idx="2">
                        <c:v>Q3 20</c:v>
                      </c:pt>
                      <c:pt idx="3">
                        <c:v>Q4 20</c:v>
                      </c:pt>
                      <c:pt idx="4">
                        <c:v>Q1 21</c:v>
                      </c:pt>
                      <c:pt idx="5">
                        <c:v>Q2 21</c:v>
                      </c:pt>
                      <c:pt idx="6">
                        <c:v>Q3 21e</c:v>
                      </c:pt>
                      <c:pt idx="7">
                        <c:v>Q4 21e</c:v>
                      </c:pt>
                    </c:strCache>
                  </c:strRef>
                </c15:cat>
              </c15:filteredCategoryTitle>
            </c:ext>
            <c:ext xmlns:c16="http://schemas.microsoft.com/office/drawing/2014/chart" uri="{C3380CC4-5D6E-409C-BE32-E72D297353CC}">
              <c16:uniqueId val="{00000003-308B-4D58-B356-164022603921}"/>
            </c:ext>
          </c:extLst>
        </c:ser>
        <c:dLbls>
          <c:showLegendKey val="0"/>
          <c:showVal val="0"/>
          <c:showCatName val="0"/>
          <c:showSerName val="0"/>
          <c:showPercent val="0"/>
          <c:showBubbleSize val="0"/>
        </c:dLbls>
        <c:gapWidth val="219"/>
        <c:overlap val="-27"/>
        <c:axId val="625265264"/>
        <c:axId val="625264280"/>
      </c:barChart>
      <c:catAx>
        <c:axId val="625265264"/>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264280"/>
        <c:crosses val="autoZero"/>
        <c:auto val="1"/>
        <c:lblAlgn val="ctr"/>
        <c:lblOffset val="100"/>
        <c:noMultiLvlLbl val="0"/>
      </c:catAx>
      <c:valAx>
        <c:axId val="625264280"/>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y/y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2526526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Analysis!$H$1772</c:f>
              <c:strCache>
                <c:ptCount val="1"/>
                <c:pt idx="0">
                  <c:v>Televisa </c:v>
                </c:pt>
              </c:strCache>
            </c:strRef>
          </c:tx>
          <c:spPr>
            <a:ln w="25400" cap="rnd">
              <a:solidFill>
                <a:srgbClr val="333399"/>
              </a:solidFill>
              <a:prstDash val="solid"/>
              <a:round/>
            </a:ln>
            <a:effectLst/>
          </c:spPr>
          <c:marker>
            <c:symbol val="none"/>
          </c:marker>
          <c:cat>
            <c:numRef>
              <c:f>Analysis!$I$1771:$L$1771</c:f>
              <c:numCache>
                <c:formatCode>General</c:formatCode>
                <c:ptCount val="4"/>
                <c:pt idx="0">
                  <c:v>2019</c:v>
                </c:pt>
                <c:pt idx="1">
                  <c:v>2020</c:v>
                </c:pt>
                <c:pt idx="2">
                  <c:v>2021</c:v>
                </c:pt>
                <c:pt idx="3">
                  <c:v>2022</c:v>
                </c:pt>
              </c:numCache>
            </c:numRef>
          </c:cat>
          <c:val>
            <c:numRef>
              <c:f>Analysis!$I$1772:$L$1772</c:f>
              <c:numCache>
                <c:formatCode>0.0\x</c:formatCode>
                <c:ptCount val="4"/>
                <c:pt idx="0">
                  <c:v>2.725734664988579</c:v>
                </c:pt>
                <c:pt idx="1">
                  <c:v>2.6484515708458845</c:v>
                </c:pt>
                <c:pt idx="2">
                  <c:v>2.5146898278962238</c:v>
                </c:pt>
                <c:pt idx="3">
                  <c:v>2.4466880717167077</c:v>
                </c:pt>
              </c:numCache>
            </c:numRef>
          </c:val>
          <c:smooth val="0"/>
          <c:extLst>
            <c:ext xmlns:c16="http://schemas.microsoft.com/office/drawing/2014/chart" uri="{C3380CC4-5D6E-409C-BE32-E72D297353CC}">
              <c16:uniqueId val="{00000000-9C19-454F-8DB8-A26AF480220E}"/>
            </c:ext>
          </c:extLst>
        </c:ser>
        <c:ser>
          <c:idx val="1"/>
          <c:order val="1"/>
          <c:tx>
            <c:strRef>
              <c:f>Analysis!$H$1773</c:f>
              <c:strCache>
                <c:ptCount val="1"/>
                <c:pt idx="0">
                  <c:v>NewCo</c:v>
                </c:pt>
              </c:strCache>
            </c:strRef>
          </c:tx>
          <c:spPr>
            <a:ln w="25400" cap="rnd">
              <a:solidFill>
                <a:srgbClr val="99CCFF"/>
              </a:solidFill>
              <a:prstDash val="solid"/>
              <a:round/>
            </a:ln>
            <a:effectLst/>
          </c:spPr>
          <c:marker>
            <c:symbol val="none"/>
          </c:marker>
          <c:cat>
            <c:numRef>
              <c:f>Analysis!$I$1771:$L$1771</c:f>
              <c:numCache>
                <c:formatCode>General</c:formatCode>
                <c:ptCount val="4"/>
                <c:pt idx="0">
                  <c:v>2019</c:v>
                </c:pt>
                <c:pt idx="1">
                  <c:v>2020</c:v>
                </c:pt>
                <c:pt idx="2">
                  <c:v>2021</c:v>
                </c:pt>
                <c:pt idx="3">
                  <c:v>2022</c:v>
                </c:pt>
              </c:numCache>
            </c:numRef>
          </c:cat>
          <c:val>
            <c:numRef>
              <c:f>Analysis!$I$1773:$L$1773</c:f>
              <c:numCache>
                <c:formatCode>0.0\x</c:formatCode>
                <c:ptCount val="4"/>
                <c:pt idx="0">
                  <c:v>5.6193374606588637</c:v>
                </c:pt>
                <c:pt idx="1">
                  <c:v>5.9892424517785043</c:v>
                </c:pt>
                <c:pt idx="2">
                  <c:v>5.1040494013230866</c:v>
                </c:pt>
                <c:pt idx="3">
                  <c:v>5.8445242024154958</c:v>
                </c:pt>
              </c:numCache>
            </c:numRef>
          </c:val>
          <c:smooth val="0"/>
          <c:extLst>
            <c:ext xmlns:c16="http://schemas.microsoft.com/office/drawing/2014/chart" uri="{C3380CC4-5D6E-409C-BE32-E72D297353CC}">
              <c16:uniqueId val="{00000001-9C19-454F-8DB8-A26AF480220E}"/>
            </c:ext>
          </c:extLst>
        </c:ser>
        <c:dLbls>
          <c:showLegendKey val="0"/>
          <c:showVal val="0"/>
          <c:showCatName val="0"/>
          <c:showSerName val="0"/>
          <c:showPercent val="0"/>
          <c:showBubbleSize val="0"/>
        </c:dLbls>
        <c:smooth val="0"/>
        <c:axId val="539088368"/>
        <c:axId val="751183712"/>
      </c:lineChart>
      <c:catAx>
        <c:axId val="539088368"/>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51183712"/>
        <c:crosses val="autoZero"/>
        <c:auto val="1"/>
        <c:lblAlgn val="ctr"/>
        <c:lblOffset val="100"/>
        <c:noMultiLvlLbl val="0"/>
      </c:catAx>
      <c:valAx>
        <c:axId val="751183712"/>
        <c:scaling>
          <c:orientation val="minMax"/>
        </c:scaling>
        <c:delete val="0"/>
        <c:axPos val="l"/>
        <c:majorGridlines>
          <c:spPr>
            <a:ln w="3175" cap="flat" cmpd="sng" algn="ctr">
              <a:solidFill>
                <a:srgbClr val="C0C0C0"/>
              </a:solidFill>
              <a:prstDash val="solid"/>
              <a:round/>
            </a:ln>
            <a:effectLst/>
          </c:spPr>
        </c:majorGridlines>
        <c:numFmt formatCode="0.0\x"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53908836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Analysis!$B$2026</c:f>
              <c:strCache>
                <c:ptCount val="1"/>
                <c:pt idx="0">
                  <c:v>Megacable</c:v>
                </c:pt>
              </c:strCache>
            </c:strRef>
          </c:tx>
          <c:spPr>
            <a:ln w="25400" cap="rnd">
              <a:solidFill>
                <a:srgbClr val="333399"/>
              </a:solidFill>
              <a:prstDash val="solid"/>
              <a:round/>
            </a:ln>
            <a:effectLst/>
          </c:spPr>
          <c:marker>
            <c:symbol val="none"/>
          </c:marker>
          <c:cat>
            <c:numRef>
              <c:f>Analysis!$N$2025:$T$2025</c:f>
              <c:numCache>
                <c:formatCode>General</c:formatCode>
                <c:ptCount val="5"/>
                <c:pt idx="0">
                  <c:v>2020</c:v>
                </c:pt>
                <c:pt idx="1">
                  <c:v>2021</c:v>
                </c:pt>
                <c:pt idx="2">
                  <c:v>2022</c:v>
                </c:pt>
                <c:pt idx="3">
                  <c:v>2023</c:v>
                </c:pt>
                <c:pt idx="4">
                  <c:v>2024</c:v>
                </c:pt>
              </c:numCache>
            </c:numRef>
          </c:cat>
          <c:val>
            <c:numRef>
              <c:f>Analysis!$N$2026:$T$2026</c:f>
              <c:numCache>
                <c:formatCode>0%</c:formatCode>
                <c:ptCount val="5"/>
                <c:pt idx="0">
                  <c:v>0.36103292677478444</c:v>
                </c:pt>
                <c:pt idx="1">
                  <c:v>0.38428890963708695</c:v>
                </c:pt>
                <c:pt idx="2">
                  <c:v>0.4</c:v>
                </c:pt>
                <c:pt idx="3">
                  <c:v>0.4</c:v>
                </c:pt>
                <c:pt idx="4">
                  <c:v>0.35</c:v>
                </c:pt>
              </c:numCache>
            </c:numRef>
          </c:val>
          <c:smooth val="0"/>
          <c:extLst>
            <c:ext xmlns:c16="http://schemas.microsoft.com/office/drawing/2014/chart" uri="{C3380CC4-5D6E-409C-BE32-E72D297353CC}">
              <c16:uniqueId val="{00000000-3EFC-4ABE-BE48-55ECC823E963}"/>
            </c:ext>
          </c:extLst>
        </c:ser>
        <c:ser>
          <c:idx val="1"/>
          <c:order val="1"/>
          <c:tx>
            <c:strRef>
              <c:f>Analysis!$B$2027</c:f>
              <c:strCache>
                <c:ptCount val="1"/>
                <c:pt idx="0">
                  <c:v>Televisa</c:v>
                </c:pt>
              </c:strCache>
            </c:strRef>
          </c:tx>
          <c:spPr>
            <a:ln w="25400" cap="rnd">
              <a:solidFill>
                <a:srgbClr val="99CCFF"/>
              </a:solidFill>
              <a:prstDash val="solid"/>
              <a:round/>
            </a:ln>
            <a:effectLst/>
          </c:spPr>
          <c:marker>
            <c:symbol val="none"/>
          </c:marker>
          <c:cat>
            <c:numRef>
              <c:f>Analysis!$N$2025:$T$2025</c:f>
              <c:numCache>
                <c:formatCode>General</c:formatCode>
                <c:ptCount val="5"/>
                <c:pt idx="0">
                  <c:v>2020</c:v>
                </c:pt>
                <c:pt idx="1">
                  <c:v>2021</c:v>
                </c:pt>
                <c:pt idx="2">
                  <c:v>2022</c:v>
                </c:pt>
                <c:pt idx="3">
                  <c:v>2023</c:v>
                </c:pt>
                <c:pt idx="4">
                  <c:v>2024</c:v>
                </c:pt>
              </c:numCache>
            </c:numRef>
          </c:cat>
          <c:val>
            <c:numRef>
              <c:f>Analysis!$N$2027:$T$2027</c:f>
              <c:numCache>
                <c:formatCode>0.0%</c:formatCode>
                <c:ptCount val="5"/>
                <c:pt idx="0">
                  <c:v>0.31367444690094803</c:v>
                </c:pt>
                <c:pt idx="1">
                  <c:v>0.36096736547868669</c:v>
                </c:pt>
                <c:pt idx="2">
                  <c:v>0.26830336818709483</c:v>
                </c:pt>
                <c:pt idx="3">
                  <c:v>0.22958045182111572</c:v>
                </c:pt>
                <c:pt idx="4">
                  <c:v>0.1541442829109784</c:v>
                </c:pt>
              </c:numCache>
            </c:numRef>
          </c:val>
          <c:smooth val="0"/>
          <c:extLst>
            <c:ext xmlns:c16="http://schemas.microsoft.com/office/drawing/2014/chart" uri="{C3380CC4-5D6E-409C-BE32-E72D297353CC}">
              <c16:uniqueId val="{00000001-3EFC-4ABE-BE48-55ECC823E963}"/>
            </c:ext>
          </c:extLst>
        </c:ser>
        <c:dLbls>
          <c:showLegendKey val="0"/>
          <c:showVal val="0"/>
          <c:showCatName val="0"/>
          <c:showSerName val="0"/>
          <c:showPercent val="0"/>
          <c:showBubbleSize val="0"/>
        </c:dLbls>
        <c:smooth val="0"/>
        <c:axId val="601482080"/>
        <c:axId val="770674960"/>
      </c:lineChart>
      <c:catAx>
        <c:axId val="601482080"/>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70674960"/>
        <c:crosses val="autoZero"/>
        <c:auto val="1"/>
        <c:lblAlgn val="ctr"/>
        <c:lblOffset val="100"/>
        <c:noMultiLvlLbl val="0"/>
      </c:catAx>
      <c:valAx>
        <c:axId val="77067496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0148208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Analysis!$B$2030</c:f>
              <c:strCache>
                <c:ptCount val="1"/>
                <c:pt idx="0">
                  <c:v>MEGA </c:v>
                </c:pt>
              </c:strCache>
            </c:strRef>
          </c:tx>
          <c:spPr>
            <a:solidFill>
              <a:srgbClr val="000080"/>
            </a:solidFill>
            <a:ln w="25400">
              <a:noFill/>
            </a:ln>
            <a:effectLst/>
          </c:spPr>
          <c:invertIfNegative val="0"/>
          <c:cat>
            <c:numRef>
              <c:f>Analysis!$C$2025:$M$2025</c:f>
              <c:numCache>
                <c:formatCode>General</c:formatCode>
                <c:ptCount val="11"/>
                <c:pt idx="0">
                  <c:v>2009</c:v>
                </c:pt>
                <c:pt idx="1">
                  <c:v>2010</c:v>
                </c:pt>
                <c:pt idx="2">
                  <c:v>2011</c:v>
                </c:pt>
                <c:pt idx="3">
                  <c:v>2012</c:v>
                </c:pt>
                <c:pt idx="4">
                  <c:v>2013</c:v>
                </c:pt>
                <c:pt idx="5">
                  <c:v>2014</c:v>
                </c:pt>
                <c:pt idx="6">
                  <c:v>2015</c:v>
                </c:pt>
                <c:pt idx="7">
                  <c:v>2016</c:v>
                </c:pt>
                <c:pt idx="8">
                  <c:v>2017</c:v>
                </c:pt>
                <c:pt idx="9">
                  <c:v>2018</c:v>
                </c:pt>
                <c:pt idx="10">
                  <c:v>2019</c:v>
                </c:pt>
              </c:numCache>
            </c:numRef>
          </c:cat>
          <c:val>
            <c:numRef>
              <c:f>Analysis!$C$2030:$M$2030</c:f>
              <c:numCache>
                <c:formatCode>0.0%</c:formatCode>
                <c:ptCount val="11"/>
                <c:pt idx="0">
                  <c:v>0.21099999999999999</c:v>
                </c:pt>
                <c:pt idx="1">
                  <c:v>0.20841656678652284</c:v>
                </c:pt>
                <c:pt idx="2">
                  <c:v>0.19238695599466601</c:v>
                </c:pt>
                <c:pt idx="3">
                  <c:v>0.19962125431658684</c:v>
                </c:pt>
                <c:pt idx="4">
                  <c:v>0.23400874056416368</c:v>
                </c:pt>
                <c:pt idx="5">
                  <c:v>0.21882352941176469</c:v>
                </c:pt>
                <c:pt idx="6">
                  <c:v>0.14274919282819262</c:v>
                </c:pt>
                <c:pt idx="7">
                  <c:v>0.12036327180515421</c:v>
                </c:pt>
                <c:pt idx="8">
                  <c:v>0.17487129056516457</c:v>
                </c:pt>
                <c:pt idx="9">
                  <c:v>0.18490826301708171</c:v>
                </c:pt>
                <c:pt idx="10">
                  <c:v>0.17751556391219472</c:v>
                </c:pt>
              </c:numCache>
            </c:numRef>
          </c:val>
          <c:extLst>
            <c:ext xmlns:c16="http://schemas.microsoft.com/office/drawing/2014/chart" uri="{C3380CC4-5D6E-409C-BE32-E72D297353CC}">
              <c16:uniqueId val="{00000000-9D9B-469E-A990-0B37E92E48F5}"/>
            </c:ext>
          </c:extLst>
        </c:ser>
        <c:ser>
          <c:idx val="1"/>
          <c:order val="1"/>
          <c:tx>
            <c:strRef>
              <c:f>Analysis!$B$2031</c:f>
              <c:strCache>
                <c:ptCount val="1"/>
                <c:pt idx="0">
                  <c:v>TV</c:v>
                </c:pt>
              </c:strCache>
            </c:strRef>
          </c:tx>
          <c:spPr>
            <a:solidFill>
              <a:srgbClr val="9999FF"/>
            </a:solidFill>
            <a:ln w="25400">
              <a:noFill/>
            </a:ln>
            <a:effectLst/>
          </c:spPr>
          <c:invertIfNegative val="0"/>
          <c:cat>
            <c:numRef>
              <c:f>Analysis!$C$2025:$M$2025</c:f>
              <c:numCache>
                <c:formatCode>General</c:formatCode>
                <c:ptCount val="11"/>
                <c:pt idx="0">
                  <c:v>2009</c:v>
                </c:pt>
                <c:pt idx="1">
                  <c:v>2010</c:v>
                </c:pt>
                <c:pt idx="2">
                  <c:v>2011</c:v>
                </c:pt>
                <c:pt idx="3">
                  <c:v>2012</c:v>
                </c:pt>
                <c:pt idx="4">
                  <c:v>2013</c:v>
                </c:pt>
                <c:pt idx="5">
                  <c:v>2014</c:v>
                </c:pt>
                <c:pt idx="6">
                  <c:v>2015</c:v>
                </c:pt>
                <c:pt idx="7">
                  <c:v>2016</c:v>
                </c:pt>
                <c:pt idx="8">
                  <c:v>2017</c:v>
                </c:pt>
                <c:pt idx="9">
                  <c:v>2018</c:v>
                </c:pt>
                <c:pt idx="10">
                  <c:v>2019</c:v>
                </c:pt>
              </c:numCache>
            </c:numRef>
          </c:cat>
          <c:val>
            <c:numRef>
              <c:f>Analysis!$C$2031:$M$2031</c:f>
              <c:numCache>
                <c:formatCode>0.0%</c:formatCode>
                <c:ptCount val="11"/>
                <c:pt idx="0">
                  <c:v>-2.7538223487020785E-2</c:v>
                </c:pt>
                <c:pt idx="1">
                  <c:v>-0.13754126390276111</c:v>
                </c:pt>
                <c:pt idx="2">
                  <c:v>-1.992167446499548E-2</c:v>
                </c:pt>
                <c:pt idx="3">
                  <c:v>-1.1239274520885842E-2</c:v>
                </c:pt>
                <c:pt idx="4">
                  <c:v>-8.8858263122272227E-2</c:v>
                </c:pt>
                <c:pt idx="5">
                  <c:v>-7.0338870527100111E-2</c:v>
                </c:pt>
                <c:pt idx="6">
                  <c:v>-0.19971581315838433</c:v>
                </c:pt>
                <c:pt idx="7">
                  <c:v>-0.16669185616275137</c:v>
                </c:pt>
                <c:pt idx="8">
                  <c:v>0.10459543694020819</c:v>
                </c:pt>
                <c:pt idx="9">
                  <c:v>6.9046173377859968E-2</c:v>
                </c:pt>
                <c:pt idx="10">
                  <c:v>0.11585055872620016</c:v>
                </c:pt>
              </c:numCache>
            </c:numRef>
          </c:val>
          <c:extLst>
            <c:ext xmlns:c16="http://schemas.microsoft.com/office/drawing/2014/chart" uri="{C3380CC4-5D6E-409C-BE32-E72D297353CC}">
              <c16:uniqueId val="{00000001-9D9B-469E-A990-0B37E92E48F5}"/>
            </c:ext>
          </c:extLst>
        </c:ser>
        <c:dLbls>
          <c:showLegendKey val="0"/>
          <c:showVal val="0"/>
          <c:showCatName val="0"/>
          <c:showSerName val="0"/>
          <c:showPercent val="0"/>
          <c:showBubbleSize val="0"/>
        </c:dLbls>
        <c:gapWidth val="150"/>
        <c:axId val="601482080"/>
        <c:axId val="770674960"/>
      </c:barChart>
      <c:catAx>
        <c:axId val="601482080"/>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70674960"/>
        <c:crosses val="autoZero"/>
        <c:auto val="1"/>
        <c:lblAlgn val="ctr"/>
        <c:lblOffset val="100"/>
        <c:noMultiLvlLbl val="0"/>
      </c:catAx>
      <c:valAx>
        <c:axId val="770674960"/>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0148208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783478199013505"/>
          <c:y val="8.6584876353645215E-2"/>
          <c:w val="0.57187821203082578"/>
          <c:h val="0.59348666252425009"/>
        </c:manualLayout>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B981-4504-872F-058E768F21D3}"/>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2-B981-4504-872F-058E768F21D3}"/>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3-B981-4504-872F-058E768F21D3}"/>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4-B981-4504-872F-058E768F21D3}"/>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5-B981-4504-872F-058E768F21D3}"/>
              </c:ext>
            </c:extLst>
          </c:dPt>
          <c:dPt>
            <c:idx val="5"/>
            <c:bubble3D val="0"/>
            <c:spPr>
              <a:pattFill prst="wdDnDiag">
                <a:fgClr>
                  <a:srgbClr val="C0C0C0"/>
                </a:fgClr>
                <a:bgClr>
                  <a:srgbClr val="C0C0C0"/>
                </a:bgClr>
              </a:pattFill>
              <a:ln w="25400">
                <a:noFill/>
              </a:ln>
              <a:effectLst/>
            </c:spPr>
            <c:extLst>
              <c:ext xmlns:c16="http://schemas.microsoft.com/office/drawing/2014/chart" uri="{C3380CC4-5D6E-409C-BE32-E72D297353CC}">
                <c16:uniqueId val="{00000006-B981-4504-872F-058E768F21D3}"/>
              </c:ext>
            </c:extLst>
          </c:dPt>
          <c:dPt>
            <c:idx val="6"/>
            <c:bubble3D val="0"/>
            <c:spPr>
              <a:pattFill prst="wdDnDiag">
                <a:fgClr>
                  <a:srgbClr val="0000FF"/>
                </a:fgClr>
                <a:bgClr>
                  <a:srgbClr val="0000FF"/>
                </a:bgClr>
              </a:pattFill>
              <a:ln w="25400">
                <a:noFill/>
              </a:ln>
              <a:effectLst/>
            </c:spPr>
            <c:extLst>
              <c:ext xmlns:c16="http://schemas.microsoft.com/office/drawing/2014/chart" uri="{C3380CC4-5D6E-409C-BE32-E72D297353CC}">
                <c16:uniqueId val="{00000007-B981-4504-872F-058E768F21D3}"/>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Analysis!$B$2003:$B$2009</c:f>
              <c:strCache>
                <c:ptCount val="7"/>
                <c:pt idx="0">
                  <c:v>Construction/upgrades</c:v>
                </c:pt>
                <c:pt idx="1">
                  <c:v>CPE</c:v>
                </c:pt>
                <c:pt idx="2">
                  <c:v>Data network</c:v>
                </c:pt>
                <c:pt idx="3">
                  <c:v>Other, special projects</c:v>
                </c:pt>
                <c:pt idx="4">
                  <c:v>Corporate segment</c:v>
                </c:pt>
                <c:pt idx="5">
                  <c:v>Transport, GTAC</c:v>
                </c:pt>
                <c:pt idx="6">
                  <c:v>CTC, tooling, IT</c:v>
                </c:pt>
              </c:strCache>
            </c:strRef>
          </c:cat>
          <c:val>
            <c:numRef>
              <c:f>Analysis!$C$2003:$C$2009</c:f>
              <c:numCache>
                <c:formatCode>0%</c:formatCode>
                <c:ptCount val="7"/>
                <c:pt idx="0">
                  <c:v>0.37</c:v>
                </c:pt>
                <c:pt idx="1">
                  <c:v>0.26</c:v>
                </c:pt>
                <c:pt idx="2">
                  <c:v>0.14000000000000001</c:v>
                </c:pt>
                <c:pt idx="3">
                  <c:v>0.1</c:v>
                </c:pt>
                <c:pt idx="4">
                  <c:v>7.0000000000000007E-2</c:v>
                </c:pt>
                <c:pt idx="5">
                  <c:v>0.04</c:v>
                </c:pt>
                <c:pt idx="6">
                  <c:v>0.02</c:v>
                </c:pt>
              </c:numCache>
            </c:numRef>
          </c:val>
          <c:extLst>
            <c:ext xmlns:c16="http://schemas.microsoft.com/office/drawing/2014/chart" uri="{C3380CC4-5D6E-409C-BE32-E72D297353CC}">
              <c16:uniqueId val="{00000000-B981-4504-872F-058E768F21D3}"/>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layout>
        <c:manualLayout>
          <c:xMode val="edge"/>
          <c:yMode val="edge"/>
          <c:x val="0"/>
          <c:y val="0.73629064821049695"/>
          <c:w val="1"/>
          <c:h val="0.24093502652372045"/>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40A8-4C90-A0C1-127E199CA5FF}"/>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40A8-4C90-A0C1-127E199CA5FF}"/>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5-40A8-4C90-A0C1-127E199CA5FF}"/>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7-40A8-4C90-A0C1-127E199CA5FF}"/>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9-40A8-4C90-A0C1-127E199CA5FF}"/>
              </c:ext>
            </c:extLst>
          </c:dPt>
          <c:dPt>
            <c:idx val="5"/>
            <c:bubble3D val="0"/>
            <c:spPr>
              <a:pattFill prst="wdDnDiag">
                <a:fgClr>
                  <a:srgbClr val="C0C0C0"/>
                </a:fgClr>
                <a:bgClr>
                  <a:srgbClr val="C0C0C0"/>
                </a:bgClr>
              </a:pattFill>
              <a:ln w="25400">
                <a:noFill/>
              </a:ln>
              <a:effectLst/>
            </c:spPr>
            <c:extLst>
              <c:ext xmlns:c16="http://schemas.microsoft.com/office/drawing/2014/chart" uri="{C3380CC4-5D6E-409C-BE32-E72D297353CC}">
                <c16:uniqueId val="{0000000B-40A8-4C90-A0C1-127E199CA5FF}"/>
              </c:ext>
            </c:extLst>
          </c:dPt>
          <c:dPt>
            <c:idx val="6"/>
            <c:bubble3D val="0"/>
            <c:spPr>
              <a:pattFill prst="wdDnDiag">
                <a:fgClr>
                  <a:srgbClr val="0000FF"/>
                </a:fgClr>
                <a:bgClr>
                  <a:srgbClr val="0000FF"/>
                </a:bgClr>
              </a:pattFill>
              <a:ln w="25400">
                <a:noFill/>
              </a:ln>
              <a:effectLst/>
            </c:spPr>
            <c:extLst>
              <c:ext xmlns:c16="http://schemas.microsoft.com/office/drawing/2014/chart" uri="{C3380CC4-5D6E-409C-BE32-E72D297353CC}">
                <c16:uniqueId val="{0000000D-40A8-4C90-A0C1-127E199CA5FF}"/>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Analysis!$B$2017:$B$2018</c:f>
              <c:strCache>
                <c:ptCount val="2"/>
                <c:pt idx="0">
                  <c:v>CPE</c:v>
                </c:pt>
                <c:pt idx="1">
                  <c:v>Other</c:v>
                </c:pt>
              </c:strCache>
            </c:strRef>
          </c:cat>
          <c:val>
            <c:numRef>
              <c:f>Analysis!$C$2017:$C$2018</c:f>
              <c:numCache>
                <c:formatCode>0%</c:formatCode>
                <c:ptCount val="2"/>
                <c:pt idx="0">
                  <c:v>0.5</c:v>
                </c:pt>
                <c:pt idx="1">
                  <c:v>0.5</c:v>
                </c:pt>
              </c:numCache>
            </c:numRef>
          </c:val>
          <c:extLst>
            <c:ext xmlns:c16="http://schemas.microsoft.com/office/drawing/2014/chart" uri="{C3380CC4-5D6E-409C-BE32-E72D297353CC}">
              <c16:uniqueId val="{0000000E-40A8-4C90-A0C1-127E199CA5FF}"/>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Analysis!$C$2033</c:f>
              <c:strCache>
                <c:ptCount val="1"/>
                <c:pt idx="0">
                  <c:v>OpFCF margin</c:v>
                </c:pt>
              </c:strCache>
            </c:strRef>
          </c:tx>
          <c:spPr>
            <a:solidFill>
              <a:schemeClr val="tx2"/>
            </a:solidFill>
            <a:ln w="25400">
              <a:solidFill>
                <a:srgbClr val="333399"/>
              </a:solidFill>
              <a:prstDash val="solid"/>
            </a:ln>
            <a:effectLst/>
          </c:spPr>
          <c:invertIfNegative val="0"/>
          <c:dPt>
            <c:idx val="6"/>
            <c:invertIfNegative val="0"/>
            <c:bubble3D val="0"/>
            <c:spPr>
              <a:solidFill>
                <a:srgbClr val="FF0000"/>
              </a:solidFill>
              <a:ln w="25400">
                <a:solidFill>
                  <a:srgbClr val="333399"/>
                </a:solidFill>
                <a:prstDash val="solid"/>
              </a:ln>
              <a:effectLst/>
            </c:spPr>
            <c:extLst>
              <c:ext xmlns:c16="http://schemas.microsoft.com/office/drawing/2014/chart" uri="{C3380CC4-5D6E-409C-BE32-E72D297353CC}">
                <c16:uniqueId val="{00000004-07B4-41A6-B2D2-D4C587599BB9}"/>
              </c:ext>
            </c:extLst>
          </c:dPt>
          <c:dPt>
            <c:idx val="8"/>
            <c:invertIfNegative val="0"/>
            <c:bubble3D val="0"/>
            <c:spPr>
              <a:solidFill>
                <a:srgbClr val="FF0000"/>
              </a:solidFill>
              <a:ln w="25400">
                <a:solidFill>
                  <a:srgbClr val="333399"/>
                </a:solidFill>
                <a:prstDash val="solid"/>
              </a:ln>
              <a:effectLst/>
            </c:spPr>
            <c:extLst>
              <c:ext xmlns:c16="http://schemas.microsoft.com/office/drawing/2014/chart" uri="{C3380CC4-5D6E-409C-BE32-E72D297353CC}">
                <c16:uniqueId val="{00000005-07B4-41A6-B2D2-D4C587599BB9}"/>
              </c:ext>
            </c:extLst>
          </c:dPt>
          <c:cat>
            <c:strRef>
              <c:f>Analysis!$B$2034:$B$2042</c:f>
              <c:strCache>
                <c:ptCount val="9"/>
                <c:pt idx="0">
                  <c:v>Telenet - Belgium</c:v>
                </c:pt>
                <c:pt idx="1">
                  <c:v>UPC - Switz</c:v>
                </c:pt>
                <c:pt idx="2">
                  <c:v>Altice US</c:v>
                </c:pt>
                <c:pt idx="3">
                  <c:v>LCPR - Puerto Rico</c:v>
                </c:pt>
                <c:pt idx="4">
                  <c:v>Charter - US</c:v>
                </c:pt>
                <c:pt idx="5">
                  <c:v>VTR - Chile</c:v>
                </c:pt>
                <c:pt idx="6">
                  <c:v>MEGA</c:v>
                </c:pt>
                <c:pt idx="7">
                  <c:v>NOS - Portugal</c:v>
                </c:pt>
                <c:pt idx="8">
                  <c:v>Izzy</c:v>
                </c:pt>
              </c:strCache>
            </c:strRef>
          </c:cat>
          <c:val>
            <c:numRef>
              <c:f>Analysis!$C$2034:$C$2042</c:f>
              <c:numCache>
                <c:formatCode>0.0%</c:formatCode>
                <c:ptCount val="9"/>
                <c:pt idx="0">
                  <c:v>0.33100000000000002</c:v>
                </c:pt>
                <c:pt idx="1">
                  <c:v>0.32300000000000001</c:v>
                </c:pt>
                <c:pt idx="2">
                  <c:v>0.29799999999999999</c:v>
                </c:pt>
                <c:pt idx="3">
                  <c:v>0.27</c:v>
                </c:pt>
                <c:pt idx="4">
                  <c:v>0.20899999999999999</c:v>
                </c:pt>
                <c:pt idx="5">
                  <c:v>0.18</c:v>
                </c:pt>
                <c:pt idx="6">
                  <c:v>0.17751556391219472</c:v>
                </c:pt>
                <c:pt idx="7">
                  <c:v>0.16131512148268015</c:v>
                </c:pt>
                <c:pt idx="8">
                  <c:v>0.11585055872620016</c:v>
                </c:pt>
              </c:numCache>
            </c:numRef>
          </c:val>
          <c:extLst>
            <c:ext xmlns:c16="http://schemas.microsoft.com/office/drawing/2014/chart" uri="{C3380CC4-5D6E-409C-BE32-E72D297353CC}">
              <c16:uniqueId val="{00000000-07B4-41A6-B2D2-D4C587599BB9}"/>
            </c:ext>
          </c:extLst>
        </c:ser>
        <c:dLbls>
          <c:showLegendKey val="0"/>
          <c:showVal val="0"/>
          <c:showCatName val="0"/>
          <c:showSerName val="0"/>
          <c:showPercent val="0"/>
          <c:showBubbleSize val="0"/>
        </c:dLbls>
        <c:gapWidth val="150"/>
        <c:axId val="888539456"/>
        <c:axId val="797787312"/>
      </c:barChart>
      <c:lineChart>
        <c:grouping val="standard"/>
        <c:varyColors val="0"/>
        <c:ser>
          <c:idx val="1"/>
          <c:order val="1"/>
          <c:tx>
            <c:strRef>
              <c:f>Analysis!$D$2033</c:f>
              <c:strCache>
                <c:ptCount val="1"/>
                <c:pt idx="0">
                  <c:v>Capex/sales</c:v>
                </c:pt>
              </c:strCache>
            </c:strRef>
          </c:tx>
          <c:spPr>
            <a:ln w="25400" cap="rnd">
              <a:solidFill>
                <a:srgbClr val="99CCFF"/>
              </a:solidFill>
              <a:prstDash val="solid"/>
              <a:round/>
            </a:ln>
            <a:effectLst/>
          </c:spPr>
          <c:marker>
            <c:symbol val="none"/>
          </c:marker>
          <c:cat>
            <c:strRef>
              <c:f>Analysis!$B$2034:$B$2042</c:f>
              <c:strCache>
                <c:ptCount val="9"/>
                <c:pt idx="0">
                  <c:v>Telenet - Belgium</c:v>
                </c:pt>
                <c:pt idx="1">
                  <c:v>UPC - Switz</c:v>
                </c:pt>
                <c:pt idx="2">
                  <c:v>Altice US</c:v>
                </c:pt>
                <c:pt idx="3">
                  <c:v>LCPR - Puerto Rico</c:v>
                </c:pt>
                <c:pt idx="4">
                  <c:v>Charter - US</c:v>
                </c:pt>
                <c:pt idx="5">
                  <c:v>VTR - Chile</c:v>
                </c:pt>
                <c:pt idx="6">
                  <c:v>MEGA</c:v>
                </c:pt>
                <c:pt idx="7">
                  <c:v>NOS - Portugal</c:v>
                </c:pt>
                <c:pt idx="8">
                  <c:v>Izzy</c:v>
                </c:pt>
              </c:strCache>
            </c:strRef>
          </c:cat>
          <c:val>
            <c:numRef>
              <c:f>Analysis!$D$2034:$D$2042</c:f>
              <c:numCache>
                <c:formatCode>0.0%</c:formatCode>
                <c:ptCount val="9"/>
                <c:pt idx="0">
                  <c:v>0.20399999999999999</c:v>
                </c:pt>
                <c:pt idx="1">
                  <c:v>0.215</c:v>
                </c:pt>
                <c:pt idx="2">
                  <c:v>0.13700000000000001</c:v>
                </c:pt>
                <c:pt idx="3">
                  <c:v>0.22</c:v>
                </c:pt>
                <c:pt idx="4">
                  <c:v>0.155</c:v>
                </c:pt>
                <c:pt idx="5">
                  <c:v>0.23</c:v>
                </c:pt>
                <c:pt idx="6">
                  <c:v>0.30249027957785596</c:v>
                </c:pt>
                <c:pt idx="7">
                  <c:v>0.23867089565378335</c:v>
                </c:pt>
                <c:pt idx="8">
                  <c:v>0.310939523284255</c:v>
                </c:pt>
              </c:numCache>
            </c:numRef>
          </c:val>
          <c:smooth val="0"/>
          <c:extLst>
            <c:ext xmlns:c16="http://schemas.microsoft.com/office/drawing/2014/chart" uri="{C3380CC4-5D6E-409C-BE32-E72D297353CC}">
              <c16:uniqueId val="{00000001-07B4-41A6-B2D2-D4C587599BB9}"/>
            </c:ext>
          </c:extLst>
        </c:ser>
        <c:dLbls>
          <c:showLegendKey val="0"/>
          <c:showVal val="0"/>
          <c:showCatName val="0"/>
          <c:showSerName val="0"/>
          <c:showPercent val="0"/>
          <c:showBubbleSize val="0"/>
        </c:dLbls>
        <c:marker val="1"/>
        <c:smooth val="0"/>
        <c:axId val="888539456"/>
        <c:axId val="797787312"/>
      </c:lineChart>
      <c:catAx>
        <c:axId val="888539456"/>
        <c:scaling>
          <c:orientation val="minMax"/>
        </c:scaling>
        <c:delete val="0"/>
        <c:axPos val="b"/>
        <c:numFmt formatCode="General" sourceLinked="1"/>
        <c:majorTickMark val="none"/>
        <c:minorTickMark val="none"/>
        <c:tickLblPos val="low"/>
        <c:spPr>
          <a:noFill/>
          <a:ln w="9525" cap="flat" cmpd="sng" algn="ctr">
            <a:solidFill>
              <a:srgbClr val="868686"/>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97787312"/>
        <c:crosses val="autoZero"/>
        <c:auto val="1"/>
        <c:lblAlgn val="ctr"/>
        <c:lblOffset val="100"/>
        <c:noMultiLvlLbl val="0"/>
      </c:catAx>
      <c:valAx>
        <c:axId val="797787312"/>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rgbClr val="868686"/>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8853945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Analysis!$B$2069</c:f>
              <c:strCache>
                <c:ptCount val="1"/>
                <c:pt idx="0">
                  <c:v>MEGA Base EFCF</c:v>
                </c:pt>
              </c:strCache>
            </c:strRef>
          </c:tx>
          <c:spPr>
            <a:ln w="25400" cap="rnd">
              <a:solidFill>
                <a:srgbClr val="002060"/>
              </a:solidFill>
              <a:prstDash val="solid"/>
              <a:round/>
            </a:ln>
            <a:effectLst/>
          </c:spPr>
          <c:marker>
            <c:symbol val="none"/>
          </c:marker>
          <c:cat>
            <c:numRef>
              <c:f>Analysis!$C$2068:$J$2068</c:f>
              <c:numCache>
                <c:formatCode>General</c:formatCode>
                <c:ptCount val="8"/>
                <c:pt idx="0">
                  <c:v>2018</c:v>
                </c:pt>
                <c:pt idx="1">
                  <c:v>2019</c:v>
                </c:pt>
                <c:pt idx="2">
                  <c:v>2020</c:v>
                </c:pt>
                <c:pt idx="3">
                  <c:v>2021</c:v>
                </c:pt>
                <c:pt idx="4">
                  <c:v>2022</c:v>
                </c:pt>
                <c:pt idx="5">
                  <c:v>2023</c:v>
                </c:pt>
                <c:pt idx="6">
                  <c:v>2024</c:v>
                </c:pt>
                <c:pt idx="7">
                  <c:v>2025</c:v>
                </c:pt>
              </c:numCache>
            </c:numRef>
          </c:cat>
          <c:val>
            <c:numRef>
              <c:f>Analysis!$C$2069:$J$2069</c:f>
              <c:numCache>
                <c:formatCode>#,##0</c:formatCode>
                <c:ptCount val="8"/>
                <c:pt idx="0">
                  <c:v>2102.1770000000006</c:v>
                </c:pt>
                <c:pt idx="1">
                  <c:v>1947.8409004383952</c:v>
                </c:pt>
                <c:pt idx="2">
                  <c:v>2188.3925210189741</c:v>
                </c:pt>
                <c:pt idx="3">
                  <c:v>2523.6633579052045</c:v>
                </c:pt>
                <c:pt idx="4">
                  <c:v>2926.337628367773</c:v>
                </c:pt>
                <c:pt idx="5">
                  <c:v>3447.5348227139202</c:v>
                </c:pt>
                <c:pt idx="6">
                  <c:v>4304.0946881249329</c:v>
                </c:pt>
                <c:pt idx="7">
                  <c:v>4941.1156643657696</c:v>
                </c:pt>
              </c:numCache>
            </c:numRef>
          </c:val>
          <c:smooth val="0"/>
          <c:extLst>
            <c:ext xmlns:c16="http://schemas.microsoft.com/office/drawing/2014/chart" uri="{C3380CC4-5D6E-409C-BE32-E72D297353CC}">
              <c16:uniqueId val="{00000000-E122-4C19-BEEF-ACD920F41E65}"/>
            </c:ext>
          </c:extLst>
        </c:ser>
        <c:ser>
          <c:idx val="1"/>
          <c:order val="1"/>
          <c:tx>
            <c:strRef>
              <c:f>Analysis!$B$2070</c:f>
              <c:strCache>
                <c:ptCount val="1"/>
                <c:pt idx="0">
                  <c:v>MEGA EFCF flat capex / sales</c:v>
                </c:pt>
              </c:strCache>
            </c:strRef>
          </c:tx>
          <c:spPr>
            <a:ln w="25400" cap="rnd">
              <a:solidFill>
                <a:srgbClr val="002060"/>
              </a:solidFill>
              <a:prstDash val="sysDash"/>
              <a:round/>
            </a:ln>
            <a:effectLst/>
          </c:spPr>
          <c:marker>
            <c:symbol val="none"/>
          </c:marker>
          <c:cat>
            <c:numRef>
              <c:f>Analysis!$C$2068:$J$2068</c:f>
              <c:numCache>
                <c:formatCode>General</c:formatCode>
                <c:ptCount val="8"/>
                <c:pt idx="0">
                  <c:v>2018</c:v>
                </c:pt>
                <c:pt idx="1">
                  <c:v>2019</c:v>
                </c:pt>
                <c:pt idx="2">
                  <c:v>2020</c:v>
                </c:pt>
                <c:pt idx="3">
                  <c:v>2021</c:v>
                </c:pt>
                <c:pt idx="4">
                  <c:v>2022</c:v>
                </c:pt>
                <c:pt idx="5">
                  <c:v>2023</c:v>
                </c:pt>
                <c:pt idx="6">
                  <c:v>2024</c:v>
                </c:pt>
                <c:pt idx="7">
                  <c:v>2025</c:v>
                </c:pt>
              </c:numCache>
            </c:numRef>
          </c:cat>
          <c:val>
            <c:numRef>
              <c:f>Analysis!$C$2070:$J$2070</c:f>
              <c:numCache>
                <c:formatCode>#,##0</c:formatCode>
                <c:ptCount val="8"/>
                <c:pt idx="0">
                  <c:v>2102.1770000000006</c:v>
                </c:pt>
                <c:pt idx="1">
                  <c:v>1947.8409004383952</c:v>
                </c:pt>
                <c:pt idx="2">
                  <c:v>2188.3925210189764</c:v>
                </c:pt>
                <c:pt idx="3">
                  <c:v>2523.6633579052282</c:v>
                </c:pt>
                <c:pt idx="4">
                  <c:v>2666.9892658966473</c:v>
                </c:pt>
                <c:pt idx="5">
                  <c:v>2901.8103627824576</c:v>
                </c:pt>
                <c:pt idx="6">
                  <c:v>3141.0990014069866</c:v>
                </c:pt>
                <c:pt idx="7">
                  <c:v>3403.860517199962</c:v>
                </c:pt>
              </c:numCache>
            </c:numRef>
          </c:val>
          <c:smooth val="0"/>
          <c:extLst>
            <c:ext xmlns:c16="http://schemas.microsoft.com/office/drawing/2014/chart" uri="{C3380CC4-5D6E-409C-BE32-E72D297353CC}">
              <c16:uniqueId val="{00000001-E122-4C19-BEEF-ACD920F41E65}"/>
            </c:ext>
          </c:extLst>
        </c:ser>
        <c:dLbls>
          <c:showLegendKey val="0"/>
          <c:showVal val="0"/>
          <c:showCatName val="0"/>
          <c:showSerName val="0"/>
          <c:showPercent val="0"/>
          <c:showBubbleSize val="0"/>
        </c:dLbls>
        <c:smooth val="0"/>
        <c:axId val="681044176"/>
        <c:axId val="695811776"/>
      </c:lineChart>
      <c:catAx>
        <c:axId val="681044176"/>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95811776"/>
        <c:crosses val="autoZero"/>
        <c:auto val="1"/>
        <c:lblAlgn val="ctr"/>
        <c:lblOffset val="100"/>
        <c:noMultiLvlLbl val="0"/>
      </c:catAx>
      <c:valAx>
        <c:axId val="69581177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8104417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Analysis!$B$2075</c:f>
              <c:strCache>
                <c:ptCount val="1"/>
                <c:pt idx="0">
                  <c:v>Televisa Base EFCF</c:v>
                </c:pt>
              </c:strCache>
            </c:strRef>
          </c:tx>
          <c:spPr>
            <a:ln w="25400" cap="rnd">
              <a:solidFill>
                <a:srgbClr val="333399"/>
              </a:solidFill>
              <a:prstDash val="solid"/>
              <a:round/>
            </a:ln>
            <a:effectLst/>
          </c:spPr>
          <c:marker>
            <c:symbol val="none"/>
          </c:marker>
          <c:cat>
            <c:numRef>
              <c:f>Analysis!$C$2068:$J$2068</c:f>
              <c:numCache>
                <c:formatCode>General</c:formatCode>
                <c:ptCount val="8"/>
                <c:pt idx="0">
                  <c:v>2018</c:v>
                </c:pt>
                <c:pt idx="1">
                  <c:v>2019</c:v>
                </c:pt>
                <c:pt idx="2">
                  <c:v>2020</c:v>
                </c:pt>
                <c:pt idx="3">
                  <c:v>2021</c:v>
                </c:pt>
                <c:pt idx="4">
                  <c:v>2022</c:v>
                </c:pt>
                <c:pt idx="5">
                  <c:v>2023</c:v>
                </c:pt>
                <c:pt idx="6">
                  <c:v>2024</c:v>
                </c:pt>
                <c:pt idx="7">
                  <c:v>2025</c:v>
                </c:pt>
              </c:numCache>
            </c:numRef>
          </c:cat>
          <c:val>
            <c:numRef>
              <c:f>Analysis!$C$2075:$J$2075</c:f>
              <c:numCache>
                <c:formatCode>#,##0</c:formatCode>
                <c:ptCount val="8"/>
                <c:pt idx="0">
                  <c:v>-6336.4500000000016</c:v>
                </c:pt>
                <c:pt idx="1">
                  <c:v>1558.974999999999</c:v>
                </c:pt>
                <c:pt idx="2">
                  <c:v>1357.487999999998</c:v>
                </c:pt>
                <c:pt idx="3">
                  <c:v>-3236.6662704130695</c:v>
                </c:pt>
                <c:pt idx="4">
                  <c:v>-13936.812500000005</c:v>
                </c:pt>
                <c:pt idx="5">
                  <c:v>-4291.4649999999983</c:v>
                </c:pt>
                <c:pt idx="6">
                  <c:v>1536.2404999999965</c:v>
                </c:pt>
                <c:pt idx="7">
                  <c:v>3731.4521500000001</c:v>
                </c:pt>
              </c:numCache>
            </c:numRef>
          </c:val>
          <c:smooth val="0"/>
          <c:extLst>
            <c:ext xmlns:c16="http://schemas.microsoft.com/office/drawing/2014/chart" uri="{C3380CC4-5D6E-409C-BE32-E72D297353CC}">
              <c16:uniqueId val="{00000000-F60C-4999-9C0E-4ED34E00F0CE}"/>
            </c:ext>
          </c:extLst>
        </c:ser>
        <c:ser>
          <c:idx val="1"/>
          <c:order val="1"/>
          <c:tx>
            <c:strRef>
              <c:f>Analysis!$B$2076</c:f>
              <c:strCache>
                <c:ptCount val="1"/>
                <c:pt idx="0">
                  <c:v>Televisa EFCF Flat Izzy Capex </c:v>
                </c:pt>
              </c:strCache>
            </c:strRef>
          </c:tx>
          <c:spPr>
            <a:ln w="25400" cap="rnd">
              <a:solidFill>
                <a:srgbClr val="002060"/>
              </a:solidFill>
              <a:prstDash val="sysDash"/>
              <a:round/>
            </a:ln>
            <a:effectLst/>
          </c:spPr>
          <c:marker>
            <c:symbol val="none"/>
          </c:marker>
          <c:cat>
            <c:numRef>
              <c:f>Analysis!$C$2068:$J$2068</c:f>
              <c:numCache>
                <c:formatCode>General</c:formatCode>
                <c:ptCount val="8"/>
                <c:pt idx="0">
                  <c:v>2018</c:v>
                </c:pt>
                <c:pt idx="1">
                  <c:v>2019</c:v>
                </c:pt>
                <c:pt idx="2">
                  <c:v>2020</c:v>
                </c:pt>
                <c:pt idx="3">
                  <c:v>2021</c:v>
                </c:pt>
                <c:pt idx="4">
                  <c:v>2022</c:v>
                </c:pt>
                <c:pt idx="5">
                  <c:v>2023</c:v>
                </c:pt>
                <c:pt idx="6">
                  <c:v>2024</c:v>
                </c:pt>
                <c:pt idx="7">
                  <c:v>2025</c:v>
                </c:pt>
              </c:numCache>
            </c:numRef>
          </c:cat>
          <c:val>
            <c:numRef>
              <c:f>Analysis!$C$2076:$J$2076</c:f>
              <c:numCache>
                <c:formatCode>#,##0</c:formatCode>
                <c:ptCount val="8"/>
                <c:pt idx="0">
                  <c:v>-6336.4500000000016</c:v>
                </c:pt>
                <c:pt idx="1">
                  <c:v>-4.6510387079082092</c:v>
                </c:pt>
                <c:pt idx="2">
                  <c:v>1517.0293172625968</c:v>
                </c:pt>
                <c:pt idx="3">
                  <c:v>3951.0360586831716</c:v>
                </c:pt>
                <c:pt idx="4">
                  <c:v>5022.9242943414829</c:v>
                </c:pt>
                <c:pt idx="5">
                  <c:v>6089.4407536125009</c:v>
                </c:pt>
                <c:pt idx="6">
                  <c:v>6415.1246092898173</c:v>
                </c:pt>
                <c:pt idx="7">
                  <c:v>7300.8630329600619</c:v>
                </c:pt>
              </c:numCache>
            </c:numRef>
          </c:val>
          <c:smooth val="0"/>
          <c:extLst>
            <c:ext xmlns:c16="http://schemas.microsoft.com/office/drawing/2014/chart" uri="{C3380CC4-5D6E-409C-BE32-E72D297353CC}">
              <c16:uniqueId val="{00000001-F60C-4999-9C0E-4ED34E00F0CE}"/>
            </c:ext>
          </c:extLst>
        </c:ser>
        <c:ser>
          <c:idx val="2"/>
          <c:order val="2"/>
          <c:tx>
            <c:strRef>
              <c:f>Analysis!$B$2080</c:f>
              <c:strCache>
                <c:ptCount val="1"/>
                <c:pt idx="0">
                  <c:v>Izzy Base OpFCF</c:v>
                </c:pt>
              </c:strCache>
            </c:strRef>
          </c:tx>
          <c:spPr>
            <a:ln w="25400" cap="rnd">
              <a:solidFill>
                <a:srgbClr val="FF0000"/>
              </a:solidFill>
              <a:prstDash val="solid"/>
              <a:round/>
            </a:ln>
            <a:effectLst/>
          </c:spPr>
          <c:marker>
            <c:symbol val="none"/>
          </c:marker>
          <c:val>
            <c:numRef>
              <c:f>Analysis!$C$2080:$J$2080</c:f>
              <c:numCache>
                <c:formatCode>#,##0</c:formatCode>
                <c:ptCount val="8"/>
                <c:pt idx="0">
                  <c:v>2501.75</c:v>
                </c:pt>
                <c:pt idx="1">
                  <c:v>4831.1999999999989</c:v>
                </c:pt>
                <c:pt idx="2">
                  <c:v>4667.7999999999993</c:v>
                </c:pt>
                <c:pt idx="3">
                  <c:v>2951.0222390845338</c:v>
                </c:pt>
                <c:pt idx="4">
                  <c:v>6913.7510000000002</c:v>
                </c:pt>
                <c:pt idx="5">
                  <c:v>7523.4</c:v>
                </c:pt>
                <c:pt idx="6">
                  <c:v>11180.239999999998</c:v>
                </c:pt>
                <c:pt idx="7">
                  <c:v>8884.8522989824014</c:v>
                </c:pt>
              </c:numCache>
            </c:numRef>
          </c:val>
          <c:smooth val="0"/>
          <c:extLst>
            <c:ext xmlns:c16="http://schemas.microsoft.com/office/drawing/2014/chart" uri="{C3380CC4-5D6E-409C-BE32-E72D297353CC}">
              <c16:uniqueId val="{00000002-F60C-4999-9C0E-4ED34E00F0CE}"/>
            </c:ext>
          </c:extLst>
        </c:ser>
        <c:ser>
          <c:idx val="3"/>
          <c:order val="3"/>
          <c:tx>
            <c:strRef>
              <c:f>Analysis!$B$2081</c:f>
              <c:strCache>
                <c:ptCount val="1"/>
                <c:pt idx="0">
                  <c:v>Izzy OpFCF flat capex</c:v>
                </c:pt>
              </c:strCache>
            </c:strRef>
          </c:tx>
          <c:spPr>
            <a:ln w="25400" cap="rnd">
              <a:solidFill>
                <a:srgbClr val="FF0000"/>
              </a:solidFill>
              <a:prstDash val="sysDash"/>
              <a:round/>
            </a:ln>
            <a:effectLst/>
          </c:spPr>
          <c:marker>
            <c:symbol val="none"/>
          </c:marker>
          <c:val>
            <c:numRef>
              <c:f>Analysis!$C$2081:$J$2081</c:f>
              <c:numCache>
                <c:formatCode>#,##0</c:formatCode>
                <c:ptCount val="8"/>
                <c:pt idx="0">
                  <c:v>2501.75</c:v>
                </c:pt>
                <c:pt idx="1">
                  <c:v>4375.1347499999993</c:v>
                </c:pt>
                <c:pt idx="2">
                  <c:v>6187.6905750000005</c:v>
                </c:pt>
                <c:pt idx="3">
                  <c:v>7672.7363130000012</c:v>
                </c:pt>
                <c:pt idx="4">
                  <c:v>8286.5552180400009</c:v>
                </c:pt>
                <c:pt idx="5">
                  <c:v>8949.4796354831997</c:v>
                </c:pt>
                <c:pt idx="6">
                  <c:v>9665.4380063218559</c:v>
                </c:pt>
                <c:pt idx="7">
                  <c:v>10438.673046827604</c:v>
                </c:pt>
              </c:numCache>
            </c:numRef>
          </c:val>
          <c:smooth val="0"/>
          <c:extLst>
            <c:ext xmlns:c16="http://schemas.microsoft.com/office/drawing/2014/chart" uri="{C3380CC4-5D6E-409C-BE32-E72D297353CC}">
              <c16:uniqueId val="{00000003-F60C-4999-9C0E-4ED34E00F0CE}"/>
            </c:ext>
          </c:extLst>
        </c:ser>
        <c:dLbls>
          <c:showLegendKey val="0"/>
          <c:showVal val="0"/>
          <c:showCatName val="0"/>
          <c:showSerName val="0"/>
          <c:showPercent val="0"/>
          <c:showBubbleSize val="0"/>
        </c:dLbls>
        <c:smooth val="0"/>
        <c:axId val="681044176"/>
        <c:axId val="695811776"/>
      </c:lineChart>
      <c:catAx>
        <c:axId val="681044176"/>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95811776"/>
        <c:crosses val="autoZero"/>
        <c:auto val="1"/>
        <c:lblAlgn val="ctr"/>
        <c:lblOffset val="100"/>
        <c:noMultiLvlLbl val="0"/>
      </c:catAx>
      <c:valAx>
        <c:axId val="695811776"/>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81044176"/>
        <c:crosses val="autoZero"/>
        <c:crossBetween val="between"/>
      </c:valAx>
      <c:spPr>
        <a:noFill/>
        <a:ln w="25400">
          <a:noFill/>
        </a:ln>
        <a:effectLst/>
      </c:spPr>
    </c:plotArea>
    <c:legend>
      <c:legendPos val="b"/>
      <c:layout>
        <c:manualLayout>
          <c:xMode val="edge"/>
          <c:yMode val="edge"/>
          <c:x val="0"/>
          <c:y val="0.73227784808496343"/>
          <c:w val="1"/>
          <c:h val="0.2461535239090506"/>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Analysis!$B$2088</c:f>
              <c:strCache>
                <c:ptCount val="1"/>
                <c:pt idx="0">
                  <c:v>Televisa</c:v>
                </c:pt>
              </c:strCache>
            </c:strRef>
          </c:tx>
          <c:spPr>
            <a:solidFill>
              <a:srgbClr val="000080"/>
            </a:solidFill>
            <a:ln w="25400">
              <a:noFill/>
            </a:ln>
            <a:effectLst/>
          </c:spPr>
          <c:invertIfNegative val="0"/>
          <c:cat>
            <c:numRef>
              <c:f>Analysis!$C$2087:$E$2087</c:f>
              <c:numCache>
                <c:formatCode>General</c:formatCode>
                <c:ptCount val="3"/>
                <c:pt idx="0">
                  <c:v>2019</c:v>
                </c:pt>
                <c:pt idx="1">
                  <c:v>2020</c:v>
                </c:pt>
                <c:pt idx="2">
                  <c:v>2021</c:v>
                </c:pt>
              </c:numCache>
            </c:numRef>
          </c:cat>
          <c:val>
            <c:numRef>
              <c:f>Analysis!$C$2088:$E$2088</c:f>
              <c:numCache>
                <c:formatCode>0.0%</c:formatCode>
                <c:ptCount val="3"/>
                <c:pt idx="0">
                  <c:v>4.8364030177506873E-2</c:v>
                </c:pt>
                <c:pt idx="1">
                  <c:v>3.7617439481041064E-2</c:v>
                </c:pt>
                <c:pt idx="2">
                  <c:v>-9.4972804531638755E-2</c:v>
                </c:pt>
              </c:numCache>
            </c:numRef>
          </c:val>
          <c:extLst>
            <c:ext xmlns:c16="http://schemas.microsoft.com/office/drawing/2014/chart" uri="{C3380CC4-5D6E-409C-BE32-E72D297353CC}">
              <c16:uniqueId val="{00000000-C224-4035-BFBB-2A59EAD3242F}"/>
            </c:ext>
          </c:extLst>
        </c:ser>
        <c:ser>
          <c:idx val="1"/>
          <c:order val="1"/>
          <c:tx>
            <c:strRef>
              <c:f>Analysis!$B$2089</c:f>
              <c:strCache>
                <c:ptCount val="1"/>
                <c:pt idx="0">
                  <c:v>MEGA</c:v>
                </c:pt>
              </c:strCache>
            </c:strRef>
          </c:tx>
          <c:spPr>
            <a:solidFill>
              <a:srgbClr val="9999FF"/>
            </a:solidFill>
            <a:ln w="25400">
              <a:noFill/>
            </a:ln>
            <a:effectLst/>
          </c:spPr>
          <c:invertIfNegative val="0"/>
          <c:cat>
            <c:numRef>
              <c:f>Analysis!$C$2087:$E$2087</c:f>
              <c:numCache>
                <c:formatCode>General</c:formatCode>
                <c:ptCount val="3"/>
                <c:pt idx="0">
                  <c:v>2019</c:v>
                </c:pt>
                <c:pt idx="1">
                  <c:v>2020</c:v>
                </c:pt>
                <c:pt idx="2">
                  <c:v>2021</c:v>
                </c:pt>
              </c:numCache>
            </c:numRef>
          </c:cat>
          <c:val>
            <c:numRef>
              <c:f>Analysis!$C$2089:$E$2089</c:f>
              <c:numCache>
                <c:formatCode>0.0%</c:formatCode>
                <c:ptCount val="3"/>
                <c:pt idx="0">
                  <c:v>2.7311924902426496E-2</c:v>
                </c:pt>
                <c:pt idx="1">
                  <c:v>3.250484201899792E-2</c:v>
                </c:pt>
                <c:pt idx="2">
                  <c:v>3.9391165704192418E-2</c:v>
                </c:pt>
              </c:numCache>
            </c:numRef>
          </c:val>
          <c:extLst>
            <c:ext xmlns:c16="http://schemas.microsoft.com/office/drawing/2014/chart" uri="{C3380CC4-5D6E-409C-BE32-E72D297353CC}">
              <c16:uniqueId val="{00000001-C224-4035-BFBB-2A59EAD3242F}"/>
            </c:ext>
          </c:extLst>
        </c:ser>
        <c:dLbls>
          <c:showLegendKey val="0"/>
          <c:showVal val="0"/>
          <c:showCatName val="0"/>
          <c:showSerName val="0"/>
          <c:showPercent val="0"/>
          <c:showBubbleSize val="0"/>
        </c:dLbls>
        <c:gapWidth val="219"/>
        <c:overlap val="-27"/>
        <c:axId val="859130384"/>
        <c:axId val="817924400"/>
      </c:barChart>
      <c:catAx>
        <c:axId val="85913038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17924400"/>
        <c:crosses val="autoZero"/>
        <c:auto val="1"/>
        <c:lblAlgn val="ctr"/>
        <c:lblOffset val="100"/>
        <c:noMultiLvlLbl val="0"/>
      </c:catAx>
      <c:valAx>
        <c:axId val="817924400"/>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5913038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Analysis!$D$2124</c:f>
              <c:strCache>
                <c:ptCount val="1"/>
                <c:pt idx="0">
                  <c:v>MXN m</c:v>
                </c:pt>
              </c:strCache>
            </c:strRef>
          </c:tx>
          <c:spPr>
            <a:solidFill>
              <a:srgbClr val="000080"/>
            </a:solidFill>
            <a:ln w="25400">
              <a:noFill/>
            </a:ln>
            <a:effectLst/>
          </c:spPr>
          <c:invertIfNegative val="0"/>
          <c:dPt>
            <c:idx val="1"/>
            <c:invertIfNegative val="0"/>
            <c:bubble3D val="0"/>
            <c:spPr>
              <a:pattFill prst="pct20">
                <a:fgClr>
                  <a:srgbClr val="000080"/>
                </a:fgClr>
                <a:bgClr>
                  <a:schemeClr val="bg1"/>
                </a:bgClr>
              </a:pattFill>
              <a:ln w="25400">
                <a:solidFill>
                  <a:srgbClr val="002060"/>
                </a:solidFill>
              </a:ln>
              <a:effectLst/>
            </c:spPr>
            <c:extLst>
              <c:ext xmlns:c16="http://schemas.microsoft.com/office/drawing/2014/chart" uri="{C3380CC4-5D6E-409C-BE32-E72D297353CC}">
                <c16:uniqueId val="{00000003-2068-4BD7-A976-C06CD34E414A}"/>
              </c:ext>
            </c:extLst>
          </c:dPt>
          <c:cat>
            <c:strRef>
              <c:f>Analysis!$C$2125:$C$2142</c:f>
              <c:strCache>
                <c:ptCount val="18"/>
                <c:pt idx="0">
                  <c:v>2019</c:v>
                </c:pt>
                <c:pt idx="1">
                  <c:v>2020</c:v>
                </c:pt>
                <c:pt idx="2">
                  <c:v>2021</c:v>
                </c:pt>
                <c:pt idx="3">
                  <c:v>2022</c:v>
                </c:pt>
                <c:pt idx="4">
                  <c:v>2023</c:v>
                </c:pt>
                <c:pt idx="5">
                  <c:v>2024</c:v>
                </c:pt>
                <c:pt idx="6">
                  <c:v>2025</c:v>
                </c:pt>
                <c:pt idx="7">
                  <c:v>2026</c:v>
                </c:pt>
                <c:pt idx="8">
                  <c:v>2027</c:v>
                </c:pt>
                <c:pt idx="9">
                  <c:v>..</c:v>
                </c:pt>
                <c:pt idx="10">
                  <c:v>2032</c:v>
                </c:pt>
                <c:pt idx="11">
                  <c:v>..</c:v>
                </c:pt>
                <c:pt idx="12">
                  <c:v>2037</c:v>
                </c:pt>
                <c:pt idx="13">
                  <c:v>2040</c:v>
                </c:pt>
                <c:pt idx="14">
                  <c:v>2043</c:v>
                </c:pt>
                <c:pt idx="15">
                  <c:v>2045</c:v>
                </c:pt>
                <c:pt idx="16">
                  <c:v>2046</c:v>
                </c:pt>
                <c:pt idx="17">
                  <c:v>2049</c:v>
                </c:pt>
              </c:strCache>
            </c:strRef>
          </c:cat>
          <c:val>
            <c:numRef>
              <c:f>Analysis!$D$2125:$D$2142</c:f>
              <c:numCache>
                <c:formatCode>General</c:formatCode>
                <c:ptCount val="18"/>
                <c:pt idx="0">
                  <c:v>18</c:v>
                </c:pt>
                <c:pt idx="1">
                  <c:v>623</c:v>
                </c:pt>
                <c:pt idx="2">
                  <c:v>105</c:v>
                </c:pt>
                <c:pt idx="3">
                  <c:v>361</c:v>
                </c:pt>
                <c:pt idx="4">
                  <c:v>184</c:v>
                </c:pt>
                <c:pt idx="5">
                  <c:v>527</c:v>
                </c:pt>
                <c:pt idx="6">
                  <c:v>0</c:v>
                </c:pt>
                <c:pt idx="7">
                  <c:v>0</c:v>
                </c:pt>
                <c:pt idx="8">
                  <c:v>237</c:v>
                </c:pt>
                <c:pt idx="9">
                  <c:v>0</c:v>
                </c:pt>
                <c:pt idx="10">
                  <c:v>0</c:v>
                </c:pt>
                <c:pt idx="11">
                  <c:v>0</c:v>
                </c:pt>
                <c:pt idx="12">
                  <c:v>237</c:v>
                </c:pt>
                <c:pt idx="13">
                  <c:v>0</c:v>
                </c:pt>
                <c:pt idx="14">
                  <c:v>342</c:v>
                </c:pt>
              </c:numCache>
            </c:numRef>
          </c:val>
          <c:extLst>
            <c:ext xmlns:c16="http://schemas.microsoft.com/office/drawing/2014/chart" uri="{C3380CC4-5D6E-409C-BE32-E72D297353CC}">
              <c16:uniqueId val="{00000000-2068-4BD7-A976-C06CD34E414A}"/>
            </c:ext>
          </c:extLst>
        </c:ser>
        <c:ser>
          <c:idx val="1"/>
          <c:order val="1"/>
          <c:tx>
            <c:strRef>
              <c:f>Analysis!$E$2124</c:f>
              <c:strCache>
                <c:ptCount val="1"/>
                <c:pt idx="0">
                  <c:v>USD m</c:v>
                </c:pt>
              </c:strCache>
            </c:strRef>
          </c:tx>
          <c:spPr>
            <a:solidFill>
              <a:srgbClr val="9999FF"/>
            </a:solidFill>
            <a:ln w="25400">
              <a:noFill/>
            </a:ln>
            <a:effectLst/>
          </c:spPr>
          <c:invertIfNegative val="0"/>
          <c:cat>
            <c:strRef>
              <c:f>Analysis!$C$2125:$C$2142</c:f>
              <c:strCache>
                <c:ptCount val="18"/>
                <c:pt idx="0">
                  <c:v>2019</c:v>
                </c:pt>
                <c:pt idx="1">
                  <c:v>2020</c:v>
                </c:pt>
                <c:pt idx="2">
                  <c:v>2021</c:v>
                </c:pt>
                <c:pt idx="3">
                  <c:v>2022</c:v>
                </c:pt>
                <c:pt idx="4">
                  <c:v>2023</c:v>
                </c:pt>
                <c:pt idx="5">
                  <c:v>2024</c:v>
                </c:pt>
                <c:pt idx="6">
                  <c:v>2025</c:v>
                </c:pt>
                <c:pt idx="7">
                  <c:v>2026</c:v>
                </c:pt>
                <c:pt idx="8">
                  <c:v>2027</c:v>
                </c:pt>
                <c:pt idx="9">
                  <c:v>..</c:v>
                </c:pt>
                <c:pt idx="10">
                  <c:v>2032</c:v>
                </c:pt>
                <c:pt idx="11">
                  <c:v>..</c:v>
                </c:pt>
                <c:pt idx="12">
                  <c:v>2037</c:v>
                </c:pt>
                <c:pt idx="13">
                  <c:v>2040</c:v>
                </c:pt>
                <c:pt idx="14">
                  <c:v>2043</c:v>
                </c:pt>
                <c:pt idx="15">
                  <c:v>2045</c:v>
                </c:pt>
                <c:pt idx="16">
                  <c:v>2046</c:v>
                </c:pt>
                <c:pt idx="17">
                  <c:v>2049</c:v>
                </c:pt>
              </c:strCache>
            </c:strRef>
          </c:cat>
          <c:val>
            <c:numRef>
              <c:f>Analysis!$E$2125:$E$2142</c:f>
              <c:numCache>
                <c:formatCode>General</c:formatCode>
                <c:ptCount val="18"/>
                <c:pt idx="6">
                  <c:v>0</c:v>
                </c:pt>
                <c:pt idx="7">
                  <c:v>0</c:v>
                </c:pt>
                <c:pt idx="8">
                  <c:v>237</c:v>
                </c:pt>
                <c:pt idx="9">
                  <c:v>0</c:v>
                </c:pt>
                <c:pt idx="10">
                  <c:v>300</c:v>
                </c:pt>
                <c:pt idx="11">
                  <c:v>0</c:v>
                </c:pt>
                <c:pt idx="13">
                  <c:v>600</c:v>
                </c:pt>
                <c:pt idx="15">
                  <c:v>1000</c:v>
                </c:pt>
                <c:pt idx="16">
                  <c:v>900</c:v>
                </c:pt>
                <c:pt idx="17">
                  <c:v>750</c:v>
                </c:pt>
              </c:numCache>
            </c:numRef>
          </c:val>
          <c:extLst>
            <c:ext xmlns:c16="http://schemas.microsoft.com/office/drawing/2014/chart" uri="{C3380CC4-5D6E-409C-BE32-E72D297353CC}">
              <c16:uniqueId val="{00000002-2068-4BD7-A976-C06CD34E414A}"/>
            </c:ext>
          </c:extLst>
        </c:ser>
        <c:dLbls>
          <c:showLegendKey val="0"/>
          <c:showVal val="0"/>
          <c:showCatName val="0"/>
          <c:showSerName val="0"/>
          <c:showPercent val="0"/>
          <c:showBubbleSize val="0"/>
        </c:dLbls>
        <c:gapWidth val="219"/>
        <c:overlap val="100"/>
        <c:axId val="699553376"/>
        <c:axId val="840629216"/>
      </c:barChart>
      <c:catAx>
        <c:axId val="69955337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40629216"/>
        <c:crosses val="autoZero"/>
        <c:auto val="1"/>
        <c:lblAlgn val="ctr"/>
        <c:lblOffset val="100"/>
        <c:noMultiLvlLbl val="0"/>
      </c:catAx>
      <c:valAx>
        <c:axId val="840629216"/>
        <c:scaling>
          <c:orientation val="minMax"/>
          <c:max val="1000"/>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USD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General"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699553376"/>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Interims!$FK$474</c:f>
              <c:strCache>
                <c:ptCount val="1"/>
                <c:pt idx="0">
                  <c:v>Revenue</c:v>
                </c:pt>
              </c:strCache>
            </c:strRef>
          </c:tx>
          <c:spPr>
            <a:ln w="25400" cap="rnd">
              <a:solidFill>
                <a:srgbClr val="333399"/>
              </a:solidFill>
              <a:prstDash val="solid"/>
              <a:round/>
            </a:ln>
            <a:effectLst/>
          </c:spPr>
          <c:marker>
            <c:symbol val="none"/>
          </c:marker>
          <c:cat>
            <c:strRef>
              <c:f>Interims!$FL$473:$FT$473</c:f>
              <c:strCache>
                <c:ptCount val="9"/>
                <c:pt idx="0">
                  <c:v>Q1 20</c:v>
                </c:pt>
                <c:pt idx="1">
                  <c:v>Q2 20</c:v>
                </c:pt>
                <c:pt idx="2">
                  <c:v>Q3 20</c:v>
                </c:pt>
                <c:pt idx="3">
                  <c:v>Q4 20</c:v>
                </c:pt>
                <c:pt idx="4">
                  <c:v>Q1 21</c:v>
                </c:pt>
                <c:pt idx="5">
                  <c:v>Q2 21</c:v>
                </c:pt>
                <c:pt idx="6">
                  <c:v>Q3 21</c:v>
                </c:pt>
                <c:pt idx="7">
                  <c:v>Q4 21</c:v>
                </c:pt>
                <c:pt idx="8">
                  <c:v>Q1 22</c:v>
                </c:pt>
              </c:strCache>
            </c:strRef>
          </c:cat>
          <c:val>
            <c:numRef>
              <c:f>Interims!$FL$474:$FT$474</c:f>
              <c:numCache>
                <c:formatCode>0.0%</c:formatCode>
                <c:ptCount val="9"/>
                <c:pt idx="0">
                  <c:v>2.3420933050590786E-2</c:v>
                </c:pt>
                <c:pt idx="1">
                  <c:v>3.1151249976627104E-2</c:v>
                </c:pt>
                <c:pt idx="2">
                  <c:v>4.8629713579229294E-2</c:v>
                </c:pt>
                <c:pt idx="3">
                  <c:v>4.4189548437471027E-2</c:v>
                </c:pt>
                <c:pt idx="4">
                  <c:v>4.0608291861691237E-2</c:v>
                </c:pt>
                <c:pt idx="5">
                  <c:v>1.0045877382269364E-2</c:v>
                </c:pt>
                <c:pt idx="6">
                  <c:v>-2.4741420889976551E-2</c:v>
                </c:pt>
                <c:pt idx="7">
                  <c:v>-4.3530123913972485E-2</c:v>
                </c:pt>
                <c:pt idx="8">
                  <c:v>-6.2064428957474105E-2</c:v>
                </c:pt>
              </c:numCache>
            </c:numRef>
          </c:val>
          <c:smooth val="0"/>
          <c:extLst>
            <c:ext xmlns:c16="http://schemas.microsoft.com/office/drawing/2014/chart" uri="{C3380CC4-5D6E-409C-BE32-E72D297353CC}">
              <c16:uniqueId val="{00000000-A40D-4602-A395-135A8B35F5F5}"/>
            </c:ext>
          </c:extLst>
        </c:ser>
        <c:ser>
          <c:idx val="1"/>
          <c:order val="1"/>
          <c:tx>
            <c:strRef>
              <c:f>Interims!$FK$475</c:f>
              <c:strCache>
                <c:ptCount val="1"/>
                <c:pt idx="0">
                  <c:v>EBITDA</c:v>
                </c:pt>
              </c:strCache>
            </c:strRef>
          </c:tx>
          <c:spPr>
            <a:ln w="25400" cap="rnd">
              <a:solidFill>
                <a:srgbClr val="99CCFF"/>
              </a:solidFill>
              <a:prstDash val="solid"/>
              <a:round/>
            </a:ln>
            <a:effectLst/>
          </c:spPr>
          <c:marker>
            <c:symbol val="none"/>
          </c:marker>
          <c:cat>
            <c:strRef>
              <c:f>Interims!$FL$473:$FT$473</c:f>
              <c:strCache>
                <c:ptCount val="9"/>
                <c:pt idx="0">
                  <c:v>Q1 20</c:v>
                </c:pt>
                <c:pt idx="1">
                  <c:v>Q2 20</c:v>
                </c:pt>
                <c:pt idx="2">
                  <c:v>Q3 20</c:v>
                </c:pt>
                <c:pt idx="3">
                  <c:v>Q4 20</c:v>
                </c:pt>
                <c:pt idx="4">
                  <c:v>Q1 21</c:v>
                </c:pt>
                <c:pt idx="5">
                  <c:v>Q2 21</c:v>
                </c:pt>
                <c:pt idx="6">
                  <c:v>Q3 21</c:v>
                </c:pt>
                <c:pt idx="7">
                  <c:v>Q4 21</c:v>
                </c:pt>
                <c:pt idx="8">
                  <c:v>Q1 22</c:v>
                </c:pt>
              </c:strCache>
            </c:strRef>
          </c:cat>
          <c:val>
            <c:numRef>
              <c:f>Interims!$FL$475:$FT$475</c:f>
              <c:numCache>
                <c:formatCode>0%</c:formatCode>
                <c:ptCount val="9"/>
                <c:pt idx="0">
                  <c:v>-3.1600849625037952E-2</c:v>
                </c:pt>
                <c:pt idx="1">
                  <c:v>6.8528799444831368E-3</c:v>
                </c:pt>
                <c:pt idx="2">
                  <c:v>1.5333972248843697E-2</c:v>
                </c:pt>
                <c:pt idx="3">
                  <c:v>1.6501493669685452E-2</c:v>
                </c:pt>
                <c:pt idx="4">
                  <c:v>-3.558639212175474E-2</c:v>
                </c:pt>
                <c:pt idx="5">
                  <c:v>-3.3901955716378218E-2</c:v>
                </c:pt>
                <c:pt idx="6">
                  <c:v>-7.1818442976156249E-2</c:v>
                </c:pt>
                <c:pt idx="7">
                  <c:v>-0.13915193357279454</c:v>
                </c:pt>
                <c:pt idx="8">
                  <c:v>-0.13604084474355993</c:v>
                </c:pt>
              </c:numCache>
            </c:numRef>
          </c:val>
          <c:smooth val="0"/>
          <c:extLst>
            <c:ext xmlns:c16="http://schemas.microsoft.com/office/drawing/2014/chart" uri="{C3380CC4-5D6E-409C-BE32-E72D297353CC}">
              <c16:uniqueId val="{00000001-A40D-4602-A395-135A8B35F5F5}"/>
            </c:ext>
          </c:extLst>
        </c:ser>
        <c:dLbls>
          <c:showLegendKey val="0"/>
          <c:showVal val="0"/>
          <c:showCatName val="0"/>
          <c:showSerName val="0"/>
          <c:showPercent val="0"/>
          <c:showBubbleSize val="0"/>
        </c:dLbls>
        <c:smooth val="0"/>
        <c:axId val="1470027712"/>
        <c:axId val="1470024384"/>
      </c:lineChart>
      <c:catAx>
        <c:axId val="14700277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470024384"/>
        <c:crosses val="autoZero"/>
        <c:auto val="1"/>
        <c:lblAlgn val="ctr"/>
        <c:lblOffset val="100"/>
        <c:noMultiLvlLbl val="0"/>
      </c:catAx>
      <c:valAx>
        <c:axId val="1470024384"/>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y/y</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47002771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dPt>
            <c:idx val="4"/>
            <c:invertIfNegative val="0"/>
            <c:bubble3D val="0"/>
            <c:extLst>
              <c:ext xmlns:c16="http://schemas.microsoft.com/office/drawing/2014/chart" uri="{C3380CC4-5D6E-409C-BE32-E72D297353CC}">
                <c16:uniqueId val="{00000002-8E49-4CC6-927D-E764F6BACA4A}"/>
              </c:ext>
            </c:extLst>
          </c:dPt>
          <c:dPt>
            <c:idx val="5"/>
            <c:invertIfNegative val="0"/>
            <c:bubble3D val="0"/>
            <c:spPr>
              <a:solidFill>
                <a:schemeClr val="tx2">
                  <a:lumMod val="20000"/>
                  <a:lumOff val="80000"/>
                </a:schemeClr>
              </a:solidFill>
              <a:ln w="25400">
                <a:solidFill>
                  <a:schemeClr val="tx1"/>
                </a:solidFill>
              </a:ln>
              <a:effectLst/>
            </c:spPr>
            <c:extLst>
              <c:ext xmlns:c16="http://schemas.microsoft.com/office/drawing/2014/chart" uri="{C3380CC4-5D6E-409C-BE32-E72D297353CC}">
                <c16:uniqueId val="{00000001-A14B-474D-AC5A-17B152B96F61}"/>
              </c:ext>
            </c:extLst>
          </c:dPt>
          <c:cat>
            <c:strRef>
              <c:f>Analysis!$B$2162:$B$2167</c:f>
              <c:strCache>
                <c:ptCount val="6"/>
                <c:pt idx="0">
                  <c:v>Disney</c:v>
                </c:pt>
                <c:pt idx="1">
                  <c:v>EOne (@ Hasbro bid)</c:v>
                </c:pt>
                <c:pt idx="2">
                  <c:v>Discovery</c:v>
                </c:pt>
                <c:pt idx="3">
                  <c:v>ITV</c:v>
                </c:pt>
                <c:pt idx="4">
                  <c:v>RTL</c:v>
                </c:pt>
                <c:pt idx="5">
                  <c:v>TV implied Content</c:v>
                </c:pt>
              </c:strCache>
            </c:strRef>
          </c:cat>
          <c:val>
            <c:numRef>
              <c:f>Analysis!$C$2162:$C$2167</c:f>
              <c:numCache>
                <c:formatCode>0.0</c:formatCode>
                <c:ptCount val="6"/>
                <c:pt idx="0" formatCode="General">
                  <c:v>18.5</c:v>
                </c:pt>
                <c:pt idx="1">
                  <c:v>15</c:v>
                </c:pt>
                <c:pt idx="2" formatCode="General">
                  <c:v>8.5</c:v>
                </c:pt>
                <c:pt idx="3" formatCode="General">
                  <c:v>7.1</c:v>
                </c:pt>
                <c:pt idx="4">
                  <c:v>5</c:v>
                </c:pt>
                <c:pt idx="5" formatCode="General">
                  <c:v>4.5</c:v>
                </c:pt>
              </c:numCache>
            </c:numRef>
          </c:val>
          <c:extLst>
            <c:ext xmlns:c16="http://schemas.microsoft.com/office/drawing/2014/chart" uri="{C3380CC4-5D6E-409C-BE32-E72D297353CC}">
              <c16:uniqueId val="{00000000-A14B-474D-AC5A-17B152B96F61}"/>
            </c:ext>
          </c:extLst>
        </c:ser>
        <c:dLbls>
          <c:showLegendKey val="0"/>
          <c:showVal val="0"/>
          <c:showCatName val="0"/>
          <c:showSerName val="0"/>
          <c:showPercent val="0"/>
          <c:showBubbleSize val="0"/>
        </c:dLbls>
        <c:gapWidth val="219"/>
        <c:overlap val="-27"/>
        <c:axId val="445224768"/>
        <c:axId val="411355008"/>
      </c:barChart>
      <c:catAx>
        <c:axId val="445224768"/>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11355008"/>
        <c:crosses val="autoZero"/>
        <c:auto val="1"/>
        <c:lblAlgn val="ctr"/>
        <c:lblOffset val="100"/>
        <c:noMultiLvlLbl val="0"/>
      </c:catAx>
      <c:valAx>
        <c:axId val="411355008"/>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EV/EBITDA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General"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45224768"/>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cat>
            <c:strRef>
              <c:f>Analysis!$B$2190:$B$2192</c:f>
              <c:strCache>
                <c:ptCount val="3"/>
                <c:pt idx="0">
                  <c:v>&lt;2</c:v>
                </c:pt>
                <c:pt idx="1">
                  <c:v>10-100</c:v>
                </c:pt>
                <c:pt idx="2">
                  <c:v>&gt;100</c:v>
                </c:pt>
              </c:strCache>
            </c:strRef>
          </c:cat>
          <c:val>
            <c:numRef>
              <c:f>Analysis!$D$2190:$D$2192</c:f>
              <c:numCache>
                <c:formatCode>0%</c:formatCode>
                <c:ptCount val="3"/>
                <c:pt idx="0">
                  <c:v>8.7196350906969339E-2</c:v>
                </c:pt>
                <c:pt idx="1">
                  <c:v>0.87986634135992359</c:v>
                </c:pt>
                <c:pt idx="2">
                  <c:v>3.2937307733107032E-2</c:v>
                </c:pt>
              </c:numCache>
            </c:numRef>
          </c:val>
          <c:extLst>
            <c:ext xmlns:c16="http://schemas.microsoft.com/office/drawing/2014/chart" uri="{C3380CC4-5D6E-409C-BE32-E72D297353CC}">
              <c16:uniqueId val="{00000000-B9A8-4712-95C5-E86765B6C516}"/>
            </c:ext>
          </c:extLst>
        </c:ser>
        <c:dLbls>
          <c:showLegendKey val="0"/>
          <c:showVal val="0"/>
          <c:showCatName val="0"/>
          <c:showSerName val="0"/>
          <c:showPercent val="0"/>
          <c:showBubbleSize val="0"/>
        </c:dLbls>
        <c:gapWidth val="219"/>
        <c:overlap val="-27"/>
        <c:axId val="897951392"/>
        <c:axId val="983570608"/>
      </c:barChart>
      <c:catAx>
        <c:axId val="897951392"/>
        <c:scaling>
          <c:orientation val="minMax"/>
        </c:scaling>
        <c:delete val="0"/>
        <c:axPos val="b"/>
        <c:numFmt formatCode="General" sourceLinked="1"/>
        <c:majorTickMark val="none"/>
        <c:minorTickMark val="none"/>
        <c:tickLblPos val="nextTo"/>
        <c:spPr>
          <a:noFill/>
          <a:ln w="9525" cap="flat" cmpd="sng" algn="ctr">
            <a:solidFill>
              <a:srgbClr val="C00000"/>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83570608"/>
        <c:crosses val="autoZero"/>
        <c:auto val="1"/>
        <c:lblAlgn val="ctr"/>
        <c:lblOffset val="100"/>
        <c:noMultiLvlLbl val="0"/>
      </c:catAx>
      <c:valAx>
        <c:axId val="98357060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rgbClr val="C00000"/>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9795139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cat>
            <c:strRef>
              <c:f>Analysis!$B$2195:$B$2198</c:f>
              <c:strCache>
                <c:ptCount val="4"/>
                <c:pt idx="0">
                  <c:v>Coax</c:v>
                </c:pt>
                <c:pt idx="1">
                  <c:v>DSL</c:v>
                </c:pt>
                <c:pt idx="2">
                  <c:v>Fibre</c:v>
                </c:pt>
                <c:pt idx="3">
                  <c:v>Other</c:v>
                </c:pt>
              </c:strCache>
            </c:strRef>
          </c:cat>
          <c:val>
            <c:numRef>
              <c:f>Analysis!$D$2195:$D$2198</c:f>
              <c:numCache>
                <c:formatCode>0%</c:formatCode>
                <c:ptCount val="4"/>
                <c:pt idx="0">
                  <c:v>0.38</c:v>
                </c:pt>
                <c:pt idx="1">
                  <c:v>0.37</c:v>
                </c:pt>
                <c:pt idx="2">
                  <c:v>0.22</c:v>
                </c:pt>
                <c:pt idx="3">
                  <c:v>3.0000000000000027E-2</c:v>
                </c:pt>
              </c:numCache>
            </c:numRef>
          </c:val>
          <c:extLst>
            <c:ext xmlns:c16="http://schemas.microsoft.com/office/drawing/2014/chart" uri="{C3380CC4-5D6E-409C-BE32-E72D297353CC}">
              <c16:uniqueId val="{00000000-A762-4D0E-926E-ADA8FE78931E}"/>
            </c:ext>
          </c:extLst>
        </c:ser>
        <c:dLbls>
          <c:showLegendKey val="0"/>
          <c:showVal val="0"/>
          <c:showCatName val="0"/>
          <c:showSerName val="0"/>
          <c:showPercent val="0"/>
          <c:showBubbleSize val="0"/>
        </c:dLbls>
        <c:gapWidth val="219"/>
        <c:overlap val="-27"/>
        <c:axId val="897951392"/>
        <c:axId val="983570608"/>
      </c:barChart>
      <c:catAx>
        <c:axId val="897951392"/>
        <c:scaling>
          <c:orientation val="minMax"/>
        </c:scaling>
        <c:delete val="0"/>
        <c:axPos val="b"/>
        <c:numFmt formatCode="General" sourceLinked="1"/>
        <c:majorTickMark val="none"/>
        <c:minorTickMark val="none"/>
        <c:tickLblPos val="nextTo"/>
        <c:spPr>
          <a:noFill/>
          <a:ln w="9525" cap="flat" cmpd="sng" algn="ctr">
            <a:solidFill>
              <a:srgbClr val="C00000"/>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83570608"/>
        <c:crosses val="autoZero"/>
        <c:auto val="1"/>
        <c:lblAlgn val="ctr"/>
        <c:lblOffset val="100"/>
        <c:noMultiLvlLbl val="0"/>
      </c:catAx>
      <c:valAx>
        <c:axId val="98357060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rgbClr val="C00000"/>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97951392"/>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Analysis!$B$2244</c:f>
              <c:strCache>
                <c:ptCount val="1"/>
                <c:pt idx="0">
                  <c:v>TV</c:v>
                </c:pt>
              </c:strCache>
            </c:strRef>
          </c:tx>
          <c:spPr>
            <a:solidFill>
              <a:srgbClr val="000080"/>
            </a:solidFill>
            <a:ln w="25400">
              <a:noFill/>
            </a:ln>
            <a:effectLst/>
          </c:spPr>
          <c:invertIfNegative val="0"/>
          <c:cat>
            <c:strRef>
              <c:f>Analysis!$C$2243:$L$2243</c:f>
              <c:strCache>
                <c:ptCount val="10"/>
                <c:pt idx="0">
                  <c:v>2020</c:v>
                </c:pt>
                <c:pt idx="1">
                  <c:v>2021</c:v>
                </c:pt>
                <c:pt idx="2">
                  <c:v>2022</c:v>
                </c:pt>
                <c:pt idx="3">
                  <c:v>2023</c:v>
                </c:pt>
                <c:pt idx="4">
                  <c:v>2024</c:v>
                </c:pt>
                <c:pt idx="5">
                  <c:v>2025</c:v>
                </c:pt>
                <c:pt idx="6">
                  <c:v>2026</c:v>
                </c:pt>
                <c:pt idx="7">
                  <c:v>2027</c:v>
                </c:pt>
                <c:pt idx="8">
                  <c:v>2028</c:v>
                </c:pt>
                <c:pt idx="9">
                  <c:v>&gt;2029</c:v>
                </c:pt>
              </c:strCache>
            </c:strRef>
          </c:cat>
          <c:val>
            <c:numRef>
              <c:f>Analysis!$C$2244:$L$2244</c:f>
              <c:numCache>
                <c:formatCode>0%</c:formatCode>
                <c:ptCount val="10"/>
                <c:pt idx="0">
                  <c:v>7.5239136977954618E-2</c:v>
                </c:pt>
                <c:pt idx="1">
                  <c:v>7.5239136977954618E-2</c:v>
                </c:pt>
                <c:pt idx="2">
                  <c:v>0.10930927403666155</c:v>
                </c:pt>
                <c:pt idx="3">
                  <c:v>0.16796482135384933</c:v>
                </c:pt>
                <c:pt idx="4">
                  <c:v>0.24137601949801424</c:v>
                </c:pt>
                <c:pt idx="5">
                  <c:v>0.32831690146014875</c:v>
                </c:pt>
                <c:pt idx="6">
                  <c:v>0.37178367188130879</c:v>
                </c:pt>
                <c:pt idx="7">
                  <c:v>0.404818711046183</c:v>
                </c:pt>
                <c:pt idx="8">
                  <c:v>0.404818711046183</c:v>
                </c:pt>
                <c:pt idx="9">
                  <c:v>1</c:v>
                </c:pt>
              </c:numCache>
            </c:numRef>
          </c:val>
          <c:extLst>
            <c:ext xmlns:c16="http://schemas.microsoft.com/office/drawing/2014/chart" uri="{C3380CC4-5D6E-409C-BE32-E72D297353CC}">
              <c16:uniqueId val="{00000000-3A22-4F7F-8FD1-1F67E45F8777}"/>
            </c:ext>
          </c:extLst>
        </c:ser>
        <c:ser>
          <c:idx val="1"/>
          <c:order val="1"/>
          <c:tx>
            <c:strRef>
              <c:f>Analysis!$B$2245</c:f>
              <c:strCache>
                <c:ptCount val="1"/>
                <c:pt idx="0">
                  <c:v>AMX</c:v>
                </c:pt>
              </c:strCache>
            </c:strRef>
          </c:tx>
          <c:spPr>
            <a:solidFill>
              <a:srgbClr val="9999FF"/>
            </a:solidFill>
            <a:ln w="25400">
              <a:noFill/>
            </a:ln>
            <a:effectLst/>
          </c:spPr>
          <c:invertIfNegative val="0"/>
          <c:cat>
            <c:strRef>
              <c:f>Analysis!$C$2243:$L$2243</c:f>
              <c:strCache>
                <c:ptCount val="10"/>
                <c:pt idx="0">
                  <c:v>2020</c:v>
                </c:pt>
                <c:pt idx="1">
                  <c:v>2021</c:v>
                </c:pt>
                <c:pt idx="2">
                  <c:v>2022</c:v>
                </c:pt>
                <c:pt idx="3">
                  <c:v>2023</c:v>
                </c:pt>
                <c:pt idx="4">
                  <c:v>2024</c:v>
                </c:pt>
                <c:pt idx="5">
                  <c:v>2025</c:v>
                </c:pt>
                <c:pt idx="6">
                  <c:v>2026</c:v>
                </c:pt>
                <c:pt idx="7">
                  <c:v>2027</c:v>
                </c:pt>
                <c:pt idx="8">
                  <c:v>2028</c:v>
                </c:pt>
                <c:pt idx="9">
                  <c:v>&gt;2029</c:v>
                </c:pt>
              </c:strCache>
            </c:strRef>
          </c:cat>
          <c:val>
            <c:numRef>
              <c:f>Analysis!$C$2245:$L$2245</c:f>
              <c:numCache>
                <c:formatCode>0%</c:formatCode>
                <c:ptCount val="10"/>
                <c:pt idx="0">
                  <c:v>0.17100857357816673</c:v>
                </c:pt>
                <c:pt idx="1">
                  <c:v>0.2731358461551181</c:v>
                </c:pt>
                <c:pt idx="2">
                  <c:v>0.4393954676609923</c:v>
                </c:pt>
                <c:pt idx="3">
                  <c:v>0.47676700867279026</c:v>
                </c:pt>
                <c:pt idx="4">
                  <c:v>0.52520896546592477</c:v>
                </c:pt>
                <c:pt idx="5">
                  <c:v>0.53066728398634178</c:v>
                </c:pt>
                <c:pt idx="6">
                  <c:v>0.57747720188833684</c:v>
                </c:pt>
                <c:pt idx="7">
                  <c:v>0.61311253131381616</c:v>
                </c:pt>
                <c:pt idx="8">
                  <c:v>0.63624713731780114</c:v>
                </c:pt>
                <c:pt idx="9">
                  <c:v>1</c:v>
                </c:pt>
              </c:numCache>
            </c:numRef>
          </c:val>
          <c:extLst>
            <c:ext xmlns:c16="http://schemas.microsoft.com/office/drawing/2014/chart" uri="{C3380CC4-5D6E-409C-BE32-E72D297353CC}">
              <c16:uniqueId val="{00000001-3A22-4F7F-8FD1-1F67E45F8777}"/>
            </c:ext>
          </c:extLst>
        </c:ser>
        <c:dLbls>
          <c:showLegendKey val="0"/>
          <c:showVal val="0"/>
          <c:showCatName val="0"/>
          <c:showSerName val="0"/>
          <c:showPercent val="0"/>
          <c:showBubbleSize val="0"/>
        </c:dLbls>
        <c:gapWidth val="219"/>
        <c:overlap val="-27"/>
        <c:axId val="1115393608"/>
        <c:axId val="1115397872"/>
      </c:barChart>
      <c:catAx>
        <c:axId val="1115393608"/>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5397872"/>
        <c:crosses val="autoZero"/>
        <c:auto val="1"/>
        <c:lblAlgn val="ctr"/>
        <c:lblOffset val="100"/>
        <c:noMultiLvlLbl val="0"/>
      </c:catAx>
      <c:valAx>
        <c:axId val="1115397872"/>
        <c:scaling>
          <c:orientation val="minMax"/>
          <c:max val="1"/>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5393608"/>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Analysis!$C$2250</c:f>
              <c:strCache>
                <c:ptCount val="1"/>
                <c:pt idx="0">
                  <c:v>2019</c:v>
                </c:pt>
              </c:strCache>
            </c:strRef>
          </c:tx>
          <c:spPr>
            <a:solidFill>
              <a:srgbClr val="000080"/>
            </a:solidFill>
            <a:ln w="25400">
              <a:noFill/>
            </a:ln>
            <a:effectLst/>
          </c:spPr>
          <c:invertIfNegative val="0"/>
          <c:cat>
            <c:strRef>
              <c:f>Analysis!$B$2258:$B$2265</c:f>
              <c:strCache>
                <c:ptCount val="8"/>
                <c:pt idx="0">
                  <c:v>Mexico</c:v>
                </c:pt>
                <c:pt idx="1">
                  <c:v>Brazil</c:v>
                </c:pt>
                <c:pt idx="2">
                  <c:v>Chile</c:v>
                </c:pt>
                <c:pt idx="3">
                  <c:v>Peru</c:v>
                </c:pt>
                <c:pt idx="4">
                  <c:v>Colombia</c:v>
                </c:pt>
                <c:pt idx="5">
                  <c:v>Caribbean</c:v>
                </c:pt>
                <c:pt idx="6">
                  <c:v>China</c:v>
                </c:pt>
                <c:pt idx="7">
                  <c:v>India</c:v>
                </c:pt>
              </c:strCache>
            </c:strRef>
          </c:cat>
          <c:val>
            <c:numRef>
              <c:f>Analysis!$C$2258:$C$2265</c:f>
              <c:numCache>
                <c:formatCode>0.0%</c:formatCode>
                <c:ptCount val="8"/>
                <c:pt idx="0">
                  <c:v>-1E-3</c:v>
                </c:pt>
                <c:pt idx="1">
                  <c:v>1.0999999999999999E-2</c:v>
                </c:pt>
                <c:pt idx="2">
                  <c:v>1.0999999999999999E-2</c:v>
                </c:pt>
                <c:pt idx="3">
                  <c:v>2.1999999999999999E-2</c:v>
                </c:pt>
                <c:pt idx="4">
                  <c:v>3.3000000000000002E-2</c:v>
                </c:pt>
                <c:pt idx="5">
                  <c:v>3.2000000000000001E-2</c:v>
                </c:pt>
                <c:pt idx="6">
                  <c:v>6.0999999999999999E-2</c:v>
                </c:pt>
                <c:pt idx="7">
                  <c:v>4.2000000000000003E-2</c:v>
                </c:pt>
              </c:numCache>
            </c:numRef>
          </c:val>
          <c:extLst>
            <c:ext xmlns:c16="http://schemas.microsoft.com/office/drawing/2014/chart" uri="{C3380CC4-5D6E-409C-BE32-E72D297353CC}">
              <c16:uniqueId val="{00000000-4D06-4C0C-8972-32053B121F09}"/>
            </c:ext>
          </c:extLst>
        </c:ser>
        <c:ser>
          <c:idx val="1"/>
          <c:order val="1"/>
          <c:tx>
            <c:strRef>
              <c:f>Analysis!$D$2250</c:f>
              <c:strCache>
                <c:ptCount val="1"/>
                <c:pt idx="0">
                  <c:v>2020</c:v>
                </c:pt>
              </c:strCache>
            </c:strRef>
          </c:tx>
          <c:spPr>
            <a:solidFill>
              <a:srgbClr val="9999FF"/>
            </a:solidFill>
            <a:ln w="25400">
              <a:noFill/>
            </a:ln>
            <a:effectLst/>
          </c:spPr>
          <c:invertIfNegative val="0"/>
          <c:cat>
            <c:strRef>
              <c:f>Analysis!$B$2258:$B$2265</c:f>
              <c:strCache>
                <c:ptCount val="8"/>
                <c:pt idx="0">
                  <c:v>Mexico</c:v>
                </c:pt>
                <c:pt idx="1">
                  <c:v>Brazil</c:v>
                </c:pt>
                <c:pt idx="2">
                  <c:v>Chile</c:v>
                </c:pt>
                <c:pt idx="3">
                  <c:v>Peru</c:v>
                </c:pt>
                <c:pt idx="4">
                  <c:v>Colombia</c:v>
                </c:pt>
                <c:pt idx="5">
                  <c:v>Caribbean</c:v>
                </c:pt>
                <c:pt idx="6">
                  <c:v>China</c:v>
                </c:pt>
                <c:pt idx="7">
                  <c:v>India</c:v>
                </c:pt>
              </c:strCache>
            </c:strRef>
          </c:cat>
          <c:val>
            <c:numRef>
              <c:f>Analysis!$D$2258:$D$2265</c:f>
              <c:numCache>
                <c:formatCode>0.0%</c:formatCode>
                <c:ptCount val="8"/>
                <c:pt idx="0">
                  <c:v>-6.6000000000000003E-2</c:v>
                </c:pt>
                <c:pt idx="1">
                  <c:v>-5.2999999999999999E-2</c:v>
                </c:pt>
                <c:pt idx="2">
                  <c:v>-4.4999999999999998E-2</c:v>
                </c:pt>
                <c:pt idx="3">
                  <c:v>-4.4999999999999998E-2</c:v>
                </c:pt>
                <c:pt idx="4">
                  <c:v>-2.4E-2</c:v>
                </c:pt>
                <c:pt idx="5">
                  <c:v>-2.4E-2</c:v>
                </c:pt>
                <c:pt idx="6">
                  <c:v>1.2E-2</c:v>
                </c:pt>
                <c:pt idx="7">
                  <c:v>1.9E-2</c:v>
                </c:pt>
              </c:numCache>
            </c:numRef>
          </c:val>
          <c:extLst>
            <c:ext xmlns:c16="http://schemas.microsoft.com/office/drawing/2014/chart" uri="{C3380CC4-5D6E-409C-BE32-E72D297353CC}">
              <c16:uniqueId val="{00000001-4D06-4C0C-8972-32053B121F09}"/>
            </c:ext>
          </c:extLst>
        </c:ser>
        <c:ser>
          <c:idx val="2"/>
          <c:order val="2"/>
          <c:tx>
            <c:strRef>
              <c:f>Analysis!$E$2250</c:f>
              <c:strCache>
                <c:ptCount val="1"/>
                <c:pt idx="0">
                  <c:v>2021</c:v>
                </c:pt>
              </c:strCache>
            </c:strRef>
          </c:tx>
          <c:spPr>
            <a:solidFill>
              <a:srgbClr val="3366FF"/>
            </a:solidFill>
            <a:ln w="25400">
              <a:noFill/>
            </a:ln>
            <a:effectLst/>
          </c:spPr>
          <c:invertIfNegative val="0"/>
          <c:cat>
            <c:strRef>
              <c:f>Analysis!$B$2258:$B$2265</c:f>
              <c:strCache>
                <c:ptCount val="8"/>
                <c:pt idx="0">
                  <c:v>Mexico</c:v>
                </c:pt>
                <c:pt idx="1">
                  <c:v>Brazil</c:v>
                </c:pt>
                <c:pt idx="2">
                  <c:v>Chile</c:v>
                </c:pt>
                <c:pt idx="3">
                  <c:v>Peru</c:v>
                </c:pt>
                <c:pt idx="4">
                  <c:v>Colombia</c:v>
                </c:pt>
                <c:pt idx="5">
                  <c:v>Caribbean</c:v>
                </c:pt>
                <c:pt idx="6">
                  <c:v>China</c:v>
                </c:pt>
                <c:pt idx="7">
                  <c:v>India</c:v>
                </c:pt>
              </c:strCache>
            </c:strRef>
          </c:cat>
          <c:val>
            <c:numRef>
              <c:f>Analysis!$E$2258:$E$2265</c:f>
              <c:numCache>
                <c:formatCode>0.0%</c:formatCode>
                <c:ptCount val="8"/>
                <c:pt idx="0">
                  <c:v>0.03</c:v>
                </c:pt>
                <c:pt idx="1">
                  <c:v>2.9000000000000001E-2</c:v>
                </c:pt>
                <c:pt idx="2">
                  <c:v>5.2999999999999999E-2</c:v>
                </c:pt>
                <c:pt idx="3">
                  <c:v>5.1999999999999998E-2</c:v>
                </c:pt>
                <c:pt idx="4">
                  <c:v>3.6999999999999998E-2</c:v>
                </c:pt>
                <c:pt idx="5">
                  <c:v>0.04</c:v>
                </c:pt>
                <c:pt idx="6">
                  <c:v>9.1999999999999998E-2</c:v>
                </c:pt>
                <c:pt idx="7">
                  <c:v>7.3999999999999996E-2</c:v>
                </c:pt>
              </c:numCache>
            </c:numRef>
          </c:val>
          <c:extLst>
            <c:ext xmlns:c16="http://schemas.microsoft.com/office/drawing/2014/chart" uri="{C3380CC4-5D6E-409C-BE32-E72D297353CC}">
              <c16:uniqueId val="{00000002-4D06-4C0C-8972-32053B121F09}"/>
            </c:ext>
          </c:extLst>
        </c:ser>
        <c:dLbls>
          <c:showLegendKey val="0"/>
          <c:showVal val="0"/>
          <c:showCatName val="0"/>
          <c:showSerName val="0"/>
          <c:showPercent val="0"/>
          <c:showBubbleSize val="0"/>
        </c:dLbls>
        <c:gapWidth val="219"/>
        <c:overlap val="-27"/>
        <c:axId val="959415584"/>
        <c:axId val="959416568"/>
      </c:barChart>
      <c:catAx>
        <c:axId val="959415584"/>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9416568"/>
        <c:crosses val="autoZero"/>
        <c:auto val="1"/>
        <c:lblAlgn val="ctr"/>
        <c:lblOffset val="100"/>
        <c:noMultiLvlLbl val="0"/>
      </c:catAx>
      <c:valAx>
        <c:axId val="959416568"/>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5941558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Analysis!$B$2235</c:f>
              <c:strCache>
                <c:ptCount val="1"/>
                <c:pt idx="0">
                  <c:v>Cash/other</c:v>
                </c:pt>
              </c:strCache>
            </c:strRef>
          </c:tx>
          <c:spPr>
            <a:solidFill>
              <a:srgbClr val="000080"/>
            </a:solidFill>
            <a:ln w="25400">
              <a:noFill/>
            </a:ln>
            <a:effectLst/>
          </c:spPr>
          <c:invertIfNegative val="0"/>
          <c:cat>
            <c:strRef>
              <c:f>Analysis!$C$2234:$L$2234</c:f>
              <c:strCache>
                <c:ptCount val="10"/>
                <c:pt idx="0">
                  <c:v>2020</c:v>
                </c:pt>
                <c:pt idx="1">
                  <c:v>2021</c:v>
                </c:pt>
                <c:pt idx="2">
                  <c:v>2022</c:v>
                </c:pt>
                <c:pt idx="3">
                  <c:v>2023</c:v>
                </c:pt>
                <c:pt idx="4">
                  <c:v>2024</c:v>
                </c:pt>
                <c:pt idx="5">
                  <c:v>2025</c:v>
                </c:pt>
                <c:pt idx="6">
                  <c:v>2026</c:v>
                </c:pt>
                <c:pt idx="7">
                  <c:v>2027</c:v>
                </c:pt>
                <c:pt idx="8">
                  <c:v>2028</c:v>
                </c:pt>
                <c:pt idx="9">
                  <c:v>&gt;2029</c:v>
                </c:pt>
              </c:strCache>
            </c:strRef>
          </c:cat>
          <c:val>
            <c:numRef>
              <c:f>Analysis!$C$2235:$L$2235</c:f>
              <c:numCache>
                <c:formatCode>General</c:formatCode>
                <c:ptCount val="10"/>
                <c:pt idx="0" formatCode="#,##0">
                  <c:v>57373</c:v>
                </c:pt>
              </c:numCache>
            </c:numRef>
          </c:val>
          <c:extLst>
            <c:ext xmlns:c16="http://schemas.microsoft.com/office/drawing/2014/chart" uri="{C3380CC4-5D6E-409C-BE32-E72D297353CC}">
              <c16:uniqueId val="{00000000-66A7-4DC6-9A1F-3D60AACD2613}"/>
            </c:ext>
          </c:extLst>
        </c:ser>
        <c:ser>
          <c:idx val="1"/>
          <c:order val="1"/>
          <c:tx>
            <c:strRef>
              <c:f>Analysis!$B$2236</c:f>
              <c:strCache>
                <c:ptCount val="1"/>
                <c:pt idx="0">
                  <c:v>Repayments</c:v>
                </c:pt>
              </c:strCache>
            </c:strRef>
          </c:tx>
          <c:spPr>
            <a:solidFill>
              <a:srgbClr val="9999FF"/>
            </a:solidFill>
            <a:ln w="25400">
              <a:noFill/>
            </a:ln>
            <a:effectLst/>
          </c:spPr>
          <c:invertIfNegative val="0"/>
          <c:cat>
            <c:strRef>
              <c:f>Analysis!$C$2234:$L$2234</c:f>
              <c:strCache>
                <c:ptCount val="10"/>
                <c:pt idx="0">
                  <c:v>2020</c:v>
                </c:pt>
                <c:pt idx="1">
                  <c:v>2021</c:v>
                </c:pt>
                <c:pt idx="2">
                  <c:v>2022</c:v>
                </c:pt>
                <c:pt idx="3">
                  <c:v>2023</c:v>
                </c:pt>
                <c:pt idx="4">
                  <c:v>2024</c:v>
                </c:pt>
                <c:pt idx="5">
                  <c:v>2025</c:v>
                </c:pt>
                <c:pt idx="6">
                  <c:v>2026</c:v>
                </c:pt>
                <c:pt idx="7">
                  <c:v>2027</c:v>
                </c:pt>
                <c:pt idx="8">
                  <c:v>2028</c:v>
                </c:pt>
                <c:pt idx="9">
                  <c:v>&gt;2029</c:v>
                </c:pt>
              </c:strCache>
            </c:strRef>
          </c:cat>
          <c:val>
            <c:numRef>
              <c:f>Analysis!$C$2236:$L$2236</c:f>
              <c:numCache>
                <c:formatCode>#,##0</c:formatCode>
                <c:ptCount val="10"/>
                <c:pt idx="0">
                  <c:v>10249</c:v>
                </c:pt>
                <c:pt idx="1">
                  <c:v>0</c:v>
                </c:pt>
                <c:pt idx="2">
                  <c:v>4641</c:v>
                </c:pt>
                <c:pt idx="3">
                  <c:v>7990</c:v>
                </c:pt>
                <c:pt idx="4">
                  <c:v>10000</c:v>
                </c:pt>
                <c:pt idx="5">
                  <c:v>11843</c:v>
                </c:pt>
                <c:pt idx="6">
                  <c:v>5921</c:v>
                </c:pt>
                <c:pt idx="7">
                  <c:v>4500</c:v>
                </c:pt>
                <c:pt idx="8">
                  <c:v>0</c:v>
                </c:pt>
                <c:pt idx="9">
                  <c:v>81075</c:v>
                </c:pt>
              </c:numCache>
            </c:numRef>
          </c:val>
          <c:extLst>
            <c:ext xmlns:c16="http://schemas.microsoft.com/office/drawing/2014/chart" uri="{C3380CC4-5D6E-409C-BE32-E72D297353CC}">
              <c16:uniqueId val="{00000001-66A7-4DC6-9A1F-3D60AACD2613}"/>
            </c:ext>
          </c:extLst>
        </c:ser>
        <c:dLbls>
          <c:showLegendKey val="0"/>
          <c:showVal val="0"/>
          <c:showCatName val="0"/>
          <c:showSerName val="0"/>
          <c:showPercent val="0"/>
          <c:showBubbleSize val="0"/>
        </c:dLbls>
        <c:gapWidth val="219"/>
        <c:overlap val="-27"/>
        <c:axId val="893514080"/>
        <c:axId val="893514408"/>
      </c:barChart>
      <c:catAx>
        <c:axId val="893514080"/>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93514408"/>
        <c:crosses val="autoZero"/>
        <c:auto val="1"/>
        <c:lblAlgn val="ctr"/>
        <c:lblOffset val="100"/>
        <c:noMultiLvlLbl val="0"/>
      </c:catAx>
      <c:valAx>
        <c:axId val="893514408"/>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MXN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9351408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dPt>
            <c:idx val="6"/>
            <c:invertIfNegative val="0"/>
            <c:bubble3D val="0"/>
            <c:spPr>
              <a:solidFill>
                <a:srgbClr val="FF0000"/>
              </a:solidFill>
              <a:ln w="25400">
                <a:noFill/>
              </a:ln>
              <a:effectLst/>
            </c:spPr>
            <c:extLst>
              <c:ext xmlns:c16="http://schemas.microsoft.com/office/drawing/2014/chart" uri="{C3380CC4-5D6E-409C-BE32-E72D297353CC}">
                <c16:uniqueId val="{00000000-4EE2-42B2-B26A-2184EF0B006F}"/>
              </c:ext>
            </c:extLst>
          </c:dPt>
          <c:dPt>
            <c:idx val="8"/>
            <c:invertIfNegative val="0"/>
            <c:bubble3D val="0"/>
            <c:spPr>
              <a:solidFill>
                <a:srgbClr val="FF0000"/>
              </a:solidFill>
              <a:ln w="25400">
                <a:noFill/>
              </a:ln>
              <a:effectLst/>
            </c:spPr>
            <c:extLst>
              <c:ext xmlns:c16="http://schemas.microsoft.com/office/drawing/2014/chart" uri="{C3380CC4-5D6E-409C-BE32-E72D297353CC}">
                <c16:uniqueId val="{00000001-4EE2-42B2-B26A-2184EF0B006F}"/>
              </c:ext>
            </c:extLst>
          </c:dPt>
          <c:dPt>
            <c:idx val="9"/>
            <c:invertIfNegative val="0"/>
            <c:bubble3D val="0"/>
            <c:spPr>
              <a:solidFill>
                <a:srgbClr val="FF0000"/>
              </a:solidFill>
              <a:ln w="25400">
                <a:noFill/>
              </a:ln>
              <a:effectLst/>
            </c:spPr>
            <c:extLst>
              <c:ext xmlns:c16="http://schemas.microsoft.com/office/drawing/2014/chart" uri="{C3380CC4-5D6E-409C-BE32-E72D297353CC}">
                <c16:uniqueId val="{00000002-4EE2-42B2-B26A-2184EF0B006F}"/>
              </c:ext>
            </c:extLst>
          </c:dPt>
          <c:dPt>
            <c:idx val="10"/>
            <c:invertIfNegative val="0"/>
            <c:bubble3D val="0"/>
            <c:spPr>
              <a:solidFill>
                <a:srgbClr val="FF0000"/>
              </a:solidFill>
              <a:ln w="25400">
                <a:noFill/>
              </a:ln>
              <a:effectLst/>
            </c:spPr>
            <c:extLst>
              <c:ext xmlns:c16="http://schemas.microsoft.com/office/drawing/2014/chart" uri="{C3380CC4-5D6E-409C-BE32-E72D297353CC}">
                <c16:uniqueId val="{00000003-4EE2-42B2-B26A-2184EF0B006F}"/>
              </c:ext>
            </c:extLst>
          </c:dPt>
          <c:dPt>
            <c:idx val="13"/>
            <c:invertIfNegative val="0"/>
            <c:bubble3D val="0"/>
            <c:spPr>
              <a:solidFill>
                <a:srgbClr val="FF0000"/>
              </a:solidFill>
              <a:ln w="25400">
                <a:noFill/>
              </a:ln>
              <a:effectLst/>
            </c:spPr>
            <c:extLst>
              <c:ext xmlns:c16="http://schemas.microsoft.com/office/drawing/2014/chart" uri="{C3380CC4-5D6E-409C-BE32-E72D297353CC}">
                <c16:uniqueId val="{00000004-4EE2-42B2-B26A-2184EF0B006F}"/>
              </c:ext>
            </c:extLst>
          </c:dPt>
          <c:dPt>
            <c:idx val="14"/>
            <c:invertIfNegative val="0"/>
            <c:bubble3D val="0"/>
            <c:spPr>
              <a:solidFill>
                <a:srgbClr val="FF0000"/>
              </a:solidFill>
              <a:ln w="25400">
                <a:noFill/>
              </a:ln>
              <a:effectLst/>
            </c:spPr>
            <c:extLst>
              <c:ext xmlns:c16="http://schemas.microsoft.com/office/drawing/2014/chart" uri="{C3380CC4-5D6E-409C-BE32-E72D297353CC}">
                <c16:uniqueId val="{00000005-4EE2-42B2-B26A-2184EF0B006F}"/>
              </c:ext>
            </c:extLst>
          </c:dPt>
          <c:dPt>
            <c:idx val="16"/>
            <c:invertIfNegative val="0"/>
            <c:bubble3D val="0"/>
            <c:spPr>
              <a:solidFill>
                <a:srgbClr val="FF0000"/>
              </a:solidFill>
              <a:ln w="25400">
                <a:noFill/>
              </a:ln>
              <a:effectLst/>
            </c:spPr>
            <c:extLst>
              <c:ext xmlns:c16="http://schemas.microsoft.com/office/drawing/2014/chart" uri="{C3380CC4-5D6E-409C-BE32-E72D297353CC}">
                <c16:uniqueId val="{00000006-4EE2-42B2-B26A-2184EF0B006F}"/>
              </c:ext>
            </c:extLst>
          </c:dPt>
          <c:dPt>
            <c:idx val="19"/>
            <c:invertIfNegative val="0"/>
            <c:bubble3D val="0"/>
            <c:spPr>
              <a:solidFill>
                <a:srgbClr val="FF0000"/>
              </a:solidFill>
              <a:ln w="25400">
                <a:noFill/>
              </a:ln>
              <a:effectLst/>
            </c:spPr>
            <c:extLst>
              <c:ext xmlns:c16="http://schemas.microsoft.com/office/drawing/2014/chart" uri="{C3380CC4-5D6E-409C-BE32-E72D297353CC}">
                <c16:uniqueId val="{00000007-4EE2-42B2-B26A-2184EF0B006F}"/>
              </c:ext>
            </c:extLst>
          </c:dPt>
          <c:dPt>
            <c:idx val="24"/>
            <c:invertIfNegative val="0"/>
            <c:bubble3D val="0"/>
            <c:spPr>
              <a:solidFill>
                <a:srgbClr val="FF0000"/>
              </a:solidFill>
              <a:ln w="25400">
                <a:noFill/>
              </a:ln>
              <a:effectLst/>
            </c:spPr>
            <c:extLst>
              <c:ext xmlns:c16="http://schemas.microsoft.com/office/drawing/2014/chart" uri="{C3380CC4-5D6E-409C-BE32-E72D297353CC}">
                <c16:uniqueId val="{00000008-4EE2-42B2-B26A-2184EF0B006F}"/>
              </c:ext>
            </c:extLst>
          </c:dPt>
          <c:cat>
            <c:strRef>
              <c:f>Analysis!$B$2286:$B$2309</c:f>
              <c:strCache>
                <c:ptCount val="24"/>
                <c:pt idx="0">
                  <c:v>Spain</c:v>
                </c:pt>
                <c:pt idx="1">
                  <c:v>Italy</c:v>
                </c:pt>
                <c:pt idx="2">
                  <c:v>Thailand</c:v>
                </c:pt>
                <c:pt idx="3">
                  <c:v>France</c:v>
                </c:pt>
                <c:pt idx="4">
                  <c:v>US</c:v>
                </c:pt>
                <c:pt idx="5">
                  <c:v>UK</c:v>
                </c:pt>
                <c:pt idx="6">
                  <c:v>El Salvador</c:v>
                </c:pt>
                <c:pt idx="7">
                  <c:v>Germany</c:v>
                </c:pt>
                <c:pt idx="8">
                  <c:v>Peru</c:v>
                </c:pt>
                <c:pt idx="9">
                  <c:v>Mexico</c:v>
                </c:pt>
                <c:pt idx="10">
                  <c:v>Brazil</c:v>
                </c:pt>
                <c:pt idx="11">
                  <c:v>Malaysia</c:v>
                </c:pt>
                <c:pt idx="12">
                  <c:v>Japan</c:v>
                </c:pt>
                <c:pt idx="13">
                  <c:v>Colombia</c:v>
                </c:pt>
                <c:pt idx="14">
                  <c:v>Guatemala</c:v>
                </c:pt>
                <c:pt idx="15">
                  <c:v>Caribbean</c:v>
                </c:pt>
                <c:pt idx="16">
                  <c:v>Chile</c:v>
                </c:pt>
                <c:pt idx="17">
                  <c:v>Nigeria</c:v>
                </c:pt>
                <c:pt idx="18">
                  <c:v>Philippines</c:v>
                </c:pt>
                <c:pt idx="19">
                  <c:v>Honduras</c:v>
                </c:pt>
                <c:pt idx="20">
                  <c:v>China</c:v>
                </c:pt>
                <c:pt idx="21">
                  <c:v>Sub-Sah Africa</c:v>
                </c:pt>
                <c:pt idx="22">
                  <c:v>Indonesia</c:v>
                </c:pt>
                <c:pt idx="23">
                  <c:v>India</c:v>
                </c:pt>
              </c:strCache>
            </c:strRef>
          </c:cat>
          <c:val>
            <c:numRef>
              <c:f>Analysis!$C$2286:$C$2309</c:f>
              <c:numCache>
                <c:formatCode>0.0%</c:formatCode>
                <c:ptCount val="24"/>
                <c:pt idx="0">
                  <c:v>-0.1</c:v>
                </c:pt>
                <c:pt idx="1">
                  <c:v>-9.4E-2</c:v>
                </c:pt>
                <c:pt idx="2">
                  <c:v>-9.0999999999999998E-2</c:v>
                </c:pt>
                <c:pt idx="3">
                  <c:v>-8.4999999999999992E-2</c:v>
                </c:pt>
                <c:pt idx="4">
                  <c:v>-8.3999999999999991E-2</c:v>
                </c:pt>
                <c:pt idx="5">
                  <c:v>-7.9000000000000001E-2</c:v>
                </c:pt>
                <c:pt idx="6">
                  <c:v>-7.8E-2</c:v>
                </c:pt>
                <c:pt idx="7">
                  <c:v>-7.6000000000000012E-2</c:v>
                </c:pt>
                <c:pt idx="8">
                  <c:v>-6.7000000000000004E-2</c:v>
                </c:pt>
                <c:pt idx="9">
                  <c:v>-6.5000000000000002E-2</c:v>
                </c:pt>
                <c:pt idx="10">
                  <c:v>-6.4000000000000001E-2</c:v>
                </c:pt>
                <c:pt idx="11">
                  <c:v>-0.06</c:v>
                </c:pt>
                <c:pt idx="12">
                  <c:v>-5.8999999999999997E-2</c:v>
                </c:pt>
                <c:pt idx="13">
                  <c:v>-5.7000000000000002E-2</c:v>
                </c:pt>
                <c:pt idx="14">
                  <c:v>-5.5999999999999994E-2</c:v>
                </c:pt>
                <c:pt idx="15">
                  <c:v>-5.6000000000000001E-2</c:v>
                </c:pt>
                <c:pt idx="16">
                  <c:v>-5.5999999999999994E-2</c:v>
                </c:pt>
                <c:pt idx="17">
                  <c:v>-5.6000000000000001E-2</c:v>
                </c:pt>
                <c:pt idx="18">
                  <c:v>-5.2999999999999999E-2</c:v>
                </c:pt>
                <c:pt idx="19">
                  <c:v>-5.1000000000000004E-2</c:v>
                </c:pt>
                <c:pt idx="20">
                  <c:v>-4.9000000000000002E-2</c:v>
                </c:pt>
                <c:pt idx="21">
                  <c:v>-4.7E-2</c:v>
                </c:pt>
                <c:pt idx="22">
                  <c:v>-4.5000000000000005E-2</c:v>
                </c:pt>
                <c:pt idx="23">
                  <c:v>-2.3000000000000003E-2</c:v>
                </c:pt>
              </c:numCache>
            </c:numRef>
          </c:val>
          <c:extLst>
            <c:ext xmlns:c16="http://schemas.microsoft.com/office/drawing/2014/chart" uri="{C3380CC4-5D6E-409C-BE32-E72D297353CC}">
              <c16:uniqueId val="{00000000-4A62-4DFA-8E91-8AC5E877751C}"/>
            </c:ext>
          </c:extLst>
        </c:ser>
        <c:dLbls>
          <c:showLegendKey val="0"/>
          <c:showVal val="0"/>
          <c:showCatName val="0"/>
          <c:showSerName val="0"/>
          <c:showPercent val="0"/>
          <c:showBubbleSize val="0"/>
        </c:dLbls>
        <c:gapWidth val="219"/>
        <c:overlap val="-27"/>
        <c:axId val="1111571016"/>
        <c:axId val="1111571344"/>
      </c:barChart>
      <c:catAx>
        <c:axId val="1111571016"/>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1571344"/>
        <c:crosses val="autoZero"/>
        <c:auto val="1"/>
        <c:lblAlgn val="ctr"/>
        <c:lblOffset val="100"/>
        <c:noMultiLvlLbl val="0"/>
      </c:catAx>
      <c:valAx>
        <c:axId val="1111571344"/>
        <c:scaling>
          <c:orientation val="minMax"/>
          <c:min val="-0.1"/>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11157101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noFill/>
            <a:ln w="25400">
              <a:noFill/>
            </a:ln>
            <a:effectLst/>
          </c:spPr>
          <c:invertIfNegative val="0"/>
          <c:val>
            <c:numRef>
              <c:f>Analysis!$N$2367:$N$2370</c:f>
              <c:numCache>
                <c:formatCode>0</c:formatCode>
                <c:ptCount val="4"/>
                <c:pt idx="0" formatCode="General">
                  <c:v>0</c:v>
                </c:pt>
                <c:pt idx="1">
                  <c:v>1518.2960893854749</c:v>
                </c:pt>
                <c:pt idx="2">
                  <c:v>3680.6960893854748</c:v>
                </c:pt>
                <c:pt idx="3" formatCode="General">
                  <c:v>0</c:v>
                </c:pt>
              </c:numCache>
            </c:numRef>
          </c:val>
          <c:extLst>
            <c:ext xmlns:c15="http://schemas.microsoft.com/office/drawing/2012/chart" uri="{02D57815-91ED-43cb-92C2-25804820EDAC}">
              <c15:filteredCategoryTitle>
                <c15:cat>
                  <c:strRef>
                    <c:extLst>
                      <c:ext uri="{02D57815-91ED-43cb-92C2-25804820EDAC}">
                        <c15:formulaRef>
                          <c15:sqref>Analysis!$M$2367:$M$2370</c15:sqref>
                        </c15:formulaRef>
                      </c:ext>
                    </c:extLst>
                    <c:strCache>
                      <c:ptCount val="4"/>
                      <c:pt idx="0">
                        <c:v>Mexico Content 2020</c:v>
                      </c:pt>
                      <c:pt idx="1">
                        <c:v>UNIVISION 2020</c:v>
                      </c:pt>
                      <c:pt idx="2">
                        <c:v>less royalties (2020)</c:v>
                      </c:pt>
                      <c:pt idx="3">
                        <c:v>TV-UNI guide (2021 pf)</c:v>
                      </c:pt>
                    </c:strCache>
                  </c:strRef>
                </c15:cat>
              </c15:filteredCategoryTitle>
            </c:ext>
            <c:ext xmlns:c16="http://schemas.microsoft.com/office/drawing/2014/chart" uri="{C3380CC4-5D6E-409C-BE32-E72D297353CC}">
              <c16:uniqueId val="{00000000-3817-43C1-91B8-CC419B029701}"/>
            </c:ext>
          </c:extLst>
        </c:ser>
        <c:ser>
          <c:idx val="1"/>
          <c:order val="1"/>
          <c:spPr>
            <a:solidFill>
              <a:srgbClr val="9999FF"/>
            </a:solidFill>
            <a:ln w="25400">
              <a:noFill/>
            </a:ln>
            <a:effectLst/>
          </c:spPr>
          <c:invertIfNegative val="0"/>
          <c:val>
            <c:numRef>
              <c:f>Analysis!$O$2367:$O$2370</c:f>
              <c:numCache>
                <c:formatCode>0</c:formatCode>
                <c:ptCount val="4"/>
                <c:pt idx="0">
                  <c:v>1518.2960893854749</c:v>
                </c:pt>
                <c:pt idx="1">
                  <c:v>2541.9</c:v>
                </c:pt>
                <c:pt idx="2">
                  <c:v>379.5</c:v>
                </c:pt>
                <c:pt idx="3" formatCode="General">
                  <c:v>4000</c:v>
                </c:pt>
              </c:numCache>
            </c:numRef>
          </c:val>
          <c:extLst>
            <c:ext xmlns:c15="http://schemas.microsoft.com/office/drawing/2012/chart" uri="{02D57815-91ED-43cb-92C2-25804820EDAC}">
              <c15:filteredCategoryTitle>
                <c15:cat>
                  <c:strRef>
                    <c:extLst>
                      <c:ext uri="{02D57815-91ED-43cb-92C2-25804820EDAC}">
                        <c15:formulaRef>
                          <c15:sqref>Analysis!$M$2367:$M$2370</c15:sqref>
                        </c15:formulaRef>
                      </c:ext>
                    </c:extLst>
                    <c:strCache>
                      <c:ptCount val="4"/>
                      <c:pt idx="0">
                        <c:v>Mexico Content 2020</c:v>
                      </c:pt>
                      <c:pt idx="1">
                        <c:v>UNIVISION 2020</c:v>
                      </c:pt>
                      <c:pt idx="2">
                        <c:v>less royalties (2020)</c:v>
                      </c:pt>
                      <c:pt idx="3">
                        <c:v>TV-UNI guide (2021 pf)</c:v>
                      </c:pt>
                    </c:strCache>
                  </c:strRef>
                </c15:cat>
              </c15:filteredCategoryTitle>
            </c:ext>
            <c:ext xmlns:c16="http://schemas.microsoft.com/office/drawing/2014/chart" uri="{C3380CC4-5D6E-409C-BE32-E72D297353CC}">
              <c16:uniqueId val="{00000001-3817-43C1-91B8-CC419B029701}"/>
            </c:ext>
          </c:extLst>
        </c:ser>
        <c:dLbls>
          <c:showLegendKey val="0"/>
          <c:showVal val="0"/>
          <c:showCatName val="0"/>
          <c:showSerName val="0"/>
          <c:showPercent val="0"/>
          <c:showBubbleSize val="0"/>
        </c:dLbls>
        <c:gapWidth val="150"/>
        <c:overlap val="100"/>
        <c:axId val="424521344"/>
        <c:axId val="424522984"/>
      </c:barChart>
      <c:catAx>
        <c:axId val="424521344"/>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24522984"/>
        <c:crosses val="autoZero"/>
        <c:auto val="1"/>
        <c:lblAlgn val="ctr"/>
        <c:lblOffset val="100"/>
        <c:noMultiLvlLbl val="0"/>
      </c:catAx>
      <c:valAx>
        <c:axId val="424522984"/>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USD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General"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24521344"/>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Analysis!$B$2425</c:f>
              <c:strCache>
                <c:ptCount val="1"/>
                <c:pt idx="0">
                  <c:v>Televisa</c:v>
                </c:pt>
              </c:strCache>
            </c:strRef>
          </c:tx>
          <c:spPr>
            <a:solidFill>
              <a:srgbClr val="00008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Analysis!$C$2424:$F$2424</c:f>
              <c:numCache>
                <c:formatCode>General</c:formatCode>
                <c:ptCount val="4"/>
                <c:pt idx="0">
                  <c:v>2022</c:v>
                </c:pt>
                <c:pt idx="1">
                  <c:v>2023</c:v>
                </c:pt>
                <c:pt idx="2">
                  <c:v>2024</c:v>
                </c:pt>
                <c:pt idx="3">
                  <c:v>2025</c:v>
                </c:pt>
              </c:numCache>
            </c:numRef>
          </c:cat>
          <c:val>
            <c:numRef>
              <c:f>Analysis!$C$2425:$F$2425</c:f>
              <c:numCache>
                <c:formatCode>0.0%</c:formatCode>
                <c:ptCount val="4"/>
                <c:pt idx="0">
                  <c:v>0</c:v>
                </c:pt>
                <c:pt idx="1">
                  <c:v>0</c:v>
                </c:pt>
                <c:pt idx="2">
                  <c:v>0</c:v>
                </c:pt>
                <c:pt idx="3">
                  <c:v>0</c:v>
                </c:pt>
              </c:numCache>
            </c:numRef>
          </c:val>
          <c:extLst>
            <c:ext xmlns:c16="http://schemas.microsoft.com/office/drawing/2014/chart" uri="{C3380CC4-5D6E-409C-BE32-E72D297353CC}">
              <c16:uniqueId val="{00000000-C064-493F-8BA8-149E4EACB3B8}"/>
            </c:ext>
          </c:extLst>
        </c:ser>
        <c:ser>
          <c:idx val="1"/>
          <c:order val="1"/>
          <c:tx>
            <c:strRef>
              <c:f>Analysis!$B$2426</c:f>
              <c:strCache>
                <c:ptCount val="1"/>
                <c:pt idx="0">
                  <c:v>MEGA</c:v>
                </c:pt>
              </c:strCache>
            </c:strRef>
          </c:tx>
          <c:spPr>
            <a:solidFill>
              <a:srgbClr val="9999FF"/>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Analysis!$C$2424:$F$2424</c:f>
              <c:numCache>
                <c:formatCode>General</c:formatCode>
                <c:ptCount val="4"/>
                <c:pt idx="0">
                  <c:v>2022</c:v>
                </c:pt>
                <c:pt idx="1">
                  <c:v>2023</c:v>
                </c:pt>
                <c:pt idx="2">
                  <c:v>2024</c:v>
                </c:pt>
                <c:pt idx="3">
                  <c:v>2025</c:v>
                </c:pt>
              </c:numCache>
            </c:numRef>
          </c:cat>
          <c:val>
            <c:numRef>
              <c:f>Analysis!$C$2426:$F$2426</c:f>
              <c:numCache>
                <c:formatCode>0.0%</c:formatCode>
                <c:ptCount val="4"/>
                <c:pt idx="0">
                  <c:v>6.0013973533836015E-2</c:v>
                </c:pt>
                <c:pt idx="1">
                  <c:v>8.6874233194689301E-2</c:v>
                </c:pt>
                <c:pt idx="2">
                  <c:v>0.10095876668215135</c:v>
                </c:pt>
                <c:pt idx="3">
                  <c:v>0.11652029328818996</c:v>
                </c:pt>
              </c:numCache>
            </c:numRef>
          </c:val>
          <c:extLst>
            <c:ext xmlns:c16="http://schemas.microsoft.com/office/drawing/2014/chart" uri="{C3380CC4-5D6E-409C-BE32-E72D297353CC}">
              <c16:uniqueId val="{00000001-C064-493F-8BA8-149E4EACB3B8}"/>
            </c:ext>
          </c:extLst>
        </c:ser>
        <c:dLbls>
          <c:showLegendKey val="0"/>
          <c:showVal val="0"/>
          <c:showCatName val="0"/>
          <c:showSerName val="0"/>
          <c:showPercent val="0"/>
          <c:showBubbleSize val="0"/>
        </c:dLbls>
        <c:gapWidth val="219"/>
        <c:overlap val="-27"/>
        <c:axId val="498894416"/>
        <c:axId val="498894832"/>
      </c:barChart>
      <c:catAx>
        <c:axId val="49889441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98894832"/>
        <c:crosses val="autoZero"/>
        <c:auto val="1"/>
        <c:lblAlgn val="ctr"/>
        <c:lblOffset val="100"/>
        <c:noMultiLvlLbl val="0"/>
      </c:catAx>
      <c:valAx>
        <c:axId val="498894832"/>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49889441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229076108618078"/>
          <c:y val="3.9324445452856793E-2"/>
          <c:w val="0.47165999323918495"/>
          <c:h val="0.68968766089752298"/>
        </c:manualLayout>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2-C569-4A95-A8A2-41CAC6FEF7C0}"/>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C569-4A95-A8A2-41CAC6FEF7C0}"/>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4-C569-4A95-A8A2-41CAC6FEF7C0}"/>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5-C569-4A95-A8A2-41CAC6FEF7C0}"/>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6-C569-4A95-A8A2-41CAC6FEF7C0}"/>
              </c:ext>
            </c:extLst>
          </c:dPt>
          <c:dPt>
            <c:idx val="5"/>
            <c:bubble3D val="0"/>
            <c:spPr>
              <a:pattFill prst="wdDnDiag">
                <a:fgClr>
                  <a:srgbClr val="C0C0C0"/>
                </a:fgClr>
                <a:bgClr>
                  <a:srgbClr val="C0C0C0"/>
                </a:bgClr>
              </a:pattFill>
              <a:ln w="25400">
                <a:noFill/>
              </a:ln>
              <a:effectLst/>
            </c:spPr>
            <c:extLst>
              <c:ext xmlns:c16="http://schemas.microsoft.com/office/drawing/2014/chart" uri="{C3380CC4-5D6E-409C-BE32-E72D297353CC}">
                <c16:uniqueId val="{00000007-C569-4A95-A8A2-41CAC6FEF7C0}"/>
              </c:ext>
            </c:extLst>
          </c:dPt>
          <c:dPt>
            <c:idx val="6"/>
            <c:bubble3D val="0"/>
            <c:spPr>
              <a:pattFill prst="wdDnDiag">
                <a:fgClr>
                  <a:srgbClr val="0000FF"/>
                </a:fgClr>
                <a:bgClr>
                  <a:srgbClr val="0000FF"/>
                </a:bgClr>
              </a:pattFill>
              <a:ln w="25400">
                <a:noFill/>
              </a:ln>
              <a:effectLst/>
            </c:spPr>
            <c:extLst>
              <c:ext xmlns:c16="http://schemas.microsoft.com/office/drawing/2014/chart" uri="{C3380CC4-5D6E-409C-BE32-E72D297353CC}">
                <c16:uniqueId val="{00000008-C569-4A95-A8A2-41CAC6FEF7C0}"/>
              </c:ext>
            </c:extLst>
          </c:dPt>
          <c:dPt>
            <c:idx val="7"/>
            <c:bubble3D val="0"/>
            <c:spPr>
              <a:pattFill prst="wdDnDiag">
                <a:fgClr>
                  <a:srgbClr val="333399"/>
                </a:fgClr>
                <a:bgClr>
                  <a:srgbClr val="333399"/>
                </a:bgClr>
              </a:pattFill>
              <a:ln w="25400">
                <a:noFill/>
              </a:ln>
              <a:effectLst/>
            </c:spPr>
            <c:extLst>
              <c:ext xmlns:c16="http://schemas.microsoft.com/office/drawing/2014/chart" uri="{C3380CC4-5D6E-409C-BE32-E72D297353CC}">
                <c16:uniqueId val="{00000009-C569-4A95-A8A2-41CAC6FEF7C0}"/>
              </c:ext>
            </c:extLst>
          </c:dPt>
          <c:dPt>
            <c:idx val="8"/>
            <c:bubble3D val="0"/>
            <c:spPr>
              <a:pattFill prst="wdDnDiag">
                <a:fgClr>
                  <a:srgbClr val="99CCFF"/>
                </a:fgClr>
                <a:bgClr>
                  <a:srgbClr val="000080"/>
                </a:bgClr>
              </a:pattFill>
              <a:ln w="25400">
                <a:noFill/>
              </a:ln>
              <a:effectLst/>
            </c:spPr>
            <c:extLst>
              <c:ext xmlns:c16="http://schemas.microsoft.com/office/drawing/2014/chart" uri="{C3380CC4-5D6E-409C-BE32-E72D297353CC}">
                <c16:uniqueId val="{0000000A-C569-4A95-A8A2-41CAC6FEF7C0}"/>
              </c:ext>
            </c:extLst>
          </c:dPt>
          <c:dPt>
            <c:idx val="9"/>
            <c:bubble3D val="0"/>
            <c:spPr>
              <a:pattFill prst="wdDnDiag">
                <a:fgClr>
                  <a:srgbClr val="0000FF"/>
                </a:fgClr>
                <a:bgClr>
                  <a:srgbClr val="CCCCFF"/>
                </a:bgClr>
              </a:pattFill>
              <a:ln w="25400">
                <a:noFill/>
              </a:ln>
              <a:effectLst/>
            </c:spPr>
            <c:extLst>
              <c:ext xmlns:c16="http://schemas.microsoft.com/office/drawing/2014/chart" uri="{C3380CC4-5D6E-409C-BE32-E72D297353CC}">
                <c16:uniqueId val="{0000000B-C569-4A95-A8A2-41CAC6FEF7C0}"/>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0FEB-4119-9CA5-91036892E287}"/>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Analysis!$B$2454:$B$2464</c:f>
              <c:strCache>
                <c:ptCount val="11"/>
                <c:pt idx="0">
                  <c:v>Netflix</c:v>
                </c:pt>
                <c:pt idx="1">
                  <c:v>Amazon Prime</c:v>
                </c:pt>
                <c:pt idx="2">
                  <c:v>Disney +</c:v>
                </c:pt>
                <c:pt idx="3">
                  <c:v>Apple TV+</c:v>
                </c:pt>
                <c:pt idx="4">
                  <c:v>Hulu</c:v>
                </c:pt>
                <c:pt idx="5">
                  <c:v>NBC Universal Peacock</c:v>
                </c:pt>
                <c:pt idx="6">
                  <c:v>You Tube premium</c:v>
                </c:pt>
                <c:pt idx="7">
                  <c:v>HBO Max</c:v>
                </c:pt>
                <c:pt idx="8">
                  <c:v>ESPN +</c:v>
                </c:pt>
                <c:pt idx="9">
                  <c:v>CBS All Access</c:v>
                </c:pt>
                <c:pt idx="10">
                  <c:v>Britbox</c:v>
                </c:pt>
              </c:strCache>
            </c:strRef>
          </c:cat>
          <c:val>
            <c:numRef>
              <c:f>Analysis!$C$2454:$C$2464</c:f>
              <c:numCache>
                <c:formatCode>General</c:formatCode>
                <c:ptCount val="11"/>
                <c:pt idx="0">
                  <c:v>75</c:v>
                </c:pt>
                <c:pt idx="1">
                  <c:v>50</c:v>
                </c:pt>
                <c:pt idx="2">
                  <c:v>45</c:v>
                </c:pt>
                <c:pt idx="3">
                  <c:v>40</c:v>
                </c:pt>
                <c:pt idx="4">
                  <c:v>35</c:v>
                </c:pt>
                <c:pt idx="5">
                  <c:v>15</c:v>
                </c:pt>
                <c:pt idx="6">
                  <c:v>15</c:v>
                </c:pt>
                <c:pt idx="7">
                  <c:v>8.5</c:v>
                </c:pt>
                <c:pt idx="8">
                  <c:v>8.5</c:v>
                </c:pt>
                <c:pt idx="9">
                  <c:v>4.5</c:v>
                </c:pt>
                <c:pt idx="10">
                  <c:v>1.5</c:v>
                </c:pt>
              </c:numCache>
            </c:numRef>
          </c:val>
          <c:extLst>
            <c:ext xmlns:c16="http://schemas.microsoft.com/office/drawing/2014/chart" uri="{C3380CC4-5D6E-409C-BE32-E72D297353CC}">
              <c16:uniqueId val="{00000000-C569-4A95-A8A2-41CAC6FEF7C0}"/>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layout>
        <c:manualLayout>
          <c:xMode val="edge"/>
          <c:yMode val="edge"/>
          <c:x val="3.0668353033905096E-2"/>
          <c:y val="0.79630077505077024"/>
          <c:w val="0.93324952650849091"/>
          <c:h val="0.20369922494922962"/>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'Earnings Snaps'!$A$12</c:f>
              <c:strCache>
                <c:ptCount val="1"/>
                <c:pt idx="0">
                  <c:v>Net adds, 000s</c:v>
                </c:pt>
              </c:strCache>
            </c:strRef>
          </c:tx>
          <c:spPr>
            <a:solidFill>
              <a:srgbClr val="263238"/>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Snaps'!$BB$6:$BN$6</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'Earnings Snaps'!$BB$12:$BN$12</c:f>
              <c:numCache>
                <c:formatCode>#,##0</c:formatCode>
                <c:ptCount val="13"/>
                <c:pt idx="0">
                  <c:v>-183.67799999999988</c:v>
                </c:pt>
                <c:pt idx="1">
                  <c:v>-164.09400000000005</c:v>
                </c:pt>
                <c:pt idx="2">
                  <c:v>-211.28099999999995</c:v>
                </c:pt>
                <c:pt idx="3">
                  <c:v>-130.52099999999973</c:v>
                </c:pt>
                <c:pt idx="4">
                  <c:v>-212.4320000000007</c:v>
                </c:pt>
                <c:pt idx="5">
                  <c:v>-210.09999999999945</c:v>
                </c:pt>
                <c:pt idx="6">
                  <c:v>-216.96600000000035</c:v>
                </c:pt>
                <c:pt idx="7">
                  <c:v>-231.89000000000033</c:v>
                </c:pt>
                <c:pt idx="8">
                  <c:v>-291.50399999999991</c:v>
                </c:pt>
                <c:pt idx="9">
                  <c:v>-310.96499999999969</c:v>
                </c:pt>
                <c:pt idx="10">
                  <c:v>-299.75700000000006</c:v>
                </c:pt>
                <c:pt idx="11">
                  <c:v>-277.61599999999999</c:v>
                </c:pt>
                <c:pt idx="12">
                  <c:v>-300.59099999999989</c:v>
                </c:pt>
              </c:numCache>
            </c:numRef>
          </c:val>
          <c:extLst>
            <c:ext xmlns:c16="http://schemas.microsoft.com/office/drawing/2014/chart" uri="{C3380CC4-5D6E-409C-BE32-E72D297353CC}">
              <c16:uniqueId val="{00000000-E09A-4249-8416-CC784B88FFAC}"/>
            </c:ext>
          </c:extLst>
        </c:ser>
        <c:ser>
          <c:idx val="1"/>
          <c:order val="1"/>
          <c:tx>
            <c:strRef>
              <c:f>'Earnings Snaps'!$A$17</c:f>
              <c:strCache>
                <c:ptCount val="1"/>
                <c:pt idx="0">
                  <c:v>Broadband adds, 000s</c:v>
                </c:pt>
              </c:strCache>
            </c:strRef>
          </c:tx>
          <c:spPr>
            <a:solidFill>
              <a:srgbClr val="799098"/>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Snaps'!$BB$6:$BN$6</c:f>
              <c:strCache>
                <c:ptCount val="13"/>
                <c:pt idx="0">
                  <c:v>Q1 23</c:v>
                </c:pt>
                <c:pt idx="1">
                  <c:v>Q2 23</c:v>
                </c:pt>
                <c:pt idx="2">
                  <c:v>Q3 23</c:v>
                </c:pt>
                <c:pt idx="3">
                  <c:v>Q4 23</c:v>
                </c:pt>
                <c:pt idx="4">
                  <c:v>Q1 24</c:v>
                </c:pt>
                <c:pt idx="5">
                  <c:v>Q2 24</c:v>
                </c:pt>
                <c:pt idx="6">
                  <c:v>Q3 24</c:v>
                </c:pt>
                <c:pt idx="7">
                  <c:v>Q4 24</c:v>
                </c:pt>
                <c:pt idx="8">
                  <c:v>Q1 25</c:v>
                </c:pt>
                <c:pt idx="9">
                  <c:v>Q2 25</c:v>
                </c:pt>
                <c:pt idx="10">
                  <c:v>Q3 25</c:v>
                </c:pt>
                <c:pt idx="11">
                  <c:v>Q4 25</c:v>
                </c:pt>
                <c:pt idx="12">
                  <c:v>Q1 26</c:v>
                </c:pt>
              </c:strCache>
            </c:strRef>
          </c:cat>
          <c:val>
            <c:numRef>
              <c:f>'Earnings Snaps'!$BB$17:$BN$17</c:f>
              <c:numCache>
                <c:formatCode>0</c:formatCode>
                <c:ptCount val="13"/>
                <c:pt idx="0">
                  <c:v>-32.172000000000025</c:v>
                </c:pt>
                <c:pt idx="1">
                  <c:v>-32.860000000000014</c:v>
                </c:pt>
                <c:pt idx="2">
                  <c:v>-30.307999999999993</c:v>
                </c:pt>
                <c:pt idx="3">
                  <c:v>-29.864999999999895</c:v>
                </c:pt>
                <c:pt idx="4">
                  <c:v>-34.214000000000055</c:v>
                </c:pt>
                <c:pt idx="5">
                  <c:v>-42.274999999999977</c:v>
                </c:pt>
                <c:pt idx="6">
                  <c:v>-49.295000000000016</c:v>
                </c:pt>
                <c:pt idx="7">
                  <c:v>-38.420000000000016</c:v>
                </c:pt>
                <c:pt idx="8">
                  <c:v>-36.187999999999988</c:v>
                </c:pt>
                <c:pt idx="9">
                  <c:v>-34.483000000000004</c:v>
                </c:pt>
                <c:pt idx="10">
                  <c:v>-28.950999999999993</c:v>
                </c:pt>
                <c:pt idx="11">
                  <c:v>-25.887</c:v>
                </c:pt>
                <c:pt idx="12">
                  <c:v>-24.408999999999992</c:v>
                </c:pt>
              </c:numCache>
            </c:numRef>
          </c:val>
          <c:extLst>
            <c:ext xmlns:c16="http://schemas.microsoft.com/office/drawing/2014/chart" uri="{C3380CC4-5D6E-409C-BE32-E72D297353CC}">
              <c16:uniqueId val="{00000001-E09A-4249-8416-CC784B88FFAC}"/>
            </c:ext>
          </c:extLst>
        </c:ser>
        <c:dLbls>
          <c:showLegendKey val="0"/>
          <c:showVal val="0"/>
          <c:showCatName val="0"/>
          <c:showSerName val="0"/>
          <c:showPercent val="0"/>
          <c:showBubbleSize val="0"/>
        </c:dLbls>
        <c:gapWidth val="30"/>
        <c:overlap val="-27"/>
        <c:axId val="1057922632"/>
        <c:axId val="1057916400"/>
      </c:barChart>
      <c:catAx>
        <c:axId val="1057922632"/>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057916400"/>
        <c:crosses val="autoZero"/>
        <c:auto val="1"/>
        <c:lblAlgn val="ctr"/>
        <c:lblOffset val="100"/>
        <c:noMultiLvlLbl val="0"/>
      </c:catAx>
      <c:valAx>
        <c:axId val="1057916400"/>
        <c:scaling>
          <c:orientation val="minMax"/>
        </c:scaling>
        <c:delete val="1"/>
        <c:axPos val="l"/>
        <c:numFmt formatCode="#,##0" sourceLinked="1"/>
        <c:majorTickMark val="out"/>
        <c:minorTickMark val="none"/>
        <c:tickLblPos val="nextTo"/>
        <c:crossAx val="105792263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Analysis!$B$2489</c:f>
              <c:strCache>
                <c:ptCount val="1"/>
                <c:pt idx="0">
                  <c:v>Televisa</c:v>
                </c:pt>
              </c:strCache>
            </c:strRef>
          </c:tx>
          <c:spPr>
            <a:ln w="25400" cap="rnd">
              <a:solidFill>
                <a:srgbClr val="333399"/>
              </a:solidFill>
              <a:prstDash val="solid"/>
              <a:round/>
            </a:ln>
            <a:effectLst/>
          </c:spPr>
          <c:marker>
            <c:symbol val="none"/>
          </c:marker>
          <c:cat>
            <c:numRef>
              <c:f>Analysis!$C$2488:$H$2488</c:f>
              <c:numCache>
                <c:formatCode>General</c:formatCode>
                <c:ptCount val="6"/>
                <c:pt idx="0">
                  <c:v>2020</c:v>
                </c:pt>
                <c:pt idx="1">
                  <c:v>2021</c:v>
                </c:pt>
                <c:pt idx="2">
                  <c:v>2022</c:v>
                </c:pt>
                <c:pt idx="3">
                  <c:v>2023</c:v>
                </c:pt>
                <c:pt idx="4">
                  <c:v>2024</c:v>
                </c:pt>
                <c:pt idx="5">
                  <c:v>2025</c:v>
                </c:pt>
              </c:numCache>
            </c:numRef>
          </c:cat>
          <c:val>
            <c:numRef>
              <c:f>Analysis!$C$2489:$H$2489</c:f>
              <c:numCache>
                <c:formatCode>0.0%</c:formatCode>
                <c:ptCount val="6"/>
                <c:pt idx="0">
                  <c:v>0.36717017423007425</c:v>
                </c:pt>
                <c:pt idx="1">
                  <c:v>0.36037021223470667</c:v>
                </c:pt>
                <c:pt idx="2">
                  <c:v>0.37257504456327989</c:v>
                </c:pt>
                <c:pt idx="3">
                  <c:v>0.34215578231292521</c:v>
                </c:pt>
                <c:pt idx="4">
                  <c:v>0.33012606666666666</c:v>
                </c:pt>
                <c:pt idx="5">
                  <c:v>0.32347644880174292</c:v>
                </c:pt>
              </c:numCache>
            </c:numRef>
          </c:val>
          <c:smooth val="0"/>
          <c:extLst>
            <c:ext xmlns:c16="http://schemas.microsoft.com/office/drawing/2014/chart" uri="{C3380CC4-5D6E-409C-BE32-E72D297353CC}">
              <c16:uniqueId val="{00000000-8122-407F-88BF-FD534B652656}"/>
            </c:ext>
          </c:extLst>
        </c:ser>
        <c:ser>
          <c:idx val="1"/>
          <c:order val="1"/>
          <c:tx>
            <c:strRef>
              <c:f>Analysis!$B$2490</c:f>
              <c:strCache>
                <c:ptCount val="1"/>
                <c:pt idx="0">
                  <c:v>Megacable</c:v>
                </c:pt>
              </c:strCache>
            </c:strRef>
          </c:tx>
          <c:spPr>
            <a:ln w="25400" cap="rnd">
              <a:solidFill>
                <a:srgbClr val="99CCFF"/>
              </a:solidFill>
              <a:prstDash val="solid"/>
              <a:round/>
            </a:ln>
            <a:effectLst/>
          </c:spPr>
          <c:marker>
            <c:symbol val="none"/>
          </c:marker>
          <c:cat>
            <c:numRef>
              <c:f>Analysis!$C$2488:$H$2488</c:f>
              <c:numCache>
                <c:formatCode>General</c:formatCode>
                <c:ptCount val="6"/>
                <c:pt idx="0">
                  <c:v>2020</c:v>
                </c:pt>
                <c:pt idx="1">
                  <c:v>2021</c:v>
                </c:pt>
                <c:pt idx="2">
                  <c:v>2022</c:v>
                </c:pt>
                <c:pt idx="3">
                  <c:v>2023</c:v>
                </c:pt>
                <c:pt idx="4">
                  <c:v>2024</c:v>
                </c:pt>
                <c:pt idx="5">
                  <c:v>2025</c:v>
                </c:pt>
              </c:numCache>
            </c:numRef>
          </c:cat>
          <c:val>
            <c:numRef>
              <c:f>Analysis!$C$2490:$H$2490</c:f>
              <c:numCache>
                <c:formatCode>0.0%</c:formatCode>
                <c:ptCount val="6"/>
                <c:pt idx="0">
                  <c:v>0.43919597989949749</c:v>
                </c:pt>
                <c:pt idx="1">
                  <c:v>0.4340056432229073</c:v>
                </c:pt>
                <c:pt idx="2">
                  <c:v>0.38044982698961938</c:v>
                </c:pt>
                <c:pt idx="3">
                  <c:v>0.32037828734292007</c:v>
                </c:pt>
                <c:pt idx="4">
                  <c:v>0.31908843941784232</c:v>
                </c:pt>
                <c:pt idx="5">
                  <c:v>0.32157069558836648</c:v>
                </c:pt>
              </c:numCache>
            </c:numRef>
          </c:val>
          <c:smooth val="0"/>
          <c:extLst>
            <c:ext xmlns:c16="http://schemas.microsoft.com/office/drawing/2014/chart" uri="{C3380CC4-5D6E-409C-BE32-E72D297353CC}">
              <c16:uniqueId val="{00000001-8122-407F-88BF-FD534B652656}"/>
            </c:ext>
          </c:extLst>
        </c:ser>
        <c:ser>
          <c:idx val="2"/>
          <c:order val="2"/>
          <c:tx>
            <c:strRef>
              <c:f>Analysis!$B$2491</c:f>
              <c:strCache>
                <c:ptCount val="1"/>
                <c:pt idx="0">
                  <c:v>Total Play</c:v>
                </c:pt>
              </c:strCache>
            </c:strRef>
          </c:tx>
          <c:spPr>
            <a:ln w="25400" cap="rnd">
              <a:solidFill>
                <a:srgbClr val="333399"/>
              </a:solidFill>
              <a:prstDash val="lgDash"/>
              <a:round/>
            </a:ln>
            <a:effectLst/>
          </c:spPr>
          <c:marker>
            <c:symbol val="none"/>
          </c:marker>
          <c:cat>
            <c:numRef>
              <c:f>Analysis!$C$2488:$H$2488</c:f>
              <c:numCache>
                <c:formatCode>General</c:formatCode>
                <c:ptCount val="6"/>
                <c:pt idx="0">
                  <c:v>2020</c:v>
                </c:pt>
                <c:pt idx="1">
                  <c:v>2021</c:v>
                </c:pt>
                <c:pt idx="2">
                  <c:v>2022</c:v>
                </c:pt>
                <c:pt idx="3">
                  <c:v>2023</c:v>
                </c:pt>
                <c:pt idx="4">
                  <c:v>2024</c:v>
                </c:pt>
                <c:pt idx="5">
                  <c:v>2025</c:v>
                </c:pt>
              </c:numCache>
            </c:numRef>
          </c:cat>
          <c:val>
            <c:numRef>
              <c:f>Analysis!$C$2491:$H$2491</c:f>
              <c:numCache>
                <c:formatCode>0.0%</c:formatCode>
                <c:ptCount val="6"/>
                <c:pt idx="0">
                  <c:v>0.19869918699186992</c:v>
                </c:pt>
                <c:pt idx="1">
                  <c:v>0.23530612244897958</c:v>
                </c:pt>
                <c:pt idx="2">
                  <c:v>0.24809600738518348</c:v>
                </c:pt>
                <c:pt idx="3">
                  <c:v>0.27219912285698011</c:v>
                </c:pt>
                <c:pt idx="4">
                  <c:v>0.29150843307254287</c:v>
                </c:pt>
                <c:pt idx="5">
                  <c:v>0.3074241215532274</c:v>
                </c:pt>
              </c:numCache>
            </c:numRef>
          </c:val>
          <c:smooth val="0"/>
          <c:extLst>
            <c:ext xmlns:c16="http://schemas.microsoft.com/office/drawing/2014/chart" uri="{C3380CC4-5D6E-409C-BE32-E72D297353CC}">
              <c16:uniqueId val="{00000002-8122-407F-88BF-FD534B652656}"/>
            </c:ext>
          </c:extLst>
        </c:ser>
        <c:dLbls>
          <c:showLegendKey val="0"/>
          <c:showVal val="0"/>
          <c:showCatName val="0"/>
          <c:showSerName val="0"/>
          <c:showPercent val="0"/>
          <c:showBubbleSize val="0"/>
        </c:dLbls>
        <c:smooth val="0"/>
        <c:axId val="1211387023"/>
        <c:axId val="1211387855"/>
      </c:lineChart>
      <c:catAx>
        <c:axId val="1211387023"/>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11387855"/>
        <c:crosses val="autoZero"/>
        <c:auto val="1"/>
        <c:lblAlgn val="ctr"/>
        <c:lblOffset val="100"/>
        <c:noMultiLvlLbl val="0"/>
      </c:catAx>
      <c:valAx>
        <c:axId val="1211387855"/>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11387023"/>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Analysis!$B$2494</c:f>
              <c:strCache>
                <c:ptCount val="1"/>
                <c:pt idx="0">
                  <c:v>Telmex (DSL/FTTH)</c:v>
                </c:pt>
              </c:strCache>
            </c:strRef>
          </c:tx>
          <c:spPr>
            <a:solidFill>
              <a:srgbClr val="000080"/>
            </a:solidFill>
            <a:ln w="25400">
              <a:noFill/>
            </a:ln>
            <a:effectLst/>
          </c:spPr>
          <c:invertIfNegative val="0"/>
          <c:cat>
            <c:numRef>
              <c:f>Analysis!$C$2493:$H$2493</c:f>
              <c:numCache>
                <c:formatCode>General</c:formatCode>
                <c:ptCount val="6"/>
                <c:pt idx="0">
                  <c:v>2020</c:v>
                </c:pt>
                <c:pt idx="1">
                  <c:v>2021</c:v>
                </c:pt>
                <c:pt idx="2">
                  <c:v>2022</c:v>
                </c:pt>
                <c:pt idx="3">
                  <c:v>2023</c:v>
                </c:pt>
                <c:pt idx="4">
                  <c:v>2024</c:v>
                </c:pt>
                <c:pt idx="5">
                  <c:v>2025</c:v>
                </c:pt>
              </c:numCache>
            </c:numRef>
          </c:cat>
          <c:val>
            <c:numRef>
              <c:f>Analysis!$C$2494:$H$2494</c:f>
              <c:numCache>
                <c:formatCode>#,##0</c:formatCode>
                <c:ptCount val="6"/>
                <c:pt idx="0">
                  <c:v>-12</c:v>
                </c:pt>
                <c:pt idx="1">
                  <c:v>464</c:v>
                </c:pt>
                <c:pt idx="2">
                  <c:v>-67.194583813092322</c:v>
                </c:pt>
                <c:pt idx="3">
                  <c:v>-101.57451539193607</c:v>
                </c:pt>
                <c:pt idx="4">
                  <c:v>-137.78730117351733</c:v>
                </c:pt>
                <c:pt idx="5">
                  <c:v>-175.90429116547602</c:v>
                </c:pt>
              </c:numCache>
            </c:numRef>
          </c:val>
          <c:extLst>
            <c:ext xmlns:c16="http://schemas.microsoft.com/office/drawing/2014/chart" uri="{C3380CC4-5D6E-409C-BE32-E72D297353CC}">
              <c16:uniqueId val="{00000000-5B4B-4779-815F-298C2F1A6F11}"/>
            </c:ext>
          </c:extLst>
        </c:ser>
        <c:ser>
          <c:idx val="1"/>
          <c:order val="1"/>
          <c:tx>
            <c:strRef>
              <c:f>Analysis!$B$2495</c:f>
              <c:strCache>
                <c:ptCount val="1"/>
                <c:pt idx="0">
                  <c:v>Televisa</c:v>
                </c:pt>
              </c:strCache>
            </c:strRef>
          </c:tx>
          <c:spPr>
            <a:solidFill>
              <a:srgbClr val="9999FF"/>
            </a:solidFill>
            <a:ln w="25400">
              <a:noFill/>
            </a:ln>
            <a:effectLst/>
          </c:spPr>
          <c:invertIfNegative val="0"/>
          <c:cat>
            <c:numRef>
              <c:f>Analysis!$C$2493:$H$2493</c:f>
              <c:numCache>
                <c:formatCode>General</c:formatCode>
                <c:ptCount val="6"/>
                <c:pt idx="0">
                  <c:v>2020</c:v>
                </c:pt>
                <c:pt idx="1">
                  <c:v>2021</c:v>
                </c:pt>
                <c:pt idx="2">
                  <c:v>2022</c:v>
                </c:pt>
                <c:pt idx="3">
                  <c:v>2023</c:v>
                </c:pt>
                <c:pt idx="4">
                  <c:v>2024</c:v>
                </c:pt>
                <c:pt idx="5">
                  <c:v>2025</c:v>
                </c:pt>
              </c:numCache>
            </c:numRef>
          </c:cat>
          <c:val>
            <c:numRef>
              <c:f>Analysis!$C$2495:$H$2495</c:f>
              <c:numCache>
                <c:formatCode>#,##0</c:formatCode>
                <c:ptCount val="6"/>
                <c:pt idx="0">
                  <c:v>335.04899999999998</c:v>
                </c:pt>
                <c:pt idx="1">
                  <c:v>-305.72000000000025</c:v>
                </c:pt>
                <c:pt idx="2">
                  <c:v>-52.224999999999454</c:v>
                </c:pt>
                <c:pt idx="3">
                  <c:v>41.793999999999869</c:v>
                </c:pt>
                <c:pt idx="4">
                  <c:v>45</c:v>
                </c:pt>
                <c:pt idx="5">
                  <c:v>50</c:v>
                </c:pt>
              </c:numCache>
            </c:numRef>
          </c:val>
          <c:extLst>
            <c:ext xmlns:c16="http://schemas.microsoft.com/office/drawing/2014/chart" uri="{C3380CC4-5D6E-409C-BE32-E72D297353CC}">
              <c16:uniqueId val="{00000001-5B4B-4779-815F-298C2F1A6F11}"/>
            </c:ext>
          </c:extLst>
        </c:ser>
        <c:ser>
          <c:idx val="2"/>
          <c:order val="2"/>
          <c:tx>
            <c:strRef>
              <c:f>Analysis!$B$2496</c:f>
              <c:strCache>
                <c:ptCount val="1"/>
                <c:pt idx="0">
                  <c:v>Megacable</c:v>
                </c:pt>
              </c:strCache>
            </c:strRef>
          </c:tx>
          <c:spPr>
            <a:solidFill>
              <a:srgbClr val="3366FF"/>
            </a:solidFill>
            <a:ln w="25400">
              <a:noFill/>
            </a:ln>
            <a:effectLst/>
          </c:spPr>
          <c:invertIfNegative val="0"/>
          <c:cat>
            <c:numRef>
              <c:f>Analysis!$C$2493:$H$2493</c:f>
              <c:numCache>
                <c:formatCode>General</c:formatCode>
                <c:ptCount val="6"/>
                <c:pt idx="0">
                  <c:v>2020</c:v>
                </c:pt>
                <c:pt idx="1">
                  <c:v>2021</c:v>
                </c:pt>
                <c:pt idx="2">
                  <c:v>2022</c:v>
                </c:pt>
                <c:pt idx="3">
                  <c:v>2023</c:v>
                </c:pt>
                <c:pt idx="4">
                  <c:v>2024</c:v>
                </c:pt>
                <c:pt idx="5">
                  <c:v>2025</c:v>
                </c:pt>
              </c:numCache>
            </c:numRef>
          </c:cat>
          <c:val>
            <c:numRef>
              <c:f>Analysis!$C$2496:$H$2496</c:f>
              <c:numCache>
                <c:formatCode>#,##0</c:formatCode>
                <c:ptCount val="6"/>
                <c:pt idx="0">
                  <c:v>304.10699999999997</c:v>
                </c:pt>
                <c:pt idx="1">
                  <c:v>584</c:v>
                </c:pt>
                <c:pt idx="2">
                  <c:v>529.55199999999968</c:v>
                </c:pt>
                <c:pt idx="3">
                  <c:v>450</c:v>
                </c:pt>
                <c:pt idx="4">
                  <c:v>300</c:v>
                </c:pt>
                <c:pt idx="5">
                  <c:v>200</c:v>
                </c:pt>
              </c:numCache>
            </c:numRef>
          </c:val>
          <c:extLst>
            <c:ext xmlns:c16="http://schemas.microsoft.com/office/drawing/2014/chart" uri="{C3380CC4-5D6E-409C-BE32-E72D297353CC}">
              <c16:uniqueId val="{00000002-5B4B-4779-815F-298C2F1A6F11}"/>
            </c:ext>
          </c:extLst>
        </c:ser>
        <c:ser>
          <c:idx val="3"/>
          <c:order val="3"/>
          <c:tx>
            <c:strRef>
              <c:f>Analysis!$B$2497</c:f>
              <c:strCache>
                <c:ptCount val="1"/>
                <c:pt idx="0">
                  <c:v>Total Play</c:v>
                </c:pt>
              </c:strCache>
            </c:strRef>
          </c:tx>
          <c:spPr>
            <a:solidFill>
              <a:srgbClr val="CCCCFF"/>
            </a:solidFill>
            <a:ln w="25400">
              <a:noFill/>
            </a:ln>
            <a:effectLst/>
          </c:spPr>
          <c:invertIfNegative val="0"/>
          <c:cat>
            <c:numRef>
              <c:f>Analysis!$C$2493:$H$2493</c:f>
              <c:numCache>
                <c:formatCode>General</c:formatCode>
                <c:ptCount val="6"/>
                <c:pt idx="0">
                  <c:v>2020</c:v>
                </c:pt>
                <c:pt idx="1">
                  <c:v>2021</c:v>
                </c:pt>
                <c:pt idx="2">
                  <c:v>2022</c:v>
                </c:pt>
                <c:pt idx="3">
                  <c:v>2023</c:v>
                </c:pt>
                <c:pt idx="4">
                  <c:v>2024</c:v>
                </c:pt>
                <c:pt idx="5">
                  <c:v>2025</c:v>
                </c:pt>
              </c:numCache>
            </c:numRef>
          </c:cat>
          <c:val>
            <c:numRef>
              <c:f>Analysis!$C$2497:$H$2497</c:f>
              <c:numCache>
                <c:formatCode>#,##0</c:formatCode>
                <c:ptCount val="6"/>
                <c:pt idx="0">
                  <c:v>839</c:v>
                </c:pt>
                <c:pt idx="1">
                  <c:v>482</c:v>
                </c:pt>
                <c:pt idx="2">
                  <c:v>370.47999999999956</c:v>
                </c:pt>
                <c:pt idx="3">
                  <c:v>320</c:v>
                </c:pt>
                <c:pt idx="4">
                  <c:v>300</c:v>
                </c:pt>
                <c:pt idx="5">
                  <c:v>250</c:v>
                </c:pt>
              </c:numCache>
            </c:numRef>
          </c:val>
          <c:extLst>
            <c:ext xmlns:c16="http://schemas.microsoft.com/office/drawing/2014/chart" uri="{C3380CC4-5D6E-409C-BE32-E72D297353CC}">
              <c16:uniqueId val="{00000003-5B4B-4779-815F-298C2F1A6F11}"/>
            </c:ext>
          </c:extLst>
        </c:ser>
        <c:dLbls>
          <c:showLegendKey val="0"/>
          <c:showVal val="0"/>
          <c:showCatName val="0"/>
          <c:showSerName val="0"/>
          <c:showPercent val="0"/>
          <c:showBubbleSize val="0"/>
        </c:dLbls>
        <c:gapWidth val="150"/>
        <c:overlap val="100"/>
        <c:axId val="1374549007"/>
        <c:axId val="1374542351"/>
      </c:barChart>
      <c:catAx>
        <c:axId val="1374549007"/>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374542351"/>
        <c:crosses val="autoZero"/>
        <c:auto val="1"/>
        <c:lblAlgn val="ctr"/>
        <c:lblOffset val="100"/>
        <c:noMultiLvlLbl val="0"/>
      </c:catAx>
      <c:valAx>
        <c:axId val="1374542351"/>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374549007"/>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Analysis!$C$2493:$H$2493</c:f>
              <c:numCache>
                <c:formatCode>General</c:formatCode>
                <c:ptCount val="6"/>
                <c:pt idx="0">
                  <c:v>2020</c:v>
                </c:pt>
                <c:pt idx="1">
                  <c:v>2021</c:v>
                </c:pt>
                <c:pt idx="2">
                  <c:v>2022</c:v>
                </c:pt>
                <c:pt idx="3">
                  <c:v>2023</c:v>
                </c:pt>
                <c:pt idx="4">
                  <c:v>2024</c:v>
                </c:pt>
                <c:pt idx="5">
                  <c:v>2025</c:v>
                </c:pt>
              </c:numCache>
            </c:numRef>
          </c:cat>
          <c:val>
            <c:numRef>
              <c:f>Analysis!$C$2500:$H$2500</c:f>
              <c:numCache>
                <c:formatCode>0.0\x</c:formatCode>
                <c:ptCount val="6"/>
                <c:pt idx="0">
                  <c:v>1.4808681672025723</c:v>
                </c:pt>
                <c:pt idx="1">
                  <c:v>1.6414160519513272</c:v>
                </c:pt>
                <c:pt idx="2">
                  <c:v>1.8262824958493578</c:v>
                </c:pt>
                <c:pt idx="3">
                  <c:v>1.9875123323026811</c:v>
                </c:pt>
                <c:pt idx="4">
                  <c:v>2.0527472114933643</c:v>
                </c:pt>
                <c:pt idx="5">
                  <c:v>2.1006348777777721</c:v>
                </c:pt>
              </c:numCache>
            </c:numRef>
          </c:val>
          <c:extLst>
            <c:ext xmlns:c16="http://schemas.microsoft.com/office/drawing/2014/chart" uri="{C3380CC4-5D6E-409C-BE32-E72D297353CC}">
              <c16:uniqueId val="{00000000-C356-478E-A3A0-29EE624DD63F}"/>
            </c:ext>
          </c:extLst>
        </c:ser>
        <c:dLbls>
          <c:showLegendKey val="0"/>
          <c:showVal val="0"/>
          <c:showCatName val="0"/>
          <c:showSerName val="0"/>
          <c:showPercent val="0"/>
          <c:showBubbleSize val="0"/>
        </c:dLbls>
        <c:gapWidth val="219"/>
        <c:overlap val="-27"/>
        <c:axId val="1008813583"/>
        <c:axId val="1008812335"/>
      </c:barChart>
      <c:catAx>
        <c:axId val="1008813583"/>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08812335"/>
        <c:crosses val="autoZero"/>
        <c:auto val="1"/>
        <c:lblAlgn val="ctr"/>
        <c:lblOffset val="100"/>
        <c:noMultiLvlLbl val="0"/>
      </c:catAx>
      <c:valAx>
        <c:axId val="1008812335"/>
        <c:scaling>
          <c:orientation val="minMax"/>
        </c:scaling>
        <c:delete val="0"/>
        <c:axPos val="l"/>
        <c:majorGridlines>
          <c:spPr>
            <a:ln w="3175" cap="flat" cmpd="sng" algn="ctr">
              <a:solidFill>
                <a:srgbClr val="C0C0C0"/>
              </a:solidFill>
              <a:prstDash val="solid"/>
              <a:round/>
            </a:ln>
            <a:effectLst/>
          </c:spPr>
        </c:majorGridlines>
        <c:numFmt formatCode="0.0\x"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08813583"/>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Analysis!$C$2527:$G$2527</c:f>
              <c:numCache>
                <c:formatCode>General</c:formatCode>
                <c:ptCount val="5"/>
                <c:pt idx="0">
                  <c:v>2021</c:v>
                </c:pt>
                <c:pt idx="1">
                  <c:v>2022</c:v>
                </c:pt>
                <c:pt idx="2">
                  <c:v>2023</c:v>
                </c:pt>
                <c:pt idx="3">
                  <c:v>2024</c:v>
                </c:pt>
                <c:pt idx="4">
                  <c:v>2025</c:v>
                </c:pt>
              </c:numCache>
            </c:numRef>
          </c:cat>
          <c:val>
            <c:numRef>
              <c:f>Analysis!$C$2528:$G$2528</c:f>
              <c:numCache>
                <c:formatCode>0%</c:formatCode>
                <c:ptCount val="5"/>
                <c:pt idx="0">
                  <c:v>0.65348874598070739</c:v>
                </c:pt>
                <c:pt idx="1">
                  <c:v>0.67848874598070741</c:v>
                </c:pt>
                <c:pt idx="2">
                  <c:v>0.70348874598070743</c:v>
                </c:pt>
                <c:pt idx="3">
                  <c:v>0.72348874598070745</c:v>
                </c:pt>
                <c:pt idx="4">
                  <c:v>0.74348874598070747</c:v>
                </c:pt>
              </c:numCache>
            </c:numRef>
          </c:val>
          <c:extLst>
            <c:ext xmlns:c16="http://schemas.microsoft.com/office/drawing/2014/chart" uri="{C3380CC4-5D6E-409C-BE32-E72D297353CC}">
              <c16:uniqueId val="{00000000-6769-4D84-8688-E0131A2F08ED}"/>
            </c:ext>
          </c:extLst>
        </c:ser>
        <c:dLbls>
          <c:showLegendKey val="0"/>
          <c:showVal val="0"/>
          <c:showCatName val="0"/>
          <c:showSerName val="0"/>
          <c:showPercent val="0"/>
          <c:showBubbleSize val="0"/>
        </c:dLbls>
        <c:gapWidth val="219"/>
        <c:overlap val="-27"/>
        <c:axId val="1451576287"/>
        <c:axId val="1451562143"/>
      </c:barChart>
      <c:catAx>
        <c:axId val="1451576287"/>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451562143"/>
        <c:crosses val="autoZero"/>
        <c:auto val="1"/>
        <c:lblAlgn val="ctr"/>
        <c:lblOffset val="100"/>
        <c:noMultiLvlLbl val="0"/>
      </c:catAx>
      <c:valAx>
        <c:axId val="1451562143"/>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451576287"/>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Analysis!$B$2607</c:f>
              <c:strCache>
                <c:ptCount val="1"/>
                <c:pt idx="0">
                  <c:v>Revenue </c:v>
                </c:pt>
              </c:strCache>
            </c:strRef>
          </c:tx>
          <c:spPr>
            <a:solidFill>
              <a:srgbClr val="000080"/>
            </a:solidFill>
            <a:ln w="25400">
              <a:noFill/>
            </a:ln>
            <a:effectLst/>
          </c:spPr>
          <c:invertIfNegative val="0"/>
          <c:cat>
            <c:strRef>
              <c:f>Analysis!$C$2606:$N$2606</c:f>
              <c:strCache>
                <c:ptCount val="12"/>
                <c:pt idx="0">
                  <c:v>Q1 19</c:v>
                </c:pt>
                <c:pt idx="1">
                  <c:v>Q2 19</c:v>
                </c:pt>
                <c:pt idx="2">
                  <c:v>Q3 19</c:v>
                </c:pt>
                <c:pt idx="3">
                  <c:v>Q4 19</c:v>
                </c:pt>
                <c:pt idx="4">
                  <c:v>Q1 20</c:v>
                </c:pt>
                <c:pt idx="5">
                  <c:v>Q2 20</c:v>
                </c:pt>
                <c:pt idx="6">
                  <c:v>Q3 20</c:v>
                </c:pt>
                <c:pt idx="7">
                  <c:v>Q4 20</c:v>
                </c:pt>
                <c:pt idx="8">
                  <c:v>Q1 21</c:v>
                </c:pt>
                <c:pt idx="9">
                  <c:v>Q2 21</c:v>
                </c:pt>
                <c:pt idx="10">
                  <c:v>Q3 21</c:v>
                </c:pt>
                <c:pt idx="11">
                  <c:v>Q4 21</c:v>
                </c:pt>
              </c:strCache>
            </c:strRef>
          </c:cat>
          <c:val>
            <c:numRef>
              <c:f>Analysis!$C$2607:$N$2607</c:f>
              <c:numCache>
                <c:formatCode>0</c:formatCode>
                <c:ptCount val="12"/>
                <c:pt idx="0">
                  <c:v>602.89999999999986</c:v>
                </c:pt>
                <c:pt idx="1">
                  <c:v>710.7</c:v>
                </c:pt>
                <c:pt idx="2">
                  <c:v>681.4</c:v>
                </c:pt>
                <c:pt idx="3">
                  <c:v>692.9</c:v>
                </c:pt>
                <c:pt idx="4">
                  <c:v>660.40000000000009</c:v>
                </c:pt>
                <c:pt idx="5">
                  <c:v>531</c:v>
                </c:pt>
                <c:pt idx="6">
                  <c:v>627.6</c:v>
                </c:pt>
                <c:pt idx="7">
                  <c:v>722.9</c:v>
                </c:pt>
                <c:pt idx="8">
                  <c:v>633.69999999999982</c:v>
                </c:pt>
                <c:pt idx="9">
                  <c:v>700.2</c:v>
                </c:pt>
                <c:pt idx="10">
                  <c:v>754.7</c:v>
                </c:pt>
                <c:pt idx="11">
                  <c:v>752.4</c:v>
                </c:pt>
              </c:numCache>
            </c:numRef>
          </c:val>
          <c:extLst>
            <c:ext xmlns:c16="http://schemas.microsoft.com/office/drawing/2014/chart" uri="{C3380CC4-5D6E-409C-BE32-E72D297353CC}">
              <c16:uniqueId val="{00000000-59C9-48E7-83D9-EC8DBEB95D73}"/>
            </c:ext>
          </c:extLst>
        </c:ser>
        <c:dLbls>
          <c:showLegendKey val="0"/>
          <c:showVal val="0"/>
          <c:showCatName val="0"/>
          <c:showSerName val="0"/>
          <c:showPercent val="0"/>
          <c:showBubbleSize val="0"/>
        </c:dLbls>
        <c:gapWidth val="219"/>
        <c:overlap val="-27"/>
        <c:axId val="870834096"/>
        <c:axId val="870849904"/>
      </c:barChart>
      <c:catAx>
        <c:axId val="87083409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0849904"/>
        <c:crosses val="autoZero"/>
        <c:auto val="1"/>
        <c:lblAlgn val="ctr"/>
        <c:lblOffset val="100"/>
        <c:noMultiLvlLbl val="0"/>
      </c:catAx>
      <c:valAx>
        <c:axId val="87084990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083409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Analysis!$B$2611</c:f>
              <c:strCache>
                <c:ptCount val="1"/>
                <c:pt idx="0">
                  <c:v>EBITDA</c:v>
                </c:pt>
              </c:strCache>
            </c:strRef>
          </c:tx>
          <c:spPr>
            <a:solidFill>
              <a:srgbClr val="000080"/>
            </a:solidFill>
            <a:ln w="25400">
              <a:noFill/>
            </a:ln>
            <a:effectLst/>
          </c:spPr>
          <c:invertIfNegative val="0"/>
          <c:cat>
            <c:strRef>
              <c:f>Analysis!$C$2606:$N$2606</c:f>
              <c:strCache>
                <c:ptCount val="12"/>
                <c:pt idx="0">
                  <c:v>Q1 19</c:v>
                </c:pt>
                <c:pt idx="1">
                  <c:v>Q2 19</c:v>
                </c:pt>
                <c:pt idx="2">
                  <c:v>Q3 19</c:v>
                </c:pt>
                <c:pt idx="3">
                  <c:v>Q4 19</c:v>
                </c:pt>
                <c:pt idx="4">
                  <c:v>Q1 20</c:v>
                </c:pt>
                <c:pt idx="5">
                  <c:v>Q2 20</c:v>
                </c:pt>
                <c:pt idx="6">
                  <c:v>Q3 20</c:v>
                </c:pt>
                <c:pt idx="7">
                  <c:v>Q4 20</c:v>
                </c:pt>
                <c:pt idx="8">
                  <c:v>Q1 21</c:v>
                </c:pt>
                <c:pt idx="9">
                  <c:v>Q2 21</c:v>
                </c:pt>
                <c:pt idx="10">
                  <c:v>Q3 21</c:v>
                </c:pt>
                <c:pt idx="11">
                  <c:v>Q4 21</c:v>
                </c:pt>
              </c:strCache>
            </c:strRef>
          </c:cat>
          <c:val>
            <c:numRef>
              <c:f>Analysis!$C$2611:$N$2611</c:f>
              <c:numCache>
                <c:formatCode>0</c:formatCode>
                <c:ptCount val="12"/>
                <c:pt idx="0">
                  <c:v>204.3</c:v>
                </c:pt>
                <c:pt idx="1">
                  <c:v>265.7</c:v>
                </c:pt>
                <c:pt idx="2">
                  <c:v>257</c:v>
                </c:pt>
                <c:pt idx="3">
                  <c:v>230.4</c:v>
                </c:pt>
                <c:pt idx="4">
                  <c:v>251.10000000000002</c:v>
                </c:pt>
                <c:pt idx="5">
                  <c:v>242.8</c:v>
                </c:pt>
                <c:pt idx="6">
                  <c:v>243.8</c:v>
                </c:pt>
                <c:pt idx="7">
                  <c:v>230.4</c:v>
                </c:pt>
                <c:pt idx="8">
                  <c:v>252.99999999999994</c:v>
                </c:pt>
                <c:pt idx="9">
                  <c:v>268.8</c:v>
                </c:pt>
                <c:pt idx="10">
                  <c:v>264</c:v>
                </c:pt>
                <c:pt idx="11">
                  <c:v>229</c:v>
                </c:pt>
              </c:numCache>
            </c:numRef>
          </c:val>
          <c:extLst>
            <c:ext xmlns:c16="http://schemas.microsoft.com/office/drawing/2014/chart" uri="{C3380CC4-5D6E-409C-BE32-E72D297353CC}">
              <c16:uniqueId val="{00000000-FB8B-47DD-B832-3C8E331968F4}"/>
            </c:ext>
          </c:extLst>
        </c:ser>
        <c:dLbls>
          <c:showLegendKey val="0"/>
          <c:showVal val="0"/>
          <c:showCatName val="0"/>
          <c:showSerName val="0"/>
          <c:showPercent val="0"/>
          <c:showBubbleSize val="0"/>
        </c:dLbls>
        <c:gapWidth val="219"/>
        <c:overlap val="-27"/>
        <c:axId val="870834096"/>
        <c:axId val="870849904"/>
      </c:barChart>
      <c:catAx>
        <c:axId val="87083409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0849904"/>
        <c:crosses val="autoZero"/>
        <c:auto val="1"/>
        <c:lblAlgn val="ctr"/>
        <c:lblOffset val="100"/>
        <c:noMultiLvlLbl val="0"/>
      </c:catAx>
      <c:valAx>
        <c:axId val="87084990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083409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Analysis!$B$2633</c:f>
              <c:strCache>
                <c:ptCount val="1"/>
                <c:pt idx="0">
                  <c:v>Revenue </c:v>
                </c:pt>
              </c:strCache>
            </c:strRef>
          </c:tx>
          <c:spPr>
            <a:solidFill>
              <a:schemeClr val="accent1">
                <a:lumMod val="20000"/>
                <a:lumOff val="80000"/>
              </a:schemeClr>
            </a:solidFill>
            <a:ln w="25400">
              <a:solidFill>
                <a:schemeClr val="bg1">
                  <a:lumMod val="50000"/>
                </a:schemeClr>
              </a:solidFill>
            </a:ln>
            <a:effectLst/>
          </c:spPr>
          <c:invertIfNegative val="0"/>
          <c:cat>
            <c:strRef>
              <c:f>Analysis!$C$2606:$N$2606</c:f>
              <c:strCache>
                <c:ptCount val="12"/>
                <c:pt idx="0">
                  <c:v>Q1 19</c:v>
                </c:pt>
                <c:pt idx="1">
                  <c:v>Q2 19</c:v>
                </c:pt>
                <c:pt idx="2">
                  <c:v>Q3 19</c:v>
                </c:pt>
                <c:pt idx="3">
                  <c:v>Q4 19</c:v>
                </c:pt>
                <c:pt idx="4">
                  <c:v>Q1 20</c:v>
                </c:pt>
                <c:pt idx="5">
                  <c:v>Q2 20</c:v>
                </c:pt>
                <c:pt idx="6">
                  <c:v>Q3 20</c:v>
                </c:pt>
                <c:pt idx="7">
                  <c:v>Q4 20</c:v>
                </c:pt>
                <c:pt idx="8">
                  <c:v>Q1 21</c:v>
                </c:pt>
                <c:pt idx="9">
                  <c:v>Q2 21</c:v>
                </c:pt>
                <c:pt idx="10">
                  <c:v>Q3 21</c:v>
                </c:pt>
                <c:pt idx="11">
                  <c:v>Q4 21</c:v>
                </c:pt>
              </c:strCache>
            </c:strRef>
          </c:cat>
          <c:val>
            <c:numRef>
              <c:f>Analysis!$C$2633:$N$2633</c:f>
              <c:numCache>
                <c:formatCode>#,##0</c:formatCode>
                <c:ptCount val="12"/>
                <c:pt idx="0">
                  <c:v>3681.9</c:v>
                </c:pt>
                <c:pt idx="1">
                  <c:v>4370.3</c:v>
                </c:pt>
                <c:pt idx="2">
                  <c:v>4786.8999999999996</c:v>
                </c:pt>
                <c:pt idx="3">
                  <c:v>6620.6</c:v>
                </c:pt>
                <c:pt idx="4">
                  <c:v>2635.1</c:v>
                </c:pt>
                <c:pt idx="5">
                  <c:v>2922.2</c:v>
                </c:pt>
                <c:pt idx="6">
                  <c:v>4164.3999999999996</c:v>
                </c:pt>
                <c:pt idx="7">
                  <c:v>6628.1</c:v>
                </c:pt>
                <c:pt idx="8">
                  <c:v>3374.9</c:v>
                </c:pt>
                <c:pt idx="9">
                  <c:v>3860</c:v>
                </c:pt>
                <c:pt idx="10">
                  <c:v>4823.8</c:v>
                </c:pt>
                <c:pt idx="11">
                  <c:v>7103.2</c:v>
                </c:pt>
              </c:numCache>
            </c:numRef>
          </c:val>
          <c:extLst>
            <c:ext xmlns:c16="http://schemas.microsoft.com/office/drawing/2014/chart" uri="{C3380CC4-5D6E-409C-BE32-E72D297353CC}">
              <c16:uniqueId val="{00000000-6EF8-467C-8ADA-F65C771E6A8C}"/>
            </c:ext>
          </c:extLst>
        </c:ser>
        <c:dLbls>
          <c:showLegendKey val="0"/>
          <c:showVal val="0"/>
          <c:showCatName val="0"/>
          <c:showSerName val="0"/>
          <c:showPercent val="0"/>
          <c:showBubbleSize val="0"/>
        </c:dLbls>
        <c:gapWidth val="219"/>
        <c:overlap val="-27"/>
        <c:axId val="870834096"/>
        <c:axId val="870849904"/>
      </c:barChart>
      <c:catAx>
        <c:axId val="87083409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0849904"/>
        <c:crosses val="autoZero"/>
        <c:auto val="1"/>
        <c:lblAlgn val="ctr"/>
        <c:lblOffset val="100"/>
        <c:noMultiLvlLbl val="0"/>
      </c:catAx>
      <c:valAx>
        <c:axId val="87084990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083409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Analysis!$B$2635</c:f>
              <c:strCache>
                <c:ptCount val="1"/>
                <c:pt idx="0">
                  <c:v>EBITDA</c:v>
                </c:pt>
              </c:strCache>
            </c:strRef>
          </c:tx>
          <c:spPr>
            <a:solidFill>
              <a:schemeClr val="accent1">
                <a:lumMod val="20000"/>
                <a:lumOff val="80000"/>
              </a:schemeClr>
            </a:solidFill>
            <a:ln w="25400">
              <a:solidFill>
                <a:schemeClr val="bg1">
                  <a:lumMod val="50000"/>
                </a:schemeClr>
              </a:solidFill>
            </a:ln>
            <a:effectLst/>
          </c:spPr>
          <c:invertIfNegative val="0"/>
          <c:cat>
            <c:strRef>
              <c:f>Analysis!$C$2606:$N$2606</c:f>
              <c:strCache>
                <c:ptCount val="12"/>
                <c:pt idx="0">
                  <c:v>Q1 19</c:v>
                </c:pt>
                <c:pt idx="1">
                  <c:v>Q2 19</c:v>
                </c:pt>
                <c:pt idx="2">
                  <c:v>Q3 19</c:v>
                </c:pt>
                <c:pt idx="3">
                  <c:v>Q4 19</c:v>
                </c:pt>
                <c:pt idx="4">
                  <c:v>Q1 20</c:v>
                </c:pt>
                <c:pt idx="5">
                  <c:v>Q2 20</c:v>
                </c:pt>
                <c:pt idx="6">
                  <c:v>Q3 20</c:v>
                </c:pt>
                <c:pt idx="7">
                  <c:v>Q4 20</c:v>
                </c:pt>
                <c:pt idx="8">
                  <c:v>Q1 21</c:v>
                </c:pt>
                <c:pt idx="9">
                  <c:v>Q2 21</c:v>
                </c:pt>
                <c:pt idx="10">
                  <c:v>Q3 21</c:v>
                </c:pt>
                <c:pt idx="11">
                  <c:v>Q4 21</c:v>
                </c:pt>
              </c:strCache>
            </c:strRef>
          </c:cat>
          <c:val>
            <c:numRef>
              <c:f>Analysis!$C$2635:$N$2635</c:f>
              <c:numCache>
                <c:formatCode>#,##0</c:formatCode>
                <c:ptCount val="12"/>
                <c:pt idx="0">
                  <c:v>2267.3000000000002</c:v>
                </c:pt>
                <c:pt idx="1">
                  <c:v>2928.3</c:v>
                </c:pt>
                <c:pt idx="2">
                  <c:v>3112.3</c:v>
                </c:pt>
                <c:pt idx="3">
                  <c:v>4545</c:v>
                </c:pt>
                <c:pt idx="4">
                  <c:v>1613.9</c:v>
                </c:pt>
                <c:pt idx="5">
                  <c:v>2080.8000000000002</c:v>
                </c:pt>
                <c:pt idx="6">
                  <c:v>3294.7</c:v>
                </c:pt>
                <c:pt idx="7">
                  <c:v>5371.3999999999987</c:v>
                </c:pt>
                <c:pt idx="8">
                  <c:v>2376.5</c:v>
                </c:pt>
                <c:pt idx="9">
                  <c:v>2569.1999999999998</c:v>
                </c:pt>
                <c:pt idx="10">
                  <c:v>3389.6</c:v>
                </c:pt>
                <c:pt idx="11">
                  <c:v>5443.7</c:v>
                </c:pt>
              </c:numCache>
            </c:numRef>
          </c:val>
          <c:extLst>
            <c:ext xmlns:c16="http://schemas.microsoft.com/office/drawing/2014/chart" uri="{C3380CC4-5D6E-409C-BE32-E72D297353CC}">
              <c16:uniqueId val="{00000000-184E-4E51-826C-1112D5D9D24B}"/>
            </c:ext>
          </c:extLst>
        </c:ser>
        <c:dLbls>
          <c:showLegendKey val="0"/>
          <c:showVal val="0"/>
          <c:showCatName val="0"/>
          <c:showSerName val="0"/>
          <c:showPercent val="0"/>
          <c:showBubbleSize val="0"/>
        </c:dLbls>
        <c:gapWidth val="219"/>
        <c:overlap val="-27"/>
        <c:axId val="870834096"/>
        <c:axId val="870849904"/>
      </c:barChart>
      <c:catAx>
        <c:axId val="87083409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0849904"/>
        <c:crosses val="autoZero"/>
        <c:auto val="1"/>
        <c:lblAlgn val="ctr"/>
        <c:lblOffset val="100"/>
        <c:noMultiLvlLbl val="0"/>
      </c:catAx>
      <c:valAx>
        <c:axId val="87084990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7083409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dPt>
            <c:idx val="4"/>
            <c:invertIfNegative val="0"/>
            <c:bubble3D val="0"/>
            <c:spPr>
              <a:solidFill>
                <a:schemeClr val="accent1">
                  <a:lumMod val="20000"/>
                  <a:lumOff val="80000"/>
                </a:schemeClr>
              </a:solidFill>
              <a:ln w="25400">
                <a:solidFill>
                  <a:schemeClr val="bg1">
                    <a:lumMod val="50000"/>
                  </a:schemeClr>
                </a:solidFill>
              </a:ln>
              <a:effectLst/>
            </c:spPr>
            <c:extLst>
              <c:ext xmlns:c16="http://schemas.microsoft.com/office/drawing/2014/chart" uri="{C3380CC4-5D6E-409C-BE32-E72D297353CC}">
                <c16:uniqueId val="{00000002-9796-46DA-8AD0-4BB60F8C5750}"/>
              </c:ext>
            </c:extLst>
          </c:dPt>
          <c:dPt>
            <c:idx val="9"/>
            <c:invertIfNegative val="0"/>
            <c:bubble3D val="0"/>
            <c:spPr>
              <a:solidFill>
                <a:schemeClr val="accent1">
                  <a:lumMod val="20000"/>
                  <a:lumOff val="80000"/>
                </a:schemeClr>
              </a:solidFill>
              <a:ln w="25400">
                <a:solidFill>
                  <a:schemeClr val="bg1">
                    <a:lumMod val="50000"/>
                  </a:schemeClr>
                </a:solidFill>
              </a:ln>
              <a:effectLst/>
            </c:spPr>
            <c:extLst>
              <c:ext xmlns:c16="http://schemas.microsoft.com/office/drawing/2014/chart" uri="{C3380CC4-5D6E-409C-BE32-E72D297353CC}">
                <c16:uniqueId val="{00000003-9796-46DA-8AD0-4BB60F8C5750}"/>
              </c:ext>
            </c:extLst>
          </c:dPt>
          <c:dPt>
            <c:idx val="10"/>
            <c:invertIfNegative val="0"/>
            <c:bubble3D val="0"/>
            <c:spPr>
              <a:solidFill>
                <a:schemeClr val="accent1">
                  <a:lumMod val="20000"/>
                  <a:lumOff val="80000"/>
                </a:schemeClr>
              </a:solidFill>
              <a:ln w="25400">
                <a:solidFill>
                  <a:schemeClr val="bg1">
                    <a:lumMod val="50000"/>
                  </a:schemeClr>
                </a:solidFill>
              </a:ln>
              <a:effectLst/>
            </c:spPr>
            <c:extLst>
              <c:ext xmlns:c16="http://schemas.microsoft.com/office/drawing/2014/chart" uri="{C3380CC4-5D6E-409C-BE32-E72D297353CC}">
                <c16:uniqueId val="{00000004-9796-46DA-8AD0-4BB60F8C5750}"/>
              </c:ext>
            </c:extLst>
          </c:dPt>
          <c:cat>
            <c:strRef>
              <c:f>Analysis!$B$2640:$B$2650</c:f>
              <c:strCache>
                <c:ptCount val="11"/>
                <c:pt idx="0">
                  <c:v>ROKU-US</c:v>
                </c:pt>
                <c:pt idx="1">
                  <c:v>NFLX-US</c:v>
                </c:pt>
                <c:pt idx="2">
                  <c:v>DIS-US</c:v>
                </c:pt>
                <c:pt idx="3">
                  <c:v>LGF.A-US</c:v>
                </c:pt>
                <c:pt idx="4">
                  <c:v>TelevisaUnivision at target</c:v>
                </c:pt>
                <c:pt idx="5">
                  <c:v>CHTR-US</c:v>
                </c:pt>
                <c:pt idx="6">
                  <c:v>CMCSA-US</c:v>
                </c:pt>
                <c:pt idx="7">
                  <c:v>DISCA-US</c:v>
                </c:pt>
                <c:pt idx="8">
                  <c:v>VIAC-US</c:v>
                </c:pt>
                <c:pt idx="9">
                  <c:v>Televisa Group</c:v>
                </c:pt>
                <c:pt idx="10">
                  <c:v>Megacable</c:v>
                </c:pt>
              </c:strCache>
            </c:strRef>
          </c:cat>
          <c:val>
            <c:numRef>
              <c:f>Analysis!$C$2640:$C$2650</c:f>
              <c:numCache>
                <c:formatCode>#,##0.0;\(#,##0.0\);\-</c:formatCode>
                <c:ptCount val="11"/>
                <c:pt idx="0">
                  <c:v>44.914763490184605</c:v>
                </c:pt>
                <c:pt idx="1">
                  <c:v>27.085035611675288</c:v>
                </c:pt>
                <c:pt idx="2">
                  <c:v>21.974654764575551</c:v>
                </c:pt>
                <c:pt idx="3">
                  <c:v>16.307631569913145</c:v>
                </c:pt>
                <c:pt idx="4">
                  <c:v>6.0704921934818721</c:v>
                </c:pt>
                <c:pt idx="5">
                  <c:v>9.7866363740804889</c:v>
                </c:pt>
                <c:pt idx="6">
                  <c:v>8.8185511466711954</c:v>
                </c:pt>
                <c:pt idx="7">
                  <c:v>8.6043233432247472</c:v>
                </c:pt>
                <c:pt idx="8">
                  <c:v>8.139847260516575</c:v>
                </c:pt>
                <c:pt idx="9">
                  <c:v>4.3487176915804371</c:v>
                </c:pt>
                <c:pt idx="10">
                  <c:v>4.8</c:v>
                </c:pt>
              </c:numCache>
            </c:numRef>
          </c:val>
          <c:extLst>
            <c:ext xmlns:c16="http://schemas.microsoft.com/office/drawing/2014/chart" uri="{C3380CC4-5D6E-409C-BE32-E72D297353CC}">
              <c16:uniqueId val="{00000000-9796-46DA-8AD0-4BB60F8C5750}"/>
            </c:ext>
          </c:extLst>
        </c:ser>
        <c:dLbls>
          <c:showLegendKey val="0"/>
          <c:showVal val="0"/>
          <c:showCatName val="0"/>
          <c:showSerName val="0"/>
          <c:showPercent val="0"/>
          <c:showBubbleSize val="0"/>
        </c:dLbls>
        <c:gapWidth val="219"/>
        <c:overlap val="-27"/>
        <c:axId val="357192976"/>
        <c:axId val="357196304"/>
      </c:barChart>
      <c:catAx>
        <c:axId val="35719297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57196304"/>
        <c:crosses val="autoZero"/>
        <c:auto val="1"/>
        <c:lblAlgn val="ctr"/>
        <c:lblOffset val="100"/>
        <c:noMultiLvlLbl val="0"/>
      </c:catAx>
      <c:valAx>
        <c:axId val="357196304"/>
        <c:scaling>
          <c:orientation val="minMax"/>
        </c:scaling>
        <c:delete val="0"/>
        <c:axPos val="l"/>
        <c:majorGridlines>
          <c:spPr>
            <a:ln w="3175" cap="flat" cmpd="sng" algn="ctr">
              <a:solidFill>
                <a:srgbClr val="C0C0C0"/>
              </a:solidFill>
              <a:prstDash val="solid"/>
              <a:round/>
            </a:ln>
            <a:effectLst/>
          </c:spPr>
        </c:majorGridlines>
        <c:numFmt formatCode="#,##0.0;\(#,##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5719297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Analysis!$B$2848</c:f>
              <c:strCache>
                <c:ptCount val="1"/>
                <c:pt idx="0">
                  <c:v>Televisa</c:v>
                </c:pt>
              </c:strCache>
            </c:strRef>
          </c:tx>
          <c:spPr>
            <a:solidFill>
              <a:srgbClr val="263238"/>
            </a:solidFill>
            <a:ln w="25400">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Analysis!$K$2846:$Q$2846</c:f>
              <c:numCache>
                <c:formatCode>General</c:formatCode>
                <c:ptCount val="7"/>
                <c:pt idx="0">
                  <c:v>2020</c:v>
                </c:pt>
                <c:pt idx="1">
                  <c:v>2021</c:v>
                </c:pt>
                <c:pt idx="2">
                  <c:v>2022</c:v>
                </c:pt>
                <c:pt idx="3">
                  <c:v>2023</c:v>
                </c:pt>
                <c:pt idx="4">
                  <c:v>2024</c:v>
                </c:pt>
                <c:pt idx="5">
                  <c:v>2025</c:v>
                </c:pt>
                <c:pt idx="6">
                  <c:v>2026</c:v>
                </c:pt>
              </c:numCache>
            </c:numRef>
          </c:cat>
          <c:val>
            <c:numRef>
              <c:f>Analysis!$K$2848:$Q$2848</c:f>
              <c:numCache>
                <c:formatCode>0</c:formatCode>
                <c:ptCount val="7"/>
                <c:pt idx="0">
                  <c:v>662.5</c:v>
                </c:pt>
                <c:pt idx="1">
                  <c:v>854.5</c:v>
                </c:pt>
                <c:pt idx="2">
                  <c:v>645.9</c:v>
                </c:pt>
                <c:pt idx="3">
                  <c:v>633</c:v>
                </c:pt>
                <c:pt idx="4">
                  <c:v>399.2</c:v>
                </c:pt>
                <c:pt idx="5">
                  <c:v>539.65412720258473</c:v>
                </c:pt>
                <c:pt idx="6">
                  <c:v>739.71304274514898</c:v>
                </c:pt>
              </c:numCache>
            </c:numRef>
          </c:val>
          <c:extLst>
            <c:ext xmlns:c16="http://schemas.microsoft.com/office/drawing/2014/chart" uri="{C3380CC4-5D6E-409C-BE32-E72D297353CC}">
              <c16:uniqueId val="{00000000-E5CE-4C3C-B3FA-128FB8B99C31}"/>
            </c:ext>
          </c:extLst>
        </c:ser>
        <c:ser>
          <c:idx val="1"/>
          <c:order val="1"/>
          <c:tx>
            <c:strRef>
              <c:f>Analysis!$B$2847</c:f>
              <c:strCache>
                <c:ptCount val="1"/>
                <c:pt idx="0">
                  <c:v>Megacable</c:v>
                </c:pt>
              </c:strCache>
            </c:strRef>
          </c:tx>
          <c:spPr>
            <a:solidFill>
              <a:srgbClr val="799098"/>
            </a:solidFill>
            <a:ln w="25400">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Analysis!$K$2846:$Q$2846</c:f>
              <c:numCache>
                <c:formatCode>General</c:formatCode>
                <c:ptCount val="7"/>
                <c:pt idx="0">
                  <c:v>2020</c:v>
                </c:pt>
                <c:pt idx="1">
                  <c:v>2021</c:v>
                </c:pt>
                <c:pt idx="2">
                  <c:v>2022</c:v>
                </c:pt>
                <c:pt idx="3">
                  <c:v>2023</c:v>
                </c:pt>
                <c:pt idx="4">
                  <c:v>2024</c:v>
                </c:pt>
                <c:pt idx="5">
                  <c:v>2025</c:v>
                </c:pt>
                <c:pt idx="6">
                  <c:v>2026</c:v>
                </c:pt>
              </c:numCache>
            </c:numRef>
          </c:cat>
          <c:val>
            <c:numRef>
              <c:f>Analysis!$K$2847:$Q$2847</c:f>
              <c:numCache>
                <c:formatCode>0</c:formatCode>
                <c:ptCount val="7"/>
                <c:pt idx="0">
                  <c:v>404.05</c:v>
                </c:pt>
                <c:pt idx="1">
                  <c:v>466.67157991254754</c:v>
                </c:pt>
                <c:pt idx="2">
                  <c:v>535.71954210949787</c:v>
                </c:pt>
                <c:pt idx="3">
                  <c:v>585.70498024143126</c:v>
                </c:pt>
                <c:pt idx="4">
                  <c:v>559.23877337491319</c:v>
                </c:pt>
                <c:pt idx="5">
                  <c:v>518.91016886716159</c:v>
                </c:pt>
                <c:pt idx="6">
                  <c:v>460.48231365684933</c:v>
                </c:pt>
              </c:numCache>
            </c:numRef>
          </c:val>
          <c:extLst>
            <c:ext xmlns:c16="http://schemas.microsoft.com/office/drawing/2014/chart" uri="{C3380CC4-5D6E-409C-BE32-E72D297353CC}">
              <c16:uniqueId val="{00000003-E5CE-4C3C-B3FA-128FB8B99C31}"/>
            </c:ext>
          </c:extLst>
        </c:ser>
        <c:dLbls>
          <c:showLegendKey val="0"/>
          <c:showVal val="0"/>
          <c:showCatName val="0"/>
          <c:showSerName val="0"/>
          <c:showPercent val="0"/>
          <c:showBubbleSize val="0"/>
        </c:dLbls>
        <c:gapWidth val="30"/>
        <c:overlap val="-27"/>
        <c:axId val="1115393608"/>
        <c:axId val="1115397872"/>
      </c:barChart>
      <c:catAx>
        <c:axId val="1115393608"/>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115397872"/>
        <c:crosses val="autoZero"/>
        <c:auto val="1"/>
        <c:lblAlgn val="ctr"/>
        <c:lblOffset val="100"/>
        <c:noMultiLvlLbl val="0"/>
      </c:catAx>
      <c:valAx>
        <c:axId val="1115397872"/>
        <c:scaling>
          <c:orientation val="minMax"/>
        </c:scaling>
        <c:delete val="1"/>
        <c:axPos val="l"/>
        <c:numFmt formatCode="0" sourceLinked="1"/>
        <c:majorTickMark val="out"/>
        <c:minorTickMark val="none"/>
        <c:tickLblPos val="nextTo"/>
        <c:crossAx val="111539360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Master!A1"/><Relationship Id="rId2" Type="http://schemas.openxmlformats.org/officeDocument/2006/relationships/image" Target="../media/image1.png"/><Relationship Id="rId1" Type="http://schemas.openxmlformats.org/officeDocument/2006/relationships/hyperlink" Target="http://www.newstreetresearch.com/" TargetMode="External"/><Relationship Id="rId6" Type="http://schemas.openxmlformats.org/officeDocument/2006/relationships/hyperlink" Target="#VOD!A112"/><Relationship Id="rId5" Type="http://schemas.openxmlformats.org/officeDocument/2006/relationships/hyperlink" Target="#Valuation!A1"/><Relationship Id="rId4" Type="http://schemas.openxmlformats.org/officeDocument/2006/relationships/hyperlink" Target="#Interims!A1"/></Relationships>
</file>

<file path=xl/drawings/_rels/drawing10.xml.rels><?xml version="1.0" encoding="UTF-8" standalone="yes"?>
<Relationships xmlns="http://schemas.openxmlformats.org/package/2006/relationships"><Relationship Id="rId3" Type="http://schemas.openxmlformats.org/officeDocument/2006/relationships/chart" Target="../charts/chart110.xml"/><Relationship Id="rId2" Type="http://schemas.openxmlformats.org/officeDocument/2006/relationships/chart" Target="../charts/chart109.xml"/><Relationship Id="rId1" Type="http://schemas.openxmlformats.org/officeDocument/2006/relationships/chart" Target="../charts/chart108.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118.xml"/><Relationship Id="rId3" Type="http://schemas.openxmlformats.org/officeDocument/2006/relationships/chart" Target="../charts/chart113.xml"/><Relationship Id="rId7" Type="http://schemas.openxmlformats.org/officeDocument/2006/relationships/chart" Target="../charts/chart117.xml"/><Relationship Id="rId2" Type="http://schemas.openxmlformats.org/officeDocument/2006/relationships/chart" Target="../charts/chart112.xml"/><Relationship Id="rId1" Type="http://schemas.openxmlformats.org/officeDocument/2006/relationships/chart" Target="../charts/chart111.xml"/><Relationship Id="rId6" Type="http://schemas.openxmlformats.org/officeDocument/2006/relationships/chart" Target="../charts/chart116.xml"/><Relationship Id="rId11" Type="http://schemas.openxmlformats.org/officeDocument/2006/relationships/chart" Target="../charts/chart121.xml"/><Relationship Id="rId5" Type="http://schemas.openxmlformats.org/officeDocument/2006/relationships/chart" Target="../charts/chart115.xml"/><Relationship Id="rId10" Type="http://schemas.openxmlformats.org/officeDocument/2006/relationships/chart" Target="../charts/chart120.xml"/><Relationship Id="rId4" Type="http://schemas.openxmlformats.org/officeDocument/2006/relationships/chart" Target="../charts/chart114.xml"/><Relationship Id="rId9" Type="http://schemas.openxmlformats.org/officeDocument/2006/relationships/chart" Target="../charts/chart1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6.xml"/><Relationship Id="rId13" Type="http://schemas.openxmlformats.org/officeDocument/2006/relationships/chart" Target="../charts/chart21.xml"/><Relationship Id="rId18" Type="http://schemas.openxmlformats.org/officeDocument/2006/relationships/chart" Target="../charts/chart26.xml"/><Relationship Id="rId3" Type="http://schemas.openxmlformats.org/officeDocument/2006/relationships/chart" Target="../charts/chart11.xml"/><Relationship Id="rId7" Type="http://schemas.openxmlformats.org/officeDocument/2006/relationships/chart" Target="../charts/chart15.xml"/><Relationship Id="rId12" Type="http://schemas.openxmlformats.org/officeDocument/2006/relationships/chart" Target="../charts/chart20.xml"/><Relationship Id="rId17" Type="http://schemas.openxmlformats.org/officeDocument/2006/relationships/chart" Target="../charts/chart25.xml"/><Relationship Id="rId2" Type="http://schemas.openxmlformats.org/officeDocument/2006/relationships/chart" Target="../charts/chart10.xml"/><Relationship Id="rId16" Type="http://schemas.openxmlformats.org/officeDocument/2006/relationships/chart" Target="../charts/chart24.xml"/><Relationship Id="rId1" Type="http://schemas.openxmlformats.org/officeDocument/2006/relationships/chart" Target="../charts/chart9.xml"/><Relationship Id="rId6" Type="http://schemas.openxmlformats.org/officeDocument/2006/relationships/chart" Target="../charts/chart14.xml"/><Relationship Id="rId11" Type="http://schemas.openxmlformats.org/officeDocument/2006/relationships/chart" Target="../charts/chart19.xml"/><Relationship Id="rId5" Type="http://schemas.openxmlformats.org/officeDocument/2006/relationships/chart" Target="../charts/chart13.xml"/><Relationship Id="rId15" Type="http://schemas.openxmlformats.org/officeDocument/2006/relationships/chart" Target="../charts/chart23.xml"/><Relationship Id="rId10" Type="http://schemas.openxmlformats.org/officeDocument/2006/relationships/chart" Target="../charts/chart18.xml"/><Relationship Id="rId4" Type="http://schemas.openxmlformats.org/officeDocument/2006/relationships/chart" Target="../charts/chart12.xml"/><Relationship Id="rId9" Type="http://schemas.openxmlformats.org/officeDocument/2006/relationships/chart" Target="../charts/chart17.xml"/><Relationship Id="rId14" Type="http://schemas.openxmlformats.org/officeDocument/2006/relationships/chart" Target="../charts/chart2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 Id="rId4" Type="http://schemas.openxmlformats.org/officeDocument/2006/relationships/chart" Target="../charts/chart31.xml"/></Relationships>
</file>

<file path=xl/drawings/_rels/drawing8.xml.rels><?xml version="1.0" encoding="UTF-8" standalone="yes"?>
<Relationships xmlns="http://schemas.openxmlformats.org/package/2006/relationships"><Relationship Id="rId26" Type="http://schemas.openxmlformats.org/officeDocument/2006/relationships/chart" Target="../charts/chart57.xml"/><Relationship Id="rId21" Type="http://schemas.openxmlformats.org/officeDocument/2006/relationships/chart" Target="../charts/chart52.xml"/><Relationship Id="rId42" Type="http://schemas.openxmlformats.org/officeDocument/2006/relationships/chart" Target="../charts/chart73.xml"/><Relationship Id="rId47" Type="http://schemas.openxmlformats.org/officeDocument/2006/relationships/chart" Target="../charts/chart78.xml"/><Relationship Id="rId63" Type="http://schemas.openxmlformats.org/officeDocument/2006/relationships/chart" Target="../charts/chart94.xml"/><Relationship Id="rId68" Type="http://schemas.openxmlformats.org/officeDocument/2006/relationships/chart" Target="../charts/chart99.xml"/><Relationship Id="rId2" Type="http://schemas.openxmlformats.org/officeDocument/2006/relationships/chart" Target="../charts/chart33.xml"/><Relationship Id="rId16" Type="http://schemas.openxmlformats.org/officeDocument/2006/relationships/chart" Target="../charts/chart47.xml"/><Relationship Id="rId29" Type="http://schemas.openxmlformats.org/officeDocument/2006/relationships/chart" Target="../charts/chart60.xml"/><Relationship Id="rId11" Type="http://schemas.openxmlformats.org/officeDocument/2006/relationships/chart" Target="../charts/chart42.xml"/><Relationship Id="rId24" Type="http://schemas.openxmlformats.org/officeDocument/2006/relationships/chart" Target="../charts/chart55.xml"/><Relationship Id="rId32" Type="http://schemas.openxmlformats.org/officeDocument/2006/relationships/chart" Target="../charts/chart63.xml"/><Relationship Id="rId37" Type="http://schemas.openxmlformats.org/officeDocument/2006/relationships/chart" Target="../charts/chart68.xml"/><Relationship Id="rId40" Type="http://schemas.openxmlformats.org/officeDocument/2006/relationships/chart" Target="../charts/chart71.xml"/><Relationship Id="rId45" Type="http://schemas.openxmlformats.org/officeDocument/2006/relationships/chart" Target="../charts/chart76.xml"/><Relationship Id="rId53" Type="http://schemas.openxmlformats.org/officeDocument/2006/relationships/chart" Target="../charts/chart84.xml"/><Relationship Id="rId58" Type="http://schemas.openxmlformats.org/officeDocument/2006/relationships/chart" Target="../charts/chart89.xml"/><Relationship Id="rId66" Type="http://schemas.openxmlformats.org/officeDocument/2006/relationships/chart" Target="../charts/chart97.xml"/><Relationship Id="rId74" Type="http://schemas.openxmlformats.org/officeDocument/2006/relationships/chart" Target="../charts/chart105.xml"/><Relationship Id="rId5" Type="http://schemas.openxmlformats.org/officeDocument/2006/relationships/chart" Target="../charts/chart36.xml"/><Relationship Id="rId61" Type="http://schemas.openxmlformats.org/officeDocument/2006/relationships/chart" Target="../charts/chart92.xml"/><Relationship Id="rId19" Type="http://schemas.openxmlformats.org/officeDocument/2006/relationships/chart" Target="../charts/chart50.xml"/><Relationship Id="rId14" Type="http://schemas.openxmlformats.org/officeDocument/2006/relationships/chart" Target="../charts/chart45.xml"/><Relationship Id="rId22" Type="http://schemas.openxmlformats.org/officeDocument/2006/relationships/chart" Target="../charts/chart53.xml"/><Relationship Id="rId27" Type="http://schemas.openxmlformats.org/officeDocument/2006/relationships/chart" Target="../charts/chart58.xml"/><Relationship Id="rId30" Type="http://schemas.openxmlformats.org/officeDocument/2006/relationships/chart" Target="../charts/chart61.xml"/><Relationship Id="rId35" Type="http://schemas.openxmlformats.org/officeDocument/2006/relationships/chart" Target="../charts/chart66.xml"/><Relationship Id="rId43" Type="http://schemas.openxmlformats.org/officeDocument/2006/relationships/chart" Target="../charts/chart74.xml"/><Relationship Id="rId48" Type="http://schemas.openxmlformats.org/officeDocument/2006/relationships/chart" Target="../charts/chart79.xml"/><Relationship Id="rId56" Type="http://schemas.openxmlformats.org/officeDocument/2006/relationships/chart" Target="../charts/chart87.xml"/><Relationship Id="rId64" Type="http://schemas.openxmlformats.org/officeDocument/2006/relationships/chart" Target="../charts/chart95.xml"/><Relationship Id="rId69" Type="http://schemas.openxmlformats.org/officeDocument/2006/relationships/chart" Target="../charts/chart100.xml"/><Relationship Id="rId8" Type="http://schemas.openxmlformats.org/officeDocument/2006/relationships/chart" Target="../charts/chart39.xml"/><Relationship Id="rId51" Type="http://schemas.openxmlformats.org/officeDocument/2006/relationships/chart" Target="../charts/chart82.xml"/><Relationship Id="rId72" Type="http://schemas.openxmlformats.org/officeDocument/2006/relationships/chart" Target="../charts/chart103.xml"/><Relationship Id="rId3" Type="http://schemas.openxmlformats.org/officeDocument/2006/relationships/chart" Target="../charts/chart34.xml"/><Relationship Id="rId12" Type="http://schemas.openxmlformats.org/officeDocument/2006/relationships/chart" Target="../charts/chart43.xml"/><Relationship Id="rId17" Type="http://schemas.openxmlformats.org/officeDocument/2006/relationships/chart" Target="../charts/chart48.xml"/><Relationship Id="rId25" Type="http://schemas.openxmlformats.org/officeDocument/2006/relationships/chart" Target="../charts/chart56.xml"/><Relationship Id="rId33" Type="http://schemas.openxmlformats.org/officeDocument/2006/relationships/chart" Target="../charts/chart64.xml"/><Relationship Id="rId38" Type="http://schemas.openxmlformats.org/officeDocument/2006/relationships/chart" Target="../charts/chart69.xml"/><Relationship Id="rId46" Type="http://schemas.openxmlformats.org/officeDocument/2006/relationships/chart" Target="../charts/chart77.xml"/><Relationship Id="rId59" Type="http://schemas.openxmlformats.org/officeDocument/2006/relationships/chart" Target="../charts/chart90.xml"/><Relationship Id="rId67" Type="http://schemas.openxmlformats.org/officeDocument/2006/relationships/chart" Target="../charts/chart98.xml"/><Relationship Id="rId20" Type="http://schemas.openxmlformats.org/officeDocument/2006/relationships/chart" Target="../charts/chart51.xml"/><Relationship Id="rId41" Type="http://schemas.openxmlformats.org/officeDocument/2006/relationships/chart" Target="../charts/chart72.xml"/><Relationship Id="rId54" Type="http://schemas.openxmlformats.org/officeDocument/2006/relationships/chart" Target="../charts/chart85.xml"/><Relationship Id="rId62" Type="http://schemas.openxmlformats.org/officeDocument/2006/relationships/chart" Target="../charts/chart93.xml"/><Relationship Id="rId70" Type="http://schemas.openxmlformats.org/officeDocument/2006/relationships/chart" Target="../charts/chart101.xml"/><Relationship Id="rId1" Type="http://schemas.openxmlformats.org/officeDocument/2006/relationships/chart" Target="../charts/chart32.xml"/><Relationship Id="rId6" Type="http://schemas.openxmlformats.org/officeDocument/2006/relationships/chart" Target="../charts/chart37.xml"/><Relationship Id="rId15" Type="http://schemas.openxmlformats.org/officeDocument/2006/relationships/chart" Target="../charts/chart46.xml"/><Relationship Id="rId23" Type="http://schemas.openxmlformats.org/officeDocument/2006/relationships/chart" Target="../charts/chart54.xml"/><Relationship Id="rId28" Type="http://schemas.openxmlformats.org/officeDocument/2006/relationships/chart" Target="../charts/chart59.xml"/><Relationship Id="rId36" Type="http://schemas.openxmlformats.org/officeDocument/2006/relationships/chart" Target="../charts/chart67.xml"/><Relationship Id="rId49" Type="http://schemas.openxmlformats.org/officeDocument/2006/relationships/chart" Target="../charts/chart80.xml"/><Relationship Id="rId57" Type="http://schemas.openxmlformats.org/officeDocument/2006/relationships/chart" Target="../charts/chart88.xml"/><Relationship Id="rId10" Type="http://schemas.openxmlformats.org/officeDocument/2006/relationships/chart" Target="../charts/chart41.xml"/><Relationship Id="rId31" Type="http://schemas.openxmlformats.org/officeDocument/2006/relationships/chart" Target="../charts/chart62.xml"/><Relationship Id="rId44" Type="http://schemas.openxmlformats.org/officeDocument/2006/relationships/chart" Target="../charts/chart75.xml"/><Relationship Id="rId52" Type="http://schemas.openxmlformats.org/officeDocument/2006/relationships/chart" Target="../charts/chart83.xml"/><Relationship Id="rId60" Type="http://schemas.openxmlformats.org/officeDocument/2006/relationships/chart" Target="../charts/chart91.xml"/><Relationship Id="rId65" Type="http://schemas.openxmlformats.org/officeDocument/2006/relationships/chart" Target="../charts/chart96.xml"/><Relationship Id="rId73" Type="http://schemas.openxmlformats.org/officeDocument/2006/relationships/chart" Target="../charts/chart104.xml"/><Relationship Id="rId4" Type="http://schemas.openxmlformats.org/officeDocument/2006/relationships/chart" Target="../charts/chart35.xml"/><Relationship Id="rId9" Type="http://schemas.openxmlformats.org/officeDocument/2006/relationships/chart" Target="../charts/chart40.xml"/><Relationship Id="rId13" Type="http://schemas.openxmlformats.org/officeDocument/2006/relationships/chart" Target="../charts/chart44.xml"/><Relationship Id="rId18" Type="http://schemas.openxmlformats.org/officeDocument/2006/relationships/chart" Target="../charts/chart49.xml"/><Relationship Id="rId39" Type="http://schemas.openxmlformats.org/officeDocument/2006/relationships/chart" Target="../charts/chart70.xml"/><Relationship Id="rId34" Type="http://schemas.openxmlformats.org/officeDocument/2006/relationships/chart" Target="../charts/chart65.xml"/><Relationship Id="rId50" Type="http://schemas.openxmlformats.org/officeDocument/2006/relationships/chart" Target="../charts/chart81.xml"/><Relationship Id="rId55" Type="http://schemas.openxmlformats.org/officeDocument/2006/relationships/chart" Target="../charts/chart86.xml"/><Relationship Id="rId7" Type="http://schemas.openxmlformats.org/officeDocument/2006/relationships/chart" Target="../charts/chart38.xml"/><Relationship Id="rId71" Type="http://schemas.openxmlformats.org/officeDocument/2006/relationships/chart" Target="../charts/chart102.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07.xml"/><Relationship Id="rId1" Type="http://schemas.openxmlformats.org/officeDocument/2006/relationships/chart" Target="../charts/chart106.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28575</xdr:colOff>
      <xdr:row>5</xdr:row>
      <xdr:rowOff>0</xdr:rowOff>
    </xdr:to>
    <xdr:pic>
      <xdr:nvPicPr>
        <xdr:cNvPr id="4" name="Picture 3" descr="signature_534858453">
          <a:hlinkClick xmlns:r="http://schemas.openxmlformats.org/officeDocument/2006/relationships" r:id="rId1"/>
          <a:extLst>
            <a:ext uri="{FF2B5EF4-FFF2-40B4-BE49-F238E27FC236}">
              <a16:creationId xmlns:a16="http://schemas.microsoft.com/office/drawing/2014/main" id="{DC5524F5-CCAE-4ADB-9BA1-8B2B4822BC2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209925" cy="762000"/>
        </a:xfrm>
        <a:prstGeom prst="rect">
          <a:avLst/>
        </a:prstGeom>
        <a:noFill/>
        <a:ln>
          <a:noFill/>
        </a:ln>
      </xdr:spPr>
    </xdr:pic>
    <xdr:clientData/>
  </xdr:twoCellAnchor>
  <xdr:twoCellAnchor>
    <xdr:from>
      <xdr:col>1</xdr:col>
      <xdr:colOff>0</xdr:colOff>
      <xdr:row>29</xdr:row>
      <xdr:rowOff>2602</xdr:rowOff>
    </xdr:from>
    <xdr:to>
      <xdr:col>3</xdr:col>
      <xdr:colOff>15240</xdr:colOff>
      <xdr:row>32</xdr:row>
      <xdr:rowOff>78802</xdr:rowOff>
    </xdr:to>
    <xdr:sp macro="" textlink="">
      <xdr:nvSpPr>
        <xdr:cNvPr id="2" name="Rectangle 1">
          <a:hlinkClick xmlns:r="http://schemas.openxmlformats.org/officeDocument/2006/relationships" r:id="rId3"/>
          <a:extLst>
            <a:ext uri="{FF2B5EF4-FFF2-40B4-BE49-F238E27FC236}">
              <a16:creationId xmlns:a16="http://schemas.microsoft.com/office/drawing/2014/main" id="{283BED9B-A574-445C-8767-DCD3D6A2AB90}"/>
            </a:ext>
          </a:extLst>
        </xdr:cNvPr>
        <xdr:cNvSpPr/>
      </xdr:nvSpPr>
      <xdr:spPr>
        <a:xfrm>
          <a:off x="1129061" y="4574602"/>
          <a:ext cx="1599642" cy="522249"/>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GB" sz="1100"/>
            <a:t>Main model</a:t>
          </a:r>
        </a:p>
      </xdr:txBody>
    </xdr:sp>
    <xdr:clientData/>
  </xdr:twoCellAnchor>
  <xdr:twoCellAnchor>
    <xdr:from>
      <xdr:col>3</xdr:col>
      <xdr:colOff>447675</xdr:colOff>
      <xdr:row>29</xdr:row>
      <xdr:rowOff>7620</xdr:rowOff>
    </xdr:from>
    <xdr:to>
      <xdr:col>6</xdr:col>
      <xdr:colOff>93345</xdr:colOff>
      <xdr:row>32</xdr:row>
      <xdr:rowOff>83820</xdr:rowOff>
    </xdr:to>
    <xdr:sp macro="" textlink="">
      <xdr:nvSpPr>
        <xdr:cNvPr id="3" name="Rectangle 2">
          <a:hlinkClick xmlns:r="http://schemas.openxmlformats.org/officeDocument/2006/relationships" r:id="rId4"/>
          <a:extLst>
            <a:ext uri="{FF2B5EF4-FFF2-40B4-BE49-F238E27FC236}">
              <a16:creationId xmlns:a16="http://schemas.microsoft.com/office/drawing/2014/main" id="{D796D3B6-3DA7-49F4-A371-0F81359AEF10}"/>
            </a:ext>
          </a:extLst>
        </xdr:cNvPr>
        <xdr:cNvSpPr/>
      </xdr:nvSpPr>
      <xdr:spPr>
        <a:xfrm>
          <a:off x="3015615" y="4762500"/>
          <a:ext cx="1474470" cy="533400"/>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GB" sz="1100"/>
            <a:t>Interims</a:t>
          </a:r>
        </a:p>
      </xdr:txBody>
    </xdr:sp>
    <xdr:clientData/>
  </xdr:twoCellAnchor>
  <xdr:twoCellAnchor>
    <xdr:from>
      <xdr:col>7</xdr:col>
      <xdr:colOff>45720</xdr:colOff>
      <xdr:row>29</xdr:row>
      <xdr:rowOff>0</xdr:rowOff>
    </xdr:from>
    <xdr:to>
      <xdr:col>9</xdr:col>
      <xdr:colOff>308610</xdr:colOff>
      <xdr:row>32</xdr:row>
      <xdr:rowOff>76200</xdr:rowOff>
    </xdr:to>
    <xdr:sp macro="" textlink="">
      <xdr:nvSpPr>
        <xdr:cNvPr id="5" name="Rectangle 4">
          <a:hlinkClick xmlns:r="http://schemas.openxmlformats.org/officeDocument/2006/relationships" r:id="rId5"/>
          <a:extLst>
            <a:ext uri="{FF2B5EF4-FFF2-40B4-BE49-F238E27FC236}">
              <a16:creationId xmlns:a16="http://schemas.microsoft.com/office/drawing/2014/main" id="{41FE2986-A254-44A4-804C-D8CD5C56891F}"/>
            </a:ext>
          </a:extLst>
        </xdr:cNvPr>
        <xdr:cNvSpPr/>
      </xdr:nvSpPr>
      <xdr:spPr>
        <a:xfrm>
          <a:off x="5052060" y="4754880"/>
          <a:ext cx="1482090" cy="533400"/>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GB" sz="1100"/>
            <a:t>Valuation</a:t>
          </a:r>
        </a:p>
      </xdr:txBody>
    </xdr:sp>
    <xdr:clientData/>
  </xdr:twoCellAnchor>
  <xdr:twoCellAnchor>
    <xdr:from>
      <xdr:col>1</xdr:col>
      <xdr:colOff>0</xdr:colOff>
      <xdr:row>34</xdr:row>
      <xdr:rowOff>0</xdr:rowOff>
    </xdr:from>
    <xdr:to>
      <xdr:col>3</xdr:col>
      <xdr:colOff>15240</xdr:colOff>
      <xdr:row>37</xdr:row>
      <xdr:rowOff>76199</xdr:rowOff>
    </xdr:to>
    <xdr:sp macro="" textlink="">
      <xdr:nvSpPr>
        <xdr:cNvPr id="6" name="Rectangle 5">
          <a:hlinkClick xmlns:r="http://schemas.openxmlformats.org/officeDocument/2006/relationships" r:id="rId6"/>
          <a:extLst>
            <a:ext uri="{FF2B5EF4-FFF2-40B4-BE49-F238E27FC236}">
              <a16:creationId xmlns:a16="http://schemas.microsoft.com/office/drawing/2014/main" id="{F8D28B30-6E03-4839-91CC-4E0EB2006F5C}"/>
            </a:ext>
          </a:extLst>
        </xdr:cNvPr>
        <xdr:cNvSpPr/>
      </xdr:nvSpPr>
      <xdr:spPr>
        <a:xfrm>
          <a:off x="1126958" y="5321968"/>
          <a:ext cx="1599398" cy="521368"/>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GB" sz="1100"/>
            <a:t>Content / Streaming</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19050</xdr:colOff>
      <xdr:row>171</xdr:row>
      <xdr:rowOff>33337</xdr:rowOff>
    </xdr:from>
    <xdr:to>
      <xdr:col>9</xdr:col>
      <xdr:colOff>600075</xdr:colOff>
      <xdr:row>185</xdr:row>
      <xdr:rowOff>123825</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217714</xdr:colOff>
      <xdr:row>3110</xdr:row>
      <xdr:rowOff>179613</xdr:rowOff>
    </xdr:from>
    <xdr:to>
      <xdr:col>16</xdr:col>
      <xdr:colOff>27215</xdr:colOff>
      <xdr:row>3126</xdr:row>
      <xdr:rowOff>13606</xdr:rowOff>
    </xdr:to>
    <xdr:graphicFrame macro="">
      <xdr:nvGraphicFramePr>
        <xdr:cNvPr id="3" name="Chart 2">
          <a:extLst>
            <a:ext uri="{FF2B5EF4-FFF2-40B4-BE49-F238E27FC236}">
              <a16:creationId xmlns:a16="http://schemas.microsoft.com/office/drawing/2014/main" id="{E42E24AA-7068-4FA7-9817-045075F932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34017</xdr:colOff>
      <xdr:row>3738</xdr:row>
      <xdr:rowOff>136071</xdr:rowOff>
    </xdr:from>
    <xdr:to>
      <xdr:col>19</xdr:col>
      <xdr:colOff>197304</xdr:colOff>
      <xdr:row>3750</xdr:row>
      <xdr:rowOff>176892</xdr:rowOff>
    </xdr:to>
    <xdr:graphicFrame macro="">
      <xdr:nvGraphicFramePr>
        <xdr:cNvPr id="4" name="Chart 3">
          <a:extLst>
            <a:ext uri="{FF2B5EF4-FFF2-40B4-BE49-F238E27FC236}">
              <a16:creationId xmlns:a16="http://schemas.microsoft.com/office/drawing/2014/main" id="{9C47CA75-4BBE-4280-A0A0-35BE768244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83736</xdr:colOff>
      <xdr:row>5958</xdr:row>
      <xdr:rowOff>94203</xdr:rowOff>
    </xdr:from>
    <xdr:to>
      <xdr:col>18</xdr:col>
      <xdr:colOff>397748</xdr:colOff>
      <xdr:row>5981</xdr:row>
      <xdr:rowOff>83736</xdr:rowOff>
    </xdr:to>
    <xdr:sp macro="" textlink="">
      <xdr:nvSpPr>
        <xdr:cNvPr id="5" name="TextBox 4">
          <a:extLst>
            <a:ext uri="{FF2B5EF4-FFF2-40B4-BE49-F238E27FC236}">
              <a16:creationId xmlns:a16="http://schemas.microsoft.com/office/drawing/2014/main" id="{74817414-AD9F-6F54-D75D-92CF1CABF16E}"/>
            </a:ext>
          </a:extLst>
        </xdr:cNvPr>
        <xdr:cNvSpPr txBox="1"/>
      </xdr:nvSpPr>
      <xdr:spPr>
        <a:xfrm>
          <a:off x="690824" y="1123426648"/>
          <a:ext cx="12246429" cy="4322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Intro comments:</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pPr lvl="0"/>
          <a:r>
            <a:rPr lang="en-US" sz="1100">
              <a:solidFill>
                <a:schemeClr val="dk1"/>
              </a:solidFill>
              <a:effectLst/>
              <a:latin typeface="+mn-lt"/>
              <a:ea typeface="+mn-ea"/>
              <a:cs typeface="+mn-cs"/>
            </a:rPr>
            <a:t>Valim introduction.</a:t>
          </a:r>
          <a:endParaRPr lang="en-GB" sz="1100">
            <a:solidFill>
              <a:schemeClr val="dk1"/>
            </a:solidFill>
            <a:effectLst/>
            <a:latin typeface="+mn-lt"/>
            <a:ea typeface="+mn-ea"/>
            <a:cs typeface="+mn-cs"/>
          </a:endParaRPr>
        </a:p>
        <a:p>
          <a:pPr lvl="0"/>
          <a:r>
            <a:rPr lang="en-US" sz="1100">
              <a:solidFill>
                <a:schemeClr val="dk1"/>
              </a:solidFill>
              <a:effectLst/>
              <a:latin typeface="+mn-lt"/>
              <a:ea typeface="+mn-ea"/>
              <a:cs typeface="+mn-cs"/>
            </a:rPr>
            <a:t>Univision a key asset for Televisa shares. 2</a:t>
          </a:r>
          <a:r>
            <a:rPr lang="en-US" sz="1100" baseline="30000">
              <a:solidFill>
                <a:schemeClr val="dk1"/>
              </a:solidFill>
              <a:effectLst/>
              <a:latin typeface="+mn-lt"/>
              <a:ea typeface="+mn-ea"/>
              <a:cs typeface="+mn-cs"/>
            </a:rPr>
            <a:t>nd</a:t>
          </a:r>
          <a:r>
            <a:rPr lang="en-US" sz="1100">
              <a:solidFill>
                <a:schemeClr val="dk1"/>
              </a:solidFill>
              <a:effectLst/>
              <a:latin typeface="+mn-lt"/>
              <a:ea typeface="+mn-ea"/>
              <a:cs typeface="+mn-cs"/>
            </a:rPr>
            <a:t> largest contribution after cable asset.</a:t>
          </a:r>
          <a:endParaRPr lang="en-GB" sz="1100">
            <a:solidFill>
              <a:schemeClr val="dk1"/>
            </a:solidFill>
            <a:effectLst/>
            <a:latin typeface="+mn-lt"/>
            <a:ea typeface="+mn-ea"/>
            <a:cs typeface="+mn-cs"/>
          </a:endParaRPr>
        </a:p>
        <a:p>
          <a:pPr lvl="0"/>
          <a:r>
            <a:rPr lang="en-US" sz="1100">
              <a:solidFill>
                <a:schemeClr val="dk1"/>
              </a:solidFill>
              <a:effectLst/>
              <a:latin typeface="+mn-lt"/>
              <a:ea typeface="+mn-ea"/>
              <a:cs typeface="+mn-cs"/>
            </a:rPr>
            <a:t>Univision: Closing upfront at the pace of the US industry. Rectifying pricing gap, expect volumes to finish up msd.</a:t>
          </a:r>
          <a:endParaRPr lang="en-GB" sz="1100">
            <a:solidFill>
              <a:schemeClr val="dk1"/>
            </a:solidFill>
            <a:effectLst/>
            <a:latin typeface="+mn-lt"/>
            <a:ea typeface="+mn-ea"/>
            <a:cs typeface="+mn-cs"/>
          </a:endParaRPr>
        </a:p>
        <a:p>
          <a:pPr lvl="0"/>
          <a:r>
            <a:rPr lang="en-US" sz="1100">
              <a:solidFill>
                <a:schemeClr val="dk1"/>
              </a:solidFill>
              <a:effectLst/>
              <a:latin typeface="+mn-lt"/>
              <a:ea typeface="+mn-ea"/>
              <a:cs typeface="+mn-cs"/>
            </a:rPr>
            <a:t>Televisa: Valim in transition period these last few weeks. </a:t>
          </a:r>
          <a:endParaRPr lang="en-GB" sz="1100">
            <a:solidFill>
              <a:schemeClr val="dk1"/>
            </a:solidFill>
            <a:effectLst/>
            <a:latin typeface="+mn-lt"/>
            <a:ea typeface="+mn-ea"/>
            <a:cs typeface="+mn-cs"/>
          </a:endParaRPr>
        </a:p>
        <a:p>
          <a:pPr lvl="0"/>
          <a:r>
            <a:rPr lang="en-US" sz="1100">
              <a:solidFill>
                <a:schemeClr val="dk1"/>
              </a:solidFill>
              <a:effectLst/>
              <a:latin typeface="+mn-lt"/>
              <a:ea typeface="+mn-ea"/>
              <a:cs typeface="+mn-cs"/>
            </a:rPr>
            <a:t>Sky: Improve churn for both prepaid and postpaid DTH, subs base declined as a result of the program to enhance quality. Loss of RGUs mitigated by new pdct offering, Sky cellular, Sky mobile growing. OTT +21k RGU. BB: decline in the subs base due to the limited network availability which restricted new sales. Optimistic about launch of new fixed BB services in partnership w/ Izzy, Sky Internet  (FWA?) with Izzy. </a:t>
          </a:r>
          <a:endParaRPr lang="en-GB" sz="1100">
            <a:solidFill>
              <a:schemeClr val="dk1"/>
            </a:solidFill>
            <a:effectLst/>
            <a:latin typeface="+mn-lt"/>
            <a:ea typeface="+mn-ea"/>
            <a:cs typeface="+mn-cs"/>
          </a:endParaRPr>
        </a:p>
        <a:p>
          <a:pPr lvl="0"/>
          <a:r>
            <a:rPr lang="en-US" sz="1100">
              <a:solidFill>
                <a:schemeClr val="dk1"/>
              </a:solidFill>
              <a:effectLst/>
              <a:latin typeface="+mn-lt"/>
              <a:ea typeface="+mn-ea"/>
              <a:cs typeface="+mn-cs"/>
            </a:rPr>
            <a:t>Group: Optimistic about MT growth. Vix profitable in H2 24. Cable far from reaching full potential, focused on reducing churn, reforms to enhance FCF.</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b="1">
              <a:solidFill>
                <a:schemeClr val="dk1"/>
              </a:solidFill>
              <a:effectLst/>
              <a:latin typeface="+mn-lt"/>
              <a:ea typeface="+mn-ea"/>
              <a:cs typeface="+mn-cs"/>
            </a:rPr>
            <a:t>Q&amp;A:</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Driver of high margin in other</a:t>
          </a:r>
          <a:r>
            <a:rPr lang="en-US" sz="1100">
              <a:solidFill>
                <a:schemeClr val="dk1"/>
              </a:solidFill>
              <a:effectLst/>
              <a:latin typeface="+mn-lt"/>
              <a:ea typeface="+mn-ea"/>
              <a:cs typeface="+mn-cs"/>
            </a:rPr>
            <a:t>: Gaming rev up 22%, no activity during covid etc, also team sponsorship, also magazines did well. Translated into EBITDA.</a:t>
          </a:r>
          <a:endParaRPr lang="en-GB"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Capex guidance given strong peso</a:t>
          </a:r>
          <a:r>
            <a:rPr lang="en-US" sz="1100">
              <a:solidFill>
                <a:schemeClr val="dk1"/>
              </a:solidFill>
              <a:effectLst/>
              <a:latin typeface="+mn-lt"/>
              <a:ea typeface="+mn-ea"/>
              <a:cs typeface="+mn-cs"/>
            </a:rPr>
            <a:t>: $620m to be invested this year, around that even capex.</a:t>
          </a:r>
          <a:endParaRPr lang="en-GB"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MSO margins next quarter</a:t>
          </a:r>
          <a:r>
            <a:rPr lang="en-US" sz="1100">
              <a:solidFill>
                <a:schemeClr val="dk1"/>
              </a:solidFill>
              <a:effectLst/>
              <a:latin typeface="+mn-lt"/>
              <a:ea typeface="+mn-ea"/>
              <a:cs typeface="+mn-cs"/>
            </a:rPr>
            <a:t>: all cost reflected, no pass through inflation going forward.</a:t>
          </a:r>
          <a:endParaRPr lang="en-GB"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Izzy churn vs compet churn, Telmex deployment</a:t>
          </a:r>
          <a:r>
            <a:rPr lang="en-US" sz="1100">
              <a:solidFill>
                <a:schemeClr val="dk1"/>
              </a:solidFill>
              <a:effectLst/>
              <a:latin typeface="+mn-lt"/>
              <a:ea typeface="+mn-ea"/>
              <a:cs typeface="+mn-cs"/>
            </a:rPr>
            <a:t>: churn bcs price up and especially end of promo.</a:t>
          </a:r>
          <a:endParaRPr lang="en-GB"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Valim’s first diagnostic</a:t>
          </a:r>
          <a:r>
            <a:rPr lang="en-US" sz="1100">
              <a:solidFill>
                <a:schemeClr val="dk1"/>
              </a:solidFill>
              <a:effectLst/>
              <a:latin typeface="+mn-lt"/>
              <a:ea typeface="+mn-ea"/>
              <a:cs typeface="+mn-cs"/>
            </a:rPr>
            <a:t>: Opportunities in costs that can be done quickly</a:t>
          </a:r>
          <a:endParaRPr lang="en-GB"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Cable HP strong developments in H1</a:t>
          </a:r>
          <a:r>
            <a:rPr lang="en-US" sz="1100">
              <a:solidFill>
                <a:schemeClr val="dk1"/>
              </a:solidFill>
              <a:effectLst/>
              <a:latin typeface="+mn-lt"/>
              <a:ea typeface="+mn-ea"/>
              <a:cs typeface="+mn-cs"/>
            </a:rPr>
            <a:t>: 7-800k HP expected this year, this tgt still remains </a:t>
          </a:r>
          <a:endParaRPr lang="en-GB" sz="1100">
            <a:solidFill>
              <a:schemeClr val="dk1"/>
            </a:solidFill>
            <a:effectLst/>
            <a:latin typeface="+mn-lt"/>
            <a:ea typeface="+mn-ea"/>
            <a:cs typeface="+mn-cs"/>
          </a:endParaRPr>
        </a:p>
        <a:p>
          <a:pPr lvl="0"/>
          <a:r>
            <a:rPr lang="en-US" sz="1100" b="1">
              <a:solidFill>
                <a:schemeClr val="dk1"/>
              </a:solidFill>
              <a:effectLst/>
              <a:latin typeface="+mn-lt"/>
              <a:ea typeface="+mn-ea"/>
              <a:cs typeface="+mn-cs"/>
            </a:rPr>
            <a:t>Cable net adds</a:t>
          </a:r>
          <a:r>
            <a:rPr lang="en-US" sz="1100">
              <a:solidFill>
                <a:schemeClr val="dk1"/>
              </a:solidFill>
              <a:effectLst/>
              <a:latin typeface="+mn-lt"/>
              <a:ea typeface="+mn-ea"/>
              <a:cs typeface="+mn-cs"/>
            </a:rPr>
            <a:t>: Gross adds good at 1.3m, in line w/ avg of L3Q, brought &gt;5m RGUs in  L12m, of which 2.2m BB subs. Izzy has 6.6m subs base w/ 35% penetration which is very good. Demand is robust, problem was churn. July is vacation month in Mexico and maybe some high churn too (not higher than June), August is a good month as it is back to school. Focused on getting back clients.</a:t>
          </a:r>
          <a:endParaRPr lang="en-GB" sz="1100">
            <a:solidFill>
              <a:schemeClr val="dk1"/>
            </a:solidFill>
            <a:effectLst/>
            <a:latin typeface="+mn-lt"/>
            <a:ea typeface="+mn-ea"/>
            <a:cs typeface="+mn-cs"/>
          </a:endParaRPr>
        </a:p>
        <a:p>
          <a:endParaRPr lang="en-GB" sz="1100"/>
        </a:p>
      </xdr:txBody>
    </xdr:sp>
    <xdr:clientData/>
  </xdr:twoCellAnchor>
  <xdr:twoCellAnchor>
    <xdr:from>
      <xdr:col>1</xdr:col>
      <xdr:colOff>136071</xdr:colOff>
      <xdr:row>6093</xdr:row>
      <xdr:rowOff>83736</xdr:rowOff>
    </xdr:from>
    <xdr:to>
      <xdr:col>14</xdr:col>
      <xdr:colOff>491950</xdr:colOff>
      <xdr:row>6120</xdr:row>
      <xdr:rowOff>31401</xdr:rowOff>
    </xdr:to>
    <xdr:sp macro="" textlink="">
      <xdr:nvSpPr>
        <xdr:cNvPr id="6" name="TextBox 5">
          <a:extLst>
            <a:ext uri="{FF2B5EF4-FFF2-40B4-BE49-F238E27FC236}">
              <a16:creationId xmlns:a16="http://schemas.microsoft.com/office/drawing/2014/main" id="{64B4238B-9B91-2A27-5117-BBF6E76B2B81}"/>
            </a:ext>
          </a:extLst>
        </xdr:cNvPr>
        <xdr:cNvSpPr txBox="1"/>
      </xdr:nvSpPr>
      <xdr:spPr>
        <a:xfrm>
          <a:off x="743159" y="1148851071"/>
          <a:ext cx="9859945" cy="50346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TVUNI Q3 23 call</a:t>
          </a:r>
        </a:p>
        <a:p>
          <a:endParaRPr lang="en-GB" sz="1100"/>
        </a:p>
        <a:p>
          <a:pPr rtl="0" eaLnBrk="1" latinLnBrk="0" hangingPunct="1"/>
          <a:r>
            <a:rPr lang="en-US" sz="1100" b="0">
              <a:solidFill>
                <a:schemeClr val="dk1"/>
              </a:solidFill>
              <a:effectLst/>
              <a:latin typeface="+mn-lt"/>
              <a:ea typeface="+mn-ea"/>
              <a:cs typeface="+mn-cs"/>
            </a:rPr>
            <a:t>Ad markets: Some softness this quarter, mainly on Linear but TVUNI continues to outperform peers. The US ads market was relatively soft in Q3, but the company grew by 3% excluding political and advocacy. Also, TVUNI outperformed the broader market by 800bps (according to the Magna reporting) which is an expansion vs. Q2. In Mexico, management seemed pleased with the performance/new clients activation given how concentrated the market is; performance was driven by new client activations as well as new advance solutions.</a:t>
          </a:r>
          <a:endParaRPr lang="en-GB" sz="1100">
            <a:effectLst/>
          </a:endParaRPr>
        </a:p>
        <a:p>
          <a:pPr rtl="0" eaLnBrk="1" latinLnBrk="0" hangingPunct="1"/>
          <a:r>
            <a:rPr lang="en-US" sz="1100" b="0">
              <a:solidFill>
                <a:schemeClr val="dk1"/>
              </a:solidFill>
              <a:effectLst/>
              <a:latin typeface="+mn-lt"/>
              <a:ea typeface="+mn-ea"/>
              <a:cs typeface="+mn-cs"/>
            </a:rPr>
            <a:t>Linear: Remains fundamentally healthy and a large opportunity going forward as it represents $600m to $700m of revenue opportunity at today’s viewership share. About US Linear, they put national/local TV and radio in Linear, and if you take political and advocacy and adjust for the radio station sold, Linear would be down a little less than 2%. From an Upfronts standpoint, Q4 should benefit from this as the Upfront are good. Overall, up high single digit in Upfronts in a market that is probably up low single digits.</a:t>
          </a:r>
          <a:endParaRPr lang="en-GB">
            <a:effectLst/>
          </a:endParaRPr>
        </a:p>
        <a:p>
          <a:pPr rtl="0" eaLnBrk="1" latinLnBrk="0" hangingPunct="1"/>
          <a:r>
            <a:rPr lang="en-GB" sz="1100" b="0">
              <a:solidFill>
                <a:schemeClr val="dk1"/>
              </a:solidFill>
              <a:effectLst/>
              <a:latin typeface="+mn-lt"/>
              <a:ea typeface="+mn-ea"/>
              <a:cs typeface="+mn-cs"/>
            </a:rPr>
            <a:t>ViX : Still early in launch and low in penetration. Emphasising the content offering and also adding features such as improving the content recommendations, multiple profiles, which helps with customer engagement and retention. Also improving distribution: they had only 60% of the connected TV market, now it is close to 100% coverage. Launching with MercadoLibre, one of the largest source of streaming subscriptions in LatAm. </a:t>
          </a:r>
          <a:endParaRPr lang="en-GB">
            <a:effectLst/>
          </a:endParaRPr>
        </a:p>
        <a:p>
          <a:pPr rtl="0" eaLnBrk="1" latinLnBrk="0" hangingPunct="1"/>
          <a:r>
            <a:rPr lang="en-GB" sz="1100" b="0">
              <a:solidFill>
                <a:schemeClr val="dk1"/>
              </a:solidFill>
              <a:effectLst/>
              <a:latin typeface="+mn-lt"/>
              <a:ea typeface="+mn-ea"/>
              <a:cs typeface="+mn-cs"/>
            </a:rPr>
            <a:t>ViX profitability: Management reiterated expectations about ViX being profitable in H2 2024 but one should not expect operating margins to be at 25% in H2 next year. Over time, as Streaming gets scale, management expects best in class margins.</a:t>
          </a:r>
          <a:endParaRPr lang="en-GB">
            <a:effectLst/>
          </a:endParaRPr>
        </a:p>
        <a:p>
          <a:pPr rtl="0" eaLnBrk="1" latinLnBrk="0" hangingPunct="1"/>
          <a:r>
            <a:rPr lang="en-US" sz="1100" b="0">
              <a:solidFill>
                <a:schemeClr val="dk1"/>
              </a:solidFill>
              <a:effectLst/>
              <a:latin typeface="+mn-lt"/>
              <a:ea typeface="+mn-ea"/>
              <a:cs typeface="+mn-cs"/>
            </a:rPr>
            <a:t>Sport remains strategic/critical for both Linear and Streaming. Focus is almost exclusively on soccer, have comprehensive and compelling offering. Home of Mexican football, have rights for 17 out of 18 teams and have the most important global tournament play (including UEFA champions etc), there is nobody else who have this volume. About right renewals, TVUNI has rights until the end of the decade in most cases.  </a:t>
          </a:r>
          <a:endParaRPr lang="en-GB">
            <a:effectLst/>
          </a:endParaRPr>
        </a:p>
        <a:p>
          <a:pPr rtl="0" eaLnBrk="1" latinLnBrk="0" hangingPunct="1"/>
          <a:r>
            <a:rPr lang="en-US" sz="1100" b="0">
              <a:solidFill>
                <a:schemeClr val="dk1"/>
              </a:solidFill>
              <a:effectLst/>
              <a:latin typeface="+mn-lt"/>
              <a:ea typeface="+mn-ea"/>
              <a:cs typeface="+mn-cs"/>
            </a:rPr>
            <a:t>Capex: Q3 23 capex was consistent with last year’s capex and management continues to expect FY23 capex to be roughly in line with FY22 at $150m.</a:t>
          </a:r>
          <a:endParaRPr lang="en-GB">
            <a:effectLst/>
          </a:endParaRPr>
        </a:p>
        <a:p>
          <a:pPr rtl="0" eaLnBrk="1" latinLnBrk="0" hangingPunct="1"/>
          <a:r>
            <a:rPr lang="en-US" sz="1100" b="0">
              <a:solidFill>
                <a:schemeClr val="dk1"/>
              </a:solidFill>
              <a:effectLst/>
              <a:latin typeface="+mn-lt"/>
              <a:ea typeface="+mn-ea"/>
              <a:cs typeface="+mn-cs"/>
            </a:rPr>
            <a:t>Balance sheet/ leverage (5.9x): Leverage remains one of the main focus. Management expects  leverage to remain around 6 times in Q4 and will start to improve next year as the Streaming profitability improves. Over the medium term, the company targets a net leverage ratio of &lt;4x. About the debt profile, $700m have been refinanced during Q3 and $1 billion will mature in Q1 2025.</a:t>
          </a:r>
          <a:endParaRPr lang="en-GB">
            <a:effectLst/>
          </a:endParaRPr>
        </a:p>
        <a:p>
          <a:pPr rtl="0" eaLnBrk="1" latinLnBrk="0" hangingPunct="1"/>
          <a:r>
            <a:rPr lang="en-US" sz="1100" b="0">
              <a:solidFill>
                <a:schemeClr val="dk1"/>
              </a:solidFill>
              <a:effectLst/>
              <a:latin typeface="+mn-lt"/>
              <a:ea typeface="+mn-ea"/>
              <a:cs typeface="+mn-cs"/>
            </a:rPr>
            <a:t>Q4 23: There are some challenging comps as Q4 last year benefited from the World Cup and the US mid term elections.</a:t>
          </a:r>
          <a:endParaRPr lang="en-GB">
            <a:effectLst/>
          </a:endParaRPr>
        </a:p>
        <a:p>
          <a:endParaRPr lang="en-GB" sz="1100"/>
        </a:p>
      </xdr:txBody>
    </xdr:sp>
    <xdr:clientData/>
  </xdr:twoCellAnchor>
  <xdr:twoCellAnchor>
    <xdr:from>
      <xdr:col>1</xdr:col>
      <xdr:colOff>261675</xdr:colOff>
      <xdr:row>6122</xdr:row>
      <xdr:rowOff>73270</xdr:rowOff>
    </xdr:from>
    <xdr:to>
      <xdr:col>26</xdr:col>
      <xdr:colOff>544286</xdr:colOff>
      <xdr:row>6167</xdr:row>
      <xdr:rowOff>104670</xdr:rowOff>
    </xdr:to>
    <xdr:sp macro="" textlink="">
      <xdr:nvSpPr>
        <xdr:cNvPr id="7" name="TextBox 6">
          <a:extLst>
            <a:ext uri="{FF2B5EF4-FFF2-40B4-BE49-F238E27FC236}">
              <a16:creationId xmlns:a16="http://schemas.microsoft.com/office/drawing/2014/main" id="{A0E3B87E-0251-FC21-4961-FEE307AFFC8C}"/>
            </a:ext>
          </a:extLst>
        </xdr:cNvPr>
        <xdr:cNvSpPr txBox="1"/>
      </xdr:nvSpPr>
      <xdr:spPr>
        <a:xfrm>
          <a:off x="868763" y="1154304396"/>
          <a:ext cx="17071732" cy="85096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GB" sz="1600">
              <a:solidFill>
                <a:schemeClr val="dk1"/>
              </a:solidFill>
              <a:effectLst/>
              <a:latin typeface="+mn-lt"/>
              <a:ea typeface="+mn-ea"/>
              <a:cs typeface="+mn-cs"/>
            </a:rPr>
            <a:t>Q3 23 call</a:t>
          </a:r>
        </a:p>
        <a:p>
          <a:pPr lvl="0"/>
          <a:endParaRPr lang="en-GB" sz="1600">
            <a:solidFill>
              <a:schemeClr val="dk1"/>
            </a:solidFill>
            <a:effectLst/>
            <a:latin typeface="+mn-lt"/>
            <a:ea typeface="+mn-ea"/>
            <a:cs typeface="+mn-cs"/>
          </a:endParaRPr>
        </a:p>
        <a:p>
          <a:pPr lvl="0"/>
          <a:r>
            <a:rPr lang="en-GB" sz="1600">
              <a:solidFill>
                <a:schemeClr val="dk1"/>
              </a:solidFill>
              <a:effectLst/>
              <a:latin typeface="+mn-lt"/>
              <a:ea typeface="+mn-ea"/>
              <a:cs typeface="+mn-cs"/>
            </a:rPr>
            <a:t>Valim: Market is mature. 70% penetration of homes. Customers need more speed. Capex deployment need to be strategic given current rates etc. Given the market structure currently, it is likely to lead to potential consolidation. Global macro and structure of the market currently call for reflection and our role in the coming years. Deep assessment of our cable business shows a change in strategy is needed for Televisa; now instead of rapid expansion the company will focus on quality of customers as well as on profitability/FCF.</a:t>
          </a:r>
        </a:p>
        <a:p>
          <a:pPr lvl="0"/>
          <a:r>
            <a:rPr lang="en-GB" sz="1600">
              <a:solidFill>
                <a:schemeClr val="dk1"/>
              </a:solidFill>
              <a:effectLst/>
              <a:latin typeface="+mn-lt"/>
              <a:ea typeface="+mn-ea"/>
              <a:cs typeface="+mn-cs"/>
            </a:rPr>
            <a:t>Enterprise segment failed to maintain key contracts and suffers from inflationary pressure. </a:t>
          </a:r>
        </a:p>
        <a:p>
          <a:pPr lvl="0"/>
          <a:r>
            <a:rPr lang="en-GB" sz="1600">
              <a:solidFill>
                <a:schemeClr val="dk1"/>
              </a:solidFill>
              <a:effectLst/>
              <a:latin typeface="+mn-lt"/>
              <a:ea typeface="+mn-ea"/>
              <a:cs typeface="+mn-cs"/>
            </a:rPr>
            <a:t>Pillars of the new strategy: 1-Focus on customer retention / 2-Sales quality to push customers to higher speeds / 3-Management the subs base to increase ARPU / 4-Enhance video offering / 5-Grow SME / 6-Turnaround enterprise, revamp commercial strategy.</a:t>
          </a:r>
        </a:p>
        <a:p>
          <a:pPr lvl="0"/>
          <a:r>
            <a:rPr lang="en-GB" sz="1600">
              <a:solidFill>
                <a:schemeClr val="dk1"/>
              </a:solidFill>
              <a:effectLst/>
              <a:latin typeface="+mn-lt"/>
              <a:ea typeface="+mn-ea"/>
              <a:cs typeface="+mn-cs"/>
            </a:rPr>
            <a:t>They will also: 1-Focus more in local than national in terms of marketing and subscriber gains / 2-Use new subs base management tools (big data) and push for more for more strategy / 3-Sales channels: digitalisation / 4-Cost structure review: opex/capex. Have started on opex (12% payroll); for capex, they are looking at it. Also, they are relocating HQ to save rent.</a:t>
          </a:r>
        </a:p>
        <a:p>
          <a:pPr lvl="0"/>
          <a:r>
            <a:rPr lang="en-GB" sz="1600">
              <a:solidFill>
                <a:schemeClr val="dk1"/>
              </a:solidFill>
              <a:effectLst/>
              <a:latin typeface="+mn-lt"/>
              <a:ea typeface="+mn-ea"/>
              <a:cs typeface="+mn-cs"/>
            </a:rPr>
            <a:t>Renew focus on revenue and EBITDA growth.</a:t>
          </a:r>
        </a:p>
        <a:p>
          <a:pPr lvl="0"/>
          <a:r>
            <a:rPr lang="en-GB" sz="1600">
              <a:solidFill>
                <a:schemeClr val="dk1"/>
              </a:solidFill>
              <a:effectLst/>
              <a:latin typeface="+mn-lt"/>
              <a:ea typeface="+mn-ea"/>
              <a:cs typeface="+mn-cs"/>
            </a:rPr>
            <a:t>Will do price increase to pass through inflation.</a:t>
          </a:r>
        </a:p>
        <a:p>
          <a:pPr lvl="0"/>
          <a:r>
            <a:rPr lang="en-GB" sz="1600">
              <a:solidFill>
                <a:schemeClr val="dk1"/>
              </a:solidFill>
              <a:effectLst/>
              <a:latin typeface="+mn-lt"/>
              <a:ea typeface="+mn-ea"/>
              <a:cs typeface="+mn-cs"/>
            </a:rPr>
            <a:t>Target for HP: 400k new homes per year. Less volume, more focus on quality.</a:t>
          </a:r>
        </a:p>
        <a:p>
          <a:pPr lvl="0"/>
          <a:r>
            <a:rPr lang="en-GB" sz="1600">
              <a:solidFill>
                <a:schemeClr val="dk1"/>
              </a:solidFill>
              <a:effectLst/>
              <a:latin typeface="+mn-lt"/>
              <a:ea typeface="+mn-ea"/>
              <a:cs typeface="+mn-cs"/>
            </a:rPr>
            <a:t>Expect </a:t>
          </a:r>
          <a:r>
            <a:rPr lang="en-GB" sz="1600" b="0">
              <a:solidFill>
                <a:schemeClr val="dk1"/>
              </a:solidFill>
              <a:effectLst/>
              <a:latin typeface="+mn-lt"/>
              <a:ea typeface="+mn-ea"/>
              <a:cs typeface="+mn-cs"/>
            </a:rPr>
            <a:t>Q4 margins to expand by </a:t>
          </a:r>
          <a:r>
            <a:rPr lang="en-GB" sz="1600">
              <a:solidFill>
                <a:schemeClr val="dk1"/>
              </a:solidFill>
              <a:effectLst/>
              <a:latin typeface="+mn-lt"/>
              <a:ea typeface="+mn-ea"/>
              <a:cs typeface="+mn-cs"/>
            </a:rPr>
            <a:t>200bps in residential thanks to 12% payroll savings.</a:t>
          </a:r>
        </a:p>
        <a:p>
          <a:pPr lvl="0"/>
          <a:r>
            <a:rPr lang="en-GB" sz="1600">
              <a:solidFill>
                <a:schemeClr val="dk1"/>
              </a:solidFill>
              <a:effectLst/>
              <a:latin typeface="+mn-lt"/>
              <a:ea typeface="+mn-ea"/>
              <a:cs typeface="+mn-cs"/>
            </a:rPr>
            <a:t>Global macro more challenging than expected. Putting effort in restructuring the business. This will help FCF generation. </a:t>
          </a:r>
        </a:p>
        <a:p>
          <a:pPr lvl="0"/>
          <a:r>
            <a:rPr lang="en-GB" sz="1600">
              <a:solidFill>
                <a:schemeClr val="dk1"/>
              </a:solidFill>
              <a:effectLst/>
              <a:latin typeface="+mn-lt"/>
              <a:ea typeface="+mn-ea"/>
              <a:cs typeface="+mn-cs"/>
            </a:rPr>
            <a:t>TVUNI: Narrowed DTC losses this quarter and continue to target profitability in H2 2024.</a:t>
          </a:r>
        </a:p>
        <a:p>
          <a:pPr lvl="0"/>
          <a:r>
            <a:rPr lang="en-GB" sz="1600">
              <a:solidFill>
                <a:schemeClr val="dk1"/>
              </a:solidFill>
              <a:effectLst/>
              <a:latin typeface="+mn-lt"/>
              <a:ea typeface="+mn-ea"/>
              <a:cs typeface="+mn-cs"/>
            </a:rPr>
            <a:t>ViX: Focus on whole business. ViX is aligned, will be a key engine for rev and EBITDA growth, also in longer term. 1) Customer engagement 2) marketing 3) monetising. In 2024 matrix to cover these 3 points.</a:t>
          </a:r>
        </a:p>
        <a:p>
          <a:pPr lvl="0"/>
          <a:r>
            <a:rPr lang="en-GB" sz="1600">
              <a:solidFill>
                <a:schemeClr val="dk1"/>
              </a:solidFill>
              <a:effectLst/>
              <a:latin typeface="+mn-lt"/>
              <a:ea typeface="+mn-ea"/>
              <a:cs typeface="+mn-cs"/>
            </a:rPr>
            <a:t>Shift in cable strategy: FCF generation and capex optimisation. </a:t>
          </a:r>
        </a:p>
        <a:p>
          <a:pPr lvl="0"/>
          <a:r>
            <a:rPr lang="en-GB" sz="1600" b="0">
              <a:solidFill>
                <a:schemeClr val="dk1"/>
              </a:solidFill>
              <a:effectLst/>
              <a:latin typeface="+mn-lt"/>
              <a:ea typeface="+mn-ea"/>
              <a:cs typeface="+mn-cs"/>
            </a:rPr>
            <a:t>Still some pressure in Q4, finalising headcount reduction as still implementing a few things. After that 40% range EBITDA and revenue to grow low single digit in the next 2-3 years. We see sequential improvements for the foreseeable future.</a:t>
          </a:r>
        </a:p>
        <a:p>
          <a:pPr lvl="0"/>
          <a:r>
            <a:rPr lang="en-GB" sz="1600">
              <a:solidFill>
                <a:schemeClr val="dk1"/>
              </a:solidFill>
              <a:effectLst/>
              <a:latin typeface="+mn-lt"/>
              <a:ea typeface="+mn-ea"/>
              <a:cs typeface="+mn-cs"/>
            </a:rPr>
            <a:t>M&amp;A in Mexico: We tried hard, we put an attractive offer on table… 4 players market doesn’t last long, some competitors already facing challenges (financing etc) think there will be M&amp;A at some point. Some players developing ftth like crazy without being able to pay for this. Conso will happen eventually.</a:t>
          </a:r>
        </a:p>
        <a:p>
          <a:pPr lvl="0"/>
          <a:r>
            <a:rPr lang="en-GB" sz="1600">
              <a:solidFill>
                <a:schemeClr val="dk1"/>
              </a:solidFill>
              <a:effectLst/>
              <a:latin typeface="+mn-lt"/>
              <a:ea typeface="+mn-ea"/>
              <a:cs typeface="+mn-cs"/>
            </a:rPr>
            <a:t>TVUNI/ Capital structure of JV, how to raise capital: focus is to max shareholder value. Time is when deliver DTC profitability. So far only Netflix has done that. In the next 9 months will start to be profitable and there will be an inflection point. Have lots of liquidity/plenty of cash to be patient to wait for the right timing. After that focused on deleveraging the company. Orga deleveraging will also happen.</a:t>
          </a:r>
        </a:p>
        <a:p>
          <a:pPr lvl="0"/>
          <a:r>
            <a:rPr lang="en-GB" sz="1600">
              <a:solidFill>
                <a:schemeClr val="dk1"/>
              </a:solidFill>
              <a:effectLst/>
              <a:latin typeface="+mn-lt"/>
              <a:ea typeface="+mn-ea"/>
              <a:cs typeface="+mn-cs"/>
            </a:rPr>
            <a:t>Televisa not considering putting more money in TVUNI. Not considering consolidating TVUNI at this stage.</a:t>
          </a:r>
        </a:p>
        <a:p>
          <a:pPr lvl="0"/>
          <a:r>
            <a:rPr lang="en-GB" sz="1600">
              <a:solidFill>
                <a:schemeClr val="dk1"/>
              </a:solidFill>
              <a:effectLst/>
              <a:latin typeface="+mn-lt"/>
              <a:ea typeface="+mn-ea"/>
              <a:cs typeface="+mn-cs"/>
            </a:rPr>
            <a:t>Cable unique subs post clean-up? Unique users/households of 6.252m after clean-up. HH penetration: for “the more legacy customers” it is close to 40% and they represent ~80% of our customer base and then lower cities this is around 10-15-20% penetration.</a:t>
          </a:r>
        </a:p>
        <a:p>
          <a:r>
            <a:rPr lang="en-GB" sz="1600">
              <a:solidFill>
                <a:schemeClr val="dk1"/>
              </a:solidFill>
              <a:effectLst/>
              <a:latin typeface="+mn-lt"/>
              <a:ea typeface="+mn-ea"/>
              <a:cs typeface="+mn-cs"/>
            </a:rPr>
            <a:t> </a:t>
          </a:r>
        </a:p>
        <a:p>
          <a:pPr lvl="0"/>
          <a:r>
            <a:rPr lang="en-GB" sz="1600">
              <a:solidFill>
                <a:schemeClr val="dk1"/>
              </a:solidFill>
              <a:effectLst/>
              <a:latin typeface="+mn-lt"/>
              <a:ea typeface="+mn-ea"/>
              <a:cs typeface="+mn-cs"/>
            </a:rPr>
            <a:t>Competitive environment: Stable mkt;  compet on promotions, no price deterioration. Px stable over last several quarters.</a:t>
          </a:r>
        </a:p>
        <a:p>
          <a:pPr lvl="0"/>
          <a:r>
            <a:rPr lang="en-GB" sz="1600">
              <a:solidFill>
                <a:schemeClr val="dk1"/>
              </a:solidFill>
              <a:effectLst/>
              <a:latin typeface="+mn-lt"/>
              <a:ea typeface="+mn-ea"/>
              <a:cs typeface="+mn-cs"/>
            </a:rPr>
            <a:t>Fibre upgrade: our network can deliver 1gps, 200+ video channels, more than enough.</a:t>
          </a:r>
        </a:p>
        <a:p>
          <a:pPr lvl="0"/>
          <a:r>
            <a:rPr lang="en-GB" sz="1600">
              <a:solidFill>
                <a:schemeClr val="dk1"/>
              </a:solidFill>
              <a:effectLst/>
              <a:latin typeface="+mn-lt"/>
              <a:ea typeface="+mn-ea"/>
              <a:cs typeface="+mn-cs"/>
            </a:rPr>
            <a:t>Tax next year: income tax line included non-recurring exp of 900m which is reduction of historic deferred asset.</a:t>
          </a:r>
        </a:p>
        <a:p>
          <a:pPr lvl="0"/>
          <a:r>
            <a:rPr lang="en-GB" sz="1600" b="0">
              <a:solidFill>
                <a:schemeClr val="dk1"/>
              </a:solidFill>
              <a:effectLst/>
              <a:latin typeface="+mn-lt"/>
              <a:ea typeface="+mn-ea"/>
              <a:cs typeface="+mn-cs"/>
            </a:rPr>
            <a:t>Capex/leverage: capex to go to close to 20% (from 26% today).</a:t>
          </a:r>
        </a:p>
        <a:p>
          <a:endParaRPr lang="en-GB"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42</xdr:col>
      <xdr:colOff>312966</xdr:colOff>
      <xdr:row>242</xdr:row>
      <xdr:rowOff>108856</xdr:rowOff>
    </xdr:from>
    <xdr:to>
      <xdr:col>50</xdr:col>
      <xdr:colOff>54428</xdr:colOff>
      <xdr:row>262</xdr:row>
      <xdr:rowOff>17687</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108855</xdr:colOff>
      <xdr:row>18</xdr:row>
      <xdr:rowOff>50345</xdr:rowOff>
    </xdr:from>
    <xdr:to>
      <xdr:col>49</xdr:col>
      <xdr:colOff>326570</xdr:colOff>
      <xdr:row>35</xdr:row>
      <xdr:rowOff>108857</xdr:rowOff>
    </xdr:to>
    <xdr:graphicFrame macro="">
      <xdr:nvGraphicFramePr>
        <xdr:cNvPr id="3" name="Chart 2">
          <a:extLst>
            <a:ext uri="{FF2B5EF4-FFF2-40B4-BE49-F238E27FC236}">
              <a16:creationId xmlns:a16="http://schemas.microsoft.com/office/drawing/2014/main" id="{00000000-0008-0000-0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43</xdr:col>
      <xdr:colOff>68035</xdr:colOff>
      <xdr:row>264</xdr:row>
      <xdr:rowOff>23131</xdr:rowOff>
    </xdr:from>
    <xdr:to>
      <xdr:col>50</xdr:col>
      <xdr:colOff>163286</xdr:colOff>
      <xdr:row>286</xdr:row>
      <xdr:rowOff>112939</xdr:rowOff>
    </xdr:to>
    <xdr:graphicFrame macro="">
      <xdr:nvGraphicFramePr>
        <xdr:cNvPr id="4" name="Chart 3">
          <a:extLst>
            <a:ext uri="{FF2B5EF4-FFF2-40B4-BE49-F238E27FC236}">
              <a16:creationId xmlns:a16="http://schemas.microsoft.com/office/drawing/2014/main" id="{00000000-0008-0000-0F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421821</xdr:colOff>
      <xdr:row>193</xdr:row>
      <xdr:rowOff>77559</xdr:rowOff>
    </xdr:from>
    <xdr:to>
      <xdr:col>8</xdr:col>
      <xdr:colOff>204107</xdr:colOff>
      <xdr:row>210</xdr:row>
      <xdr:rowOff>108856</xdr:rowOff>
    </xdr:to>
    <xdr:graphicFrame macro="">
      <xdr:nvGraphicFramePr>
        <xdr:cNvPr id="5" name="Chart 4">
          <a:extLst>
            <a:ext uri="{FF2B5EF4-FFF2-40B4-BE49-F238E27FC236}">
              <a16:creationId xmlns:a16="http://schemas.microsoft.com/office/drawing/2014/main" id="{00000000-0008-0000-0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51</xdr:col>
      <xdr:colOff>122464</xdr:colOff>
      <xdr:row>264</xdr:row>
      <xdr:rowOff>9523</xdr:rowOff>
    </xdr:from>
    <xdr:to>
      <xdr:col>58</xdr:col>
      <xdr:colOff>176893</xdr:colOff>
      <xdr:row>282</xdr:row>
      <xdr:rowOff>122463</xdr:rowOff>
    </xdr:to>
    <xdr:graphicFrame macro="">
      <xdr:nvGraphicFramePr>
        <xdr:cNvPr id="6" name="Chart 5">
          <a:extLst>
            <a:ext uri="{FF2B5EF4-FFF2-40B4-BE49-F238E27FC236}">
              <a16:creationId xmlns:a16="http://schemas.microsoft.com/office/drawing/2014/main" id="{00000000-0008-0000-0F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51</xdr:col>
      <xdr:colOff>244929</xdr:colOff>
      <xdr:row>246</xdr:row>
      <xdr:rowOff>104775</xdr:rowOff>
    </xdr:from>
    <xdr:to>
      <xdr:col>58</xdr:col>
      <xdr:colOff>353785</xdr:colOff>
      <xdr:row>261</xdr:row>
      <xdr:rowOff>136071</xdr:rowOff>
    </xdr:to>
    <xdr:graphicFrame macro="">
      <xdr:nvGraphicFramePr>
        <xdr:cNvPr id="8" name="Chart 7">
          <a:extLst>
            <a:ext uri="{FF2B5EF4-FFF2-40B4-BE49-F238E27FC236}">
              <a16:creationId xmlns:a16="http://schemas.microsoft.com/office/drawing/2014/main" id="{00000000-0008-0000-0F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71</xdr:col>
      <xdr:colOff>149679</xdr:colOff>
      <xdr:row>218</xdr:row>
      <xdr:rowOff>179613</xdr:rowOff>
    </xdr:from>
    <xdr:to>
      <xdr:col>77</xdr:col>
      <xdr:colOff>326571</xdr:colOff>
      <xdr:row>235</xdr:row>
      <xdr:rowOff>122464</xdr:rowOff>
    </xdr:to>
    <xdr:graphicFrame macro="">
      <xdr:nvGraphicFramePr>
        <xdr:cNvPr id="7" name="Chart 6">
          <a:extLst>
            <a:ext uri="{FF2B5EF4-FFF2-40B4-BE49-F238E27FC236}">
              <a16:creationId xmlns:a16="http://schemas.microsoft.com/office/drawing/2014/main" id="{00000000-0008-0000-0F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70</xdr:col>
      <xdr:colOff>476251</xdr:colOff>
      <xdr:row>254</xdr:row>
      <xdr:rowOff>40821</xdr:rowOff>
    </xdr:from>
    <xdr:to>
      <xdr:col>77</xdr:col>
      <xdr:colOff>40821</xdr:colOff>
      <xdr:row>271</xdr:row>
      <xdr:rowOff>130628</xdr:rowOff>
    </xdr:to>
    <xdr:graphicFrame macro="">
      <xdr:nvGraphicFramePr>
        <xdr:cNvPr id="9" name="Chart 8">
          <a:extLst>
            <a:ext uri="{FF2B5EF4-FFF2-40B4-BE49-F238E27FC236}">
              <a16:creationId xmlns:a16="http://schemas.microsoft.com/office/drawing/2014/main" id="{00000000-0008-0000-0F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79</xdr:col>
      <xdr:colOff>54428</xdr:colOff>
      <xdr:row>219</xdr:row>
      <xdr:rowOff>40821</xdr:rowOff>
    </xdr:from>
    <xdr:to>
      <xdr:col>85</xdr:col>
      <xdr:colOff>231320</xdr:colOff>
      <xdr:row>235</xdr:row>
      <xdr:rowOff>176893</xdr:rowOff>
    </xdr:to>
    <xdr:graphicFrame macro="">
      <xdr:nvGraphicFramePr>
        <xdr:cNvPr id="10" name="Chart 9">
          <a:extLst>
            <a:ext uri="{FF2B5EF4-FFF2-40B4-BE49-F238E27FC236}">
              <a16:creationId xmlns:a16="http://schemas.microsoft.com/office/drawing/2014/main" id="{63927127-E8E0-4946-8236-545A13CF4B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25</xdr:col>
      <xdr:colOff>41413</xdr:colOff>
      <xdr:row>265</xdr:row>
      <xdr:rowOff>24848</xdr:rowOff>
    </xdr:from>
    <xdr:to>
      <xdr:col>30</xdr:col>
      <xdr:colOff>75728</xdr:colOff>
      <xdr:row>279</xdr:row>
      <xdr:rowOff>109981</xdr:rowOff>
    </xdr:to>
    <xdr:graphicFrame macro="">
      <xdr:nvGraphicFramePr>
        <xdr:cNvPr id="11" name="Chart 10">
          <a:extLst>
            <a:ext uri="{FF2B5EF4-FFF2-40B4-BE49-F238E27FC236}">
              <a16:creationId xmlns:a16="http://schemas.microsoft.com/office/drawing/2014/main" id="{767FB204-7B4C-4E28-A4E3-F9EB035743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31</xdr:col>
      <xdr:colOff>25335</xdr:colOff>
      <xdr:row>265</xdr:row>
      <xdr:rowOff>12668</xdr:rowOff>
    </xdr:from>
    <xdr:to>
      <xdr:col>35</xdr:col>
      <xdr:colOff>563217</xdr:colOff>
      <xdr:row>279</xdr:row>
      <xdr:rowOff>124240</xdr:rowOff>
    </xdr:to>
    <xdr:graphicFrame macro="">
      <xdr:nvGraphicFramePr>
        <xdr:cNvPr id="13" name="Chart 12">
          <a:extLst>
            <a:ext uri="{FF2B5EF4-FFF2-40B4-BE49-F238E27FC236}">
              <a16:creationId xmlns:a16="http://schemas.microsoft.com/office/drawing/2014/main" id="{9D79CDD8-57AD-495E-AE17-8F97BC8656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37</xdr:col>
      <xdr:colOff>436414</xdr:colOff>
      <xdr:row>17</xdr:row>
      <xdr:rowOff>93059</xdr:rowOff>
    </xdr:from>
    <xdr:to>
      <xdr:col>41</xdr:col>
      <xdr:colOff>406930</xdr:colOff>
      <xdr:row>31</xdr:row>
      <xdr:rowOff>106665</xdr:rowOff>
    </xdr:to>
    <xdr:graphicFrame macro="">
      <xdr:nvGraphicFramePr>
        <xdr:cNvPr id="3" name="Chart 2">
          <a:extLst>
            <a:ext uri="{FF2B5EF4-FFF2-40B4-BE49-F238E27FC236}">
              <a16:creationId xmlns:a16="http://schemas.microsoft.com/office/drawing/2014/main" id="{0DE0D558-BAFE-4E68-ABFD-3C9CB4E52F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34</xdr:col>
      <xdr:colOff>143388</xdr:colOff>
      <xdr:row>109</xdr:row>
      <xdr:rowOff>86823</xdr:rowOff>
    </xdr:from>
    <xdr:to>
      <xdr:col>38</xdr:col>
      <xdr:colOff>542396</xdr:colOff>
      <xdr:row>132</xdr:row>
      <xdr:rowOff>39688</xdr:rowOff>
    </xdr:to>
    <xdr:graphicFrame macro="">
      <xdr:nvGraphicFramePr>
        <xdr:cNvPr id="2" name="Chart 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29105</xdr:colOff>
      <xdr:row>286</xdr:row>
      <xdr:rowOff>41274</xdr:rowOff>
    </xdr:from>
    <xdr:to>
      <xdr:col>39</xdr:col>
      <xdr:colOff>605897</xdr:colOff>
      <xdr:row>301</xdr:row>
      <xdr:rowOff>85724</xdr:rowOff>
    </xdr:to>
    <xdr:graphicFrame macro="">
      <xdr:nvGraphicFramePr>
        <xdr:cNvPr id="3" name="Chart 2">
          <a:extLst>
            <a:ext uri="{FF2B5EF4-FFF2-40B4-BE49-F238E27FC236}">
              <a16:creationId xmlns:a16="http://schemas.microsoft.com/office/drawing/2014/main" id="{FC439E73-05A2-0114-C93D-ADB155B101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169</xdr:col>
      <xdr:colOff>171977</xdr:colOff>
      <xdr:row>407</xdr:row>
      <xdr:rowOff>39690</xdr:rowOff>
    </xdr:from>
    <xdr:to>
      <xdr:col>171</xdr:col>
      <xdr:colOff>661458</xdr:colOff>
      <xdr:row>415</xdr:row>
      <xdr:rowOff>132294</xdr:rowOff>
    </xdr:to>
    <xdr:graphicFrame macro="">
      <xdr:nvGraphicFramePr>
        <xdr:cNvPr id="13" name="Chart 12">
          <a:extLst>
            <a:ext uri="{FF2B5EF4-FFF2-40B4-BE49-F238E27FC236}">
              <a16:creationId xmlns:a16="http://schemas.microsoft.com/office/drawing/2014/main" id="{A28B95FC-6234-4966-A4AA-719D8B41CB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169</xdr:col>
      <xdr:colOff>172353</xdr:colOff>
      <xdr:row>376</xdr:row>
      <xdr:rowOff>142194</xdr:rowOff>
    </xdr:from>
    <xdr:to>
      <xdr:col>173</xdr:col>
      <xdr:colOff>291042</xdr:colOff>
      <xdr:row>385</xdr:row>
      <xdr:rowOff>145521</xdr:rowOff>
    </xdr:to>
    <xdr:graphicFrame macro="">
      <xdr:nvGraphicFramePr>
        <xdr:cNvPr id="10" name="Chart 9">
          <a:extLst>
            <a:ext uri="{FF2B5EF4-FFF2-40B4-BE49-F238E27FC236}">
              <a16:creationId xmlns:a16="http://schemas.microsoft.com/office/drawing/2014/main" id="{384C693C-7478-4B71-B614-4F7DCD132D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167</xdr:col>
      <xdr:colOff>333375</xdr:colOff>
      <xdr:row>420</xdr:row>
      <xdr:rowOff>81642</xdr:rowOff>
    </xdr:from>
    <xdr:to>
      <xdr:col>174</xdr:col>
      <xdr:colOff>357188</xdr:colOff>
      <xdr:row>437</xdr:row>
      <xdr:rowOff>132292</xdr:rowOff>
    </xdr:to>
    <xdr:graphicFrame macro="">
      <xdr:nvGraphicFramePr>
        <xdr:cNvPr id="18" name="Chart 17">
          <a:extLst>
            <a:ext uri="{FF2B5EF4-FFF2-40B4-BE49-F238E27FC236}">
              <a16:creationId xmlns:a16="http://schemas.microsoft.com/office/drawing/2014/main" id="{EA569EE2-586D-40A9-951C-1F43A60C17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167</xdr:col>
      <xdr:colOff>383644</xdr:colOff>
      <xdr:row>446</xdr:row>
      <xdr:rowOff>0</xdr:rowOff>
    </xdr:from>
    <xdr:to>
      <xdr:col>174</xdr:col>
      <xdr:colOff>370416</xdr:colOff>
      <xdr:row>463</xdr:row>
      <xdr:rowOff>13229</xdr:rowOff>
    </xdr:to>
    <xdr:graphicFrame macro="">
      <xdr:nvGraphicFramePr>
        <xdr:cNvPr id="19" name="Chart 18">
          <a:extLst>
            <a:ext uri="{FF2B5EF4-FFF2-40B4-BE49-F238E27FC236}">
              <a16:creationId xmlns:a16="http://schemas.microsoft.com/office/drawing/2014/main" id="{0AD4632A-2547-47D4-B571-ACF1BDFEFA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167</xdr:col>
      <xdr:colOff>426431</xdr:colOff>
      <xdr:row>477</xdr:row>
      <xdr:rowOff>106891</xdr:rowOff>
    </xdr:from>
    <xdr:to>
      <xdr:col>174</xdr:col>
      <xdr:colOff>423334</xdr:colOff>
      <xdr:row>494</xdr:row>
      <xdr:rowOff>92605</xdr:rowOff>
    </xdr:to>
    <xdr:graphicFrame macro="">
      <xdr:nvGraphicFramePr>
        <xdr:cNvPr id="4" name="Chart 3">
          <a:extLst>
            <a:ext uri="{FF2B5EF4-FFF2-40B4-BE49-F238E27FC236}">
              <a16:creationId xmlns:a16="http://schemas.microsoft.com/office/drawing/2014/main" id="{A24BAA69-68A9-400A-BD31-D24F515016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49</xdr:col>
      <xdr:colOff>559858</xdr:colOff>
      <xdr:row>24</xdr:row>
      <xdr:rowOff>31598</xdr:rowOff>
    </xdr:from>
    <xdr:to>
      <xdr:col>58</xdr:col>
      <xdr:colOff>186268</xdr:colOff>
      <xdr:row>42</xdr:row>
      <xdr:rowOff>37269</xdr:rowOff>
    </xdr:to>
    <xdr:graphicFrame macro="">
      <xdr:nvGraphicFramePr>
        <xdr:cNvPr id="2" name="Chart 1">
          <a:extLst>
            <a:ext uri="{FF2B5EF4-FFF2-40B4-BE49-F238E27FC236}">
              <a16:creationId xmlns:a16="http://schemas.microsoft.com/office/drawing/2014/main" id="{07E88013-88D0-4D95-8D70-10FBB6D235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60</xdr:col>
      <xdr:colOff>350382</xdr:colOff>
      <xdr:row>44</xdr:row>
      <xdr:rowOff>137354</xdr:rowOff>
    </xdr:from>
    <xdr:to>
      <xdr:col>67</xdr:col>
      <xdr:colOff>1035050</xdr:colOff>
      <xdr:row>61</xdr:row>
      <xdr:rowOff>35983</xdr:rowOff>
    </xdr:to>
    <xdr:graphicFrame macro="">
      <xdr:nvGraphicFramePr>
        <xdr:cNvPr id="3" name="Chart 2">
          <a:extLst>
            <a:ext uri="{FF2B5EF4-FFF2-40B4-BE49-F238E27FC236}">
              <a16:creationId xmlns:a16="http://schemas.microsoft.com/office/drawing/2014/main" id="{EBFB777B-D28C-47A8-97C4-D00CB13DC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35</xdr:col>
      <xdr:colOff>261002</xdr:colOff>
      <xdr:row>67</xdr:row>
      <xdr:rowOff>52917</xdr:rowOff>
    </xdr:from>
    <xdr:to>
      <xdr:col>43</xdr:col>
      <xdr:colOff>529167</xdr:colOff>
      <xdr:row>85</xdr:row>
      <xdr:rowOff>13231</xdr:rowOff>
    </xdr:to>
    <xdr:graphicFrame macro="">
      <xdr:nvGraphicFramePr>
        <xdr:cNvPr id="6" name="Chart 5">
          <a:extLst>
            <a:ext uri="{FF2B5EF4-FFF2-40B4-BE49-F238E27FC236}">
              <a16:creationId xmlns:a16="http://schemas.microsoft.com/office/drawing/2014/main" id="{20C9CFEF-1F31-403A-9C3A-B641CFCD65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44</xdr:col>
      <xdr:colOff>586004</xdr:colOff>
      <xdr:row>66</xdr:row>
      <xdr:rowOff>88900</xdr:rowOff>
    </xdr:from>
    <xdr:to>
      <xdr:col>51</xdr:col>
      <xdr:colOff>581924</xdr:colOff>
      <xdr:row>84</xdr:row>
      <xdr:rowOff>180066</xdr:rowOff>
    </xdr:to>
    <xdr:graphicFrame macro="">
      <xdr:nvGraphicFramePr>
        <xdr:cNvPr id="7" name="Chart 6">
          <a:extLst>
            <a:ext uri="{FF2B5EF4-FFF2-40B4-BE49-F238E27FC236}">
              <a16:creationId xmlns:a16="http://schemas.microsoft.com/office/drawing/2014/main" id="{A620E5E7-733D-4ACE-ACFD-497CD36DCD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355297</xdr:colOff>
      <xdr:row>122</xdr:row>
      <xdr:rowOff>181428</xdr:rowOff>
    </xdr:from>
    <xdr:to>
      <xdr:col>18</xdr:col>
      <xdr:colOff>376464</xdr:colOff>
      <xdr:row>141</xdr:row>
      <xdr:rowOff>22678</xdr:rowOff>
    </xdr:to>
    <xdr:graphicFrame macro="">
      <xdr:nvGraphicFramePr>
        <xdr:cNvPr id="8" name="Chart 7">
          <a:extLst>
            <a:ext uri="{FF2B5EF4-FFF2-40B4-BE49-F238E27FC236}">
              <a16:creationId xmlns:a16="http://schemas.microsoft.com/office/drawing/2014/main" id="{863F9C0B-0D72-4A03-ACD3-E67903B4AF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55</xdr:col>
      <xdr:colOff>55710</xdr:colOff>
      <xdr:row>97</xdr:row>
      <xdr:rowOff>41422</xdr:rowOff>
    </xdr:from>
    <xdr:to>
      <xdr:col>63</xdr:col>
      <xdr:colOff>582084</xdr:colOff>
      <xdr:row>116</xdr:row>
      <xdr:rowOff>39687</xdr:rowOff>
    </xdr:to>
    <xdr:graphicFrame macro="">
      <xdr:nvGraphicFramePr>
        <xdr:cNvPr id="9" name="Chart 8">
          <a:extLst>
            <a:ext uri="{FF2B5EF4-FFF2-40B4-BE49-F238E27FC236}">
              <a16:creationId xmlns:a16="http://schemas.microsoft.com/office/drawing/2014/main" id="{38D81E6D-94D8-455A-839A-E0A99352DB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64</xdr:col>
      <xdr:colOff>407681</xdr:colOff>
      <xdr:row>96</xdr:row>
      <xdr:rowOff>130325</xdr:rowOff>
    </xdr:from>
    <xdr:to>
      <xdr:col>73</xdr:col>
      <xdr:colOff>730094</xdr:colOff>
      <xdr:row>118</xdr:row>
      <xdr:rowOff>61458</xdr:rowOff>
    </xdr:to>
    <xdr:graphicFrame macro="">
      <xdr:nvGraphicFramePr>
        <xdr:cNvPr id="10" name="Chart 9">
          <a:extLst>
            <a:ext uri="{FF2B5EF4-FFF2-40B4-BE49-F238E27FC236}">
              <a16:creationId xmlns:a16="http://schemas.microsoft.com/office/drawing/2014/main" id="{0B25E68C-2C13-4E51-BFDD-F8E73CDE74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50</xdr:col>
      <xdr:colOff>111504</xdr:colOff>
      <xdr:row>116</xdr:row>
      <xdr:rowOff>4156</xdr:rowOff>
    </xdr:from>
    <xdr:to>
      <xdr:col>58</xdr:col>
      <xdr:colOff>463020</xdr:colOff>
      <xdr:row>135</xdr:row>
      <xdr:rowOff>79374</xdr:rowOff>
    </xdr:to>
    <xdr:graphicFrame macro="">
      <xdr:nvGraphicFramePr>
        <xdr:cNvPr id="11" name="Chart 10">
          <a:extLst>
            <a:ext uri="{FF2B5EF4-FFF2-40B4-BE49-F238E27FC236}">
              <a16:creationId xmlns:a16="http://schemas.microsoft.com/office/drawing/2014/main" id="{FCAF6BE5-D16C-4457-BD11-A1F8818553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xdr:col>
      <xdr:colOff>378654</xdr:colOff>
      <xdr:row>115</xdr:row>
      <xdr:rowOff>144913</xdr:rowOff>
    </xdr:from>
    <xdr:to>
      <xdr:col>48</xdr:col>
      <xdr:colOff>568854</xdr:colOff>
      <xdr:row>134</xdr:row>
      <xdr:rowOff>145521</xdr:rowOff>
    </xdr:to>
    <xdr:graphicFrame macro="">
      <xdr:nvGraphicFramePr>
        <xdr:cNvPr id="12" name="Chart 11">
          <a:extLst>
            <a:ext uri="{FF2B5EF4-FFF2-40B4-BE49-F238E27FC236}">
              <a16:creationId xmlns:a16="http://schemas.microsoft.com/office/drawing/2014/main" id="{649CCE71-E465-4731-88B6-A563665C9A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55</xdr:col>
      <xdr:colOff>435417</xdr:colOff>
      <xdr:row>69</xdr:row>
      <xdr:rowOff>0</xdr:rowOff>
    </xdr:from>
    <xdr:to>
      <xdr:col>63</xdr:col>
      <xdr:colOff>482600</xdr:colOff>
      <xdr:row>86</xdr:row>
      <xdr:rowOff>12700</xdr:rowOff>
    </xdr:to>
    <xdr:graphicFrame macro="">
      <xdr:nvGraphicFramePr>
        <xdr:cNvPr id="13" name="Chart 12">
          <a:extLst>
            <a:ext uri="{FF2B5EF4-FFF2-40B4-BE49-F238E27FC236}">
              <a16:creationId xmlns:a16="http://schemas.microsoft.com/office/drawing/2014/main" id="{5AD29C1C-DCC6-480A-B0D1-8794041670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36</xdr:col>
      <xdr:colOff>374836</xdr:colOff>
      <xdr:row>143</xdr:row>
      <xdr:rowOff>83635</xdr:rowOff>
    </xdr:from>
    <xdr:to>
      <xdr:col>45</xdr:col>
      <xdr:colOff>186796</xdr:colOff>
      <xdr:row>164</xdr:row>
      <xdr:rowOff>62443</xdr:rowOff>
    </xdr:to>
    <xdr:graphicFrame macro="">
      <xdr:nvGraphicFramePr>
        <xdr:cNvPr id="4" name="Chart 3">
          <a:extLst>
            <a:ext uri="{FF2B5EF4-FFF2-40B4-BE49-F238E27FC236}">
              <a16:creationId xmlns:a16="http://schemas.microsoft.com/office/drawing/2014/main" id="{E972D18D-1F7B-3E32-9F5C-42ECF29BF7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60</xdr:col>
      <xdr:colOff>24737</xdr:colOff>
      <xdr:row>24</xdr:row>
      <xdr:rowOff>16059</xdr:rowOff>
    </xdr:from>
    <xdr:to>
      <xdr:col>67</xdr:col>
      <xdr:colOff>533689</xdr:colOff>
      <xdr:row>41</xdr:row>
      <xdr:rowOff>139884</xdr:rowOff>
    </xdr:to>
    <xdr:graphicFrame macro="">
      <xdr:nvGraphicFramePr>
        <xdr:cNvPr id="14" name="Chart 13">
          <a:extLst>
            <a:ext uri="{FF2B5EF4-FFF2-40B4-BE49-F238E27FC236}">
              <a16:creationId xmlns:a16="http://schemas.microsoft.com/office/drawing/2014/main" id="{AE3751CA-E153-A684-C9C6-3FB40C733D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38</xdr:col>
      <xdr:colOff>116282</xdr:colOff>
      <xdr:row>167</xdr:row>
      <xdr:rowOff>24789</xdr:rowOff>
    </xdr:from>
    <xdr:to>
      <xdr:col>46</xdr:col>
      <xdr:colOff>14285</xdr:colOff>
      <xdr:row>183</xdr:row>
      <xdr:rowOff>70908</xdr:rowOff>
    </xdr:to>
    <xdr:graphicFrame macro="">
      <xdr:nvGraphicFramePr>
        <xdr:cNvPr id="5" name="Chart 4">
          <a:extLst>
            <a:ext uri="{FF2B5EF4-FFF2-40B4-BE49-F238E27FC236}">
              <a16:creationId xmlns:a16="http://schemas.microsoft.com/office/drawing/2014/main" id="{174899B3-D5A6-E46A-E230-7643F6D0D9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25</xdr:col>
      <xdr:colOff>238124</xdr:colOff>
      <xdr:row>72</xdr:row>
      <xdr:rowOff>57150</xdr:rowOff>
    </xdr:from>
    <xdr:to>
      <xdr:col>33</xdr:col>
      <xdr:colOff>233362</xdr:colOff>
      <xdr:row>87</xdr:row>
      <xdr:rowOff>85725</xdr:rowOff>
    </xdr:to>
    <xdr:graphicFrame macro="">
      <xdr:nvGraphicFramePr>
        <xdr:cNvPr id="15" name="Chart 14">
          <a:extLst>
            <a:ext uri="{FF2B5EF4-FFF2-40B4-BE49-F238E27FC236}">
              <a16:creationId xmlns:a16="http://schemas.microsoft.com/office/drawing/2014/main" id="{40E6B5B1-E974-7BBF-3DDE-1365D47F1A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29</xdr:col>
      <xdr:colOff>476250</xdr:colOff>
      <xdr:row>181</xdr:row>
      <xdr:rowOff>140154</xdr:rowOff>
    </xdr:from>
    <xdr:to>
      <xdr:col>37</xdr:col>
      <xdr:colOff>502708</xdr:colOff>
      <xdr:row>199</xdr:row>
      <xdr:rowOff>132292</xdr:rowOff>
    </xdr:to>
    <xdr:graphicFrame macro="">
      <xdr:nvGraphicFramePr>
        <xdr:cNvPr id="16" name="Chart 15">
          <a:extLst>
            <a:ext uri="{FF2B5EF4-FFF2-40B4-BE49-F238E27FC236}">
              <a16:creationId xmlns:a16="http://schemas.microsoft.com/office/drawing/2014/main" id="{711AC3C6-8125-75EF-5FAE-5D99A86326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22</xdr:col>
      <xdr:colOff>203201</xdr:colOff>
      <xdr:row>115</xdr:row>
      <xdr:rowOff>63501</xdr:rowOff>
    </xdr:from>
    <xdr:to>
      <xdr:col>28</xdr:col>
      <xdr:colOff>63500</xdr:colOff>
      <xdr:row>129</xdr:row>
      <xdr:rowOff>63500</xdr:rowOff>
    </xdr:to>
    <xdr:graphicFrame macro="">
      <xdr:nvGraphicFramePr>
        <xdr:cNvPr id="17" name="Chart 16">
          <a:extLst>
            <a:ext uri="{FF2B5EF4-FFF2-40B4-BE49-F238E27FC236}">
              <a16:creationId xmlns:a16="http://schemas.microsoft.com/office/drawing/2014/main" id="{85364111-4B92-45B9-8CFF-5EB833652D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30</xdr:col>
      <xdr:colOff>79375</xdr:colOff>
      <xdr:row>116</xdr:row>
      <xdr:rowOff>167216</xdr:rowOff>
    </xdr:from>
    <xdr:to>
      <xdr:col>37</xdr:col>
      <xdr:colOff>211667</xdr:colOff>
      <xdr:row>133</xdr:row>
      <xdr:rowOff>105833</xdr:rowOff>
    </xdr:to>
    <xdr:graphicFrame macro="">
      <xdr:nvGraphicFramePr>
        <xdr:cNvPr id="18" name="Chart 17">
          <a:extLst>
            <a:ext uri="{FF2B5EF4-FFF2-40B4-BE49-F238E27FC236}">
              <a16:creationId xmlns:a16="http://schemas.microsoft.com/office/drawing/2014/main" id="{C07434D6-D01D-404A-9497-15C020F92D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50</xdr:col>
      <xdr:colOff>392904</xdr:colOff>
      <xdr:row>194</xdr:row>
      <xdr:rowOff>162983</xdr:rowOff>
    </xdr:from>
    <xdr:to>
      <xdr:col>59</xdr:col>
      <xdr:colOff>568855</xdr:colOff>
      <xdr:row>215</xdr:row>
      <xdr:rowOff>171979</xdr:rowOff>
    </xdr:to>
    <xdr:graphicFrame macro="">
      <xdr:nvGraphicFramePr>
        <xdr:cNvPr id="19" name="Chart 18">
          <a:extLst>
            <a:ext uri="{FF2B5EF4-FFF2-40B4-BE49-F238E27FC236}">
              <a16:creationId xmlns:a16="http://schemas.microsoft.com/office/drawing/2014/main" id="{E760DCA6-F9A4-BB87-B25B-7C4708AAE1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21</xdr:col>
      <xdr:colOff>557892</xdr:colOff>
      <xdr:row>208</xdr:row>
      <xdr:rowOff>2721</xdr:rowOff>
    </xdr:from>
    <xdr:to>
      <xdr:col>31</xdr:col>
      <xdr:colOff>122463</xdr:colOff>
      <xdr:row>227</xdr:row>
      <xdr:rowOff>108857</xdr:rowOff>
    </xdr:to>
    <xdr:graphicFrame macro="">
      <xdr:nvGraphicFramePr>
        <xdr:cNvPr id="2" name="Chart 1">
          <a:extLst>
            <a:ext uri="{FF2B5EF4-FFF2-40B4-BE49-F238E27FC236}">
              <a16:creationId xmlns:a16="http://schemas.microsoft.com/office/drawing/2014/main" id="{B111EBF7-10BD-4561-AA80-D693831578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29</xdr:col>
      <xdr:colOff>502708</xdr:colOff>
      <xdr:row>101</xdr:row>
      <xdr:rowOff>189442</xdr:rowOff>
    </xdr:from>
    <xdr:to>
      <xdr:col>38</xdr:col>
      <xdr:colOff>463021</xdr:colOff>
      <xdr:row>115</xdr:row>
      <xdr:rowOff>171978</xdr:rowOff>
    </xdr:to>
    <xdr:graphicFrame macro="">
      <xdr:nvGraphicFramePr>
        <xdr:cNvPr id="2" name="Chart 1">
          <a:extLst>
            <a:ext uri="{FF2B5EF4-FFF2-40B4-BE49-F238E27FC236}">
              <a16:creationId xmlns:a16="http://schemas.microsoft.com/office/drawing/2014/main" id="{7C9EDCB2-C671-E09E-A225-869B678D229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39</xdr:col>
      <xdr:colOff>92603</xdr:colOff>
      <xdr:row>101</xdr:row>
      <xdr:rowOff>158747</xdr:rowOff>
    </xdr:from>
    <xdr:to>
      <xdr:col>49</xdr:col>
      <xdr:colOff>0</xdr:colOff>
      <xdr:row>116</xdr:row>
      <xdr:rowOff>0</xdr:rowOff>
    </xdr:to>
    <xdr:graphicFrame macro="">
      <xdr:nvGraphicFramePr>
        <xdr:cNvPr id="4" name="Chart 3">
          <a:extLst>
            <a:ext uri="{FF2B5EF4-FFF2-40B4-BE49-F238E27FC236}">
              <a16:creationId xmlns:a16="http://schemas.microsoft.com/office/drawing/2014/main" id="{C688CD6A-E062-4720-BA05-DA1BE6B820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29</xdr:col>
      <xdr:colOff>97895</xdr:colOff>
      <xdr:row>153</xdr:row>
      <xdr:rowOff>170921</xdr:rowOff>
    </xdr:from>
    <xdr:to>
      <xdr:col>38</xdr:col>
      <xdr:colOff>595313</xdr:colOff>
      <xdr:row>172</xdr:row>
      <xdr:rowOff>145520</xdr:rowOff>
    </xdr:to>
    <xdr:graphicFrame macro="">
      <xdr:nvGraphicFramePr>
        <xdr:cNvPr id="5" name="Chart 4">
          <a:extLst>
            <a:ext uri="{FF2B5EF4-FFF2-40B4-BE49-F238E27FC236}">
              <a16:creationId xmlns:a16="http://schemas.microsoft.com/office/drawing/2014/main" id="{CB5B8CAE-0547-DD22-8000-74770AF72D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39</xdr:col>
      <xdr:colOff>13229</xdr:colOff>
      <xdr:row>134</xdr:row>
      <xdr:rowOff>176213</xdr:rowOff>
    </xdr:from>
    <xdr:to>
      <xdr:col>48</xdr:col>
      <xdr:colOff>79376</xdr:colOff>
      <xdr:row>150</xdr:row>
      <xdr:rowOff>92605</xdr:rowOff>
    </xdr:to>
    <xdr:graphicFrame macro="">
      <xdr:nvGraphicFramePr>
        <xdr:cNvPr id="6" name="Chart 5">
          <a:extLst>
            <a:ext uri="{FF2B5EF4-FFF2-40B4-BE49-F238E27FC236}">
              <a16:creationId xmlns:a16="http://schemas.microsoft.com/office/drawing/2014/main" id="{F1884E40-656C-828F-2B3E-1E8AC07BE2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33618</xdr:colOff>
      <xdr:row>21</xdr:row>
      <xdr:rowOff>122463</xdr:rowOff>
    </xdr:from>
    <xdr:to>
      <xdr:col>12</xdr:col>
      <xdr:colOff>369794</xdr:colOff>
      <xdr:row>34</xdr:row>
      <xdr:rowOff>122142</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217713</xdr:colOff>
      <xdr:row>57</xdr:row>
      <xdr:rowOff>104774</xdr:rowOff>
    </xdr:from>
    <xdr:to>
      <xdr:col>16</xdr:col>
      <xdr:colOff>557892</xdr:colOff>
      <xdr:row>73</xdr:row>
      <xdr:rowOff>176893</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449036</xdr:colOff>
      <xdr:row>177</xdr:row>
      <xdr:rowOff>9525</xdr:rowOff>
    </xdr:from>
    <xdr:to>
      <xdr:col>23</xdr:col>
      <xdr:colOff>0</xdr:colOff>
      <xdr:row>192</xdr:row>
      <xdr:rowOff>81644</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530678</xdr:colOff>
      <xdr:row>191</xdr:row>
      <xdr:rowOff>186415</xdr:rowOff>
    </xdr:from>
    <xdr:to>
      <xdr:col>23</xdr:col>
      <xdr:colOff>0</xdr:colOff>
      <xdr:row>206</xdr:row>
      <xdr:rowOff>68035</xdr:rowOff>
    </xdr:to>
    <xdr:graphicFrame macro="">
      <xdr:nvGraphicFramePr>
        <xdr:cNvPr id="6" name="Chart 5">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68036</xdr:colOff>
      <xdr:row>223</xdr:row>
      <xdr:rowOff>50345</xdr:rowOff>
    </xdr:from>
    <xdr:to>
      <xdr:col>7</xdr:col>
      <xdr:colOff>54429</xdr:colOff>
      <xdr:row>236</xdr:row>
      <xdr:rowOff>136071</xdr:rowOff>
    </xdr:to>
    <xdr:graphicFrame macro="">
      <xdr:nvGraphicFramePr>
        <xdr:cNvPr id="7" name="Chart 6">
          <a:extLst>
            <a:ext uri="{FF2B5EF4-FFF2-40B4-BE49-F238E27FC236}">
              <a16:creationId xmlns:a16="http://schemas.microsoft.com/office/drawing/2014/main" id="{00000000-0008-0000-0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81642</xdr:colOff>
      <xdr:row>229</xdr:row>
      <xdr:rowOff>176893</xdr:rowOff>
    </xdr:from>
    <xdr:to>
      <xdr:col>15</xdr:col>
      <xdr:colOff>476250</xdr:colOff>
      <xdr:row>241</xdr:row>
      <xdr:rowOff>163284</xdr:rowOff>
    </xdr:to>
    <xdr:graphicFrame macro="">
      <xdr:nvGraphicFramePr>
        <xdr:cNvPr id="8" name="Chart 7">
          <a:extLst>
            <a:ext uri="{FF2B5EF4-FFF2-40B4-BE49-F238E27FC236}">
              <a16:creationId xmlns:a16="http://schemas.microsoft.com/office/drawing/2014/main" id="{00000000-0008-0000-0A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108857</xdr:colOff>
      <xdr:row>242</xdr:row>
      <xdr:rowOff>204106</xdr:rowOff>
    </xdr:from>
    <xdr:to>
      <xdr:col>15</xdr:col>
      <xdr:colOff>503465</xdr:colOff>
      <xdr:row>254</xdr:row>
      <xdr:rowOff>149678</xdr:rowOff>
    </xdr:to>
    <xdr:graphicFrame macro="">
      <xdr:nvGraphicFramePr>
        <xdr:cNvPr id="9" name="Chart 8">
          <a:extLst>
            <a:ext uri="{FF2B5EF4-FFF2-40B4-BE49-F238E27FC236}">
              <a16:creationId xmlns:a16="http://schemas.microsoft.com/office/drawing/2014/main" id="{00000000-0008-0000-0A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54429</xdr:colOff>
      <xdr:row>84</xdr:row>
      <xdr:rowOff>36739</xdr:rowOff>
    </xdr:from>
    <xdr:to>
      <xdr:col>12</xdr:col>
      <xdr:colOff>340179</xdr:colOff>
      <xdr:row>98</xdr:row>
      <xdr:rowOff>112939</xdr:rowOff>
    </xdr:to>
    <xdr:graphicFrame macro="">
      <xdr:nvGraphicFramePr>
        <xdr:cNvPr id="10" name="Chart 9">
          <a:extLst>
            <a:ext uri="{FF2B5EF4-FFF2-40B4-BE49-F238E27FC236}">
              <a16:creationId xmlns:a16="http://schemas.microsoft.com/office/drawing/2014/main" id="{00000000-0008-0000-0A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1088571</xdr:colOff>
      <xdr:row>697</xdr:row>
      <xdr:rowOff>40820</xdr:rowOff>
    </xdr:from>
    <xdr:to>
      <xdr:col>16</xdr:col>
      <xdr:colOff>95250</xdr:colOff>
      <xdr:row>719</xdr:row>
      <xdr:rowOff>179294</xdr:rowOff>
    </xdr:to>
    <xdr:graphicFrame macro="">
      <xdr:nvGraphicFramePr>
        <xdr:cNvPr id="11" name="Chart 10">
          <a:extLst>
            <a:ext uri="{FF2B5EF4-FFF2-40B4-BE49-F238E27FC236}">
              <a16:creationId xmlns:a16="http://schemas.microsoft.com/office/drawing/2014/main" id="{00000000-0008-0000-0A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462644</xdr:colOff>
      <xdr:row>772</xdr:row>
      <xdr:rowOff>44824</xdr:rowOff>
    </xdr:from>
    <xdr:to>
      <xdr:col>14</xdr:col>
      <xdr:colOff>122465</xdr:colOff>
      <xdr:row>786</xdr:row>
      <xdr:rowOff>0</xdr:rowOff>
    </xdr:to>
    <xdr:graphicFrame macro="">
      <xdr:nvGraphicFramePr>
        <xdr:cNvPr id="5" name="Chart 4">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795</xdr:row>
      <xdr:rowOff>0</xdr:rowOff>
    </xdr:from>
    <xdr:to>
      <xdr:col>14</xdr:col>
      <xdr:colOff>272143</xdr:colOff>
      <xdr:row>809</xdr:row>
      <xdr:rowOff>76200</xdr:rowOff>
    </xdr:to>
    <xdr:graphicFrame macro="">
      <xdr:nvGraphicFramePr>
        <xdr:cNvPr id="12" name="Chart 11">
          <a:extLst>
            <a:ext uri="{FF2B5EF4-FFF2-40B4-BE49-F238E27FC236}">
              <a16:creationId xmlns:a16="http://schemas.microsoft.com/office/drawing/2014/main" id="{00000000-0008-0000-0A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68036</xdr:colOff>
      <xdr:row>814</xdr:row>
      <xdr:rowOff>13607</xdr:rowOff>
    </xdr:from>
    <xdr:to>
      <xdr:col>19</xdr:col>
      <xdr:colOff>585107</xdr:colOff>
      <xdr:row>827</xdr:row>
      <xdr:rowOff>119743</xdr:rowOff>
    </xdr:to>
    <xdr:graphicFrame macro="">
      <xdr:nvGraphicFramePr>
        <xdr:cNvPr id="13" name="Chart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394607</xdr:colOff>
      <xdr:row>833</xdr:row>
      <xdr:rowOff>84365</xdr:rowOff>
    </xdr:from>
    <xdr:to>
      <xdr:col>10</xdr:col>
      <xdr:colOff>190500</xdr:colOff>
      <xdr:row>847</xdr:row>
      <xdr:rowOff>160565</xdr:rowOff>
    </xdr:to>
    <xdr:graphicFrame macro="">
      <xdr:nvGraphicFramePr>
        <xdr:cNvPr id="15" name="Chart 14">
          <a:extLst>
            <a:ext uri="{FF2B5EF4-FFF2-40B4-BE49-F238E27FC236}">
              <a16:creationId xmlns:a16="http://schemas.microsoft.com/office/drawing/2014/main" id="{00000000-0008-0000-0A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1120588</xdr:colOff>
      <xdr:row>737</xdr:row>
      <xdr:rowOff>85165</xdr:rowOff>
    </xdr:from>
    <xdr:to>
      <xdr:col>14</xdr:col>
      <xdr:colOff>324971</xdr:colOff>
      <xdr:row>756</xdr:row>
      <xdr:rowOff>156883</xdr:rowOff>
    </xdr:to>
    <xdr:graphicFrame macro="">
      <xdr:nvGraphicFramePr>
        <xdr:cNvPr id="20" name="Chart 19">
          <a:extLst>
            <a:ext uri="{FF2B5EF4-FFF2-40B4-BE49-F238E27FC236}">
              <a16:creationId xmlns:a16="http://schemas.microsoft.com/office/drawing/2014/main" id="{00000000-0008-0000-0A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3</xdr:col>
      <xdr:colOff>33618</xdr:colOff>
      <xdr:row>879</xdr:row>
      <xdr:rowOff>174811</xdr:rowOff>
    </xdr:from>
    <xdr:to>
      <xdr:col>9</xdr:col>
      <xdr:colOff>268941</xdr:colOff>
      <xdr:row>894</xdr:row>
      <xdr:rowOff>60511</xdr:rowOff>
    </xdr:to>
    <xdr:graphicFrame macro="">
      <xdr:nvGraphicFramePr>
        <xdr:cNvPr id="18" name="Chart 17">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12</xdr:col>
      <xdr:colOff>335189</xdr:colOff>
      <xdr:row>1079</xdr:row>
      <xdr:rowOff>168728</xdr:rowOff>
    </xdr:from>
    <xdr:to>
      <xdr:col>18</xdr:col>
      <xdr:colOff>435428</xdr:colOff>
      <xdr:row>1097</xdr:row>
      <xdr:rowOff>54427</xdr:rowOff>
    </xdr:to>
    <xdr:graphicFrame macro="">
      <xdr:nvGraphicFramePr>
        <xdr:cNvPr id="17" name="Chart 16">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68036</xdr:colOff>
      <xdr:row>1100</xdr:row>
      <xdr:rowOff>125186</xdr:rowOff>
    </xdr:from>
    <xdr:to>
      <xdr:col>23</xdr:col>
      <xdr:colOff>0</xdr:colOff>
      <xdr:row>1116</xdr:row>
      <xdr:rowOff>10886</xdr:rowOff>
    </xdr:to>
    <xdr:graphicFrame macro="">
      <xdr:nvGraphicFramePr>
        <xdr:cNvPr id="14" name="Chart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18</xdr:col>
      <xdr:colOff>394607</xdr:colOff>
      <xdr:row>1300</xdr:row>
      <xdr:rowOff>84363</xdr:rowOff>
    </xdr:from>
    <xdr:to>
      <xdr:col>23</xdr:col>
      <xdr:colOff>299357</xdr:colOff>
      <xdr:row>1319</xdr:row>
      <xdr:rowOff>163284</xdr:rowOff>
    </xdr:to>
    <xdr:graphicFrame macro="">
      <xdr:nvGraphicFramePr>
        <xdr:cNvPr id="16" name="Chart 15">
          <a:extLst>
            <a:ext uri="{FF2B5EF4-FFF2-40B4-BE49-F238E27FC236}">
              <a16:creationId xmlns:a16="http://schemas.microsoft.com/office/drawing/2014/main" id="{34A6ED91-7DE8-4B99-9927-B45F9AD607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25</xdr:col>
      <xdr:colOff>0</xdr:colOff>
      <xdr:row>1300</xdr:row>
      <xdr:rowOff>0</xdr:rowOff>
    </xdr:from>
    <xdr:to>
      <xdr:col>31</xdr:col>
      <xdr:colOff>517072</xdr:colOff>
      <xdr:row>1316</xdr:row>
      <xdr:rowOff>163285</xdr:rowOff>
    </xdr:to>
    <xdr:graphicFrame macro="">
      <xdr:nvGraphicFramePr>
        <xdr:cNvPr id="21" name="Chart 20">
          <a:extLst>
            <a:ext uri="{FF2B5EF4-FFF2-40B4-BE49-F238E27FC236}">
              <a16:creationId xmlns:a16="http://schemas.microsoft.com/office/drawing/2014/main" id="{DD8CE93B-DE53-4E05-98C6-BFCD59F578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3</xdr:col>
      <xdr:colOff>1347107</xdr:colOff>
      <xdr:row>1265</xdr:row>
      <xdr:rowOff>179614</xdr:rowOff>
    </xdr:from>
    <xdr:to>
      <xdr:col>7</xdr:col>
      <xdr:colOff>653143</xdr:colOff>
      <xdr:row>1279</xdr:row>
      <xdr:rowOff>65314</xdr:rowOff>
    </xdr:to>
    <xdr:graphicFrame macro="">
      <xdr:nvGraphicFramePr>
        <xdr:cNvPr id="19" name="Chart 18">
          <a:extLst>
            <a:ext uri="{FF2B5EF4-FFF2-40B4-BE49-F238E27FC236}">
              <a16:creationId xmlns:a16="http://schemas.microsoft.com/office/drawing/2014/main" id="{996BF3B7-0375-41CC-93FC-208AF891A15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xdr:col>
      <xdr:colOff>0</xdr:colOff>
      <xdr:row>1281</xdr:row>
      <xdr:rowOff>0</xdr:rowOff>
    </xdr:from>
    <xdr:to>
      <xdr:col>7</xdr:col>
      <xdr:colOff>666750</xdr:colOff>
      <xdr:row>1294</xdr:row>
      <xdr:rowOff>89807</xdr:rowOff>
    </xdr:to>
    <xdr:graphicFrame macro="">
      <xdr:nvGraphicFramePr>
        <xdr:cNvPr id="22" name="Chart 21">
          <a:extLst>
            <a:ext uri="{FF2B5EF4-FFF2-40B4-BE49-F238E27FC236}">
              <a16:creationId xmlns:a16="http://schemas.microsoft.com/office/drawing/2014/main" id="{BABB85EE-C68E-4500-A926-C8D4B13985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xdr:col>
      <xdr:colOff>435428</xdr:colOff>
      <xdr:row>1387</xdr:row>
      <xdr:rowOff>70757</xdr:rowOff>
    </xdr:from>
    <xdr:to>
      <xdr:col>7</xdr:col>
      <xdr:colOff>136071</xdr:colOff>
      <xdr:row>1401</xdr:row>
      <xdr:rowOff>146957</xdr:rowOff>
    </xdr:to>
    <xdr:graphicFrame macro="">
      <xdr:nvGraphicFramePr>
        <xdr:cNvPr id="23" name="Chart 22">
          <a:extLst>
            <a:ext uri="{FF2B5EF4-FFF2-40B4-BE49-F238E27FC236}">
              <a16:creationId xmlns:a16="http://schemas.microsoft.com/office/drawing/2014/main" id="{20FAB8D6-CBDF-4B36-891D-E5C4ECF68C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517071</xdr:colOff>
      <xdr:row>1387</xdr:row>
      <xdr:rowOff>84363</xdr:rowOff>
    </xdr:from>
    <xdr:to>
      <xdr:col>12</xdr:col>
      <xdr:colOff>163286</xdr:colOff>
      <xdr:row>1401</xdr:row>
      <xdr:rowOff>160563</xdr:rowOff>
    </xdr:to>
    <xdr:graphicFrame macro="">
      <xdr:nvGraphicFramePr>
        <xdr:cNvPr id="24" name="Chart 23">
          <a:extLst>
            <a:ext uri="{FF2B5EF4-FFF2-40B4-BE49-F238E27FC236}">
              <a16:creationId xmlns:a16="http://schemas.microsoft.com/office/drawing/2014/main" id="{86D0820C-E921-49C2-A9B1-44C3D4C82E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6</xdr:col>
      <xdr:colOff>326572</xdr:colOff>
      <xdr:row>1416</xdr:row>
      <xdr:rowOff>149678</xdr:rowOff>
    </xdr:from>
    <xdr:to>
      <xdr:col>13</xdr:col>
      <xdr:colOff>1027338</xdr:colOff>
      <xdr:row>1434</xdr:row>
      <xdr:rowOff>133349</xdr:rowOff>
    </xdr:to>
    <xdr:graphicFrame macro="">
      <xdr:nvGraphicFramePr>
        <xdr:cNvPr id="25" name="Chart 24">
          <a:extLst>
            <a:ext uri="{FF2B5EF4-FFF2-40B4-BE49-F238E27FC236}">
              <a16:creationId xmlns:a16="http://schemas.microsoft.com/office/drawing/2014/main" id="{91F1AFD0-DB21-4496-84EF-86CF5653C7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14</xdr:col>
      <xdr:colOff>136072</xdr:colOff>
      <xdr:row>1418</xdr:row>
      <xdr:rowOff>163285</xdr:rowOff>
    </xdr:from>
    <xdr:to>
      <xdr:col>21</xdr:col>
      <xdr:colOff>163286</xdr:colOff>
      <xdr:row>1436</xdr:row>
      <xdr:rowOff>65314</xdr:rowOff>
    </xdr:to>
    <xdr:graphicFrame macro="">
      <xdr:nvGraphicFramePr>
        <xdr:cNvPr id="26" name="Chart 25">
          <a:extLst>
            <a:ext uri="{FF2B5EF4-FFF2-40B4-BE49-F238E27FC236}">
              <a16:creationId xmlns:a16="http://schemas.microsoft.com/office/drawing/2014/main" id="{F1AF4CAB-3DCA-4E37-AAAD-C3C1119CDB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7</xdr:col>
      <xdr:colOff>557890</xdr:colOff>
      <xdr:row>1478</xdr:row>
      <xdr:rowOff>40821</xdr:rowOff>
    </xdr:from>
    <xdr:to>
      <xdr:col>14</xdr:col>
      <xdr:colOff>421820</xdr:colOff>
      <xdr:row>1493</xdr:row>
      <xdr:rowOff>163286</xdr:rowOff>
    </xdr:to>
    <xdr:graphicFrame macro="">
      <xdr:nvGraphicFramePr>
        <xdr:cNvPr id="27" name="Chart 26">
          <a:extLst>
            <a:ext uri="{FF2B5EF4-FFF2-40B4-BE49-F238E27FC236}">
              <a16:creationId xmlns:a16="http://schemas.microsoft.com/office/drawing/2014/main" id="{624F1DFE-453B-4320-B851-7E76E10804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7</xdr:col>
      <xdr:colOff>476250</xdr:colOff>
      <xdr:row>1496</xdr:row>
      <xdr:rowOff>68034</xdr:rowOff>
    </xdr:from>
    <xdr:to>
      <xdr:col>13</xdr:col>
      <xdr:colOff>1197429</xdr:colOff>
      <xdr:row>1510</xdr:row>
      <xdr:rowOff>40821</xdr:rowOff>
    </xdr:to>
    <xdr:graphicFrame macro="">
      <xdr:nvGraphicFramePr>
        <xdr:cNvPr id="28" name="Chart 27">
          <a:extLst>
            <a:ext uri="{FF2B5EF4-FFF2-40B4-BE49-F238E27FC236}">
              <a16:creationId xmlns:a16="http://schemas.microsoft.com/office/drawing/2014/main" id="{A00276DD-0095-4723-AF0C-BF389FCCA0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7</xdr:col>
      <xdr:colOff>380999</xdr:colOff>
      <xdr:row>1513</xdr:row>
      <xdr:rowOff>84364</xdr:rowOff>
    </xdr:from>
    <xdr:to>
      <xdr:col>13</xdr:col>
      <xdr:colOff>1211035</xdr:colOff>
      <xdr:row>1527</xdr:row>
      <xdr:rowOff>160564</xdr:rowOff>
    </xdr:to>
    <xdr:graphicFrame macro="">
      <xdr:nvGraphicFramePr>
        <xdr:cNvPr id="29" name="Chart 28">
          <a:extLst>
            <a:ext uri="{FF2B5EF4-FFF2-40B4-BE49-F238E27FC236}">
              <a16:creationId xmlns:a16="http://schemas.microsoft.com/office/drawing/2014/main" id="{6E60A65C-70BD-46AE-ADD9-646DF14200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xdr:col>
      <xdr:colOff>353786</xdr:colOff>
      <xdr:row>1490</xdr:row>
      <xdr:rowOff>57151</xdr:rowOff>
    </xdr:from>
    <xdr:to>
      <xdr:col>2</xdr:col>
      <xdr:colOff>312964</xdr:colOff>
      <xdr:row>1507</xdr:row>
      <xdr:rowOff>149679</xdr:rowOff>
    </xdr:to>
    <xdr:graphicFrame macro="">
      <xdr:nvGraphicFramePr>
        <xdr:cNvPr id="30" name="Chart 29">
          <a:extLst>
            <a:ext uri="{FF2B5EF4-FFF2-40B4-BE49-F238E27FC236}">
              <a16:creationId xmlns:a16="http://schemas.microsoft.com/office/drawing/2014/main" id="{3512BBCA-4809-4FFA-8FB9-A24778B2B5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12</xdr:col>
      <xdr:colOff>6802</xdr:colOff>
      <xdr:row>1101</xdr:row>
      <xdr:rowOff>159203</xdr:rowOff>
    </xdr:from>
    <xdr:to>
      <xdr:col>15</xdr:col>
      <xdr:colOff>353785</xdr:colOff>
      <xdr:row>1116</xdr:row>
      <xdr:rowOff>44903</xdr:rowOff>
    </xdr:to>
    <xdr:graphicFrame macro="">
      <xdr:nvGraphicFramePr>
        <xdr:cNvPr id="31" name="Chart 30">
          <a:extLst>
            <a:ext uri="{FF2B5EF4-FFF2-40B4-BE49-F238E27FC236}">
              <a16:creationId xmlns:a16="http://schemas.microsoft.com/office/drawing/2014/main" id="{B152EFAD-84E5-4710-A308-FEBE837F77C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523874</xdr:colOff>
      <xdr:row>1596</xdr:row>
      <xdr:rowOff>95250</xdr:rowOff>
    </xdr:from>
    <xdr:to>
      <xdr:col>19</xdr:col>
      <xdr:colOff>299357</xdr:colOff>
      <xdr:row>1610</xdr:row>
      <xdr:rowOff>176892</xdr:rowOff>
    </xdr:to>
    <xdr:graphicFrame macro="">
      <xdr:nvGraphicFramePr>
        <xdr:cNvPr id="32" name="Chart 31">
          <a:extLst>
            <a:ext uri="{FF2B5EF4-FFF2-40B4-BE49-F238E27FC236}">
              <a16:creationId xmlns:a16="http://schemas.microsoft.com/office/drawing/2014/main" id="{44B212E8-6F2C-467A-B5AC-A43C59B52A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7</xdr:col>
      <xdr:colOff>142875</xdr:colOff>
      <xdr:row>1611</xdr:row>
      <xdr:rowOff>81643</xdr:rowOff>
    </xdr:from>
    <xdr:to>
      <xdr:col>14</xdr:col>
      <xdr:colOff>210910</xdr:colOff>
      <xdr:row>1626</xdr:row>
      <xdr:rowOff>126546</xdr:rowOff>
    </xdr:to>
    <xdr:graphicFrame macro="">
      <xdr:nvGraphicFramePr>
        <xdr:cNvPr id="33" name="Chart 32">
          <a:extLst>
            <a:ext uri="{FF2B5EF4-FFF2-40B4-BE49-F238E27FC236}">
              <a16:creationId xmlns:a16="http://schemas.microsoft.com/office/drawing/2014/main" id="{78DEAE15-9436-4CF5-8EF3-590FBB5BA5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12</xdr:col>
      <xdr:colOff>142875</xdr:colOff>
      <xdr:row>1655</xdr:row>
      <xdr:rowOff>111579</xdr:rowOff>
    </xdr:from>
    <xdr:to>
      <xdr:col>17</xdr:col>
      <xdr:colOff>340179</xdr:colOff>
      <xdr:row>1669</xdr:row>
      <xdr:rowOff>24493</xdr:rowOff>
    </xdr:to>
    <xdr:graphicFrame macro="">
      <xdr:nvGraphicFramePr>
        <xdr:cNvPr id="34" name="Chart 33">
          <a:extLst>
            <a:ext uri="{FF2B5EF4-FFF2-40B4-BE49-F238E27FC236}">
              <a16:creationId xmlns:a16="http://schemas.microsoft.com/office/drawing/2014/main" id="{A19453B0-7F26-489C-BC08-7006BA7D65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12</xdr:col>
      <xdr:colOff>0</xdr:colOff>
      <xdr:row>1671</xdr:row>
      <xdr:rowOff>0</xdr:rowOff>
    </xdr:from>
    <xdr:to>
      <xdr:col>17</xdr:col>
      <xdr:colOff>197304</xdr:colOff>
      <xdr:row>1685</xdr:row>
      <xdr:rowOff>76200</xdr:rowOff>
    </xdr:to>
    <xdr:graphicFrame macro="">
      <xdr:nvGraphicFramePr>
        <xdr:cNvPr id="35" name="Chart 34">
          <a:extLst>
            <a:ext uri="{FF2B5EF4-FFF2-40B4-BE49-F238E27FC236}">
              <a16:creationId xmlns:a16="http://schemas.microsoft.com/office/drawing/2014/main" id="{F565280C-D528-41F0-8768-932159C057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3</xdr:col>
      <xdr:colOff>0</xdr:colOff>
      <xdr:row>1675</xdr:row>
      <xdr:rowOff>0</xdr:rowOff>
    </xdr:from>
    <xdr:to>
      <xdr:col>9</xdr:col>
      <xdr:colOff>285750</xdr:colOff>
      <xdr:row>1689</xdr:row>
      <xdr:rowOff>89807</xdr:rowOff>
    </xdr:to>
    <xdr:graphicFrame macro="">
      <xdr:nvGraphicFramePr>
        <xdr:cNvPr id="36" name="Chart 35">
          <a:extLst>
            <a:ext uri="{FF2B5EF4-FFF2-40B4-BE49-F238E27FC236}">
              <a16:creationId xmlns:a16="http://schemas.microsoft.com/office/drawing/2014/main" id="{B90E9B3F-7815-4BF8-9135-2536F98666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13</xdr:col>
      <xdr:colOff>74839</xdr:colOff>
      <xdr:row>1688</xdr:row>
      <xdr:rowOff>43542</xdr:rowOff>
    </xdr:from>
    <xdr:to>
      <xdr:col>19</xdr:col>
      <xdr:colOff>367393</xdr:colOff>
      <xdr:row>1703</xdr:row>
      <xdr:rowOff>176892</xdr:rowOff>
    </xdr:to>
    <xdr:graphicFrame macro="">
      <xdr:nvGraphicFramePr>
        <xdr:cNvPr id="37" name="Chart 36">
          <a:extLst>
            <a:ext uri="{FF2B5EF4-FFF2-40B4-BE49-F238E27FC236}">
              <a16:creationId xmlns:a16="http://schemas.microsoft.com/office/drawing/2014/main" id="{D77FB63C-2EBF-49C2-97A3-4BC9BE2920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4</xdr:col>
      <xdr:colOff>20409</xdr:colOff>
      <xdr:row>1707</xdr:row>
      <xdr:rowOff>2721</xdr:rowOff>
    </xdr:from>
    <xdr:to>
      <xdr:col>8</xdr:col>
      <xdr:colOff>108857</xdr:colOff>
      <xdr:row>1720</xdr:row>
      <xdr:rowOff>174171</xdr:rowOff>
    </xdr:to>
    <xdr:graphicFrame macro="">
      <xdr:nvGraphicFramePr>
        <xdr:cNvPr id="38" name="Chart 37">
          <a:extLst>
            <a:ext uri="{FF2B5EF4-FFF2-40B4-BE49-F238E27FC236}">
              <a16:creationId xmlns:a16="http://schemas.microsoft.com/office/drawing/2014/main" id="{FCE260F7-D1DF-4E06-A776-68D309A0625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7</xdr:col>
      <xdr:colOff>6803</xdr:colOff>
      <xdr:row>1730</xdr:row>
      <xdr:rowOff>57149</xdr:rowOff>
    </xdr:from>
    <xdr:to>
      <xdr:col>12</xdr:col>
      <xdr:colOff>762000</xdr:colOff>
      <xdr:row>1745</xdr:row>
      <xdr:rowOff>176892</xdr:rowOff>
    </xdr:to>
    <xdr:graphicFrame macro="">
      <xdr:nvGraphicFramePr>
        <xdr:cNvPr id="39" name="Chart 38">
          <a:extLst>
            <a:ext uri="{FF2B5EF4-FFF2-40B4-BE49-F238E27FC236}">
              <a16:creationId xmlns:a16="http://schemas.microsoft.com/office/drawing/2014/main" id="{6EDBC31B-2E76-47C2-AD84-3FD3F2FB4E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12</xdr:col>
      <xdr:colOff>496660</xdr:colOff>
      <xdr:row>1758</xdr:row>
      <xdr:rowOff>152400</xdr:rowOff>
    </xdr:from>
    <xdr:to>
      <xdr:col>18</xdr:col>
      <xdr:colOff>435429</xdr:colOff>
      <xdr:row>1772</xdr:row>
      <xdr:rowOff>38100</xdr:rowOff>
    </xdr:to>
    <xdr:graphicFrame macro="">
      <xdr:nvGraphicFramePr>
        <xdr:cNvPr id="40" name="Chart 39">
          <a:extLst>
            <a:ext uri="{FF2B5EF4-FFF2-40B4-BE49-F238E27FC236}">
              <a16:creationId xmlns:a16="http://schemas.microsoft.com/office/drawing/2014/main" id="{A9780C5A-3597-44D5-8B90-F837EE0B0F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21</xdr:col>
      <xdr:colOff>149033</xdr:colOff>
      <xdr:row>2025</xdr:row>
      <xdr:rowOff>27983</xdr:rowOff>
    </xdr:from>
    <xdr:to>
      <xdr:col>26</xdr:col>
      <xdr:colOff>37506</xdr:colOff>
      <xdr:row>2043</xdr:row>
      <xdr:rowOff>166569</xdr:rowOff>
    </xdr:to>
    <xdr:graphicFrame macro="">
      <xdr:nvGraphicFramePr>
        <xdr:cNvPr id="41" name="Chart 40">
          <a:extLst>
            <a:ext uri="{FF2B5EF4-FFF2-40B4-BE49-F238E27FC236}">
              <a16:creationId xmlns:a16="http://schemas.microsoft.com/office/drawing/2014/main" id="{66672862-65F5-4886-8F92-E230D38697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16</xdr:col>
      <xdr:colOff>449035</xdr:colOff>
      <xdr:row>2007</xdr:row>
      <xdr:rowOff>81641</xdr:rowOff>
    </xdr:from>
    <xdr:to>
      <xdr:col>22</xdr:col>
      <xdr:colOff>166378</xdr:colOff>
      <xdr:row>2023</xdr:row>
      <xdr:rowOff>182829</xdr:rowOff>
    </xdr:to>
    <xdr:graphicFrame macro="">
      <xdr:nvGraphicFramePr>
        <xdr:cNvPr id="42" name="Chart 41">
          <a:extLst>
            <a:ext uri="{FF2B5EF4-FFF2-40B4-BE49-F238E27FC236}">
              <a16:creationId xmlns:a16="http://schemas.microsoft.com/office/drawing/2014/main" id="{4A56E577-E30C-48CA-8D87-780316D04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7</xdr:col>
      <xdr:colOff>476248</xdr:colOff>
      <xdr:row>1988</xdr:row>
      <xdr:rowOff>117763</xdr:rowOff>
    </xdr:from>
    <xdr:to>
      <xdr:col>13</xdr:col>
      <xdr:colOff>415636</xdr:colOff>
      <xdr:row>2006</xdr:row>
      <xdr:rowOff>34636</xdr:rowOff>
    </xdr:to>
    <xdr:graphicFrame macro="">
      <xdr:nvGraphicFramePr>
        <xdr:cNvPr id="43" name="Chart 42">
          <a:extLst>
            <a:ext uri="{FF2B5EF4-FFF2-40B4-BE49-F238E27FC236}">
              <a16:creationId xmlns:a16="http://schemas.microsoft.com/office/drawing/2014/main" id="{9CFD5B09-00CB-4125-B811-F8264F2055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14</xdr:col>
      <xdr:colOff>242454</xdr:colOff>
      <xdr:row>1988</xdr:row>
      <xdr:rowOff>97105</xdr:rowOff>
    </xdr:from>
    <xdr:to>
      <xdr:col>20</xdr:col>
      <xdr:colOff>95251</xdr:colOff>
      <xdr:row>2006</xdr:row>
      <xdr:rowOff>13978</xdr:rowOff>
    </xdr:to>
    <xdr:graphicFrame macro="">
      <xdr:nvGraphicFramePr>
        <xdr:cNvPr id="44" name="Chart 43">
          <a:extLst>
            <a:ext uri="{FF2B5EF4-FFF2-40B4-BE49-F238E27FC236}">
              <a16:creationId xmlns:a16="http://schemas.microsoft.com/office/drawing/2014/main" id="{B9710A63-6072-4A39-AA27-FB221FE71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4</xdr:col>
      <xdr:colOff>181839</xdr:colOff>
      <xdr:row>2044</xdr:row>
      <xdr:rowOff>187036</xdr:rowOff>
    </xdr:from>
    <xdr:to>
      <xdr:col>14</xdr:col>
      <xdr:colOff>346363</xdr:colOff>
      <xdr:row>2065</xdr:row>
      <xdr:rowOff>69272</xdr:rowOff>
    </xdr:to>
    <xdr:graphicFrame macro="">
      <xdr:nvGraphicFramePr>
        <xdr:cNvPr id="45" name="Chart 44">
          <a:extLst>
            <a:ext uri="{FF2B5EF4-FFF2-40B4-BE49-F238E27FC236}">
              <a16:creationId xmlns:a16="http://schemas.microsoft.com/office/drawing/2014/main" id="{08B5DFF0-5FB4-4C43-A415-90DB0D3F20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17</xdr:col>
      <xdr:colOff>199157</xdr:colOff>
      <xdr:row>2043</xdr:row>
      <xdr:rowOff>117763</xdr:rowOff>
    </xdr:from>
    <xdr:to>
      <xdr:col>22</xdr:col>
      <xdr:colOff>467590</xdr:colOff>
      <xdr:row>2060</xdr:row>
      <xdr:rowOff>173181</xdr:rowOff>
    </xdr:to>
    <xdr:graphicFrame macro="">
      <xdr:nvGraphicFramePr>
        <xdr:cNvPr id="46" name="Chart 45">
          <a:extLst>
            <a:ext uri="{FF2B5EF4-FFF2-40B4-BE49-F238E27FC236}">
              <a16:creationId xmlns:a16="http://schemas.microsoft.com/office/drawing/2014/main" id="{65B29125-DFD6-40A1-B075-9061A0AC76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22</xdr:col>
      <xdr:colOff>1</xdr:colOff>
      <xdr:row>2063</xdr:row>
      <xdr:rowOff>-1</xdr:rowOff>
    </xdr:from>
    <xdr:to>
      <xdr:col>25</xdr:col>
      <xdr:colOff>398320</xdr:colOff>
      <xdr:row>2081</xdr:row>
      <xdr:rowOff>103908</xdr:rowOff>
    </xdr:to>
    <xdr:graphicFrame macro="">
      <xdr:nvGraphicFramePr>
        <xdr:cNvPr id="47" name="Chart 46">
          <a:extLst>
            <a:ext uri="{FF2B5EF4-FFF2-40B4-BE49-F238E27FC236}">
              <a16:creationId xmlns:a16="http://schemas.microsoft.com/office/drawing/2014/main" id="{FCD63926-A4E3-4D17-9E81-6227B55E14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7</xdr:col>
      <xdr:colOff>95248</xdr:colOff>
      <xdr:row>2086</xdr:row>
      <xdr:rowOff>117763</xdr:rowOff>
    </xdr:from>
    <xdr:to>
      <xdr:col>12</xdr:col>
      <xdr:colOff>190500</xdr:colOff>
      <xdr:row>2105</xdr:row>
      <xdr:rowOff>34636</xdr:rowOff>
    </xdr:to>
    <xdr:graphicFrame macro="">
      <xdr:nvGraphicFramePr>
        <xdr:cNvPr id="48" name="Chart 47">
          <a:extLst>
            <a:ext uri="{FF2B5EF4-FFF2-40B4-BE49-F238E27FC236}">
              <a16:creationId xmlns:a16="http://schemas.microsoft.com/office/drawing/2014/main" id="{FDEF57FF-4279-4361-856F-9D0FC243C7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6</xdr:col>
      <xdr:colOff>6801</xdr:colOff>
      <xdr:row>2125</xdr:row>
      <xdr:rowOff>108857</xdr:rowOff>
    </xdr:from>
    <xdr:to>
      <xdr:col>10</xdr:col>
      <xdr:colOff>27214</xdr:colOff>
      <xdr:row>2142</xdr:row>
      <xdr:rowOff>95250</xdr:rowOff>
    </xdr:to>
    <xdr:graphicFrame macro="">
      <xdr:nvGraphicFramePr>
        <xdr:cNvPr id="49" name="Chart 48">
          <a:extLst>
            <a:ext uri="{FF2B5EF4-FFF2-40B4-BE49-F238E27FC236}">
              <a16:creationId xmlns:a16="http://schemas.microsoft.com/office/drawing/2014/main" id="{6F76CAC3-BA76-49F1-B671-4CEBE0D104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6</xdr:col>
      <xdr:colOff>551087</xdr:colOff>
      <xdr:row>2157</xdr:row>
      <xdr:rowOff>152399</xdr:rowOff>
    </xdr:from>
    <xdr:to>
      <xdr:col>10</xdr:col>
      <xdr:colOff>285749</xdr:colOff>
      <xdr:row>2173</xdr:row>
      <xdr:rowOff>136070</xdr:rowOff>
    </xdr:to>
    <xdr:graphicFrame macro="">
      <xdr:nvGraphicFramePr>
        <xdr:cNvPr id="50" name="Chart 49">
          <a:extLst>
            <a:ext uri="{FF2B5EF4-FFF2-40B4-BE49-F238E27FC236}">
              <a16:creationId xmlns:a16="http://schemas.microsoft.com/office/drawing/2014/main" id="{D176CFC1-A28E-42B7-965A-2753FC8EB7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5</xdr:col>
      <xdr:colOff>469445</xdr:colOff>
      <xdr:row>2187</xdr:row>
      <xdr:rowOff>179614</xdr:rowOff>
    </xdr:from>
    <xdr:to>
      <xdr:col>10</xdr:col>
      <xdr:colOff>517071</xdr:colOff>
      <xdr:row>2203</xdr:row>
      <xdr:rowOff>149678</xdr:rowOff>
    </xdr:to>
    <xdr:graphicFrame macro="">
      <xdr:nvGraphicFramePr>
        <xdr:cNvPr id="51" name="Chart 50">
          <a:extLst>
            <a:ext uri="{FF2B5EF4-FFF2-40B4-BE49-F238E27FC236}">
              <a16:creationId xmlns:a16="http://schemas.microsoft.com/office/drawing/2014/main" id="{13C6B261-193F-4030-AE73-1444587CB3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12</xdr:col>
      <xdr:colOff>27215</xdr:colOff>
      <xdr:row>2189</xdr:row>
      <xdr:rowOff>108858</xdr:rowOff>
    </xdr:from>
    <xdr:to>
      <xdr:col>18</xdr:col>
      <xdr:colOff>115661</xdr:colOff>
      <xdr:row>2204</xdr:row>
      <xdr:rowOff>106136</xdr:rowOff>
    </xdr:to>
    <xdr:graphicFrame macro="">
      <xdr:nvGraphicFramePr>
        <xdr:cNvPr id="52" name="Chart 51">
          <a:extLst>
            <a:ext uri="{FF2B5EF4-FFF2-40B4-BE49-F238E27FC236}">
              <a16:creationId xmlns:a16="http://schemas.microsoft.com/office/drawing/2014/main" id="{BC9774A9-7716-47D3-9716-750686E182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15</xdr:col>
      <xdr:colOff>479651</xdr:colOff>
      <xdr:row>2238</xdr:row>
      <xdr:rowOff>104773</xdr:rowOff>
    </xdr:from>
    <xdr:to>
      <xdr:col>22</xdr:col>
      <xdr:colOff>503463</xdr:colOff>
      <xdr:row>2257</xdr:row>
      <xdr:rowOff>68033</xdr:rowOff>
    </xdr:to>
    <xdr:graphicFrame macro="">
      <xdr:nvGraphicFramePr>
        <xdr:cNvPr id="53" name="Chart 52">
          <a:extLst>
            <a:ext uri="{FF2B5EF4-FFF2-40B4-BE49-F238E27FC236}">
              <a16:creationId xmlns:a16="http://schemas.microsoft.com/office/drawing/2014/main" id="{246169A0-AD7B-4999-95FA-6F77F05F2A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8</xdr:col>
      <xdr:colOff>357187</xdr:colOff>
      <xdr:row>2253</xdr:row>
      <xdr:rowOff>27214</xdr:rowOff>
    </xdr:from>
    <xdr:to>
      <xdr:col>16</xdr:col>
      <xdr:colOff>81642</xdr:colOff>
      <xdr:row>2286</xdr:row>
      <xdr:rowOff>163286</xdr:rowOff>
    </xdr:to>
    <xdr:graphicFrame macro="">
      <xdr:nvGraphicFramePr>
        <xdr:cNvPr id="56" name="Chart 55">
          <a:extLst>
            <a:ext uri="{FF2B5EF4-FFF2-40B4-BE49-F238E27FC236}">
              <a16:creationId xmlns:a16="http://schemas.microsoft.com/office/drawing/2014/main" id="{1662DD49-B5B4-4A03-9811-F17F8A6BD5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15</xdr:col>
      <xdr:colOff>51027</xdr:colOff>
      <xdr:row>2217</xdr:row>
      <xdr:rowOff>16327</xdr:rowOff>
    </xdr:from>
    <xdr:to>
      <xdr:col>22</xdr:col>
      <xdr:colOff>238124</xdr:colOff>
      <xdr:row>2236</xdr:row>
      <xdr:rowOff>61231</xdr:rowOff>
    </xdr:to>
    <xdr:graphicFrame macro="">
      <xdr:nvGraphicFramePr>
        <xdr:cNvPr id="57" name="Chart 56">
          <a:extLst>
            <a:ext uri="{FF2B5EF4-FFF2-40B4-BE49-F238E27FC236}">
              <a16:creationId xmlns:a16="http://schemas.microsoft.com/office/drawing/2014/main" id="{FFD62B22-CC09-41C1-A91C-D6B7588532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7</xdr:col>
      <xdr:colOff>166684</xdr:colOff>
      <xdr:row>2296</xdr:row>
      <xdr:rowOff>23131</xdr:rowOff>
    </xdr:from>
    <xdr:to>
      <xdr:col>17</xdr:col>
      <xdr:colOff>136070</xdr:colOff>
      <xdr:row>2320</xdr:row>
      <xdr:rowOff>0</xdr:rowOff>
    </xdr:to>
    <xdr:graphicFrame macro="">
      <xdr:nvGraphicFramePr>
        <xdr:cNvPr id="55" name="Chart 54">
          <a:extLst>
            <a:ext uri="{FF2B5EF4-FFF2-40B4-BE49-F238E27FC236}">
              <a16:creationId xmlns:a16="http://schemas.microsoft.com/office/drawing/2014/main" id="{90FAC933-BBEF-4061-BE98-BBBEA076EC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13</xdr:col>
      <xdr:colOff>255134</xdr:colOff>
      <xdr:row>2375</xdr:row>
      <xdr:rowOff>108176</xdr:rowOff>
    </xdr:from>
    <xdr:to>
      <xdr:col>20</xdr:col>
      <xdr:colOff>632733</xdr:colOff>
      <xdr:row>2391</xdr:row>
      <xdr:rowOff>115660</xdr:rowOff>
    </xdr:to>
    <xdr:graphicFrame macro="">
      <xdr:nvGraphicFramePr>
        <xdr:cNvPr id="54" name="Chart 53">
          <a:extLst>
            <a:ext uri="{FF2B5EF4-FFF2-40B4-BE49-F238E27FC236}">
              <a16:creationId xmlns:a16="http://schemas.microsoft.com/office/drawing/2014/main" id="{4DB583BB-6CEA-4F1E-95D7-85C20F2663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7</xdr:col>
      <xdr:colOff>609598</xdr:colOff>
      <xdr:row>2410</xdr:row>
      <xdr:rowOff>174171</xdr:rowOff>
    </xdr:from>
    <xdr:to>
      <xdr:col>15</xdr:col>
      <xdr:colOff>304799</xdr:colOff>
      <xdr:row>2429</xdr:row>
      <xdr:rowOff>13607</xdr:rowOff>
    </xdr:to>
    <xdr:graphicFrame macro="">
      <xdr:nvGraphicFramePr>
        <xdr:cNvPr id="58" name="Chart 57">
          <a:extLst>
            <a:ext uri="{FF2B5EF4-FFF2-40B4-BE49-F238E27FC236}">
              <a16:creationId xmlns:a16="http://schemas.microsoft.com/office/drawing/2014/main" id="{E6D41853-66F3-4E37-996B-7386521223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4</xdr:col>
      <xdr:colOff>593272</xdr:colOff>
      <xdr:row>2445</xdr:row>
      <xdr:rowOff>73478</xdr:rowOff>
    </xdr:from>
    <xdr:to>
      <xdr:col>11</xdr:col>
      <xdr:colOff>522514</xdr:colOff>
      <xdr:row>2462</xdr:row>
      <xdr:rowOff>136071</xdr:rowOff>
    </xdr:to>
    <xdr:graphicFrame macro="">
      <xdr:nvGraphicFramePr>
        <xdr:cNvPr id="59" name="Chart 58">
          <a:extLst>
            <a:ext uri="{FF2B5EF4-FFF2-40B4-BE49-F238E27FC236}">
              <a16:creationId xmlns:a16="http://schemas.microsoft.com/office/drawing/2014/main" id="{BFB49B59-C0CC-4494-B073-CA85E1C8D6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15</xdr:col>
      <xdr:colOff>462642</xdr:colOff>
      <xdr:row>2463</xdr:row>
      <xdr:rowOff>144235</xdr:rowOff>
    </xdr:from>
    <xdr:to>
      <xdr:col>23</xdr:col>
      <xdr:colOff>0</xdr:colOff>
      <xdr:row>2483</xdr:row>
      <xdr:rowOff>174171</xdr:rowOff>
    </xdr:to>
    <xdr:graphicFrame macro="">
      <xdr:nvGraphicFramePr>
        <xdr:cNvPr id="60" name="Chart 59">
          <a:extLst>
            <a:ext uri="{FF2B5EF4-FFF2-40B4-BE49-F238E27FC236}">
              <a16:creationId xmlns:a16="http://schemas.microsoft.com/office/drawing/2014/main" id="{449701D2-16F1-4387-A744-915A2458CC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15</xdr:col>
      <xdr:colOff>212270</xdr:colOff>
      <xdr:row>2487</xdr:row>
      <xdr:rowOff>19048</xdr:rowOff>
    </xdr:from>
    <xdr:to>
      <xdr:col>22</xdr:col>
      <xdr:colOff>462643</xdr:colOff>
      <xdr:row>2505</xdr:row>
      <xdr:rowOff>179614</xdr:rowOff>
    </xdr:to>
    <xdr:graphicFrame macro="">
      <xdr:nvGraphicFramePr>
        <xdr:cNvPr id="61" name="Chart 60">
          <a:extLst>
            <a:ext uri="{FF2B5EF4-FFF2-40B4-BE49-F238E27FC236}">
              <a16:creationId xmlns:a16="http://schemas.microsoft.com/office/drawing/2014/main" id="{185A57C3-E884-4DF6-9C1E-5D5A48584B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2</xdr:col>
      <xdr:colOff>302077</xdr:colOff>
      <xdr:row>2506</xdr:row>
      <xdr:rowOff>155122</xdr:rowOff>
    </xdr:from>
    <xdr:to>
      <xdr:col>9</xdr:col>
      <xdr:colOff>206828</xdr:colOff>
      <xdr:row>2524</xdr:row>
      <xdr:rowOff>59871</xdr:rowOff>
    </xdr:to>
    <xdr:graphicFrame macro="">
      <xdr:nvGraphicFramePr>
        <xdr:cNvPr id="62" name="Chart 61">
          <a:extLst>
            <a:ext uri="{FF2B5EF4-FFF2-40B4-BE49-F238E27FC236}">
              <a16:creationId xmlns:a16="http://schemas.microsoft.com/office/drawing/2014/main" id="{0E3E9066-E2C2-4E6C-B058-E28627D757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9</xdr:col>
      <xdr:colOff>625928</xdr:colOff>
      <xdr:row>2523</xdr:row>
      <xdr:rowOff>89807</xdr:rowOff>
    </xdr:from>
    <xdr:to>
      <xdr:col>16</xdr:col>
      <xdr:colOff>375557</xdr:colOff>
      <xdr:row>2540</xdr:row>
      <xdr:rowOff>146957</xdr:rowOff>
    </xdr:to>
    <xdr:graphicFrame macro="">
      <xdr:nvGraphicFramePr>
        <xdr:cNvPr id="63" name="Chart 62">
          <a:extLst>
            <a:ext uri="{FF2B5EF4-FFF2-40B4-BE49-F238E27FC236}">
              <a16:creationId xmlns:a16="http://schemas.microsoft.com/office/drawing/2014/main" id="{A7E26FAB-5BA4-4996-A605-4E05156129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14</xdr:col>
      <xdr:colOff>108857</xdr:colOff>
      <xdr:row>2589</xdr:row>
      <xdr:rowOff>59873</xdr:rowOff>
    </xdr:from>
    <xdr:to>
      <xdr:col>21</xdr:col>
      <xdr:colOff>620486</xdr:colOff>
      <xdr:row>2606</xdr:row>
      <xdr:rowOff>157843</xdr:rowOff>
    </xdr:to>
    <xdr:graphicFrame macro="">
      <xdr:nvGraphicFramePr>
        <xdr:cNvPr id="64" name="Chart 63">
          <a:extLst>
            <a:ext uri="{FF2B5EF4-FFF2-40B4-BE49-F238E27FC236}">
              <a16:creationId xmlns:a16="http://schemas.microsoft.com/office/drawing/2014/main" id="{4736EC3E-1446-47D2-8D21-11BC0D8284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15</xdr:col>
      <xdr:colOff>0</xdr:colOff>
      <xdr:row>2610</xdr:row>
      <xdr:rowOff>0</xdr:rowOff>
    </xdr:from>
    <xdr:to>
      <xdr:col>22</xdr:col>
      <xdr:colOff>272143</xdr:colOff>
      <xdr:row>2628</xdr:row>
      <xdr:rowOff>127907</xdr:rowOff>
    </xdr:to>
    <xdr:graphicFrame macro="">
      <xdr:nvGraphicFramePr>
        <xdr:cNvPr id="65" name="Chart 64">
          <a:extLst>
            <a:ext uri="{FF2B5EF4-FFF2-40B4-BE49-F238E27FC236}">
              <a16:creationId xmlns:a16="http://schemas.microsoft.com/office/drawing/2014/main" id="{530A30A7-0044-467D-9272-8F36676002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15</xdr:col>
      <xdr:colOff>5443</xdr:colOff>
      <xdr:row>2631</xdr:row>
      <xdr:rowOff>0</xdr:rowOff>
    </xdr:from>
    <xdr:to>
      <xdr:col>22</xdr:col>
      <xdr:colOff>277586</xdr:colOff>
      <xdr:row>2647</xdr:row>
      <xdr:rowOff>127907</xdr:rowOff>
    </xdr:to>
    <xdr:graphicFrame macro="">
      <xdr:nvGraphicFramePr>
        <xdr:cNvPr id="66" name="Chart 65">
          <a:extLst>
            <a:ext uri="{FF2B5EF4-FFF2-40B4-BE49-F238E27FC236}">
              <a16:creationId xmlns:a16="http://schemas.microsoft.com/office/drawing/2014/main" id="{5568F3D0-697B-4A09-B0FF-A297F4042A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15</xdr:col>
      <xdr:colOff>0</xdr:colOff>
      <xdr:row>2649</xdr:row>
      <xdr:rowOff>0</xdr:rowOff>
    </xdr:from>
    <xdr:to>
      <xdr:col>22</xdr:col>
      <xdr:colOff>272143</xdr:colOff>
      <xdr:row>2665</xdr:row>
      <xdr:rowOff>127906</xdr:rowOff>
    </xdr:to>
    <xdr:graphicFrame macro="">
      <xdr:nvGraphicFramePr>
        <xdr:cNvPr id="67" name="Chart 66">
          <a:extLst>
            <a:ext uri="{FF2B5EF4-FFF2-40B4-BE49-F238E27FC236}">
              <a16:creationId xmlns:a16="http://schemas.microsoft.com/office/drawing/2014/main" id="{4922AF64-7C71-4646-852A-742E38A3EF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2</xdr:col>
      <xdr:colOff>81642</xdr:colOff>
      <xdr:row>2652</xdr:row>
      <xdr:rowOff>182334</xdr:rowOff>
    </xdr:from>
    <xdr:to>
      <xdr:col>11</xdr:col>
      <xdr:colOff>538843</xdr:colOff>
      <xdr:row>2673</xdr:row>
      <xdr:rowOff>76200</xdr:rowOff>
    </xdr:to>
    <xdr:graphicFrame macro="">
      <xdr:nvGraphicFramePr>
        <xdr:cNvPr id="68" name="Chart 67">
          <a:extLst>
            <a:ext uri="{FF2B5EF4-FFF2-40B4-BE49-F238E27FC236}">
              <a16:creationId xmlns:a16="http://schemas.microsoft.com/office/drawing/2014/main" id="{28AB0BEE-B96B-481E-BF7D-DE14B8A122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20</xdr:col>
      <xdr:colOff>189451</xdr:colOff>
      <xdr:row>2843</xdr:row>
      <xdr:rowOff>96630</xdr:rowOff>
    </xdr:from>
    <xdr:to>
      <xdr:col>24</xdr:col>
      <xdr:colOff>476982</xdr:colOff>
      <xdr:row>2862</xdr:row>
      <xdr:rowOff>36092</xdr:rowOff>
    </xdr:to>
    <xdr:graphicFrame macro="">
      <xdr:nvGraphicFramePr>
        <xdr:cNvPr id="69" name="Chart 68">
          <a:extLst>
            <a:ext uri="{FF2B5EF4-FFF2-40B4-BE49-F238E27FC236}">
              <a16:creationId xmlns:a16="http://schemas.microsoft.com/office/drawing/2014/main" id="{C37ACCEC-A8FA-401F-81DF-D74868F33F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10</xdr:col>
      <xdr:colOff>107577</xdr:colOff>
      <xdr:row>3068</xdr:row>
      <xdr:rowOff>38100</xdr:rowOff>
    </xdr:from>
    <xdr:to>
      <xdr:col>20</xdr:col>
      <xdr:colOff>618565</xdr:colOff>
      <xdr:row>3085</xdr:row>
      <xdr:rowOff>20170</xdr:rowOff>
    </xdr:to>
    <xdr:graphicFrame macro="">
      <xdr:nvGraphicFramePr>
        <xdr:cNvPr id="70" name="Chart 69">
          <a:extLst>
            <a:ext uri="{FF2B5EF4-FFF2-40B4-BE49-F238E27FC236}">
              <a16:creationId xmlns:a16="http://schemas.microsoft.com/office/drawing/2014/main" id="{9C9C4BB7-38E9-18A7-5EBB-E60C45EBC9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22</xdr:col>
      <xdr:colOff>138953</xdr:colOff>
      <xdr:row>3137</xdr:row>
      <xdr:rowOff>57989</xdr:rowOff>
    </xdr:from>
    <xdr:to>
      <xdr:col>27</xdr:col>
      <xdr:colOff>34177</xdr:colOff>
      <xdr:row>3153</xdr:row>
      <xdr:rowOff>150158</xdr:rowOff>
    </xdr:to>
    <xdr:graphicFrame macro="">
      <xdr:nvGraphicFramePr>
        <xdr:cNvPr id="71" name="Chart 70">
          <a:extLst>
            <a:ext uri="{FF2B5EF4-FFF2-40B4-BE49-F238E27FC236}">
              <a16:creationId xmlns:a16="http://schemas.microsoft.com/office/drawing/2014/main" id="{E29275E8-96CE-C00D-F281-D3141C6413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25</xdr:col>
      <xdr:colOff>44823</xdr:colOff>
      <xdr:row>3207</xdr:row>
      <xdr:rowOff>146797</xdr:rowOff>
    </xdr:from>
    <xdr:to>
      <xdr:col>33</xdr:col>
      <xdr:colOff>89647</xdr:colOff>
      <xdr:row>3222</xdr:row>
      <xdr:rowOff>168088</xdr:rowOff>
    </xdr:to>
    <xdr:graphicFrame macro="">
      <xdr:nvGraphicFramePr>
        <xdr:cNvPr id="77" name="Chart 76">
          <a:extLst>
            <a:ext uri="{FF2B5EF4-FFF2-40B4-BE49-F238E27FC236}">
              <a16:creationId xmlns:a16="http://schemas.microsoft.com/office/drawing/2014/main" id="{8D6B4397-6476-0D09-6F2C-863DF6A5F5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22</xdr:col>
      <xdr:colOff>224117</xdr:colOff>
      <xdr:row>3183</xdr:row>
      <xdr:rowOff>79559</xdr:rowOff>
    </xdr:from>
    <xdr:to>
      <xdr:col>31</xdr:col>
      <xdr:colOff>134470</xdr:colOff>
      <xdr:row>3197</xdr:row>
      <xdr:rowOff>369794</xdr:rowOff>
    </xdr:to>
    <xdr:graphicFrame macro="">
      <xdr:nvGraphicFramePr>
        <xdr:cNvPr id="72" name="Chart 71">
          <a:extLst>
            <a:ext uri="{FF2B5EF4-FFF2-40B4-BE49-F238E27FC236}">
              <a16:creationId xmlns:a16="http://schemas.microsoft.com/office/drawing/2014/main" id="{96B9C334-42BE-6375-B57E-C268422456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19</xdr:col>
      <xdr:colOff>381002</xdr:colOff>
      <xdr:row>3197</xdr:row>
      <xdr:rowOff>257738</xdr:rowOff>
    </xdr:from>
    <xdr:to>
      <xdr:col>24</xdr:col>
      <xdr:colOff>145677</xdr:colOff>
      <xdr:row>3207</xdr:row>
      <xdr:rowOff>89646</xdr:rowOff>
    </xdr:to>
    <xdr:graphicFrame macro="">
      <xdr:nvGraphicFramePr>
        <xdr:cNvPr id="74" name="Chart 73">
          <a:extLst>
            <a:ext uri="{FF2B5EF4-FFF2-40B4-BE49-F238E27FC236}">
              <a16:creationId xmlns:a16="http://schemas.microsoft.com/office/drawing/2014/main" id="{1AE2C298-B15E-4EAA-8965-0010E334AA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24</xdr:col>
      <xdr:colOff>281236</xdr:colOff>
      <xdr:row>3114</xdr:row>
      <xdr:rowOff>27578</xdr:rowOff>
    </xdr:from>
    <xdr:to>
      <xdr:col>32</xdr:col>
      <xdr:colOff>224896</xdr:colOff>
      <xdr:row>3130</xdr:row>
      <xdr:rowOff>66145</xdr:rowOff>
    </xdr:to>
    <xdr:graphicFrame macro="">
      <xdr:nvGraphicFramePr>
        <xdr:cNvPr id="73" name="Chart 72">
          <a:extLst>
            <a:ext uri="{FF2B5EF4-FFF2-40B4-BE49-F238E27FC236}">
              <a16:creationId xmlns:a16="http://schemas.microsoft.com/office/drawing/2014/main" id="{9DDD00BD-7AE1-32D1-95D6-4E9AD30864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31</xdr:col>
      <xdr:colOff>544285</xdr:colOff>
      <xdr:row>93</xdr:row>
      <xdr:rowOff>9524</xdr:rowOff>
    </xdr:from>
    <xdr:to>
      <xdr:col>39</xdr:col>
      <xdr:colOff>353785</xdr:colOff>
      <xdr:row>108</xdr:row>
      <xdr:rowOff>122464</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33</xdr:col>
      <xdr:colOff>401410</xdr:colOff>
      <xdr:row>9</xdr:row>
      <xdr:rowOff>16327</xdr:rowOff>
    </xdr:from>
    <xdr:to>
      <xdr:col>39</xdr:col>
      <xdr:colOff>163286</xdr:colOff>
      <xdr:row>27</xdr:row>
      <xdr:rowOff>95250</xdr:rowOff>
    </xdr:to>
    <xdr:graphicFrame macro="">
      <xdr:nvGraphicFramePr>
        <xdr:cNvPr id="4" name="Chart 3">
          <a:extLst>
            <a:ext uri="{FF2B5EF4-FFF2-40B4-BE49-F238E27FC236}">
              <a16:creationId xmlns:a16="http://schemas.microsoft.com/office/drawing/2014/main" id="{689A3176-DFE8-4AF3-A385-52E81FCA96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ewstreet1385.sharepoint.com/cdcfil02/CHQ_users/ghorn00/My%20Documents/VoIP%20Model/Cisco%20VoIP%20Model%20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newstreet1385.sharepoint.com/Tell-Us%20Adm-Store-Kunder/&#216;konomi/Periodeavslutning/Res%20Kundedimensjon%202002P2%20EBIT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STAB-U2-50-002\DATA1\KOE\KATALOG\GENERELL\ARKIV-ID\TTSEFJ\AARSPAK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newstreet1385.sharepoint.com/Usjsv002/user%20folder2/Planning/FLASH%20SUMMARY/050912%20Flash%20Daily%20Report/Back%20Up&#29992;/Back%20Up&#29992;/EMM%20%20&#23455;&#32318;Review.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Startup" Target="TELCO/MODELS/Emerging/TPSA_WI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newstreet1385.sharepoint.com/cable/finance/TAX51A/COBB/EXCEL/CASHFLOW/2005/1st%20Qtr%202005/FAS%20115%20Tax%201Q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newstreet1385.sharepoint.com/Usjsv002/user%20folder2/Accounting/&#20104;&#23455;&#38306;&#36899;/_FY06&#20104;&#23455;/_Reporting/_&#12381;&#12398;&#20182;BS&#12539;CF&#12539;Inventory/&#12381;&#12398;&#20182;&#12524;&#12509;&#12540;&#12488;&#12501;&#12449;&#12452;&#12523;-&#26368;&#26032;&#2925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newstreet1385.sharepoint.com/cable/corp-dfs/Financial%20Planning/REPORTING/2016/1Q16/Below%20the%20Line/Support/Net_IncomeBridge.xlsm" TargetMode="External"/></Relationships>
</file>

<file path=xl/externalLinks/_rels/externalLink17.xml.rels><?xml version="1.0" encoding="UTF-8" standalone="yes"?>
<Relationships xmlns="http://schemas.openxmlformats.org/package/2006/relationships"><Relationship Id="rId2" Type="http://schemas.microsoft.com/office/2019/04/relationships/externalLinkLongPath" Target="https://newstreet1385.sharepoint.com/cable/Documents%20and%20Settings/PurvisR/Local%20Settings/Temporary%20Internet%20Files/OLK7F/Documents%20and%20Settings/PreeceS/Local%20Settings/Temporary%20Internet%20Files/OLK22/Overhead%20Consolidation%20December%202003.xls?6433EDBB" TargetMode="External"/><Relationship Id="rId1" Type="http://schemas.openxmlformats.org/officeDocument/2006/relationships/externalLinkPath" Target="file:///\\6433EDBB\Overhead%20Consolidation%20December%20200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newstreet1385.sharepoint.com/Usjsv002/user%20folder2/Accounting/&#20104;&#23455;&#38306;&#36899;/_FY04&#20104;&#23455;/_&#12381;&#12398;&#20182;/200405&#35211;&#36796;&#12415;&#1238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newstreet1385.sharepoint.com/Usjsv002/user%20folder2/Accounting/&#20104;&#23455;&#38306;&#36899;/_FY06&#20104;&#23455;/_Reporting/_PL&#38306;&#36899;/FY06_&#37096;&#38263;&#20250;&#29992;&#36039;&#26009;&#20316;&#25104;&#65420;&#65383;&#65394;&#65433;-&#26368;&#26032;&#292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ewstreet1385.sharepoint.com/Documents%20and%20Settings/t539562/Local%20Settings/Temporary%20Internet%20Files/OLK9/&#216;k%20per%20kontrakt%20-%20tapsavsetning.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My%20Documents\Country%20models\workspace\fixed%20seeds%20v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newstreet1385.sharepoint.com/App3/common/CORPACCT/Financial%20Reporting/SEC/FORM10-Q/2004/3Q%202004/Corporate/workpapers/Debt%20Report%209-30-2004%20FI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newstreet1385.sharepoint.com/Usjsv002/user%20folder2/Accounting/&#20104;&#23455;&#38306;&#36899;/_FY05&#20104;&#23455;/_Package/&#20840;&#31038;&#65381;&#37096;&#21029;&#22522;&#30990;Data&#21152;&#24037;&#20966;&#29702;_&#26368;&#26032;&#2925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ewstreet1385.sharepoint.com/STOCKS/EUROPE/Norway/TNOR/Models/Current/TNOR_curren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newstreet1385.sharepoint.com/STOCKS/EUROPE/UK/BT/Models/Current/BT5%20Broadband%20Scenari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newstreet1385.sharepoint.com/Koe/Katalog/RAPPORT/Mnd-00/Diverse/maler/Rapportpakke%20Excel%20kvar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newstreet1385.sharepoint.com/STOCKS/EUROPE/UK/VOD/Models/Current/Vodafone(2sep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newstreet1385.sharepoint.com/TELECOMS/STOCKS/ASIA%20(ex-Japan)%20Internet/Tech%20analyser%20v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gb24506\restore\23010101\TELC\TELCOS\UK\BT\NEWERA\BTMODEL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newstreet1385.sharepoint.com/HK_OKOK/Bud_rapp/MNDRAPP/2000/0004/Utrapportert/pres0004%20Business%20Solu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pment"/>
      <sheetName val="Model"/>
      <sheetName val="Financial Statements"/>
      <sheetName val="Capex"/>
      <sheetName val="Capex Input"/>
      <sheetName val="Results"/>
      <sheetName val="BTS Tabl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sheetName val="2002 Total"/>
      <sheetName val="EBITDA mnd"/>
      <sheetName val="R2002"/>
      <sheetName val="B2002"/>
      <sheetName val="ASK"/>
      <sheetName val="Standardkalkyle"/>
      <sheetName val="Diagram DB"/>
      <sheetName val="Omsetning diagram"/>
      <sheetName val="Grunnlag diagram"/>
      <sheetName val="Grunndata"/>
      <sheetName val="A-sted"/>
      <sheetName val="K-kost"/>
    </sheetNames>
    <sheetDataSet>
      <sheetData sheetId="0" refreshError="1"/>
      <sheetData sheetId="1"/>
      <sheetData sheetId="2" refreshError="1"/>
      <sheetData sheetId="3"/>
      <sheetData sheetId="4"/>
      <sheetData sheetId="5" refreshError="1"/>
      <sheetData sheetId="6"/>
      <sheetData sheetId="7" refreshError="1"/>
      <sheetData sheetId="8" refreshError="1"/>
      <sheetData sheetId="9" refreshError="1"/>
      <sheetData sheetId="10">
        <row r="3">
          <cell r="A3">
            <v>1</v>
          </cell>
          <cell r="B3" t="str">
            <v>Januar</v>
          </cell>
          <cell r="C3">
            <v>1</v>
          </cell>
        </row>
        <row r="4">
          <cell r="A4">
            <v>2</v>
          </cell>
          <cell r="B4" t="str">
            <v>Februar</v>
          </cell>
          <cell r="C4">
            <v>2</v>
          </cell>
        </row>
        <row r="5">
          <cell r="A5">
            <v>3</v>
          </cell>
          <cell r="B5" t="str">
            <v>Mars</v>
          </cell>
          <cell r="C5">
            <v>3</v>
          </cell>
        </row>
        <row r="6">
          <cell r="A6">
            <v>4</v>
          </cell>
          <cell r="B6" t="str">
            <v>April</v>
          </cell>
          <cell r="C6">
            <v>4</v>
          </cell>
        </row>
        <row r="7">
          <cell r="A7">
            <v>5</v>
          </cell>
          <cell r="B7" t="str">
            <v>Mai</v>
          </cell>
          <cell r="C7">
            <v>5</v>
          </cell>
        </row>
        <row r="8">
          <cell r="A8">
            <v>6</v>
          </cell>
          <cell r="B8" t="str">
            <v>Juni</v>
          </cell>
          <cell r="C8">
            <v>6</v>
          </cell>
        </row>
        <row r="9">
          <cell r="A9">
            <v>7</v>
          </cell>
          <cell r="B9" t="str">
            <v>Juli</v>
          </cell>
          <cell r="C9">
            <v>7</v>
          </cell>
        </row>
        <row r="10">
          <cell r="A10">
            <v>8</v>
          </cell>
          <cell r="B10" t="str">
            <v>August</v>
          </cell>
          <cell r="C10">
            <v>8</v>
          </cell>
        </row>
        <row r="11">
          <cell r="A11">
            <v>9</v>
          </cell>
          <cell r="B11" t="str">
            <v>September</v>
          </cell>
          <cell r="C11">
            <v>9</v>
          </cell>
        </row>
        <row r="12">
          <cell r="A12">
            <v>10</v>
          </cell>
          <cell r="B12" t="str">
            <v>Oktober</v>
          </cell>
          <cell r="C12">
            <v>10</v>
          </cell>
        </row>
        <row r="13">
          <cell r="A13">
            <v>11</v>
          </cell>
          <cell r="B13" t="str">
            <v>November</v>
          </cell>
          <cell r="C13">
            <v>11</v>
          </cell>
        </row>
        <row r="14">
          <cell r="A14">
            <v>12</v>
          </cell>
          <cell r="B14" t="str">
            <v>Desember</v>
          </cell>
          <cell r="C14">
            <v>12</v>
          </cell>
        </row>
      </sheetData>
      <sheetData sheetId="11"/>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
      <sheetName val="Grunndata"/>
      <sheetName val="tot"/>
      <sheetName val="CAPEX LRBP_Input"/>
      <sheetName val="Forside"/>
      <sheetName val="Front"/>
      <sheetName val="Sheet-8"/>
      <sheetName val="สรุปราคาค่าก่อสร้าง"/>
      <sheetName val="TB-2001-Apr'01"/>
      <sheetName val="TrialBalance Q3-2002"/>
      <sheetName val="1602-97"/>
      <sheetName val="19"/>
      <sheetName val="K-8"/>
      <sheetName val="เงินกู้ธนชาติ"/>
      <sheetName val="List_of_New_Sites_Propose2"/>
      <sheetName val="ADJ - RATE"/>
      <sheetName val="TOTAL PGS Group"/>
      <sheetName val="Sheet3"/>
      <sheetName val="Mar21"/>
      <sheetName val="Dtn-Jan 21  "/>
      <sheetName val="DTAC Telenor"/>
      <sheetName val="Account code for NewERP"/>
      <sheetName val="RC-New (VF.Feb21)"/>
      <sheetName val="list"/>
      <sheetName val="AARSPAK2"/>
      <sheetName val="Sheet1"/>
      <sheetName val="Employees"/>
      <sheetName val="UAD"/>
      <sheetName val="Basis 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FY 2nd Hafl Latest Estimate"/>
      <sheetName val="WeeklyData"/>
      <sheetName val="Sheet3"/>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tats"/>
      <sheetName val="Report Template"/>
      <sheetName val="Shareholder Structure"/>
      <sheetName val="Tariffs&amp;Traffic"/>
      <sheetName val="TPSA_Model"/>
      <sheetName val="__FDSCACHE__"/>
      <sheetName val="GSM"/>
      <sheetName val="Centertel_Model"/>
      <sheetName val="Centertel Consolidations"/>
      <sheetName val="TPSA_Capex"/>
      <sheetName val="TPSA_Group"/>
      <sheetName val="mwareValPrintout"/>
      <sheetName val="mwareTaxoPres"/>
      <sheetName val="Group_DCF"/>
      <sheetName val="Valuation Multiples"/>
      <sheetName val="Valuation Chart"/>
      <sheetName val="TPSA Q"/>
      <sheetName val="Dividend Chart"/>
      <sheetName val="Quarterly"/>
      <sheetName val="Consensus"/>
      <sheetName val="Mobile Ops Summary"/>
      <sheetName val="Centertel_Fins"/>
      <sheetName val="IS(PAS)consol"/>
      <sheetName val="CF(PAS)unconsol"/>
      <sheetName val="IS(PAS)unconsol"/>
      <sheetName val="GE 2"/>
      <sheetName val="Debt Summary"/>
      <sheetName val="Changes"/>
      <sheetName val="Benchmarking"/>
      <sheetName val="Chart Data"/>
      <sheetName val="Charts"/>
      <sheetName val="Sublink churn"/>
      <sheetName val="Link"/>
      <sheetName val="GE Upload"/>
      <sheetName val="FT-Link"/>
      <sheetName val="mwareDates"/>
      <sheetName val="Operational Changes"/>
      <sheetName val="mwarePreview"/>
      <sheetName val="Taglink"/>
      <sheetName val="MSAM Link"/>
      <sheetName val="TPSAQ link"/>
      <sheetName val="Quarterly_Table"/>
      <sheetName val="Quarterly Segments"/>
      <sheetName val="BS(PAS)unconsol"/>
      <sheetName val="CF(PAS)consol"/>
      <sheetName val="BS(PAS)consol"/>
      <sheetName val="Proportional"/>
      <sheetName val="Centertel_DCF"/>
      <sheetName val="TPSA_DCF"/>
      <sheetName val="mwareSettings"/>
      <sheetName val="Cellular_Market"/>
      <sheetName val="NMT"/>
      <sheetName val="Relative Pricing"/>
      <sheetName val="Sheet1"/>
      <sheetName val="xbrldates"/>
      <sheetName val="xbrlPreview"/>
      <sheetName val="xbrlSettings"/>
      <sheetName val="TPSA_WIP"/>
      <sheetName val="Macro_Assumptions"/>
      <sheetName val="MWare_Cached"/>
    </sheetNames>
    <sheetDataSet>
      <sheetData sheetId="0" refreshError="1"/>
      <sheetData sheetId="1" refreshError="1"/>
      <sheetData sheetId="2" refreshError="1"/>
      <sheetData sheetId="3" refreshError="1"/>
      <sheetData sheetId="4" refreshError="1">
        <row r="468">
          <cell r="O468">
            <v>7427.9247366746959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Cost Report"/>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_ID"/>
      <sheetName val="★ﾒﾆｭｰ"/>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
      <sheetName val="Ref"/>
      <sheetName val="WaterFall_Prep"/>
    </sheetNames>
    <sheetDataSet>
      <sheetData sheetId="0" refreshError="1"/>
      <sheetData sheetId="1" refreshError="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Z"/>
      <sheetName val="BEN"/>
      <sheetName val="BRA"/>
      <sheetName val="CE"/>
      <sheetName val="FRA"/>
      <sheetName val="ITA"/>
      <sheetName val="JPN"/>
      <sheetName val="KOR"/>
      <sheetName val="MEX"/>
      <sheetName val="NOR"/>
      <sheetName val="SPA"/>
      <sheetName val="UK"/>
      <sheetName val="UPIBV"/>
      <sheetName val="UPIO"/>
      <sheetName val="UPV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ﾃﾞｰﾀ"/>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sheetName val="2002 Total"/>
      <sheetName val="EBITDA mnd"/>
      <sheetName val="R2002"/>
      <sheetName val="B2002"/>
      <sheetName val="ASK"/>
      <sheetName val="Standardkalkyle"/>
      <sheetName val="Diagram DB"/>
      <sheetName val="Omsetning diagram"/>
      <sheetName val="Grunnlag diagram"/>
      <sheetName val="Grunndata"/>
      <sheetName val="A-sted"/>
      <sheetName val="K-kost"/>
    </sheetNames>
    <sheetDataSet>
      <sheetData sheetId="0" refreshError="1"/>
      <sheetData sheetId="1"/>
      <sheetData sheetId="2" refreshError="1"/>
      <sheetData sheetId="3"/>
      <sheetData sheetId="4"/>
      <sheetData sheetId="5" refreshError="1"/>
      <sheetData sheetId="6" refreshError="1"/>
      <sheetData sheetId="7" refreshError="1"/>
      <sheetData sheetId="8" refreshError="1"/>
      <sheetData sheetId="9" refreshError="1"/>
      <sheetData sheetId="10"/>
      <sheetData sheetId="11">
        <row r="8">
          <cell r="A8" t="str">
            <v>92000</v>
          </cell>
          <cell r="B8">
            <v>572754.43999999994</v>
          </cell>
          <cell r="C8">
            <v>638109.75</v>
          </cell>
          <cell r="D8">
            <v>455414.35</v>
          </cell>
          <cell r="E8">
            <v>633339.72</v>
          </cell>
          <cell r="F8">
            <v>1213897.45</v>
          </cell>
          <cell r="G8">
            <v>1357058.72</v>
          </cell>
          <cell r="H8">
            <v>906607.45</v>
          </cell>
          <cell r="I8">
            <v>1485501.87</v>
          </cell>
          <cell r="J8">
            <v>1471471.16</v>
          </cell>
          <cell r="O8" t="str">
            <v>92000</v>
          </cell>
          <cell r="P8">
            <v>572754.43999999994</v>
          </cell>
          <cell r="Q8">
            <v>1210864.19</v>
          </cell>
          <cell r="R8">
            <v>1666278.54</v>
          </cell>
          <cell r="S8">
            <v>2299618.2599999998</v>
          </cell>
          <cell r="T8">
            <v>3513515.71</v>
          </cell>
          <cell r="U8">
            <v>4870574.43</v>
          </cell>
          <cell r="V8">
            <v>5777181.8799999999</v>
          </cell>
          <cell r="W8">
            <v>7262683.75</v>
          </cell>
          <cell r="X8">
            <v>8734154.9100000001</v>
          </cell>
          <cell r="Y8">
            <v>8734154.9100000001</v>
          </cell>
          <cell r="Z8">
            <v>8734154.9100000001</v>
          </cell>
          <cell r="AA8">
            <v>8734154.9100000001</v>
          </cell>
        </row>
        <row r="9">
          <cell r="A9" t="str">
            <v>92100</v>
          </cell>
          <cell r="B9">
            <v>154549.20000000001</v>
          </cell>
          <cell r="C9">
            <v>181790.48</v>
          </cell>
          <cell r="D9">
            <v>-52647.27</v>
          </cell>
          <cell r="E9">
            <v>94947.77</v>
          </cell>
          <cell r="F9">
            <v>104831.27</v>
          </cell>
          <cell r="G9">
            <v>84803.5</v>
          </cell>
          <cell r="H9">
            <v>80114.16</v>
          </cell>
          <cell r="I9">
            <v>83136.800000000003</v>
          </cell>
          <cell r="J9">
            <v>102074.35</v>
          </cell>
          <cell r="O9" t="str">
            <v>92100</v>
          </cell>
          <cell r="P9">
            <v>154549.20000000001</v>
          </cell>
          <cell r="Q9">
            <v>336339.68000000005</v>
          </cell>
          <cell r="R9">
            <v>283692.41000000003</v>
          </cell>
          <cell r="S9">
            <v>378640.18000000005</v>
          </cell>
          <cell r="T9">
            <v>483471.45000000007</v>
          </cell>
          <cell r="U9">
            <v>568274.95000000007</v>
          </cell>
          <cell r="V9">
            <v>648389.1100000001</v>
          </cell>
          <cell r="W9">
            <v>731525.91000000015</v>
          </cell>
          <cell r="X9">
            <v>833600.26000000013</v>
          </cell>
          <cell r="Y9">
            <v>833600.26000000013</v>
          </cell>
          <cell r="Z9">
            <v>833600.26000000013</v>
          </cell>
          <cell r="AA9">
            <v>833600.26000000013</v>
          </cell>
        </row>
        <row r="10">
          <cell r="A10" t="str">
            <v>92200</v>
          </cell>
          <cell r="B10">
            <v>808138.91</v>
          </cell>
          <cell r="C10">
            <v>978397.38</v>
          </cell>
          <cell r="D10">
            <v>1381144</v>
          </cell>
          <cell r="E10">
            <v>1168586.22</v>
          </cell>
          <cell r="F10">
            <v>373605.36</v>
          </cell>
          <cell r="G10">
            <v>887938.18</v>
          </cell>
          <cell r="H10">
            <v>652326.82999999996</v>
          </cell>
          <cell r="I10">
            <v>485790.25</v>
          </cell>
          <cell r="J10">
            <v>856444.17</v>
          </cell>
          <cell r="O10" t="str">
            <v>92200</v>
          </cell>
          <cell r="P10">
            <v>808138.91</v>
          </cell>
          <cell r="Q10">
            <v>1786536.29</v>
          </cell>
          <cell r="R10">
            <v>3167680.29</v>
          </cell>
          <cell r="S10">
            <v>4336266.51</v>
          </cell>
          <cell r="T10">
            <v>4709871.87</v>
          </cell>
          <cell r="U10">
            <v>5597810.0499999998</v>
          </cell>
          <cell r="V10">
            <v>6250136.8799999999</v>
          </cell>
          <cell r="W10">
            <v>6735927.1299999999</v>
          </cell>
          <cell r="X10">
            <v>7592371.2999999998</v>
          </cell>
          <cell r="Y10">
            <v>7592371.2999999998</v>
          </cell>
          <cell r="Z10">
            <v>7592371.2999999998</v>
          </cell>
          <cell r="AA10">
            <v>7592371.2999999998</v>
          </cell>
        </row>
        <row r="11">
          <cell r="A11" t="str">
            <v>92305</v>
          </cell>
          <cell r="C11">
            <v>813.5</v>
          </cell>
          <cell r="D11">
            <v>-300000</v>
          </cell>
          <cell r="G11">
            <v>2325000</v>
          </cell>
          <cell r="H11">
            <v>1666</v>
          </cell>
          <cell r="O11" t="str">
            <v>92305</v>
          </cell>
          <cell r="P11">
            <v>0</v>
          </cell>
          <cell r="Q11">
            <v>813.5</v>
          </cell>
          <cell r="R11">
            <v>-299186.5</v>
          </cell>
          <cell r="S11">
            <v>-299186.5</v>
          </cell>
          <cell r="T11">
            <v>-299186.5</v>
          </cell>
          <cell r="U11">
            <v>2025813.5</v>
          </cell>
          <cell r="V11">
            <v>2027479.5</v>
          </cell>
          <cell r="W11">
            <v>2027479.5</v>
          </cell>
          <cell r="X11">
            <v>2027479.5</v>
          </cell>
          <cell r="Y11">
            <v>2027479.5</v>
          </cell>
          <cell r="Z11">
            <v>2027479.5</v>
          </cell>
          <cell r="AA11">
            <v>2027479.5</v>
          </cell>
        </row>
        <row r="12">
          <cell r="A12" t="str">
            <v>92310</v>
          </cell>
          <cell r="C12">
            <v>-0.16000000000349246</v>
          </cell>
          <cell r="D12">
            <v>767</v>
          </cell>
          <cell r="H12">
            <v>1153</v>
          </cell>
          <cell r="I12">
            <v>83760</v>
          </cell>
          <cell r="J12">
            <v>34276.18</v>
          </cell>
          <cell r="O12" t="str">
            <v>92310</v>
          </cell>
          <cell r="P12">
            <v>0</v>
          </cell>
          <cell r="Q12">
            <v>-0.16000000000349246</v>
          </cell>
          <cell r="R12">
            <v>766.83999999999651</v>
          </cell>
          <cell r="S12">
            <v>766.83999999999651</v>
          </cell>
          <cell r="T12">
            <v>766.83999999999651</v>
          </cell>
          <cell r="U12">
            <v>766.83999999999651</v>
          </cell>
          <cell r="V12">
            <v>1919.8399999999965</v>
          </cell>
          <cell r="W12">
            <v>85679.84</v>
          </cell>
          <cell r="X12">
            <v>119956.01999999999</v>
          </cell>
          <cell r="Y12">
            <v>119956.01999999999</v>
          </cell>
          <cell r="Z12">
            <v>119956.01999999999</v>
          </cell>
          <cell r="AA12">
            <v>119956.01999999999</v>
          </cell>
        </row>
        <row r="13">
          <cell r="A13" t="str">
            <v>92320</v>
          </cell>
          <cell r="G13">
            <v>767.21</v>
          </cell>
          <cell r="J13">
            <v>32395.7</v>
          </cell>
          <cell r="O13" t="str">
            <v>92320</v>
          </cell>
          <cell r="P13">
            <v>0</v>
          </cell>
          <cell r="Q13">
            <v>0</v>
          </cell>
          <cell r="R13">
            <v>0</v>
          </cell>
          <cell r="S13">
            <v>0</v>
          </cell>
          <cell r="T13">
            <v>0</v>
          </cell>
          <cell r="U13">
            <v>767.21</v>
          </cell>
          <cell r="V13">
            <v>767.21</v>
          </cell>
          <cell r="W13">
            <v>767.21</v>
          </cell>
          <cell r="X13">
            <v>33162.910000000003</v>
          </cell>
          <cell r="Y13">
            <v>33162.910000000003</v>
          </cell>
          <cell r="Z13">
            <v>33162.910000000003</v>
          </cell>
          <cell r="AA13">
            <v>33162.910000000003</v>
          </cell>
        </row>
        <row r="14">
          <cell r="A14" t="str">
            <v>92325</v>
          </cell>
          <cell r="B14">
            <v>2310</v>
          </cell>
          <cell r="C14">
            <v>1970</v>
          </cell>
          <cell r="D14">
            <v>5995.72</v>
          </cell>
          <cell r="E14">
            <v>11770</v>
          </cell>
          <cell r="F14">
            <v>30554</v>
          </cell>
          <cell r="G14">
            <v>44286.95</v>
          </cell>
          <cell r="H14">
            <v>86700</v>
          </cell>
          <cell r="I14">
            <v>162097.73000000001</v>
          </cell>
          <cell r="J14">
            <v>163630.28</v>
          </cell>
          <cell r="O14" t="str">
            <v>92325</v>
          </cell>
          <cell r="P14">
            <v>2310</v>
          </cell>
          <cell r="Q14">
            <v>4280</v>
          </cell>
          <cell r="R14">
            <v>10275.720000000001</v>
          </cell>
          <cell r="S14">
            <v>22045.72</v>
          </cell>
          <cell r="T14">
            <v>52599.72</v>
          </cell>
          <cell r="U14">
            <v>96886.67</v>
          </cell>
          <cell r="V14">
            <v>183586.66999999998</v>
          </cell>
          <cell r="W14">
            <v>345684.4</v>
          </cell>
          <cell r="X14">
            <v>509314.68000000005</v>
          </cell>
          <cell r="Y14">
            <v>509314.68000000005</v>
          </cell>
          <cell r="Z14">
            <v>509314.68000000005</v>
          </cell>
          <cell r="AA14">
            <v>509314.68000000005</v>
          </cell>
        </row>
        <row r="15">
          <cell r="A15" t="str">
            <v>92330</v>
          </cell>
          <cell r="F15">
            <v>1942.25</v>
          </cell>
          <cell r="O15" t="str">
            <v>92330</v>
          </cell>
          <cell r="P15">
            <v>0</v>
          </cell>
          <cell r="Q15">
            <v>0</v>
          </cell>
          <cell r="R15">
            <v>0</v>
          </cell>
          <cell r="S15">
            <v>0</v>
          </cell>
          <cell r="T15">
            <v>1942.25</v>
          </cell>
          <cell r="U15">
            <v>1942.25</v>
          </cell>
          <cell r="V15">
            <v>1942.25</v>
          </cell>
          <cell r="W15">
            <v>1942.25</v>
          </cell>
          <cell r="X15">
            <v>1942.25</v>
          </cell>
          <cell r="Y15">
            <v>1942.25</v>
          </cell>
          <cell r="Z15">
            <v>1942.25</v>
          </cell>
          <cell r="AA15">
            <v>1942.25</v>
          </cell>
        </row>
        <row r="16">
          <cell r="A16" t="str">
            <v>92335</v>
          </cell>
          <cell r="D16">
            <v>55633.68</v>
          </cell>
          <cell r="E16">
            <v>1743.93</v>
          </cell>
          <cell r="O16" t="str">
            <v>92335</v>
          </cell>
          <cell r="P16">
            <v>0</v>
          </cell>
          <cell r="Q16">
            <v>0</v>
          </cell>
          <cell r="R16">
            <v>55633.68</v>
          </cell>
          <cell r="S16">
            <v>57377.61</v>
          </cell>
          <cell r="T16">
            <v>57377.61</v>
          </cell>
          <cell r="U16">
            <v>57377.61</v>
          </cell>
          <cell r="V16">
            <v>57377.61</v>
          </cell>
          <cell r="W16">
            <v>57377.61</v>
          </cell>
          <cell r="X16">
            <v>57377.61</v>
          </cell>
          <cell r="Y16">
            <v>57377.61</v>
          </cell>
          <cell r="Z16">
            <v>57377.61</v>
          </cell>
          <cell r="AA16">
            <v>57377.61</v>
          </cell>
        </row>
        <row r="17">
          <cell r="A17" t="str">
            <v>92340</v>
          </cell>
          <cell r="C17">
            <v>64</v>
          </cell>
          <cell r="O17" t="str">
            <v>92340</v>
          </cell>
          <cell r="P17">
            <v>0</v>
          </cell>
          <cell r="Q17">
            <v>64</v>
          </cell>
          <cell r="R17">
            <v>64</v>
          </cell>
          <cell r="S17">
            <v>64</v>
          </cell>
          <cell r="T17">
            <v>64</v>
          </cell>
          <cell r="U17">
            <v>64</v>
          </cell>
          <cell r="V17">
            <v>64</v>
          </cell>
          <cell r="W17">
            <v>64</v>
          </cell>
          <cell r="X17">
            <v>64</v>
          </cell>
          <cell r="Y17">
            <v>64</v>
          </cell>
          <cell r="Z17">
            <v>64</v>
          </cell>
          <cell r="AA17">
            <v>64</v>
          </cell>
        </row>
        <row r="18">
          <cell r="A18" t="str">
            <v>92350</v>
          </cell>
          <cell r="F18">
            <v>258</v>
          </cell>
          <cell r="G18">
            <v>140</v>
          </cell>
          <cell r="O18" t="str">
            <v>92350</v>
          </cell>
          <cell r="P18">
            <v>0</v>
          </cell>
          <cell r="Q18">
            <v>0</v>
          </cell>
          <cell r="R18">
            <v>0</v>
          </cell>
          <cell r="S18">
            <v>0</v>
          </cell>
          <cell r="T18">
            <v>258</v>
          </cell>
          <cell r="U18">
            <v>398</v>
          </cell>
          <cell r="V18">
            <v>398</v>
          </cell>
          <cell r="W18">
            <v>398</v>
          </cell>
          <cell r="X18">
            <v>398</v>
          </cell>
          <cell r="Y18">
            <v>398</v>
          </cell>
          <cell r="Z18">
            <v>398</v>
          </cell>
          <cell r="AA18">
            <v>398</v>
          </cell>
        </row>
        <row r="19">
          <cell r="A19" t="str">
            <v>92355</v>
          </cell>
          <cell r="C19">
            <v>2995.3499999999767</v>
          </cell>
          <cell r="D19">
            <v>4280.38</v>
          </cell>
          <cell r="E19">
            <v>88460.32</v>
          </cell>
          <cell r="F19">
            <v>22633.599999999999</v>
          </cell>
          <cell r="G19">
            <v>276.91000000000003</v>
          </cell>
          <cell r="H19">
            <v>464.1</v>
          </cell>
          <cell r="O19" t="str">
            <v>92355</v>
          </cell>
          <cell r="P19">
            <v>0</v>
          </cell>
          <cell r="Q19">
            <v>2995.3499999999767</v>
          </cell>
          <cell r="R19">
            <v>7275.7299999999768</v>
          </cell>
          <cell r="S19">
            <v>95736.049999999988</v>
          </cell>
          <cell r="T19">
            <v>118369.65</v>
          </cell>
          <cell r="U19">
            <v>118646.56</v>
          </cell>
          <cell r="V19">
            <v>119110.66</v>
          </cell>
          <cell r="W19">
            <v>119110.66</v>
          </cell>
          <cell r="X19">
            <v>119110.66</v>
          </cell>
          <cell r="Y19">
            <v>119110.66</v>
          </cell>
          <cell r="Z19">
            <v>119110.66</v>
          </cell>
          <cell r="AA19">
            <v>119110.66</v>
          </cell>
        </row>
        <row r="20">
          <cell r="A20" t="str">
            <v>92360</v>
          </cell>
          <cell r="C20">
            <v>784.68</v>
          </cell>
          <cell r="O20" t="str">
            <v>92360</v>
          </cell>
          <cell r="P20">
            <v>0</v>
          </cell>
          <cell r="Q20">
            <v>784.68</v>
          </cell>
          <cell r="R20">
            <v>784.68</v>
          </cell>
          <cell r="S20">
            <v>784.68</v>
          </cell>
          <cell r="T20">
            <v>784.68</v>
          </cell>
          <cell r="U20">
            <v>784.68</v>
          </cell>
          <cell r="V20">
            <v>784.68</v>
          </cell>
          <cell r="W20">
            <v>784.68</v>
          </cell>
          <cell r="X20">
            <v>784.68</v>
          </cell>
          <cell r="Y20">
            <v>784.68</v>
          </cell>
          <cell r="Z20">
            <v>784.68</v>
          </cell>
          <cell r="AA20">
            <v>784.68</v>
          </cell>
        </row>
        <row r="21">
          <cell r="A21" t="str">
            <v>92365</v>
          </cell>
          <cell r="J21">
            <v>0</v>
          </cell>
          <cell r="O21" t="str">
            <v>92365</v>
          </cell>
          <cell r="P21">
            <v>0</v>
          </cell>
          <cell r="Q21">
            <v>0</v>
          </cell>
          <cell r="R21">
            <v>0</v>
          </cell>
          <cell r="S21">
            <v>0</v>
          </cell>
          <cell r="T21">
            <v>0</v>
          </cell>
          <cell r="U21">
            <v>0</v>
          </cell>
          <cell r="V21">
            <v>0</v>
          </cell>
          <cell r="W21">
            <v>0</v>
          </cell>
          <cell r="X21">
            <v>0</v>
          </cell>
          <cell r="Y21">
            <v>0</v>
          </cell>
          <cell r="Z21">
            <v>0</v>
          </cell>
          <cell r="AA21">
            <v>0</v>
          </cell>
        </row>
        <row r="22">
          <cell r="A22" t="str">
            <v>92370</v>
          </cell>
          <cell r="C22">
            <v>5334</v>
          </cell>
          <cell r="D22">
            <v>0</v>
          </cell>
          <cell r="I22">
            <v>406.5</v>
          </cell>
          <cell r="O22" t="str">
            <v>92370</v>
          </cell>
          <cell r="P22">
            <v>0</v>
          </cell>
          <cell r="Q22">
            <v>5334</v>
          </cell>
          <cell r="R22">
            <v>5334</v>
          </cell>
          <cell r="S22">
            <v>5334</v>
          </cell>
          <cell r="T22">
            <v>5334</v>
          </cell>
          <cell r="U22">
            <v>5334</v>
          </cell>
          <cell r="V22">
            <v>5334</v>
          </cell>
          <cell r="W22">
            <v>5740.5</v>
          </cell>
          <cell r="X22">
            <v>5740.5</v>
          </cell>
          <cell r="Y22">
            <v>5740.5</v>
          </cell>
          <cell r="Z22">
            <v>5740.5</v>
          </cell>
          <cell r="AA22">
            <v>5740.5</v>
          </cell>
        </row>
        <row r="23">
          <cell r="A23" t="str">
            <v>92375</v>
          </cell>
          <cell r="C23">
            <v>5069.76</v>
          </cell>
          <cell r="D23">
            <v>863.71</v>
          </cell>
          <cell r="F23">
            <v>4700.6499999999996</v>
          </cell>
          <cell r="H23">
            <v>101.82</v>
          </cell>
          <cell r="O23" t="str">
            <v>92375</v>
          </cell>
          <cell r="P23">
            <v>0</v>
          </cell>
          <cell r="Q23">
            <v>5069.76</v>
          </cell>
          <cell r="R23">
            <v>5933.47</v>
          </cell>
          <cell r="S23">
            <v>5933.47</v>
          </cell>
          <cell r="T23">
            <v>10634.119999999999</v>
          </cell>
          <cell r="U23">
            <v>10634.119999999999</v>
          </cell>
          <cell r="V23">
            <v>10735.939999999999</v>
          </cell>
          <cell r="W23">
            <v>10735.939999999999</v>
          </cell>
          <cell r="X23">
            <v>10735.939999999999</v>
          </cell>
          <cell r="Y23">
            <v>10735.939999999999</v>
          </cell>
          <cell r="Z23">
            <v>10735.939999999999</v>
          </cell>
          <cell r="AA23">
            <v>10735.939999999999</v>
          </cell>
        </row>
        <row r="24">
          <cell r="A24" t="str">
            <v>92387</v>
          </cell>
          <cell r="G24">
            <v>12181.01</v>
          </cell>
          <cell r="J24">
            <v>1330</v>
          </cell>
          <cell r="O24" t="str">
            <v>92387</v>
          </cell>
          <cell r="P24">
            <v>0</v>
          </cell>
          <cell r="Q24">
            <v>0</v>
          </cell>
          <cell r="R24">
            <v>0</v>
          </cell>
          <cell r="S24">
            <v>0</v>
          </cell>
          <cell r="T24">
            <v>0</v>
          </cell>
          <cell r="U24">
            <v>12181.01</v>
          </cell>
          <cell r="V24">
            <v>12181.01</v>
          </cell>
          <cell r="W24">
            <v>12181.01</v>
          </cell>
          <cell r="X24">
            <v>13511.01</v>
          </cell>
          <cell r="Y24">
            <v>13511.01</v>
          </cell>
          <cell r="Z24">
            <v>13511.01</v>
          </cell>
          <cell r="AA24">
            <v>13511.01</v>
          </cell>
        </row>
        <row r="25">
          <cell r="A25" t="str">
            <v>92390</v>
          </cell>
          <cell r="B25">
            <v>67167.44</v>
          </cell>
          <cell r="C25">
            <v>58636.98</v>
          </cell>
          <cell r="D25">
            <v>232738</v>
          </cell>
          <cell r="E25">
            <v>29266.03</v>
          </cell>
          <cell r="F25">
            <v>330.5</v>
          </cell>
          <cell r="H25">
            <v>1764.53</v>
          </cell>
          <cell r="I25">
            <v>87348.58</v>
          </cell>
          <cell r="J25">
            <v>17985.02</v>
          </cell>
          <cell r="O25" t="str">
            <v>92390</v>
          </cell>
          <cell r="P25">
            <v>67167.44</v>
          </cell>
          <cell r="Q25">
            <v>125804.42000000001</v>
          </cell>
          <cell r="R25">
            <v>358542.42000000004</v>
          </cell>
          <cell r="S25">
            <v>387808.45000000007</v>
          </cell>
          <cell r="T25">
            <v>388138.95000000007</v>
          </cell>
          <cell r="U25">
            <v>388138.95000000007</v>
          </cell>
          <cell r="V25">
            <v>389903.4800000001</v>
          </cell>
          <cell r="W25">
            <v>477252.06000000011</v>
          </cell>
          <cell r="X25">
            <v>495237.08000000013</v>
          </cell>
          <cell r="Y25">
            <v>495237.08000000013</v>
          </cell>
          <cell r="Z25">
            <v>495237.08000000013</v>
          </cell>
          <cell r="AA25">
            <v>495237.08000000013</v>
          </cell>
        </row>
        <row r="26">
          <cell r="A26" t="str">
            <v>92395</v>
          </cell>
          <cell r="D26">
            <v>494</v>
          </cell>
          <cell r="E26">
            <v>655.35</v>
          </cell>
          <cell r="H26">
            <v>666.4</v>
          </cell>
          <cell r="O26" t="str">
            <v>92395</v>
          </cell>
          <cell r="P26">
            <v>0</v>
          </cell>
          <cell r="Q26">
            <v>0</v>
          </cell>
          <cell r="R26">
            <v>494</v>
          </cell>
          <cell r="S26">
            <v>1149.3499999999999</v>
          </cell>
          <cell r="T26">
            <v>1149.3499999999999</v>
          </cell>
          <cell r="U26">
            <v>1149.3499999999999</v>
          </cell>
          <cell r="V26">
            <v>1815.75</v>
          </cell>
          <cell r="W26">
            <v>1815.75</v>
          </cell>
          <cell r="X26">
            <v>1815.75</v>
          </cell>
          <cell r="Y26">
            <v>1815.75</v>
          </cell>
          <cell r="Z26">
            <v>1815.75</v>
          </cell>
          <cell r="AA26">
            <v>1815.75</v>
          </cell>
        </row>
        <row r="27">
          <cell r="A27" t="str">
            <v>93000</v>
          </cell>
          <cell r="B27">
            <v>148262.76999999999</v>
          </cell>
          <cell r="C27">
            <v>230750.43</v>
          </cell>
          <cell r="D27">
            <v>250927.11</v>
          </cell>
          <cell r="E27">
            <v>250453.09</v>
          </cell>
          <cell r="F27">
            <v>163469.38</v>
          </cell>
          <cell r="G27">
            <v>218457.27</v>
          </cell>
          <cell r="H27">
            <v>210941.85</v>
          </cell>
          <cell r="I27">
            <v>144187.63</v>
          </cell>
          <cell r="J27">
            <v>221217.87</v>
          </cell>
          <cell r="O27" t="str">
            <v>93000</v>
          </cell>
          <cell r="P27">
            <v>148262.76999999999</v>
          </cell>
          <cell r="Q27">
            <v>379013.19999999995</v>
          </cell>
          <cell r="R27">
            <v>629940.30999999994</v>
          </cell>
          <cell r="S27">
            <v>880393.39999999991</v>
          </cell>
          <cell r="T27">
            <v>1043862.7799999999</v>
          </cell>
          <cell r="U27">
            <v>1262320.0499999998</v>
          </cell>
          <cell r="V27">
            <v>1473261.9</v>
          </cell>
          <cell r="W27">
            <v>1617449.5299999998</v>
          </cell>
          <cell r="X27">
            <v>1838667.4</v>
          </cell>
          <cell r="Y27">
            <v>1838667.4</v>
          </cell>
          <cell r="Z27">
            <v>1838667.4</v>
          </cell>
          <cell r="AA27">
            <v>1838667.4</v>
          </cell>
        </row>
        <row r="28">
          <cell r="A28" t="str">
            <v>93110</v>
          </cell>
          <cell r="B28">
            <v>838111.01</v>
          </cell>
          <cell r="C28">
            <v>-350432.81</v>
          </cell>
          <cell r="D28">
            <v>275632.12</v>
          </cell>
          <cell r="E28">
            <v>316121.59999999998</v>
          </cell>
          <cell r="F28">
            <v>246404.74</v>
          </cell>
          <cell r="G28">
            <v>179780.08</v>
          </cell>
          <cell r="H28">
            <v>179511.45</v>
          </cell>
          <cell r="I28">
            <v>266467.59000000003</v>
          </cell>
          <cell r="J28">
            <v>253212.84</v>
          </cell>
          <cell r="O28" t="str">
            <v>93110</v>
          </cell>
          <cell r="P28">
            <v>838111.01</v>
          </cell>
          <cell r="Q28">
            <v>487678.2</v>
          </cell>
          <cell r="R28">
            <v>763310.32000000007</v>
          </cell>
          <cell r="S28">
            <v>1079431.92</v>
          </cell>
          <cell r="T28">
            <v>1325836.6599999999</v>
          </cell>
          <cell r="U28">
            <v>1505616.74</v>
          </cell>
          <cell r="V28">
            <v>1685128.19</v>
          </cell>
          <cell r="W28">
            <v>1951595.78</v>
          </cell>
          <cell r="X28">
            <v>2204808.62</v>
          </cell>
          <cell r="Y28">
            <v>2204808.62</v>
          </cell>
          <cell r="Z28">
            <v>2204808.62</v>
          </cell>
          <cell r="AA28">
            <v>2204808.62</v>
          </cell>
        </row>
        <row r="29">
          <cell r="A29" t="str">
            <v>93120</v>
          </cell>
          <cell r="B29">
            <v>35616.31</v>
          </cell>
          <cell r="C29">
            <v>437094.41</v>
          </cell>
          <cell r="D29">
            <v>147177.75</v>
          </cell>
          <cell r="E29">
            <v>250063.59</v>
          </cell>
          <cell r="F29">
            <v>234113.01</v>
          </cell>
          <cell r="G29">
            <v>207419.15</v>
          </cell>
          <cell r="H29">
            <v>153930.07999999999</v>
          </cell>
          <cell r="I29">
            <v>281520.03000000003</v>
          </cell>
          <cell r="J29">
            <v>246177.5</v>
          </cell>
          <cell r="O29" t="str">
            <v>93120</v>
          </cell>
          <cell r="P29">
            <v>35616.31</v>
          </cell>
          <cell r="Q29">
            <v>472710.72</v>
          </cell>
          <cell r="R29">
            <v>619888.47</v>
          </cell>
          <cell r="S29">
            <v>869952.05999999994</v>
          </cell>
          <cell r="T29">
            <v>1104065.0699999998</v>
          </cell>
          <cell r="U29">
            <v>1311484.2199999997</v>
          </cell>
          <cell r="V29">
            <v>1465414.2999999998</v>
          </cell>
          <cell r="W29">
            <v>1746934.3299999998</v>
          </cell>
          <cell r="X29">
            <v>1993111.8299999998</v>
          </cell>
          <cell r="Y29">
            <v>1993111.8299999998</v>
          </cell>
          <cell r="Z29">
            <v>1993111.8299999998</v>
          </cell>
          <cell r="AA29">
            <v>1993111.8299999998</v>
          </cell>
        </row>
        <row r="30">
          <cell r="A30" t="str">
            <v>93130</v>
          </cell>
          <cell r="B30">
            <v>402161.65</v>
          </cell>
          <cell r="C30">
            <v>316456.31</v>
          </cell>
          <cell r="D30">
            <v>255215.4</v>
          </cell>
          <cell r="E30">
            <v>331939.51</v>
          </cell>
          <cell r="F30">
            <v>319634.78999999998</v>
          </cell>
          <cell r="G30">
            <v>220350.23</v>
          </cell>
          <cell r="H30">
            <v>217547.94</v>
          </cell>
          <cell r="I30">
            <v>301201.89</v>
          </cell>
          <cell r="J30">
            <v>336939.35</v>
          </cell>
          <cell r="O30" t="str">
            <v>93130</v>
          </cell>
          <cell r="P30">
            <v>402161.65</v>
          </cell>
          <cell r="Q30">
            <v>718617.96</v>
          </cell>
          <cell r="R30">
            <v>973833.36</v>
          </cell>
          <cell r="S30">
            <v>1305772.8700000001</v>
          </cell>
          <cell r="T30">
            <v>1625407.6600000001</v>
          </cell>
          <cell r="U30">
            <v>1845757.8900000001</v>
          </cell>
          <cell r="V30">
            <v>2063305.83</v>
          </cell>
          <cell r="W30">
            <v>2364507.7200000002</v>
          </cell>
          <cell r="X30">
            <v>2701447.0700000003</v>
          </cell>
          <cell r="Y30">
            <v>2701447.0700000003</v>
          </cell>
          <cell r="Z30">
            <v>2701447.0700000003</v>
          </cell>
          <cell r="AA30">
            <v>2701447.0700000003</v>
          </cell>
        </row>
        <row r="31">
          <cell r="A31" t="str">
            <v>93150</v>
          </cell>
          <cell r="B31">
            <v>40482.629999999997</v>
          </cell>
          <cell r="C31">
            <v>174544.55</v>
          </cell>
          <cell r="D31">
            <v>144281.84</v>
          </cell>
          <cell r="E31">
            <v>9173.06</v>
          </cell>
          <cell r="F31">
            <v>107321.3</v>
          </cell>
          <cell r="G31">
            <v>68657.23</v>
          </cell>
          <cell r="H31">
            <v>100005.52</v>
          </cell>
          <cell r="I31">
            <v>120258.91</v>
          </cell>
          <cell r="J31">
            <v>121412.44</v>
          </cell>
          <cell r="O31" t="str">
            <v>93150</v>
          </cell>
          <cell r="P31">
            <v>40482.629999999997</v>
          </cell>
          <cell r="Q31">
            <v>215027.18</v>
          </cell>
          <cell r="R31">
            <v>359309.02</v>
          </cell>
          <cell r="S31">
            <v>368482.08</v>
          </cell>
          <cell r="T31">
            <v>475803.38</v>
          </cell>
          <cell r="U31">
            <v>544460.61</v>
          </cell>
          <cell r="V31">
            <v>644466.13</v>
          </cell>
          <cell r="W31">
            <v>764725.04</v>
          </cell>
          <cell r="X31">
            <v>886137.48</v>
          </cell>
          <cell r="Y31">
            <v>886137.48</v>
          </cell>
          <cell r="Z31">
            <v>886137.48</v>
          </cell>
          <cell r="AA31">
            <v>886137.48</v>
          </cell>
        </row>
        <row r="32">
          <cell r="A32" t="str">
            <v>93200</v>
          </cell>
          <cell r="B32">
            <v>466430.75</v>
          </cell>
          <cell r="C32">
            <v>632403.06999999995</v>
          </cell>
          <cell r="D32">
            <v>534486.89</v>
          </cell>
          <cell r="E32">
            <v>607306.52</v>
          </cell>
          <cell r="F32">
            <v>549195.06999999995</v>
          </cell>
          <cell r="G32">
            <v>462982.16</v>
          </cell>
          <cell r="H32">
            <v>328035.63</v>
          </cell>
          <cell r="I32">
            <v>571094.92000000004</v>
          </cell>
          <cell r="J32">
            <v>615783.69999999995</v>
          </cell>
          <cell r="O32" t="str">
            <v>93200</v>
          </cell>
          <cell r="P32">
            <v>466430.75</v>
          </cell>
          <cell r="Q32">
            <v>1098833.8199999998</v>
          </cell>
          <cell r="R32">
            <v>1633320.71</v>
          </cell>
          <cell r="S32">
            <v>2240627.23</v>
          </cell>
          <cell r="T32">
            <v>2789822.3</v>
          </cell>
          <cell r="U32">
            <v>3252804.46</v>
          </cell>
          <cell r="V32">
            <v>3580840.09</v>
          </cell>
          <cell r="W32">
            <v>4151935.01</v>
          </cell>
          <cell r="X32">
            <v>4767718.71</v>
          </cell>
          <cell r="Y32">
            <v>4767718.71</v>
          </cell>
          <cell r="Z32">
            <v>4767718.71</v>
          </cell>
          <cell r="AA32">
            <v>4767718.71</v>
          </cell>
        </row>
        <row r="33">
          <cell r="A33" t="str">
            <v>93300</v>
          </cell>
          <cell r="B33">
            <v>318087.92</v>
          </cell>
          <cell r="C33">
            <v>399476.15</v>
          </cell>
          <cell r="D33">
            <v>423306.91</v>
          </cell>
          <cell r="E33">
            <v>418291.79</v>
          </cell>
          <cell r="F33">
            <v>353357.96</v>
          </cell>
          <cell r="G33">
            <v>384061.18</v>
          </cell>
          <cell r="H33">
            <v>258426.69</v>
          </cell>
          <cell r="I33">
            <v>385136.55</v>
          </cell>
          <cell r="J33">
            <v>434136.87</v>
          </cell>
          <cell r="O33" t="str">
            <v>93300</v>
          </cell>
          <cell r="P33">
            <v>318087.92</v>
          </cell>
          <cell r="Q33">
            <v>717564.07000000007</v>
          </cell>
          <cell r="R33">
            <v>1140870.98</v>
          </cell>
          <cell r="S33">
            <v>1559162.77</v>
          </cell>
          <cell r="T33">
            <v>1912520.73</v>
          </cell>
          <cell r="U33">
            <v>2296581.91</v>
          </cell>
          <cell r="V33">
            <v>2555008.6</v>
          </cell>
          <cell r="W33">
            <v>2940145.15</v>
          </cell>
          <cell r="X33">
            <v>3374282.02</v>
          </cell>
          <cell r="Y33">
            <v>3374282.02</v>
          </cell>
          <cell r="Z33">
            <v>3374282.02</v>
          </cell>
          <cell r="AA33">
            <v>3374282.02</v>
          </cell>
        </row>
        <row r="34">
          <cell r="A34" t="str">
            <v>93400</v>
          </cell>
          <cell r="B34">
            <v>166675.70000000001</v>
          </cell>
          <cell r="C34">
            <v>884139.99</v>
          </cell>
          <cell r="D34">
            <v>446130.11</v>
          </cell>
          <cell r="E34">
            <v>350469.27</v>
          </cell>
          <cell r="F34">
            <v>414043.75</v>
          </cell>
          <cell r="G34">
            <v>479006.54</v>
          </cell>
          <cell r="H34">
            <v>396794.95</v>
          </cell>
          <cell r="I34">
            <v>494917.31</v>
          </cell>
          <cell r="J34">
            <v>410201.34</v>
          </cell>
          <cell r="O34" t="str">
            <v>93400</v>
          </cell>
          <cell r="P34">
            <v>166675.70000000001</v>
          </cell>
          <cell r="Q34">
            <v>1050815.69</v>
          </cell>
          <cell r="R34">
            <v>1496945.7999999998</v>
          </cell>
          <cell r="S34">
            <v>1847415.0699999998</v>
          </cell>
          <cell r="T34">
            <v>2261458.8199999998</v>
          </cell>
          <cell r="U34">
            <v>2740465.36</v>
          </cell>
          <cell r="V34">
            <v>3137260.31</v>
          </cell>
          <cell r="W34">
            <v>3632177.62</v>
          </cell>
          <cell r="X34">
            <v>4042378.96</v>
          </cell>
          <cell r="Y34">
            <v>4042378.96</v>
          </cell>
          <cell r="Z34">
            <v>4042378.96</v>
          </cell>
          <cell r="AA34">
            <v>4042378.96</v>
          </cell>
        </row>
        <row r="35">
          <cell r="A35" t="str">
            <v>93500</v>
          </cell>
          <cell r="B35">
            <v>574802.68000000005</v>
          </cell>
          <cell r="C35">
            <v>56956.49</v>
          </cell>
          <cell r="D35">
            <v>187665.51</v>
          </cell>
          <cell r="E35">
            <v>448583.7</v>
          </cell>
          <cell r="F35">
            <v>967807.07</v>
          </cell>
          <cell r="G35">
            <v>86891.040000000066</v>
          </cell>
          <cell r="H35">
            <v>980962.6</v>
          </cell>
          <cell r="I35">
            <v>473239.34</v>
          </cell>
          <cell r="J35">
            <v>544567.19999999995</v>
          </cell>
          <cell r="O35" t="str">
            <v>93500</v>
          </cell>
          <cell r="P35">
            <v>574802.68000000005</v>
          </cell>
          <cell r="Q35">
            <v>631759.17000000004</v>
          </cell>
          <cell r="R35">
            <v>819424.68</v>
          </cell>
          <cell r="S35">
            <v>1268008.3800000001</v>
          </cell>
          <cell r="T35">
            <v>2235815.4500000002</v>
          </cell>
          <cell r="U35">
            <v>2322706.4900000002</v>
          </cell>
          <cell r="V35">
            <v>3303669.0900000003</v>
          </cell>
          <cell r="W35">
            <v>3776908.43</v>
          </cell>
          <cell r="X35">
            <v>4321475.63</v>
          </cell>
          <cell r="Y35">
            <v>4321475.63</v>
          </cell>
          <cell r="Z35">
            <v>4321475.63</v>
          </cell>
          <cell r="AA35">
            <v>4321475.63</v>
          </cell>
        </row>
        <row r="36">
          <cell r="A36" t="str">
            <v>93550</v>
          </cell>
          <cell r="B36">
            <v>775470.37</v>
          </cell>
          <cell r="C36">
            <v>660106.03</v>
          </cell>
          <cell r="D36">
            <v>677748.4</v>
          </cell>
          <cell r="E36">
            <v>801176.83</v>
          </cell>
          <cell r="F36">
            <v>735927.51</v>
          </cell>
          <cell r="G36">
            <v>547091.32999999996</v>
          </cell>
          <cell r="H36">
            <v>858161.08</v>
          </cell>
          <cell r="I36">
            <v>625363.65</v>
          </cell>
          <cell r="J36">
            <v>715900.49</v>
          </cell>
          <cell r="O36" t="str">
            <v>93550</v>
          </cell>
          <cell r="P36">
            <v>775470.37</v>
          </cell>
          <cell r="Q36">
            <v>1435576.4</v>
          </cell>
          <cell r="R36">
            <v>2113324.7999999998</v>
          </cell>
          <cell r="S36">
            <v>2914501.63</v>
          </cell>
          <cell r="T36">
            <v>3650429.1399999997</v>
          </cell>
          <cell r="U36">
            <v>4197520.47</v>
          </cell>
          <cell r="V36">
            <v>5055681.55</v>
          </cell>
          <cell r="W36">
            <v>5681045.2000000002</v>
          </cell>
          <cell r="X36">
            <v>6396945.6900000004</v>
          </cell>
          <cell r="Y36">
            <v>6396945.6900000004</v>
          </cell>
          <cell r="Z36">
            <v>6396945.6900000004</v>
          </cell>
          <cell r="AA36">
            <v>6396945.6900000004</v>
          </cell>
        </row>
        <row r="37">
          <cell r="A37" t="str">
            <v>93600</v>
          </cell>
          <cell r="B37">
            <v>1218911.99</v>
          </cell>
          <cell r="C37">
            <v>1194422.7</v>
          </cell>
          <cell r="D37">
            <v>1061550.6100000001</v>
          </cell>
          <cell r="E37">
            <v>1060979.99</v>
          </cell>
          <cell r="F37">
            <v>1203023.8600000001</v>
          </cell>
          <cell r="G37">
            <v>1165314.1499999999</v>
          </cell>
          <cell r="H37">
            <v>1165579.3899999999</v>
          </cell>
          <cell r="I37">
            <v>1294197.93</v>
          </cell>
          <cell r="J37">
            <v>1133771.8</v>
          </cell>
          <cell r="O37" t="str">
            <v>93600</v>
          </cell>
          <cell r="P37">
            <v>1218911.99</v>
          </cell>
          <cell r="Q37">
            <v>2413334.69</v>
          </cell>
          <cell r="R37">
            <v>3474885.3</v>
          </cell>
          <cell r="S37">
            <v>4535865.29</v>
          </cell>
          <cell r="T37">
            <v>5738889.1500000004</v>
          </cell>
          <cell r="U37">
            <v>6904203.3000000007</v>
          </cell>
          <cell r="V37">
            <v>8069782.6900000004</v>
          </cell>
          <cell r="W37">
            <v>9363980.620000001</v>
          </cell>
          <cell r="X37">
            <v>10497752.420000002</v>
          </cell>
          <cell r="Y37">
            <v>10497752.420000002</v>
          </cell>
          <cell r="Z37">
            <v>10497752.420000002</v>
          </cell>
          <cell r="AA37">
            <v>10497752.420000002</v>
          </cell>
        </row>
        <row r="38">
          <cell r="A38" t="str">
            <v>93650</v>
          </cell>
          <cell r="B38">
            <v>2358279.0499999998</v>
          </cell>
          <cell r="C38">
            <v>1683877.04</v>
          </cell>
          <cell r="D38">
            <v>2202545.4700000002</v>
          </cell>
          <cell r="E38">
            <v>2226436.61</v>
          </cell>
          <cell r="F38">
            <v>1716917.06</v>
          </cell>
          <cell r="G38">
            <v>3140712.33</v>
          </cell>
          <cell r="H38">
            <v>2456515.4700000002</v>
          </cell>
          <cell r="I38">
            <v>2209956.81</v>
          </cell>
          <cell r="J38">
            <v>5419539.0000000019</v>
          </cell>
          <cell r="O38" t="str">
            <v>93650</v>
          </cell>
          <cell r="P38">
            <v>2358279.0499999998</v>
          </cell>
          <cell r="Q38">
            <v>4042156.09</v>
          </cell>
          <cell r="R38">
            <v>6244701.5600000005</v>
          </cell>
          <cell r="S38">
            <v>8471138.1699999999</v>
          </cell>
          <cell r="T38">
            <v>10188055.23</v>
          </cell>
          <cell r="U38">
            <v>13328767.560000001</v>
          </cell>
          <cell r="V38">
            <v>15785283.030000001</v>
          </cell>
          <cell r="W38">
            <v>17995239.84</v>
          </cell>
          <cell r="X38">
            <v>23414778.840000004</v>
          </cell>
          <cell r="Y38">
            <v>23414778.840000004</v>
          </cell>
          <cell r="Z38">
            <v>23414778.840000004</v>
          </cell>
          <cell r="AA38">
            <v>23414778.840000004</v>
          </cell>
        </row>
        <row r="39">
          <cell r="A39" t="str">
            <v>93700</v>
          </cell>
          <cell r="B39">
            <v>727319.35</v>
          </cell>
          <cell r="C39">
            <v>438319.41</v>
          </cell>
          <cell r="D39">
            <v>780954.1</v>
          </cell>
          <cell r="E39">
            <v>671152.48</v>
          </cell>
          <cell r="F39">
            <v>670773.32999999996</v>
          </cell>
          <cell r="G39">
            <v>669424.89</v>
          </cell>
          <cell r="H39">
            <v>532002.03</v>
          </cell>
          <cell r="I39">
            <v>598141.31000000006</v>
          </cell>
          <cell r="J39">
            <v>678485.71</v>
          </cell>
          <cell r="O39" t="str">
            <v>93700</v>
          </cell>
          <cell r="P39">
            <v>727319.35</v>
          </cell>
          <cell r="Q39">
            <v>1165638.76</v>
          </cell>
          <cell r="R39">
            <v>1946592.8599999999</v>
          </cell>
          <cell r="S39">
            <v>2617745.34</v>
          </cell>
          <cell r="T39">
            <v>3288518.67</v>
          </cell>
          <cell r="U39">
            <v>3957943.56</v>
          </cell>
          <cell r="V39">
            <v>4489945.59</v>
          </cell>
          <cell r="W39">
            <v>5088086.9000000004</v>
          </cell>
          <cell r="X39">
            <v>5766572.6100000003</v>
          </cell>
          <cell r="Y39">
            <v>5766572.6100000003</v>
          </cell>
          <cell r="Z39">
            <v>5766572.6100000003</v>
          </cell>
          <cell r="AA39">
            <v>5766572.6100000003</v>
          </cell>
        </row>
        <row r="40">
          <cell r="A40" t="str">
            <v>93750</v>
          </cell>
          <cell r="B40">
            <v>1111973.77</v>
          </cell>
          <cell r="C40">
            <v>1498143.25</v>
          </cell>
          <cell r="D40">
            <v>999781.04</v>
          </cell>
          <cell r="E40">
            <v>1300780.54</v>
          </cell>
          <cell r="F40">
            <v>1240287.68</v>
          </cell>
          <cell r="G40">
            <v>1044857.09</v>
          </cell>
          <cell r="H40">
            <v>944630.37</v>
          </cell>
          <cell r="I40">
            <v>1405966.99</v>
          </cell>
          <cell r="J40">
            <v>1240348.3400000001</v>
          </cell>
          <cell r="O40" t="str">
            <v>93750</v>
          </cell>
          <cell r="P40">
            <v>1111973.77</v>
          </cell>
          <cell r="Q40">
            <v>2610117.02</v>
          </cell>
          <cell r="R40">
            <v>3609898.06</v>
          </cell>
          <cell r="S40">
            <v>4910678.5999999996</v>
          </cell>
          <cell r="T40">
            <v>6150966.2799999993</v>
          </cell>
          <cell r="U40">
            <v>7195823.3699999992</v>
          </cell>
          <cell r="V40">
            <v>8140453.7399999993</v>
          </cell>
          <cell r="W40">
            <v>9546420.7299999986</v>
          </cell>
          <cell r="X40">
            <v>10786769.069999998</v>
          </cell>
          <cell r="Y40">
            <v>10786769.069999998</v>
          </cell>
          <cell r="Z40">
            <v>10786769.069999998</v>
          </cell>
          <cell r="AA40">
            <v>10786769.069999998</v>
          </cell>
        </row>
        <row r="41">
          <cell r="A41" t="str">
            <v>93755</v>
          </cell>
          <cell r="E41">
            <v>511881.91</v>
          </cell>
          <cell r="F41">
            <v>368461.5</v>
          </cell>
          <cell r="G41">
            <v>360739.09</v>
          </cell>
          <cell r="H41">
            <v>307714.59999999998</v>
          </cell>
          <cell r="I41">
            <v>450936.79</v>
          </cell>
          <cell r="J41">
            <v>539852.43000000005</v>
          </cell>
          <cell r="O41" t="str">
            <v>93755</v>
          </cell>
          <cell r="P41">
            <v>0</v>
          </cell>
          <cell r="Q41">
            <v>0</v>
          </cell>
          <cell r="R41">
            <v>0</v>
          </cell>
          <cell r="S41">
            <v>511881.91</v>
          </cell>
          <cell r="T41">
            <v>880343.40999999992</v>
          </cell>
          <cell r="U41">
            <v>1241082.5</v>
          </cell>
          <cell r="V41">
            <v>1548797.1</v>
          </cell>
          <cell r="W41">
            <v>1999733.8900000001</v>
          </cell>
          <cell r="X41">
            <v>2539586.3200000003</v>
          </cell>
          <cell r="Y41">
            <v>2539586.3200000003</v>
          </cell>
          <cell r="Z41">
            <v>2539586.3200000003</v>
          </cell>
          <cell r="AA41">
            <v>2539586.3200000003</v>
          </cell>
        </row>
        <row r="42">
          <cell r="A42" t="str">
            <v>93800</v>
          </cell>
          <cell r="B42">
            <v>572866.98</v>
          </cell>
          <cell r="C42">
            <v>1369316.31</v>
          </cell>
          <cell r="D42">
            <v>758405.56</v>
          </cell>
          <cell r="E42">
            <v>1106107.7</v>
          </cell>
          <cell r="F42">
            <v>638145.28000000003</v>
          </cell>
          <cell r="G42">
            <v>715703.27</v>
          </cell>
          <cell r="H42">
            <v>474723</v>
          </cell>
          <cell r="I42">
            <v>821912.5</v>
          </cell>
          <cell r="J42">
            <v>598235.06000000006</v>
          </cell>
          <cell r="O42" t="str">
            <v>93800</v>
          </cell>
          <cell r="P42">
            <v>572866.98</v>
          </cell>
          <cell r="Q42">
            <v>1942183.29</v>
          </cell>
          <cell r="R42">
            <v>2700588.85</v>
          </cell>
          <cell r="S42">
            <v>3806696.55</v>
          </cell>
          <cell r="T42">
            <v>4444841.83</v>
          </cell>
          <cell r="U42">
            <v>5160545.0999999996</v>
          </cell>
          <cell r="V42">
            <v>5635268.0999999996</v>
          </cell>
          <cell r="W42">
            <v>6457180.5999999996</v>
          </cell>
          <cell r="X42">
            <v>7055415.6600000001</v>
          </cell>
          <cell r="Y42">
            <v>7055415.6600000001</v>
          </cell>
          <cell r="Z42">
            <v>7055415.6600000001</v>
          </cell>
          <cell r="AA42">
            <v>7055415.6600000001</v>
          </cell>
        </row>
        <row r="43">
          <cell r="A43" t="str">
            <v>93850</v>
          </cell>
          <cell r="B43">
            <v>759733.8</v>
          </cell>
          <cell r="C43">
            <v>800381.13</v>
          </cell>
          <cell r="D43">
            <v>750862.33</v>
          </cell>
          <cell r="E43">
            <v>645342.57999999996</v>
          </cell>
          <cell r="F43">
            <v>740134.77</v>
          </cell>
          <cell r="G43">
            <v>622517.11</v>
          </cell>
          <cell r="H43">
            <v>602597.02</v>
          </cell>
          <cell r="I43">
            <v>633334.91</v>
          </cell>
          <cell r="J43">
            <v>553335.21</v>
          </cell>
          <cell r="O43" t="str">
            <v>93850</v>
          </cell>
          <cell r="P43">
            <v>759733.8</v>
          </cell>
          <cell r="Q43">
            <v>1560114.9300000002</v>
          </cell>
          <cell r="R43">
            <v>2310977.2600000002</v>
          </cell>
          <cell r="S43">
            <v>2956319.8400000003</v>
          </cell>
          <cell r="T43">
            <v>3696454.6100000003</v>
          </cell>
          <cell r="U43">
            <v>4318971.7200000007</v>
          </cell>
          <cell r="V43">
            <v>4921568.74</v>
          </cell>
          <cell r="W43">
            <v>5554903.6500000004</v>
          </cell>
          <cell r="X43">
            <v>6108238.8600000003</v>
          </cell>
          <cell r="Y43">
            <v>6108238.8600000003</v>
          </cell>
          <cell r="Z43">
            <v>6108238.8600000003</v>
          </cell>
          <cell r="AA43">
            <v>6108238.8600000003</v>
          </cell>
        </row>
        <row r="44">
          <cell r="A44" t="str">
            <v>93900</v>
          </cell>
          <cell r="B44">
            <v>197200.52</v>
          </cell>
          <cell r="C44">
            <v>149903.72</v>
          </cell>
          <cell r="D44">
            <v>139839.48000000001</v>
          </cell>
          <cell r="E44">
            <v>172218.21</v>
          </cell>
          <cell r="F44">
            <v>196478.18</v>
          </cell>
          <cell r="G44">
            <v>168157.74</v>
          </cell>
          <cell r="H44">
            <v>184461.13</v>
          </cell>
          <cell r="I44">
            <v>183368.55</v>
          </cell>
          <cell r="J44">
            <v>102828.86</v>
          </cell>
          <cell r="O44" t="str">
            <v>93900</v>
          </cell>
          <cell r="P44">
            <v>197200.52</v>
          </cell>
          <cell r="Q44">
            <v>347104.24</v>
          </cell>
          <cell r="R44">
            <v>486943.72</v>
          </cell>
          <cell r="S44">
            <v>659161.92999999993</v>
          </cell>
          <cell r="T44">
            <v>855640.10999999987</v>
          </cell>
          <cell r="U44">
            <v>1023797.8499999999</v>
          </cell>
          <cell r="V44">
            <v>1208258.98</v>
          </cell>
          <cell r="W44">
            <v>1391627.53</v>
          </cell>
          <cell r="X44">
            <v>1494456.3900000001</v>
          </cell>
          <cell r="Y44">
            <v>1494456.3900000001</v>
          </cell>
          <cell r="Z44">
            <v>1494456.3900000001</v>
          </cell>
          <cell r="AA44">
            <v>1494456.3900000001</v>
          </cell>
        </row>
        <row r="45">
          <cell r="A45" t="str">
            <v>93910</v>
          </cell>
          <cell r="B45">
            <v>463042.39</v>
          </cell>
          <cell r="C45">
            <v>739315.9</v>
          </cell>
          <cell r="D45">
            <v>624629.06000000006</v>
          </cell>
          <cell r="E45">
            <v>515284.52</v>
          </cell>
          <cell r="F45">
            <v>647018.17000000004</v>
          </cell>
          <cell r="G45">
            <v>701803.98</v>
          </cell>
          <cell r="H45">
            <v>607567.79</v>
          </cell>
          <cell r="I45">
            <v>596272.54</v>
          </cell>
          <cell r="J45">
            <v>510434.79</v>
          </cell>
          <cell r="O45" t="str">
            <v>93910</v>
          </cell>
          <cell r="P45">
            <v>463042.39</v>
          </cell>
          <cell r="Q45">
            <v>1202358.29</v>
          </cell>
          <cell r="R45">
            <v>1826987.35</v>
          </cell>
          <cell r="S45">
            <v>2342271.87</v>
          </cell>
          <cell r="T45">
            <v>2989290.04</v>
          </cell>
          <cell r="U45">
            <v>3691094.02</v>
          </cell>
          <cell r="V45">
            <v>4298661.8100000005</v>
          </cell>
          <cell r="W45">
            <v>4894934.3500000006</v>
          </cell>
          <cell r="X45">
            <v>5405369.1400000006</v>
          </cell>
          <cell r="Y45">
            <v>5405369.1400000006</v>
          </cell>
          <cell r="Z45">
            <v>5405369.1400000006</v>
          </cell>
          <cell r="AA45">
            <v>5405369.1400000006</v>
          </cell>
        </row>
        <row r="46">
          <cell r="A46" t="str">
            <v>93920</v>
          </cell>
          <cell r="B46">
            <v>1083120.26</v>
          </cell>
          <cell r="C46">
            <v>375386.28</v>
          </cell>
          <cell r="D46">
            <v>227947.08</v>
          </cell>
          <cell r="E46">
            <v>682570.17</v>
          </cell>
          <cell r="F46">
            <v>622381.71</v>
          </cell>
          <cell r="G46">
            <v>587426.86</v>
          </cell>
          <cell r="H46">
            <v>1097771.8500000001</v>
          </cell>
          <cell r="I46">
            <v>557018.4</v>
          </cell>
          <cell r="J46">
            <v>1241134.95</v>
          </cell>
          <cell r="O46" t="str">
            <v>93920</v>
          </cell>
          <cell r="P46">
            <v>1083120.26</v>
          </cell>
          <cell r="Q46">
            <v>1458506.54</v>
          </cell>
          <cell r="R46">
            <v>1686453.62</v>
          </cell>
          <cell r="S46">
            <v>2369023.79</v>
          </cell>
          <cell r="T46">
            <v>2991405.5</v>
          </cell>
          <cell r="U46">
            <v>3578832.36</v>
          </cell>
          <cell r="V46">
            <v>4676604.21</v>
          </cell>
          <cell r="W46">
            <v>5233622.6100000003</v>
          </cell>
          <cell r="X46">
            <v>6474757.5600000005</v>
          </cell>
          <cell r="Y46">
            <v>6474757.5600000005</v>
          </cell>
          <cell r="Z46">
            <v>6474757.5600000005</v>
          </cell>
          <cell r="AA46">
            <v>6474757.5600000005</v>
          </cell>
        </row>
        <row r="47">
          <cell r="A47" t="str">
            <v>93930</v>
          </cell>
          <cell r="B47">
            <v>503253.07</v>
          </cell>
          <cell r="C47">
            <v>649279.89</v>
          </cell>
          <cell r="D47">
            <v>173137.34</v>
          </cell>
          <cell r="E47">
            <v>723989.02</v>
          </cell>
          <cell r="F47">
            <v>392686.9</v>
          </cell>
          <cell r="G47">
            <v>581295.93999999994</v>
          </cell>
          <cell r="H47">
            <v>565798.24</v>
          </cell>
          <cell r="I47">
            <v>501445.91</v>
          </cell>
          <cell r="J47">
            <v>572687</v>
          </cell>
          <cell r="O47" t="str">
            <v>93930</v>
          </cell>
          <cell r="P47">
            <v>503253.07</v>
          </cell>
          <cell r="Q47">
            <v>1152532.96</v>
          </cell>
          <cell r="R47">
            <v>1325670.3</v>
          </cell>
          <cell r="S47">
            <v>2049659.32</v>
          </cell>
          <cell r="T47">
            <v>2442346.2200000002</v>
          </cell>
          <cell r="U47">
            <v>3023642.16</v>
          </cell>
          <cell r="V47">
            <v>3589440.4000000004</v>
          </cell>
          <cell r="W47">
            <v>4090886.3100000005</v>
          </cell>
          <cell r="X47">
            <v>4663573.3100000005</v>
          </cell>
          <cell r="Y47">
            <v>4663573.3100000005</v>
          </cell>
          <cell r="Z47">
            <v>4663573.3100000005</v>
          </cell>
          <cell r="AA47">
            <v>4663573.3100000005</v>
          </cell>
        </row>
        <row r="48">
          <cell r="A48" t="str">
            <v>93940</v>
          </cell>
          <cell r="B48">
            <v>252585.82</v>
          </cell>
          <cell r="C48">
            <v>411386.43</v>
          </cell>
          <cell r="D48">
            <v>258155.07</v>
          </cell>
          <cell r="E48">
            <v>292729.99</v>
          </cell>
          <cell r="F48">
            <v>345405.52</v>
          </cell>
          <cell r="G48">
            <v>333705.39</v>
          </cell>
          <cell r="H48">
            <v>274337.63</v>
          </cell>
          <cell r="I48">
            <v>295643.25</v>
          </cell>
          <cell r="J48">
            <v>308278.09000000003</v>
          </cell>
          <cell r="O48" t="str">
            <v>93940</v>
          </cell>
          <cell r="P48">
            <v>252585.82</v>
          </cell>
          <cell r="Q48">
            <v>663972.25</v>
          </cell>
          <cell r="R48">
            <v>922127.32000000007</v>
          </cell>
          <cell r="S48">
            <v>1214857.31</v>
          </cell>
          <cell r="T48">
            <v>1560262.83</v>
          </cell>
          <cell r="U48">
            <v>1893968.2200000002</v>
          </cell>
          <cell r="V48">
            <v>2168305.85</v>
          </cell>
          <cell r="W48">
            <v>2463949.1</v>
          </cell>
          <cell r="X48">
            <v>2772227.19</v>
          </cell>
          <cell r="Y48">
            <v>2772227.19</v>
          </cell>
          <cell r="Z48">
            <v>2772227.19</v>
          </cell>
          <cell r="AA48">
            <v>2772227.19</v>
          </cell>
        </row>
        <row r="49">
          <cell r="A49" t="str">
            <v>93950</v>
          </cell>
          <cell r="B49">
            <v>538864.72</v>
          </cell>
          <cell r="C49">
            <v>456766.91</v>
          </cell>
          <cell r="D49">
            <v>678204.88</v>
          </cell>
          <cell r="E49">
            <v>262510.24</v>
          </cell>
          <cell r="F49">
            <v>240521.89</v>
          </cell>
          <cell r="G49">
            <v>375490.56</v>
          </cell>
          <cell r="H49">
            <v>374488.03</v>
          </cell>
          <cell r="I49">
            <v>434291.88</v>
          </cell>
          <cell r="J49">
            <v>327398.58</v>
          </cell>
          <cell r="O49" t="str">
            <v>93950</v>
          </cell>
          <cell r="P49">
            <v>538864.72</v>
          </cell>
          <cell r="Q49">
            <v>995631.62999999989</v>
          </cell>
          <cell r="R49">
            <v>1673836.5099999998</v>
          </cell>
          <cell r="S49">
            <v>1936346.7499999998</v>
          </cell>
          <cell r="T49">
            <v>2176868.6399999997</v>
          </cell>
          <cell r="U49">
            <v>2552359.1999999997</v>
          </cell>
          <cell r="V49">
            <v>2926847.2299999995</v>
          </cell>
          <cell r="W49">
            <v>3361139.1099999994</v>
          </cell>
          <cell r="X49">
            <v>3688537.6899999995</v>
          </cell>
          <cell r="Y49">
            <v>3688537.6899999995</v>
          </cell>
          <cell r="Z49">
            <v>3688537.6899999995</v>
          </cell>
          <cell r="AA49">
            <v>3688537.6899999995</v>
          </cell>
        </row>
        <row r="50">
          <cell r="A50" t="str">
            <v>92345</v>
          </cell>
          <cell r="J50">
            <v>10595</v>
          </cell>
          <cell r="O50" t="str">
            <v>92345</v>
          </cell>
          <cell r="P50">
            <v>0</v>
          </cell>
          <cell r="Q50">
            <v>0</v>
          </cell>
          <cell r="R50">
            <v>0</v>
          </cell>
          <cell r="S50">
            <v>0</v>
          </cell>
          <cell r="T50">
            <v>0</v>
          </cell>
          <cell r="U50">
            <v>0</v>
          </cell>
          <cell r="V50">
            <v>0</v>
          </cell>
          <cell r="W50">
            <v>0</v>
          </cell>
          <cell r="X50">
            <v>10595</v>
          </cell>
          <cell r="Y50">
            <v>10595</v>
          </cell>
          <cell r="Z50">
            <v>10595</v>
          </cell>
          <cell r="AA50">
            <v>10595</v>
          </cell>
        </row>
        <row r="51">
          <cell r="A51" t="str">
            <v>92356</v>
          </cell>
          <cell r="I51">
            <v>2011.79</v>
          </cell>
          <cell r="J51">
            <v>-105.85</v>
          </cell>
          <cell r="O51" t="str">
            <v>92356</v>
          </cell>
          <cell r="P51">
            <v>0</v>
          </cell>
          <cell r="Q51">
            <v>0</v>
          </cell>
          <cell r="R51">
            <v>0</v>
          </cell>
          <cell r="S51">
            <v>0</v>
          </cell>
          <cell r="T51">
            <v>0</v>
          </cell>
          <cell r="U51">
            <v>0</v>
          </cell>
          <cell r="V51">
            <v>0</v>
          </cell>
          <cell r="W51">
            <v>2011.79</v>
          </cell>
          <cell r="X51">
            <v>1905.94</v>
          </cell>
          <cell r="Y51">
            <v>1905.94</v>
          </cell>
          <cell r="Z51">
            <v>1905.94</v>
          </cell>
          <cell r="AA51">
            <v>1905.94</v>
          </cell>
        </row>
        <row r="52">
          <cell r="A52" t="str">
            <v>92394</v>
          </cell>
          <cell r="J52">
            <v>2261.09</v>
          </cell>
          <cell r="O52" t="str">
            <v>92394</v>
          </cell>
          <cell r="P52">
            <v>0</v>
          </cell>
          <cell r="Q52">
            <v>0</v>
          </cell>
          <cell r="R52">
            <v>0</v>
          </cell>
          <cell r="S52">
            <v>0</v>
          </cell>
          <cell r="T52">
            <v>0</v>
          </cell>
          <cell r="U52">
            <v>0</v>
          </cell>
          <cell r="V52">
            <v>0</v>
          </cell>
          <cell r="W52">
            <v>0</v>
          </cell>
          <cell r="X52">
            <v>2261.09</v>
          </cell>
          <cell r="Y52">
            <v>2261.09</v>
          </cell>
          <cell r="Z52">
            <v>2261.09</v>
          </cell>
          <cell r="AA52">
            <v>2261.09</v>
          </cell>
        </row>
        <row r="53">
          <cell r="O53" t="str">
            <v>Totalt</v>
          </cell>
          <cell r="P53">
            <v>15158173.500000002</v>
          </cell>
          <cell r="Q53">
            <v>30240132.810000002</v>
          </cell>
          <cell r="R53">
            <v>44023400.440000005</v>
          </cell>
          <cell r="S53">
            <v>60007732.700000003</v>
          </cell>
          <cell r="T53">
            <v>74873996.210000008</v>
          </cell>
          <cell r="U53">
            <v>92908293.300000012</v>
          </cell>
          <cell r="V53">
            <v>107912361.93000001</v>
          </cell>
          <cell r="W53">
            <v>123948291.04000001</v>
          </cell>
          <cell r="X53">
            <v>143766527.56</v>
          </cell>
          <cell r="Y53">
            <v>143766527.56</v>
          </cell>
          <cell r="Z53">
            <v>143766527.56</v>
          </cell>
          <cell r="AA53">
            <v>143766527.56</v>
          </cell>
        </row>
        <row r="54">
          <cell r="O54">
            <v>0</v>
          </cell>
          <cell r="P54">
            <v>0</v>
          </cell>
          <cell r="Q54">
            <v>0</v>
          </cell>
          <cell r="R54">
            <v>0</v>
          </cell>
          <cell r="S54">
            <v>0</v>
          </cell>
          <cell r="T54">
            <v>0</v>
          </cell>
          <cell r="U54">
            <v>0</v>
          </cell>
          <cell r="V54">
            <v>0</v>
          </cell>
          <cell r="W54">
            <v>0</v>
          </cell>
          <cell r="X54">
            <v>0</v>
          </cell>
          <cell r="Y54">
            <v>0</v>
          </cell>
          <cell r="Z54">
            <v>0</v>
          </cell>
          <cell r="AA54">
            <v>0</v>
          </cell>
        </row>
        <row r="55">
          <cell r="O55">
            <v>0</v>
          </cell>
          <cell r="P55">
            <v>0</v>
          </cell>
          <cell r="Q55">
            <v>0</v>
          </cell>
          <cell r="R55">
            <v>0</v>
          </cell>
          <cell r="S55">
            <v>0</v>
          </cell>
          <cell r="T55">
            <v>0</v>
          </cell>
          <cell r="U55">
            <v>0</v>
          </cell>
          <cell r="V55">
            <v>0</v>
          </cell>
          <cell r="W55">
            <v>0</v>
          </cell>
          <cell r="X55">
            <v>0</v>
          </cell>
          <cell r="Y55">
            <v>0</v>
          </cell>
          <cell r="Z55">
            <v>0</v>
          </cell>
          <cell r="AA55">
            <v>0</v>
          </cell>
        </row>
        <row r="56">
          <cell r="O56">
            <v>0</v>
          </cell>
          <cell r="P56">
            <v>0</v>
          </cell>
          <cell r="Q56">
            <v>0</v>
          </cell>
          <cell r="R56">
            <v>0</v>
          </cell>
          <cell r="S56">
            <v>0</v>
          </cell>
          <cell r="T56">
            <v>0</v>
          </cell>
          <cell r="U56">
            <v>0</v>
          </cell>
          <cell r="V56">
            <v>0</v>
          </cell>
          <cell r="W56">
            <v>0</v>
          </cell>
          <cell r="X56">
            <v>0</v>
          </cell>
          <cell r="Y56">
            <v>0</v>
          </cell>
          <cell r="Z56">
            <v>0</v>
          </cell>
          <cell r="AA56">
            <v>0</v>
          </cell>
        </row>
        <row r="57">
          <cell r="O57">
            <v>0</v>
          </cell>
          <cell r="P57">
            <v>0</v>
          </cell>
          <cell r="Q57">
            <v>0</v>
          </cell>
          <cell r="R57">
            <v>0</v>
          </cell>
          <cell r="S57">
            <v>0</v>
          </cell>
          <cell r="T57">
            <v>0</v>
          </cell>
          <cell r="U57">
            <v>0</v>
          </cell>
          <cell r="V57">
            <v>0</v>
          </cell>
          <cell r="W57">
            <v>0</v>
          </cell>
          <cell r="X57">
            <v>0</v>
          </cell>
          <cell r="Y57">
            <v>0</v>
          </cell>
          <cell r="Z57">
            <v>0</v>
          </cell>
          <cell r="AA57">
            <v>0</v>
          </cell>
        </row>
        <row r="58">
          <cell r="O58">
            <v>0</v>
          </cell>
          <cell r="P58">
            <v>0</v>
          </cell>
          <cell r="Q58">
            <v>0</v>
          </cell>
          <cell r="R58">
            <v>0</v>
          </cell>
          <cell r="S58">
            <v>0</v>
          </cell>
          <cell r="T58">
            <v>0</v>
          </cell>
          <cell r="U58">
            <v>0</v>
          </cell>
          <cell r="V58">
            <v>0</v>
          </cell>
          <cell r="W58">
            <v>0</v>
          </cell>
          <cell r="X58">
            <v>0</v>
          </cell>
          <cell r="Y58">
            <v>0</v>
          </cell>
          <cell r="Z58">
            <v>0</v>
          </cell>
          <cell r="AA58">
            <v>0</v>
          </cell>
        </row>
        <row r="59">
          <cell r="O59">
            <v>0</v>
          </cell>
          <cell r="P59">
            <v>0</v>
          </cell>
          <cell r="Q59">
            <v>0</v>
          </cell>
          <cell r="R59">
            <v>0</v>
          </cell>
          <cell r="S59">
            <v>0</v>
          </cell>
          <cell r="T59">
            <v>0</v>
          </cell>
          <cell r="U59">
            <v>0</v>
          </cell>
          <cell r="V59">
            <v>0</v>
          </cell>
          <cell r="W59">
            <v>0</v>
          </cell>
          <cell r="X59">
            <v>0</v>
          </cell>
          <cell r="Y59">
            <v>0</v>
          </cell>
          <cell r="Z59">
            <v>0</v>
          </cell>
          <cell r="AA59">
            <v>0</v>
          </cell>
        </row>
      </sheetData>
      <sheetData sheetId="12">
        <row r="8">
          <cell r="O8">
            <v>0</v>
          </cell>
          <cell r="P8">
            <v>-3253058.74</v>
          </cell>
          <cell r="Q8">
            <v>-6804979.9000000004</v>
          </cell>
          <cell r="R8">
            <v>-5587279.3100000005</v>
          </cell>
          <cell r="S8">
            <v>-4555082.0100000007</v>
          </cell>
          <cell r="T8">
            <v>-4029511.3200000008</v>
          </cell>
          <cell r="U8">
            <v>-1975689.6800000009</v>
          </cell>
          <cell r="V8">
            <v>-1862725.9000000008</v>
          </cell>
          <cell r="W8">
            <v>-801891.48000000091</v>
          </cell>
          <cell r="X8">
            <v>-226879.35000000149</v>
          </cell>
          <cell r="Y8">
            <v>-226879.35000000149</v>
          </cell>
          <cell r="Z8">
            <v>-226879.35000000149</v>
          </cell>
          <cell r="AA8">
            <v>-226879.35000000149</v>
          </cell>
        </row>
        <row r="9">
          <cell r="A9" t="str">
            <v>1000</v>
          </cell>
          <cell r="C9">
            <v>10734.55</v>
          </cell>
          <cell r="D9">
            <v>99372.68</v>
          </cell>
          <cell r="E9">
            <v>105783.9</v>
          </cell>
          <cell r="F9">
            <v>1945.82</v>
          </cell>
          <cell r="G9">
            <v>105987.06</v>
          </cell>
          <cell r="H9">
            <v>310557.03000000003</v>
          </cell>
          <cell r="I9">
            <v>30048.79</v>
          </cell>
          <cell r="J9">
            <v>69861.3</v>
          </cell>
          <cell r="O9" t="str">
            <v>1000</v>
          </cell>
          <cell r="P9">
            <v>0</v>
          </cell>
          <cell r="Q9">
            <v>10734.55</v>
          </cell>
          <cell r="R9">
            <v>110107.23</v>
          </cell>
          <cell r="S9">
            <v>215891.13</v>
          </cell>
          <cell r="T9">
            <v>217836.95</v>
          </cell>
          <cell r="U9">
            <v>323824.01</v>
          </cell>
          <cell r="V9">
            <v>634381.04</v>
          </cell>
          <cell r="W9">
            <v>664429.83000000007</v>
          </cell>
          <cell r="X9">
            <v>734291.13000000012</v>
          </cell>
          <cell r="Y9">
            <v>734291.13000000012</v>
          </cell>
          <cell r="Z9">
            <v>734291.13000000012</v>
          </cell>
          <cell r="AA9">
            <v>734291.13000000012</v>
          </cell>
        </row>
        <row r="10">
          <cell r="A10" t="str">
            <v>1001</v>
          </cell>
          <cell r="C10">
            <v>783</v>
          </cell>
          <cell r="D10">
            <v>13757.66</v>
          </cell>
          <cell r="E10">
            <v>980.31</v>
          </cell>
          <cell r="G10">
            <v>6624.6</v>
          </cell>
          <cell r="H10">
            <v>9402.5</v>
          </cell>
          <cell r="J10">
            <v>4466.13</v>
          </cell>
          <cell r="O10" t="str">
            <v>1001</v>
          </cell>
          <cell r="P10">
            <v>0</v>
          </cell>
          <cell r="Q10">
            <v>783</v>
          </cell>
          <cell r="R10">
            <v>14540.66</v>
          </cell>
          <cell r="S10">
            <v>15520.97</v>
          </cell>
          <cell r="T10">
            <v>15520.97</v>
          </cell>
          <cell r="U10">
            <v>22145.57</v>
          </cell>
          <cell r="V10">
            <v>31548.07</v>
          </cell>
          <cell r="W10">
            <v>31548.07</v>
          </cell>
          <cell r="X10">
            <v>36014.199999999997</v>
          </cell>
          <cell r="Y10">
            <v>36014.199999999997</v>
          </cell>
          <cell r="Z10">
            <v>36014.199999999997</v>
          </cell>
          <cell r="AA10">
            <v>36014.199999999997</v>
          </cell>
        </row>
        <row r="11">
          <cell r="A11" t="str">
            <v>1003</v>
          </cell>
          <cell r="B11">
            <v>7252.82</v>
          </cell>
          <cell r="C11">
            <v>11719.36</v>
          </cell>
          <cell r="H11">
            <v>16566.939999999999</v>
          </cell>
          <cell r="O11" t="str">
            <v>1003</v>
          </cell>
          <cell r="P11">
            <v>7252.82</v>
          </cell>
          <cell r="Q11">
            <v>18972.18</v>
          </cell>
          <cell r="R11">
            <v>18972.18</v>
          </cell>
          <cell r="S11">
            <v>18972.18</v>
          </cell>
          <cell r="T11">
            <v>18972.18</v>
          </cell>
          <cell r="U11">
            <v>18972.18</v>
          </cell>
          <cell r="V11">
            <v>35539.119999999995</v>
          </cell>
          <cell r="W11">
            <v>35539.119999999995</v>
          </cell>
          <cell r="X11">
            <v>35539.119999999995</v>
          </cell>
          <cell r="Y11">
            <v>35539.119999999995</v>
          </cell>
          <cell r="Z11">
            <v>35539.119999999995</v>
          </cell>
          <cell r="AA11">
            <v>35539.119999999995</v>
          </cell>
        </row>
        <row r="12">
          <cell r="A12" t="str">
            <v>1004</v>
          </cell>
          <cell r="B12">
            <v>125256.69</v>
          </cell>
          <cell r="C12">
            <v>152568.29</v>
          </cell>
          <cell r="D12">
            <v>254694.15</v>
          </cell>
          <cell r="E12">
            <v>255796.06</v>
          </cell>
          <cell r="F12">
            <v>373843.05</v>
          </cell>
          <cell r="G12">
            <v>218222.04</v>
          </cell>
          <cell r="H12">
            <v>193944.73</v>
          </cell>
          <cell r="I12">
            <v>230540.95</v>
          </cell>
          <cell r="J12">
            <v>231949.71</v>
          </cell>
          <cell r="O12" t="str">
            <v>1004</v>
          </cell>
          <cell r="P12">
            <v>125256.69</v>
          </cell>
          <cell r="Q12">
            <v>277824.98</v>
          </cell>
          <cell r="R12">
            <v>532519.13</v>
          </cell>
          <cell r="S12">
            <v>788315.19</v>
          </cell>
          <cell r="T12">
            <v>1162158.24</v>
          </cell>
          <cell r="U12">
            <v>1380380.28</v>
          </cell>
          <cell r="V12">
            <v>1574325.01</v>
          </cell>
          <cell r="W12">
            <v>1804865.96</v>
          </cell>
          <cell r="X12">
            <v>2036815.67</v>
          </cell>
          <cell r="Y12">
            <v>2036815.67</v>
          </cell>
          <cell r="Z12">
            <v>2036815.67</v>
          </cell>
          <cell r="AA12">
            <v>2036815.67</v>
          </cell>
        </row>
        <row r="13">
          <cell r="A13" t="str">
            <v>1005</v>
          </cell>
          <cell r="C13">
            <v>70422.179999999993</v>
          </cell>
          <cell r="E13">
            <v>0</v>
          </cell>
          <cell r="O13" t="str">
            <v>1005</v>
          </cell>
          <cell r="P13">
            <v>0</v>
          </cell>
          <cell r="Q13">
            <v>70422.179999999993</v>
          </cell>
          <cell r="R13">
            <v>70422.179999999993</v>
          </cell>
          <cell r="S13">
            <v>70422.179999999993</v>
          </cell>
          <cell r="T13">
            <v>70422.179999999993</v>
          </cell>
          <cell r="U13">
            <v>70422.179999999993</v>
          </cell>
          <cell r="V13">
            <v>70422.179999999993</v>
          </cell>
          <cell r="W13">
            <v>70422.179999999993</v>
          </cell>
          <cell r="X13">
            <v>70422.179999999993</v>
          </cell>
          <cell r="Y13">
            <v>70422.179999999993</v>
          </cell>
          <cell r="Z13">
            <v>70422.179999999993</v>
          </cell>
          <cell r="AA13">
            <v>70422.179999999993</v>
          </cell>
        </row>
        <row r="14">
          <cell r="A14" t="str">
            <v>1006</v>
          </cell>
          <cell r="B14">
            <v>125329.58</v>
          </cell>
          <cell r="C14">
            <v>72683.47</v>
          </cell>
          <cell r="D14">
            <v>2657.66</v>
          </cell>
          <cell r="E14">
            <v>97391.8</v>
          </cell>
          <cell r="F14">
            <v>32741.93</v>
          </cell>
          <cell r="G14">
            <v>79330.53</v>
          </cell>
          <cell r="H14">
            <v>96612.89</v>
          </cell>
          <cell r="I14">
            <v>9633.06</v>
          </cell>
          <cell r="J14">
            <v>50100.41</v>
          </cell>
          <cell r="O14" t="str">
            <v>1006</v>
          </cell>
          <cell r="P14">
            <v>125329.58</v>
          </cell>
          <cell r="Q14">
            <v>198013.05</v>
          </cell>
          <cell r="R14">
            <v>200670.71</v>
          </cell>
          <cell r="S14">
            <v>298062.51</v>
          </cell>
          <cell r="T14">
            <v>330804.44</v>
          </cell>
          <cell r="U14">
            <v>410134.97</v>
          </cell>
          <cell r="V14">
            <v>506747.86</v>
          </cell>
          <cell r="W14">
            <v>516380.92</v>
          </cell>
          <cell r="X14">
            <v>566481.32999999996</v>
          </cell>
          <cell r="Y14">
            <v>566481.32999999996</v>
          </cell>
          <cell r="Z14">
            <v>566481.32999999996</v>
          </cell>
          <cell r="AA14">
            <v>566481.32999999996</v>
          </cell>
        </row>
        <row r="15">
          <cell r="A15" t="str">
            <v>1007</v>
          </cell>
          <cell r="C15">
            <v>93265.33</v>
          </cell>
          <cell r="D15">
            <v>104084.64</v>
          </cell>
          <cell r="F15">
            <v>67436.7</v>
          </cell>
          <cell r="H15">
            <v>6677.42</v>
          </cell>
          <cell r="J15">
            <v>71000.009999999995</v>
          </cell>
          <cell r="O15" t="str">
            <v>1007</v>
          </cell>
          <cell r="P15">
            <v>0</v>
          </cell>
          <cell r="Q15">
            <v>93265.33</v>
          </cell>
          <cell r="R15">
            <v>197349.97</v>
          </cell>
          <cell r="S15">
            <v>197349.97</v>
          </cell>
          <cell r="T15">
            <v>264786.67</v>
          </cell>
          <cell r="U15">
            <v>264786.67</v>
          </cell>
          <cell r="V15">
            <v>271464.08999999997</v>
          </cell>
          <cell r="W15">
            <v>271464.08999999997</v>
          </cell>
          <cell r="X15">
            <v>342464.1</v>
          </cell>
          <cell r="Y15">
            <v>342464.1</v>
          </cell>
          <cell r="Z15">
            <v>342464.1</v>
          </cell>
          <cell r="AA15">
            <v>342464.1</v>
          </cell>
        </row>
        <row r="16">
          <cell r="A16" t="str">
            <v>1008</v>
          </cell>
          <cell r="B16">
            <v>65075.49</v>
          </cell>
          <cell r="C16">
            <v>4339.5200000000004</v>
          </cell>
          <cell r="D16">
            <v>1577.82</v>
          </cell>
          <cell r="E16">
            <v>20674.13</v>
          </cell>
          <cell r="F16">
            <v>433.87</v>
          </cell>
          <cell r="G16">
            <v>1880.24</v>
          </cell>
          <cell r="H16">
            <v>51478.720000000001</v>
          </cell>
          <cell r="J16">
            <v>1446.37</v>
          </cell>
          <cell r="O16" t="str">
            <v>1008</v>
          </cell>
          <cell r="P16">
            <v>65075.49</v>
          </cell>
          <cell r="Q16">
            <v>69415.009999999995</v>
          </cell>
          <cell r="R16">
            <v>70992.83</v>
          </cell>
          <cell r="S16">
            <v>91666.96</v>
          </cell>
          <cell r="T16">
            <v>92100.83</v>
          </cell>
          <cell r="U16">
            <v>93981.07</v>
          </cell>
          <cell r="V16">
            <v>145459.79</v>
          </cell>
          <cell r="W16">
            <v>145459.79</v>
          </cell>
          <cell r="X16">
            <v>146906.16</v>
          </cell>
          <cell r="Y16">
            <v>146906.16</v>
          </cell>
          <cell r="Z16">
            <v>146906.16</v>
          </cell>
          <cell r="AA16">
            <v>146906.16</v>
          </cell>
        </row>
        <row r="17">
          <cell r="A17" t="str">
            <v>1012</v>
          </cell>
          <cell r="B17">
            <v>43359.92</v>
          </cell>
          <cell r="C17">
            <v>1703.22</v>
          </cell>
          <cell r="D17">
            <v>1883.87</v>
          </cell>
          <cell r="F17">
            <v>570.53</v>
          </cell>
          <cell r="H17">
            <v>465.56</v>
          </cell>
          <cell r="O17" t="str">
            <v>1012</v>
          </cell>
          <cell r="P17">
            <v>43359.92</v>
          </cell>
          <cell r="Q17">
            <v>45063.14</v>
          </cell>
          <cell r="R17">
            <v>46947.01</v>
          </cell>
          <cell r="S17">
            <v>46947.01</v>
          </cell>
          <cell r="T17">
            <v>47517.54</v>
          </cell>
          <cell r="U17">
            <v>47517.54</v>
          </cell>
          <cell r="V17">
            <v>47983.1</v>
          </cell>
          <cell r="W17">
            <v>47983.1</v>
          </cell>
          <cell r="X17">
            <v>47983.1</v>
          </cell>
          <cell r="Y17">
            <v>47983.1</v>
          </cell>
          <cell r="Z17">
            <v>47983.1</v>
          </cell>
          <cell r="AA17">
            <v>47983.1</v>
          </cell>
        </row>
        <row r="18">
          <cell r="A18" t="str">
            <v>1013</v>
          </cell>
          <cell r="C18">
            <v>3800</v>
          </cell>
          <cell r="D18">
            <v>10462.9</v>
          </cell>
          <cell r="E18">
            <v>13703.63</v>
          </cell>
          <cell r="F18">
            <v>13165.73</v>
          </cell>
          <cell r="G18">
            <v>3600</v>
          </cell>
          <cell r="H18">
            <v>1923.79</v>
          </cell>
          <cell r="O18" t="str">
            <v>1013</v>
          </cell>
          <cell r="P18">
            <v>0</v>
          </cell>
          <cell r="Q18">
            <v>3800</v>
          </cell>
          <cell r="R18">
            <v>14262.9</v>
          </cell>
          <cell r="S18">
            <v>27966.53</v>
          </cell>
          <cell r="T18">
            <v>41132.259999999995</v>
          </cell>
          <cell r="U18">
            <v>44732.259999999995</v>
          </cell>
          <cell r="V18">
            <v>46656.049999999996</v>
          </cell>
          <cell r="W18">
            <v>46656.049999999996</v>
          </cell>
          <cell r="X18">
            <v>46656.049999999996</v>
          </cell>
          <cell r="Y18">
            <v>46656.049999999996</v>
          </cell>
          <cell r="Z18">
            <v>46656.049999999996</v>
          </cell>
          <cell r="AA18">
            <v>46656.049999999996</v>
          </cell>
        </row>
        <row r="19">
          <cell r="A19" t="str">
            <v>1016</v>
          </cell>
          <cell r="D19">
            <v>3514.5</v>
          </cell>
          <cell r="O19" t="str">
            <v>1016</v>
          </cell>
          <cell r="P19">
            <v>0</v>
          </cell>
          <cell r="Q19">
            <v>0</v>
          </cell>
          <cell r="R19">
            <v>3514.5</v>
          </cell>
          <cell r="S19">
            <v>3514.5</v>
          </cell>
          <cell r="T19">
            <v>3514.5</v>
          </cell>
          <cell r="U19">
            <v>3514.5</v>
          </cell>
          <cell r="V19">
            <v>3514.5</v>
          </cell>
          <cell r="W19">
            <v>3514.5</v>
          </cell>
          <cell r="X19">
            <v>3514.5</v>
          </cell>
          <cell r="Y19">
            <v>3514.5</v>
          </cell>
          <cell r="Z19">
            <v>3514.5</v>
          </cell>
          <cell r="AA19">
            <v>3514.5</v>
          </cell>
        </row>
        <row r="20">
          <cell r="A20" t="str">
            <v>1017</v>
          </cell>
          <cell r="C20">
            <v>240346.37</v>
          </cell>
          <cell r="D20">
            <v>5232.26</v>
          </cell>
          <cell r="F20">
            <v>4409.68</v>
          </cell>
          <cell r="G20">
            <v>54895.97</v>
          </cell>
          <cell r="H20">
            <v>79080</v>
          </cell>
          <cell r="I20">
            <v>8561.69</v>
          </cell>
          <cell r="J20">
            <v>55701.61</v>
          </cell>
          <cell r="O20" t="str">
            <v>1017</v>
          </cell>
          <cell r="P20">
            <v>0</v>
          </cell>
          <cell r="Q20">
            <v>240346.37</v>
          </cell>
          <cell r="R20">
            <v>245578.63</v>
          </cell>
          <cell r="S20">
            <v>245578.63</v>
          </cell>
          <cell r="T20">
            <v>249988.31</v>
          </cell>
          <cell r="U20">
            <v>304884.28000000003</v>
          </cell>
          <cell r="V20">
            <v>383964.28</v>
          </cell>
          <cell r="W20">
            <v>392525.97000000003</v>
          </cell>
          <cell r="X20">
            <v>448227.58</v>
          </cell>
          <cell r="Y20">
            <v>448227.58</v>
          </cell>
          <cell r="Z20">
            <v>448227.58</v>
          </cell>
          <cell r="AA20">
            <v>448227.58</v>
          </cell>
        </row>
        <row r="21">
          <cell r="A21" t="str">
            <v>1020</v>
          </cell>
          <cell r="F21">
            <v>8747.98</v>
          </cell>
          <cell r="O21" t="str">
            <v>1020</v>
          </cell>
          <cell r="P21">
            <v>0</v>
          </cell>
          <cell r="Q21">
            <v>0</v>
          </cell>
          <cell r="R21">
            <v>0</v>
          </cell>
          <cell r="S21">
            <v>0</v>
          </cell>
          <cell r="T21">
            <v>8747.98</v>
          </cell>
          <cell r="U21">
            <v>8747.98</v>
          </cell>
          <cell r="V21">
            <v>8747.98</v>
          </cell>
          <cell r="W21">
            <v>8747.98</v>
          </cell>
          <cell r="X21">
            <v>8747.98</v>
          </cell>
          <cell r="Y21">
            <v>8747.98</v>
          </cell>
          <cell r="Z21">
            <v>8747.98</v>
          </cell>
          <cell r="AA21">
            <v>8747.98</v>
          </cell>
        </row>
        <row r="22">
          <cell r="A22" t="str">
            <v>1023</v>
          </cell>
          <cell r="B22">
            <v>186060.88</v>
          </cell>
          <cell r="C22">
            <v>273755.46999999997</v>
          </cell>
          <cell r="D22">
            <v>146726.29</v>
          </cell>
          <cell r="E22">
            <v>13760.05</v>
          </cell>
          <cell r="F22">
            <v>92150</v>
          </cell>
          <cell r="O22" t="str">
            <v>1023</v>
          </cell>
          <cell r="P22">
            <v>186060.88</v>
          </cell>
          <cell r="Q22">
            <v>459816.35</v>
          </cell>
          <cell r="R22">
            <v>606542.64</v>
          </cell>
          <cell r="S22">
            <v>620302.69000000006</v>
          </cell>
          <cell r="T22">
            <v>712452.69000000006</v>
          </cell>
          <cell r="U22">
            <v>712452.69000000006</v>
          </cell>
          <cell r="V22">
            <v>712452.69000000006</v>
          </cell>
          <cell r="W22">
            <v>712452.69000000006</v>
          </cell>
          <cell r="X22">
            <v>712452.69000000006</v>
          </cell>
          <cell r="Y22">
            <v>712452.69000000006</v>
          </cell>
          <cell r="Z22">
            <v>712452.69000000006</v>
          </cell>
          <cell r="AA22">
            <v>712452.69000000006</v>
          </cell>
        </row>
        <row r="23">
          <cell r="A23" t="str">
            <v>1026</v>
          </cell>
          <cell r="B23">
            <v>62901.73</v>
          </cell>
          <cell r="C23">
            <v>38014.53</v>
          </cell>
          <cell r="D23">
            <v>34565.15</v>
          </cell>
          <cell r="E23">
            <v>81638.86</v>
          </cell>
          <cell r="F23">
            <v>2472.1799999999998</v>
          </cell>
          <cell r="G23">
            <v>7131.05</v>
          </cell>
          <cell r="H23">
            <v>35044.94</v>
          </cell>
          <cell r="I23">
            <v>32319.35</v>
          </cell>
          <cell r="J23">
            <v>5726.61</v>
          </cell>
          <cell r="O23" t="str">
            <v>1026</v>
          </cell>
          <cell r="P23">
            <v>62901.73</v>
          </cell>
          <cell r="Q23">
            <v>100916.26000000001</v>
          </cell>
          <cell r="R23">
            <v>135481.41</v>
          </cell>
          <cell r="S23">
            <v>217120.27000000002</v>
          </cell>
          <cell r="T23">
            <v>219592.45</v>
          </cell>
          <cell r="U23">
            <v>226723.5</v>
          </cell>
          <cell r="V23">
            <v>261768.44</v>
          </cell>
          <cell r="W23">
            <v>294087.78999999998</v>
          </cell>
          <cell r="X23">
            <v>299814.39999999997</v>
          </cell>
          <cell r="Y23">
            <v>299814.39999999997</v>
          </cell>
          <cell r="Z23">
            <v>299814.39999999997</v>
          </cell>
          <cell r="AA23">
            <v>299814.39999999997</v>
          </cell>
        </row>
        <row r="24">
          <cell r="A24" t="str">
            <v>1027</v>
          </cell>
          <cell r="B24">
            <v>695086.45</v>
          </cell>
          <cell r="C24">
            <v>115326.13</v>
          </cell>
          <cell r="D24">
            <v>760261.6</v>
          </cell>
          <cell r="E24">
            <v>297089.65000000002</v>
          </cell>
          <cell r="F24">
            <v>326701.17</v>
          </cell>
          <cell r="G24">
            <v>232835.29</v>
          </cell>
          <cell r="H24">
            <v>484816.37</v>
          </cell>
          <cell r="I24">
            <v>9011.7799999999897</v>
          </cell>
          <cell r="J24">
            <v>300199.38</v>
          </cell>
          <cell r="O24" t="str">
            <v>1027</v>
          </cell>
          <cell r="P24">
            <v>695086.45</v>
          </cell>
          <cell r="Q24">
            <v>810412.58</v>
          </cell>
          <cell r="R24">
            <v>1570674.18</v>
          </cell>
          <cell r="S24">
            <v>1867763.83</v>
          </cell>
          <cell r="T24">
            <v>2194465</v>
          </cell>
          <cell r="U24">
            <v>2427300.29</v>
          </cell>
          <cell r="V24">
            <v>2912116.66</v>
          </cell>
          <cell r="W24">
            <v>2921128.44</v>
          </cell>
          <cell r="X24">
            <v>3221327.82</v>
          </cell>
          <cell r="Y24">
            <v>3221327.82</v>
          </cell>
          <cell r="Z24">
            <v>3221327.82</v>
          </cell>
          <cell r="AA24">
            <v>3221327.82</v>
          </cell>
        </row>
        <row r="25">
          <cell r="A25" t="str">
            <v>1029</v>
          </cell>
          <cell r="B25">
            <v>376376.57</v>
          </cell>
          <cell r="C25">
            <v>576810.86</v>
          </cell>
          <cell r="D25">
            <v>461804.34</v>
          </cell>
          <cell r="E25">
            <v>420383.84</v>
          </cell>
          <cell r="F25">
            <v>451789.49</v>
          </cell>
          <cell r="G25">
            <v>613153.30000000005</v>
          </cell>
          <cell r="H25">
            <v>328829.34000000003</v>
          </cell>
          <cell r="I25">
            <v>473806.46</v>
          </cell>
          <cell r="J25">
            <v>330743.55</v>
          </cell>
          <cell r="O25" t="str">
            <v>1029</v>
          </cell>
          <cell r="P25">
            <v>376376.57</v>
          </cell>
          <cell r="Q25">
            <v>953187.42999999993</v>
          </cell>
          <cell r="R25">
            <v>1414991.77</v>
          </cell>
          <cell r="S25">
            <v>1835375.61</v>
          </cell>
          <cell r="T25">
            <v>2287165.1</v>
          </cell>
          <cell r="U25">
            <v>2900318.4000000004</v>
          </cell>
          <cell r="V25">
            <v>3229147.74</v>
          </cell>
          <cell r="W25">
            <v>3702954.2</v>
          </cell>
          <cell r="X25">
            <v>4033697.75</v>
          </cell>
          <cell r="Y25">
            <v>4033697.75</v>
          </cell>
          <cell r="Z25">
            <v>4033697.75</v>
          </cell>
          <cell r="AA25">
            <v>4033697.75</v>
          </cell>
        </row>
        <row r="26">
          <cell r="A26" t="str">
            <v>1032</v>
          </cell>
          <cell r="C26">
            <v>14815</v>
          </cell>
          <cell r="D26">
            <v>2037.9</v>
          </cell>
          <cell r="E26">
            <v>2037.9</v>
          </cell>
          <cell r="F26">
            <v>2037.9</v>
          </cell>
          <cell r="G26">
            <v>2037.9</v>
          </cell>
          <cell r="H26">
            <v>61294.35</v>
          </cell>
          <cell r="I26">
            <v>6113.71</v>
          </cell>
          <cell r="O26" t="str">
            <v>1032</v>
          </cell>
          <cell r="P26">
            <v>0</v>
          </cell>
          <cell r="Q26">
            <v>14815</v>
          </cell>
          <cell r="R26">
            <v>16852.900000000001</v>
          </cell>
          <cell r="S26">
            <v>18890.800000000003</v>
          </cell>
          <cell r="T26">
            <v>20928.700000000004</v>
          </cell>
          <cell r="U26">
            <v>22966.600000000006</v>
          </cell>
          <cell r="V26">
            <v>84260.950000000012</v>
          </cell>
          <cell r="W26">
            <v>90374.660000000018</v>
          </cell>
          <cell r="X26">
            <v>90374.660000000018</v>
          </cell>
          <cell r="Y26">
            <v>90374.660000000018</v>
          </cell>
          <cell r="Z26">
            <v>90374.660000000018</v>
          </cell>
          <cell r="AA26">
            <v>90374.660000000018</v>
          </cell>
        </row>
        <row r="27">
          <cell r="A27" t="str">
            <v>1033</v>
          </cell>
          <cell r="C27">
            <v>5635.5</v>
          </cell>
          <cell r="E27">
            <v>10967.04</v>
          </cell>
          <cell r="G27">
            <v>5369.89</v>
          </cell>
          <cell r="H27">
            <v>3882.51</v>
          </cell>
          <cell r="J27">
            <v>660.98</v>
          </cell>
          <cell r="O27" t="str">
            <v>1033</v>
          </cell>
          <cell r="P27">
            <v>0</v>
          </cell>
          <cell r="Q27">
            <v>5635.5</v>
          </cell>
          <cell r="R27">
            <v>5635.5</v>
          </cell>
          <cell r="S27">
            <v>16602.54</v>
          </cell>
          <cell r="T27">
            <v>16602.54</v>
          </cell>
          <cell r="U27">
            <v>21972.43</v>
          </cell>
          <cell r="V27">
            <v>25854.940000000002</v>
          </cell>
          <cell r="W27">
            <v>25854.940000000002</v>
          </cell>
          <cell r="X27">
            <v>26515.920000000002</v>
          </cell>
          <cell r="Y27">
            <v>26515.920000000002</v>
          </cell>
          <cell r="Z27">
            <v>26515.920000000002</v>
          </cell>
          <cell r="AA27">
            <v>26515.920000000002</v>
          </cell>
        </row>
        <row r="28">
          <cell r="A28" t="str">
            <v>1035</v>
          </cell>
          <cell r="D28">
            <v>74637</v>
          </cell>
          <cell r="O28" t="str">
            <v>1035</v>
          </cell>
          <cell r="P28">
            <v>0</v>
          </cell>
          <cell r="Q28">
            <v>0</v>
          </cell>
          <cell r="R28">
            <v>74637</v>
          </cell>
          <cell r="S28">
            <v>74637</v>
          </cell>
          <cell r="T28">
            <v>74637</v>
          </cell>
          <cell r="U28">
            <v>74637</v>
          </cell>
          <cell r="V28">
            <v>74637</v>
          </cell>
          <cell r="W28">
            <v>74637</v>
          </cell>
          <cell r="X28">
            <v>74637</v>
          </cell>
          <cell r="Y28">
            <v>74637</v>
          </cell>
          <cell r="Z28">
            <v>74637</v>
          </cell>
          <cell r="AA28">
            <v>74637</v>
          </cell>
        </row>
        <row r="29">
          <cell r="A29" t="str">
            <v>1036</v>
          </cell>
          <cell r="D29">
            <v>36366.379999999997</v>
          </cell>
          <cell r="O29" t="str">
            <v>1036</v>
          </cell>
          <cell r="P29">
            <v>0</v>
          </cell>
          <cell r="Q29">
            <v>0</v>
          </cell>
          <cell r="R29">
            <v>36366.379999999997</v>
          </cell>
          <cell r="S29">
            <v>36366.379999999997</v>
          </cell>
          <cell r="T29">
            <v>36366.379999999997</v>
          </cell>
          <cell r="U29">
            <v>36366.379999999997</v>
          </cell>
          <cell r="V29">
            <v>36366.379999999997</v>
          </cell>
          <cell r="W29">
            <v>36366.379999999997</v>
          </cell>
          <cell r="X29">
            <v>36366.379999999997</v>
          </cell>
          <cell r="Y29">
            <v>36366.379999999997</v>
          </cell>
          <cell r="Z29">
            <v>36366.379999999997</v>
          </cell>
          <cell r="AA29">
            <v>36366.379999999997</v>
          </cell>
        </row>
        <row r="30">
          <cell r="A30" t="str">
            <v>1037</v>
          </cell>
          <cell r="E30">
            <v>-14702.36</v>
          </cell>
          <cell r="H30">
            <v>1922.08</v>
          </cell>
          <cell r="I30">
            <v>2108.29</v>
          </cell>
          <cell r="J30">
            <v>7333.49</v>
          </cell>
          <cell r="O30" t="str">
            <v>1037</v>
          </cell>
          <cell r="P30">
            <v>0</v>
          </cell>
          <cell r="Q30">
            <v>0</v>
          </cell>
          <cell r="R30">
            <v>0</v>
          </cell>
          <cell r="S30">
            <v>-14702.36</v>
          </cell>
          <cell r="T30">
            <v>-14702.36</v>
          </cell>
          <cell r="U30">
            <v>-14702.36</v>
          </cell>
          <cell r="V30">
            <v>-12780.28</v>
          </cell>
          <cell r="W30">
            <v>-10671.990000000002</v>
          </cell>
          <cell r="X30">
            <v>-3338.5000000000018</v>
          </cell>
          <cell r="Y30">
            <v>-3338.5000000000018</v>
          </cell>
          <cell r="Z30">
            <v>-3338.5000000000018</v>
          </cell>
          <cell r="AA30">
            <v>-3338.5000000000018</v>
          </cell>
        </row>
        <row r="31">
          <cell r="A31" t="str">
            <v>1038</v>
          </cell>
          <cell r="E31">
            <v>-10429.4</v>
          </cell>
          <cell r="O31" t="str">
            <v>1038</v>
          </cell>
          <cell r="P31">
            <v>0</v>
          </cell>
          <cell r="Q31">
            <v>0</v>
          </cell>
          <cell r="R31">
            <v>0</v>
          </cell>
          <cell r="S31">
            <v>-10429.4</v>
          </cell>
          <cell r="T31">
            <v>-10429.4</v>
          </cell>
          <cell r="U31">
            <v>-10429.4</v>
          </cell>
          <cell r="V31">
            <v>-10429.4</v>
          </cell>
          <cell r="W31">
            <v>-10429.4</v>
          </cell>
          <cell r="X31">
            <v>-10429.4</v>
          </cell>
          <cell r="Y31">
            <v>-10429.4</v>
          </cell>
          <cell r="Z31">
            <v>-10429.4</v>
          </cell>
          <cell r="AA31">
            <v>-10429.4</v>
          </cell>
        </row>
        <row r="32">
          <cell r="A32" t="str">
            <v>1040</v>
          </cell>
          <cell r="D32">
            <v>145</v>
          </cell>
          <cell r="E32">
            <v>4817.68</v>
          </cell>
          <cell r="I32">
            <v>450</v>
          </cell>
          <cell r="O32" t="str">
            <v>1040</v>
          </cell>
          <cell r="P32">
            <v>0</v>
          </cell>
          <cell r="Q32">
            <v>0</v>
          </cell>
          <cell r="R32">
            <v>145</v>
          </cell>
          <cell r="S32">
            <v>4962.68</v>
          </cell>
          <cell r="T32">
            <v>4962.68</v>
          </cell>
          <cell r="U32">
            <v>4962.68</v>
          </cell>
          <cell r="V32">
            <v>4962.68</v>
          </cell>
          <cell r="W32">
            <v>5412.68</v>
          </cell>
          <cell r="X32">
            <v>5412.68</v>
          </cell>
          <cell r="Y32">
            <v>5412.68</v>
          </cell>
          <cell r="Z32">
            <v>5412.68</v>
          </cell>
          <cell r="AA32">
            <v>5412.68</v>
          </cell>
        </row>
        <row r="33">
          <cell r="A33" t="str">
            <v>1041</v>
          </cell>
          <cell r="C33">
            <v>23551.18</v>
          </cell>
          <cell r="E33">
            <v>-1.0000000002037268E-2</v>
          </cell>
          <cell r="O33" t="str">
            <v>1041</v>
          </cell>
          <cell r="P33">
            <v>0</v>
          </cell>
          <cell r="Q33">
            <v>23551.18</v>
          </cell>
          <cell r="R33">
            <v>23551.18</v>
          </cell>
          <cell r="S33">
            <v>23551.17</v>
          </cell>
          <cell r="T33">
            <v>23551.17</v>
          </cell>
          <cell r="U33">
            <v>23551.17</v>
          </cell>
          <cell r="V33">
            <v>23551.17</v>
          </cell>
          <cell r="W33">
            <v>23551.17</v>
          </cell>
          <cell r="X33">
            <v>23551.17</v>
          </cell>
          <cell r="Y33">
            <v>23551.17</v>
          </cell>
          <cell r="Z33">
            <v>23551.17</v>
          </cell>
          <cell r="AA33">
            <v>23551.17</v>
          </cell>
        </row>
        <row r="34">
          <cell r="A34" t="str">
            <v>1046</v>
          </cell>
          <cell r="D34">
            <v>136259.07</v>
          </cell>
          <cell r="F34">
            <v>3348.79</v>
          </cell>
          <cell r="O34" t="str">
            <v>1046</v>
          </cell>
          <cell r="P34">
            <v>0</v>
          </cell>
          <cell r="Q34">
            <v>0</v>
          </cell>
          <cell r="R34">
            <v>136259.07</v>
          </cell>
          <cell r="S34">
            <v>136259.07</v>
          </cell>
          <cell r="T34">
            <v>139607.86000000002</v>
          </cell>
          <cell r="U34">
            <v>139607.86000000002</v>
          </cell>
          <cell r="V34">
            <v>139607.86000000002</v>
          </cell>
          <cell r="W34">
            <v>139607.86000000002</v>
          </cell>
          <cell r="X34">
            <v>139607.86000000002</v>
          </cell>
          <cell r="Y34">
            <v>139607.86000000002</v>
          </cell>
          <cell r="Z34">
            <v>139607.86000000002</v>
          </cell>
          <cell r="AA34">
            <v>139607.86000000002</v>
          </cell>
        </row>
        <row r="35">
          <cell r="A35" t="str">
            <v>1048</v>
          </cell>
          <cell r="C35">
            <v>21662</v>
          </cell>
          <cell r="O35" t="str">
            <v>1048</v>
          </cell>
          <cell r="P35">
            <v>0</v>
          </cell>
          <cell r="Q35">
            <v>21662</v>
          </cell>
          <cell r="R35">
            <v>21662</v>
          </cell>
          <cell r="S35">
            <v>21662</v>
          </cell>
          <cell r="T35">
            <v>21662</v>
          </cell>
          <cell r="U35">
            <v>21662</v>
          </cell>
          <cell r="V35">
            <v>21662</v>
          </cell>
          <cell r="W35">
            <v>21662</v>
          </cell>
          <cell r="X35">
            <v>21662</v>
          </cell>
          <cell r="Y35">
            <v>21662</v>
          </cell>
          <cell r="Z35">
            <v>21662</v>
          </cell>
          <cell r="AA35">
            <v>21662</v>
          </cell>
        </row>
        <row r="36">
          <cell r="A36" t="str">
            <v>1053</v>
          </cell>
          <cell r="E36">
            <v>350</v>
          </cell>
          <cell r="O36" t="str">
            <v>1053</v>
          </cell>
          <cell r="P36">
            <v>0</v>
          </cell>
          <cell r="Q36">
            <v>0</v>
          </cell>
          <cell r="R36">
            <v>0</v>
          </cell>
          <cell r="S36">
            <v>350</v>
          </cell>
          <cell r="T36">
            <v>350</v>
          </cell>
          <cell r="U36">
            <v>350</v>
          </cell>
          <cell r="V36">
            <v>350</v>
          </cell>
          <cell r="W36">
            <v>350</v>
          </cell>
          <cell r="X36">
            <v>350</v>
          </cell>
          <cell r="Y36">
            <v>350</v>
          </cell>
          <cell r="Z36">
            <v>350</v>
          </cell>
          <cell r="AA36">
            <v>350</v>
          </cell>
        </row>
        <row r="37">
          <cell r="A37" t="str">
            <v>1055</v>
          </cell>
          <cell r="G37">
            <v>143.69</v>
          </cell>
          <cell r="H37">
            <v>2095.75</v>
          </cell>
          <cell r="I37">
            <v>2204.84</v>
          </cell>
          <cell r="J37">
            <v>133127.01</v>
          </cell>
          <cell r="O37" t="str">
            <v>1055</v>
          </cell>
          <cell r="P37">
            <v>0</v>
          </cell>
          <cell r="Q37">
            <v>0</v>
          </cell>
          <cell r="R37">
            <v>0</v>
          </cell>
          <cell r="S37">
            <v>0</v>
          </cell>
          <cell r="T37">
            <v>0</v>
          </cell>
          <cell r="U37">
            <v>143.69</v>
          </cell>
          <cell r="V37">
            <v>2239.44</v>
          </cell>
          <cell r="W37">
            <v>4444.2800000000007</v>
          </cell>
          <cell r="X37">
            <v>137571.29</v>
          </cell>
          <cell r="Y37">
            <v>137571.29</v>
          </cell>
          <cell r="Z37">
            <v>137571.29</v>
          </cell>
          <cell r="AA37">
            <v>137571.29</v>
          </cell>
        </row>
        <row r="38">
          <cell r="O38" t="str">
            <v>Totalt</v>
          </cell>
          <cell r="P38">
            <v>-1566358.61</v>
          </cell>
          <cell r="Q38">
            <v>-3386343.81</v>
          </cell>
          <cell r="R38">
            <v>-18602.350000000093</v>
          </cell>
          <cell r="S38">
            <v>2313838.0299999998</v>
          </cell>
          <cell r="T38">
            <v>4221203.54</v>
          </cell>
          <cell r="U38">
            <v>7606236.7400000002</v>
          </cell>
          <cell r="V38">
            <v>9403795.4399999995</v>
          </cell>
          <cell r="W38">
            <v>11269428.779999999</v>
          </cell>
          <cell r="X38">
            <v>13106757.469999999</v>
          </cell>
          <cell r="Y38">
            <v>13106757.469999999</v>
          </cell>
          <cell r="Z38">
            <v>13106757.469999999</v>
          </cell>
          <cell r="AA38">
            <v>13106757.469999999</v>
          </cell>
        </row>
        <row r="39">
          <cell r="O39">
            <v>0</v>
          </cell>
          <cell r="P39">
            <v>0</v>
          </cell>
          <cell r="Q39">
            <v>0</v>
          </cell>
          <cell r="R39">
            <v>0</v>
          </cell>
          <cell r="S39">
            <v>0</v>
          </cell>
          <cell r="T39">
            <v>0</v>
          </cell>
          <cell r="U39">
            <v>0</v>
          </cell>
          <cell r="V39">
            <v>0</v>
          </cell>
          <cell r="W39">
            <v>0</v>
          </cell>
          <cell r="X39">
            <v>0</v>
          </cell>
          <cell r="Y39">
            <v>0</v>
          </cell>
          <cell r="Z39">
            <v>0</v>
          </cell>
          <cell r="AA39">
            <v>0</v>
          </cell>
        </row>
        <row r="40">
          <cell r="O40">
            <v>0</v>
          </cell>
          <cell r="P40">
            <v>0</v>
          </cell>
          <cell r="Q40">
            <v>0</v>
          </cell>
          <cell r="R40">
            <v>0</v>
          </cell>
          <cell r="S40">
            <v>0</v>
          </cell>
          <cell r="T40">
            <v>0</v>
          </cell>
          <cell r="U40">
            <v>0</v>
          </cell>
          <cell r="V40">
            <v>0</v>
          </cell>
          <cell r="W40">
            <v>0</v>
          </cell>
          <cell r="X40">
            <v>0</v>
          </cell>
          <cell r="Y40">
            <v>0</v>
          </cell>
          <cell r="Z40">
            <v>0</v>
          </cell>
          <cell r="AA40">
            <v>0</v>
          </cell>
        </row>
        <row r="41">
          <cell r="O41">
            <v>0</v>
          </cell>
          <cell r="P41">
            <v>0</v>
          </cell>
          <cell r="Q41">
            <v>0</v>
          </cell>
          <cell r="R41">
            <v>0</v>
          </cell>
          <cell r="S41">
            <v>0</v>
          </cell>
          <cell r="T41">
            <v>0</v>
          </cell>
          <cell r="U41">
            <v>0</v>
          </cell>
          <cell r="V41">
            <v>0</v>
          </cell>
          <cell r="W41">
            <v>0</v>
          </cell>
          <cell r="X41">
            <v>0</v>
          </cell>
          <cell r="Y41">
            <v>0</v>
          </cell>
          <cell r="Z41">
            <v>0</v>
          </cell>
          <cell r="AA41">
            <v>0</v>
          </cell>
        </row>
        <row r="42">
          <cell r="O42">
            <v>0</v>
          </cell>
          <cell r="P42">
            <v>0</v>
          </cell>
          <cell r="Q42">
            <v>0</v>
          </cell>
          <cell r="R42">
            <v>0</v>
          </cell>
          <cell r="S42">
            <v>0</v>
          </cell>
          <cell r="T42">
            <v>0</v>
          </cell>
          <cell r="U42">
            <v>0</v>
          </cell>
          <cell r="V42">
            <v>0</v>
          </cell>
          <cell r="W42">
            <v>0</v>
          </cell>
          <cell r="X42">
            <v>0</v>
          </cell>
          <cell r="Y42">
            <v>0</v>
          </cell>
          <cell r="Z42">
            <v>0</v>
          </cell>
          <cell r="AA42">
            <v>0</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Version History"/>
      <sheetName val="imports"/>
      <sheetName val="C5"/>
      <sheetName val="other sources"/>
      <sheetName val="HH"/>
      <sheetName val="S"/>
      <sheetName val="M"/>
      <sheetName val="L"/>
      <sheetName val="FREV1"/>
      <sheetName val="FREV2"/>
      <sheetName val="FREV3"/>
      <sheetName val="foldback"/>
      <sheetName val="C1"/>
      <sheetName val="C2"/>
      <sheetName val="C3"/>
      <sheetName val="C4"/>
      <sheetName val="C6"/>
      <sheetName val="C7"/>
      <sheetName val="C8"/>
      <sheetName val="C-Por"/>
      <sheetName val="C-Gr"/>
      <sheetName val="C-Swi"/>
      <sheetName val="C-Swe"/>
      <sheetName val="C-No"/>
      <sheetName val="C-Ne"/>
      <sheetName val="C-Fi"/>
      <sheetName val="C-Dk"/>
      <sheetName val="C-Os"/>
      <sheetName val="C-UK"/>
      <sheetName val="C-Ar"/>
      <sheetName val="C-Fr"/>
      <sheetName val="C-Ge"/>
      <sheetName val="C-It"/>
      <sheetName val="C-J"/>
      <sheetName val="C-US"/>
    </sheetNames>
    <sheetDataSet>
      <sheetData sheetId="0">
        <row r="5">
          <cell r="B5" t="str">
            <v>fixed seeds</v>
          </cell>
        </row>
        <row r="6">
          <cell r="B6" t="str">
            <v>models site numbers and spend per site for seed countries</v>
          </cell>
        </row>
        <row r="8">
          <cell r="B8" t="str">
            <v>v0</v>
          </cell>
        </row>
        <row r="9">
          <cell r="B9" t="str">
            <v>Under construction</v>
          </cell>
        </row>
        <row r="14">
          <cell r="B14" t="str">
            <v>andrew entwistle</v>
          </cell>
        </row>
        <row r="15">
          <cell r="B15" t="str">
            <v>andrew@newstreetresearch.com</v>
          </cell>
        </row>
      </sheetData>
      <sheetData sheetId="1" refreshError="1"/>
      <sheetData sheetId="2"/>
      <sheetData sheetId="3" refreshError="1"/>
      <sheetData sheetId="4" refreshError="1"/>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 Debt Roll"/>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ﾃﾞｰﾀ加工(MTD)"/>
      <sheetName val="ﾃﾞｰﾀ加工(YTD)"/>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Fixed"/>
      <sheetName val="ConsQ107"/>
      <sheetName val="Interims_IFRS"/>
      <sheetName val="Mobile_new"/>
      <sheetName val="Analysis"/>
      <sheetName val="Interims"/>
      <sheetName val="Pen modeller"/>
      <sheetName val="Valuation"/>
      <sheetName val="George"/>
      <sheetName val="SOP"/>
      <sheetName val="Graphs"/>
      <sheetName val="quarterly"/>
      <sheetName val="Mob Norway"/>
      <sheetName val="Thai"/>
      <sheetName val="Kyiv"/>
      <sheetName val="Gram"/>
      <sheetName val="Digi"/>
      <sheetName val="Sweden"/>
      <sheetName val="Pak"/>
      <sheetName val="networks II - OLD"/>
      <sheetName val="Sonofon"/>
      <sheetName val="Pannon"/>
      <sheetName val="Serbia"/>
      <sheetName val="GDP sense check"/>
      <sheetName val="Other unts"/>
      <sheetName val="2003 deals"/>
      <sheetName val="changes q32003"/>
      <sheetName val="Notes"/>
      <sheetName val="ITU inputs for mobile"/>
      <sheetName val="buyback"/>
      <sheetName val="restated prior years"/>
      <sheetName val="Industry Model"/>
      <sheetName val="Debt"/>
      <sheetName val="Debt ratios"/>
      <sheetName val="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Group"/>
      <sheetName val="Quarterlies"/>
      <sheetName val="Valuation"/>
      <sheetName val="Wireline"/>
      <sheetName val="Market"/>
      <sheetName val="Outpayments"/>
      <sheetName val="Sheet1"/>
      <sheetName val="Global Services"/>
      <sheetName val="FRS17"/>
      <sheetName val="George"/>
      <sheetName val="Cost Analy"/>
      <sheetName val="charts"/>
      <sheetName val="questions"/>
      <sheetName val="IM"/>
      <sheetName val="Debt"/>
      <sheetName val="debt 20F"/>
      <sheetName val="Debt ratios"/>
      <sheetName val="Charts Jan 05"/>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refreshError="1">
        <row r="12">
          <cell r="K12" t="str">
            <v>UKP millions</v>
          </cell>
          <cell r="L12" t="str">
            <v>v3</v>
          </cell>
          <cell r="M12">
            <v>38008.59294386574</v>
          </cell>
        </row>
        <row r="13">
          <cell r="K13" t="str">
            <v>UKP millions</v>
          </cell>
          <cell r="L13" t="str">
            <v>v3</v>
          </cell>
          <cell r="M13">
            <v>38008.59294386574</v>
          </cell>
        </row>
        <row r="14">
          <cell r="K14" t="str">
            <v>UKP millions</v>
          </cell>
          <cell r="L14" t="str">
            <v>v3</v>
          </cell>
          <cell r="M14">
            <v>38008.59294386574</v>
          </cell>
          <cell r="AA14">
            <v>12387.769999999999</v>
          </cell>
          <cell r="AB14">
            <v>13370</v>
          </cell>
          <cell r="AC14">
            <v>14067.191011100091</v>
          </cell>
          <cell r="AD14">
            <v>13817.320772919136</v>
          </cell>
          <cell r="AE14">
            <v>13809.68496666932</v>
          </cell>
          <cell r="AF14">
            <v>14082.449148150023</v>
          </cell>
          <cell r="AG14">
            <v>14129.228105830436</v>
          </cell>
          <cell r="AH14">
            <v>14140.064355242996</v>
          </cell>
          <cell r="AI14">
            <v>14087.20710586432</v>
          </cell>
          <cell r="AJ14">
            <v>14021.5411091519</v>
          </cell>
          <cell r="AK14">
            <v>13940.313693105927</v>
          </cell>
          <cell r="AL14">
            <v>13823.741864644662</v>
          </cell>
        </row>
        <row r="15">
          <cell r="K15" t="str">
            <v>UKP millions</v>
          </cell>
          <cell r="L15" t="str">
            <v>v3</v>
          </cell>
          <cell r="M15">
            <v>38008.59294386574</v>
          </cell>
          <cell r="AA15">
            <v>344.75</v>
          </cell>
          <cell r="AB15">
            <v>361.17999999999984</v>
          </cell>
          <cell r="AC15">
            <v>330.4422676171057</v>
          </cell>
          <cell r="AD15">
            <v>394.19119123862538</v>
          </cell>
          <cell r="AE15">
            <v>354.05332148453499</v>
          </cell>
          <cell r="AF15">
            <v>162.16521066052019</v>
          </cell>
          <cell r="AG15">
            <v>124.76613676321813</v>
          </cell>
          <cell r="AH15">
            <v>167.77386253554914</v>
          </cell>
          <cell r="AI15">
            <v>194.12031483954661</v>
          </cell>
          <cell r="AJ15">
            <v>214.03415076793772</v>
          </cell>
          <cell r="AK15">
            <v>226.06293048617135</v>
          </cell>
          <cell r="AL15">
            <v>226.34094569312174</v>
          </cell>
        </row>
        <row r="16">
          <cell r="K16" t="str">
            <v>UKP millions</v>
          </cell>
          <cell r="L16" t="str">
            <v>v3</v>
          </cell>
          <cell r="M16">
            <v>38008.59294386574</v>
          </cell>
        </row>
        <row r="17">
          <cell r="K17" t="str">
            <v>UKP millions</v>
          </cell>
          <cell r="L17" t="str">
            <v>v3</v>
          </cell>
          <cell r="M17">
            <v>38008.59294386574</v>
          </cell>
          <cell r="W17">
            <v>721.7593283582089</v>
          </cell>
          <cell r="X17">
            <v>810.6343283582089</v>
          </cell>
          <cell r="Y17">
            <v>1081.6809701492537</v>
          </cell>
          <cell r="Z17">
            <v>1535.1940298507461</v>
          </cell>
          <cell r="AA17">
            <v>1941.75</v>
          </cell>
          <cell r="AB17">
            <v>1898.57</v>
          </cell>
          <cell r="AC17">
            <v>1769.3858</v>
          </cell>
          <cell r="AD17">
            <v>1663.2226519999999</v>
          </cell>
          <cell r="AE17">
            <v>1587.9857739199999</v>
          </cell>
          <cell r="AF17">
            <v>1524.4663429631996</v>
          </cell>
          <cell r="AG17">
            <v>1463.4876892446719</v>
          </cell>
          <cell r="AH17">
            <v>1404.9481816748851</v>
          </cell>
          <cell r="AI17">
            <v>1348.7502544078893</v>
          </cell>
          <cell r="AJ17">
            <v>1294.8002442315737</v>
          </cell>
          <cell r="AK17">
            <v>1243.0082344623108</v>
          </cell>
          <cell r="AL17">
            <v>1193.2879050838183</v>
          </cell>
        </row>
        <row r="18">
          <cell r="K18" t="str">
            <v>UKP millions</v>
          </cell>
          <cell r="L18" t="str">
            <v>v3</v>
          </cell>
          <cell r="M18">
            <v>38008.59294386574</v>
          </cell>
          <cell r="W18">
            <v>448.97867803837971</v>
          </cell>
          <cell r="X18">
            <v>504.26439232409399</v>
          </cell>
          <cell r="Y18">
            <v>672.87206823027725</v>
          </cell>
          <cell r="Z18">
            <v>954.98507462686575</v>
          </cell>
          <cell r="AA18">
            <v>1239.75</v>
          </cell>
          <cell r="AB18">
            <v>1309</v>
          </cell>
          <cell r="AC18">
            <v>1279.5475000000001</v>
          </cell>
          <cell r="AD18">
            <v>1241.161075</v>
          </cell>
          <cell r="AE18">
            <v>1203.9262427499998</v>
          </cell>
          <cell r="AF18">
            <v>1194.6889569999998</v>
          </cell>
          <cell r="AG18">
            <v>1194.6889569999998</v>
          </cell>
          <cell r="AH18">
            <v>1194.6889569999998</v>
          </cell>
          <cell r="AI18">
            <v>1194.6889569999998</v>
          </cell>
          <cell r="AJ18">
            <v>1194.6889569999998</v>
          </cell>
          <cell r="AK18">
            <v>1194.6889569999998</v>
          </cell>
          <cell r="AL18">
            <v>1194.6889569999998</v>
          </cell>
        </row>
        <row r="19">
          <cell r="K19" t="str">
            <v>UKP millions</v>
          </cell>
          <cell r="L19" t="str">
            <v>v3</v>
          </cell>
          <cell r="M19">
            <v>38008.59294386574</v>
          </cell>
          <cell r="W19">
            <v>1170.7380063965884</v>
          </cell>
          <cell r="X19">
            <v>1314.8987206823028</v>
          </cell>
          <cell r="Y19">
            <v>1754.553038379531</v>
          </cell>
          <cell r="Z19">
            <v>2490.1791044776119</v>
          </cell>
          <cell r="AA19">
            <v>3181.5</v>
          </cell>
          <cell r="AB19">
            <v>3207.57</v>
          </cell>
          <cell r="AC19">
            <v>3048.9333000000001</v>
          </cell>
          <cell r="AD19">
            <v>2904.3837269999999</v>
          </cell>
          <cell r="AE19">
            <v>2791.91201667</v>
          </cell>
          <cell r="AF19">
            <v>2719.1552999631995</v>
          </cell>
          <cell r="AG19">
            <v>2658.1766462446712</v>
          </cell>
          <cell r="AH19">
            <v>2599.6371386748847</v>
          </cell>
          <cell r="AI19">
            <v>2543.4392114078892</v>
          </cell>
          <cell r="AJ19">
            <v>2489.4892012315736</v>
          </cell>
          <cell r="AK19">
            <v>2437.6971914623105</v>
          </cell>
          <cell r="AL19">
            <v>2387.9768620838181</v>
          </cell>
        </row>
        <row r="20">
          <cell r="K20" t="str">
            <v>UKP millions</v>
          </cell>
          <cell r="L20" t="str">
            <v>v3</v>
          </cell>
          <cell r="M20">
            <v>38008.59294386574</v>
          </cell>
          <cell r="AA20">
            <v>3526.25</v>
          </cell>
          <cell r="AB20">
            <v>3568.75</v>
          </cell>
          <cell r="AC20">
            <v>3379.3755676171058</v>
          </cell>
          <cell r="AD20">
            <v>3298.5749182386253</v>
          </cell>
          <cell r="AE20">
            <v>3145.9653381545349</v>
          </cell>
          <cell r="AF20">
            <v>2881.3205106237197</v>
          </cell>
          <cell r="AG20">
            <v>2782.9427830078894</v>
          </cell>
          <cell r="AH20">
            <v>2767.4110012104338</v>
          </cell>
          <cell r="AI20">
            <v>2737.5595262474358</v>
          </cell>
          <cell r="AJ20">
            <v>2703.5233519995113</v>
          </cell>
          <cell r="AK20">
            <v>2663.7601219484818</v>
          </cell>
          <cell r="AL20">
            <v>2614.3178077769398</v>
          </cell>
        </row>
        <row r="21">
          <cell r="K21" t="str">
            <v>UKP millions</v>
          </cell>
          <cell r="L21" t="str">
            <v>v3</v>
          </cell>
          <cell r="M21">
            <v>38008.59294386574</v>
          </cell>
          <cell r="AA21">
            <v>819.37999999999988</v>
          </cell>
          <cell r="AB21">
            <v>445.25</v>
          </cell>
          <cell r="AC21">
            <v>582.88414993538868</v>
          </cell>
          <cell r="AD21">
            <v>641.48201070082541</v>
          </cell>
          <cell r="AE21">
            <v>699.17210170468263</v>
          </cell>
          <cell r="AF21">
            <v>755.82983505789366</v>
          </cell>
          <cell r="AG21">
            <v>809.80310581909021</v>
          </cell>
          <cell r="AH21">
            <v>853.8763578963642</v>
          </cell>
          <cell r="AI21">
            <v>888.39280864194222</v>
          </cell>
          <cell r="AJ21">
            <v>919.94926442896531</v>
          </cell>
          <cell r="AK21">
            <v>950.43277877101912</v>
          </cell>
          <cell r="AL21">
            <v>975.29784627268793</v>
          </cell>
        </row>
        <row r="22">
          <cell r="K22" t="str">
            <v>UKP millions</v>
          </cell>
          <cell r="L22" t="str">
            <v>v3</v>
          </cell>
          <cell r="M22">
            <v>38008.59294386574</v>
          </cell>
          <cell r="AA22">
            <v>16733.399999999998</v>
          </cell>
          <cell r="AB22">
            <v>17384</v>
          </cell>
          <cell r="AC22">
            <v>18029.450728652584</v>
          </cell>
          <cell r="AD22">
            <v>17757.37770185859</v>
          </cell>
          <cell r="AE22">
            <v>17654.822406528539</v>
          </cell>
          <cell r="AF22">
            <v>17719.599493831636</v>
          </cell>
          <cell r="AG22">
            <v>17721.973994657415</v>
          </cell>
          <cell r="AH22">
            <v>17761.351714349792</v>
          </cell>
          <cell r="AI22">
            <v>17713.159440753698</v>
          </cell>
          <cell r="AJ22">
            <v>17645.013725580375</v>
          </cell>
          <cell r="AK22">
            <v>17554.50659382543</v>
          </cell>
          <cell r="AL22">
            <v>17413.357518694291</v>
          </cell>
        </row>
        <row r="24">
          <cell r="L24" t="str">
            <v>v3</v>
          </cell>
          <cell r="M24">
            <v>38008.59294386574</v>
          </cell>
        </row>
        <row r="25">
          <cell r="L25" t="str">
            <v>v3</v>
          </cell>
          <cell r="M25">
            <v>38008.59294386574</v>
          </cell>
        </row>
        <row r="26">
          <cell r="L26" t="str">
            <v>v3</v>
          </cell>
          <cell r="M26">
            <v>38008.59294386574</v>
          </cell>
          <cell r="AA26" t="e">
            <v>#REF!</v>
          </cell>
          <cell r="AB26" t="e">
            <v>#REF!</v>
          </cell>
          <cell r="AC26" t="e">
            <v>#REF!</v>
          </cell>
          <cell r="AD26" t="e">
            <v>#REF!</v>
          </cell>
          <cell r="AE26" t="e">
            <v>#REF!</v>
          </cell>
          <cell r="AF26" t="e">
            <v>#REF!</v>
          </cell>
          <cell r="AG26" t="e">
            <v>#REF!</v>
          </cell>
          <cell r="AH26" t="e">
            <v>#REF!</v>
          </cell>
          <cell r="AI26" t="e">
            <v>#REF!</v>
          </cell>
          <cell r="AJ26" t="e">
            <v>#REF!</v>
          </cell>
          <cell r="AK26" t="e">
            <v>#REF!</v>
          </cell>
          <cell r="AL26" t="e">
            <v>#REF!</v>
          </cell>
        </row>
        <row r="27">
          <cell r="K27" t="str">
            <v>UKP millions</v>
          </cell>
          <cell r="L27" t="str">
            <v>v3</v>
          </cell>
          <cell r="M27">
            <v>38008.59294386574</v>
          </cell>
        </row>
        <row r="28">
          <cell r="K28" t="str">
            <v>UKP millions</v>
          </cell>
          <cell r="L28" t="str">
            <v>v3</v>
          </cell>
          <cell r="M28">
            <v>38008.59294386574</v>
          </cell>
        </row>
        <row r="29">
          <cell r="K29" t="str">
            <v>UKP millions</v>
          </cell>
          <cell r="L29" t="str">
            <v>v3</v>
          </cell>
          <cell r="M29">
            <v>38008.59294386574</v>
          </cell>
          <cell r="AA29" t="e">
            <v>#REF!</v>
          </cell>
          <cell r="AB29" t="e">
            <v>#REF!</v>
          </cell>
          <cell r="AC29" t="e">
            <v>#REF!</v>
          </cell>
          <cell r="AD29" t="e">
            <v>#REF!</v>
          </cell>
          <cell r="AE29" t="e">
            <v>#REF!</v>
          </cell>
          <cell r="AF29" t="e">
            <v>#REF!</v>
          </cell>
          <cell r="AG29" t="e">
            <v>#REF!</v>
          </cell>
          <cell r="AH29" t="e">
            <v>#REF!</v>
          </cell>
          <cell r="AI29" t="e">
            <v>#REF!</v>
          </cell>
          <cell r="AJ29" t="e">
            <v>#REF!</v>
          </cell>
          <cell r="AK29" t="e">
            <v>#REF!</v>
          </cell>
          <cell r="AL29" t="e">
            <v>#REF!</v>
          </cell>
        </row>
        <row r="31">
          <cell r="L31" t="str">
            <v>v3</v>
          </cell>
          <cell r="M31">
            <v>38008.59294386574</v>
          </cell>
        </row>
        <row r="32">
          <cell r="L32" t="str">
            <v>v3</v>
          </cell>
          <cell r="M32">
            <v>38008.59294386574</v>
          </cell>
        </row>
        <row r="33">
          <cell r="L33" t="str">
            <v>v3</v>
          </cell>
          <cell r="M33">
            <v>38008.59294386574</v>
          </cell>
        </row>
        <row r="34">
          <cell r="L34" t="str">
            <v>v3</v>
          </cell>
          <cell r="M34">
            <v>38008.59294386574</v>
          </cell>
        </row>
        <row r="35">
          <cell r="L35" t="str">
            <v>v3</v>
          </cell>
          <cell r="M35">
            <v>38008.59294386574</v>
          </cell>
          <cell r="W35" t="e">
            <v>#REF!</v>
          </cell>
          <cell r="X35" t="e">
            <v>#REF!</v>
          </cell>
          <cell r="Y35" t="e">
            <v>#REF!</v>
          </cell>
          <cell r="Z35" t="e">
            <v>#REF!</v>
          </cell>
          <cell r="AA35" t="e">
            <v>#REF!</v>
          </cell>
          <cell r="AB35" t="e">
            <v>#REF!</v>
          </cell>
          <cell r="AC35" t="e">
            <v>#REF!</v>
          </cell>
          <cell r="AD35" t="e">
            <v>#REF!</v>
          </cell>
          <cell r="AE35" t="e">
            <v>#REF!</v>
          </cell>
          <cell r="AF35" t="e">
            <v>#REF!</v>
          </cell>
          <cell r="AG35" t="e">
            <v>#REF!</v>
          </cell>
          <cell r="AH35" t="e">
            <v>#REF!</v>
          </cell>
          <cell r="AI35" t="e">
            <v>#REF!</v>
          </cell>
          <cell r="AJ35" t="e">
            <v>#REF!</v>
          </cell>
          <cell r="AK35" t="e">
            <v>#REF!</v>
          </cell>
          <cell r="AL35" t="e">
            <v>#REF!</v>
          </cell>
        </row>
        <row r="36">
          <cell r="L36" t="str">
            <v>v3</v>
          </cell>
          <cell r="M36">
            <v>38008.59294386574</v>
          </cell>
        </row>
        <row r="37">
          <cell r="L37" t="str">
            <v>v3</v>
          </cell>
          <cell r="M37">
            <v>38008.59294386574</v>
          </cell>
        </row>
        <row r="38">
          <cell r="L38" t="str">
            <v>v3</v>
          </cell>
          <cell r="M38">
            <v>38008.59294386574</v>
          </cell>
        </row>
        <row r="39">
          <cell r="L39" t="str">
            <v>v3</v>
          </cell>
          <cell r="M39">
            <v>38008.59294386574</v>
          </cell>
        </row>
        <row r="40">
          <cell r="L40" t="str">
            <v>v3</v>
          </cell>
          <cell r="M40">
            <v>38008.59294386574</v>
          </cell>
        </row>
        <row r="41">
          <cell r="L41" t="str">
            <v>v3</v>
          </cell>
          <cell r="M41">
            <v>38008.59294386574</v>
          </cell>
        </row>
        <row r="42">
          <cell r="L42" t="str">
            <v>v3</v>
          </cell>
          <cell r="M42">
            <v>38008.59294386574</v>
          </cell>
        </row>
        <row r="43">
          <cell r="L43" t="str">
            <v>v3</v>
          </cell>
          <cell r="M43">
            <v>38008.59294386574</v>
          </cell>
          <cell r="W43" t="e">
            <v>#REF!</v>
          </cell>
          <cell r="X43" t="e">
            <v>#REF!</v>
          </cell>
          <cell r="Y43" t="e">
            <v>#REF!</v>
          </cell>
          <cell r="Z43" t="e">
            <v>#REF!</v>
          </cell>
          <cell r="AA43" t="e">
            <v>#REF!</v>
          </cell>
          <cell r="AB43" t="e">
            <v>#REF!</v>
          </cell>
          <cell r="AC43" t="e">
            <v>#REF!</v>
          </cell>
          <cell r="AD43" t="e">
            <v>#REF!</v>
          </cell>
          <cell r="AE43" t="e">
            <v>#REF!</v>
          </cell>
          <cell r="AF43" t="e">
            <v>#REF!</v>
          </cell>
          <cell r="AG43" t="e">
            <v>#REF!</v>
          </cell>
          <cell r="AH43" t="e">
            <v>#REF!</v>
          </cell>
          <cell r="AI43" t="e">
            <v>#REF!</v>
          </cell>
          <cell r="AJ43" t="e">
            <v>#REF!</v>
          </cell>
          <cell r="AK43" t="e">
            <v>#REF!</v>
          </cell>
          <cell r="AL43" t="e">
            <v>#REF!</v>
          </cell>
        </row>
        <row r="44">
          <cell r="L44" t="str">
            <v>v3</v>
          </cell>
          <cell r="M44">
            <v>38008.59294386574</v>
          </cell>
          <cell r="W44">
            <v>26582</v>
          </cell>
          <cell r="X44">
            <v>25816</v>
          </cell>
          <cell r="Y44">
            <v>25703</v>
          </cell>
          <cell r="Z44">
            <v>25306</v>
          </cell>
          <cell r="AA44">
            <v>25036</v>
          </cell>
          <cell r="AB44">
            <v>25402</v>
          </cell>
          <cell r="AC44">
            <v>25345</v>
          </cell>
          <cell r="AD44">
            <v>24885.325423607123</v>
          </cell>
          <cell r="AE44">
            <v>24330.42903683228</v>
          </cell>
          <cell r="AF44">
            <v>23784.142045250574</v>
          </cell>
          <cell r="AG44">
            <v>23246.347750596819</v>
          </cell>
          <cell r="AH44">
            <v>22716.930927631613</v>
          </cell>
          <cell r="AI44">
            <v>22195.777806350652</v>
          </cell>
          <cell r="AJ44">
            <v>21682.776054402548</v>
          </cell>
          <cell r="AK44">
            <v>21177.814759712768</v>
          </cell>
          <cell r="AL44">
            <v>20680.784413311347</v>
          </cell>
        </row>
        <row r="45">
          <cell r="L45" t="str">
            <v>v3</v>
          </cell>
          <cell r="M45">
            <v>38008.59294386574</v>
          </cell>
          <cell r="W45" t="e">
            <v>#REF!</v>
          </cell>
          <cell r="X45" t="e">
            <v>#REF!</v>
          </cell>
          <cell r="Y45" t="e">
            <v>#REF!</v>
          </cell>
          <cell r="Z45" t="e">
            <v>#REF!</v>
          </cell>
          <cell r="AA45" t="e">
            <v>#REF!</v>
          </cell>
          <cell r="AB45" t="e">
            <v>#REF!</v>
          </cell>
          <cell r="AC45" t="e">
            <v>#REF!</v>
          </cell>
          <cell r="AD45" t="e">
            <v>#REF!</v>
          </cell>
          <cell r="AE45" t="e">
            <v>#REF!</v>
          </cell>
          <cell r="AF45" t="e">
            <v>#REF!</v>
          </cell>
          <cell r="AG45" t="e">
            <v>#REF!</v>
          </cell>
          <cell r="AH45" t="e">
            <v>#REF!</v>
          </cell>
          <cell r="AI45" t="e">
            <v>#REF!</v>
          </cell>
          <cell r="AJ45" t="e">
            <v>#REF!</v>
          </cell>
          <cell r="AK45" t="e">
            <v>#REF!</v>
          </cell>
          <cell r="AL45" t="e">
            <v>#REF!</v>
          </cell>
        </row>
        <row r="46">
          <cell r="L46" t="str">
            <v>v3</v>
          </cell>
          <cell r="M46">
            <v>38008.59294386574</v>
          </cell>
          <cell r="W46" t="e">
            <v>#REF!</v>
          </cell>
          <cell r="X46" t="e">
            <v>#REF!</v>
          </cell>
          <cell r="Y46" t="e">
            <v>#REF!</v>
          </cell>
          <cell r="Z46" t="e">
            <v>#REF!</v>
          </cell>
          <cell r="AA46" t="e">
            <v>#REF!</v>
          </cell>
          <cell r="AB46" t="e">
            <v>#REF!</v>
          </cell>
          <cell r="AC46" t="e">
            <v>#REF!</v>
          </cell>
          <cell r="AD46" t="e">
            <v>#REF!</v>
          </cell>
          <cell r="AE46" t="e">
            <v>#REF!</v>
          </cell>
          <cell r="AF46" t="e">
            <v>#REF!</v>
          </cell>
          <cell r="AG46" t="e">
            <v>#REF!</v>
          </cell>
          <cell r="AH46" t="e">
            <v>#REF!</v>
          </cell>
          <cell r="AI46" t="e">
            <v>#REF!</v>
          </cell>
          <cell r="AJ46" t="e">
            <v>#REF!</v>
          </cell>
          <cell r="AK46" t="e">
            <v>#REF!</v>
          </cell>
          <cell r="AL46" t="e">
            <v>#REF!</v>
          </cell>
        </row>
        <row r="48">
          <cell r="L48" t="str">
            <v>v3</v>
          </cell>
          <cell r="M48">
            <v>38008.59294386574</v>
          </cell>
          <cell r="AA48">
            <v>85523</v>
          </cell>
          <cell r="AB48">
            <v>82490</v>
          </cell>
        </row>
      </sheetData>
      <sheetData sheetId="15"/>
      <sheetData sheetId="16"/>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sheetName val="PL"/>
      <sheetName val="IC-PL"/>
      <sheetName val="EXT-INC"/>
      <sheetName val="TRAF-COST"/>
      <sheetName val="INT-traf-cost"/>
      <sheetName val="OWN-WORK-CAP"/>
      <sheetName val="PAYROLL"/>
      <sheetName val="OPR-COST"/>
      <sheetName val="INT-OPR-COST"/>
      <sheetName val="FIN-PL"/>
      <sheetName val="Investments"/>
      <sheetName val="M-BALANCE"/>
      <sheetName val="IC-BAL"/>
      <sheetName val="CASH"/>
      <sheetName val="PROVISIONS"/>
      <sheetName val="EQUITY"/>
      <sheetName val="COMMITMENTS"/>
      <sheetName val="PERS-ADD"/>
      <sheetName val="AQUISITIONS"/>
      <sheetName val="Statistics"/>
      <sheetName val="Definitions"/>
    </sheetNames>
    <sheetDataSet>
      <sheetData sheetId="0">
        <row r="10">
          <cell r="E10" t="str">
            <v>&lt;Code&gt;</v>
          </cell>
        </row>
        <row r="11">
          <cell r="E11" t="str">
            <v>&lt;Name&gt;</v>
          </cell>
        </row>
        <row r="12">
          <cell r="E12" t="str">
            <v>0006</v>
          </cell>
        </row>
        <row r="15">
          <cell r="E15" t="str">
            <v>NOK</v>
          </cell>
        </row>
        <row r="16">
          <cell r="E16">
            <v>36692</v>
          </cell>
        </row>
        <row r="20">
          <cell r="E20" t="str">
            <v>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TP"/>
      <sheetName val="P&amp;L"/>
      <sheetName val="BS"/>
      <sheetName val="CF"/>
      <sheetName val="Cons. Revs"/>
      <sheetName val="Prop. Revs"/>
      <sheetName val="Cons. EBITDA"/>
      <sheetName val="Prop. EBITDA"/>
      <sheetName val="EBITDA Margins"/>
      <sheetName val="Capex"/>
      <sheetName val="USA"/>
      <sheetName val="UK"/>
      <sheetName val="Germany"/>
      <sheetName val="Italy"/>
      <sheetName val="J-Phone"/>
      <sheetName val="Spain"/>
      <sheetName val="Ireland"/>
      <sheetName val="Egypt"/>
      <sheetName val="Australia"/>
      <sheetName val="NZ"/>
      <sheetName val="NL"/>
      <sheetName val="Greece"/>
      <sheetName val="Portugal"/>
      <sheetName val="Sweden"/>
      <sheetName val="Switzerland"/>
      <sheetName val="Jap Fixed"/>
      <sheetName val="SFR"/>
      <sheetName val="Belgium"/>
      <sheetName val="Arcor"/>
      <sheetName val="Cegetel7"/>
      <sheetName val="Depreciaton schedule"/>
      <sheetName val="Cash Tax"/>
      <sheetName val="Bill"/>
      <sheetName val="Multip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TOW"/>
      <sheetName val="MELI"/>
      <sheetName val="BAI"/>
      <sheetName val="TC"/>
      <sheetName val="QH"/>
      <sheetName val="REN"/>
      <sheetName val="SINA"/>
      <sheetName val="WB"/>
      <sheetName val="CA"/>
      <sheetName val="DNA"/>
      <sheetName val="GR"/>
      <sheetName val="NEX"/>
      <sheetName val="RAK"/>
      <sheetName val="YJP"/>
      <sheetName val="BTOW1"/>
      <sheetName val="MELI1"/>
      <sheetName val="BAI1"/>
      <sheetName val="TC1"/>
      <sheetName val="QH1"/>
      <sheetName val="REN1"/>
      <sheetName val="SINA1"/>
      <sheetName val="WB1"/>
      <sheetName val="CA1"/>
      <sheetName val="DNA1"/>
      <sheetName val="GR1"/>
      <sheetName val="NEX1"/>
      <sheetName val="RAK1"/>
      <sheetName val="YJP1"/>
      <sheetName val="Global comps"/>
      <sheetName val="Consensus data"/>
      <sheetName val="Share prices"/>
    </sheetNames>
    <sheetDataSet>
      <sheetData sheetId="0">
        <row r="84">
          <cell r="C84">
            <v>1.52207</v>
          </cell>
        </row>
        <row r="86">
          <cell r="C86">
            <v>2.2357999999999998</v>
          </cell>
        </row>
        <row r="87">
          <cell r="C87">
            <v>99.71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1">
          <cell r="C41">
            <v>0.39643310566492568</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link"/>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VEDMENY"/>
      <sheetName val="Omsres"/>
      <sheetName val="BUS SOL Årsverk og ansatte"/>
      <sheetName val="Årsverk og ansatte"/>
      <sheetName val="InvesteringerBUS SOL"/>
      <sheetName val="Investeringer"/>
      <sheetName val="Business Sol"/>
      <sheetName val="Annualiseringstabell"/>
      <sheetName val="Oms.avvik (2)"/>
      <sheetName val="Driftsinntekter"/>
      <sheetName val="Res.avvik (2)"/>
      <sheetName val="Res. før skatt"/>
      <sheetName val="SKILLEARK"/>
      <sheetName val="Årsverk"/>
      <sheetName val="Res. et. felleskost (2)"/>
      <sheetName val=" UTSTYR"/>
      <sheetName val="BD_KOMM."/>
      <sheetName val="BD_KOMM. (2)"/>
      <sheetName val="SI STORK"/>
      <sheetName val=" BASIS"/>
      <sheetName val="DATAN."/>
      <sheetName val="BK_TALE"/>
      <sheetName val=" DKL"/>
      <sheetName val="IDT"/>
      <sheetName val="DR.TJ"/>
      <sheetName val="SENT.ENH"/>
      <sheetName val="TELF.SELSK"/>
      <sheetName val="Elimineringer"/>
      <sheetName val="Res.avvik"/>
      <sheetName val="Oms.avvik"/>
    </sheetNames>
    <sheetDataSet>
      <sheetData sheetId="0"/>
      <sheetData sheetId="1"/>
      <sheetData sheetId="2"/>
      <sheetData sheetId="3"/>
      <sheetData sheetId="4"/>
      <sheetData sheetId="5"/>
      <sheetData sheetId="6">
        <row r="8">
          <cell r="F8" t="str">
            <v>Denne periode</v>
          </cell>
          <cell r="I8" t="str">
            <v>Hittil i år</v>
          </cell>
          <cell r="K8" t="str">
            <v xml:space="preserve">Årsbudsjett </v>
          </cell>
        </row>
        <row r="10">
          <cell r="A10" t="str">
            <v>Mill. kr.</v>
          </cell>
          <cell r="E10" t="str">
            <v>F04</v>
          </cell>
          <cell r="F10" t="str">
            <v>B04</v>
          </cell>
          <cell r="G10" t="str">
            <v>Avvik</v>
          </cell>
          <cell r="H10" t="str">
            <v>F04</v>
          </cell>
          <cell r="I10" t="str">
            <v>B04</v>
          </cell>
          <cell r="J10" t="str">
            <v>Avvik</v>
          </cell>
          <cell r="K10">
            <v>2000</v>
          </cell>
        </row>
        <row r="12">
          <cell r="A12" t="str">
            <v>Eksterne driftsinntekter</v>
          </cell>
          <cell r="E12">
            <v>91.320999999999998</v>
          </cell>
          <cell r="F12">
            <v>136.584</v>
          </cell>
          <cell r="G12">
            <v>-45.263000000000005</v>
          </cell>
          <cell r="H12">
            <v>372.24400000000003</v>
          </cell>
          <cell r="I12">
            <v>486.55200000000002</v>
          </cell>
          <cell r="J12">
            <v>-114.30799999999999</v>
          </cell>
          <cell r="K12">
            <v>1759.3979999999999</v>
          </cell>
        </row>
        <row r="13">
          <cell r="A13" t="str">
            <v>Driftsinntekter innen Telenor</v>
          </cell>
          <cell r="E13">
            <v>81.988</v>
          </cell>
          <cell r="F13">
            <v>119.511</v>
          </cell>
          <cell r="G13">
            <v>-37.522999999999996</v>
          </cell>
          <cell r="H13">
            <v>375.31900000000002</v>
          </cell>
          <cell r="I13">
            <v>459.3</v>
          </cell>
          <cell r="J13">
            <v>-83.980999999999995</v>
          </cell>
          <cell r="K13">
            <v>1552.173</v>
          </cell>
        </row>
        <row r="14">
          <cell r="A14" t="str">
            <v>Driftsinntekter innen Business Solution</v>
          </cell>
          <cell r="E14">
            <v>0</v>
          </cell>
          <cell r="F14">
            <v>0</v>
          </cell>
          <cell r="G14">
            <v>0</v>
          </cell>
          <cell r="H14">
            <v>0</v>
          </cell>
          <cell r="I14">
            <v>0</v>
          </cell>
          <cell r="J14">
            <v>0</v>
          </cell>
          <cell r="K14">
            <v>0</v>
          </cell>
        </row>
        <row r="15">
          <cell r="A15" t="str">
            <v>Gevinst ved salg av VDM og virksomhet eksternt</v>
          </cell>
          <cell r="E15">
            <v>0</v>
          </cell>
          <cell r="F15">
            <v>0</v>
          </cell>
          <cell r="G15">
            <v>0</v>
          </cell>
          <cell r="H15">
            <v>0</v>
          </cell>
          <cell r="I15">
            <v>0</v>
          </cell>
          <cell r="J15">
            <v>0</v>
          </cell>
          <cell r="K15">
            <v>0</v>
          </cell>
        </row>
        <row r="16">
          <cell r="A16" t="str">
            <v>SUM OMSETNING</v>
          </cell>
          <cell r="E16">
            <v>173.309</v>
          </cell>
          <cell r="F16">
            <v>256.09500000000003</v>
          </cell>
          <cell r="G16">
            <v>-82.786000000000001</v>
          </cell>
          <cell r="H16">
            <v>747.5630000000001</v>
          </cell>
          <cell r="I16">
            <v>945.85200000000009</v>
          </cell>
          <cell r="J16">
            <v>-198.28899999999999</v>
          </cell>
          <cell r="K16">
            <v>3311.5709999999999</v>
          </cell>
        </row>
        <row r="18">
          <cell r="A18" t="str">
            <v>Eksterne vare- og trafikkostnader</v>
          </cell>
          <cell r="E18">
            <v>82.016000000000005</v>
          </cell>
          <cell r="F18">
            <v>139.30600000000001</v>
          </cell>
          <cell r="G18">
            <v>57.290000000000006</v>
          </cell>
          <cell r="H18">
            <v>378.68400000000003</v>
          </cell>
          <cell r="I18">
            <v>517.95600000000002</v>
          </cell>
          <cell r="J18">
            <v>139.27199999999999</v>
          </cell>
          <cell r="K18">
            <v>1788.82</v>
          </cell>
        </row>
        <row r="19">
          <cell r="A19" t="str">
            <v>Vare- og trafikkostnad innen Telenor</v>
          </cell>
          <cell r="E19">
            <v>27.591999999999999</v>
          </cell>
          <cell r="F19">
            <v>30.11</v>
          </cell>
          <cell r="G19">
            <v>2.5180000000000007</v>
          </cell>
          <cell r="H19">
            <v>123.145</v>
          </cell>
          <cell r="I19">
            <v>115.96299999999999</v>
          </cell>
          <cell r="J19">
            <v>-7.1820000000000022</v>
          </cell>
          <cell r="K19">
            <v>393.41800000000001</v>
          </cell>
        </row>
        <row r="20">
          <cell r="A20" t="str">
            <v>Vare- og trafikkostnad innen Business Solution</v>
          </cell>
          <cell r="E20">
            <v>0</v>
          </cell>
          <cell r="F20">
            <v>0</v>
          </cell>
          <cell r="G20">
            <v>0</v>
          </cell>
          <cell r="H20">
            <v>0</v>
          </cell>
          <cell r="I20">
            <v>0</v>
          </cell>
          <cell r="J20">
            <v>0</v>
          </cell>
          <cell r="K20">
            <v>0</v>
          </cell>
        </row>
        <row r="21">
          <cell r="A21" t="str">
            <v>SUM VAREKOST</v>
          </cell>
          <cell r="E21">
            <v>109.608</v>
          </cell>
          <cell r="F21">
            <v>169.416</v>
          </cell>
          <cell r="G21">
            <v>59.808000000000007</v>
          </cell>
          <cell r="H21">
            <v>501.82900000000001</v>
          </cell>
          <cell r="I21">
            <v>633.91899999999998</v>
          </cell>
          <cell r="J21">
            <v>132.08999999999997</v>
          </cell>
          <cell r="K21">
            <v>2182.2379999999998</v>
          </cell>
        </row>
        <row r="23">
          <cell r="A23" t="str">
            <v>DEKNINGSBIDRAG</v>
          </cell>
          <cell r="E23">
            <v>63.700999999999993</v>
          </cell>
          <cell r="F23">
            <v>86.67900000000003</v>
          </cell>
          <cell r="G23">
            <v>-22.978000000000037</v>
          </cell>
          <cell r="H23">
            <v>245.73400000000009</v>
          </cell>
          <cell r="I23">
            <v>311.93300000000011</v>
          </cell>
          <cell r="J23">
            <v>-66.199000000000012</v>
          </cell>
          <cell r="K23">
            <v>1129.3330000000001</v>
          </cell>
        </row>
        <row r="25">
          <cell r="A25" t="str">
            <v>Beh.endring egentilvirkede amidl</v>
          </cell>
          <cell r="E25">
            <v>0</v>
          </cell>
          <cell r="F25">
            <v>0</v>
          </cell>
          <cell r="G25">
            <v>0</v>
          </cell>
          <cell r="H25">
            <v>0</v>
          </cell>
          <cell r="I25">
            <v>0</v>
          </cell>
          <cell r="J25">
            <v>0</v>
          </cell>
          <cell r="K25">
            <v>0</v>
          </cell>
        </row>
        <row r="26">
          <cell r="A26" t="str">
            <v>Lønns- og personalkostnader eksternt</v>
          </cell>
          <cell r="E26">
            <v>56.027000000000001</v>
          </cell>
          <cell r="F26">
            <v>61.064999999999998</v>
          </cell>
          <cell r="G26">
            <v>5.0379999999999967</v>
          </cell>
          <cell r="H26">
            <v>224.292</v>
          </cell>
          <cell r="I26">
            <v>248.75700000000001</v>
          </cell>
          <cell r="J26">
            <v>24.465000000000003</v>
          </cell>
          <cell r="K26">
            <v>726.31299999999999</v>
          </cell>
        </row>
        <row r="27">
          <cell r="A27" t="str">
            <v>Lønns- og personalkostnader innen Telenor</v>
          </cell>
          <cell r="E27">
            <v>-5.7000000000000002E-2</v>
          </cell>
          <cell r="F27">
            <v>0.94799999999999995</v>
          </cell>
          <cell r="G27">
            <v>1.0049999999999999</v>
          </cell>
          <cell r="H27">
            <v>3.2949999999999999</v>
          </cell>
          <cell r="I27">
            <v>3.746</v>
          </cell>
          <cell r="J27">
            <v>0.45100000000000007</v>
          </cell>
          <cell r="K27">
            <v>11.271000000000001</v>
          </cell>
        </row>
        <row r="28">
          <cell r="A28" t="str">
            <v>Lønns- og personalkostnader innen Business Solution</v>
          </cell>
          <cell r="E28">
            <v>0</v>
          </cell>
          <cell r="F28">
            <v>0</v>
          </cell>
          <cell r="G28">
            <v>0</v>
          </cell>
          <cell r="H28">
            <v>0</v>
          </cell>
          <cell r="I28">
            <v>0</v>
          </cell>
          <cell r="J28">
            <v>0</v>
          </cell>
          <cell r="K28">
            <v>0</v>
          </cell>
        </row>
        <row r="29">
          <cell r="A29" t="str">
            <v>Andre eksterne driftskostnader</v>
          </cell>
          <cell r="E29">
            <v>18.728999999999999</v>
          </cell>
          <cell r="F29">
            <v>23.719000000000001</v>
          </cell>
          <cell r="G29">
            <v>4.990000000000002</v>
          </cell>
          <cell r="H29">
            <v>91.078000000000003</v>
          </cell>
          <cell r="I29">
            <v>105.411</v>
          </cell>
          <cell r="J29">
            <v>14.332999999999998</v>
          </cell>
          <cell r="K29">
            <v>303.50400000000002</v>
          </cell>
        </row>
        <row r="30">
          <cell r="A30" t="str">
            <v>Andre driftskostnader innen Telenor</v>
          </cell>
          <cell r="E30">
            <v>12.3</v>
          </cell>
          <cell r="F30">
            <v>15.862</v>
          </cell>
          <cell r="G30">
            <v>3.5619999999999994</v>
          </cell>
          <cell r="H30">
            <v>56.222999999999999</v>
          </cell>
          <cell r="I30">
            <v>58.762</v>
          </cell>
          <cell r="J30">
            <v>2.5390000000000015</v>
          </cell>
          <cell r="K30">
            <v>180.798</v>
          </cell>
        </row>
        <row r="31">
          <cell r="A31" t="str">
            <v>Andre driftskostnader innen Business Solution</v>
          </cell>
          <cell r="E31">
            <v>0</v>
          </cell>
          <cell r="F31">
            <v>0</v>
          </cell>
          <cell r="G31">
            <v>0</v>
          </cell>
          <cell r="H31">
            <v>0</v>
          </cell>
          <cell r="I31">
            <v>0</v>
          </cell>
          <cell r="J31">
            <v>0</v>
          </cell>
          <cell r="K31">
            <v>0</v>
          </cell>
        </row>
        <row r="32">
          <cell r="A32" t="str">
            <v>Avskrivninger</v>
          </cell>
          <cell r="E32">
            <v>5.12</v>
          </cell>
          <cell r="F32">
            <v>6.6550000000000002</v>
          </cell>
          <cell r="G32">
            <v>1.5350000000000001</v>
          </cell>
          <cell r="H32">
            <v>20.376999999999999</v>
          </cell>
          <cell r="I32">
            <v>25.831</v>
          </cell>
          <cell r="J32">
            <v>5.4540000000000006</v>
          </cell>
          <cell r="K32">
            <v>84.128</v>
          </cell>
        </row>
        <row r="33">
          <cell r="A33" t="str">
            <v>Nedskrivninger</v>
          </cell>
        </row>
        <row r="34">
          <cell r="A34" t="str">
            <v>Tap ved salg av VDM og virksomhet eksternt</v>
          </cell>
        </row>
        <row r="35">
          <cell r="A35" t="str">
            <v>Sum Andre driftskostnader</v>
          </cell>
          <cell r="E35">
            <v>92.119</v>
          </cell>
          <cell r="F35">
            <v>108.249</v>
          </cell>
          <cell r="G35">
            <v>16.129999999999995</v>
          </cell>
          <cell r="H35">
            <v>395.26499999999999</v>
          </cell>
          <cell r="I35">
            <v>442.50700000000001</v>
          </cell>
          <cell r="J35">
            <v>47.242000000000004</v>
          </cell>
          <cell r="K35">
            <v>1306.0139999999999</v>
          </cell>
        </row>
        <row r="37">
          <cell r="A37" t="str">
            <v>DRIFTSRESULTAT</v>
          </cell>
          <cell r="E37">
            <v>-28.418000000000006</v>
          </cell>
          <cell r="F37">
            <v>-21.569999999999965</v>
          </cell>
          <cell r="G37">
            <v>-6.8480000000000416</v>
          </cell>
          <cell r="H37">
            <v>-149.53099999999989</v>
          </cell>
          <cell r="I37">
            <v>-130.5739999999999</v>
          </cell>
          <cell r="J37">
            <v>-18.956999999999994</v>
          </cell>
          <cell r="K37">
            <v>-176.68099999999981</v>
          </cell>
        </row>
        <row r="39">
          <cell r="A39" t="str">
            <v>Andel resultat tilknyttede selskaper</v>
          </cell>
          <cell r="E39">
            <v>-0.99299999999999999</v>
          </cell>
          <cell r="F39">
            <v>-0.16900000000000001</v>
          </cell>
          <cell r="G39">
            <v>-0.82399999999999995</v>
          </cell>
          <cell r="H39">
            <v>-3.2850000000000001</v>
          </cell>
          <cell r="I39">
            <v>-0.222</v>
          </cell>
          <cell r="J39">
            <v>-3.0630000000000002</v>
          </cell>
          <cell r="K39">
            <v>-4.4160000000000004</v>
          </cell>
        </row>
        <row r="41">
          <cell r="A41" t="str">
            <v>Eksterne finansinntekter</v>
          </cell>
          <cell r="E41">
            <v>0.85799999999999998</v>
          </cell>
          <cell r="F41">
            <v>0.03</v>
          </cell>
          <cell r="G41">
            <v>0.82799999999999996</v>
          </cell>
          <cell r="H41">
            <v>1.841</v>
          </cell>
          <cell r="I41">
            <v>0.12</v>
          </cell>
          <cell r="J41">
            <v>1.7210000000000001</v>
          </cell>
          <cell r="K41">
            <v>0.36</v>
          </cell>
        </row>
        <row r="42">
          <cell r="A42" t="str">
            <v>Finansinntekter innen Telenor</v>
          </cell>
          <cell r="E42">
            <v>1.8140000000000001</v>
          </cell>
          <cell r="F42">
            <v>0.66200000000000003</v>
          </cell>
          <cell r="G42">
            <v>1.1520000000000001</v>
          </cell>
          <cell r="H42">
            <v>6.95</v>
          </cell>
          <cell r="I42">
            <v>2.6459999999999999</v>
          </cell>
          <cell r="J42">
            <v>4.3040000000000003</v>
          </cell>
          <cell r="K42">
            <v>7.9379999999999988</v>
          </cell>
        </row>
        <row r="43">
          <cell r="A43" t="str">
            <v>Gevinst ved salg av finansielle omløpsmidler og anleggsmidler eksternt</v>
          </cell>
          <cell r="E43">
            <v>0</v>
          </cell>
          <cell r="F43">
            <v>0</v>
          </cell>
          <cell r="G43">
            <v>0</v>
          </cell>
          <cell r="H43">
            <v>0</v>
          </cell>
          <cell r="I43">
            <v>0</v>
          </cell>
          <cell r="J43">
            <v>0</v>
          </cell>
          <cell r="K43">
            <v>0</v>
          </cell>
        </row>
        <row r="44">
          <cell r="A44" t="str">
            <v>Eksterne finanskostnader</v>
          </cell>
          <cell r="E44">
            <v>-1.8009999999999999</v>
          </cell>
          <cell r="F44">
            <v>-2.9000000000000001E-2</v>
          </cell>
          <cell r="G44">
            <v>-1.772</v>
          </cell>
          <cell r="H44">
            <v>-5.2569999999999997</v>
          </cell>
          <cell r="I44">
            <v>-0.11799999999999999</v>
          </cell>
          <cell r="J44">
            <v>-5.1389999999999993</v>
          </cell>
          <cell r="K44">
            <v>-0.35499999999999998</v>
          </cell>
        </row>
        <row r="45">
          <cell r="A45" t="str">
            <v>Finanskostnader innen Telenor</v>
          </cell>
          <cell r="E45">
            <v>-0.67900000000000005</v>
          </cell>
          <cell r="F45">
            <v>0</v>
          </cell>
          <cell r="G45">
            <v>-0.67900000000000005</v>
          </cell>
          <cell r="H45">
            <v>-1.7390000000000001</v>
          </cell>
          <cell r="I45">
            <v>0</v>
          </cell>
          <cell r="J45">
            <v>-1.7390000000000001</v>
          </cell>
          <cell r="K45">
            <v>0</v>
          </cell>
        </row>
        <row r="46">
          <cell r="A46" t="str">
            <v>Tap ved salg av finansielle omløpsmidler og anleggsmidler eksternt</v>
          </cell>
          <cell r="E46">
            <v>0</v>
          </cell>
          <cell r="F46">
            <v>0</v>
          </cell>
          <cell r="H46">
            <v>0</v>
          </cell>
          <cell r="I46">
            <v>0</v>
          </cell>
          <cell r="J46">
            <v>0</v>
          </cell>
          <cell r="K46">
            <v>0</v>
          </cell>
        </row>
        <row r="47">
          <cell r="A47" t="str">
            <v>Netto finansposter</v>
          </cell>
          <cell r="E47">
            <v>0.19200000000000017</v>
          </cell>
          <cell r="F47">
            <v>0.66300000000000003</v>
          </cell>
          <cell r="G47">
            <v>-0.47099999999999986</v>
          </cell>
          <cell r="H47">
            <v>1.7950000000000006</v>
          </cell>
          <cell r="I47">
            <v>2.6480000000000001</v>
          </cell>
          <cell r="J47">
            <v>-0.85299999999999954</v>
          </cell>
          <cell r="K47">
            <v>7.9429999999999978</v>
          </cell>
        </row>
        <row r="49">
          <cell r="A49" t="str">
            <v>RESULTAT FØR FORDELTE FELLESKOSTNADER</v>
          </cell>
          <cell r="E49">
            <v>-29.219000000000005</v>
          </cell>
          <cell r="F49">
            <v>-21.075999999999965</v>
          </cell>
          <cell r="G49">
            <v>-8.1430000000000415</v>
          </cell>
          <cell r="H49">
            <v>-151.0209999999999</v>
          </cell>
          <cell r="I49">
            <v>-128.14799999999991</v>
          </cell>
          <cell r="J49">
            <v>-22.87299999999999</v>
          </cell>
        </row>
        <row r="51">
          <cell r="A51" t="str">
            <v>Fordelte felleskostnader</v>
          </cell>
          <cell r="E51">
            <v>0</v>
          </cell>
          <cell r="F51">
            <v>0</v>
          </cell>
          <cell r="G51">
            <v>0</v>
          </cell>
          <cell r="H51">
            <v>0</v>
          </cell>
          <cell r="I51">
            <v>0</v>
          </cell>
          <cell r="J51">
            <v>0</v>
          </cell>
        </row>
        <row r="53">
          <cell r="A53" t="str">
            <v>RESULTAT FØR SKATT</v>
          </cell>
          <cell r="E53">
            <v>-29.219000000000005</v>
          </cell>
          <cell r="F53">
            <v>-21.075999999999965</v>
          </cell>
          <cell r="G53">
            <v>-8.1430000000000415</v>
          </cell>
          <cell r="H53">
            <v>-151.0209999999999</v>
          </cell>
          <cell r="I53">
            <v>-128.14799999999991</v>
          </cell>
          <cell r="J53">
            <v>-22.87299999999999</v>
          </cell>
          <cell r="K53">
            <v>-173.15399999999983</v>
          </cell>
        </row>
        <row r="55">
          <cell r="A55" t="str">
            <v>Skatt</v>
          </cell>
        </row>
        <row r="57">
          <cell r="A57" t="str">
            <v>Minoritetsinteresser</v>
          </cell>
        </row>
        <row r="59">
          <cell r="A59" t="str">
            <v>Resultat etter skatt (årsresultat)</v>
          </cell>
        </row>
        <row r="61">
          <cell r="A61" t="str">
            <v>NØKKELTALL:</v>
          </cell>
        </row>
        <row r="62">
          <cell r="A62" t="str">
            <v>Dekningsgrad</v>
          </cell>
          <cell r="E62">
            <v>0.36755736863059618</v>
          </cell>
          <cell r="F62">
            <v>0.33846424178527507</v>
          </cell>
          <cell r="G62">
            <v>0.27755900756166546</v>
          </cell>
          <cell r="H62">
            <v>0.32871343284780019</v>
          </cell>
          <cell r="I62">
            <v>0.32979049576466518</v>
          </cell>
          <cell r="J62">
            <v>0.33385109612736974</v>
          </cell>
          <cell r="K62">
            <v>0.34102635878862331</v>
          </cell>
        </row>
        <row r="63">
          <cell r="A63" t="str">
            <v>Driftsmargin</v>
          </cell>
          <cell r="E63">
            <v>-0.1639730192892464</v>
          </cell>
          <cell r="F63">
            <v>-8.4226556551279655E-2</v>
          </cell>
          <cell r="G63">
            <v>8.271930036479648E-2</v>
          </cell>
          <cell r="H63">
            <v>-0.20002461331018237</v>
          </cell>
          <cell r="I63">
            <v>-0.13804908167451133</v>
          </cell>
          <cell r="J63">
            <v>9.5602882661166247E-2</v>
          </cell>
          <cell r="K63">
            <v>-5.3352623271552935E-2</v>
          </cell>
        </row>
        <row r="64">
          <cell r="A64" t="str">
            <v>Resultatmargin</v>
          </cell>
          <cell r="E64">
            <v>-0.16859482196539133</v>
          </cell>
          <cell r="F64">
            <v>-8.2297584880610564E-2</v>
          </cell>
          <cell r="G64">
            <v>9.8362041891141519E-2</v>
          </cell>
          <cell r="H64">
            <v>-0.2020177563630087</v>
          </cell>
          <cell r="I64">
            <v>-0.13548419837352979</v>
          </cell>
          <cell r="J64">
            <v>0.11535183494797993</v>
          </cell>
          <cell r="K64">
            <v>-5.2287569857327486E-2</v>
          </cell>
        </row>
        <row r="65">
          <cell r="A65" t="str">
            <v>Resultatmargin etter fordelte kostnader</v>
          </cell>
          <cell r="E65">
            <v>-0.16859482196539133</v>
          </cell>
          <cell r="F65">
            <v>-8.2297584880610564E-2</v>
          </cell>
          <cell r="G65">
            <v>9.8362041891141519E-2</v>
          </cell>
          <cell r="H65">
            <v>-0.2020177563630087</v>
          </cell>
          <cell r="I65">
            <v>-0.13548419837352979</v>
          </cell>
          <cell r="J65">
            <v>0.11535183494797993</v>
          </cell>
          <cell r="K65">
            <v>-5.2287569857327486E-2</v>
          </cell>
        </row>
        <row r="66">
          <cell r="A66" t="str">
            <v>Driftskostnad i % av omsetning 1)</v>
          </cell>
          <cell r="E66">
            <v>0.43134516961034913</v>
          </cell>
          <cell r="F66">
            <v>0.33106464397977309</v>
          </cell>
          <cell r="G66">
            <v>-0.12113159229821466</v>
          </cell>
          <cell r="H66">
            <v>0.42186411044955402</v>
          </cell>
          <cell r="I66">
            <v>0.37444335900331127</v>
          </cell>
          <cell r="J66">
            <v>-0.19566390470474915</v>
          </cell>
          <cell r="K66">
            <v>0.31097536486459149</v>
          </cell>
        </row>
        <row r="67">
          <cell r="A67" t="str">
            <v>Pers.kost pr. årsverk 2) 3)</v>
          </cell>
          <cell r="E67">
            <v>0.2795617817916457</v>
          </cell>
          <cell r="F67">
            <v>0.27260063898778492</v>
          </cell>
          <cell r="G67">
            <v>-6.961142803860787E-3</v>
          </cell>
          <cell r="H67">
            <v>0.27430440039273279</v>
          </cell>
          <cell r="I67">
            <v>0.28494292301723145</v>
          </cell>
          <cell r="J67">
            <v>1.0638522624498659E-2</v>
          </cell>
          <cell r="K67">
            <v>797.12128362435112</v>
          </cell>
        </row>
        <row r="68">
          <cell r="A68" t="str">
            <v>Andre dr.kost. pr. årsverk 2) 3)</v>
          </cell>
          <cell r="E68">
            <v>0</v>
          </cell>
          <cell r="F68" t="e">
            <v>#DIV/0!</v>
          </cell>
          <cell r="G68" t="e">
            <v>#DIV/0!</v>
          </cell>
          <cell r="J68">
            <v>0</v>
          </cell>
          <cell r="K68">
            <v>333.09261718449909</v>
          </cell>
        </row>
        <row r="70">
          <cell r="A70" t="str">
            <v>Årsverk - egne</v>
          </cell>
          <cell r="H70">
            <v>1057</v>
          </cell>
          <cell r="I70">
            <v>1195</v>
          </cell>
          <cell r="J70">
            <v>138</v>
          </cell>
          <cell r="K70">
            <v>1224</v>
          </cell>
        </row>
        <row r="71">
          <cell r="A71" t="str">
            <v>Årsverk - innleide</v>
          </cell>
          <cell r="H71">
            <v>59</v>
          </cell>
          <cell r="I71">
            <v>31</v>
          </cell>
          <cell r="J71">
            <v>-28</v>
          </cell>
          <cell r="K71">
            <v>21</v>
          </cell>
        </row>
        <row r="73">
          <cell r="A73" t="str">
            <v>Investeringer</v>
          </cell>
          <cell r="H73">
            <v>13</v>
          </cell>
          <cell r="I73">
            <v>93</v>
          </cell>
          <cell r="J73">
            <v>80</v>
          </cell>
          <cell r="K73">
            <v>263</v>
          </cell>
        </row>
        <row r="75">
          <cell r="A75" t="str">
            <v>1) Driftskostnad = Pers.kost. + andre driftskostnader</v>
          </cell>
        </row>
        <row r="76">
          <cell r="A76" t="str">
            <v>2) Annualisert</v>
          </cell>
        </row>
        <row r="77">
          <cell r="A77" t="str">
            <v>3) Tusen kr.</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New AVCo">
    <a:dk1>
      <a:srgbClr val="0D355B"/>
    </a:dk1>
    <a:lt1>
      <a:srgbClr val="FFFFFF"/>
    </a:lt1>
    <a:dk2>
      <a:srgbClr val="4D96E5"/>
    </a:dk2>
    <a:lt2>
      <a:srgbClr val="3250BE"/>
    </a:lt2>
    <a:accent1>
      <a:srgbClr val="A4B8F2"/>
    </a:accent1>
    <a:accent2>
      <a:srgbClr val="BAA48B"/>
    </a:accent2>
    <a:accent3>
      <a:srgbClr val="0A5268"/>
    </a:accent3>
    <a:accent4>
      <a:srgbClr val="FFFF99"/>
    </a:accent4>
    <a:accent5>
      <a:srgbClr val="F24E4A"/>
    </a:accent5>
    <a:accent6>
      <a:srgbClr val="3AC943"/>
    </a:accent6>
    <a:hlink>
      <a:srgbClr val="2985E0"/>
    </a:hlink>
    <a:folHlink>
      <a:srgbClr val="7030A0"/>
    </a:folHlink>
  </a:clrScheme>
  <a:fontScheme name="New AVCo">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NSR Accent">
    <a:dk1>
      <a:sysClr val="windowText" lastClr="000000"/>
    </a:dk1>
    <a:lt1>
      <a:srgbClr val="FFFFFF"/>
    </a:lt1>
    <a:dk2>
      <a:srgbClr val="263238"/>
    </a:dk2>
    <a:lt2>
      <a:srgbClr val="ECEFF1"/>
    </a:lt2>
    <a:accent1>
      <a:srgbClr val="C7FE02"/>
    </a:accent1>
    <a:accent2>
      <a:srgbClr val="E3F982"/>
    </a:accent2>
    <a:accent3>
      <a:srgbClr val="F9663E"/>
    </a:accent3>
    <a:accent4>
      <a:srgbClr val="F19375"/>
    </a:accent4>
    <a:accent5>
      <a:srgbClr val="00CA94"/>
    </a:accent5>
    <a:accent6>
      <a:srgbClr val="80D4C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chris@newstreetresearch.com" TargetMode="Externa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3" Type="http://schemas.openxmlformats.org/officeDocument/2006/relationships/hyperlink" Target="http://www.guardian.co.uk/world/2012/jun/26/spotlight-televisa-mexico-tv-station" TargetMode="External"/><Relationship Id="rId7" Type="http://schemas.openxmlformats.org/officeDocument/2006/relationships/comments" Target="../comments12.xml"/><Relationship Id="rId2" Type="http://schemas.openxmlformats.org/officeDocument/2006/relationships/hyperlink" Target="http://home.millsaps.edu/paxmaa/eltigre/id5.htm" TargetMode="External"/><Relationship Id="rId1" Type="http://schemas.openxmlformats.org/officeDocument/2006/relationships/hyperlink" Target="http://en.wikipedia.org/wiki/Emilio_Azc%C3%A1rraga_Jean" TargetMode="External"/><Relationship Id="rId6" Type="http://schemas.openxmlformats.org/officeDocument/2006/relationships/vmlDrawing" Target="../drawings/vmlDrawing12.vml"/><Relationship Id="rId5" Type="http://schemas.openxmlformats.org/officeDocument/2006/relationships/drawing" Target="../drawings/drawing10.xml"/><Relationship Id="rId4"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1.x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B340E-2DEB-48E6-A1FD-C4B38922A24C}">
  <dimension ref="A8:AU39"/>
  <sheetViews>
    <sheetView showGridLines="0" tabSelected="1" zoomScale="82" zoomScaleNormal="145" workbookViewId="0">
      <selection activeCell="C28" sqref="C28"/>
    </sheetView>
  </sheetViews>
  <sheetFormatPr defaultColWidth="8.85546875" defaultRowHeight="12"/>
  <cols>
    <col min="1" max="1" width="15.5703125" style="626" customWidth="1"/>
    <col min="2" max="2" width="13" style="626" customWidth="1"/>
    <col min="3" max="9" width="8.85546875" style="626"/>
    <col min="10" max="10" width="9.85546875" style="626" bestFit="1" customWidth="1"/>
    <col min="11" max="12" width="8.85546875" style="626"/>
    <col min="13" max="13" width="10.5703125" style="626" bestFit="1" customWidth="1"/>
    <col min="14" max="20" width="8.85546875" style="626"/>
    <col min="21" max="21" width="7.5703125" style="626" bestFit="1" customWidth="1"/>
    <col min="22" max="16384" width="8.85546875" style="626"/>
  </cols>
  <sheetData>
    <row r="8" spans="1:20" ht="13.5" thickBot="1">
      <c r="A8" s="624"/>
      <c r="B8" s="625"/>
      <c r="C8" s="625"/>
      <c r="D8" s="625"/>
      <c r="E8" s="625"/>
      <c r="F8" s="625"/>
      <c r="G8" s="625"/>
      <c r="H8" s="625"/>
      <c r="I8" s="625"/>
      <c r="J8" s="625"/>
      <c r="K8" s="625"/>
      <c r="L8" s="625"/>
      <c r="M8" s="625"/>
      <c r="N8" s="625"/>
      <c r="O8" s="625"/>
      <c r="P8" s="625"/>
      <c r="Q8" s="625"/>
      <c r="R8" s="625"/>
      <c r="S8" s="625"/>
      <c r="T8" s="625"/>
    </row>
    <row r="9" spans="1:20">
      <c r="A9" s="627"/>
      <c r="B9" s="627"/>
      <c r="C9" s="627"/>
      <c r="D9" s="627"/>
      <c r="E9" s="627"/>
      <c r="F9" s="627"/>
      <c r="G9" s="627"/>
      <c r="H9" s="627"/>
      <c r="I9" s="627"/>
      <c r="J9" s="627"/>
      <c r="K9" s="627"/>
      <c r="L9" s="627"/>
      <c r="M9" s="627"/>
      <c r="N9" s="627"/>
      <c r="O9" s="627"/>
      <c r="P9" s="627"/>
      <c r="Q9" s="627"/>
      <c r="R9" s="627"/>
      <c r="S9" s="627"/>
      <c r="T9" s="627"/>
    </row>
    <row r="10" spans="1:20">
      <c r="A10" s="627"/>
      <c r="B10" s="627"/>
      <c r="C10" s="627"/>
      <c r="D10" s="627"/>
      <c r="E10" s="627"/>
      <c r="F10" s="627"/>
      <c r="G10" s="627"/>
      <c r="H10" s="627"/>
      <c r="I10" s="627"/>
      <c r="J10" s="627"/>
      <c r="K10" s="627"/>
      <c r="L10" s="627"/>
      <c r="M10" s="627"/>
      <c r="N10" s="627"/>
      <c r="O10" s="627"/>
      <c r="P10" s="627"/>
      <c r="Q10" s="627"/>
      <c r="R10" s="627"/>
      <c r="S10" s="627"/>
      <c r="T10" s="627"/>
    </row>
    <row r="11" spans="1:20">
      <c r="A11" s="627"/>
      <c r="B11" s="627"/>
      <c r="C11" s="627"/>
      <c r="D11" s="627"/>
      <c r="E11" s="627"/>
      <c r="F11" s="627"/>
      <c r="G11" s="627"/>
      <c r="H11" s="627"/>
      <c r="I11" s="627"/>
      <c r="J11" s="627"/>
      <c r="K11" s="627"/>
      <c r="L11" s="627"/>
      <c r="M11" s="627"/>
      <c r="N11" s="627"/>
      <c r="O11" s="627"/>
      <c r="P11" s="627"/>
      <c r="Q11" s="627"/>
      <c r="R11" s="627"/>
      <c r="S11" s="627"/>
      <c r="T11" s="627"/>
    </row>
    <row r="12" spans="1:20">
      <c r="A12" s="627"/>
      <c r="B12" s="627"/>
      <c r="C12" s="627"/>
      <c r="D12" s="627"/>
      <c r="E12" s="627"/>
      <c r="F12" s="627"/>
      <c r="G12" s="627"/>
      <c r="H12" s="627"/>
      <c r="I12" s="627"/>
      <c r="J12" s="627"/>
      <c r="K12" s="627"/>
      <c r="L12" s="627"/>
      <c r="M12" s="627"/>
      <c r="N12" s="627"/>
      <c r="O12" s="627"/>
      <c r="P12" s="627"/>
      <c r="Q12" s="627"/>
      <c r="R12" s="627"/>
      <c r="S12" s="627"/>
      <c r="T12" s="627"/>
    </row>
    <row r="13" spans="1:20" ht="23.25">
      <c r="A13" s="627"/>
      <c r="B13" s="628" t="s">
        <v>0</v>
      </c>
      <c r="C13" s="627"/>
      <c r="D13" s="627"/>
      <c r="E13" s="627"/>
      <c r="F13" s="627"/>
      <c r="G13" s="627"/>
      <c r="H13" s="627"/>
      <c r="I13" s="627"/>
      <c r="J13" s="627"/>
      <c r="K13" s="627"/>
      <c r="L13" s="627"/>
      <c r="M13" s="627"/>
      <c r="N13" s="627"/>
      <c r="O13" s="627"/>
      <c r="P13" s="627"/>
      <c r="Q13" s="627"/>
      <c r="R13" s="627"/>
      <c r="S13" s="627"/>
      <c r="T13" s="627"/>
    </row>
    <row r="14" spans="1:20">
      <c r="A14" s="627"/>
      <c r="B14" s="627"/>
      <c r="C14" s="627"/>
      <c r="D14" s="627"/>
      <c r="E14" s="627"/>
      <c r="F14" s="627"/>
      <c r="G14" s="627"/>
      <c r="H14" s="627"/>
      <c r="I14" s="627"/>
      <c r="J14" s="627"/>
      <c r="K14" s="627"/>
      <c r="L14" s="627"/>
      <c r="M14" s="627"/>
      <c r="N14" s="627"/>
      <c r="O14" s="627"/>
      <c r="P14" s="627"/>
      <c r="Q14" s="627"/>
      <c r="R14" s="627"/>
      <c r="S14" s="627"/>
      <c r="T14" s="627"/>
    </row>
    <row r="15" spans="1:20">
      <c r="A15" s="627"/>
      <c r="B15" s="627"/>
      <c r="C15" s="627"/>
      <c r="D15" s="627"/>
      <c r="E15" s="627"/>
      <c r="F15" s="627"/>
      <c r="G15" s="627"/>
      <c r="H15" s="627"/>
      <c r="I15" s="627"/>
      <c r="J15" s="627"/>
      <c r="K15" s="627"/>
      <c r="L15" s="627"/>
      <c r="M15" s="627"/>
      <c r="N15" s="627"/>
      <c r="O15" s="627"/>
      <c r="P15" s="627"/>
      <c r="Q15" s="627"/>
      <c r="R15" s="627"/>
      <c r="S15" s="627"/>
      <c r="T15" s="627"/>
    </row>
    <row r="16" spans="1:20">
      <c r="A16" s="627"/>
      <c r="B16" s="629">
        <v>45838</v>
      </c>
      <c r="C16" s="627"/>
      <c r="D16" s="627"/>
      <c r="E16" s="627"/>
      <c r="F16" s="627"/>
      <c r="G16" s="627"/>
      <c r="H16" s="627"/>
      <c r="I16" s="627"/>
      <c r="J16" s="627"/>
      <c r="K16" s="627"/>
      <c r="L16" s="627"/>
      <c r="M16" s="627"/>
      <c r="N16" s="627"/>
      <c r="O16" s="627"/>
      <c r="P16" s="627"/>
      <c r="Q16" s="627"/>
      <c r="R16" s="627"/>
      <c r="S16" s="627"/>
      <c r="T16" s="627"/>
    </row>
    <row r="17" spans="1:47" ht="12.75">
      <c r="A17" s="627"/>
      <c r="B17" s="630"/>
      <c r="C17" s="627"/>
      <c r="D17" s="627"/>
      <c r="E17" s="627"/>
      <c r="F17" s="627"/>
      <c r="G17" s="627"/>
      <c r="H17" s="627"/>
      <c r="I17" s="627"/>
      <c r="J17" s="627"/>
      <c r="K17" s="627"/>
      <c r="L17" s="627"/>
      <c r="M17" s="627"/>
      <c r="N17" s="627"/>
      <c r="O17" s="627"/>
      <c r="P17" s="627"/>
      <c r="Q17" s="627"/>
      <c r="R17" s="627"/>
      <c r="S17" s="627"/>
      <c r="T17" s="627"/>
    </row>
    <row r="18" spans="1:47" ht="12.75">
      <c r="A18" s="627"/>
      <c r="B18" s="630"/>
      <c r="C18" s="627"/>
      <c r="D18" s="627"/>
      <c r="E18" s="627"/>
      <c r="F18" s="627"/>
      <c r="G18" s="627"/>
      <c r="H18" s="627"/>
      <c r="I18" s="627"/>
      <c r="J18" s="627"/>
      <c r="K18" s="627"/>
      <c r="L18" s="627"/>
      <c r="M18" s="627"/>
      <c r="N18" s="627"/>
      <c r="O18" s="627"/>
      <c r="P18" s="627"/>
      <c r="Q18" s="627"/>
      <c r="R18" s="627"/>
      <c r="S18" s="627"/>
      <c r="T18" s="627"/>
      <c r="U18" s="631"/>
      <c r="V18" s="631"/>
      <c r="W18" s="631"/>
      <c r="X18" s="631"/>
      <c r="Y18" s="631"/>
      <c r="Z18" s="631"/>
      <c r="AA18" s="631"/>
      <c r="AB18" s="631"/>
      <c r="AC18" s="631"/>
      <c r="AD18" s="631"/>
      <c r="AE18" s="631"/>
      <c r="AF18" s="631"/>
      <c r="AG18" s="631"/>
      <c r="AH18" s="631"/>
      <c r="AI18" s="631"/>
      <c r="AJ18" s="631"/>
      <c r="AK18" s="631"/>
      <c r="AL18" s="631"/>
      <c r="AM18" s="631"/>
      <c r="AN18" s="631"/>
      <c r="AO18" s="631"/>
      <c r="AP18" s="631"/>
      <c r="AQ18" s="631"/>
      <c r="AR18" s="631"/>
      <c r="AS18" s="631"/>
      <c r="AT18" s="631"/>
      <c r="AU18" s="631"/>
    </row>
    <row r="19" spans="1:47" ht="12.75">
      <c r="A19" s="627"/>
      <c r="B19" s="632" t="s">
        <v>1</v>
      </c>
      <c r="C19" s="627"/>
      <c r="D19" s="627"/>
      <c r="E19" s="627"/>
      <c r="F19" s="627"/>
      <c r="G19" s="627"/>
      <c r="H19" s="633"/>
      <c r="I19" s="627"/>
      <c r="J19" s="627"/>
      <c r="K19" s="627"/>
      <c r="L19" s="627"/>
      <c r="M19" s="627"/>
      <c r="N19" s="627"/>
      <c r="O19" s="627"/>
      <c r="P19" s="627"/>
      <c r="Q19" s="627"/>
      <c r="R19" s="627"/>
      <c r="S19" s="627"/>
      <c r="T19" s="627"/>
      <c r="U19" s="631"/>
      <c r="V19" s="631"/>
    </row>
    <row r="20" spans="1:47" ht="12.75">
      <c r="A20" s="627"/>
      <c r="B20" s="634" t="s">
        <v>2</v>
      </c>
      <c r="C20" s="627"/>
      <c r="D20" s="627"/>
      <c r="E20" s="627"/>
      <c r="F20" s="627"/>
      <c r="G20" s="627"/>
      <c r="H20" s="627"/>
      <c r="I20" s="627"/>
      <c r="J20" s="627"/>
      <c r="K20" s="627"/>
      <c r="L20" s="627"/>
      <c r="M20" s="627"/>
      <c r="N20" s="627"/>
      <c r="O20" s="627"/>
      <c r="P20" s="627"/>
      <c r="Q20" s="627"/>
      <c r="R20" s="631"/>
      <c r="S20" s="631"/>
      <c r="T20" s="631"/>
      <c r="U20" s="631"/>
      <c r="V20" s="631"/>
    </row>
    <row r="21" spans="1:47" ht="12.75">
      <c r="A21" s="627"/>
      <c r="B21" s="635" t="s">
        <v>3</v>
      </c>
      <c r="C21" s="636"/>
      <c r="D21" s="636"/>
      <c r="E21" s="627"/>
      <c r="F21" s="627"/>
      <c r="G21" s="627"/>
      <c r="H21" s="627"/>
      <c r="I21" s="627"/>
      <c r="J21" s="627"/>
      <c r="K21" s="627"/>
      <c r="L21" s="627"/>
      <c r="M21" s="627"/>
      <c r="N21" s="627"/>
      <c r="O21" s="627"/>
      <c r="P21" s="627"/>
      <c r="Q21" s="627"/>
      <c r="R21" s="627"/>
      <c r="S21" s="627"/>
      <c r="T21" s="627"/>
    </row>
    <row r="22" spans="1:47" ht="15">
      <c r="A22" s="627"/>
      <c r="B22" s="1554" t="s">
        <v>4</v>
      </c>
      <c r="C22" s="636"/>
      <c r="D22" s="636"/>
      <c r="E22" s="627"/>
      <c r="F22" s="627"/>
      <c r="G22" s="627"/>
      <c r="H22" s="627"/>
      <c r="I22" s="627"/>
      <c r="J22" s="627"/>
      <c r="K22" s="627"/>
      <c r="L22" s="627"/>
      <c r="M22" s="627"/>
      <c r="N22" s="627"/>
      <c r="O22" s="627"/>
      <c r="P22" s="627"/>
      <c r="Q22" s="627"/>
      <c r="R22" s="627"/>
      <c r="S22" s="627"/>
      <c r="T22" s="627"/>
    </row>
    <row r="23" spans="1:47" ht="12.75">
      <c r="A23" s="627"/>
      <c r="B23" s="630"/>
      <c r="C23" s="636"/>
      <c r="D23" s="636"/>
      <c r="E23" s="627"/>
      <c r="F23" s="627"/>
      <c r="G23" s="627"/>
      <c r="H23" s="627"/>
      <c r="I23" s="627"/>
      <c r="J23" s="627"/>
      <c r="K23" s="627"/>
      <c r="L23" s="627"/>
      <c r="M23" s="627"/>
      <c r="N23" s="627"/>
      <c r="O23" s="627"/>
      <c r="P23" s="627"/>
      <c r="Q23" s="627"/>
      <c r="R23" s="627"/>
      <c r="S23" s="627"/>
      <c r="T23" s="627"/>
    </row>
    <row r="24" spans="1:47">
      <c r="A24" s="627"/>
      <c r="B24" s="637"/>
      <c r="C24" s="636"/>
      <c r="D24" s="636"/>
      <c r="E24" s="627"/>
      <c r="F24" s="627"/>
      <c r="G24" s="627"/>
      <c r="H24" s="627"/>
      <c r="I24" s="627"/>
      <c r="J24" s="638"/>
      <c r="K24" s="627"/>
      <c r="L24" s="627"/>
      <c r="M24" s="627"/>
      <c r="N24" s="627"/>
      <c r="O24" s="627"/>
      <c r="P24" s="627"/>
      <c r="Q24" s="627"/>
      <c r="R24" s="627"/>
      <c r="S24" s="627"/>
      <c r="T24" s="627"/>
    </row>
    <row r="25" spans="1:47">
      <c r="A25" s="627"/>
      <c r="B25" s="636" t="s">
        <v>5</v>
      </c>
      <c r="C25" s="639" t="s">
        <v>6</v>
      </c>
      <c r="D25" s="627"/>
      <c r="E25" s="627"/>
      <c r="F25" s="627"/>
      <c r="G25" s="627"/>
      <c r="H25" s="627"/>
      <c r="I25" s="627"/>
      <c r="J25" s="627"/>
      <c r="K25" s="627"/>
      <c r="L25" s="627"/>
      <c r="M25" s="638"/>
      <c r="N25" s="627"/>
      <c r="O25" s="627"/>
      <c r="P25" s="627"/>
      <c r="Q25" s="627"/>
      <c r="R25" s="627"/>
      <c r="S25" s="627"/>
      <c r="T25" s="627"/>
    </row>
    <row r="26" spans="1:47">
      <c r="A26" s="627"/>
      <c r="B26" s="636" t="s">
        <v>7</v>
      </c>
      <c r="C26" s="639" t="s">
        <v>8</v>
      </c>
      <c r="D26" s="627"/>
      <c r="E26" s="627"/>
      <c r="F26" s="627"/>
      <c r="G26" s="627"/>
      <c r="H26" s="627"/>
      <c r="I26" s="627"/>
      <c r="J26" s="627"/>
      <c r="K26" s="627"/>
      <c r="L26" s="627"/>
      <c r="M26" s="638"/>
      <c r="N26" s="627"/>
      <c r="O26" s="627"/>
      <c r="P26" s="627"/>
      <c r="Q26" s="627"/>
      <c r="R26" s="627"/>
      <c r="S26" s="627"/>
      <c r="T26" s="627"/>
    </row>
    <row r="27" spans="1:47">
      <c r="A27" s="627"/>
      <c r="B27" s="636" t="s">
        <v>9</v>
      </c>
      <c r="C27" s="641">
        <v>2.2000000000000002</v>
      </c>
      <c r="D27" s="633"/>
      <c r="E27" s="633"/>
      <c r="F27" s="627"/>
      <c r="G27" s="627"/>
      <c r="H27" s="627"/>
      <c r="I27" s="627"/>
      <c r="J27" s="627"/>
      <c r="K27" s="627"/>
      <c r="L27" s="627"/>
      <c r="M27" s="627"/>
      <c r="N27" s="627"/>
      <c r="O27" s="627"/>
      <c r="P27" s="627"/>
      <c r="Q27" s="627"/>
      <c r="R27" s="627"/>
      <c r="S27" s="627"/>
      <c r="T27" s="627"/>
    </row>
    <row r="28" spans="1:47">
      <c r="A28" s="627"/>
      <c r="B28" s="636"/>
      <c r="C28" s="640"/>
      <c r="D28" s="633"/>
      <c r="E28" s="633"/>
      <c r="F28" s="633"/>
      <c r="G28" s="633"/>
      <c r="H28" s="633"/>
      <c r="I28" s="633"/>
      <c r="J28" s="633"/>
      <c r="K28" s="633"/>
      <c r="L28" s="633"/>
      <c r="M28" s="633"/>
      <c r="N28" s="633"/>
      <c r="O28" s="633"/>
      <c r="P28" s="627"/>
      <c r="Q28" s="627"/>
      <c r="R28" s="627"/>
      <c r="S28" s="627"/>
      <c r="T28" s="627"/>
    </row>
    <row r="29" spans="1:47">
      <c r="A29" s="627"/>
      <c r="B29" s="636"/>
      <c r="C29" s="640"/>
      <c r="D29" s="633"/>
      <c r="E29" s="633"/>
      <c r="F29" s="633"/>
      <c r="G29" s="633"/>
      <c r="H29" s="633"/>
      <c r="I29" s="633"/>
      <c r="J29" s="633"/>
      <c r="K29" s="633"/>
      <c r="L29" s="633"/>
      <c r="M29" s="633"/>
      <c r="N29" s="633"/>
      <c r="O29" s="633"/>
      <c r="P29" s="627"/>
      <c r="Q29" s="627"/>
      <c r="R29" s="627"/>
      <c r="S29" s="627"/>
      <c r="T29" s="627"/>
    </row>
    <row r="30" spans="1:47">
      <c r="A30" s="627"/>
      <c r="B30" s="636"/>
      <c r="C30" s="640"/>
      <c r="D30" s="627"/>
      <c r="E30" s="627"/>
      <c r="F30" s="627"/>
      <c r="G30" s="627"/>
      <c r="H30" s="627"/>
      <c r="I30" s="627"/>
      <c r="J30" s="627"/>
      <c r="K30" s="627"/>
      <c r="L30" s="627"/>
      <c r="M30" s="627"/>
      <c r="N30" s="627"/>
      <c r="O30" s="627"/>
      <c r="P30" s="627"/>
      <c r="Q30" s="627"/>
      <c r="R30" s="627"/>
      <c r="S30" s="627"/>
      <c r="T30" s="627"/>
    </row>
    <row r="31" spans="1:47">
      <c r="A31" s="627"/>
      <c r="B31" s="627"/>
      <c r="C31" s="627"/>
      <c r="D31" s="627"/>
      <c r="E31" s="627"/>
      <c r="F31" s="627"/>
      <c r="G31" s="627"/>
      <c r="H31" s="627"/>
      <c r="I31" s="627"/>
      <c r="J31" s="627"/>
      <c r="K31" s="627"/>
      <c r="L31" s="627"/>
      <c r="M31" s="627"/>
      <c r="N31" s="627"/>
      <c r="O31" s="627"/>
      <c r="P31" s="627"/>
      <c r="Q31" s="627"/>
      <c r="R31" s="627"/>
      <c r="S31" s="627"/>
      <c r="T31" s="627"/>
    </row>
    <row r="32" spans="1:47">
      <c r="A32" s="627"/>
      <c r="B32" s="627"/>
      <c r="C32" s="627"/>
      <c r="D32" s="627"/>
      <c r="E32" s="627"/>
      <c r="F32" s="627"/>
      <c r="G32" s="627"/>
      <c r="H32" s="627"/>
      <c r="I32" s="627"/>
      <c r="J32" s="627"/>
      <c r="K32" s="627"/>
      <c r="L32" s="627"/>
      <c r="M32" s="627"/>
      <c r="N32" s="627"/>
      <c r="O32" s="627"/>
      <c r="P32" s="627"/>
      <c r="Q32" s="627"/>
      <c r="R32" s="627"/>
      <c r="S32" s="627"/>
      <c r="T32" s="627"/>
    </row>
    <row r="33" spans="1:20">
      <c r="A33" s="627"/>
      <c r="B33" s="627"/>
      <c r="C33" s="627"/>
      <c r="D33" s="627"/>
      <c r="E33" s="627"/>
      <c r="F33" s="627"/>
      <c r="G33" s="627"/>
      <c r="H33" s="627"/>
      <c r="I33" s="627"/>
      <c r="J33" s="627"/>
      <c r="K33" s="627"/>
      <c r="L33" s="627"/>
      <c r="M33" s="627"/>
      <c r="N33" s="627"/>
      <c r="O33" s="627"/>
      <c r="P33" s="627"/>
      <c r="Q33" s="627"/>
      <c r="R33" s="627"/>
      <c r="S33" s="627"/>
      <c r="T33" s="627"/>
    </row>
    <row r="34" spans="1:20">
      <c r="A34" s="627"/>
      <c r="B34" s="627"/>
      <c r="C34" s="627"/>
      <c r="D34" s="627"/>
      <c r="E34" s="627"/>
      <c r="F34" s="627"/>
      <c r="G34" s="627"/>
      <c r="H34" s="627"/>
      <c r="I34" s="627"/>
      <c r="J34" s="627"/>
      <c r="K34" s="627"/>
      <c r="L34" s="627"/>
      <c r="M34" s="627"/>
      <c r="N34" s="627"/>
      <c r="O34" s="627"/>
      <c r="P34" s="627"/>
      <c r="Q34" s="627"/>
      <c r="R34" s="627"/>
      <c r="S34" s="627"/>
      <c r="T34" s="627"/>
    </row>
    <row r="35" spans="1:20">
      <c r="A35" s="627"/>
      <c r="B35" s="627"/>
      <c r="C35" s="627"/>
      <c r="D35" s="627"/>
      <c r="E35" s="627"/>
      <c r="F35" s="627"/>
      <c r="G35" s="627"/>
      <c r="H35" s="627"/>
      <c r="I35" s="627"/>
      <c r="J35" s="627"/>
      <c r="K35" s="627"/>
      <c r="L35" s="627"/>
      <c r="M35" s="627"/>
      <c r="N35" s="627"/>
      <c r="O35" s="627"/>
      <c r="P35" s="627"/>
      <c r="Q35" s="627"/>
      <c r="R35" s="627"/>
      <c r="S35" s="627"/>
      <c r="T35" s="627"/>
    </row>
    <row r="36" spans="1:20">
      <c r="A36" s="627"/>
      <c r="B36" s="627"/>
      <c r="C36" s="627"/>
      <c r="D36" s="627"/>
      <c r="E36" s="627"/>
      <c r="F36" s="627"/>
      <c r="G36" s="627"/>
      <c r="H36" s="627"/>
      <c r="I36" s="627"/>
      <c r="J36" s="627"/>
      <c r="K36" s="627"/>
      <c r="L36" s="627"/>
      <c r="M36" s="627"/>
      <c r="N36" s="627"/>
      <c r="O36" s="627"/>
      <c r="P36" s="627"/>
      <c r="Q36" s="627"/>
      <c r="R36" s="627"/>
      <c r="S36" s="627"/>
      <c r="T36" s="627"/>
    </row>
    <row r="37" spans="1:20">
      <c r="A37" s="627"/>
      <c r="B37" s="627"/>
      <c r="C37" s="627"/>
      <c r="D37" s="627"/>
      <c r="E37" s="627"/>
      <c r="F37" s="627"/>
      <c r="G37" s="627"/>
      <c r="H37" s="627"/>
      <c r="I37" s="627"/>
      <c r="J37" s="627"/>
      <c r="K37" s="627"/>
      <c r="L37" s="627"/>
      <c r="M37" s="627"/>
      <c r="N37" s="627"/>
      <c r="O37" s="627"/>
      <c r="P37" s="627"/>
      <c r="Q37" s="627"/>
      <c r="R37" s="627"/>
      <c r="S37" s="627"/>
      <c r="T37" s="627"/>
    </row>
    <row r="38" spans="1:20">
      <c r="A38" s="627"/>
      <c r="B38" s="627"/>
      <c r="C38" s="627"/>
      <c r="D38" s="627"/>
      <c r="E38" s="627"/>
      <c r="F38" s="627"/>
      <c r="G38" s="627"/>
      <c r="H38" s="627"/>
      <c r="I38" s="627"/>
      <c r="J38" s="627"/>
      <c r="K38" s="627"/>
      <c r="L38" s="627"/>
      <c r="M38" s="627"/>
      <c r="N38" s="627"/>
      <c r="O38" s="627"/>
      <c r="P38" s="627"/>
      <c r="Q38" s="627"/>
      <c r="R38" s="627"/>
      <c r="S38" s="627"/>
      <c r="T38" s="627"/>
    </row>
    <row r="39" spans="1:20" ht="12.75" thickBot="1">
      <c r="A39" s="625"/>
      <c r="B39" s="625"/>
      <c r="C39" s="625"/>
      <c r="D39" s="625"/>
      <c r="E39" s="625"/>
      <c r="F39" s="625"/>
      <c r="G39" s="625"/>
      <c r="H39" s="625"/>
      <c r="I39" s="625"/>
      <c r="J39" s="625"/>
      <c r="K39" s="625"/>
      <c r="L39" s="625"/>
      <c r="M39" s="625"/>
      <c r="N39" s="625"/>
      <c r="O39" s="625"/>
      <c r="P39" s="625"/>
      <c r="Q39" s="625"/>
      <c r="R39" s="625"/>
      <c r="S39" s="625"/>
      <c r="T39" s="625"/>
    </row>
  </sheetData>
  <hyperlinks>
    <hyperlink ref="B22" r:id="rId1" xr:uid="{663EB858-6B39-40A5-80C7-20C90719D216}"/>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81D17-7036-4D38-9A2B-F555EB6FD36A}">
  <sheetPr>
    <tabColor theme="7" tint="0.39997558519241921"/>
  </sheetPr>
  <dimension ref="A2:AA88"/>
  <sheetViews>
    <sheetView topLeftCell="A22" zoomScale="72" zoomScaleNormal="72" workbookViewId="0">
      <selection activeCell="Y41" sqref="Y41"/>
    </sheetView>
  </sheetViews>
  <sheetFormatPr defaultRowHeight="15"/>
  <cols>
    <col min="1" max="1" width="30.7109375" bestFit="1" customWidth="1"/>
    <col min="2" max="4" width="10" bestFit="1" customWidth="1"/>
    <col min="5" max="5" width="10.140625" customWidth="1"/>
    <col min="6" max="17" width="10" bestFit="1" customWidth="1"/>
    <col min="18" max="19" width="9.28515625" bestFit="1" customWidth="1"/>
    <col min="20" max="20" width="9.85546875" customWidth="1"/>
    <col min="21" max="21" width="10" customWidth="1"/>
    <col min="22" max="22" width="10.140625" customWidth="1"/>
    <col min="23" max="24" width="9.28515625" bestFit="1" customWidth="1"/>
  </cols>
  <sheetData>
    <row r="2" spans="1:24" ht="15.75">
      <c r="A2" s="1907" t="s">
        <v>8030</v>
      </c>
      <c r="B2" s="1908"/>
      <c r="C2" s="1908"/>
      <c r="D2" s="1908"/>
      <c r="E2" s="1908"/>
      <c r="F2" s="1908"/>
      <c r="G2" s="1908"/>
      <c r="H2" s="1908"/>
      <c r="I2" s="1908"/>
      <c r="J2" s="1908"/>
      <c r="K2" s="1908"/>
      <c r="L2" s="1908"/>
      <c r="M2" s="1908"/>
      <c r="N2" s="1908"/>
      <c r="O2" s="1908"/>
      <c r="P2" s="1908"/>
      <c r="Q2" s="1908"/>
      <c r="R2" s="1908"/>
      <c r="S2" s="1908"/>
      <c r="T2" s="1908"/>
      <c r="U2" s="1908"/>
      <c r="V2" s="1908"/>
      <c r="W2" s="1908"/>
      <c r="X2" s="1908"/>
    </row>
    <row r="3" spans="1:24" ht="16.5" thickBot="1">
      <c r="A3" s="1909" t="s">
        <v>662</v>
      </c>
      <c r="B3" s="1910" t="s">
        <v>8031</v>
      </c>
      <c r="C3" s="1910" t="s">
        <v>8032</v>
      </c>
      <c r="D3" s="1910" t="s">
        <v>8033</v>
      </c>
      <c r="E3" s="1910" t="s">
        <v>8034</v>
      </c>
      <c r="F3" s="1910" t="s">
        <v>8035</v>
      </c>
      <c r="G3" s="1910" t="s">
        <v>8036</v>
      </c>
      <c r="H3" s="1910" t="s">
        <v>8037</v>
      </c>
      <c r="I3" s="1910" t="s">
        <v>8038</v>
      </c>
      <c r="J3" s="1910" t="s">
        <v>8039</v>
      </c>
      <c r="K3" s="1910" t="s">
        <v>8040</v>
      </c>
      <c r="L3" s="1910" t="s">
        <v>8041</v>
      </c>
      <c r="M3" s="1910" t="s">
        <v>2158</v>
      </c>
      <c r="N3" s="1910" t="s">
        <v>942</v>
      </c>
      <c r="O3" s="1910" t="s">
        <v>943</v>
      </c>
      <c r="P3" s="1910" t="s">
        <v>944</v>
      </c>
      <c r="Q3" s="1910" t="s">
        <v>945</v>
      </c>
      <c r="R3" s="1910" t="s">
        <v>946</v>
      </c>
      <c r="S3" s="1910" t="s">
        <v>947</v>
      </c>
      <c r="T3" s="1910" t="s">
        <v>948</v>
      </c>
      <c r="U3" s="1910" t="s">
        <v>949</v>
      </c>
      <c r="V3" s="1910" t="s">
        <v>951</v>
      </c>
      <c r="W3" s="1910" t="s">
        <v>952</v>
      </c>
      <c r="X3" s="1910" t="s">
        <v>8029</v>
      </c>
    </row>
    <row r="4" spans="1:24" ht="15.75">
      <c r="A4" s="1911" t="s">
        <v>33</v>
      </c>
      <c r="B4" s="1912">
        <f>Interims!AZ21</f>
        <v>23228.800000000003</v>
      </c>
      <c r="C4" s="1912">
        <f>Interims!BA21</f>
        <v>22331.399999999998</v>
      </c>
      <c r="D4" s="1912">
        <f>Interims!BB21</f>
        <v>23942.999999999996</v>
      </c>
      <c r="E4" s="1912">
        <f>Interims!BC21</f>
        <v>27635.100000000002</v>
      </c>
      <c r="F4" s="1912">
        <f>Interims!BE21</f>
        <v>23828.799999999999</v>
      </c>
      <c r="G4" s="1912">
        <f>Interims!BF21</f>
        <v>24752.399999999998</v>
      </c>
      <c r="H4" s="1912">
        <f>Interims!BG21</f>
        <v>26127.9</v>
      </c>
      <c r="I4" s="1912">
        <f>Interims!BH21</f>
        <v>28811.8</v>
      </c>
      <c r="J4" s="1912">
        <f>Interims!BJ21</f>
        <v>18609.2</v>
      </c>
      <c r="K4" s="1912">
        <f>Interims!BK21</f>
        <v>18533.5</v>
      </c>
      <c r="L4" s="1912">
        <f>Interims!BL21</f>
        <v>19251.7</v>
      </c>
      <c r="M4" s="1912">
        <f>Interims!BM21</f>
        <v>19132.3</v>
      </c>
      <c r="N4" s="1912">
        <f>Interims!BO21</f>
        <v>18519.600000000002</v>
      </c>
      <c r="O4" s="1912">
        <f>Interims!BP21</f>
        <v>18520.199999999997</v>
      </c>
      <c r="P4" s="1912">
        <f>Interims!BQ21</f>
        <v>18315.7</v>
      </c>
      <c r="Q4" s="1912">
        <f>Interims!BR21</f>
        <v>18412.399999999998</v>
      </c>
      <c r="R4" s="1912">
        <f>Interims!BT21</f>
        <v>15951.400000000001</v>
      </c>
      <c r="S4" s="1912">
        <f>Interims!BU21</f>
        <v>15720.3</v>
      </c>
      <c r="T4" s="1912">
        <f>Interims!BV21</f>
        <v>15362.8</v>
      </c>
      <c r="U4" s="1912">
        <f>Interims!BW21</f>
        <v>15226.4</v>
      </c>
      <c r="V4" s="1912">
        <f>Interims!BY21</f>
        <v>14973.6</v>
      </c>
      <c r="W4" s="1912">
        <f>Interims!BZ21</f>
        <v>14729.4</v>
      </c>
      <c r="X4" s="1912">
        <f>Interims!CA21</f>
        <v>14627</v>
      </c>
    </row>
    <row r="5" spans="1:24" ht="15.75">
      <c r="A5" s="1913" t="s">
        <v>34</v>
      </c>
      <c r="B5" s="1914">
        <f>Interims!AZ38</f>
        <v>8192.1000000000022</v>
      </c>
      <c r="C5" s="1914">
        <f>Interims!BA38</f>
        <v>7927.3000000000011</v>
      </c>
      <c r="D5" s="1914">
        <f>Interims!BB38</f>
        <v>9888.9999999999982</v>
      </c>
      <c r="E5" s="1914">
        <f>Interims!BC38</f>
        <v>11500.099999999997</v>
      </c>
      <c r="F5" s="1914">
        <f>Interims!BE38</f>
        <v>8710.4000000000015</v>
      </c>
      <c r="G5" s="1914">
        <f>Interims!BF38</f>
        <v>9209.8000000000011</v>
      </c>
      <c r="H5" s="1914">
        <f>Interims!BG38</f>
        <v>10179</v>
      </c>
      <c r="I5" s="1914">
        <f>Interims!BH38</f>
        <v>15502.5</v>
      </c>
      <c r="J5" s="1914">
        <f>Interims!BJ38</f>
        <v>6714.8</v>
      </c>
      <c r="K5" s="1914">
        <f>Interims!BK38</f>
        <v>6719.2000000000007</v>
      </c>
      <c r="L5" s="1914">
        <f>Interims!BL38</f>
        <v>6531.9999999999991</v>
      </c>
      <c r="M5" s="1914">
        <f>Interims!BM38</f>
        <v>5569.9</v>
      </c>
      <c r="N5" s="1914">
        <f>Interims!BO38</f>
        <v>6515.4</v>
      </c>
      <c r="O5" s="1914">
        <f>Interims!BP38</f>
        <v>6346.8999999999987</v>
      </c>
      <c r="P5" s="1914">
        <f>Interims!BQ38</f>
        <v>5467</v>
      </c>
      <c r="Q5" s="1914">
        <f>Interims!BR38</f>
        <v>5888.8000000000011</v>
      </c>
      <c r="R5" s="1914">
        <f>Interims!BT38</f>
        <v>7961.1999999999989</v>
      </c>
      <c r="S5" s="1914">
        <f>Interims!BU38</f>
        <v>5298.5000000000009</v>
      </c>
      <c r="T5" s="1914">
        <f>Interims!BV38</f>
        <v>5272.2000000000007</v>
      </c>
      <c r="U5" s="1914">
        <f>Interims!BW38</f>
        <v>-863.80000000000018</v>
      </c>
      <c r="V5" s="1914">
        <f>Interims!BY38</f>
        <v>5341.8</v>
      </c>
      <c r="W5" s="1914">
        <f>Interims!BZ38</f>
        <v>5356.0999999999995</v>
      </c>
      <c r="X5" s="1914">
        <f>Interims!CA38</f>
        <v>5533.3000000000011</v>
      </c>
    </row>
    <row r="6" spans="1:24" ht="15.75">
      <c r="A6" s="1911" t="s">
        <v>35</v>
      </c>
      <c r="B6" s="1912">
        <f>Interims!AZ107</f>
        <v>4548.029387076921</v>
      </c>
      <c r="C6" s="1912">
        <f>Interims!BA107</f>
        <v>4579.3672473846154</v>
      </c>
      <c r="D6" s="1912">
        <f>Interims!BB107</f>
        <v>5549.3703257575762</v>
      </c>
      <c r="E6" s="1912">
        <f>Interims!BC107</f>
        <v>5427.3788754545458</v>
      </c>
      <c r="F6" s="1912">
        <f>Interims!BE107</f>
        <v>5595.6156703125016</v>
      </c>
      <c r="G6" s="1912">
        <f>Interims!BF107</f>
        <v>5607.7338624615386</v>
      </c>
      <c r="H6" s="1912">
        <f>Interims!BG107</f>
        <v>7264.0537030303058</v>
      </c>
      <c r="I6" s="1912">
        <f>Interims!BH107</f>
        <v>4799.0295722727269</v>
      </c>
      <c r="J6" s="1912">
        <f>Interims!BJ107</f>
        <v>4686.8071403076901</v>
      </c>
      <c r="K6" s="1912">
        <f>Interims!BK107</f>
        <v>4787.639063692307</v>
      </c>
      <c r="L6" s="1912">
        <f>Interims!BL107</f>
        <v>4202.4803269696977</v>
      </c>
      <c r="M6" s="1912">
        <f>Interims!BM107</f>
        <v>3550.2878399999986</v>
      </c>
      <c r="N6" s="1912">
        <f>Interims!BO107</f>
        <v>3937.26</v>
      </c>
      <c r="O6" s="1912">
        <f>Interims!BP107</f>
        <v>3608.2140000000009</v>
      </c>
      <c r="P6" s="1912">
        <f>Interims!BQ107</f>
        <v>3185.2620000000002</v>
      </c>
      <c r="Q6" s="1912">
        <f>Interims!BR107</f>
        <v>3978.585</v>
      </c>
      <c r="R6" s="1912">
        <f>Interims!BT107</f>
        <v>2036.3999999999999</v>
      </c>
      <c r="S6" s="1912">
        <f>Interims!BU107</f>
        <v>1761.2249999999999</v>
      </c>
      <c r="T6" s="1912">
        <f>Interims!BV107</f>
        <v>2423.652</v>
      </c>
      <c r="U6" s="1912">
        <f>Interims!BW107</f>
        <v>2864.5679999999988</v>
      </c>
      <c r="V6" s="1912">
        <f>Interims!BY107</f>
        <v>1777.41</v>
      </c>
      <c r="W6" s="1912">
        <f>Interims!BZ107</f>
        <v>2126.3589999999999</v>
      </c>
      <c r="X6" s="1912">
        <f>Interims!CA107</f>
        <v>3647.46</v>
      </c>
    </row>
    <row r="7" spans="1:24" ht="15.75">
      <c r="A7" s="1913" t="s">
        <v>36</v>
      </c>
      <c r="B7" s="1944">
        <f>B5-B6</f>
        <v>3644.0706129230812</v>
      </c>
      <c r="C7" s="1944">
        <f t="shared" ref="C7:X7" si="0">C5-C6</f>
        <v>3347.9327526153857</v>
      </c>
      <c r="D7" s="1944">
        <f t="shared" si="0"/>
        <v>4339.629674242422</v>
      </c>
      <c r="E7" s="1944">
        <f t="shared" si="0"/>
        <v>6072.7211245454509</v>
      </c>
      <c r="F7" s="1944">
        <f t="shared" si="0"/>
        <v>3114.7843296874998</v>
      </c>
      <c r="G7" s="1944">
        <f t="shared" si="0"/>
        <v>3602.0661375384625</v>
      </c>
      <c r="H7" s="1944">
        <f t="shared" si="0"/>
        <v>2914.9462969696942</v>
      </c>
      <c r="I7" s="1944">
        <f t="shared" si="0"/>
        <v>10703.470427727272</v>
      </c>
      <c r="J7" s="1944">
        <f t="shared" si="0"/>
        <v>2027.99285969231</v>
      </c>
      <c r="K7" s="1944">
        <f t="shared" si="0"/>
        <v>1931.5609363076937</v>
      </c>
      <c r="L7" s="1944">
        <f t="shared" si="0"/>
        <v>2329.5196730303014</v>
      </c>
      <c r="M7" s="1944">
        <f t="shared" si="0"/>
        <v>2019.612160000001</v>
      </c>
      <c r="N7" s="1944">
        <f t="shared" si="0"/>
        <v>2578.1399999999994</v>
      </c>
      <c r="O7" s="1944">
        <f t="shared" si="0"/>
        <v>2738.6859999999979</v>
      </c>
      <c r="P7" s="1944">
        <f t="shared" si="0"/>
        <v>2281.7379999999998</v>
      </c>
      <c r="Q7" s="1944">
        <f t="shared" si="0"/>
        <v>1910.2150000000011</v>
      </c>
      <c r="R7" s="1944">
        <f t="shared" si="0"/>
        <v>5924.7999999999993</v>
      </c>
      <c r="S7" s="1944">
        <f t="shared" si="0"/>
        <v>3537.275000000001</v>
      </c>
      <c r="T7" s="1944">
        <f t="shared" si="0"/>
        <v>2848.5480000000007</v>
      </c>
      <c r="U7" s="1944">
        <f t="shared" si="0"/>
        <v>-3728.367999999999</v>
      </c>
      <c r="V7" s="1944">
        <f t="shared" si="0"/>
        <v>3564.3900000000003</v>
      </c>
      <c r="W7" s="1944">
        <f t="shared" si="0"/>
        <v>3229.7409999999995</v>
      </c>
      <c r="X7" s="1944">
        <f t="shared" si="0"/>
        <v>1885.8400000000011</v>
      </c>
    </row>
    <row r="8" spans="1:24">
      <c r="A8" s="1915"/>
      <c r="B8" s="1916"/>
      <c r="C8" s="1916"/>
      <c r="D8" s="1916"/>
      <c r="E8" s="1916"/>
      <c r="F8" s="1916"/>
      <c r="G8" s="1916"/>
      <c r="H8" s="1916"/>
      <c r="I8" s="1916"/>
      <c r="J8" s="1916"/>
      <c r="K8" s="1916"/>
      <c r="L8" s="1916"/>
      <c r="M8" s="1916"/>
      <c r="N8" s="1916"/>
      <c r="O8" s="1916"/>
      <c r="P8" s="1916"/>
      <c r="Q8" s="1916"/>
      <c r="R8" s="1916"/>
      <c r="S8" s="1916"/>
      <c r="T8" s="1916"/>
      <c r="U8" s="1916"/>
      <c r="V8" s="1916"/>
      <c r="W8" s="1916"/>
      <c r="X8" s="1916"/>
    </row>
    <row r="9" spans="1:24" ht="15.75">
      <c r="A9" s="1913" t="s">
        <v>8042</v>
      </c>
      <c r="B9" s="1945">
        <f>B38/4</f>
        <v>9312.9077500000003</v>
      </c>
      <c r="C9" s="1945">
        <f>B9</f>
        <v>9312.9077500000003</v>
      </c>
      <c r="D9" s="1945">
        <f>C9</f>
        <v>9312.9077500000003</v>
      </c>
      <c r="E9" s="1945">
        <f>D9</f>
        <v>9312.9077500000003</v>
      </c>
      <c r="F9" s="1945">
        <f>C38/4</f>
        <v>10505.533249999999</v>
      </c>
      <c r="G9" s="1945">
        <f>F9</f>
        <v>10505.533249999999</v>
      </c>
      <c r="H9" s="1945">
        <f>G9</f>
        <v>10505.533249999999</v>
      </c>
      <c r="I9" s="1945">
        <f>H9</f>
        <v>10505.533249999999</v>
      </c>
      <c r="J9" s="1945">
        <f>D38/4</f>
        <v>6005.0047500000001</v>
      </c>
      <c r="K9" s="1945">
        <f>J9</f>
        <v>6005.0047500000001</v>
      </c>
      <c r="L9" s="1945">
        <f>K9</f>
        <v>6005.0047500000001</v>
      </c>
      <c r="M9" s="1945">
        <f>L9</f>
        <v>6005.0047500000001</v>
      </c>
      <c r="N9" s="1945">
        <f>E38/4</f>
        <v>5643.2865000000002</v>
      </c>
      <c r="O9" s="1945">
        <f>N9</f>
        <v>5643.2865000000002</v>
      </c>
      <c r="P9" s="1945">
        <f>O9</f>
        <v>5643.2865000000002</v>
      </c>
      <c r="Q9" s="1945">
        <f>P9</f>
        <v>5643.2865000000002</v>
      </c>
      <c r="R9" s="1945">
        <f>F38/4</f>
        <v>4080.1184999999987</v>
      </c>
      <c r="S9" s="1945">
        <f>R9</f>
        <v>4080.1184999999987</v>
      </c>
      <c r="T9" s="1945">
        <f>S9</f>
        <v>4080.1184999999987</v>
      </c>
      <c r="U9" s="1945">
        <f>T9</f>
        <v>4080.1184999999987</v>
      </c>
      <c r="V9" s="1945">
        <f>G38/4</f>
        <v>4999.2267499999998</v>
      </c>
      <c r="W9" s="1945">
        <f>V9</f>
        <v>4999.2267499999998</v>
      </c>
      <c r="X9" s="1945">
        <f>W9</f>
        <v>4999.2267499999998</v>
      </c>
    </row>
    <row r="10" spans="1:24" ht="15.75">
      <c r="A10" s="1911" t="s">
        <v>8043</v>
      </c>
      <c r="B10" s="1945">
        <f>B9-B6</f>
        <v>4764.8783629230793</v>
      </c>
      <c r="C10" s="1945">
        <f t="shared" ref="C10:X10" si="1">C9-C6</f>
        <v>4733.5405026153849</v>
      </c>
      <c r="D10" s="1945">
        <f t="shared" si="1"/>
        <v>3763.5374242424241</v>
      </c>
      <c r="E10" s="1945">
        <f t="shared" si="1"/>
        <v>3885.5288745454545</v>
      </c>
      <c r="F10" s="1945">
        <f t="shared" si="1"/>
        <v>4909.917579687497</v>
      </c>
      <c r="G10" s="1945">
        <f t="shared" si="1"/>
        <v>4897.79938753846</v>
      </c>
      <c r="H10" s="1945">
        <f t="shared" si="1"/>
        <v>3241.4795469696928</v>
      </c>
      <c r="I10" s="1945">
        <f t="shared" si="1"/>
        <v>5706.5036777272717</v>
      </c>
      <c r="J10" s="1945">
        <f t="shared" si="1"/>
        <v>1318.1976096923099</v>
      </c>
      <c r="K10" s="1945">
        <f t="shared" si="1"/>
        <v>1217.3656863076931</v>
      </c>
      <c r="L10" s="1945">
        <f t="shared" si="1"/>
        <v>1802.5244230303024</v>
      </c>
      <c r="M10" s="1945">
        <f t="shared" si="1"/>
        <v>2454.7169100000015</v>
      </c>
      <c r="N10" s="1945">
        <f t="shared" si="1"/>
        <v>1706.0264999999999</v>
      </c>
      <c r="O10" s="1945">
        <f t="shared" si="1"/>
        <v>2035.0724999999993</v>
      </c>
      <c r="P10" s="1945">
        <f t="shared" si="1"/>
        <v>2458.0245</v>
      </c>
      <c r="Q10" s="1945">
        <f t="shared" si="1"/>
        <v>1664.7015000000001</v>
      </c>
      <c r="R10" s="1945">
        <f t="shared" si="1"/>
        <v>2043.7184999999988</v>
      </c>
      <c r="S10" s="1945">
        <f t="shared" si="1"/>
        <v>2318.8934999999988</v>
      </c>
      <c r="T10" s="1945">
        <f t="shared" si="1"/>
        <v>1656.4664999999986</v>
      </c>
      <c r="U10" s="1945">
        <f t="shared" si="1"/>
        <v>1215.5504999999998</v>
      </c>
      <c r="V10" s="1945">
        <f t="shared" si="1"/>
        <v>3221.81675</v>
      </c>
      <c r="W10" s="1945">
        <f t="shared" si="1"/>
        <v>2872.8677499999999</v>
      </c>
      <c r="X10" s="1945">
        <f t="shared" si="1"/>
        <v>1351.7667499999998</v>
      </c>
    </row>
    <row r="11" spans="1:24" ht="15.75">
      <c r="A11" s="1913" t="s">
        <v>8044</v>
      </c>
      <c r="B11" s="1945">
        <f>B40/4</f>
        <v>-2227.0762500000001</v>
      </c>
      <c r="C11" s="1945">
        <f t="shared" ref="C11:E13" si="2">B11</f>
        <v>-2227.0762500000001</v>
      </c>
      <c r="D11" s="1945">
        <f t="shared" si="2"/>
        <v>-2227.0762500000001</v>
      </c>
      <c r="E11" s="1945">
        <f t="shared" si="2"/>
        <v>-2227.0762500000001</v>
      </c>
      <c r="F11" s="1945">
        <f>C40/4</f>
        <v>-2028.64525</v>
      </c>
      <c r="G11" s="1945">
        <f t="shared" ref="G11:I13" si="3">F11</f>
        <v>-2028.64525</v>
      </c>
      <c r="H11" s="1945">
        <f t="shared" si="3"/>
        <v>-2028.64525</v>
      </c>
      <c r="I11" s="1945">
        <f t="shared" si="3"/>
        <v>-2028.64525</v>
      </c>
      <c r="J11" s="1945">
        <f>D40/4</f>
        <v>-1736.3757499999999</v>
      </c>
      <c r="K11" s="1945">
        <f t="shared" ref="K11:M13" si="4">J11</f>
        <v>-1736.3757499999999</v>
      </c>
      <c r="L11" s="1945">
        <f t="shared" si="4"/>
        <v>-1736.3757499999999</v>
      </c>
      <c r="M11" s="1945">
        <f t="shared" si="4"/>
        <v>-1736.3757499999999</v>
      </c>
      <c r="N11" s="1945">
        <f>E40/4</f>
        <v>-1031.6857500000001</v>
      </c>
      <c r="O11" s="1945">
        <f t="shared" ref="O11:Q13" si="5">N11</f>
        <v>-1031.6857500000001</v>
      </c>
      <c r="P11" s="1945">
        <f t="shared" si="5"/>
        <v>-1031.6857500000001</v>
      </c>
      <c r="Q11" s="1945">
        <f t="shared" si="5"/>
        <v>-1031.6857500000001</v>
      </c>
      <c r="R11" s="1945">
        <f>F40/4</f>
        <v>-1084.9740000000002</v>
      </c>
      <c r="S11" s="1945">
        <f t="shared" ref="S11:U13" si="6">R11</f>
        <v>-1084.9740000000002</v>
      </c>
      <c r="T11" s="1945">
        <f t="shared" si="6"/>
        <v>-1084.9740000000002</v>
      </c>
      <c r="U11" s="1945">
        <f t="shared" si="6"/>
        <v>-1084.9740000000002</v>
      </c>
      <c r="V11" s="1945">
        <f>G40/4</f>
        <v>-1133.2532500000002</v>
      </c>
      <c r="W11" s="1945">
        <f t="shared" ref="W11:X13" si="7">V11</f>
        <v>-1133.2532500000002</v>
      </c>
      <c r="X11" s="1945">
        <f t="shared" si="7"/>
        <v>-1133.2532500000002</v>
      </c>
    </row>
    <row r="12" spans="1:24" ht="15.75">
      <c r="A12" s="1911" t="s">
        <v>374</v>
      </c>
      <c r="B12" s="1945">
        <f>B41/4</f>
        <v>-2170.25</v>
      </c>
      <c r="C12" s="1945">
        <f t="shared" si="2"/>
        <v>-2170.25</v>
      </c>
      <c r="D12" s="1945">
        <f t="shared" si="2"/>
        <v>-2170.25</v>
      </c>
      <c r="E12" s="1945">
        <f t="shared" si="2"/>
        <v>-2170.25</v>
      </c>
      <c r="F12" s="1945">
        <f>C41/4</f>
        <v>-2291.5</v>
      </c>
      <c r="G12" s="1945">
        <f t="shared" si="3"/>
        <v>-2291.5</v>
      </c>
      <c r="H12" s="1945">
        <f t="shared" si="3"/>
        <v>-2291.5</v>
      </c>
      <c r="I12" s="1945">
        <f t="shared" si="3"/>
        <v>-2291.5</v>
      </c>
      <c r="J12" s="1945">
        <f>D41/4</f>
        <v>-3047</v>
      </c>
      <c r="K12" s="1945">
        <f t="shared" si="4"/>
        <v>-3047</v>
      </c>
      <c r="L12" s="1945">
        <f t="shared" si="4"/>
        <v>-3047</v>
      </c>
      <c r="M12" s="1945">
        <f t="shared" si="4"/>
        <v>-3047</v>
      </c>
      <c r="N12" s="1945">
        <f>E41/4</f>
        <v>-1753.57725</v>
      </c>
      <c r="O12" s="1945">
        <f t="shared" si="5"/>
        <v>-1753.57725</v>
      </c>
      <c r="P12" s="1945">
        <f t="shared" si="5"/>
        <v>-1753.57725</v>
      </c>
      <c r="Q12" s="1945">
        <f t="shared" si="5"/>
        <v>-1753.57725</v>
      </c>
      <c r="R12" s="1945">
        <f>F41/4</f>
        <v>-203.05375000000001</v>
      </c>
      <c r="S12" s="1945">
        <f t="shared" si="6"/>
        <v>-203.05375000000001</v>
      </c>
      <c r="T12" s="1945">
        <f t="shared" si="6"/>
        <v>-203.05375000000001</v>
      </c>
      <c r="U12" s="1945">
        <f t="shared" si="6"/>
        <v>-203.05375000000001</v>
      </c>
      <c r="V12" s="1945">
        <f>G41/4</f>
        <v>6</v>
      </c>
      <c r="W12" s="1945">
        <f t="shared" si="7"/>
        <v>6</v>
      </c>
      <c r="X12" s="1945">
        <f t="shared" si="7"/>
        <v>6</v>
      </c>
    </row>
    <row r="13" spans="1:24" ht="15.75">
      <c r="A13" s="1913" t="s">
        <v>8045</v>
      </c>
      <c r="B13" s="1945">
        <f>B42/4</f>
        <v>95.499999999999829</v>
      </c>
      <c r="C13" s="1945">
        <f t="shared" si="2"/>
        <v>95.499999999999829</v>
      </c>
      <c r="D13" s="1945">
        <f t="shared" si="2"/>
        <v>95.499999999999829</v>
      </c>
      <c r="E13" s="1945">
        <f t="shared" si="2"/>
        <v>95.499999999999829</v>
      </c>
      <c r="F13" s="1945">
        <f>C42/4</f>
        <v>-943.29449999999997</v>
      </c>
      <c r="G13" s="1945">
        <f t="shared" si="3"/>
        <v>-943.29449999999997</v>
      </c>
      <c r="H13" s="1945">
        <f t="shared" si="3"/>
        <v>-943.29449999999997</v>
      </c>
      <c r="I13" s="1945">
        <f t="shared" si="3"/>
        <v>-943.29449999999997</v>
      </c>
      <c r="J13" s="1945">
        <f>D42/4</f>
        <v>-1050.3552500000001</v>
      </c>
      <c r="K13" s="1945">
        <f t="shared" si="4"/>
        <v>-1050.3552500000001</v>
      </c>
      <c r="L13" s="1945">
        <f t="shared" si="4"/>
        <v>-1050.3552500000001</v>
      </c>
      <c r="M13" s="1945">
        <f t="shared" si="4"/>
        <v>-1050.3552500000001</v>
      </c>
      <c r="N13" s="1945">
        <f>E42/4</f>
        <v>-629.85599999999999</v>
      </c>
      <c r="O13" s="1945">
        <f t="shared" si="5"/>
        <v>-629.85599999999999</v>
      </c>
      <c r="P13" s="1945">
        <f t="shared" si="5"/>
        <v>-629.85599999999999</v>
      </c>
      <c r="Q13" s="1945">
        <f t="shared" si="5"/>
        <v>-629.85599999999999</v>
      </c>
      <c r="R13" s="1945">
        <f>F42/4</f>
        <v>1027.1187500000001</v>
      </c>
      <c r="S13" s="1945">
        <f t="shared" si="6"/>
        <v>1027.1187500000001</v>
      </c>
      <c r="T13" s="1945">
        <f t="shared" si="6"/>
        <v>1027.1187500000001</v>
      </c>
      <c r="U13" s="1945">
        <f t="shared" si="6"/>
        <v>1027.1187500000001</v>
      </c>
      <c r="V13" s="1945">
        <f>G42/4</f>
        <v>99.179249999999968</v>
      </c>
      <c r="W13" s="1945">
        <f t="shared" si="7"/>
        <v>99.179249999999968</v>
      </c>
      <c r="X13" s="1945">
        <f t="shared" si="7"/>
        <v>99.179249999999968</v>
      </c>
    </row>
    <row r="14" spans="1:24" ht="15.75">
      <c r="A14" s="1917" t="s">
        <v>8046</v>
      </c>
      <c r="B14" s="1947">
        <f>SUM(B10:B13)</f>
        <v>463.05211292307905</v>
      </c>
      <c r="C14" s="1947">
        <f t="shared" ref="C14:X14" si="8">SUM(C10:C13)</f>
        <v>431.71425261538462</v>
      </c>
      <c r="D14" s="1947">
        <f t="shared" si="8"/>
        <v>-538.28882575757621</v>
      </c>
      <c r="E14" s="1947">
        <f t="shared" si="8"/>
        <v>-416.29737545454572</v>
      </c>
      <c r="F14" s="1947">
        <f t="shared" si="8"/>
        <v>-353.52217031250302</v>
      </c>
      <c r="G14" s="1947">
        <f t="shared" si="8"/>
        <v>-365.64036246154001</v>
      </c>
      <c r="H14" s="1947">
        <f t="shared" si="8"/>
        <v>-2021.9602030303072</v>
      </c>
      <c r="I14" s="1947">
        <f t="shared" si="8"/>
        <v>443.06392772727168</v>
      </c>
      <c r="J14" s="1947">
        <f t="shared" si="8"/>
        <v>-4515.5333903076898</v>
      </c>
      <c r="K14" s="1947">
        <f t="shared" si="8"/>
        <v>-4616.3653136923076</v>
      </c>
      <c r="L14" s="1947">
        <f t="shared" si="8"/>
        <v>-4031.2065769696978</v>
      </c>
      <c r="M14" s="1947">
        <f t="shared" si="8"/>
        <v>-3379.0140899999983</v>
      </c>
      <c r="N14" s="1947">
        <f t="shared" si="8"/>
        <v>-1709.0925000000002</v>
      </c>
      <c r="O14" s="1947">
        <f t="shared" si="8"/>
        <v>-1380.0465000000008</v>
      </c>
      <c r="P14" s="1947">
        <f t="shared" si="8"/>
        <v>-957.09450000000015</v>
      </c>
      <c r="Q14" s="1947">
        <f t="shared" si="8"/>
        <v>-1750.4175</v>
      </c>
      <c r="R14" s="1947">
        <f t="shared" si="8"/>
        <v>1782.8094999999987</v>
      </c>
      <c r="S14" s="1947">
        <f t="shared" si="8"/>
        <v>2057.9844999999987</v>
      </c>
      <c r="T14" s="1947">
        <f t="shared" si="8"/>
        <v>1395.5574999999985</v>
      </c>
      <c r="U14" s="1947">
        <f t="shared" si="8"/>
        <v>954.64149999999972</v>
      </c>
      <c r="V14" s="1947">
        <f t="shared" si="8"/>
        <v>2193.7427499999999</v>
      </c>
      <c r="W14" s="1947">
        <f t="shared" si="8"/>
        <v>1844.7937499999996</v>
      </c>
      <c r="X14" s="1947">
        <f t="shared" si="8"/>
        <v>323.69274999999953</v>
      </c>
    </row>
    <row r="15" spans="1:24" ht="15.75">
      <c r="A15" s="1913"/>
      <c r="B15" s="1914"/>
      <c r="C15" s="1914"/>
      <c r="D15" s="1914"/>
      <c r="E15" s="1914"/>
      <c r="F15" s="1914"/>
      <c r="G15" s="1914"/>
      <c r="H15" s="1914"/>
      <c r="I15" s="1914"/>
      <c r="J15" s="1914"/>
      <c r="K15" s="1914"/>
      <c r="L15" s="1914"/>
      <c r="M15" s="1914"/>
      <c r="N15" s="1914"/>
      <c r="O15" s="1914"/>
      <c r="P15" s="1914"/>
      <c r="Q15" s="1914"/>
      <c r="R15" s="1914"/>
      <c r="S15" s="1914"/>
      <c r="T15" s="1914"/>
      <c r="U15" s="1914"/>
      <c r="V15" s="1914"/>
      <c r="W15" s="1914"/>
      <c r="X15" s="1914"/>
    </row>
    <row r="16" spans="1:24" ht="15.75">
      <c r="A16" s="1911" t="s">
        <v>324</v>
      </c>
      <c r="B16" s="1912">
        <f>Interims!AZ181+Interims!AZ182</f>
        <v>168411.3</v>
      </c>
      <c r="C16" s="1912">
        <f>Interims!BA181+Interims!BA182</f>
        <v>163901</v>
      </c>
      <c r="D16" s="1912">
        <f>Interims!BB181+Interims!BB182</f>
        <v>156760.29999999999</v>
      </c>
      <c r="E16" s="1912">
        <f>Interims!BC181+Interims!BC182</f>
        <v>131845.29999999999</v>
      </c>
      <c r="F16" s="1912">
        <f>Interims!BE181+Interims!BE182</f>
        <v>133859.4</v>
      </c>
      <c r="G16" s="1912">
        <f>Interims!BF181+Interims!BF182</f>
        <v>131104.30000000002</v>
      </c>
      <c r="H16" s="1912">
        <f>Interims!BG181+Interims!BG182</f>
        <v>134643.20000000001</v>
      </c>
      <c r="I16" s="1912">
        <f>Interims!BH181+Interims!BH182</f>
        <v>135472.70000000001</v>
      </c>
      <c r="J16" s="1912">
        <f>Interims!BJ181+Interims!BJ182</f>
        <v>121877.09999999999</v>
      </c>
      <c r="K16" s="1912">
        <f>Interims!BK181+Interims!BK182</f>
        <v>122307</v>
      </c>
      <c r="L16" s="1912">
        <f>Interims!BL181+Interims!BL182</f>
        <v>124382</v>
      </c>
      <c r="M16" s="1912">
        <f>Interims!BM181+Interims!BM182</f>
        <v>113609.7</v>
      </c>
      <c r="N16" s="1912">
        <f>Interims!BO181+Interims!BO182</f>
        <v>106963.7</v>
      </c>
      <c r="O16" s="1912">
        <f>Interims!BP181+Interims!BP182</f>
        <v>103150.39999999999</v>
      </c>
      <c r="P16" s="1912">
        <f>Interims!BQ181+Interims!BQ182</f>
        <v>98222</v>
      </c>
      <c r="Q16" s="1912">
        <f>Interims!BR181+Interims!BR182</f>
        <v>95827.4</v>
      </c>
      <c r="R16" s="1912">
        <f>Interims!BT181+Interims!BT182</f>
        <v>93084.800000000003</v>
      </c>
      <c r="S16" s="1912">
        <f>Interims!BU181+Interims!BU182</f>
        <v>99420.9</v>
      </c>
      <c r="T16" s="1912">
        <f>Interims!BV181+Interims!BV182</f>
        <v>103876.70000000001</v>
      </c>
      <c r="U16" s="1912">
        <f>Interims!BW181+Interims!BW182</f>
        <v>108335.8</v>
      </c>
      <c r="V16" s="1912">
        <f>Interims!BY181+Interims!BY182</f>
        <v>101973.4</v>
      </c>
      <c r="W16" s="1912">
        <f>Interims!BZ181+Interims!BZ182</f>
        <v>93503.7</v>
      </c>
      <c r="X16" s="1912">
        <f>Interims!CA181+Interims!CA182</f>
        <v>91763.8</v>
      </c>
    </row>
    <row r="17" spans="1:24" ht="15.75">
      <c r="A17" s="1913" t="s">
        <v>2160</v>
      </c>
      <c r="B17" s="1914">
        <f>Interims!AZ184</f>
        <v>54754.499999999985</v>
      </c>
      <c r="C17" s="1914">
        <f>Interims!BA184</f>
        <v>54863.5</v>
      </c>
      <c r="D17" s="1914">
        <f>Interims!BB184</f>
        <v>52072.099999999991</v>
      </c>
      <c r="E17" s="1914">
        <f>Interims!BC184</f>
        <v>35702.299999999988</v>
      </c>
      <c r="F17" s="1914">
        <f>Interims!BE184</f>
        <v>34540.599999999991</v>
      </c>
      <c r="G17" s="1914">
        <f>Interims!BF184</f>
        <v>30991.10000000002</v>
      </c>
      <c r="H17" s="1914">
        <f>Interims!BG184</f>
        <v>25861.300000000017</v>
      </c>
      <c r="I17" s="1914">
        <f>Interims!BH184</f>
        <v>30252.800000000017</v>
      </c>
      <c r="J17" s="1914">
        <f>Interims!BJ184</f>
        <v>64928.899999999994</v>
      </c>
      <c r="K17" s="1914">
        <f>Interims!BK184</f>
        <v>63208.3</v>
      </c>
      <c r="L17" s="1914">
        <f>Interims!BL184</f>
        <v>65023.3</v>
      </c>
      <c r="M17" s="1914">
        <f>Interims!BM184</f>
        <v>54515.299999999996</v>
      </c>
      <c r="N17" s="1914">
        <f>Interims!BO184</f>
        <v>46580.5</v>
      </c>
      <c r="O17" s="1914">
        <f>Interims!BP184</f>
        <v>41566.199999999997</v>
      </c>
      <c r="P17" s="1914">
        <f>Interims!BQ184</f>
        <v>35332.6</v>
      </c>
      <c r="Q17" s="1914">
        <f>Interims!BR184</f>
        <v>35172.899999999994</v>
      </c>
      <c r="R17" s="1914">
        <f>Interims!BT184</f>
        <v>35628.5</v>
      </c>
      <c r="S17" s="1914">
        <f>Interims!BU184</f>
        <v>40144.499999999993</v>
      </c>
      <c r="T17" s="1914">
        <f>Interims!BV184</f>
        <v>43847.80000000001</v>
      </c>
      <c r="U17" s="1914">
        <f>Interims!BW184</f>
        <v>48687.9</v>
      </c>
      <c r="V17" s="1914">
        <f>Interims!BY184</f>
        <v>46506.099999999991</v>
      </c>
      <c r="W17" s="1914">
        <f>Interims!BZ184</f>
        <v>41933.5</v>
      </c>
      <c r="X17" s="1914">
        <f>Interims!CA184</f>
        <v>41677.5</v>
      </c>
    </row>
    <row r="18" spans="1:24" ht="15.75">
      <c r="A18" s="1911" t="s">
        <v>271</v>
      </c>
      <c r="B18" s="1912">
        <f t="shared" ref="B18:T18" si="9">B16-B17</f>
        <v>113656.8</v>
      </c>
      <c r="C18" s="1912">
        <f t="shared" si="9"/>
        <v>109037.5</v>
      </c>
      <c r="D18" s="1912">
        <f t="shared" si="9"/>
        <v>104688.2</v>
      </c>
      <c r="E18" s="1912">
        <f t="shared" si="9"/>
        <v>96143</v>
      </c>
      <c r="F18" s="1912">
        <f t="shared" si="9"/>
        <v>99318.8</v>
      </c>
      <c r="G18" s="1912">
        <f t="shared" si="9"/>
        <v>100113.2</v>
      </c>
      <c r="H18" s="1912">
        <f t="shared" si="9"/>
        <v>108781.9</v>
      </c>
      <c r="I18" s="1912">
        <f t="shared" si="9"/>
        <v>105219.9</v>
      </c>
      <c r="J18" s="1912">
        <f t="shared" si="9"/>
        <v>56948.2</v>
      </c>
      <c r="K18" s="1912">
        <f t="shared" si="9"/>
        <v>59098.7</v>
      </c>
      <c r="L18" s="1912">
        <f t="shared" si="9"/>
        <v>59358.7</v>
      </c>
      <c r="M18" s="1912">
        <f t="shared" si="9"/>
        <v>59094.400000000001</v>
      </c>
      <c r="N18" s="1912">
        <f t="shared" si="9"/>
        <v>60383.199999999997</v>
      </c>
      <c r="O18" s="1912">
        <f t="shared" si="9"/>
        <v>61584.2</v>
      </c>
      <c r="P18" s="1912">
        <f t="shared" si="9"/>
        <v>62889.4</v>
      </c>
      <c r="Q18" s="1912">
        <f t="shared" si="9"/>
        <v>60654.5</v>
      </c>
      <c r="R18" s="1912">
        <f t="shared" si="9"/>
        <v>57456.3</v>
      </c>
      <c r="S18" s="1912">
        <f t="shared" si="9"/>
        <v>59276.4</v>
      </c>
      <c r="T18" s="1912">
        <f t="shared" si="9"/>
        <v>60028.9</v>
      </c>
      <c r="U18" s="1912">
        <f>U16-U17</f>
        <v>59647.9</v>
      </c>
      <c r="V18" s="1912">
        <f>V16-V17</f>
        <v>55467.3</v>
      </c>
      <c r="W18" s="1912">
        <f>W16-W17</f>
        <v>51570.2</v>
      </c>
      <c r="X18" s="1912">
        <f>X16-X17</f>
        <v>50086.3</v>
      </c>
    </row>
    <row r="19" spans="1:24" ht="15.75">
      <c r="A19" s="1913" t="s">
        <v>272</v>
      </c>
      <c r="B19" s="1914"/>
      <c r="C19" s="1914">
        <f>C18-B18</f>
        <v>-4619.3000000000029</v>
      </c>
      <c r="D19" s="1914">
        <f t="shared" ref="D19:X19" si="10">D18-C18</f>
        <v>-4349.3000000000029</v>
      </c>
      <c r="E19" s="1914">
        <f t="shared" si="10"/>
        <v>-8545.1999999999971</v>
      </c>
      <c r="F19" s="1914">
        <f t="shared" si="10"/>
        <v>3175.8000000000029</v>
      </c>
      <c r="G19" s="1914">
        <f t="shared" si="10"/>
        <v>794.39999999999418</v>
      </c>
      <c r="H19" s="1914">
        <f t="shared" si="10"/>
        <v>8668.6999999999971</v>
      </c>
      <c r="I19" s="1914">
        <f t="shared" si="10"/>
        <v>-3562</v>
      </c>
      <c r="J19" s="1914">
        <f t="shared" si="10"/>
        <v>-48271.7</v>
      </c>
      <c r="K19" s="1914">
        <f t="shared" si="10"/>
        <v>2150.5</v>
      </c>
      <c r="L19" s="1914">
        <f t="shared" si="10"/>
        <v>260</v>
      </c>
      <c r="M19" s="1914">
        <f t="shared" si="10"/>
        <v>-264.29999999999563</v>
      </c>
      <c r="N19" s="1914">
        <f t="shared" si="10"/>
        <v>1288.7999999999956</v>
      </c>
      <c r="O19" s="1914">
        <f t="shared" si="10"/>
        <v>1201</v>
      </c>
      <c r="P19" s="1914">
        <f t="shared" si="10"/>
        <v>1305.2000000000044</v>
      </c>
      <c r="Q19" s="1914">
        <f t="shared" si="10"/>
        <v>-2234.9000000000015</v>
      </c>
      <c r="R19" s="1914">
        <f t="shared" si="10"/>
        <v>-3198.1999999999971</v>
      </c>
      <c r="S19" s="1914">
        <f t="shared" si="10"/>
        <v>1820.0999999999985</v>
      </c>
      <c r="T19" s="1914">
        <f t="shared" si="10"/>
        <v>752.5</v>
      </c>
      <c r="U19" s="1914">
        <f t="shared" si="10"/>
        <v>-381</v>
      </c>
      <c r="V19" s="1914">
        <f t="shared" si="10"/>
        <v>-4180.5999999999985</v>
      </c>
      <c r="W19" s="1914">
        <f t="shared" si="10"/>
        <v>-3897.1000000000058</v>
      </c>
      <c r="X19" s="1914">
        <f t="shared" si="10"/>
        <v>-1483.8999999999942</v>
      </c>
    </row>
    <row r="20" spans="1:24" ht="15.75">
      <c r="A20" s="1911"/>
      <c r="B20" s="1912"/>
      <c r="C20" s="1912"/>
      <c r="D20" s="1912"/>
      <c r="E20" s="1912"/>
      <c r="F20" s="1912"/>
      <c r="G20" s="1912"/>
      <c r="H20" s="1912"/>
      <c r="I20" s="1912"/>
      <c r="J20" s="1912"/>
      <c r="K20" s="1912"/>
      <c r="L20" s="1912"/>
      <c r="M20" s="1912"/>
      <c r="N20" s="1912"/>
      <c r="O20" s="1912"/>
      <c r="P20" s="1912"/>
      <c r="Q20" s="1912"/>
      <c r="R20" s="1912"/>
      <c r="S20" s="1912"/>
      <c r="T20" s="1912"/>
      <c r="U20" s="1912"/>
      <c r="V20" s="1912"/>
      <c r="W20" s="1912"/>
      <c r="X20" s="1912"/>
    </row>
    <row r="21" spans="1:24" ht="15.75">
      <c r="A21" s="1913" t="s">
        <v>8047</v>
      </c>
      <c r="B21" s="1914">
        <f>Interims!AZ181</f>
        <v>157783.79999999999</v>
      </c>
      <c r="C21" s="1914">
        <f>Interims!BA181</f>
        <v>153821.70000000001</v>
      </c>
      <c r="D21" s="1914">
        <f>Interims!BB181</f>
        <v>146920.29999999999</v>
      </c>
      <c r="E21" s="1914">
        <f>Interims!BC181</f>
        <v>122553</v>
      </c>
      <c r="F21" s="1914">
        <f>Interims!BE181</f>
        <v>124835.2</v>
      </c>
      <c r="G21" s="1914">
        <f>Interims!BF181</f>
        <v>122201.1</v>
      </c>
      <c r="H21" s="1914">
        <f>Interims!BG181</f>
        <v>125434.7</v>
      </c>
      <c r="I21" s="1914">
        <f>Interims!BH181</f>
        <v>125792.1</v>
      </c>
      <c r="J21" s="1914">
        <f>Interims!BJ181</f>
        <v>113002.7</v>
      </c>
      <c r="K21" s="1914">
        <f>Interims!BK181</f>
        <v>113720.2</v>
      </c>
      <c r="L21" s="1914">
        <f>Interims!BL181</f>
        <v>116025</v>
      </c>
      <c r="M21" s="1914">
        <f>Interims!BM181</f>
        <v>105240.7</v>
      </c>
      <c r="N21" s="1914">
        <f>Interims!BO181</f>
        <v>98911.5</v>
      </c>
      <c r="O21" s="1914">
        <f>Interims!BP181</f>
        <v>95420</v>
      </c>
      <c r="P21" s="1914">
        <f>Interims!BQ181</f>
        <v>90704</v>
      </c>
      <c r="Q21" s="1914">
        <f>Interims!BR181</f>
        <v>88535.9</v>
      </c>
      <c r="R21" s="1914">
        <f>Interims!BT181</f>
        <v>87149.1</v>
      </c>
      <c r="S21" s="1914">
        <f>Interims!BU181</f>
        <v>93674.7</v>
      </c>
      <c r="T21" s="1914">
        <f>Interims!BV181</f>
        <v>98540.1</v>
      </c>
      <c r="U21" s="1914">
        <f>Interims!BW181</f>
        <v>102949.1</v>
      </c>
      <c r="V21" s="1914">
        <f>Interims!BY181</f>
        <v>96922.9</v>
      </c>
      <c r="W21" s="1914">
        <f>Interims!BZ181</f>
        <v>88864.5</v>
      </c>
      <c r="X21" s="1914">
        <f>Interims!CA181</f>
        <v>87061.1</v>
      </c>
    </row>
    <row r="22" spans="1:24" ht="15.75">
      <c r="A22" s="1911" t="s">
        <v>8048</v>
      </c>
      <c r="B22" s="1912">
        <f t="shared" ref="B22:K22" si="11">B21-B18</f>
        <v>44126.999999999985</v>
      </c>
      <c r="C22" s="1912">
        <f t="shared" si="11"/>
        <v>44784.200000000012</v>
      </c>
      <c r="D22" s="1912">
        <f t="shared" si="11"/>
        <v>42232.099999999991</v>
      </c>
      <c r="E22" s="1912">
        <f t="shared" si="11"/>
        <v>26410</v>
      </c>
      <c r="F22" s="1912">
        <f t="shared" si="11"/>
        <v>25516.399999999994</v>
      </c>
      <c r="G22" s="1912">
        <f t="shared" si="11"/>
        <v>22087.900000000009</v>
      </c>
      <c r="H22" s="1912">
        <f t="shared" si="11"/>
        <v>16652.800000000003</v>
      </c>
      <c r="I22" s="1912">
        <f t="shared" si="11"/>
        <v>20572.200000000012</v>
      </c>
      <c r="J22" s="1912">
        <f t="shared" si="11"/>
        <v>56054.5</v>
      </c>
      <c r="K22" s="1912">
        <f t="shared" si="11"/>
        <v>54621.5</v>
      </c>
      <c r="L22" s="1912">
        <f>L21-L18</f>
        <v>56666.3</v>
      </c>
      <c r="M22" s="1912">
        <f t="shared" ref="M22:X22" si="12">M21-M18</f>
        <v>46146.299999999996</v>
      </c>
      <c r="N22" s="1912">
        <f t="shared" si="12"/>
        <v>38528.300000000003</v>
      </c>
      <c r="O22" s="1912">
        <f t="shared" si="12"/>
        <v>33835.800000000003</v>
      </c>
      <c r="P22" s="1912">
        <f t="shared" si="12"/>
        <v>27814.6</v>
      </c>
      <c r="Q22" s="1912">
        <f t="shared" si="12"/>
        <v>27881.399999999994</v>
      </c>
      <c r="R22" s="1912">
        <f t="shared" si="12"/>
        <v>29692.800000000003</v>
      </c>
      <c r="S22" s="1912">
        <f t="shared" si="12"/>
        <v>34398.299999999996</v>
      </c>
      <c r="T22" s="1912">
        <f t="shared" si="12"/>
        <v>38511.200000000004</v>
      </c>
      <c r="U22" s="1912">
        <f t="shared" si="12"/>
        <v>43301.200000000004</v>
      </c>
      <c r="V22" s="1912">
        <f t="shared" si="12"/>
        <v>41455.599999999991</v>
      </c>
      <c r="W22" s="1912">
        <f t="shared" si="12"/>
        <v>37294.300000000003</v>
      </c>
      <c r="X22" s="1912">
        <f t="shared" si="12"/>
        <v>36974.800000000003</v>
      </c>
    </row>
    <row r="23" spans="1:24" ht="15.75">
      <c r="A23" s="1913" t="s">
        <v>8049</v>
      </c>
      <c r="B23" s="1914"/>
      <c r="C23" s="1914">
        <f t="shared" ref="C23:X23" si="13">C22-B22</f>
        <v>657.20000000002619</v>
      </c>
      <c r="D23" s="1914">
        <f t="shared" si="13"/>
        <v>-2552.1000000000204</v>
      </c>
      <c r="E23" s="1914">
        <f t="shared" si="13"/>
        <v>-15822.099999999991</v>
      </c>
      <c r="F23" s="1914">
        <f t="shared" si="13"/>
        <v>-893.60000000000582</v>
      </c>
      <c r="G23" s="1914">
        <f t="shared" si="13"/>
        <v>-3428.4999999999854</v>
      </c>
      <c r="H23" s="1914">
        <f t="shared" si="13"/>
        <v>-5435.1000000000058</v>
      </c>
      <c r="I23" s="1914">
        <f t="shared" si="13"/>
        <v>3919.4000000000087</v>
      </c>
      <c r="J23" s="1914">
        <f t="shared" si="13"/>
        <v>35482.299999999988</v>
      </c>
      <c r="K23" s="1914">
        <f t="shared" si="13"/>
        <v>-1433</v>
      </c>
      <c r="L23" s="1914">
        <f t="shared" si="13"/>
        <v>2044.8000000000029</v>
      </c>
      <c r="M23" s="1914">
        <f t="shared" si="13"/>
        <v>-10520.000000000007</v>
      </c>
      <c r="N23" s="1914">
        <f t="shared" si="13"/>
        <v>-7617.9999999999927</v>
      </c>
      <c r="O23" s="1914">
        <f t="shared" si="13"/>
        <v>-4692.5</v>
      </c>
      <c r="P23" s="1914">
        <f t="shared" si="13"/>
        <v>-6021.2000000000044</v>
      </c>
      <c r="Q23" s="1914">
        <f t="shared" si="13"/>
        <v>66.799999999995634</v>
      </c>
      <c r="R23" s="1914">
        <f t="shared" si="13"/>
        <v>1811.4000000000087</v>
      </c>
      <c r="S23" s="1914">
        <f t="shared" si="13"/>
        <v>4705.4999999999927</v>
      </c>
      <c r="T23" s="1914">
        <f t="shared" si="13"/>
        <v>4112.9000000000087</v>
      </c>
      <c r="U23" s="1914">
        <f t="shared" si="13"/>
        <v>4790</v>
      </c>
      <c r="V23" s="1914">
        <f t="shared" si="13"/>
        <v>-1845.6000000000131</v>
      </c>
      <c r="W23" s="1914">
        <f t="shared" si="13"/>
        <v>-4161.2999999999884</v>
      </c>
      <c r="X23" s="1914">
        <f t="shared" si="13"/>
        <v>-319.5</v>
      </c>
    </row>
    <row r="24" spans="1:24" ht="15.75">
      <c r="A24" s="1919"/>
      <c r="B24" s="1919"/>
      <c r="C24" s="1919"/>
      <c r="D24" s="1919"/>
      <c r="E24" s="1919"/>
      <c r="F24" s="1919"/>
      <c r="G24" s="1919"/>
      <c r="H24" s="1919"/>
      <c r="I24" s="1919"/>
      <c r="J24" s="1919"/>
      <c r="K24" s="1919"/>
      <c r="L24" s="1919"/>
      <c r="M24" s="1919"/>
      <c r="N24" s="1919"/>
      <c r="O24" s="1919"/>
      <c r="P24" s="1919"/>
      <c r="Q24" s="1919"/>
      <c r="R24" s="1919"/>
      <c r="S24" s="1919"/>
      <c r="T24" s="1919"/>
      <c r="U24" s="1919"/>
      <c r="V24" s="1919"/>
      <c r="W24" s="1919"/>
      <c r="X24" s="1919"/>
    </row>
    <row r="25" spans="1:24" ht="15.75">
      <c r="A25" s="1952"/>
      <c r="B25" s="1952"/>
      <c r="C25" s="1952"/>
      <c r="D25" s="1952"/>
      <c r="E25" s="1952"/>
      <c r="F25" s="1952"/>
      <c r="G25" s="1952"/>
      <c r="H25" s="1952"/>
      <c r="I25" s="1952">
        <v>2020</v>
      </c>
      <c r="J25" s="1952">
        <v>2021</v>
      </c>
      <c r="K25" s="1952">
        <v>2022</v>
      </c>
      <c r="L25" s="1952">
        <v>2023</v>
      </c>
      <c r="M25" s="1952">
        <v>2024</v>
      </c>
      <c r="N25" s="1952">
        <v>2025</v>
      </c>
      <c r="O25" s="1952">
        <v>2026</v>
      </c>
      <c r="P25" s="1952">
        <v>2027</v>
      </c>
      <c r="Q25" s="1952">
        <v>2028</v>
      </c>
      <c r="R25" s="1952">
        <v>2029</v>
      </c>
      <c r="S25" s="1952">
        <v>2030</v>
      </c>
      <c r="T25" s="1952">
        <v>2031</v>
      </c>
      <c r="U25" s="1952">
        <v>2032</v>
      </c>
      <c r="V25" s="1952">
        <v>2033</v>
      </c>
      <c r="W25" s="1952">
        <v>2034</v>
      </c>
      <c r="X25" s="1952">
        <v>2035</v>
      </c>
    </row>
    <row r="26" spans="1:24" ht="15.75">
      <c r="A26" s="1919" t="s">
        <v>8058</v>
      </c>
      <c r="B26" s="1922"/>
      <c r="C26" s="1922"/>
      <c r="D26" s="1922"/>
      <c r="E26" s="1922"/>
      <c r="F26" s="1922"/>
      <c r="G26" s="1922"/>
      <c r="H26" s="1922"/>
      <c r="I26" s="1950">
        <v>1096.7739999999999</v>
      </c>
      <c r="J26" s="1950">
        <v>1148.048</v>
      </c>
      <c r="K26" s="1950">
        <v>1157.0139999999999</v>
      </c>
      <c r="L26" s="1950">
        <v>1204.0889999999999</v>
      </c>
      <c r="M26" s="1950">
        <v>1079.74</v>
      </c>
      <c r="N26" s="1951">
        <f>M26</f>
        <v>1079.74</v>
      </c>
      <c r="O26" s="1951">
        <f t="shared" ref="O26:X26" si="14">N26</f>
        <v>1079.74</v>
      </c>
      <c r="P26" s="1951">
        <f t="shared" si="14"/>
        <v>1079.74</v>
      </c>
      <c r="Q26" s="1951">
        <f t="shared" si="14"/>
        <v>1079.74</v>
      </c>
      <c r="R26" s="1951">
        <f t="shared" si="14"/>
        <v>1079.74</v>
      </c>
      <c r="S26" s="1951">
        <f t="shared" si="14"/>
        <v>1079.74</v>
      </c>
      <c r="T26" s="1951">
        <f t="shared" si="14"/>
        <v>1079.74</v>
      </c>
      <c r="U26" s="1951">
        <f t="shared" si="14"/>
        <v>1079.74</v>
      </c>
      <c r="V26" s="1951">
        <f t="shared" si="14"/>
        <v>1079.74</v>
      </c>
      <c r="W26" s="1951">
        <f t="shared" si="14"/>
        <v>1079.74</v>
      </c>
      <c r="X26" s="1951">
        <f t="shared" si="14"/>
        <v>1079.74</v>
      </c>
    </row>
    <row r="27" spans="1:24" ht="15.75">
      <c r="A27" s="1919" t="s">
        <v>8059</v>
      </c>
      <c r="B27" s="1922"/>
      <c r="C27" s="1922"/>
      <c r="D27" s="1922"/>
      <c r="E27" s="1922"/>
      <c r="F27" s="1922"/>
      <c r="G27" s="1922"/>
      <c r="H27" s="1922"/>
      <c r="I27" s="1922">
        <f>Master!S302</f>
        <v>461.89499999999998</v>
      </c>
      <c r="J27" s="1922">
        <f>Master!T302</f>
        <v>431.41899999999998</v>
      </c>
      <c r="K27" s="1922">
        <f>Master!U302</f>
        <v>358.99700000000001</v>
      </c>
      <c r="L27" s="1922">
        <f>Master!V302</f>
        <v>347.36500000000001</v>
      </c>
      <c r="M27" s="1922">
        <f>Master!W302</f>
        <v>291.80200000000002</v>
      </c>
      <c r="N27" s="1922">
        <f>Master!X302</f>
        <v>308.75299999999999</v>
      </c>
      <c r="O27" s="1922">
        <f>Master!Y302</f>
        <v>308.75299999999999</v>
      </c>
      <c r="P27" s="1922">
        <f>Master!Z302</f>
        <v>308.75299999999999</v>
      </c>
      <c r="Q27" s="1922">
        <f>Master!AA302</f>
        <v>308.75299999999999</v>
      </c>
      <c r="R27" s="1922">
        <f>Master!AB302</f>
        <v>308.75299999999999</v>
      </c>
      <c r="S27" s="1922">
        <f>Master!AC302</f>
        <v>308.75299999999999</v>
      </c>
      <c r="T27" s="1922">
        <f>Master!AD302</f>
        <v>308.75299999999999</v>
      </c>
      <c r="U27" s="1922">
        <f>Master!AE302</f>
        <v>308.75299999999999</v>
      </c>
      <c r="V27" s="1922">
        <f>Master!AF302</f>
        <v>308.75299999999999</v>
      </c>
      <c r="W27" s="1922">
        <f>Master!AG302</f>
        <v>308.75299999999999</v>
      </c>
      <c r="X27" s="1922">
        <f>Master!AH302</f>
        <v>308.75299999999999</v>
      </c>
    </row>
    <row r="28" spans="1:24" ht="15.75">
      <c r="A28" s="1919"/>
      <c r="B28" s="1919"/>
      <c r="C28" s="1919"/>
      <c r="D28" s="1919"/>
      <c r="E28" s="1919"/>
      <c r="F28" s="1919"/>
      <c r="G28" s="1919"/>
      <c r="H28" s="1919"/>
      <c r="I28" s="1919"/>
      <c r="J28" s="1919"/>
      <c r="K28" s="1919"/>
      <c r="L28" s="1919"/>
      <c r="M28" s="1919"/>
      <c r="N28" s="1919"/>
      <c r="O28" s="1919"/>
      <c r="P28" s="1919"/>
      <c r="Q28" s="1919"/>
      <c r="R28" s="1919"/>
      <c r="S28" s="1919"/>
      <c r="T28" s="1919"/>
      <c r="U28" s="1919"/>
      <c r="V28" s="1919"/>
      <c r="W28" s="1919"/>
      <c r="X28" s="1919"/>
    </row>
    <row r="29" spans="1:24">
      <c r="A29" s="1920"/>
      <c r="B29" s="1921"/>
      <c r="C29" s="1921"/>
      <c r="D29" s="1921"/>
      <c r="E29" s="1921"/>
      <c r="F29" s="1921"/>
      <c r="G29" s="1921"/>
      <c r="H29" s="1921"/>
      <c r="I29" s="1921"/>
      <c r="J29" s="1921"/>
      <c r="K29" s="1920"/>
      <c r="L29" s="1920"/>
      <c r="M29" s="1920"/>
      <c r="N29" s="1920"/>
      <c r="O29" s="1920"/>
      <c r="P29" s="1920"/>
      <c r="Q29" s="1920"/>
      <c r="R29" s="1920"/>
      <c r="S29" s="1920"/>
      <c r="T29" s="1920"/>
      <c r="U29" s="1920"/>
      <c r="V29" s="1920"/>
      <c r="W29" s="1920"/>
      <c r="X29" s="1920"/>
    </row>
    <row r="30" spans="1:24">
      <c r="A30" s="1920"/>
      <c r="B30" s="1921"/>
      <c r="C30" s="1921"/>
      <c r="D30" s="1921"/>
      <c r="E30" s="1921"/>
      <c r="F30" s="1921"/>
      <c r="G30" s="1921"/>
      <c r="H30" s="1921"/>
      <c r="I30" s="1921"/>
      <c r="J30" s="1921"/>
      <c r="K30" s="1920"/>
      <c r="L30" s="1920"/>
      <c r="M30" s="1920"/>
      <c r="N30" s="1920"/>
      <c r="O30" s="1920"/>
      <c r="P30" s="1920"/>
      <c r="Q30" s="1920"/>
      <c r="R30" s="1920"/>
      <c r="S30" s="1920"/>
      <c r="T30" s="1920"/>
      <c r="U30" s="1920"/>
      <c r="V30" s="1920"/>
      <c r="W30" s="1920"/>
      <c r="X30" s="1920"/>
    </row>
    <row r="31" spans="1:24" ht="15.75">
      <c r="A31" s="1907" t="s">
        <v>8050</v>
      </c>
      <c r="B31" s="1908"/>
      <c r="C31" s="1908"/>
      <c r="D31" s="1908"/>
      <c r="E31" s="1908"/>
      <c r="F31" s="1908"/>
      <c r="G31" s="1908"/>
      <c r="H31" s="1908"/>
      <c r="I31" s="1908"/>
      <c r="J31" s="1908"/>
      <c r="K31" s="1908"/>
      <c r="L31" s="1908"/>
      <c r="M31" s="1908"/>
      <c r="N31" s="1908"/>
      <c r="O31" s="1908"/>
      <c r="P31" s="1908"/>
      <c r="Q31" s="1908"/>
      <c r="R31" s="1920"/>
      <c r="S31" s="1920"/>
      <c r="T31" s="1920"/>
      <c r="U31" s="1920"/>
      <c r="V31" s="1920"/>
      <c r="W31" s="1920"/>
      <c r="X31" s="1920"/>
    </row>
    <row r="32" spans="1:24" ht="16.5" thickBot="1">
      <c r="A32" s="1909" t="s">
        <v>662</v>
      </c>
      <c r="B32" s="1910">
        <v>2020</v>
      </c>
      <c r="C32" s="1910">
        <v>2021</v>
      </c>
      <c r="D32" s="1910">
        <v>2022</v>
      </c>
      <c r="E32" s="1910">
        <v>2023</v>
      </c>
      <c r="F32" s="1910">
        <v>2024</v>
      </c>
      <c r="G32" s="1910">
        <v>2025</v>
      </c>
      <c r="H32" s="1910">
        <v>2026</v>
      </c>
      <c r="I32" s="1910">
        <v>2027</v>
      </c>
      <c r="J32" s="1910">
        <v>2028</v>
      </c>
      <c r="K32" s="1910">
        <v>2029</v>
      </c>
      <c r="L32" s="1910">
        <v>2030</v>
      </c>
      <c r="M32" s="1910">
        <v>2031</v>
      </c>
      <c r="N32" s="1910">
        <v>2032</v>
      </c>
      <c r="O32" s="1910">
        <v>2033</v>
      </c>
      <c r="P32" s="1910">
        <v>2034</v>
      </c>
      <c r="Q32" s="1910">
        <v>2035</v>
      </c>
      <c r="R32" s="1920"/>
      <c r="S32" s="1920"/>
      <c r="T32" s="1920"/>
      <c r="U32" s="1920"/>
      <c r="V32" s="1920"/>
      <c r="W32" s="1920"/>
      <c r="X32" s="1920"/>
    </row>
    <row r="33" spans="1:24" ht="15.75">
      <c r="A33" s="1911" t="s">
        <v>33</v>
      </c>
      <c r="B33" s="1912">
        <f>Master!S28</f>
        <v>97138.3</v>
      </c>
      <c r="C33" s="1912">
        <f>Master!T28</f>
        <v>103521.8</v>
      </c>
      <c r="D33" s="1912">
        <f>Master!U28</f>
        <v>75526.600000000006</v>
      </c>
      <c r="E33" s="1912">
        <f>Master!V28</f>
        <v>73767.900000000009</v>
      </c>
      <c r="F33" s="1912">
        <f>Master!W28</f>
        <v>62260.864000000001</v>
      </c>
      <c r="G33" s="1912">
        <f>Master!X28</f>
        <v>58878.2</v>
      </c>
      <c r="H33" s="1912">
        <f>Master!Y28</f>
        <v>57082.082599999994</v>
      </c>
      <c r="I33" s="1912">
        <f>Master!Z28</f>
        <v>54906.967513999989</v>
      </c>
      <c r="J33" s="1912">
        <f>Master!AA28</f>
        <v>52481.078674779994</v>
      </c>
      <c r="K33" s="1912">
        <f>Master!AB28</f>
        <v>51910.543243480584</v>
      </c>
      <c r="L33" s="1912">
        <f>Master!AC28</f>
        <v>52126.595162057252</v>
      </c>
      <c r="M33" s="1912">
        <f>Master!AD28</f>
        <v>52789.33237346766</v>
      </c>
      <c r="N33" s="1912">
        <f>Master!AE28</f>
        <v>53245.451176807837</v>
      </c>
      <c r="O33" s="1912">
        <f>Master!AF28</f>
        <v>53602.351070998826</v>
      </c>
      <c r="P33" s="1912">
        <f>Master!AG28</f>
        <v>52976.364798224429</v>
      </c>
      <c r="Q33" s="1912">
        <f>Master!AH28</f>
        <v>53267.726773023562</v>
      </c>
      <c r="R33" s="1920"/>
      <c r="S33" s="1920"/>
      <c r="T33" s="1920"/>
      <c r="U33" s="1920"/>
      <c r="V33" s="1920"/>
      <c r="W33" s="1920"/>
      <c r="X33" s="1920"/>
    </row>
    <row r="34" spans="1:24" ht="15.75">
      <c r="A34" s="1919" t="s">
        <v>34</v>
      </c>
      <c r="B34" s="1922">
        <f>Master!S63</f>
        <v>38810.299999999996</v>
      </c>
      <c r="C34" s="1922">
        <f>Master!T63</f>
        <v>43601.599999999999</v>
      </c>
      <c r="D34" s="1922">
        <f>Master!U63</f>
        <v>25536.03</v>
      </c>
      <c r="E34" s="1922">
        <f>Master!V63</f>
        <v>24124.600000000002</v>
      </c>
      <c r="F34" s="1922">
        <f>Master!W63</f>
        <v>17692.015999999996</v>
      </c>
      <c r="G34" s="1922">
        <f>Master!X63</f>
        <v>21385.4</v>
      </c>
      <c r="H34" s="1922">
        <f>Master!Y63</f>
        <v>21683.037436526331</v>
      </c>
      <c r="I34" s="1922">
        <f>Master!Z63</f>
        <v>21241.153183097853</v>
      </c>
      <c r="J34" s="1922">
        <f>Master!AA63</f>
        <v>20722.529360417931</v>
      </c>
      <c r="K34" s="1922">
        <f>Master!AB63</f>
        <v>20756.802080019293</v>
      </c>
      <c r="L34" s="1922">
        <f>Master!AC63</f>
        <v>21103.824961091603</v>
      </c>
      <c r="M34" s="1922">
        <f>Master!AD63</f>
        <v>21636.085524170499</v>
      </c>
      <c r="N34" s="1922">
        <f>Master!AE63</f>
        <v>22089.256334643047</v>
      </c>
      <c r="O34" s="1922">
        <f>Master!AF63</f>
        <v>22505.330564338114</v>
      </c>
      <c r="P34" s="1922">
        <f>Master!AG63</f>
        <v>22507.3875734463</v>
      </c>
      <c r="Q34" s="1922">
        <f>Master!AH63</f>
        <v>22764.344109753874</v>
      </c>
      <c r="R34" s="1920"/>
      <c r="S34" s="1920"/>
      <c r="T34" s="1920"/>
      <c r="U34" s="1920"/>
      <c r="V34" s="1920"/>
      <c r="W34" s="1920"/>
      <c r="X34" s="1920"/>
    </row>
    <row r="35" spans="1:24" ht="15.75">
      <c r="A35" s="1911" t="s">
        <v>35</v>
      </c>
      <c r="B35" s="1912">
        <f>Master!S87</f>
        <v>20178.311999999998</v>
      </c>
      <c r="C35" s="1912">
        <f>Master!T87</f>
        <v>23310.092270413064</v>
      </c>
      <c r="D35" s="1912">
        <f>Master!U87</f>
        <v>17214.16</v>
      </c>
      <c r="E35" s="1912">
        <f>Master!V87</f>
        <v>14503.380000000001</v>
      </c>
      <c r="F35" s="1912">
        <f>Master!W87</f>
        <v>9097.5</v>
      </c>
      <c r="G35" s="1912">
        <f>Master!X87</f>
        <v>12186.6</v>
      </c>
      <c r="H35" s="1912">
        <f>Master!Y87</f>
        <v>14278.20668726951</v>
      </c>
      <c r="I35" s="1912">
        <f>Master!Z87</f>
        <v>11169.233759721894</v>
      </c>
      <c r="J35" s="1912">
        <f>Master!AA87</f>
        <v>10295.922991520487</v>
      </c>
      <c r="K35" s="1912">
        <f>Master!AB87</f>
        <v>10007.361481214053</v>
      </c>
      <c r="L35" s="1912">
        <f>Master!AC87</f>
        <v>9842.9993612570379</v>
      </c>
      <c r="M35" s="1912">
        <f>Master!AD87</f>
        <v>9746.5970199636795</v>
      </c>
      <c r="N35" s="1912">
        <f>Master!AE87</f>
        <v>9717.2948397674299</v>
      </c>
      <c r="O35" s="1912">
        <f>Master!AF87</f>
        <v>9648.4231927797882</v>
      </c>
      <c r="P35" s="1912">
        <f>Master!AG87</f>
        <v>9535.7456636803963</v>
      </c>
      <c r="Q35" s="1912">
        <f>Master!AH87</f>
        <v>9588.1908191442399</v>
      </c>
      <c r="R35" s="1920"/>
      <c r="S35" s="1920"/>
      <c r="T35" s="1920"/>
      <c r="U35" s="1920"/>
      <c r="V35" s="1920"/>
      <c r="W35" s="1920"/>
      <c r="X35" s="1920"/>
    </row>
    <row r="36" spans="1:24" ht="15.75">
      <c r="A36" s="1919" t="s">
        <v>36</v>
      </c>
      <c r="B36" s="1922">
        <f>B34-B35</f>
        <v>18631.987999999998</v>
      </c>
      <c r="C36" s="1922">
        <f t="shared" ref="C36:Q36" si="15">C34-C35</f>
        <v>20291.507729586934</v>
      </c>
      <c r="D36" s="1922">
        <f t="shared" si="15"/>
        <v>8321.869999999999</v>
      </c>
      <c r="E36" s="1922">
        <f t="shared" si="15"/>
        <v>9621.2200000000012</v>
      </c>
      <c r="F36" s="1922">
        <f t="shared" si="15"/>
        <v>8594.515999999996</v>
      </c>
      <c r="G36" s="1922">
        <f t="shared" si="15"/>
        <v>9198.8000000000011</v>
      </c>
      <c r="H36" s="1922">
        <f t="shared" si="15"/>
        <v>7404.8307492568201</v>
      </c>
      <c r="I36" s="1922">
        <f t="shared" si="15"/>
        <v>10071.919423375959</v>
      </c>
      <c r="J36" s="1922">
        <f t="shared" si="15"/>
        <v>10426.606368897445</v>
      </c>
      <c r="K36" s="1922">
        <f t="shared" si="15"/>
        <v>10749.44059880524</v>
      </c>
      <c r="L36" s="1922">
        <f t="shared" si="15"/>
        <v>11260.825599834565</v>
      </c>
      <c r="M36" s="1922">
        <f t="shared" si="15"/>
        <v>11889.48850420682</v>
      </c>
      <c r="N36" s="1922">
        <f t="shared" si="15"/>
        <v>12371.961494875617</v>
      </c>
      <c r="O36" s="1922">
        <f t="shared" si="15"/>
        <v>12856.907371558325</v>
      </c>
      <c r="P36" s="1922">
        <f t="shared" si="15"/>
        <v>12971.641909765904</v>
      </c>
      <c r="Q36" s="1922">
        <f t="shared" si="15"/>
        <v>13176.153290609634</v>
      </c>
      <c r="R36" s="1920"/>
      <c r="S36" s="1920"/>
      <c r="T36" s="1920"/>
      <c r="U36" s="1920"/>
      <c r="V36" s="1920"/>
      <c r="W36" s="1920"/>
      <c r="X36" s="1920"/>
    </row>
    <row r="37" spans="1:24" ht="15.75">
      <c r="A37" s="1911"/>
      <c r="B37" s="1912"/>
      <c r="C37" s="1912"/>
      <c r="D37" s="1912"/>
      <c r="E37" s="1912"/>
      <c r="F37" s="1912"/>
      <c r="G37" s="1923"/>
      <c r="H37" s="1923"/>
      <c r="I37" s="1923"/>
      <c r="J37" s="1923"/>
      <c r="K37" s="1923"/>
      <c r="L37" s="1923"/>
      <c r="M37" s="1923"/>
      <c r="N37" s="1923"/>
      <c r="O37" s="1923"/>
      <c r="P37" s="1923"/>
      <c r="Q37" s="1923"/>
      <c r="R37" s="1920"/>
      <c r="S37" s="1920"/>
      <c r="T37" s="1920"/>
      <c r="U37" s="1920"/>
      <c r="V37" s="1920"/>
      <c r="W37" s="1920"/>
      <c r="X37" s="1920"/>
    </row>
    <row r="38" spans="1:24" ht="15.75">
      <c r="A38" s="1919" t="s">
        <v>8042</v>
      </c>
      <c r="B38" s="1922">
        <f>B34-I26-I27</f>
        <v>37251.631000000001</v>
      </c>
      <c r="C38" s="1922">
        <f>C34-J26-J27</f>
        <v>42022.132999999994</v>
      </c>
      <c r="D38" s="1922">
        <f>D34-K26-K27</f>
        <v>24020.019</v>
      </c>
      <c r="E38" s="1922">
        <f>E34-L26-L27</f>
        <v>22573.146000000001</v>
      </c>
      <c r="F38" s="1922">
        <f>F34-M26-M27</f>
        <v>16320.473999999995</v>
      </c>
      <c r="G38" s="1922">
        <f t="shared" ref="G38:Q38" si="16">G34-N26-N27</f>
        <v>19996.906999999999</v>
      </c>
      <c r="H38" s="1922">
        <f t="shared" si="16"/>
        <v>20294.544436526328</v>
      </c>
      <c r="I38" s="1922">
        <f t="shared" si="16"/>
        <v>19852.660183097851</v>
      </c>
      <c r="J38" s="1922">
        <f t="shared" si="16"/>
        <v>19334.036360417929</v>
      </c>
      <c r="K38" s="1922">
        <f t="shared" si="16"/>
        <v>19368.309080019291</v>
      </c>
      <c r="L38" s="1922">
        <f t="shared" si="16"/>
        <v>19715.331961091601</v>
      </c>
      <c r="M38" s="1922">
        <f t="shared" si="16"/>
        <v>20247.592524170497</v>
      </c>
      <c r="N38" s="1922">
        <f t="shared" si="16"/>
        <v>20700.763334643045</v>
      </c>
      <c r="O38" s="1922">
        <f t="shared" si="16"/>
        <v>21116.837564338111</v>
      </c>
      <c r="P38" s="1922">
        <f t="shared" si="16"/>
        <v>21118.894573446298</v>
      </c>
      <c r="Q38" s="1922">
        <f t="shared" si="16"/>
        <v>21375.851109753872</v>
      </c>
      <c r="S38" s="1920"/>
      <c r="T38" s="1920"/>
      <c r="U38" s="1920"/>
      <c r="V38" s="1920"/>
      <c r="W38" s="1920"/>
      <c r="X38" s="1920"/>
    </row>
    <row r="39" spans="1:24" ht="15.75">
      <c r="A39" s="1911" t="s">
        <v>8043</v>
      </c>
      <c r="B39" s="1912">
        <f>B38-B35</f>
        <v>17073.319000000003</v>
      </c>
      <c r="C39" s="1912">
        <f t="shared" ref="C39:Q39" si="17">C38-C35</f>
        <v>18712.04072958693</v>
      </c>
      <c r="D39" s="1912">
        <f t="shared" si="17"/>
        <v>6805.8590000000004</v>
      </c>
      <c r="E39" s="1912">
        <f t="shared" si="17"/>
        <v>8069.7659999999996</v>
      </c>
      <c r="F39" s="1912">
        <f t="shared" si="17"/>
        <v>7222.9739999999947</v>
      </c>
      <c r="G39" s="1912">
        <f t="shared" si="17"/>
        <v>7810.3069999999989</v>
      </c>
      <c r="H39" s="1912">
        <f t="shared" si="17"/>
        <v>6016.3377492568179</v>
      </c>
      <c r="I39" s="1912">
        <f t="shared" si="17"/>
        <v>8683.4264233759568</v>
      </c>
      <c r="J39" s="1912">
        <f t="shared" si="17"/>
        <v>9038.1133688974423</v>
      </c>
      <c r="K39" s="1912">
        <f t="shared" si="17"/>
        <v>9360.9475988052382</v>
      </c>
      <c r="L39" s="1912">
        <f t="shared" si="17"/>
        <v>9872.3325998345626</v>
      </c>
      <c r="M39" s="1912">
        <f t="shared" si="17"/>
        <v>10500.995504206818</v>
      </c>
      <c r="N39" s="1912">
        <f t="shared" si="17"/>
        <v>10983.468494875615</v>
      </c>
      <c r="O39" s="1912">
        <f t="shared" si="17"/>
        <v>11468.414371558323</v>
      </c>
      <c r="P39" s="1912">
        <f t="shared" si="17"/>
        <v>11583.148909765901</v>
      </c>
      <c r="Q39" s="1912">
        <f t="shared" si="17"/>
        <v>11787.660290609632</v>
      </c>
      <c r="R39" s="1920"/>
      <c r="S39" s="1920"/>
      <c r="T39" s="1920"/>
      <c r="U39" s="1920"/>
      <c r="V39" s="1920"/>
      <c r="W39" s="1920"/>
      <c r="X39" s="1920"/>
    </row>
    <row r="40" spans="1:24" ht="15.75">
      <c r="A40" s="1919" t="s">
        <v>8044</v>
      </c>
      <c r="B40" s="1922">
        <f>-Master!S292+Master!S287+Master!S302</f>
        <v>-8908.3050000000003</v>
      </c>
      <c r="C40" s="1922">
        <f>-Master!T292+Master!T287+Master!T302</f>
        <v>-8114.5810000000001</v>
      </c>
      <c r="D40" s="1922">
        <f>-Master!U292+Master!U287+Master!U302</f>
        <v>-6945.5029999999997</v>
      </c>
      <c r="E40" s="1922">
        <f>-Master!V292+Master!V287+Master!V302</f>
        <v>-4126.7430000000004</v>
      </c>
      <c r="F40" s="1922">
        <f>-Master!W292+Master!W287+Master!W302</f>
        <v>-4339.8960000000006</v>
      </c>
      <c r="G40" s="1922">
        <f>-Master!X292+Master!X287+Master!X302</f>
        <v>-4533.0130000000008</v>
      </c>
      <c r="H40" s="1922">
        <f ca="1">-Master!Y292+Master!Y287+Master!Y302</f>
        <v>-4329.1939309388954</v>
      </c>
      <c r="I40" s="1922">
        <f ca="1">-Master!Z292+Master!Z287+Master!Z302</f>
        <v>-4306.963178247689</v>
      </c>
      <c r="J40" s="1922">
        <f ca="1">-Master!AA292+Master!AA287+Master!AA302</f>
        <v>-4305.0320159312096</v>
      </c>
      <c r="K40" s="1922">
        <f ca="1">-Master!AB292+Master!AB287+Master!AB302</f>
        <v>-4286.721909807984</v>
      </c>
      <c r="L40" s="1922">
        <f ca="1">-Master!AC292+Master!AC287+Master!AC302</f>
        <v>-4120.1590458826458</v>
      </c>
      <c r="M40" s="1922">
        <f ca="1">-Master!AD292+Master!AD287+Master!AD302</f>
        <v>-4042.1326183158294</v>
      </c>
      <c r="N40" s="1922">
        <f ca="1">-Master!AE292+Master!AE287+Master!AE302</f>
        <v>-3978.2568197252554</v>
      </c>
      <c r="O40" s="1922">
        <f ca="1">-Master!AF292+Master!AF287+Master!AF302</f>
        <v>-3935.8539348497884</v>
      </c>
      <c r="P40" s="1922">
        <f ca="1">-Master!AG292+Master!AG287+Master!AG302</f>
        <v>-3924.0965949682836</v>
      </c>
      <c r="Q40" s="1922">
        <f ca="1">-Master!AH292+Master!AH287+Master!AH302</f>
        <v>-3810.2527626952747</v>
      </c>
      <c r="R40" s="1920"/>
      <c r="S40" s="1920"/>
      <c r="T40" s="1920"/>
      <c r="U40" s="1920"/>
      <c r="V40" s="1920"/>
      <c r="W40" s="1920"/>
      <c r="X40" s="1920"/>
    </row>
    <row r="41" spans="1:24" ht="15.75">
      <c r="A41" s="1911" t="s">
        <v>374</v>
      </c>
      <c r="B41" s="1912">
        <f>Master!S209</f>
        <v>-8681</v>
      </c>
      <c r="C41" s="1912">
        <f>Master!T209</f>
        <v>-9166</v>
      </c>
      <c r="D41" s="1912">
        <f>Master!U209</f>
        <v>-12188</v>
      </c>
      <c r="E41" s="1912">
        <f>Master!V209</f>
        <v>-7014.3090000000002</v>
      </c>
      <c r="F41" s="1912">
        <f>Master!W209</f>
        <v>-812.21500000000003</v>
      </c>
      <c r="G41" s="1912">
        <f>Master!X209</f>
        <v>24</v>
      </c>
      <c r="H41" s="1912">
        <f ca="1">Master!Y209</f>
        <v>-379.22947558088572</v>
      </c>
      <c r="I41" s="1912">
        <f ca="1">Master!Z209</f>
        <v>-524.12781779395857</v>
      </c>
      <c r="J41" s="1912">
        <f ca="1">Master!AA209</f>
        <v>-690.44706195240747</v>
      </c>
      <c r="K41" s="1912">
        <f ca="1">Master!AB209</f>
        <v>-1024.6090420678022</v>
      </c>
      <c r="L41" s="1912">
        <f ca="1">Master!AC209</f>
        <v>-1470.0542013679806</v>
      </c>
      <c r="M41" s="1912">
        <f ca="1">Master!AD209</f>
        <v>-1909.000972037298</v>
      </c>
      <c r="N41" s="1912">
        <f ca="1">Master!AE209</f>
        <v>-2288.7643789927924</v>
      </c>
      <c r="O41" s="1912">
        <f ca="1">Master!AF209</f>
        <v>-2626.8758117473003</v>
      </c>
      <c r="P41" s="1912">
        <f ca="1">Master!AG209</f>
        <v>-2806.698137755031</v>
      </c>
      <c r="Q41" s="1912">
        <f ca="1">Master!AH209</f>
        <v>-3069.3465803506142</v>
      </c>
      <c r="R41" s="1920"/>
      <c r="S41" s="1920"/>
      <c r="T41" s="1920"/>
      <c r="U41" s="1920"/>
      <c r="V41" s="1920"/>
      <c r="W41" s="1920"/>
      <c r="X41" s="1920"/>
    </row>
    <row r="42" spans="1:24" ht="15.75">
      <c r="A42" s="1919" t="s">
        <v>8045</v>
      </c>
      <c r="B42" s="1922">
        <f>Master!S210</f>
        <v>381.99999999999932</v>
      </c>
      <c r="C42" s="1922">
        <f>Master!T210</f>
        <v>-3773.1779999999999</v>
      </c>
      <c r="D42" s="1922">
        <f>Master!U210</f>
        <v>-4201.4210000000003</v>
      </c>
      <c r="E42" s="1922">
        <f>Master!V210</f>
        <v>-2519.424</v>
      </c>
      <c r="F42" s="1922">
        <f>Master!W210</f>
        <v>4108.4750000000004</v>
      </c>
      <c r="G42" s="1922">
        <f>Master!X210</f>
        <v>396.71699999999987</v>
      </c>
      <c r="H42" s="1922">
        <f>Master!Y210</f>
        <v>-30.588769185279034</v>
      </c>
      <c r="I42" s="1922">
        <f>Master!Z210</f>
        <v>-58.698830814722442</v>
      </c>
      <c r="J42" s="1922">
        <f>Master!AA210</f>
        <v>-79.213708709820025</v>
      </c>
      <c r="K42" s="1922">
        <f>Master!AB210</f>
        <v>-63.138372906999734</v>
      </c>
      <c r="L42" s="1922">
        <f>Master!AC210</f>
        <v>4.4275882884833209</v>
      </c>
      <c r="M42" s="1922">
        <f>Master!AD210</f>
        <v>-37.955878116856866</v>
      </c>
      <c r="N42" s="1922">
        <f>Master!AE210</f>
        <v>-57.627037862176508</v>
      </c>
      <c r="O42" s="1922">
        <f>Master!AF210</f>
        <v>-70.324625406715313</v>
      </c>
      <c r="P42" s="1922">
        <f>Master!AG210</f>
        <v>-65.769968640789102</v>
      </c>
      <c r="Q42" s="1922">
        <f>Master!AH210</f>
        <v>-63.759327008878131</v>
      </c>
      <c r="R42" s="1920"/>
      <c r="S42" s="1920"/>
      <c r="T42" s="1920"/>
      <c r="U42" s="1920"/>
      <c r="V42" s="1920"/>
      <c r="W42" s="1920"/>
      <c r="X42" s="1920"/>
    </row>
    <row r="43" spans="1:24" ht="15.75">
      <c r="A43" s="1917" t="s">
        <v>8046</v>
      </c>
      <c r="B43" s="1918">
        <f>SUM(B39:B42)</f>
        <v>-133.98599999999783</v>
      </c>
      <c r="C43" s="1918">
        <f t="shared" ref="C43:Q43" si="18">SUM(C39:C42)</f>
        <v>-2341.7182704130701</v>
      </c>
      <c r="D43" s="1918">
        <f t="shared" si="18"/>
        <v>-16529.065000000002</v>
      </c>
      <c r="E43" s="1918">
        <f t="shared" si="18"/>
        <v>-5590.7100000000009</v>
      </c>
      <c r="F43" s="1918">
        <f t="shared" si="18"/>
        <v>6179.3379999999943</v>
      </c>
      <c r="G43" s="1918">
        <f t="shared" si="18"/>
        <v>3698.0109999999977</v>
      </c>
      <c r="H43" s="1918">
        <f t="shared" ca="1" si="18"/>
        <v>1277.3255735517578</v>
      </c>
      <c r="I43" s="1918">
        <f t="shared" ca="1" si="18"/>
        <v>3793.6365965195869</v>
      </c>
      <c r="J43" s="1918">
        <f t="shared" ca="1" si="18"/>
        <v>3963.4205823040056</v>
      </c>
      <c r="K43" s="1918">
        <f t="shared" ca="1" si="18"/>
        <v>3986.4782740224523</v>
      </c>
      <c r="L43" s="1918">
        <f t="shared" ca="1" si="18"/>
        <v>4286.5469408724193</v>
      </c>
      <c r="M43" s="1918">
        <f t="shared" ca="1" si="18"/>
        <v>4511.9060357368335</v>
      </c>
      <c r="N43" s="1918">
        <f t="shared" ca="1" si="18"/>
        <v>4658.8202582953909</v>
      </c>
      <c r="O43" s="1918">
        <f t="shared" ca="1" si="18"/>
        <v>4835.3599995545183</v>
      </c>
      <c r="P43" s="1918">
        <f t="shared" ca="1" si="18"/>
        <v>4786.5842084017986</v>
      </c>
      <c r="Q43" s="1918">
        <f t="shared" ca="1" si="18"/>
        <v>4844.3016205548656</v>
      </c>
      <c r="R43" s="1920"/>
      <c r="S43" s="1920"/>
      <c r="T43" s="1920"/>
      <c r="U43" s="1920"/>
      <c r="V43" s="1920"/>
      <c r="W43" s="1920"/>
      <c r="X43" s="1920"/>
    </row>
    <row r="44" spans="1:24" ht="15.75">
      <c r="A44" s="1919"/>
      <c r="B44" s="1922"/>
      <c r="C44" s="1922"/>
      <c r="D44" s="1922"/>
      <c r="E44" s="1922"/>
      <c r="F44" s="1922"/>
      <c r="G44" s="1924"/>
      <c r="H44" s="1924"/>
      <c r="I44" s="1924"/>
      <c r="J44" s="1924"/>
      <c r="K44" s="1924"/>
      <c r="L44" s="1924"/>
      <c r="M44" s="1924"/>
      <c r="N44" s="1924"/>
      <c r="O44" s="1924"/>
      <c r="P44" s="1924"/>
      <c r="Q44" s="1924"/>
      <c r="R44" s="1920"/>
      <c r="S44" s="1920"/>
      <c r="T44" s="1920"/>
      <c r="U44" s="1920"/>
      <c r="V44" s="1920"/>
      <c r="W44" s="1920"/>
      <c r="X44" s="1920"/>
    </row>
    <row r="45" spans="1:24" ht="15.75">
      <c r="A45" s="1911" t="s">
        <v>324</v>
      </c>
      <c r="B45" s="1912">
        <f>Master!S306</f>
        <v>131845.30000000002</v>
      </c>
      <c r="C45" s="1912">
        <f>Master!T306</f>
        <v>135472.69999999998</v>
      </c>
      <c r="D45" s="1912">
        <f>Master!U306</f>
        <v>113609.7</v>
      </c>
      <c r="E45" s="1912">
        <f>Master!V306</f>
        <v>95827.417999999991</v>
      </c>
      <c r="F45" s="1912">
        <f>Master!W306</f>
        <v>108335.8</v>
      </c>
      <c r="G45" s="1912">
        <f>Master!X306</f>
        <v>91430.2</v>
      </c>
      <c r="H45" s="1912">
        <f>Master!Y306</f>
        <v>92301.402734149058</v>
      </c>
      <c r="I45" s="1912">
        <f>Master!Z306</f>
        <v>86590.327548832036</v>
      </c>
      <c r="J45" s="1912">
        <f>Master!AA306</f>
        <v>87820.370859808696</v>
      </c>
      <c r="K45" s="1912">
        <f>Master!AB306</f>
        <v>89075.015037004865</v>
      </c>
      <c r="L45" s="1912">
        <f>Master!AC306</f>
        <v>90354.75209774496</v>
      </c>
      <c r="M45" s="1912">
        <f>Master!AD306</f>
        <v>91660.083899699865</v>
      </c>
      <c r="N45" s="1912">
        <f>Master!AE306</f>
        <v>92991.522337693852</v>
      </c>
      <c r="O45" s="1912">
        <f>Master!AF306</f>
        <v>94349.589544447736</v>
      </c>
      <c r="P45" s="1912">
        <f>Master!AG306</f>
        <v>95734.818095336697</v>
      </c>
      <c r="Q45" s="1912">
        <f>Master!AH306</f>
        <v>97147.751217243436</v>
      </c>
      <c r="R45" s="1920"/>
      <c r="S45" s="1920"/>
      <c r="T45" s="1920"/>
      <c r="U45" s="1920"/>
      <c r="V45" s="1920"/>
      <c r="W45" s="1920"/>
      <c r="X45" s="1920"/>
    </row>
    <row r="46" spans="1:24" ht="15.75">
      <c r="A46" s="1919" t="s">
        <v>2160</v>
      </c>
      <c r="B46" s="1922">
        <f>Master!S307</f>
        <v>29058.1</v>
      </c>
      <c r="C46" s="1922">
        <f>Master!T307</f>
        <v>25828.2</v>
      </c>
      <c r="D46" s="1922">
        <f>Master!U307</f>
        <v>51131</v>
      </c>
      <c r="E46" s="1922">
        <f>Master!V307</f>
        <v>32586.3</v>
      </c>
      <c r="F46" s="1922">
        <f>Master!W307</f>
        <v>46193.173000000003</v>
      </c>
      <c r="G46" s="1922">
        <f>Master!X307</f>
        <v>36375.699999999997</v>
      </c>
      <c r="H46" s="1922">
        <f ca="1">Master!Y307</f>
        <v>37647.907805368442</v>
      </c>
      <c r="I46" s="1922">
        <f ca="1">Master!Z307</f>
        <v>31248.286227552744</v>
      </c>
      <c r="J46" s="1922">
        <f ca="1">Master!AA307</f>
        <v>32024.486363717529</v>
      </c>
      <c r="K46" s="1922">
        <f ca="1">Master!AB307</f>
        <v>34786.515720515032</v>
      </c>
      <c r="L46" s="1922">
        <f ca="1">Master!AC307</f>
        <v>37988.333351566449</v>
      </c>
      <c r="M46" s="1922">
        <f ca="1">Master!AD307</f>
        <v>41610.106401004836</v>
      </c>
      <c r="N46" s="1922">
        <f ca="1">Master!AE307</f>
        <v>45547.328698792429</v>
      </c>
      <c r="O46" s="1922">
        <f ca="1">Master!AF307</f>
        <v>49808.111438385065</v>
      </c>
      <c r="P46" s="1922">
        <f ca="1">Master!AG307</f>
        <v>54126.932792044077</v>
      </c>
      <c r="Q46" s="1922">
        <f ca="1">Master!AH307</f>
        <v>58421.346909391505</v>
      </c>
      <c r="R46" s="1920" t="s">
        <v>8069</v>
      </c>
      <c r="S46" s="1920"/>
      <c r="T46" s="1920"/>
      <c r="U46" s="1920"/>
      <c r="V46" s="1920"/>
      <c r="W46" s="1920"/>
      <c r="X46" s="1920"/>
    </row>
    <row r="47" spans="1:24" ht="15.75">
      <c r="A47" s="1911" t="s">
        <v>271</v>
      </c>
      <c r="B47" s="1912">
        <f>B45-B46</f>
        <v>102787.20000000001</v>
      </c>
      <c r="C47" s="1912">
        <f t="shared" ref="C47:Q47" si="19">C45-C46</f>
        <v>109644.49999999999</v>
      </c>
      <c r="D47" s="1912">
        <f t="shared" si="19"/>
        <v>62478.7</v>
      </c>
      <c r="E47" s="1912">
        <f t="shared" si="19"/>
        <v>63241.117999999988</v>
      </c>
      <c r="F47" s="1912">
        <f t="shared" si="19"/>
        <v>62142.627</v>
      </c>
      <c r="G47" s="1912">
        <f t="shared" si="19"/>
        <v>55054.5</v>
      </c>
      <c r="H47" s="1912">
        <f t="shared" ca="1" si="19"/>
        <v>54653.494928780616</v>
      </c>
      <c r="I47" s="1912">
        <f t="shared" ca="1" si="19"/>
        <v>55342.041321279292</v>
      </c>
      <c r="J47" s="1912">
        <f t="shared" ca="1" si="19"/>
        <v>55795.884496091167</v>
      </c>
      <c r="K47" s="1912">
        <f t="shared" ca="1" si="19"/>
        <v>54288.499316489833</v>
      </c>
      <c r="L47" s="1912">
        <f t="shared" ca="1" si="19"/>
        <v>52366.418746178511</v>
      </c>
      <c r="M47" s="1912">
        <f t="shared" ca="1" si="19"/>
        <v>50049.977498695029</v>
      </c>
      <c r="N47" s="1912">
        <f t="shared" ca="1" si="19"/>
        <v>47444.193638901423</v>
      </c>
      <c r="O47" s="1912">
        <f t="shared" ca="1" si="19"/>
        <v>44541.47810606267</v>
      </c>
      <c r="P47" s="1912">
        <f t="shared" ca="1" si="19"/>
        <v>41607.88530329262</v>
      </c>
      <c r="Q47" s="1912">
        <f t="shared" ca="1" si="19"/>
        <v>38726.404307851932</v>
      </c>
      <c r="R47" s="1920"/>
      <c r="S47" s="1920"/>
      <c r="T47" s="1920"/>
      <c r="U47" s="1920"/>
      <c r="V47" s="1920"/>
      <c r="W47" s="1920"/>
      <c r="X47" s="1920"/>
    </row>
    <row r="48" spans="1:24" ht="15.75">
      <c r="A48" s="1919" t="s">
        <v>272</v>
      </c>
      <c r="B48" s="1922"/>
      <c r="C48" s="1922">
        <f>C47-B47</f>
        <v>6857.2999999999738</v>
      </c>
      <c r="D48" s="1922">
        <f t="shared" ref="D48:Q48" si="20">D47-C47</f>
        <v>-47165.799999999988</v>
      </c>
      <c r="E48" s="1922">
        <f t="shared" si="20"/>
        <v>762.41799999999057</v>
      </c>
      <c r="F48" s="1922">
        <f t="shared" si="20"/>
        <v>-1098.4909999999873</v>
      </c>
      <c r="G48" s="1922">
        <f t="shared" si="20"/>
        <v>-7088.1270000000004</v>
      </c>
      <c r="H48" s="1922">
        <f t="shared" ca="1" si="20"/>
        <v>-401.00507121938426</v>
      </c>
      <c r="I48" s="1922">
        <f t="shared" ca="1" si="20"/>
        <v>688.54639249867614</v>
      </c>
      <c r="J48" s="1922">
        <f t="shared" ca="1" si="20"/>
        <v>453.84317481187463</v>
      </c>
      <c r="K48" s="1922">
        <f t="shared" ca="1" si="20"/>
        <v>-1507.3851796013332</v>
      </c>
      <c r="L48" s="1922">
        <f t="shared" ca="1" si="20"/>
        <v>-1922.0805703113219</v>
      </c>
      <c r="M48" s="1922">
        <f t="shared" ca="1" si="20"/>
        <v>-2316.4412474834826</v>
      </c>
      <c r="N48" s="1922">
        <f t="shared" ca="1" si="20"/>
        <v>-2605.7838597936061</v>
      </c>
      <c r="O48" s="1922">
        <f t="shared" ca="1" si="20"/>
        <v>-2902.7155328387526</v>
      </c>
      <c r="P48" s="1922">
        <f t="shared" ca="1" si="20"/>
        <v>-2933.5928027700502</v>
      </c>
      <c r="Q48" s="1922">
        <f t="shared" ca="1" si="20"/>
        <v>-2881.4809954406883</v>
      </c>
      <c r="R48" s="1920"/>
      <c r="S48" s="1920"/>
      <c r="T48" s="1920"/>
      <c r="U48" s="1920"/>
      <c r="V48" s="1920"/>
      <c r="W48" s="1920"/>
      <c r="X48" s="1920"/>
    </row>
    <row r="49" spans="1:24" ht="15.75">
      <c r="A49" s="1911"/>
      <c r="B49" s="1912"/>
      <c r="C49" s="1912"/>
      <c r="D49" s="1912"/>
      <c r="E49" s="1912"/>
      <c r="F49" s="1912"/>
      <c r="G49" s="1923"/>
      <c r="H49" s="1923"/>
      <c r="I49" s="1923"/>
      <c r="J49" s="1923"/>
      <c r="K49" s="1923"/>
      <c r="L49" s="1923"/>
      <c r="M49" s="1923"/>
      <c r="N49" s="1923"/>
      <c r="O49" s="1923"/>
      <c r="P49" s="1923"/>
      <c r="Q49" s="1923"/>
      <c r="R49" s="1920"/>
      <c r="S49" s="1920"/>
      <c r="T49" s="1920"/>
      <c r="U49" s="1920"/>
      <c r="V49" s="1920"/>
      <c r="W49" s="1920"/>
      <c r="X49" s="1920"/>
    </row>
    <row r="50" spans="1:24" ht="15.75">
      <c r="A50" s="1919" t="s">
        <v>8047</v>
      </c>
      <c r="B50" s="1922">
        <f>Master!S306-Master!S323</f>
        <v>122552.94900000002</v>
      </c>
      <c r="C50" s="1922">
        <f>Master!T306-Master!T323</f>
        <v>125792.14099999999</v>
      </c>
      <c r="D50" s="1922">
        <f>Master!U306-Master!U323</f>
        <v>105240.7</v>
      </c>
      <c r="E50" s="1922">
        <f>Master!V306-Master!V323</f>
        <v>88535.917999999991</v>
      </c>
      <c r="F50" s="1922">
        <f>Master!W306-Master!W323</f>
        <v>102949.16100000001</v>
      </c>
      <c r="G50" s="1922">
        <f>Master!X306-Master!X323</f>
        <v>85994.212</v>
      </c>
      <c r="H50" s="1922">
        <f>Master!Y306-Master!Y323</f>
        <v>86865.414734149061</v>
      </c>
      <c r="I50" s="1922">
        <f>Master!Z306-Master!Z323</f>
        <v>81154.339548832038</v>
      </c>
      <c r="J50" s="1922">
        <f>Master!AA306-Master!AA323</f>
        <v>82384.382859808698</v>
      </c>
      <c r="K50" s="1922">
        <f>Master!AB306-Master!AB323</f>
        <v>83639.027037004867</v>
      </c>
      <c r="L50" s="1922">
        <f>Master!AC306-Master!AC323</f>
        <v>84918.764097744963</v>
      </c>
      <c r="M50" s="1922">
        <f>Master!AD306-Master!AD323</f>
        <v>86224.095899699867</v>
      </c>
      <c r="N50" s="1922">
        <f>Master!AE306-Master!AE323</f>
        <v>87555.534337693854</v>
      </c>
      <c r="O50" s="1922">
        <f>Master!AF306-Master!AF323</f>
        <v>88913.601544447738</v>
      </c>
      <c r="P50" s="1922">
        <f>Master!AG306-Master!AG323</f>
        <v>90298.8300953367</v>
      </c>
      <c r="Q50" s="1922">
        <f>Master!AH306-Master!AH323</f>
        <v>91711.763217243439</v>
      </c>
      <c r="R50" s="1920"/>
      <c r="S50" s="1920"/>
      <c r="T50" s="1920"/>
      <c r="U50" s="1920"/>
      <c r="V50" s="1920"/>
      <c r="W50" s="1920"/>
      <c r="X50" s="1920"/>
    </row>
    <row r="51" spans="1:24" ht="15.75">
      <c r="A51" s="1911" t="s">
        <v>8048</v>
      </c>
      <c r="B51" s="1912">
        <f>B50-B46</f>
        <v>93494.849000000017</v>
      </c>
      <c r="C51" s="1912">
        <f t="shared" ref="C51:Q51" si="21">C50-C46</f>
        <v>99963.940999999992</v>
      </c>
      <c r="D51" s="1912">
        <f t="shared" si="21"/>
        <v>54109.7</v>
      </c>
      <c r="E51" s="1912">
        <f t="shared" si="21"/>
        <v>55949.617999999988</v>
      </c>
      <c r="F51" s="1912">
        <f t="shared" si="21"/>
        <v>56755.988000000005</v>
      </c>
      <c r="G51" s="1912">
        <f t="shared" si="21"/>
        <v>49618.512000000002</v>
      </c>
      <c r="H51" s="1912">
        <f t="shared" ca="1" si="21"/>
        <v>49217.506928780618</v>
      </c>
      <c r="I51" s="1912">
        <f t="shared" ca="1" si="21"/>
        <v>49906.053321279294</v>
      </c>
      <c r="J51" s="1912">
        <f t="shared" ca="1" si="21"/>
        <v>50359.896496091169</v>
      </c>
      <c r="K51" s="1912">
        <f t="shared" ca="1" si="21"/>
        <v>48852.511316489836</v>
      </c>
      <c r="L51" s="1912">
        <f t="shared" ca="1" si="21"/>
        <v>46930.430746178514</v>
      </c>
      <c r="M51" s="1912">
        <f t="shared" ca="1" si="21"/>
        <v>44613.989498695031</v>
      </c>
      <c r="N51" s="1912">
        <f t="shared" ca="1" si="21"/>
        <v>42008.205638901425</v>
      </c>
      <c r="O51" s="1912">
        <f t="shared" ca="1" si="21"/>
        <v>39105.490106062673</v>
      </c>
      <c r="P51" s="1912">
        <f t="shared" ca="1" si="21"/>
        <v>36171.897303292622</v>
      </c>
      <c r="Q51" s="1912">
        <f t="shared" ca="1" si="21"/>
        <v>33290.416307851934</v>
      </c>
      <c r="R51" s="1920"/>
      <c r="S51" s="1920"/>
      <c r="T51" s="1920"/>
      <c r="U51" s="1921"/>
      <c r="V51" s="1920"/>
      <c r="W51" s="1921"/>
      <c r="X51" s="1921"/>
    </row>
    <row r="52" spans="1:24" ht="15.75">
      <c r="A52" s="1919" t="s">
        <v>8049</v>
      </c>
      <c r="B52" s="1922"/>
      <c r="C52" s="1922">
        <f>C51-B51</f>
        <v>6469.0919999999751</v>
      </c>
      <c r="D52" s="1922">
        <f t="shared" ref="D52:Q52" si="22">D51-C51</f>
        <v>-45854.240999999995</v>
      </c>
      <c r="E52" s="1922">
        <f t="shared" si="22"/>
        <v>1839.9179999999906</v>
      </c>
      <c r="F52" s="1922">
        <f t="shared" si="22"/>
        <v>806.37000000001717</v>
      </c>
      <c r="G52" s="1922">
        <f t="shared" si="22"/>
        <v>-7137.4760000000024</v>
      </c>
      <c r="H52" s="1922">
        <f t="shared" ca="1" si="22"/>
        <v>-401.00507121938426</v>
      </c>
      <c r="I52" s="1922">
        <f t="shared" ca="1" si="22"/>
        <v>688.54639249867614</v>
      </c>
      <c r="J52" s="1922">
        <f t="shared" ca="1" si="22"/>
        <v>453.84317481187463</v>
      </c>
      <c r="K52" s="1922">
        <f t="shared" ca="1" si="22"/>
        <v>-1507.3851796013332</v>
      </c>
      <c r="L52" s="1922">
        <f t="shared" ca="1" si="22"/>
        <v>-1922.0805703113219</v>
      </c>
      <c r="M52" s="1922">
        <f t="shared" ca="1" si="22"/>
        <v>-2316.4412474834826</v>
      </c>
      <c r="N52" s="1922">
        <f t="shared" ca="1" si="22"/>
        <v>-2605.7838597936061</v>
      </c>
      <c r="O52" s="1922">
        <f t="shared" ca="1" si="22"/>
        <v>-2902.7155328387526</v>
      </c>
      <c r="P52" s="1922">
        <f t="shared" ca="1" si="22"/>
        <v>-2933.5928027700502</v>
      </c>
      <c r="Q52" s="1922">
        <f t="shared" ca="1" si="22"/>
        <v>-2881.4809954406883</v>
      </c>
      <c r="R52" s="1920"/>
      <c r="S52" s="1920"/>
      <c r="T52" s="1920"/>
      <c r="U52" s="1920"/>
      <c r="V52" s="1920"/>
      <c r="W52" s="1921"/>
      <c r="X52" s="1921"/>
    </row>
    <row r="53" spans="1:24">
      <c r="A53" s="1920"/>
      <c r="B53" s="1921"/>
      <c r="C53" s="1921"/>
      <c r="D53" s="1921"/>
      <c r="E53" s="1921"/>
      <c r="F53" s="1921"/>
      <c r="G53" s="1921"/>
      <c r="H53" s="1921"/>
      <c r="I53" s="1921"/>
      <c r="J53" s="1921"/>
      <c r="K53" s="1920"/>
      <c r="L53" s="1920"/>
      <c r="M53" s="1920"/>
      <c r="N53" s="1920"/>
      <c r="O53" s="1920"/>
      <c r="P53" s="1920"/>
      <c r="Q53" s="1920"/>
      <c r="R53" s="1920"/>
      <c r="S53" s="1920"/>
      <c r="T53" s="1920"/>
      <c r="U53" s="1920"/>
      <c r="V53" s="1920"/>
      <c r="W53" s="1921"/>
      <c r="X53" s="1921"/>
    </row>
    <row r="54" spans="1:24">
      <c r="A54" s="1920"/>
      <c r="B54" s="1921"/>
      <c r="C54" s="1921"/>
      <c r="D54" s="1921"/>
      <c r="E54" s="1921"/>
      <c r="F54" s="1921"/>
      <c r="G54" s="1921"/>
      <c r="H54" s="1921"/>
      <c r="I54" s="1921"/>
      <c r="J54" s="1921"/>
      <c r="K54" s="1920"/>
      <c r="L54" s="1920"/>
      <c r="M54" s="1920"/>
      <c r="N54" s="1920"/>
      <c r="O54" s="1920"/>
      <c r="P54" s="1920"/>
      <c r="Q54" s="1920"/>
      <c r="R54" s="1920"/>
      <c r="S54" s="1920"/>
      <c r="T54" s="1920"/>
      <c r="U54" s="1920"/>
      <c r="V54" s="1920"/>
      <c r="W54" s="1921"/>
      <c r="X54" s="1921"/>
    </row>
    <row r="55" spans="1:24">
      <c r="A55" s="1920"/>
      <c r="B55" s="1921"/>
      <c r="C55" s="1921"/>
      <c r="D55" s="1921"/>
      <c r="E55" s="1921"/>
      <c r="F55" s="1921"/>
      <c r="G55" s="1921"/>
      <c r="H55" s="1921"/>
      <c r="I55" s="1921"/>
      <c r="J55" s="1921"/>
      <c r="K55" s="1920"/>
      <c r="L55" s="1920"/>
      <c r="M55" s="1920"/>
      <c r="N55" s="1920"/>
      <c r="O55" s="1920"/>
      <c r="P55" s="1920"/>
      <c r="Q55" s="1920"/>
      <c r="R55" s="1920"/>
      <c r="S55" s="1920"/>
      <c r="T55" s="1920"/>
      <c r="U55" s="1920"/>
      <c r="V55" s="1920"/>
      <c r="W55" s="1921"/>
      <c r="X55" s="1921"/>
    </row>
    <row r="56" spans="1:24" ht="15.75">
      <c r="A56" s="1907" t="s">
        <v>8051</v>
      </c>
      <c r="B56" s="1908"/>
      <c r="C56" s="1908"/>
      <c r="D56" s="1908"/>
      <c r="E56" s="1908"/>
      <c r="F56" s="1908"/>
      <c r="G56" s="1908"/>
      <c r="H56" s="1908"/>
      <c r="I56" s="1908"/>
      <c r="J56" s="1908"/>
      <c r="K56" s="1908"/>
      <c r="L56" s="1908"/>
      <c r="M56" s="1908"/>
      <c r="N56" s="1908"/>
      <c r="O56" s="1908"/>
      <c r="P56" s="1908"/>
      <c r="Q56" s="1908"/>
      <c r="R56" s="1908"/>
      <c r="S56" s="1920"/>
      <c r="T56" s="1920"/>
      <c r="U56" s="1920"/>
      <c r="V56" s="1920"/>
      <c r="W56" s="1921"/>
      <c r="X56" s="1921"/>
    </row>
    <row r="57" spans="1:24" ht="16.5" thickBot="1">
      <c r="A57" s="1909" t="s">
        <v>662</v>
      </c>
      <c r="B57" s="1910">
        <v>2025</v>
      </c>
      <c r="C57" s="1910">
        <v>2026</v>
      </c>
      <c r="D57" s="1910">
        <v>2027</v>
      </c>
      <c r="E57" s="1910">
        <v>2028</v>
      </c>
      <c r="F57" s="1910">
        <v>2029</v>
      </c>
      <c r="G57" s="1910">
        <v>2030</v>
      </c>
      <c r="H57" s="1910">
        <v>2031</v>
      </c>
      <c r="I57" s="1910">
        <v>2032</v>
      </c>
      <c r="J57" s="1910">
        <v>2033</v>
      </c>
      <c r="K57" s="1910">
        <v>2034</v>
      </c>
      <c r="L57" s="1910">
        <v>2035</v>
      </c>
      <c r="M57" s="1910">
        <v>2036</v>
      </c>
      <c r="N57" s="1910">
        <v>2037</v>
      </c>
      <c r="O57" s="1910">
        <v>2038</v>
      </c>
      <c r="P57" s="1910">
        <v>2039</v>
      </c>
      <c r="Q57" s="1910">
        <v>2040</v>
      </c>
      <c r="R57" s="1910" t="s">
        <v>8066</v>
      </c>
      <c r="S57" s="1920"/>
      <c r="T57" s="1920"/>
      <c r="U57" s="1920"/>
      <c r="V57" s="1920"/>
      <c r="W57" s="1921"/>
      <c r="X57" s="1921"/>
    </row>
    <row r="58" spans="1:24" ht="15.75">
      <c r="A58" s="1919"/>
      <c r="B58" s="1922">
        <f>B59*$C$63</f>
        <v>0</v>
      </c>
      <c r="C58" s="1922">
        <f t="shared" ref="C58:R58" si="23">C59*$C$63</f>
        <v>3729.4115999999999</v>
      </c>
      <c r="D58" s="1922">
        <f t="shared" si="23"/>
        <v>4500</v>
      </c>
      <c r="E58" s="1922">
        <f t="shared" si="23"/>
        <v>0</v>
      </c>
      <c r="F58" s="1922">
        <f t="shared" si="23"/>
        <v>0</v>
      </c>
      <c r="G58" s="1922">
        <f t="shared" si="23"/>
        <v>0</v>
      </c>
      <c r="H58" s="1922">
        <f t="shared" si="23"/>
        <v>0</v>
      </c>
      <c r="I58" s="1922">
        <f t="shared" si="23"/>
        <v>5394</v>
      </c>
      <c r="J58" s="1922">
        <f t="shared" si="23"/>
        <v>0</v>
      </c>
      <c r="K58" s="1922">
        <f t="shared" si="23"/>
        <v>0</v>
      </c>
      <c r="L58" s="1922">
        <f t="shared" si="23"/>
        <v>0</v>
      </c>
      <c r="M58" s="1922">
        <f t="shared" si="23"/>
        <v>0</v>
      </c>
      <c r="N58" s="1922">
        <f t="shared" si="23"/>
        <v>4469.1000000000004</v>
      </c>
      <c r="O58" s="1922">
        <f t="shared" si="23"/>
        <v>0</v>
      </c>
      <c r="P58" s="1922">
        <f t="shared" si="23"/>
        <v>0</v>
      </c>
      <c r="Q58" s="1922">
        <f t="shared" si="23"/>
        <v>10779.01</v>
      </c>
      <c r="R58" s="1922">
        <f t="shared" si="23"/>
        <v>48413.357799999998</v>
      </c>
      <c r="S58" s="1920"/>
      <c r="T58" s="1920"/>
      <c r="U58" s="1920"/>
      <c r="V58" s="1920"/>
      <c r="W58" s="1921"/>
      <c r="X58" s="1921"/>
    </row>
    <row r="59" spans="1:24" ht="15.75">
      <c r="A59" s="1919" t="s">
        <v>10</v>
      </c>
      <c r="B59" s="1922"/>
      <c r="C59" s="1922">
        <f>B62/B63</f>
        <v>207.42</v>
      </c>
      <c r="D59" s="1922">
        <f>C62/C63</f>
        <v>250.27808676307006</v>
      </c>
      <c r="F59" s="1922"/>
      <c r="G59" s="1922"/>
      <c r="H59" s="1922"/>
      <c r="I59" s="1922">
        <f>D62/D63</f>
        <v>300</v>
      </c>
      <c r="K59" s="1922"/>
      <c r="L59" s="1922"/>
      <c r="M59" s="1922"/>
      <c r="N59" s="1922">
        <f>E62/E63</f>
        <v>248.55951056729702</v>
      </c>
      <c r="P59" s="1922"/>
      <c r="Q59" s="1922">
        <f>F62/F63</f>
        <v>599.5</v>
      </c>
      <c r="R59" s="1920">
        <f>G62/G63+H62+I62+J62</f>
        <v>2692.6227919911012</v>
      </c>
      <c r="S59" s="1920"/>
      <c r="T59" s="1946">
        <f>SUM(B59:R59)</f>
        <v>4298.3803893214681</v>
      </c>
      <c r="U59" s="1946">
        <f>G50/G63</f>
        <v>4782.7704115684091</v>
      </c>
      <c r="V59" s="1920"/>
      <c r="W59" s="1921"/>
      <c r="X59" s="1921"/>
    </row>
    <row r="60" spans="1:24" ht="15.75">
      <c r="A60" s="1919"/>
      <c r="B60" s="1922"/>
      <c r="C60" s="1922"/>
      <c r="D60" s="1922"/>
      <c r="E60" s="1922"/>
      <c r="F60" s="1922"/>
      <c r="G60" s="1922"/>
      <c r="H60" s="1922"/>
      <c r="I60" s="1922"/>
      <c r="J60" s="1922"/>
      <c r="K60" s="1922"/>
      <c r="L60" s="1922"/>
      <c r="M60" s="1922"/>
      <c r="N60" s="1922"/>
      <c r="O60" s="1922"/>
      <c r="P60" s="1922"/>
      <c r="Q60" s="1922"/>
      <c r="R60" s="1920"/>
      <c r="S60" s="1920"/>
      <c r="T60" s="1920"/>
      <c r="U60" s="1920"/>
      <c r="V60" s="1920"/>
      <c r="W60" s="1921"/>
      <c r="X60" s="1921"/>
    </row>
    <row r="61" spans="1:24" ht="15.75">
      <c r="A61" s="1952"/>
      <c r="B61" s="1953" t="s">
        <v>1956</v>
      </c>
      <c r="C61" s="1953" t="s">
        <v>1957</v>
      </c>
      <c r="D61" s="1953" t="s">
        <v>1959</v>
      </c>
      <c r="E61" s="1953" t="s">
        <v>8060</v>
      </c>
      <c r="F61" s="1953" t="s">
        <v>8061</v>
      </c>
      <c r="G61" s="1953" t="s">
        <v>8062</v>
      </c>
      <c r="H61" s="1953" t="s">
        <v>8063</v>
      </c>
      <c r="I61" s="1953" t="s">
        <v>8064</v>
      </c>
      <c r="J61" s="1953" t="s">
        <v>8065</v>
      </c>
      <c r="K61" s="1922"/>
      <c r="L61" s="1922"/>
      <c r="M61" s="1922"/>
      <c r="N61" s="1922"/>
      <c r="O61" s="1922"/>
      <c r="P61" s="1922"/>
      <c r="Q61" s="1922"/>
      <c r="R61" s="1920"/>
      <c r="S61" s="1920"/>
      <c r="T61" s="1920"/>
      <c r="U61" s="1920"/>
      <c r="V61" s="1920"/>
      <c r="W61" s="1921"/>
      <c r="X61" s="1921"/>
    </row>
    <row r="62" spans="1:24" ht="15.75">
      <c r="A62" s="1925"/>
      <c r="B62" s="1926">
        <v>207.42</v>
      </c>
      <c r="C62" s="1926">
        <v>4500</v>
      </c>
      <c r="D62" s="1926">
        <v>300</v>
      </c>
      <c r="E62" s="1926">
        <v>4469.1000000000004</v>
      </c>
      <c r="F62" s="1926">
        <v>599.5</v>
      </c>
      <c r="G62" s="1926">
        <v>6500</v>
      </c>
      <c r="H62" s="1926">
        <v>790.61</v>
      </c>
      <c r="I62" s="1926">
        <v>879.572</v>
      </c>
      <c r="J62" s="1926">
        <v>660.928</v>
      </c>
      <c r="K62" s="1925"/>
      <c r="L62" s="1925"/>
      <c r="M62" s="1925"/>
      <c r="N62" s="1925"/>
      <c r="O62" s="1925"/>
      <c r="P62" s="1925"/>
      <c r="Q62" s="1925"/>
      <c r="R62" s="1920"/>
      <c r="S62" s="1920"/>
      <c r="T62" s="1920"/>
      <c r="U62" s="1920"/>
      <c r="V62" s="1920"/>
      <c r="W62" s="1921"/>
      <c r="X62" s="1921"/>
    </row>
    <row r="63" spans="1:24" ht="15.75">
      <c r="A63" s="1925"/>
      <c r="B63" s="1926">
        <v>1</v>
      </c>
      <c r="C63" s="1926">
        <v>17.98</v>
      </c>
      <c r="D63" s="1926">
        <v>1</v>
      </c>
      <c r="E63" s="1926">
        <v>17.98</v>
      </c>
      <c r="F63" s="1926">
        <v>1</v>
      </c>
      <c r="G63" s="1926">
        <v>17.98</v>
      </c>
      <c r="H63" s="1926">
        <v>1</v>
      </c>
      <c r="I63" s="1926">
        <v>1</v>
      </c>
      <c r="J63" s="1926">
        <v>1</v>
      </c>
      <c r="K63" s="1925"/>
      <c r="L63" s="1925"/>
      <c r="M63" s="1925"/>
      <c r="N63" s="1925"/>
      <c r="O63" s="1925"/>
      <c r="P63" s="1925"/>
      <c r="Q63" s="1925"/>
      <c r="R63" s="1920"/>
      <c r="S63" s="1920"/>
      <c r="T63" s="1920"/>
      <c r="U63" s="1920"/>
      <c r="V63" s="1920"/>
      <c r="W63" s="1921"/>
      <c r="X63" s="1921"/>
    </row>
    <row r="64" spans="1:24" ht="15.75">
      <c r="A64" s="1925"/>
      <c r="K64" s="1925"/>
      <c r="L64" s="1925"/>
      <c r="M64" s="1925"/>
      <c r="N64" s="1925"/>
      <c r="O64" s="1925"/>
      <c r="P64" s="1925"/>
      <c r="Q64" s="1925"/>
      <c r="R64" s="1920"/>
      <c r="S64" s="1920"/>
      <c r="T64" s="1920"/>
      <c r="U64" s="1920"/>
      <c r="V64" s="1920"/>
      <c r="W64" s="1921"/>
      <c r="X64" s="1921"/>
    </row>
    <row r="65" spans="1:27" ht="15.75">
      <c r="A65" t="s">
        <v>8068</v>
      </c>
      <c r="B65" s="1954">
        <v>2025</v>
      </c>
      <c r="C65" s="1953">
        <v>2026</v>
      </c>
      <c r="D65" s="1953">
        <v>2027</v>
      </c>
      <c r="E65" s="1953">
        <v>2028</v>
      </c>
      <c r="F65" s="1953">
        <v>2029</v>
      </c>
      <c r="G65" s="1953">
        <v>2030</v>
      </c>
      <c r="H65" s="1953">
        <v>2031</v>
      </c>
      <c r="I65" s="1953">
        <v>2032</v>
      </c>
      <c r="J65" s="1953">
        <v>2033</v>
      </c>
      <c r="K65" s="1953">
        <v>2034</v>
      </c>
      <c r="L65" s="1953">
        <v>2035</v>
      </c>
      <c r="M65" s="1953">
        <v>2036</v>
      </c>
      <c r="N65" s="1953">
        <v>2037</v>
      </c>
      <c r="O65" s="1953">
        <v>2038</v>
      </c>
      <c r="P65" s="1953">
        <v>2039</v>
      </c>
      <c r="Q65" s="1953">
        <v>2040</v>
      </c>
      <c r="R65" s="1953">
        <v>2041</v>
      </c>
      <c r="S65" s="1953">
        <v>2042</v>
      </c>
      <c r="T65" s="1953">
        <v>2043</v>
      </c>
      <c r="U65" s="1953">
        <v>2044</v>
      </c>
      <c r="V65" s="1953">
        <v>2045</v>
      </c>
      <c r="W65" s="1953">
        <v>2046</v>
      </c>
      <c r="X65" s="1953">
        <v>2047</v>
      </c>
      <c r="Y65" s="1953">
        <v>2048</v>
      </c>
      <c r="Z65" s="1953">
        <v>2049</v>
      </c>
      <c r="AA65" s="1953">
        <v>2050</v>
      </c>
    </row>
    <row r="66" spans="1:27" ht="15.75">
      <c r="B66" s="1922">
        <v>4579.5</v>
      </c>
      <c r="C66" s="1922">
        <f>4328.7+2650</f>
        <v>6978.7</v>
      </c>
      <c r="D66" s="1922">
        <v>4500</v>
      </c>
      <c r="E66" s="1922"/>
      <c r="F66" s="1922">
        <v>10000</v>
      </c>
      <c r="G66" s="1922"/>
      <c r="H66" s="1922"/>
      <c r="I66" s="1922">
        <v>6260.7</v>
      </c>
      <c r="J66" s="1922"/>
      <c r="K66" s="1922"/>
      <c r="L66" s="1922"/>
      <c r="M66" s="1922"/>
      <c r="N66" s="1922">
        <v>4500</v>
      </c>
      <c r="O66" s="1922"/>
      <c r="P66" s="1922"/>
      <c r="Q66" s="1922">
        <v>12521</v>
      </c>
      <c r="R66" s="1922"/>
      <c r="S66" s="1922"/>
      <c r="T66" s="1922">
        <v>6225.7</v>
      </c>
      <c r="U66" s="1922"/>
      <c r="V66" s="1922">
        <v>16499.3</v>
      </c>
      <c r="W66" s="1922">
        <v>18355.900000000001</v>
      </c>
      <c r="X66" s="1922"/>
      <c r="Y66" s="1922"/>
      <c r="Z66" s="1922">
        <v>13793</v>
      </c>
      <c r="AA66" s="1922"/>
    </row>
    <row r="67" spans="1:27" ht="15.75">
      <c r="A67" s="1925"/>
      <c r="B67" s="1926">
        <v>17.98</v>
      </c>
      <c r="C67" s="1926">
        <v>18.98</v>
      </c>
      <c r="D67" s="1926">
        <v>19.98</v>
      </c>
      <c r="E67" s="1926">
        <v>20.98</v>
      </c>
      <c r="F67" s="1926">
        <v>21.98</v>
      </c>
      <c r="G67" s="1926">
        <v>22.98</v>
      </c>
      <c r="H67" s="1926">
        <v>23.98</v>
      </c>
      <c r="I67" s="1926">
        <v>24.98</v>
      </c>
      <c r="J67" s="1926">
        <v>25.98</v>
      </c>
      <c r="K67" s="1926">
        <v>26.98</v>
      </c>
      <c r="L67" s="1926">
        <v>27.98</v>
      </c>
      <c r="M67" s="1926">
        <v>28.98</v>
      </c>
      <c r="N67" s="1926">
        <v>29.98</v>
      </c>
      <c r="O67" s="1926">
        <v>30.98</v>
      </c>
      <c r="P67" s="1926">
        <v>31.98</v>
      </c>
      <c r="Q67" s="1926">
        <v>32.979999999999997</v>
      </c>
      <c r="R67" s="1926">
        <v>33.979999999999997</v>
      </c>
      <c r="S67" s="1926">
        <v>34.979999999999997</v>
      </c>
      <c r="T67" s="1926">
        <v>35.979999999999997</v>
      </c>
      <c r="U67" s="1926">
        <v>36.979999999999997</v>
      </c>
      <c r="V67" s="1926">
        <v>37.979999999999997</v>
      </c>
      <c r="W67" s="1926">
        <v>38.979999999999997</v>
      </c>
      <c r="X67" s="1926">
        <v>39.979999999999997</v>
      </c>
      <c r="Y67" s="1926">
        <v>40.98</v>
      </c>
      <c r="Z67" s="1926">
        <v>41.98</v>
      </c>
      <c r="AA67" s="1926">
        <v>42.98</v>
      </c>
    </row>
    <row r="68" spans="1:27" ht="15.75">
      <c r="A68" s="1925"/>
      <c r="B68" s="1922">
        <f>B66/B67</f>
        <v>254.6996662958843</v>
      </c>
      <c r="C68" s="1922">
        <f t="shared" ref="C68:AA68" si="24">C66/C67</f>
        <v>367.68703898840886</v>
      </c>
      <c r="D68" s="1922">
        <f t="shared" si="24"/>
        <v>225.22522522522522</v>
      </c>
      <c r="E68" s="1922">
        <f t="shared" si="24"/>
        <v>0</v>
      </c>
      <c r="F68" s="1922">
        <f t="shared" si="24"/>
        <v>454.95905368516833</v>
      </c>
      <c r="G68" s="1922">
        <f t="shared" si="24"/>
        <v>0</v>
      </c>
      <c r="H68" s="1922">
        <f t="shared" si="24"/>
        <v>0</v>
      </c>
      <c r="I68" s="1922">
        <f t="shared" si="24"/>
        <v>250.62850280224177</v>
      </c>
      <c r="J68" s="1922">
        <f t="shared" si="24"/>
        <v>0</v>
      </c>
      <c r="K68" s="1922">
        <f t="shared" si="24"/>
        <v>0</v>
      </c>
      <c r="L68" s="1922">
        <f t="shared" si="24"/>
        <v>0</v>
      </c>
      <c r="M68" s="1922">
        <f t="shared" si="24"/>
        <v>0</v>
      </c>
      <c r="N68" s="1922">
        <f t="shared" si="24"/>
        <v>150.10006671114076</v>
      </c>
      <c r="O68" s="1922">
        <f t="shared" si="24"/>
        <v>0</v>
      </c>
      <c r="P68" s="1922">
        <f t="shared" si="24"/>
        <v>0</v>
      </c>
      <c r="Q68" s="1922">
        <f t="shared" si="24"/>
        <v>379.65433596118862</v>
      </c>
      <c r="R68" s="1922">
        <f t="shared" si="24"/>
        <v>0</v>
      </c>
      <c r="S68" s="1922">
        <f t="shared" si="24"/>
        <v>0</v>
      </c>
      <c r="T68" s="1922">
        <f t="shared" si="24"/>
        <v>173.03224013340747</v>
      </c>
      <c r="U68" s="1922">
        <f t="shared" si="24"/>
        <v>0</v>
      </c>
      <c r="V68" s="1922">
        <f t="shared" si="24"/>
        <v>434.42074776198001</v>
      </c>
      <c r="W68" s="1922">
        <f t="shared" si="24"/>
        <v>470.90559261159575</v>
      </c>
      <c r="X68" s="1922">
        <f t="shared" si="24"/>
        <v>0</v>
      </c>
      <c r="Y68" s="1922">
        <f t="shared" si="24"/>
        <v>0</v>
      </c>
      <c r="Z68" s="1922">
        <f t="shared" si="24"/>
        <v>328.5612196283945</v>
      </c>
      <c r="AA68" s="1922">
        <f t="shared" si="24"/>
        <v>0</v>
      </c>
    </row>
    <row r="69" spans="1:27" ht="15.75">
      <c r="A69" s="1925"/>
      <c r="B69" s="1926"/>
      <c r="C69" s="1926"/>
      <c r="D69" s="1926"/>
      <c r="E69" s="1926"/>
      <c r="F69" s="1926"/>
      <c r="G69" s="1926"/>
      <c r="H69" s="1926"/>
      <c r="I69" s="1926"/>
      <c r="J69" s="1926"/>
      <c r="K69" s="1925"/>
      <c r="L69" s="1925"/>
      <c r="M69" s="1925"/>
      <c r="N69" s="1925"/>
      <c r="O69" s="1925"/>
      <c r="P69" s="1925"/>
      <c r="Q69" s="1925"/>
      <c r="R69" s="1920"/>
      <c r="S69" s="1920"/>
      <c r="T69" s="1920"/>
      <c r="U69" s="1920"/>
      <c r="V69" s="1920"/>
      <c r="W69" s="1921"/>
      <c r="X69" s="1921"/>
    </row>
    <row r="70" spans="1:27" ht="15.75">
      <c r="A70" s="1925"/>
      <c r="B70" s="1926"/>
      <c r="C70" s="1926"/>
      <c r="D70" s="1926"/>
      <c r="E70" s="1926"/>
      <c r="F70" s="1926"/>
      <c r="G70" s="1926"/>
      <c r="H70" s="1926"/>
      <c r="I70" s="1926"/>
      <c r="J70" s="1926"/>
      <c r="K70" s="1925"/>
      <c r="L70" s="1925"/>
      <c r="M70" s="1925"/>
      <c r="N70" s="1925"/>
      <c r="O70" s="1925"/>
      <c r="P70" s="1925"/>
      <c r="Q70" s="1925"/>
      <c r="R70" s="1920"/>
      <c r="S70" s="1920"/>
      <c r="T70" s="1920"/>
      <c r="U70" s="1920"/>
      <c r="V70" s="1920"/>
      <c r="W70" s="1921"/>
      <c r="X70" s="1921"/>
    </row>
    <row r="71" spans="1:27" ht="15.75">
      <c r="A71" s="1925"/>
      <c r="B71" s="1926"/>
      <c r="C71" s="1926"/>
      <c r="D71" s="1926"/>
      <c r="E71" s="1926"/>
      <c r="F71" s="1926"/>
      <c r="G71" s="1926"/>
      <c r="H71" s="1926"/>
      <c r="I71" s="1926"/>
      <c r="J71" s="1926"/>
      <c r="K71" s="1925"/>
      <c r="L71" s="1925"/>
      <c r="M71" s="1925"/>
      <c r="N71" s="1925"/>
      <c r="O71" s="1925"/>
      <c r="P71" s="1925"/>
      <c r="Q71" s="1925"/>
      <c r="R71" s="1920"/>
      <c r="S71" s="1920"/>
      <c r="T71" s="1920"/>
      <c r="U71" s="1920"/>
      <c r="V71" s="1920"/>
      <c r="W71" s="1921"/>
      <c r="X71" s="1921"/>
    </row>
    <row r="72" spans="1:27" ht="15.75">
      <c r="A72" s="1925"/>
      <c r="B72" s="1926"/>
      <c r="C72" s="1926"/>
      <c r="D72" s="1926"/>
      <c r="E72" s="1926"/>
      <c r="F72" s="1926"/>
      <c r="G72" s="1926"/>
      <c r="H72" s="1926"/>
      <c r="I72" s="1926"/>
      <c r="J72" s="1926"/>
      <c r="K72" s="1925"/>
      <c r="L72" s="1925"/>
      <c r="M72" s="1925"/>
      <c r="N72" s="1925"/>
      <c r="O72" s="1925"/>
      <c r="P72" s="1925"/>
      <c r="Q72" s="1925"/>
      <c r="R72" s="1920"/>
      <c r="S72" s="1920"/>
      <c r="T72" s="1920"/>
      <c r="U72" s="1920"/>
      <c r="V72" s="1920"/>
      <c r="W72" s="1921"/>
      <c r="X72" s="1921"/>
    </row>
    <row r="73" spans="1:27" ht="15.75">
      <c r="A73" s="1907" t="s">
        <v>2298</v>
      </c>
      <c r="B73" s="1908"/>
      <c r="C73" s="1908"/>
      <c r="D73" s="1908"/>
      <c r="E73" s="1908"/>
      <c r="F73" s="1926"/>
      <c r="G73" s="1926"/>
      <c r="H73" s="1926"/>
      <c r="I73" s="1926"/>
      <c r="J73" s="1926"/>
      <c r="K73" s="1925"/>
      <c r="L73" s="1925"/>
      <c r="M73" s="1925"/>
      <c r="N73" s="1925"/>
      <c r="O73" s="1925"/>
      <c r="P73" s="1925"/>
      <c r="Q73" s="1925"/>
      <c r="R73" s="1920"/>
      <c r="S73" s="1920"/>
      <c r="T73" s="1920"/>
      <c r="U73" s="1920"/>
      <c r="V73" s="1920"/>
      <c r="W73" s="1920"/>
      <c r="X73" s="1920"/>
    </row>
    <row r="74" spans="1:27" ht="16.5" thickBot="1">
      <c r="A74" s="1909" t="s">
        <v>662</v>
      </c>
      <c r="B74" s="1910"/>
      <c r="C74" s="1910"/>
      <c r="D74" s="1910"/>
      <c r="E74" s="1910"/>
      <c r="F74" s="1926"/>
      <c r="G74" s="1926"/>
      <c r="H74" s="1926"/>
      <c r="I74" s="1926"/>
      <c r="J74" s="1926"/>
      <c r="K74" s="1925"/>
      <c r="L74" s="1925"/>
      <c r="M74" s="1925"/>
      <c r="N74" s="1925"/>
      <c r="O74" s="1925"/>
      <c r="P74" s="1925"/>
      <c r="Q74" s="1925"/>
      <c r="R74" s="1920"/>
      <c r="S74" s="1920"/>
      <c r="T74" s="1920"/>
      <c r="U74" s="1920"/>
      <c r="V74" s="1920"/>
      <c r="W74" s="1920"/>
      <c r="X74" s="1920"/>
    </row>
    <row r="75" spans="1:27" ht="15.75">
      <c r="A75" s="1911" t="s">
        <v>110</v>
      </c>
      <c r="B75" s="1911"/>
      <c r="C75" s="1911"/>
      <c r="D75" s="1927">
        <f>SOP!L75</f>
        <v>0.12494000000000001</v>
      </c>
      <c r="E75" s="1911"/>
      <c r="F75" s="1926"/>
      <c r="G75" s="1926"/>
      <c r="H75" s="1926"/>
      <c r="I75" s="1926"/>
      <c r="J75" s="1926"/>
      <c r="K75" s="1925"/>
      <c r="L75" s="1925"/>
      <c r="M75" s="1925"/>
      <c r="N75" s="1925"/>
      <c r="O75" s="1925"/>
      <c r="P75" s="1925"/>
      <c r="Q75" s="1925"/>
      <c r="R75" s="1920"/>
      <c r="S75" s="1920"/>
      <c r="T75" s="1920"/>
      <c r="U75" s="1920"/>
      <c r="V75" s="1920"/>
      <c r="W75" s="1920"/>
      <c r="X75" s="1920"/>
    </row>
    <row r="76" spans="1:27" ht="15.75">
      <c r="A76" s="1913" t="s">
        <v>8052</v>
      </c>
      <c r="B76" s="1913"/>
      <c r="C76" s="1913"/>
      <c r="D76" s="1928">
        <f>SOP!D85</f>
        <v>0.01</v>
      </c>
      <c r="E76" s="1913"/>
      <c r="F76" s="1926"/>
      <c r="G76" s="1926"/>
      <c r="H76" s="1926"/>
      <c r="I76" s="1926"/>
      <c r="J76" s="1926"/>
      <c r="K76" s="1925"/>
      <c r="L76" s="1925"/>
      <c r="M76" s="1925"/>
      <c r="N76" s="1925"/>
      <c r="O76" s="1925"/>
      <c r="P76" s="1925"/>
      <c r="Q76" s="1925"/>
      <c r="R76" s="1920"/>
      <c r="S76" s="1920"/>
      <c r="T76" s="1920"/>
      <c r="U76" s="1920"/>
      <c r="V76" s="1920"/>
      <c r="W76" s="1920"/>
      <c r="X76" s="1920"/>
    </row>
    <row r="77" spans="1:27" ht="15.75">
      <c r="A77" s="1911" t="s">
        <v>8053</v>
      </c>
      <c r="B77" s="1911"/>
      <c r="C77" s="1911"/>
      <c r="D77" s="1929">
        <f>1/(D75-D76)</f>
        <v>8.7001914042108908</v>
      </c>
      <c r="E77" s="1911"/>
      <c r="F77" s="1926"/>
      <c r="G77" s="1926"/>
      <c r="H77" s="1926"/>
      <c r="I77" s="1926"/>
      <c r="J77" s="1926"/>
      <c r="K77" s="1925"/>
      <c r="L77" s="1925"/>
      <c r="M77" s="1925"/>
      <c r="N77" s="1925"/>
      <c r="O77" s="1925"/>
      <c r="P77" s="1925"/>
      <c r="Q77" s="1925"/>
      <c r="R77" s="1920"/>
      <c r="S77" s="1920"/>
      <c r="T77" s="1920"/>
      <c r="U77" s="1920"/>
      <c r="V77" s="1920"/>
      <c r="W77" s="1920"/>
      <c r="X77" s="1920"/>
    </row>
    <row r="78" spans="1:27" ht="15.75">
      <c r="A78" s="1913" t="s">
        <v>7831</v>
      </c>
      <c r="B78" s="1930"/>
      <c r="C78" s="1930"/>
      <c r="D78" s="1931"/>
      <c r="E78" s="1930"/>
      <c r="F78" s="1926"/>
      <c r="G78" s="1926"/>
      <c r="H78" s="1926"/>
      <c r="I78" s="1926"/>
      <c r="J78" s="1926"/>
      <c r="K78" s="1925"/>
      <c r="L78" s="1925"/>
      <c r="M78" s="1925"/>
      <c r="N78" s="1925"/>
      <c r="O78" s="1925"/>
      <c r="P78" s="1925"/>
      <c r="Q78" s="1925"/>
      <c r="R78" s="1920"/>
      <c r="S78" s="1920"/>
      <c r="T78" s="1920"/>
      <c r="U78" s="1920"/>
      <c r="V78" s="1920"/>
      <c r="W78" s="1920"/>
      <c r="X78" s="1920"/>
    </row>
    <row r="79" spans="1:27" ht="15.75">
      <c r="A79" s="1911" t="s">
        <v>681</v>
      </c>
      <c r="B79" s="1911"/>
      <c r="C79" s="1911"/>
      <c r="D79" s="1932"/>
      <c r="E79" s="1911"/>
      <c r="F79" s="1926"/>
      <c r="G79" s="1926"/>
      <c r="H79" s="1926"/>
      <c r="I79" s="1926"/>
      <c r="J79" s="1926"/>
      <c r="K79" s="1925"/>
      <c r="L79" s="1925"/>
      <c r="M79" s="1925"/>
      <c r="N79" s="1925"/>
      <c r="O79" s="1925"/>
      <c r="P79" s="1925"/>
      <c r="Q79" s="1925"/>
      <c r="R79" s="1920"/>
      <c r="S79" s="1920"/>
      <c r="T79" s="1920"/>
      <c r="U79" s="1920"/>
      <c r="V79" s="1920"/>
      <c r="W79" s="1920"/>
      <c r="X79" s="1920"/>
    </row>
    <row r="80" spans="1:27" ht="15.75">
      <c r="A80" s="1933" t="s">
        <v>7832</v>
      </c>
      <c r="B80" s="1933"/>
      <c r="C80" s="1933"/>
      <c r="D80" s="1934"/>
      <c r="E80" s="1913"/>
      <c r="F80" s="1926"/>
      <c r="G80" s="1926"/>
      <c r="H80" s="1926"/>
      <c r="I80" s="1926"/>
      <c r="J80" s="1926"/>
      <c r="K80" s="1925"/>
      <c r="L80" s="1925"/>
      <c r="M80" s="1925"/>
      <c r="N80" s="1925"/>
      <c r="O80" s="1925"/>
      <c r="P80" s="1925"/>
      <c r="Q80" s="1925"/>
      <c r="R80" s="1920"/>
      <c r="S80" s="1920"/>
      <c r="T80" s="1920"/>
      <c r="U80" s="1920"/>
      <c r="V80" s="1920"/>
      <c r="W80" s="1920"/>
      <c r="X80" s="1920"/>
    </row>
    <row r="81" spans="1:24" ht="15.75">
      <c r="A81" s="1935" t="s">
        <v>77</v>
      </c>
      <c r="B81" s="1911"/>
      <c r="C81" s="1911"/>
      <c r="D81" s="1936">
        <f>SOP!G27</f>
        <v>4823.8051061728574</v>
      </c>
      <c r="E81" s="1911"/>
      <c r="F81" s="1926"/>
      <c r="G81" s="1926"/>
      <c r="H81" s="1926"/>
      <c r="I81" s="1926"/>
      <c r="J81" s="1926"/>
      <c r="K81" s="1925"/>
      <c r="L81" s="1925"/>
      <c r="M81" s="1925"/>
      <c r="N81" s="1925"/>
      <c r="O81" s="1925"/>
      <c r="P81" s="1925"/>
      <c r="Q81" s="1925"/>
      <c r="R81" s="1920"/>
      <c r="S81" s="1920"/>
      <c r="T81" s="1920"/>
      <c r="U81" s="1920"/>
      <c r="V81" s="1920"/>
      <c r="W81" s="1920"/>
      <c r="X81" s="1920"/>
    </row>
    <row r="82" spans="1:24" ht="15.75">
      <c r="A82" s="1913" t="s">
        <v>8054</v>
      </c>
      <c r="B82" s="1913"/>
      <c r="C82" s="1913"/>
      <c r="D82" s="1937">
        <f ca="1">-SOP!G28</f>
        <v>-3147.336304565541</v>
      </c>
      <c r="E82" s="1913"/>
      <c r="F82" s="1926"/>
      <c r="G82" s="1926"/>
      <c r="H82" s="1926"/>
      <c r="I82" s="1926"/>
      <c r="J82" s="1926"/>
      <c r="K82" s="1925"/>
      <c r="L82" s="1925"/>
      <c r="M82" s="1925"/>
      <c r="N82" s="1925"/>
      <c r="O82" s="1925"/>
      <c r="P82" s="1925"/>
      <c r="Q82" s="1925"/>
      <c r="R82" s="1920"/>
      <c r="S82" s="1920"/>
      <c r="T82" s="1920"/>
      <c r="U82" s="1920"/>
      <c r="V82" s="1920"/>
      <c r="W82" s="1921"/>
      <c r="X82" s="1921"/>
    </row>
    <row r="83" spans="1:24" ht="15.75">
      <c r="A83" s="1938" t="s">
        <v>1040</v>
      </c>
      <c r="B83" s="1938"/>
      <c r="C83" s="1938"/>
      <c r="D83" s="1939">
        <f ca="1">D84-(D81+D82)</f>
        <v>-334.57364137009836</v>
      </c>
      <c r="E83" s="1911"/>
      <c r="F83" s="1926"/>
      <c r="G83" s="1926"/>
      <c r="H83" s="1926"/>
      <c r="I83" s="1926"/>
      <c r="J83" s="1926"/>
      <c r="K83" s="1925"/>
      <c r="L83" s="1925"/>
      <c r="M83" s="1925"/>
      <c r="N83" s="1925"/>
      <c r="O83" s="1925"/>
      <c r="P83" s="1925"/>
      <c r="Q83" s="1925"/>
      <c r="R83" s="1920"/>
      <c r="S83" s="1920"/>
      <c r="T83" s="1920"/>
      <c r="U83" s="1920"/>
      <c r="V83" s="1920"/>
      <c r="W83" s="1921"/>
      <c r="X83" s="1921"/>
    </row>
    <row r="84" spans="1:24" ht="15.75">
      <c r="A84" s="1930" t="s">
        <v>92</v>
      </c>
      <c r="B84" s="1913"/>
      <c r="C84" s="1913"/>
      <c r="D84" s="1940">
        <f ca="1">SOP!G31</f>
        <v>1341.8951602372181</v>
      </c>
      <c r="E84" s="1913"/>
      <c r="F84" s="1926"/>
      <c r="G84" s="1926"/>
      <c r="H84" s="1926"/>
      <c r="I84" s="1926"/>
      <c r="J84" s="1926"/>
      <c r="K84" s="1925"/>
      <c r="L84" s="1925"/>
      <c r="M84" s="1925"/>
      <c r="N84" s="1925"/>
      <c r="O84" s="1925"/>
      <c r="P84" s="1925"/>
      <c r="Q84" s="1925"/>
      <c r="R84" s="1920"/>
      <c r="S84" s="1920"/>
      <c r="T84" s="1920"/>
      <c r="U84" s="1920"/>
      <c r="V84" s="1920"/>
      <c r="W84" s="1921"/>
      <c r="X84" s="1921"/>
    </row>
    <row r="85" spans="1:24" ht="15.75">
      <c r="A85" s="1911" t="s">
        <v>8055</v>
      </c>
      <c r="B85" s="1911"/>
      <c r="C85" s="1911"/>
      <c r="D85" s="1941">
        <f ca="1">D84/(D81+D83)</f>
        <v>0.29891422858415173</v>
      </c>
      <c r="E85" s="1911"/>
      <c r="F85" s="1926"/>
      <c r="G85" s="1926"/>
      <c r="H85" s="1926"/>
      <c r="I85" s="1926"/>
      <c r="J85" s="1926"/>
      <c r="K85" s="1925"/>
      <c r="L85" s="1925"/>
      <c r="M85" s="1925"/>
      <c r="N85" s="1925"/>
      <c r="O85" s="1925"/>
      <c r="P85" s="1925"/>
      <c r="Q85" s="1925"/>
      <c r="R85" s="1920"/>
      <c r="S85" s="1920"/>
      <c r="T85" s="1920"/>
      <c r="U85" s="1920"/>
      <c r="V85" s="1920"/>
      <c r="W85" s="1921"/>
      <c r="X85" s="1921"/>
    </row>
    <row r="86" spans="1:24" ht="16.5" thickBot="1">
      <c r="A86" s="1913" t="s">
        <v>8056</v>
      </c>
      <c r="B86" s="1930"/>
      <c r="C86" s="1930"/>
      <c r="D86" s="1942">
        <f ca="1">D81+D83</f>
        <v>4489.2314648027586</v>
      </c>
      <c r="E86" s="1930"/>
      <c r="F86" s="1926"/>
      <c r="G86" s="1926"/>
      <c r="H86" s="1926"/>
      <c r="I86" s="1926"/>
      <c r="J86" s="1926"/>
      <c r="K86" s="1925"/>
      <c r="L86" s="1925"/>
      <c r="M86" s="1925"/>
      <c r="N86" s="1925"/>
      <c r="O86" s="1925"/>
      <c r="P86" s="1925"/>
      <c r="Q86" s="1925"/>
      <c r="R86" s="1920"/>
      <c r="S86" s="1920"/>
      <c r="T86" s="1920"/>
      <c r="U86" s="1920"/>
      <c r="V86" s="1920"/>
      <c r="W86" s="1921"/>
      <c r="X86" s="1921"/>
    </row>
    <row r="87" spans="1:24" ht="16.5" thickBot="1">
      <c r="A87" s="1935" t="s">
        <v>8057</v>
      </c>
      <c r="B87" s="1911"/>
      <c r="C87" s="1911"/>
      <c r="D87" s="1943">
        <f ca="1">D86/-D82</f>
        <v>1.426359000241143</v>
      </c>
      <c r="E87" s="1911"/>
      <c r="F87" s="1926"/>
      <c r="G87" s="1926"/>
      <c r="H87" s="1926"/>
      <c r="I87" s="1926"/>
      <c r="J87" s="1926"/>
      <c r="K87" s="1925"/>
      <c r="L87" s="1925"/>
      <c r="M87" s="1925"/>
      <c r="N87" s="1925"/>
      <c r="O87" s="1925"/>
      <c r="P87" s="1925"/>
      <c r="Q87" s="1925"/>
      <c r="R87" s="1920"/>
      <c r="S87" s="1920"/>
      <c r="T87" s="1920"/>
      <c r="U87" s="1920"/>
      <c r="V87" s="1920"/>
      <c r="W87" s="1921"/>
      <c r="X87" s="1921"/>
    </row>
    <row r="88" spans="1:24" ht="15.75">
      <c r="A88" s="759"/>
      <c r="B88" s="759"/>
      <c r="C88" s="759"/>
      <c r="D88" s="759"/>
      <c r="E88" s="759"/>
      <c r="F88" s="759"/>
      <c r="G88" s="759"/>
    </row>
  </sheetData>
  <conditionalFormatting sqref="B37">
    <cfRule type="expression" dxfId="31" priority="29">
      <formula>ISNA(B37:J73)</formula>
    </cfRule>
  </conditionalFormatting>
  <conditionalFormatting sqref="B44">
    <cfRule type="expression" dxfId="30" priority="14">
      <formula>ISNA(B44:J50)</formula>
    </cfRule>
  </conditionalFormatting>
  <conditionalFormatting sqref="B48:B49">
    <cfRule type="expression" dxfId="29" priority="15">
      <formula>ISNA(B48:J51)</formula>
    </cfRule>
  </conditionalFormatting>
  <conditionalFormatting sqref="B33:Q34">
    <cfRule type="expression" dxfId="28" priority="22">
      <formula>ISNA(B33:J50)</formula>
    </cfRule>
  </conditionalFormatting>
  <conditionalFormatting sqref="B35:Q36">
    <cfRule type="expression" dxfId="27" priority="19">
      <formula>ISNA(B35:J51)</formula>
    </cfRule>
  </conditionalFormatting>
  <conditionalFormatting sqref="B38:Q38 E39:J39">
    <cfRule type="expression" dxfId="26" priority="46">
      <formula>ISNA(B38:H77)</formula>
    </cfRule>
  </conditionalFormatting>
  <conditionalFormatting sqref="B39:Q39">
    <cfRule type="expression" dxfId="25" priority="26">
      <formula>ISNA(B39:J74)</formula>
    </cfRule>
  </conditionalFormatting>
  <conditionalFormatting sqref="B40:Q40 E41:J44">
    <cfRule type="expression" dxfId="24" priority="76">
      <formula>ISNA(B40:H77)</formula>
    </cfRule>
  </conditionalFormatting>
  <conditionalFormatting sqref="B41:Q42">
    <cfRule type="expression" dxfId="23" priority="21">
      <formula>ISNA(B41:J51)</formula>
    </cfRule>
  </conditionalFormatting>
  <conditionalFormatting sqref="B43:Q43">
    <cfRule type="expression" dxfId="22" priority="36">
      <formula>ISNA(B43:J73)</formula>
    </cfRule>
  </conditionalFormatting>
  <conditionalFormatting sqref="B45:Q45">
    <cfRule type="expression" dxfId="21" priority="20">
      <formula>ISNA(B45:J50)</formula>
    </cfRule>
  </conditionalFormatting>
  <conditionalFormatting sqref="B47:Q47">
    <cfRule type="expression" dxfId="20" priority="16">
      <formula>ISNA(B47:J51)</formula>
    </cfRule>
  </conditionalFormatting>
  <conditionalFormatting sqref="B50:Q50">
    <cfRule type="expression" dxfId="19" priority="79">
      <formula>ISNA(B50:J73)</formula>
    </cfRule>
  </conditionalFormatting>
  <conditionalFormatting sqref="B7:X7">
    <cfRule type="expression" dxfId="18" priority="13">
      <formula>ISNA(B7:J23)</formula>
    </cfRule>
  </conditionalFormatting>
  <conditionalFormatting sqref="B26:X27">
    <cfRule type="expression" dxfId="17" priority="5">
      <formula>ISNA(B26:J43)</formula>
    </cfRule>
    <cfRule type="expression" dxfId="16" priority="6">
      <formula>ISNA(B26:H61)</formula>
    </cfRule>
  </conditionalFormatting>
  <conditionalFormatting sqref="B66:AA66">
    <cfRule type="expression" dxfId="15" priority="3">
      <formula>ISNA(B66:I99)</formula>
    </cfRule>
    <cfRule type="expression" dxfId="14" priority="4">
      <formula>ISNA(B66:J89)</formula>
    </cfRule>
  </conditionalFormatting>
  <conditionalFormatting sqref="B68:AA68">
    <cfRule type="expression" dxfId="13" priority="1">
      <formula>ISNA(B68:I101)</formula>
    </cfRule>
    <cfRule type="expression" dxfId="12" priority="2">
      <formula>ISNA(B68:J91)</formula>
    </cfRule>
  </conditionalFormatting>
  <conditionalFormatting sqref="C33:D34">
    <cfRule type="expression" dxfId="11" priority="80">
      <formula>ISNA(C33:J74)</formula>
    </cfRule>
  </conditionalFormatting>
  <conditionalFormatting sqref="C35:D37">
    <cfRule type="expression" dxfId="10" priority="81">
      <formula>ISNA(C35:J75)</formula>
    </cfRule>
  </conditionalFormatting>
  <conditionalFormatting sqref="C39:D39">
    <cfRule type="expression" dxfId="9" priority="40">
      <formula>ISNA(C39:J78)</formula>
    </cfRule>
  </conditionalFormatting>
  <conditionalFormatting sqref="C41:D44">
    <cfRule type="expression" dxfId="8" priority="82">
      <formula>ISNA(C41:J78)</formula>
    </cfRule>
  </conditionalFormatting>
  <conditionalFormatting sqref="C45:D45 E45:J46">
    <cfRule type="expression" dxfId="7" priority="75">
      <formula>ISNA(C45:I80)</formula>
    </cfRule>
  </conditionalFormatting>
  <conditionalFormatting sqref="C45:D46 B46:Q46">
    <cfRule type="expression" dxfId="6" priority="72">
      <formula>ISNA(B45:I80)</formula>
    </cfRule>
  </conditionalFormatting>
  <conditionalFormatting sqref="C47:D47">
    <cfRule type="expression" dxfId="5" priority="17">
      <formula>ISNA(C47:J81)</formula>
    </cfRule>
  </conditionalFormatting>
  <conditionalFormatting sqref="D49:D50 B50:C50">
    <cfRule type="expression" dxfId="4" priority="11">
      <formula>ISNA(B49:I82)</formula>
    </cfRule>
  </conditionalFormatting>
  <conditionalFormatting sqref="E33:J34">
    <cfRule type="expression" dxfId="3" priority="85">
      <formula>ISNA(E33:K74)</formula>
    </cfRule>
  </conditionalFormatting>
  <conditionalFormatting sqref="E35:J37">
    <cfRule type="expression" dxfId="2" priority="86">
      <formula>ISNA(E35:K75)</formula>
    </cfRule>
  </conditionalFormatting>
  <conditionalFormatting sqref="E47:J47">
    <cfRule type="expression" dxfId="1" priority="18">
      <formula>ISNA(E47:K81)</formula>
    </cfRule>
  </conditionalFormatting>
  <conditionalFormatting sqref="E49:J50">
    <cfRule type="expression" dxfId="0" priority="90">
      <formula>ISNA(E49:K82)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4781D-B6F1-413E-B05E-B3AF2B75A9E7}">
  <dimension ref="A1:FP212"/>
  <sheetViews>
    <sheetView showGridLines="0" zoomScale="72" zoomScaleNormal="72" workbookViewId="0">
      <pane xSplit="1" topLeftCell="AR1" activePane="topRight" state="frozen"/>
      <selection pane="topRight" activeCell="BQ52" sqref="BQ52"/>
    </sheetView>
  </sheetViews>
  <sheetFormatPr defaultColWidth="8.85546875" defaultRowHeight="15" outlineLevelCol="1"/>
  <cols>
    <col min="1" max="1" width="34.5703125" style="685" bestFit="1" customWidth="1"/>
    <col min="2" max="29" width="9.140625" style="685" hidden="1" customWidth="1" outlineLevel="1"/>
    <col min="30" max="30" width="8.85546875" style="685" collapsed="1"/>
    <col min="31" max="65" width="8.85546875" style="685"/>
    <col min="66" max="66" width="8.5703125" style="685" customWidth="1"/>
    <col min="67" max="67" width="6.140625" style="685" bestFit="1" customWidth="1"/>
    <col min="68" max="68" width="32.42578125" style="685" customWidth="1"/>
    <col min="69" max="69" width="32.140625" style="685" customWidth="1"/>
    <col min="70" max="73" width="10.5703125" style="685" hidden="1" customWidth="1" outlineLevel="1"/>
    <col min="74" max="74" width="10.5703125" style="685" hidden="1" customWidth="1" outlineLevel="1" collapsed="1"/>
    <col min="75" max="76" width="10.5703125" style="685" hidden="1" customWidth="1" outlineLevel="1"/>
    <col min="77" max="77" width="10.5703125" style="685" customWidth="1" collapsed="1"/>
    <col min="78" max="80" width="10.5703125" style="685" customWidth="1"/>
    <col min="81" max="81" width="9.5703125" style="685" customWidth="1"/>
    <col min="82" max="82" width="47.5703125" style="685" hidden="1" customWidth="1" outlineLevel="1"/>
    <col min="83" max="84" width="8.85546875" style="685" hidden="1" customWidth="1" outlineLevel="1"/>
    <col min="85" max="85" width="9.85546875" style="685" hidden="1" customWidth="1" outlineLevel="1"/>
    <col min="86" max="86" width="8.85546875" style="685" hidden="1" customWidth="1" outlineLevel="1"/>
    <col min="87" max="87" width="9.85546875" style="685" hidden="1" customWidth="1" outlineLevel="1"/>
    <col min="88" max="88" width="9.42578125" style="685" hidden="1" customWidth="1" outlineLevel="1"/>
    <col min="89" max="89" width="10.5703125" style="685" hidden="1" customWidth="1" outlineLevel="1"/>
    <col min="90" max="90" width="10.5703125" style="685" customWidth="1" collapsed="1"/>
    <col min="91" max="92" width="8.5703125" style="685" customWidth="1"/>
    <col min="93" max="93" width="8.5703125" style="685" bestFit="1" customWidth="1"/>
    <col min="94" max="95" width="9.42578125" style="685" bestFit="1" customWidth="1"/>
    <col min="96" max="96" width="8" style="685" bestFit="1" customWidth="1"/>
    <col min="97" max="97" width="6.5703125" style="685" bestFit="1" customWidth="1"/>
    <col min="98" max="16384" width="8.85546875" style="685"/>
  </cols>
  <sheetData>
    <row r="1" spans="1:95">
      <c r="A1" s="683" t="s">
        <v>854</v>
      </c>
      <c r="B1" s="684"/>
      <c r="C1" s="684"/>
      <c r="D1" s="684"/>
      <c r="E1" s="684"/>
      <c r="F1" s="684"/>
      <c r="G1" s="684"/>
      <c r="H1" s="684"/>
      <c r="I1" s="684"/>
      <c r="J1" s="684"/>
      <c r="K1" s="684"/>
      <c r="L1" s="684"/>
      <c r="M1" s="684"/>
      <c r="N1" s="684"/>
      <c r="O1" s="684"/>
      <c r="P1" s="684"/>
      <c r="Q1" s="684"/>
      <c r="R1" s="684"/>
      <c r="S1" s="684"/>
      <c r="T1" s="684"/>
      <c r="U1" s="684"/>
      <c r="V1" s="684"/>
      <c r="W1" s="684"/>
      <c r="X1" s="684"/>
      <c r="Y1" s="684"/>
      <c r="Z1" s="684"/>
      <c r="AA1" s="684"/>
      <c r="AB1" s="684"/>
      <c r="AC1" s="684"/>
      <c r="AD1" s="684"/>
      <c r="AE1" s="684"/>
      <c r="AF1" s="684"/>
      <c r="AG1" s="684"/>
      <c r="AH1" s="684"/>
      <c r="AI1" s="684"/>
      <c r="AJ1" s="684"/>
      <c r="AK1" s="684"/>
      <c r="AL1" s="684"/>
      <c r="AM1" s="684"/>
      <c r="AN1" s="684"/>
      <c r="AO1" s="684"/>
      <c r="AP1" s="684"/>
      <c r="AQ1" s="684"/>
      <c r="AR1" s="684"/>
      <c r="AS1" s="684"/>
      <c r="AT1" s="684"/>
      <c r="AU1" s="684"/>
      <c r="AV1" s="684"/>
      <c r="AW1" s="684"/>
      <c r="AX1" s="684"/>
      <c r="AY1" s="684"/>
      <c r="AZ1" s="684"/>
      <c r="BA1" s="684"/>
      <c r="BB1" s="684"/>
      <c r="BC1" s="684"/>
    </row>
    <row r="2" spans="1:95">
      <c r="A2" s="684"/>
      <c r="B2" s="684"/>
      <c r="C2" s="684"/>
      <c r="D2" s="684"/>
      <c r="E2" s="684"/>
      <c r="F2" s="684"/>
      <c r="G2" s="684"/>
      <c r="H2" s="684"/>
      <c r="I2" s="684"/>
      <c r="J2" s="684"/>
      <c r="K2" s="684"/>
      <c r="L2" s="684"/>
      <c r="M2" s="684"/>
      <c r="N2" s="684"/>
      <c r="O2" s="684"/>
      <c r="P2" s="684"/>
      <c r="Q2" s="684"/>
      <c r="R2" s="684"/>
      <c r="S2" s="684"/>
      <c r="T2" s="684"/>
      <c r="U2" s="684"/>
      <c r="V2" s="684"/>
      <c r="W2" s="684"/>
      <c r="X2" s="684"/>
      <c r="Y2" s="684"/>
      <c r="Z2" s="684"/>
      <c r="AA2" s="684"/>
      <c r="AB2" s="684"/>
      <c r="AC2" s="684"/>
      <c r="AD2" s="684"/>
      <c r="AE2" s="684"/>
      <c r="AF2" s="684"/>
      <c r="AG2" s="684"/>
      <c r="AH2" s="684"/>
      <c r="AI2" s="684"/>
      <c r="AJ2" s="684"/>
      <c r="AK2" s="684"/>
      <c r="AL2" s="684"/>
      <c r="AM2" s="684"/>
      <c r="AN2" s="684"/>
      <c r="AO2" s="684"/>
      <c r="AP2" s="684"/>
      <c r="AQ2" s="684"/>
      <c r="AR2" s="684"/>
      <c r="AS2" s="684"/>
      <c r="AT2" s="684"/>
      <c r="AU2" s="684"/>
      <c r="AV2" s="684"/>
      <c r="AW2" s="684"/>
      <c r="AX2" s="684"/>
      <c r="AY2" s="684"/>
      <c r="AZ2" s="684"/>
      <c r="BA2" s="684"/>
      <c r="BB2" s="684"/>
      <c r="BC2" s="684"/>
    </row>
    <row r="3" spans="1:95" ht="15.75">
      <c r="A3" s="684"/>
      <c r="B3" s="684"/>
      <c r="C3" s="684"/>
      <c r="D3" s="684"/>
      <c r="E3" s="684"/>
      <c r="F3" s="684"/>
      <c r="G3" s="684"/>
      <c r="H3" s="684"/>
      <c r="I3" s="684"/>
      <c r="J3" s="684"/>
      <c r="K3" s="684"/>
      <c r="L3" s="684"/>
      <c r="M3" s="684"/>
      <c r="N3" s="684"/>
      <c r="O3" s="684"/>
      <c r="P3" s="684"/>
      <c r="Q3" s="684"/>
      <c r="R3" s="684"/>
      <c r="S3" s="684"/>
      <c r="T3" s="684"/>
      <c r="U3" s="684"/>
      <c r="V3" s="686" t="str">
        <f t="shared" ref="V3:AC3" si="0">V6</f>
        <v>Q1 15</v>
      </c>
      <c r="W3" s="686" t="str">
        <f t="shared" si="0"/>
        <v>Q2 15</v>
      </c>
      <c r="X3" s="686" t="str">
        <f t="shared" si="0"/>
        <v>Q3 15</v>
      </c>
      <c r="Y3" s="686" t="str">
        <f t="shared" si="0"/>
        <v>Q4 15</v>
      </c>
      <c r="Z3" s="686" t="str">
        <f t="shared" si="0"/>
        <v>Q1 16</v>
      </c>
      <c r="AA3" s="686" t="str">
        <f t="shared" si="0"/>
        <v>Q2 16</v>
      </c>
      <c r="AB3" s="686" t="str">
        <f t="shared" si="0"/>
        <v>Q3 16</v>
      </c>
      <c r="AC3" s="686" t="str">
        <f t="shared" si="0"/>
        <v>Q4 16</v>
      </c>
      <c r="AD3" s="684"/>
      <c r="AE3" s="684"/>
      <c r="AF3" s="684"/>
      <c r="AG3" s="684"/>
      <c r="AH3" s="684"/>
      <c r="AI3" s="684"/>
      <c r="AJ3" s="684"/>
      <c r="AK3" s="684"/>
      <c r="AL3" s="684"/>
      <c r="AM3" s="684"/>
      <c r="AN3" s="684"/>
      <c r="AO3" s="684"/>
      <c r="AP3" s="684"/>
      <c r="AQ3" s="684"/>
      <c r="AR3" s="684"/>
      <c r="AS3" s="684"/>
      <c r="AT3" s="684"/>
      <c r="AU3" s="684"/>
      <c r="AV3" s="684"/>
      <c r="AW3" s="684"/>
      <c r="AX3" s="684"/>
      <c r="AY3" s="684"/>
      <c r="AZ3" s="684"/>
      <c r="BA3" s="684"/>
      <c r="BB3" s="684"/>
      <c r="BC3" s="684"/>
      <c r="BZ3" s="1464" t="s">
        <v>855</v>
      </c>
      <c r="CB3" s="1464" t="s">
        <v>856</v>
      </c>
    </row>
    <row r="4" spans="1:95" ht="15.75">
      <c r="A4" s="684"/>
      <c r="B4" s="684"/>
      <c r="C4" s="684"/>
      <c r="D4" s="684"/>
      <c r="E4" s="684"/>
      <c r="F4" s="684"/>
      <c r="G4" s="684"/>
      <c r="H4" s="684"/>
      <c r="I4" s="684"/>
      <c r="J4" s="684"/>
      <c r="K4" s="684"/>
      <c r="L4" s="684"/>
      <c r="M4" s="684"/>
      <c r="N4" s="684"/>
      <c r="O4" s="684"/>
      <c r="P4" s="684"/>
      <c r="Q4" s="684"/>
      <c r="R4" s="684"/>
      <c r="S4" s="684"/>
      <c r="T4" s="684"/>
      <c r="U4" s="684"/>
      <c r="V4" s="687">
        <f>Interims!AA187</f>
        <v>1.2455861497901339</v>
      </c>
      <c r="W4" s="687">
        <f>Interims!AB187</f>
        <v>1.366647053085678</v>
      </c>
      <c r="X4" s="687">
        <f>Interims!AC187</f>
        <v>1.4653803995738373</v>
      </c>
      <c r="Y4" s="687">
        <f>Interims!AD187</f>
        <v>1.7136829620111627</v>
      </c>
      <c r="Z4" s="687">
        <f>Interims!AF187</f>
        <v>1.6261405641724693</v>
      </c>
      <c r="AA4" s="687">
        <f>Interims!AG187</f>
        <v>1.8553413615876433</v>
      </c>
      <c r="AB4" s="687">
        <f>Interims!AH187</f>
        <v>2.1797253902305793</v>
      </c>
      <c r="AC4" s="687">
        <f>Interims!AI187</f>
        <v>2.3062268144580127</v>
      </c>
      <c r="AD4" s="684"/>
      <c r="AE4" s="684"/>
      <c r="AF4" s="688"/>
      <c r="AG4" s="684"/>
      <c r="AH4" s="684"/>
      <c r="AI4" s="684"/>
      <c r="AJ4" s="684"/>
      <c r="AK4" s="684"/>
      <c r="AL4" s="684"/>
      <c r="AM4" s="684"/>
      <c r="AN4" s="684"/>
      <c r="AO4" s="684"/>
      <c r="AP4" s="684"/>
      <c r="AQ4" s="684"/>
      <c r="AR4" s="684"/>
      <c r="AS4" s="684"/>
      <c r="AT4" s="684"/>
      <c r="AU4" s="684"/>
      <c r="AV4" s="684"/>
      <c r="AW4" s="684"/>
      <c r="AX4" s="684"/>
      <c r="AY4" s="684"/>
      <c r="AZ4" s="684"/>
      <c r="BA4" s="684"/>
      <c r="BB4" s="684"/>
      <c r="BC4" s="684"/>
      <c r="BD4" s="684"/>
      <c r="BE4" s="684"/>
      <c r="BL4" s="689" t="s">
        <v>857</v>
      </c>
      <c r="BQ4" s="993" t="s">
        <v>858</v>
      </c>
      <c r="BR4" s="994" t="s">
        <v>859</v>
      </c>
      <c r="BS4" s="994" t="s">
        <v>860</v>
      </c>
      <c r="BT4" s="994" t="s">
        <v>861</v>
      </c>
      <c r="BU4" s="994" t="s">
        <v>862</v>
      </c>
      <c r="BV4" s="994" t="s">
        <v>863</v>
      </c>
      <c r="BW4" s="994" t="s">
        <v>864</v>
      </c>
      <c r="BX4" s="994" t="s">
        <v>1064</v>
      </c>
      <c r="BY4" s="1986" t="s">
        <v>8088</v>
      </c>
      <c r="BZ4" s="994" t="s">
        <v>8093</v>
      </c>
      <c r="CA4" s="994" t="s">
        <v>865</v>
      </c>
      <c r="CB4" s="994" t="s">
        <v>8093</v>
      </c>
      <c r="CC4" s="994" t="s">
        <v>865</v>
      </c>
      <c r="CM4" s="1461" t="s">
        <v>8092</v>
      </c>
    </row>
    <row r="5" spans="1:95" ht="15.75">
      <c r="A5" s="684"/>
      <c r="B5" s="684"/>
      <c r="C5" s="684"/>
      <c r="D5" s="684"/>
      <c r="E5" s="684"/>
      <c r="F5" s="684"/>
      <c r="G5" s="684"/>
      <c r="H5" s="684"/>
      <c r="I5" s="684"/>
      <c r="J5" s="684"/>
      <c r="K5" s="684"/>
      <c r="L5" s="684"/>
      <c r="M5" s="684"/>
      <c r="N5" s="684"/>
      <c r="O5" s="684"/>
      <c r="P5" s="684"/>
      <c r="Q5" s="684"/>
      <c r="R5" s="684"/>
      <c r="S5" s="684"/>
      <c r="T5" s="684"/>
      <c r="U5" s="684"/>
      <c r="V5" s="684"/>
      <c r="W5" s="684"/>
      <c r="X5" s="684"/>
      <c r="Y5" s="684"/>
      <c r="Z5" s="684"/>
      <c r="AA5" s="684"/>
      <c r="AB5" s="684"/>
      <c r="AC5" s="684"/>
      <c r="AD5" s="684"/>
      <c r="AE5" s="684"/>
      <c r="AF5" s="684"/>
      <c r="AG5" s="684"/>
      <c r="AH5" s="684"/>
      <c r="AI5" s="684"/>
      <c r="AJ5" s="684"/>
      <c r="AK5" s="684"/>
      <c r="AL5" s="684"/>
      <c r="AM5" s="684"/>
      <c r="AN5" s="684"/>
      <c r="AO5" s="684"/>
      <c r="AP5" s="684"/>
      <c r="AQ5" s="684"/>
      <c r="AR5" s="684"/>
      <c r="AS5" s="684"/>
      <c r="AT5" s="684"/>
      <c r="AU5" s="684"/>
      <c r="AV5" s="684"/>
      <c r="AW5" s="684"/>
      <c r="AX5" s="684"/>
      <c r="AY5" s="684"/>
      <c r="AZ5" s="684"/>
      <c r="BA5" s="684"/>
      <c r="BB5" s="684"/>
      <c r="BC5" s="684"/>
      <c r="BP5" s="684"/>
      <c r="BQ5" s="984" t="s">
        <v>866</v>
      </c>
      <c r="BR5" s="828">
        <f t="shared" ref="BR5:BW5" si="1">BR6+BR7+BR8</f>
        <v>15992.300000000001</v>
      </c>
      <c r="BS5" s="828">
        <f t="shared" si="1"/>
        <v>15763.099999999999</v>
      </c>
      <c r="BT5" s="828">
        <f t="shared" si="1"/>
        <v>15406.5</v>
      </c>
      <c r="BU5" s="828">
        <f t="shared" si="1"/>
        <v>15226.4</v>
      </c>
      <c r="BV5" s="828">
        <f t="shared" si="1"/>
        <v>15006.7</v>
      </c>
      <c r="BW5" s="828">
        <f t="shared" si="1"/>
        <v>14729.4</v>
      </c>
      <c r="BX5" s="828">
        <f>Interims!CB21</f>
        <v>14548.2</v>
      </c>
      <c r="BY5" s="828">
        <f>Interims!CD21</f>
        <v>14512.5</v>
      </c>
      <c r="BZ5" s="828">
        <f>BZ6+BZ7+BZ8</f>
        <v>14457.313499999998</v>
      </c>
      <c r="CA5" s="776">
        <f>BY5/BZ5-1</f>
        <v>3.8172029678960051E-3</v>
      </c>
      <c r="CB5" s="828">
        <f>CM5</f>
        <v>14501.625</v>
      </c>
      <c r="CC5" s="776">
        <f>BY5/CB5-1</f>
        <v>7.4991595769446917E-4</v>
      </c>
      <c r="CM5" s="1557" cm="1">
        <f t="array" ref="CM5">_xll.VAData("TV_US", CM4, "Total revenue", "Consensus", "CD", "IMPL","","")</f>
        <v>14501.625</v>
      </c>
    </row>
    <row r="6" spans="1:95" ht="15.75">
      <c r="A6" s="691" t="s">
        <v>51</v>
      </c>
      <c r="B6" s="686" t="s">
        <v>867</v>
      </c>
      <c r="C6" s="686" t="s">
        <v>868</v>
      </c>
      <c r="D6" s="686" t="s">
        <v>869</v>
      </c>
      <c r="E6" s="686" t="s">
        <v>870</v>
      </c>
      <c r="F6" s="686" t="s">
        <v>871</v>
      </c>
      <c r="G6" s="686" t="s">
        <v>872</v>
      </c>
      <c r="H6" s="686" t="s">
        <v>873</v>
      </c>
      <c r="I6" s="686" t="s">
        <v>874</v>
      </c>
      <c r="J6" s="686" t="s">
        <v>875</v>
      </c>
      <c r="K6" s="686" t="s">
        <v>876</v>
      </c>
      <c r="L6" s="686" t="s">
        <v>877</v>
      </c>
      <c r="M6" s="686" t="s">
        <v>878</v>
      </c>
      <c r="N6" s="686" t="s">
        <v>879</v>
      </c>
      <c r="O6" s="686" t="s">
        <v>880</v>
      </c>
      <c r="P6" s="686" t="s">
        <v>881</v>
      </c>
      <c r="Q6" s="686" t="s">
        <v>882</v>
      </c>
      <c r="R6" s="686" t="s">
        <v>883</v>
      </c>
      <c r="S6" s="686" t="s">
        <v>884</v>
      </c>
      <c r="T6" s="686" t="s">
        <v>885</v>
      </c>
      <c r="U6" s="686" t="s">
        <v>886</v>
      </c>
      <c r="V6" s="686" t="s">
        <v>733</v>
      </c>
      <c r="W6" s="686" t="s">
        <v>734</v>
      </c>
      <c r="X6" s="686" t="s">
        <v>735</v>
      </c>
      <c r="Y6" s="686" t="s">
        <v>736</v>
      </c>
      <c r="Z6" s="686" t="s">
        <v>737</v>
      </c>
      <c r="AA6" s="686" t="s">
        <v>738</v>
      </c>
      <c r="AB6" s="686" t="s">
        <v>739</v>
      </c>
      <c r="AC6" s="686" t="s">
        <v>740</v>
      </c>
      <c r="AD6" s="686" t="s">
        <v>741</v>
      </c>
      <c r="AE6" s="686" t="s">
        <v>742</v>
      </c>
      <c r="AF6" s="686" t="s">
        <v>743</v>
      </c>
      <c r="AG6" s="686" t="s">
        <v>744</v>
      </c>
      <c r="AH6" s="686" t="s">
        <v>745</v>
      </c>
      <c r="AI6" s="686" t="s">
        <v>746</v>
      </c>
      <c r="AJ6" s="686" t="s">
        <v>747</v>
      </c>
      <c r="AK6" s="686" t="s">
        <v>748</v>
      </c>
      <c r="AL6" s="686" t="s">
        <v>749</v>
      </c>
      <c r="AM6" s="686" t="s">
        <v>750</v>
      </c>
      <c r="AN6" s="686" t="s">
        <v>751</v>
      </c>
      <c r="AO6" s="686" t="s">
        <v>752</v>
      </c>
      <c r="AP6" s="686" t="s">
        <v>753</v>
      </c>
      <c r="AQ6" s="686" t="s">
        <v>754</v>
      </c>
      <c r="AR6" s="686" t="s">
        <v>755</v>
      </c>
      <c r="AS6" s="686" t="s">
        <v>756</v>
      </c>
      <c r="AT6" s="686" t="s">
        <v>757</v>
      </c>
      <c r="AU6" s="686" t="s">
        <v>758</v>
      </c>
      <c r="AV6" s="686" t="s">
        <v>759</v>
      </c>
      <c r="AW6" s="686" t="s">
        <v>760</v>
      </c>
      <c r="AX6" s="686" t="s">
        <v>761</v>
      </c>
      <c r="AY6" s="686" t="s">
        <v>762</v>
      </c>
      <c r="AZ6" s="686" t="s">
        <v>763</v>
      </c>
      <c r="BA6" s="686" t="s">
        <v>764</v>
      </c>
      <c r="BB6" s="686" t="s">
        <v>765</v>
      </c>
      <c r="BC6" s="686" t="s">
        <v>766</v>
      </c>
      <c r="BD6" s="686" t="s">
        <v>767</v>
      </c>
      <c r="BE6" s="686" t="s">
        <v>768</v>
      </c>
      <c r="BF6" s="686" t="s">
        <v>859</v>
      </c>
      <c r="BG6" s="686" t="s">
        <v>860</v>
      </c>
      <c r="BH6" s="686" t="s">
        <v>861</v>
      </c>
      <c r="BI6" s="686" t="s">
        <v>862</v>
      </c>
      <c r="BJ6" s="686" t="s">
        <v>863</v>
      </c>
      <c r="BK6" s="686" t="s">
        <v>864</v>
      </c>
      <c r="BL6" s="686" t="s">
        <v>1063</v>
      </c>
      <c r="BM6" s="686" t="s">
        <v>1064</v>
      </c>
      <c r="BN6" s="686" t="s">
        <v>8088</v>
      </c>
      <c r="BQ6" s="985" t="s">
        <v>887</v>
      </c>
      <c r="BR6" s="829">
        <f>Interims!BT14</f>
        <v>11908.7</v>
      </c>
      <c r="BS6" s="829">
        <f>Interims!BU14</f>
        <v>11904.8</v>
      </c>
      <c r="BT6" s="829">
        <f>Interims!BV14</f>
        <v>11675.4</v>
      </c>
      <c r="BU6" s="829">
        <f>Interims!BW14</f>
        <v>11904.2</v>
      </c>
      <c r="BV6" s="829">
        <f>Interims!BY14</f>
        <v>11537.7</v>
      </c>
      <c r="BW6" s="829">
        <f>Interims!BZ14</f>
        <v>11602</v>
      </c>
      <c r="BX6" s="829"/>
      <c r="BY6" s="829">
        <f>BY5-BY7</f>
        <v>11896.6</v>
      </c>
      <c r="BZ6" s="829">
        <f>Interims!HR14</f>
        <v>11595.388499999999</v>
      </c>
      <c r="CA6" s="777">
        <f>BY6/BZ6-1</f>
        <v>2.5976835532505183E-2</v>
      </c>
      <c r="CB6" s="829">
        <f>CM6</f>
        <v>11896.6</v>
      </c>
      <c r="CC6" s="777">
        <f>BY6/CB6-1</f>
        <v>0</v>
      </c>
      <c r="CE6" s="774"/>
      <c r="CF6" s="775"/>
      <c r="CG6" s="775" t="s">
        <v>855</v>
      </c>
      <c r="CH6" s="775" t="s">
        <v>855</v>
      </c>
      <c r="CI6" s="775" t="s">
        <v>856</v>
      </c>
      <c r="CJ6" s="775" t="s">
        <v>856</v>
      </c>
      <c r="CK6" s="775" t="s">
        <v>888</v>
      </c>
      <c r="CL6" s="759"/>
      <c r="CM6" s="834" cm="1">
        <f t="array" ref="CM6">_xll.VAData("TV_US", CM4, "Revenue - Cable &amp; Telecom", "Consensus", "CD", "IMPL","","")</f>
        <v>11896.6</v>
      </c>
    </row>
    <row r="7" spans="1:95" ht="15.75">
      <c r="A7" s="693" t="s">
        <v>33</v>
      </c>
      <c r="B7" s="694">
        <f>SEGMENTOS!W11</f>
        <v>2645.9</v>
      </c>
      <c r="C7" s="694">
        <f>SEGMENTOS!X11</f>
        <v>2832.6</v>
      </c>
      <c r="D7" s="694">
        <f>SEGMENTOS!Y11</f>
        <v>2894.9</v>
      </c>
      <c r="E7" s="694">
        <f>SEGMENTOS!Z11</f>
        <v>2874.8000000000011</v>
      </c>
      <c r="F7" s="694">
        <f>Interims!G16</f>
        <v>3028.9</v>
      </c>
      <c r="G7" s="694">
        <f>Interims!H16</f>
        <v>3122.4</v>
      </c>
      <c r="H7" s="694">
        <f>Interims!I16</f>
        <v>3131.7</v>
      </c>
      <c r="I7" s="694">
        <f>Interims!J16</f>
        <v>3196.2</v>
      </c>
      <c r="J7" s="694">
        <f>Interims!L16</f>
        <v>3386.7</v>
      </c>
      <c r="K7" s="694">
        <f>Interims!M16</f>
        <v>3545.5</v>
      </c>
      <c r="L7" s="694">
        <f>Interims!N16</f>
        <v>3722.7</v>
      </c>
      <c r="M7" s="694">
        <f>Interims!O16</f>
        <v>3810.5</v>
      </c>
      <c r="N7" s="694">
        <f>Interims!Q16</f>
        <v>3826.8</v>
      </c>
      <c r="O7" s="694">
        <f>Interims!R16</f>
        <v>4000.9</v>
      </c>
      <c r="P7" s="694">
        <f>Interims!S16</f>
        <v>4089.8</v>
      </c>
      <c r="Q7" s="694">
        <f>Interims!T16</f>
        <v>4180.8</v>
      </c>
      <c r="R7" s="694">
        <f>Interims!V16</f>
        <v>4199.2</v>
      </c>
      <c r="S7" s="694">
        <f>Interims!W16</f>
        <v>4333.1000000000004</v>
      </c>
      <c r="T7" s="694">
        <f>Interims!X16</f>
        <v>4476.8</v>
      </c>
      <c r="U7" s="694">
        <f>Interims!Y16</f>
        <v>4489.3999999999996</v>
      </c>
      <c r="V7" s="694">
        <f>Interims!AA16</f>
        <v>4621.7</v>
      </c>
      <c r="W7" s="694">
        <f>Interims!AB16</f>
        <v>4724.5</v>
      </c>
      <c r="X7" s="694">
        <f>Interims!AC16</f>
        <v>4895</v>
      </c>
      <c r="Y7" s="694">
        <f>Interims!AD16</f>
        <v>5012.2999999999993</v>
      </c>
      <c r="Z7" s="694">
        <f>Interims!AF16</f>
        <v>5349.6</v>
      </c>
      <c r="AA7" s="694">
        <f>Interims!AG16</f>
        <v>5580.7</v>
      </c>
      <c r="AB7" s="694">
        <f>Interims!AH16</f>
        <v>5505.8</v>
      </c>
      <c r="AC7" s="694">
        <f>Interims!AI16</f>
        <v>5505.1</v>
      </c>
      <c r="AD7" s="694">
        <f>Interims!AK16</f>
        <v>5540.6</v>
      </c>
      <c r="AE7" s="694">
        <f>Interims!AL16</f>
        <v>5641.9</v>
      </c>
      <c r="AF7" s="694">
        <f>Interims!AM16</f>
        <v>5445.2</v>
      </c>
      <c r="AG7" s="694">
        <f>Interims!AN16</f>
        <v>5568.8</v>
      </c>
      <c r="AH7" s="694">
        <f>Interims!AP16</f>
        <v>5474.2</v>
      </c>
      <c r="AI7" s="694">
        <f>Interims!AQ16</f>
        <v>5658.8</v>
      </c>
      <c r="AJ7" s="694">
        <f>Interims!AR16</f>
        <v>5407.3</v>
      </c>
      <c r="AK7" s="694">
        <f>Interims!AS16</f>
        <v>5461.9</v>
      </c>
      <c r="AL7" s="694">
        <f>Interims!AU16</f>
        <v>5281.6</v>
      </c>
      <c r="AM7" s="694">
        <f>Interims!AV16</f>
        <v>5348.1</v>
      </c>
      <c r="AN7" s="694">
        <f>Interims!AW16</f>
        <v>5338.3</v>
      </c>
      <c r="AO7" s="694">
        <f>Interims!AX16</f>
        <v>5379.1</v>
      </c>
      <c r="AP7" s="694">
        <f>Interims!AZ16</f>
        <v>5405.3</v>
      </c>
      <c r="AQ7" s="694">
        <f>Interims!BA16</f>
        <v>5514.7</v>
      </c>
      <c r="AR7" s="694">
        <f>Interims!BB16</f>
        <v>5597.9</v>
      </c>
      <c r="AS7" s="694">
        <f>Interims!BC16</f>
        <v>5616.8000000000011</v>
      </c>
      <c r="AT7" s="694">
        <f>Interims!BE16</f>
        <v>5624.8</v>
      </c>
      <c r="AU7" s="694">
        <f>Interims!BF16</f>
        <v>5570.1</v>
      </c>
      <c r="AV7" s="694">
        <f>Interims!BG16</f>
        <v>5459.4</v>
      </c>
      <c r="AW7" s="694">
        <f>Interims!BH16</f>
        <v>5372.3</v>
      </c>
      <c r="AX7" s="694">
        <f>Interims!BJ16</f>
        <v>5275.7</v>
      </c>
      <c r="AY7" s="694">
        <f>Interims!BK16</f>
        <v>5140.1000000000004</v>
      </c>
      <c r="AZ7" s="694">
        <f>Interims!BL16</f>
        <v>4986.6000000000004</v>
      </c>
      <c r="BA7" s="694">
        <f>Interims!BM16</f>
        <v>4936.6000000000004</v>
      </c>
      <c r="BB7" s="694">
        <f>Interims!BO16</f>
        <v>4657.6000000000004</v>
      </c>
      <c r="BC7" s="694">
        <f>Interims!BP16</f>
        <v>4449.5</v>
      </c>
      <c r="BD7" s="694">
        <f>Interims!BQ16</f>
        <v>4296.6000000000004</v>
      </c>
      <c r="BE7" s="694">
        <f>Interims!BR16</f>
        <v>4181.6000000000004</v>
      </c>
      <c r="BF7" s="694">
        <f>Interims!BT16</f>
        <v>4083.6</v>
      </c>
      <c r="BG7" s="694">
        <f>Interims!BU16</f>
        <v>3858.3</v>
      </c>
      <c r="BH7" s="694">
        <f>Interims!BV16</f>
        <v>3731.1</v>
      </c>
      <c r="BI7" s="694">
        <f>Interims!BW16</f>
        <v>3664.3</v>
      </c>
      <c r="BJ7" s="694">
        <f>Interims!BY16</f>
        <v>3469</v>
      </c>
      <c r="BK7" s="694">
        <f>Interims!BZ16</f>
        <v>3229.5</v>
      </c>
      <c r="BL7" s="694">
        <f>Interims!CA16</f>
        <v>3051</v>
      </c>
      <c r="BM7" s="694">
        <f>Interims!CB16</f>
        <v>2798.6</v>
      </c>
      <c r="BN7" s="694">
        <f>Interims!CD16</f>
        <v>2615.9</v>
      </c>
      <c r="BQ7" s="986" t="s">
        <v>889</v>
      </c>
      <c r="BR7" s="778">
        <f>Interims!BT16</f>
        <v>4083.6</v>
      </c>
      <c r="BS7" s="778">
        <f>Interims!BU16</f>
        <v>3858.3</v>
      </c>
      <c r="BT7" s="778">
        <f>Interims!BV16</f>
        <v>3731.1</v>
      </c>
      <c r="BU7" s="778">
        <f>Interims!BW16</f>
        <v>3664.3</v>
      </c>
      <c r="BV7" s="778">
        <f>Interims!BY16</f>
        <v>3469</v>
      </c>
      <c r="BW7" s="778">
        <f>Interims!BZ16</f>
        <v>3229.5</v>
      </c>
      <c r="BX7" s="778"/>
      <c r="BY7" s="778">
        <f>Interims!CD16</f>
        <v>2615.9</v>
      </c>
      <c r="BZ7" s="778">
        <f>Interims!HR16</f>
        <v>2861.9249999999997</v>
      </c>
      <c r="CA7" s="779">
        <f>BY7/BZ7-1</f>
        <v>-8.596486630502187E-2</v>
      </c>
      <c r="CB7" s="778">
        <f>CM7</f>
        <v>2615.9</v>
      </c>
      <c r="CC7" s="779">
        <f>BY7/CB7-1</f>
        <v>0</v>
      </c>
      <c r="CE7" s="993" t="s">
        <v>858</v>
      </c>
      <c r="CF7" s="994" t="e">
        <f>#REF!</f>
        <v>#REF!</v>
      </c>
      <c r="CG7" s="994" t="str">
        <f>BZ4</f>
        <v>Q1 26e</v>
      </c>
      <c r="CH7" s="994" t="s">
        <v>732</v>
      </c>
      <c r="CI7" s="994" t="str">
        <f>CB4</f>
        <v>Q1 26e</v>
      </c>
      <c r="CJ7" s="994" t="s">
        <v>732</v>
      </c>
      <c r="CK7" s="994" t="s">
        <v>856</v>
      </c>
      <c r="CL7" s="759"/>
      <c r="CM7" s="834" cm="1">
        <f t="array" ref="CM7">_xll.VAData("TV_US", CM4, "Revenue - Sky Mexico and CA", "Consensus", "CD", "IMPL","","")</f>
        <v>2615.9</v>
      </c>
      <c r="CN7" s="684"/>
    </row>
    <row r="8" spans="1:95" ht="15.75">
      <c r="A8" s="693" t="s">
        <v>34</v>
      </c>
      <c r="B8" s="694"/>
      <c r="C8" s="694"/>
      <c r="D8" s="694"/>
      <c r="E8" s="694"/>
      <c r="F8" s="694"/>
      <c r="G8" s="694"/>
      <c r="H8" s="694"/>
      <c r="I8" s="694"/>
      <c r="J8" s="694"/>
      <c r="K8" s="694"/>
      <c r="L8" s="694"/>
      <c r="M8" s="694"/>
      <c r="N8" s="694"/>
      <c r="O8" s="694"/>
      <c r="P8" s="694"/>
      <c r="Q8" s="694"/>
      <c r="R8" s="694"/>
      <c r="S8" s="694"/>
      <c r="T8" s="694"/>
      <c r="U8" s="694"/>
      <c r="V8" s="694"/>
      <c r="W8" s="694"/>
      <c r="X8" s="694"/>
      <c r="Y8" s="694"/>
      <c r="Z8" s="694"/>
      <c r="AA8" s="694"/>
      <c r="AB8" s="694"/>
      <c r="AC8" s="694"/>
      <c r="AD8" s="694">
        <f>Interims!AK31</f>
        <v>2466.3000000000002</v>
      </c>
      <c r="AE8" s="694">
        <f>Interims!AL31</f>
        <v>2655.9</v>
      </c>
      <c r="AF8" s="694">
        <f>Interims!AM31</f>
        <v>2660.4</v>
      </c>
      <c r="AG8" s="694">
        <f>Interims!AN31</f>
        <v>2324.1</v>
      </c>
      <c r="AH8" s="694">
        <f>Interims!AP31</f>
        <v>2441.9</v>
      </c>
      <c r="AI8" s="694">
        <f>Interims!AQ31</f>
        <v>2540.9</v>
      </c>
      <c r="AJ8" s="694">
        <f>Interims!AR31</f>
        <v>2569.9</v>
      </c>
      <c r="AK8" s="694">
        <f>Interims!AS31</f>
        <v>2214.6</v>
      </c>
      <c r="AL8" s="694">
        <f>Interims!AU31</f>
        <v>2306.9</v>
      </c>
      <c r="AM8" s="694">
        <f>Interims!AV31</f>
        <v>2305.6</v>
      </c>
      <c r="AN8" s="694">
        <f>Interims!AW31</f>
        <v>2399.9</v>
      </c>
      <c r="AO8" s="694">
        <f>Interims!AX31</f>
        <v>2108.9</v>
      </c>
      <c r="AP8" s="694">
        <f>Interims!AZ31</f>
        <v>2234</v>
      </c>
      <c r="AQ8" s="694">
        <f>Interims!BA31</f>
        <v>2321.4</v>
      </c>
      <c r="AR8" s="694">
        <f>Interims!BB31</f>
        <v>2436.6999999999998</v>
      </c>
      <c r="AS8" s="694">
        <f>Interims!BC31</f>
        <v>2143.6999999999998</v>
      </c>
      <c r="AT8" s="694">
        <f>Interims!BE31</f>
        <v>2154.5</v>
      </c>
      <c r="AU8" s="694">
        <f>Interims!BF31</f>
        <v>2242.6999999999998</v>
      </c>
      <c r="AV8" s="694">
        <f>Interims!BG31</f>
        <v>2261.6999999999998</v>
      </c>
      <c r="AW8" s="694">
        <f>Interims!BH31</f>
        <v>1845.4</v>
      </c>
      <c r="AX8" s="694">
        <f>Interims!BJ31</f>
        <v>1861.4</v>
      </c>
      <c r="AY8" s="694">
        <f>Interims!BK31</f>
        <v>1702.3</v>
      </c>
      <c r="AZ8" s="694">
        <f>Interims!BL31</f>
        <v>1701</v>
      </c>
      <c r="BA8" s="694">
        <f>Interims!BM31</f>
        <v>1151.5999999999999</v>
      </c>
      <c r="BB8" s="694">
        <f>Interims!BO31</f>
        <v>1608.9</v>
      </c>
      <c r="BC8" s="694">
        <f>Interims!BP31</f>
        <v>1448.4</v>
      </c>
      <c r="BD8" s="694">
        <f>Interims!BQ31</f>
        <v>1533.2</v>
      </c>
      <c r="BE8" s="694">
        <f>Interims!BR31</f>
        <v>1140.9000000000001</v>
      </c>
      <c r="BF8" s="694">
        <f>Interims!BT31</f>
        <v>1215.5999999999999</v>
      </c>
      <c r="BG8" s="694">
        <f>Interims!BU31</f>
        <v>0</v>
      </c>
      <c r="BH8" s="694">
        <f>Interims!BV31</f>
        <v>0</v>
      </c>
      <c r="BI8" s="694">
        <f>Interims!BW31</f>
        <v>0</v>
      </c>
      <c r="BJ8" s="694">
        <f>Interims!BY31</f>
        <v>0</v>
      </c>
      <c r="BK8" s="694">
        <f>Interims!BZ31</f>
        <v>0</v>
      </c>
      <c r="BL8" s="694">
        <f>Interims!CA31</f>
        <v>0</v>
      </c>
      <c r="BM8" s="694">
        <f>Interims!CB31</f>
        <v>0</v>
      </c>
      <c r="BN8" s="694">
        <f>Interims!CD31</f>
        <v>0</v>
      </c>
      <c r="BQ8" s="985" t="s">
        <v>532</v>
      </c>
      <c r="BR8" s="829"/>
      <c r="BS8" s="829"/>
      <c r="BT8" s="829"/>
      <c r="BU8" s="829">
        <f>Interims!BW20</f>
        <v>-342.1</v>
      </c>
      <c r="BV8" s="829">
        <f>Interims!BY20</f>
        <v>0</v>
      </c>
      <c r="BW8" s="829">
        <f>Interims!BZ20</f>
        <v>-102.1</v>
      </c>
      <c r="BX8" s="829"/>
      <c r="BY8" s="829">
        <f>Interims!CD20</f>
        <v>0</v>
      </c>
      <c r="BZ8" s="829">
        <v>0</v>
      </c>
      <c r="CA8" s="777"/>
      <c r="CB8" s="829">
        <f>CM8</f>
        <v>0.23077251279573799</v>
      </c>
      <c r="CC8" s="777"/>
      <c r="CE8" s="983"/>
      <c r="CF8" s="827"/>
      <c r="CG8" s="827"/>
      <c r="CH8" s="827"/>
      <c r="CI8" s="827"/>
      <c r="CJ8" s="827"/>
      <c r="CK8" s="827"/>
      <c r="CL8" s="759"/>
      <c r="CM8" s="834" cm="1">
        <f t="array" ref="CM8">_xll.VAData("TV_US", CM4, "Revenue - Eliminations", "Consensus", "CD", "","","")</f>
        <v>0.23077251279573799</v>
      </c>
      <c r="CN8" s="684"/>
    </row>
    <row r="9" spans="1:95" ht="15.75">
      <c r="A9" s="693" t="s">
        <v>890</v>
      </c>
      <c r="B9" s="694"/>
      <c r="C9" s="694"/>
      <c r="D9" s="694"/>
      <c r="E9" s="694"/>
      <c r="F9" s="694"/>
      <c r="G9" s="694"/>
      <c r="H9" s="694"/>
      <c r="I9" s="694"/>
      <c r="J9" s="694"/>
      <c r="K9" s="694"/>
      <c r="L9" s="694"/>
      <c r="M9" s="694"/>
      <c r="N9" s="694"/>
      <c r="O9" s="694"/>
      <c r="P9" s="694"/>
      <c r="Q9" s="694"/>
      <c r="R9" s="694"/>
      <c r="S9" s="694"/>
      <c r="T9" s="694"/>
      <c r="U9" s="694"/>
      <c r="V9" s="694"/>
      <c r="W9" s="694"/>
      <c r="X9" s="694"/>
      <c r="Y9" s="694"/>
      <c r="Z9" s="694"/>
      <c r="AA9" s="694"/>
      <c r="AB9" s="694"/>
      <c r="AC9" s="697">
        <f t="shared" ref="AC9:BE9" si="2">AC7/Y7-1</f>
        <v>9.8318137382040316E-2</v>
      </c>
      <c r="AD9" s="697">
        <f t="shared" si="2"/>
        <v>3.570360400777628E-2</v>
      </c>
      <c r="AE9" s="697">
        <f t="shared" si="2"/>
        <v>1.0966366226458968E-2</v>
      </c>
      <c r="AF9" s="697">
        <f t="shared" si="2"/>
        <v>-1.1006574884667164E-2</v>
      </c>
      <c r="AG9" s="697">
        <f t="shared" si="2"/>
        <v>1.1571088626909587E-2</v>
      </c>
      <c r="AH9" s="697">
        <f t="shared" si="2"/>
        <v>-1.1984261632314253E-2</v>
      </c>
      <c r="AI9" s="697">
        <f t="shared" si="2"/>
        <v>2.9954447969655629E-3</v>
      </c>
      <c r="AJ9" s="697">
        <f t="shared" si="2"/>
        <v>-6.9602585763607339E-3</v>
      </c>
      <c r="AK9" s="697">
        <f t="shared" si="2"/>
        <v>-1.9196236172963732E-2</v>
      </c>
      <c r="AL9" s="697">
        <f t="shared" si="2"/>
        <v>-3.5183223119359841E-2</v>
      </c>
      <c r="AM9" s="697">
        <f t="shared" si="2"/>
        <v>-5.4905633703258627E-2</v>
      </c>
      <c r="AN9" s="697">
        <f t="shared" si="2"/>
        <v>-1.2760527435134006E-2</v>
      </c>
      <c r="AO9" s="697">
        <f t="shared" si="2"/>
        <v>-1.5159559860121852E-2</v>
      </c>
      <c r="AP9" s="697">
        <f t="shared" si="2"/>
        <v>2.3420933050590786E-2</v>
      </c>
      <c r="AQ9" s="697">
        <f t="shared" si="2"/>
        <v>3.1151249976627104E-2</v>
      </c>
      <c r="AR9" s="697">
        <f t="shared" si="2"/>
        <v>4.8629713579229294E-2</v>
      </c>
      <c r="AS9" s="697">
        <f t="shared" si="2"/>
        <v>4.4189548437471027E-2</v>
      </c>
      <c r="AT9" s="688">
        <f t="shared" si="2"/>
        <v>4.0608291861691237E-2</v>
      </c>
      <c r="AU9" s="688">
        <f t="shared" si="2"/>
        <v>1.0045877382269364E-2</v>
      </c>
      <c r="AV9" s="688">
        <f t="shared" si="2"/>
        <v>-2.4741420889976551E-2</v>
      </c>
      <c r="AW9" s="688">
        <f t="shared" si="2"/>
        <v>-4.3530123913972485E-2</v>
      </c>
      <c r="AX9" s="688">
        <f t="shared" si="2"/>
        <v>-6.2064428957474105E-2</v>
      </c>
      <c r="AY9" s="688">
        <f t="shared" si="2"/>
        <v>-7.719789590851156E-2</v>
      </c>
      <c r="AZ9" s="688">
        <f t="shared" si="2"/>
        <v>-8.6602923398175546E-2</v>
      </c>
      <c r="BA9" s="688">
        <f t="shared" si="2"/>
        <v>-8.110120432589385E-2</v>
      </c>
      <c r="BB9" s="688">
        <f t="shared" si="2"/>
        <v>-0.1171598081771138</v>
      </c>
      <c r="BC9" s="688">
        <f t="shared" si="2"/>
        <v>-0.13435536273613358</v>
      </c>
      <c r="BD9" s="688">
        <f t="shared" si="2"/>
        <v>-0.13837083383467697</v>
      </c>
      <c r="BE9" s="688">
        <f t="shared" si="2"/>
        <v>-0.15293926994287566</v>
      </c>
      <c r="BF9" s="688">
        <f>BF7/BB7-1</f>
        <v>-0.12323943661971837</v>
      </c>
      <c r="BG9" s="688">
        <f t="shared" ref="BG9:BL9" si="3">BG7/BC7-1</f>
        <v>-0.13286886166985046</v>
      </c>
      <c r="BH9" s="688">
        <f t="shared" si="3"/>
        <v>-0.13161569613182522</v>
      </c>
      <c r="BI9" s="688">
        <f t="shared" si="3"/>
        <v>-0.12370862827625795</v>
      </c>
      <c r="BJ9" s="688">
        <f t="shared" si="3"/>
        <v>-0.15050445685179736</v>
      </c>
      <c r="BK9" s="688">
        <f t="shared" si="3"/>
        <v>-0.1629733302231553</v>
      </c>
      <c r="BL9" s="688">
        <f t="shared" si="3"/>
        <v>-0.182278684570234</v>
      </c>
      <c r="BM9" s="1959">
        <v>-0.16800000000000001</v>
      </c>
      <c r="BN9" s="1959">
        <v>-0.246</v>
      </c>
      <c r="BQ9" s="986"/>
      <c r="BR9" s="779"/>
      <c r="BS9" s="779"/>
      <c r="BT9" s="779"/>
      <c r="BU9" s="779"/>
      <c r="BV9" s="779"/>
      <c r="BW9" s="779"/>
      <c r="BX9" s="779"/>
      <c r="BY9" s="779"/>
      <c r="BZ9" s="779"/>
      <c r="CA9" s="779"/>
      <c r="CB9" s="778"/>
      <c r="CC9" s="779"/>
      <c r="CE9" s="984" t="s">
        <v>891</v>
      </c>
      <c r="CF9" s="828" t="e">
        <f>#REF!</f>
        <v>#REF!</v>
      </c>
      <c r="CG9" s="828">
        <f>BZ5</f>
        <v>14457.313499999998</v>
      </c>
      <c r="CH9" s="776" t="e">
        <f>CG9/CF9-1</f>
        <v>#REF!</v>
      </c>
      <c r="CI9" s="828">
        <f>CB5</f>
        <v>14501.625</v>
      </c>
      <c r="CJ9" s="776" t="e">
        <f>CI9/CF9-1</f>
        <v>#REF!</v>
      </c>
      <c r="CK9" s="776">
        <f>CG9/CI9-1</f>
        <v>-3.0556230767242454E-3</v>
      </c>
      <c r="CL9" s="759"/>
      <c r="CM9" s="795"/>
      <c r="CN9" s="684"/>
    </row>
    <row r="10" spans="1:95" ht="15.75">
      <c r="A10" s="693" t="s">
        <v>892</v>
      </c>
      <c r="B10" s="694"/>
      <c r="C10" s="694"/>
      <c r="D10" s="694"/>
      <c r="E10" s="694"/>
      <c r="F10" s="694"/>
      <c r="G10" s="694"/>
      <c r="H10" s="694"/>
      <c r="I10" s="694"/>
      <c r="J10" s="694"/>
      <c r="K10" s="694"/>
      <c r="L10" s="694"/>
      <c r="M10" s="694"/>
      <c r="N10" s="694"/>
      <c r="O10" s="694"/>
      <c r="P10" s="694"/>
      <c r="Q10" s="694"/>
      <c r="R10" s="694"/>
      <c r="S10" s="694"/>
      <c r="T10" s="694"/>
      <c r="U10" s="694"/>
      <c r="V10" s="694"/>
      <c r="W10" s="694"/>
      <c r="X10" s="694"/>
      <c r="Y10" s="694"/>
      <c r="Z10" s="694"/>
      <c r="AA10" s="694"/>
      <c r="AB10" s="694"/>
      <c r="AC10" s="697"/>
      <c r="AD10" s="697"/>
      <c r="AE10" s="697"/>
      <c r="AF10" s="697"/>
      <c r="AG10" s="697"/>
      <c r="AH10" s="697">
        <f>AH8/AD8-1</f>
        <v>-9.8933625268621261E-3</v>
      </c>
      <c r="AI10" s="697">
        <f t="shared" ref="AI10:BE10" si="4">AI8/AE8-1</f>
        <v>-4.3299823035505836E-2</v>
      </c>
      <c r="AJ10" s="697">
        <f t="shared" si="4"/>
        <v>-3.4017440986317871E-2</v>
      </c>
      <c r="AK10" s="697">
        <f t="shared" si="4"/>
        <v>-4.7115012262811451E-2</v>
      </c>
      <c r="AL10" s="697">
        <f t="shared" si="4"/>
        <v>-5.5284819198165414E-2</v>
      </c>
      <c r="AM10" s="697">
        <f t="shared" si="4"/>
        <v>-9.2604982486520604E-2</v>
      </c>
      <c r="AN10" s="697">
        <f t="shared" si="4"/>
        <v>-6.6150433869022085E-2</v>
      </c>
      <c r="AO10" s="697">
        <f t="shared" si="4"/>
        <v>-4.7728709473494058E-2</v>
      </c>
      <c r="AP10" s="697">
        <f t="shared" si="4"/>
        <v>-3.1600849625037952E-2</v>
      </c>
      <c r="AQ10" s="697">
        <f t="shared" si="4"/>
        <v>6.8528799444831368E-3</v>
      </c>
      <c r="AR10" s="697">
        <f t="shared" si="4"/>
        <v>1.5333972248843697E-2</v>
      </c>
      <c r="AS10" s="697">
        <f t="shared" si="4"/>
        <v>1.6501493669685452E-2</v>
      </c>
      <c r="AT10" s="688">
        <f t="shared" si="4"/>
        <v>-3.558639212175474E-2</v>
      </c>
      <c r="AU10" s="688">
        <f t="shared" si="4"/>
        <v>-3.3901955716378218E-2</v>
      </c>
      <c r="AV10" s="688">
        <f t="shared" si="4"/>
        <v>-7.1818442976156249E-2</v>
      </c>
      <c r="AW10" s="688">
        <f t="shared" si="4"/>
        <v>-0.13915193357279454</v>
      </c>
      <c r="AX10" s="688">
        <f t="shared" si="4"/>
        <v>-0.13604084474355993</v>
      </c>
      <c r="AY10" s="688">
        <f t="shared" si="4"/>
        <v>-0.24095955767601551</v>
      </c>
      <c r="AZ10" s="688">
        <f t="shared" si="4"/>
        <v>-0.24791086350974922</v>
      </c>
      <c r="BA10" s="688">
        <f t="shared" si="4"/>
        <v>-0.37596185108919489</v>
      </c>
      <c r="BB10" s="688">
        <f t="shared" si="4"/>
        <v>-0.13565058558074572</v>
      </c>
      <c r="BC10" s="688">
        <f t="shared" si="4"/>
        <v>-0.14915114844621979</v>
      </c>
      <c r="BD10" s="688">
        <f t="shared" si="4"/>
        <v>-9.8647854203409713E-2</v>
      </c>
      <c r="BE10" s="688">
        <f t="shared" si="4"/>
        <v>-9.291420632163816E-3</v>
      </c>
      <c r="BF10" s="688">
        <f>BF8/BB8-1</f>
        <v>-0.2444527316800299</v>
      </c>
      <c r="BG10" s="688"/>
      <c r="BH10" s="688"/>
      <c r="BI10" s="688"/>
      <c r="BJ10" s="688"/>
      <c r="BK10" s="688"/>
      <c r="BL10" s="688"/>
      <c r="BM10" s="688"/>
      <c r="BN10" s="688"/>
      <c r="BQ10" s="987" t="s">
        <v>893</v>
      </c>
      <c r="BR10" s="830">
        <f>Interims!BT34</f>
        <v>5883.4</v>
      </c>
      <c r="BS10" s="830">
        <f>Interims!BU34</f>
        <v>5950.1</v>
      </c>
      <c r="BT10" s="830">
        <f>Interims!BV34</f>
        <v>5717.1</v>
      </c>
      <c r="BU10" s="830">
        <f>Interims!BW34</f>
        <v>5607.3</v>
      </c>
      <c r="BV10" s="830">
        <f>Interims!BY34</f>
        <v>5702.1</v>
      </c>
      <c r="BW10" s="830">
        <f>Interims!BZ34</f>
        <v>5694.3</v>
      </c>
      <c r="BX10" s="830">
        <f>Interims!CB34</f>
        <v>5948.4</v>
      </c>
      <c r="BY10" s="830">
        <f>Interims!CD34</f>
        <v>6001.2</v>
      </c>
      <c r="BZ10" s="830">
        <f>Interims!HR34</f>
        <v>5659.875</v>
      </c>
      <c r="CA10" s="780">
        <f>BY10/BZ10-1</f>
        <v>6.0306102166567177E-2</v>
      </c>
      <c r="CB10" s="830">
        <f>CM10</f>
        <v>6001.2000000000007</v>
      </c>
      <c r="CC10" s="780">
        <f>BY10/CB10-1</f>
        <v>0</v>
      </c>
      <c r="CE10" s="985" t="s">
        <v>887</v>
      </c>
      <c r="CF10" s="829" t="e">
        <f>#REF!</f>
        <v>#REF!</v>
      </c>
      <c r="CG10" s="829">
        <f>BZ6</f>
        <v>11595.388499999999</v>
      </c>
      <c r="CH10" s="777" t="e">
        <f t="shared" ref="CH10:CH26" si="5">CG10/CF10-1</f>
        <v>#REF!</v>
      </c>
      <c r="CI10" s="829">
        <f>CB6</f>
        <v>11896.6</v>
      </c>
      <c r="CJ10" s="777" t="e">
        <f t="shared" ref="CJ10:CJ24" si="6">CI10/CF10-1</f>
        <v>#REF!</v>
      </c>
      <c r="CK10" s="777">
        <f t="shared" ref="CK10:CK24" si="7">CG10/CI10-1</f>
        <v>-2.5319124791957526E-2</v>
      </c>
      <c r="CM10" s="795">
        <f>CM11+CM12</f>
        <v>6001.2000000000007</v>
      </c>
      <c r="CN10" s="684"/>
      <c r="CP10" s="750"/>
      <c r="CQ10" s="750"/>
    </row>
    <row r="11" spans="1:95" ht="15.75">
      <c r="A11" s="684" t="s">
        <v>894</v>
      </c>
      <c r="B11" s="694">
        <v>2197</v>
      </c>
      <c r="C11" s="694">
        <v>2449</v>
      </c>
      <c r="D11" s="694">
        <v>2753</v>
      </c>
      <c r="E11" s="694">
        <v>3044</v>
      </c>
      <c r="F11" s="694">
        <v>3312</v>
      </c>
      <c r="G11" s="694">
        <v>3586</v>
      </c>
      <c r="H11" s="694">
        <v>3824</v>
      </c>
      <c r="I11" s="694">
        <v>4008</v>
      </c>
      <c r="J11" s="694">
        <v>4283.7</v>
      </c>
      <c r="K11" s="694">
        <v>4550.7</v>
      </c>
      <c r="L11" s="694">
        <v>4883.3879999999999</v>
      </c>
      <c r="M11" s="694">
        <v>5153.4449999999997</v>
      </c>
      <c r="N11" s="694">
        <v>5413.0119999999997</v>
      </c>
      <c r="O11" s="694">
        <v>5646</v>
      </c>
      <c r="P11" s="694">
        <v>5878.9250000000002</v>
      </c>
      <c r="Q11" s="694">
        <v>6015</v>
      </c>
      <c r="R11" s="694">
        <v>6154.29</v>
      </c>
      <c r="S11" s="694">
        <v>6357.5519999999997</v>
      </c>
      <c r="T11" s="684">
        <v>6518</v>
      </c>
      <c r="U11" s="684">
        <v>6638</v>
      </c>
      <c r="V11" s="694">
        <v>6767</v>
      </c>
      <c r="W11" s="694">
        <v>6887</v>
      </c>
      <c r="X11" s="694">
        <v>7053.7</v>
      </c>
      <c r="Y11" s="694">
        <v>7284.1620000000003</v>
      </c>
      <c r="Z11" s="694">
        <v>7682.3789999999999</v>
      </c>
      <c r="AA11" s="694">
        <v>7803.6139999999996</v>
      </c>
      <c r="AB11" s="694">
        <v>7926.6779999999999</v>
      </c>
      <c r="AC11" s="694">
        <f>AB11+99.8</f>
        <v>8026.4780000000001</v>
      </c>
      <c r="AD11" s="772">
        <v>8008.1480000000001</v>
      </c>
      <c r="AE11" s="772">
        <v>8013.97</v>
      </c>
      <c r="AF11" s="773">
        <v>8015</v>
      </c>
      <c r="AG11" s="772">
        <v>8002.5259999999998</v>
      </c>
      <c r="AH11" s="772">
        <v>7910.2250000000004</v>
      </c>
      <c r="AI11" s="772">
        <v>7961.4809999999998</v>
      </c>
      <c r="AJ11" s="772">
        <v>7835.6570000000002</v>
      </c>
      <c r="AK11" s="772">
        <f>7637.04</f>
        <v>7637.04</v>
      </c>
      <c r="AL11" s="772">
        <f>7386.347</f>
        <v>7386.3469999999998</v>
      </c>
      <c r="AM11" s="772">
        <f>7393.726</f>
        <v>7393.7259999999997</v>
      </c>
      <c r="AN11" s="772">
        <v>7412.7280000000001</v>
      </c>
      <c r="AO11" s="772">
        <v>7429.3509999999997</v>
      </c>
      <c r="AP11" s="772">
        <v>7437.4690000000001</v>
      </c>
      <c r="AQ11" s="772">
        <v>7457.1620000000003</v>
      </c>
      <c r="AR11" s="772">
        <v>7472</v>
      </c>
      <c r="AS11" s="772">
        <v>7477</v>
      </c>
      <c r="AT11" s="772">
        <v>7487</v>
      </c>
      <c r="AU11" s="772">
        <v>7489.8760000000002</v>
      </c>
      <c r="AV11" s="772">
        <f>AW11+80.203</f>
        <v>7488.2780000000002</v>
      </c>
      <c r="AW11" s="772">
        <v>7408.0749999999998</v>
      </c>
      <c r="AX11" s="772">
        <v>7244.2460000000001</v>
      </c>
      <c r="AY11" s="772">
        <v>7019.3689999999997</v>
      </c>
      <c r="AZ11" s="772">
        <v>6638.6019999999999</v>
      </c>
      <c r="BA11" s="772">
        <v>6257</v>
      </c>
      <c r="BB11" s="772">
        <v>6073.3220000000001</v>
      </c>
      <c r="BC11" s="772">
        <v>5909.2280000000001</v>
      </c>
      <c r="BD11" s="772">
        <v>5697.9470000000001</v>
      </c>
      <c r="BE11" s="772">
        <v>5567.4260000000004</v>
      </c>
      <c r="BF11" s="694">
        <f>Interims!BT287</f>
        <v>5354.9939999999997</v>
      </c>
      <c r="BG11" s="694">
        <f>Interims!BU287</f>
        <v>5144.8940000000002</v>
      </c>
      <c r="BH11" s="694">
        <f>Interims!BV287</f>
        <v>4927.9279999999999</v>
      </c>
      <c r="BI11" s="694">
        <f>Interims!BW287</f>
        <v>4696.0379999999996</v>
      </c>
      <c r="BJ11" s="694">
        <f>Interims!BY287</f>
        <v>4404.5339999999997</v>
      </c>
      <c r="BK11" s="694">
        <f>Interims!BZ287</f>
        <v>4093.569</v>
      </c>
      <c r="BL11" s="694">
        <f>Interims!CA287</f>
        <v>3793.8119999999999</v>
      </c>
      <c r="BM11" s="694">
        <f>Interims!CB287</f>
        <v>3516.1959999999999</v>
      </c>
      <c r="BN11" s="694">
        <f>Interims!CD287</f>
        <v>3215.605</v>
      </c>
      <c r="BQ11" s="986" t="s">
        <v>895</v>
      </c>
      <c r="BR11" s="778"/>
      <c r="BS11" s="778"/>
      <c r="BT11" s="778"/>
      <c r="BU11" s="778"/>
      <c r="BV11" s="778"/>
      <c r="BW11" s="778"/>
      <c r="BX11" s="778"/>
      <c r="BY11" s="778"/>
      <c r="BZ11" s="778"/>
      <c r="CA11" s="779"/>
      <c r="CB11" s="778"/>
      <c r="CC11" s="779"/>
      <c r="CE11" s="986" t="s">
        <v>889</v>
      </c>
      <c r="CF11" s="778" t="e">
        <f>#REF!</f>
        <v>#REF!</v>
      </c>
      <c r="CG11" s="778">
        <f>BZ7</f>
        <v>2861.9249999999997</v>
      </c>
      <c r="CH11" s="779" t="e">
        <f t="shared" si="5"/>
        <v>#REF!</v>
      </c>
      <c r="CI11" s="778">
        <f>CB7</f>
        <v>2615.9</v>
      </c>
      <c r="CJ11" s="779" t="e">
        <f t="shared" si="6"/>
        <v>#REF!</v>
      </c>
      <c r="CK11" s="779">
        <f t="shared" si="7"/>
        <v>9.4049849000343855E-2</v>
      </c>
      <c r="CL11" s="759"/>
      <c r="CM11" s="834" cm="1">
        <f t="array" ref="CM11">_xll.VAData("TV_US", CM4, "EBITDA - Cable &amp; Telecom", "Consensus", "CD", "IMPL","","")</f>
        <v>4884.0966900000003</v>
      </c>
      <c r="CN11" s="684"/>
    </row>
    <row r="12" spans="1:95" ht="15.75">
      <c r="A12" s="684" t="s">
        <v>896</v>
      </c>
      <c r="B12" s="694"/>
      <c r="C12" s="694">
        <f t="shared" ref="C12:AH12" si="8">C11-B11</f>
        <v>252</v>
      </c>
      <c r="D12" s="694">
        <f t="shared" si="8"/>
        <v>304</v>
      </c>
      <c r="E12" s="694">
        <f t="shared" si="8"/>
        <v>291</v>
      </c>
      <c r="F12" s="694">
        <f t="shared" si="8"/>
        <v>268</v>
      </c>
      <c r="G12" s="694">
        <f t="shared" si="8"/>
        <v>274</v>
      </c>
      <c r="H12" s="694">
        <f t="shared" si="8"/>
        <v>238</v>
      </c>
      <c r="I12" s="694">
        <f t="shared" si="8"/>
        <v>184</v>
      </c>
      <c r="J12" s="694">
        <f t="shared" si="8"/>
        <v>275.69999999999982</v>
      </c>
      <c r="K12" s="694">
        <f t="shared" si="8"/>
        <v>267</v>
      </c>
      <c r="L12" s="694">
        <f t="shared" si="8"/>
        <v>332.6880000000001</v>
      </c>
      <c r="M12" s="694">
        <f t="shared" si="8"/>
        <v>270.05699999999979</v>
      </c>
      <c r="N12" s="694">
        <f t="shared" si="8"/>
        <v>259.56700000000001</v>
      </c>
      <c r="O12" s="694">
        <f t="shared" si="8"/>
        <v>232.98800000000028</v>
      </c>
      <c r="P12" s="694">
        <f t="shared" si="8"/>
        <v>232.92500000000018</v>
      </c>
      <c r="Q12" s="694">
        <f t="shared" si="8"/>
        <v>136.07499999999982</v>
      </c>
      <c r="R12" s="694">
        <f t="shared" si="8"/>
        <v>139.28999999999996</v>
      </c>
      <c r="S12" s="694">
        <f t="shared" si="8"/>
        <v>203.26199999999972</v>
      </c>
      <c r="T12" s="694">
        <f t="shared" si="8"/>
        <v>160.44800000000032</v>
      </c>
      <c r="U12" s="694">
        <f t="shared" si="8"/>
        <v>120</v>
      </c>
      <c r="V12" s="694">
        <f t="shared" si="8"/>
        <v>129</v>
      </c>
      <c r="W12" s="694">
        <f t="shared" si="8"/>
        <v>120</v>
      </c>
      <c r="X12" s="694">
        <f t="shared" si="8"/>
        <v>166.69999999999982</v>
      </c>
      <c r="Y12" s="694">
        <f t="shared" si="8"/>
        <v>230.46200000000044</v>
      </c>
      <c r="Z12" s="694">
        <f t="shared" si="8"/>
        <v>398.21699999999964</v>
      </c>
      <c r="AA12" s="694">
        <f t="shared" si="8"/>
        <v>121.23499999999967</v>
      </c>
      <c r="AB12" s="694">
        <f t="shared" si="8"/>
        <v>123.06400000000031</v>
      </c>
      <c r="AC12" s="694">
        <f t="shared" si="8"/>
        <v>99.800000000000182</v>
      </c>
      <c r="AD12" s="694">
        <f t="shared" si="8"/>
        <v>-18.329999999999927</v>
      </c>
      <c r="AE12" s="694">
        <f t="shared" si="8"/>
        <v>5.8220000000001164</v>
      </c>
      <c r="AF12" s="694">
        <f t="shared" si="8"/>
        <v>1.0299999999997453</v>
      </c>
      <c r="AG12" s="694">
        <f t="shared" si="8"/>
        <v>-12.47400000000016</v>
      </c>
      <c r="AH12" s="694">
        <f t="shared" si="8"/>
        <v>-92.300999999999476</v>
      </c>
      <c r="AI12" s="694">
        <f t="shared" ref="AI12:AY12" si="9">AI11-AH11</f>
        <v>51.255999999999403</v>
      </c>
      <c r="AJ12" s="694">
        <f t="shared" si="9"/>
        <v>-125.82399999999961</v>
      </c>
      <c r="AK12" s="694">
        <f t="shared" si="9"/>
        <v>-198.61700000000019</v>
      </c>
      <c r="AL12" s="694">
        <f t="shared" si="9"/>
        <v>-250.69300000000021</v>
      </c>
      <c r="AM12" s="694">
        <f t="shared" si="9"/>
        <v>7.3789999999999054</v>
      </c>
      <c r="AN12" s="694">
        <f t="shared" si="9"/>
        <v>19.002000000000407</v>
      </c>
      <c r="AO12" s="694">
        <f t="shared" si="9"/>
        <v>16.622999999999593</v>
      </c>
      <c r="AP12" s="694">
        <f t="shared" si="9"/>
        <v>8.1180000000003929</v>
      </c>
      <c r="AQ12" s="694">
        <f t="shared" si="9"/>
        <v>19.693000000000211</v>
      </c>
      <c r="AR12" s="694">
        <f t="shared" si="9"/>
        <v>14.837999999999738</v>
      </c>
      <c r="AS12" s="694">
        <f t="shared" si="9"/>
        <v>5</v>
      </c>
      <c r="AT12" s="694">
        <f t="shared" si="9"/>
        <v>10</v>
      </c>
      <c r="AU12" s="694">
        <f t="shared" si="9"/>
        <v>2.8760000000002037</v>
      </c>
      <c r="AV12" s="694">
        <f t="shared" si="9"/>
        <v>-1.5979999999999563</v>
      </c>
      <c r="AW12" s="694">
        <f t="shared" si="9"/>
        <v>-80.203000000000429</v>
      </c>
      <c r="AX12" s="694">
        <f t="shared" si="9"/>
        <v>-163.82899999999972</v>
      </c>
      <c r="AY12" s="694">
        <f t="shared" si="9"/>
        <v>-224.87700000000041</v>
      </c>
      <c r="AZ12" s="694">
        <f t="shared" ref="AZ12:BN12" si="10">AZ11-AY11</f>
        <v>-380.76699999999983</v>
      </c>
      <c r="BA12" s="694">
        <f t="shared" si="10"/>
        <v>-381.60199999999986</v>
      </c>
      <c r="BB12" s="694">
        <f t="shared" si="10"/>
        <v>-183.67799999999988</v>
      </c>
      <c r="BC12" s="694">
        <f t="shared" si="10"/>
        <v>-164.09400000000005</v>
      </c>
      <c r="BD12" s="694">
        <f t="shared" si="10"/>
        <v>-211.28099999999995</v>
      </c>
      <c r="BE12" s="694">
        <f t="shared" si="10"/>
        <v>-130.52099999999973</v>
      </c>
      <c r="BF12" s="694">
        <f t="shared" si="10"/>
        <v>-212.4320000000007</v>
      </c>
      <c r="BG12" s="694">
        <f t="shared" si="10"/>
        <v>-210.09999999999945</v>
      </c>
      <c r="BH12" s="694">
        <f t="shared" si="10"/>
        <v>-216.96600000000035</v>
      </c>
      <c r="BI12" s="694">
        <f t="shared" si="10"/>
        <v>-231.89000000000033</v>
      </c>
      <c r="BJ12" s="694">
        <f t="shared" si="10"/>
        <v>-291.50399999999991</v>
      </c>
      <c r="BK12" s="694">
        <f t="shared" si="10"/>
        <v>-310.96499999999969</v>
      </c>
      <c r="BL12" s="694">
        <f t="shared" si="10"/>
        <v>-299.75700000000006</v>
      </c>
      <c r="BM12" s="694">
        <f t="shared" si="10"/>
        <v>-277.61599999999999</v>
      </c>
      <c r="BN12" s="694">
        <f t="shared" si="10"/>
        <v>-300.59099999999989</v>
      </c>
      <c r="BQ12" s="985" t="s">
        <v>897</v>
      </c>
      <c r="BR12" s="829"/>
      <c r="BS12" s="829"/>
      <c r="BT12" s="829"/>
      <c r="BU12" s="829"/>
      <c r="BV12" s="829"/>
      <c r="BW12" s="829"/>
      <c r="BX12" s="829"/>
      <c r="BY12" s="829"/>
      <c r="BZ12" s="829"/>
      <c r="CA12" s="777"/>
      <c r="CB12" s="829"/>
      <c r="CC12" s="777"/>
      <c r="CE12" s="985" t="s">
        <v>898</v>
      </c>
      <c r="CF12" s="829" t="e">
        <f>#REF!</f>
        <v>#REF!</v>
      </c>
      <c r="CG12" s="829">
        <f>BZ8</f>
        <v>0</v>
      </c>
      <c r="CH12" s="777" t="e">
        <f t="shared" si="5"/>
        <v>#REF!</v>
      </c>
      <c r="CI12" s="829">
        <f>CB8</f>
        <v>0.23077251279573799</v>
      </c>
      <c r="CJ12" s="777" t="e">
        <f t="shared" si="6"/>
        <v>#REF!</v>
      </c>
      <c r="CK12" s="777">
        <f t="shared" si="7"/>
        <v>-1</v>
      </c>
      <c r="CL12" s="759"/>
      <c r="CM12" s="834" cm="1">
        <f t="array" ref="CM12">_xll.VAData("TV_US", CM4, "EBITDA - Sky Mexico and CA", "Consensus", "CD", "IMPL","","")</f>
        <v>1117.10331</v>
      </c>
      <c r="CN12" s="684"/>
    </row>
    <row r="13" spans="1:95" ht="15.75">
      <c r="A13" s="684" t="s">
        <v>589</v>
      </c>
      <c r="B13" s="694"/>
      <c r="C13" s="694">
        <f t="shared" ref="C13:AH13" si="11">C7/AVERAGE(B11,C11)/3*1000</f>
        <v>406.45716745587595</v>
      </c>
      <c r="D13" s="694">
        <f t="shared" si="11"/>
        <v>370.99833397411254</v>
      </c>
      <c r="E13" s="694">
        <f t="shared" si="11"/>
        <v>330.60778563624876</v>
      </c>
      <c r="F13" s="694">
        <f t="shared" si="11"/>
        <v>317.69456681350954</v>
      </c>
      <c r="G13" s="694">
        <f t="shared" si="11"/>
        <v>301.76862858799655</v>
      </c>
      <c r="H13" s="694">
        <f t="shared" si="11"/>
        <v>281.75438596491227</v>
      </c>
      <c r="I13" s="694">
        <f t="shared" si="11"/>
        <v>272.06332992849849</v>
      </c>
      <c r="J13" s="694">
        <f t="shared" si="11"/>
        <v>272.29639277832047</v>
      </c>
      <c r="K13" s="694">
        <f t="shared" si="11"/>
        <v>267.55259742219812</v>
      </c>
      <c r="L13" s="694">
        <f t="shared" si="11"/>
        <v>263.06729383910772</v>
      </c>
      <c r="M13" s="694">
        <f t="shared" si="11"/>
        <v>253.10108610289055</v>
      </c>
      <c r="N13" s="694">
        <f t="shared" si="11"/>
        <v>241.44327658741247</v>
      </c>
      <c r="O13" s="694">
        <f t="shared" si="11"/>
        <v>241.18489668576785</v>
      </c>
      <c r="P13" s="694">
        <f t="shared" si="11"/>
        <v>236.57709992328225</v>
      </c>
      <c r="Q13" s="694">
        <f t="shared" si="11"/>
        <v>234.33811798880521</v>
      </c>
      <c r="R13" s="694">
        <f t="shared" si="11"/>
        <v>230.04354951411844</v>
      </c>
      <c r="S13" s="694">
        <f t="shared" si="11"/>
        <v>230.87994024647477</v>
      </c>
      <c r="T13" s="694">
        <f t="shared" si="11"/>
        <v>231.79847616112562</v>
      </c>
      <c r="U13" s="694">
        <f t="shared" si="11"/>
        <v>227.495692713084</v>
      </c>
      <c r="V13" s="694">
        <f t="shared" si="11"/>
        <v>229.84955862240454</v>
      </c>
      <c r="W13" s="694">
        <f t="shared" si="11"/>
        <v>230.67721302670765</v>
      </c>
      <c r="X13" s="694">
        <f t="shared" si="11"/>
        <v>234.08676274027366</v>
      </c>
      <c r="Y13" s="694">
        <f t="shared" si="11"/>
        <v>233.05659751316708</v>
      </c>
      <c r="Z13" s="694">
        <f t="shared" si="11"/>
        <v>238.29153309371887</v>
      </c>
      <c r="AA13" s="694">
        <f t="shared" si="11"/>
        <v>240.24721350879256</v>
      </c>
      <c r="AB13" s="694">
        <f t="shared" si="11"/>
        <v>233.34171630973751</v>
      </c>
      <c r="AC13" s="694">
        <f t="shared" si="11"/>
        <v>230.05270346924877</v>
      </c>
      <c r="AD13" s="694">
        <f t="shared" si="11"/>
        <v>230.35980591835028</v>
      </c>
      <c r="AE13" s="694">
        <f t="shared" si="11"/>
        <v>234.75464771053777</v>
      </c>
      <c r="AF13" s="694">
        <f t="shared" si="11"/>
        <v>226.47327515949763</v>
      </c>
      <c r="AG13" s="694">
        <f t="shared" si="11"/>
        <v>231.77944792056735</v>
      </c>
      <c r="AH13" s="694">
        <f t="shared" si="11"/>
        <v>229.34228447781697</v>
      </c>
      <c r="AI13" s="694">
        <f t="shared" ref="AI13:BN13" si="12">AI7/AVERAGE(AH11,AI11)/3*1000</f>
        <v>237.68921458936634</v>
      </c>
      <c r="AJ13" s="694">
        <f t="shared" si="12"/>
        <v>228.19745365690085</v>
      </c>
      <c r="AK13" s="694">
        <f t="shared" si="12"/>
        <v>235.33496885944749</v>
      </c>
      <c r="AL13" s="694">
        <f t="shared" si="12"/>
        <v>234.37236001886041</v>
      </c>
      <c r="AM13" s="694">
        <f t="shared" si="12"/>
        <v>241.23020231361511</v>
      </c>
      <c r="AN13" s="694">
        <f t="shared" si="12"/>
        <v>240.3591478869057</v>
      </c>
      <c r="AO13" s="694">
        <f t="shared" si="12"/>
        <v>241.61484834211345</v>
      </c>
      <c r="AP13" s="694">
        <f t="shared" si="12"/>
        <v>242.38763456699775</v>
      </c>
      <c r="AQ13" s="694">
        <f t="shared" si="12"/>
        <v>246.83167153766121</v>
      </c>
      <c r="AR13" s="694">
        <f t="shared" si="12"/>
        <v>249.97607590656011</v>
      </c>
      <c r="AS13" s="694">
        <f t="shared" si="12"/>
        <v>250.48721207661612</v>
      </c>
      <c r="AT13" s="694">
        <f t="shared" si="12"/>
        <v>250.59253319076896</v>
      </c>
      <c r="AU13" s="694">
        <f t="shared" si="12"/>
        <v>247.94222773828133</v>
      </c>
      <c r="AV13" s="694">
        <f t="shared" si="12"/>
        <v>242.99389631058673</v>
      </c>
      <c r="AW13" s="694">
        <f t="shared" si="12"/>
        <v>240.43021357867485</v>
      </c>
      <c r="AX13" s="694">
        <f t="shared" si="12"/>
        <v>240.0393311976535</v>
      </c>
      <c r="AY13" s="694">
        <f t="shared" si="12"/>
        <v>240.2429772069236</v>
      </c>
      <c r="AZ13" s="694">
        <f t="shared" si="12"/>
        <v>243.40365051294958</v>
      </c>
      <c r="BA13" s="694">
        <f t="shared" si="12"/>
        <v>255.20845530644226</v>
      </c>
      <c r="BB13" s="694">
        <f t="shared" si="12"/>
        <v>251.82364796853375</v>
      </c>
      <c r="BC13" s="694">
        <f t="shared" si="12"/>
        <v>247.55442984451</v>
      </c>
      <c r="BD13" s="694">
        <f t="shared" si="12"/>
        <v>246.77839353675637</v>
      </c>
      <c r="BE13" s="694">
        <f t="shared" si="12"/>
        <v>247.46036667701401</v>
      </c>
      <c r="BF13" s="694">
        <f t="shared" si="12"/>
        <v>249.24879284993617</v>
      </c>
      <c r="BG13" s="694">
        <f t="shared" si="12"/>
        <v>244.97404162787262</v>
      </c>
      <c r="BH13" s="694">
        <f t="shared" si="12"/>
        <v>246.94172099933863</v>
      </c>
      <c r="BI13" s="694">
        <f t="shared" si="12"/>
        <v>253.83159777026094</v>
      </c>
      <c r="BJ13" s="694">
        <f t="shared" si="12"/>
        <v>254.12322067960858</v>
      </c>
      <c r="BK13" s="694">
        <f t="shared" si="12"/>
        <v>253.35065955307911</v>
      </c>
      <c r="BL13" s="694">
        <f t="shared" si="12"/>
        <v>257.88027736963642</v>
      </c>
      <c r="BM13" s="694">
        <f t="shared" si="12"/>
        <v>255.22999883629859</v>
      </c>
      <c r="BN13" s="694">
        <f t="shared" si="12"/>
        <v>259.05895514934764</v>
      </c>
      <c r="BQ13" s="986" t="s">
        <v>899</v>
      </c>
      <c r="BR13" s="778"/>
      <c r="BS13" s="778"/>
      <c r="BT13" s="778"/>
      <c r="BU13" s="778"/>
      <c r="BV13" s="778"/>
      <c r="BW13" s="778"/>
      <c r="BX13" s="778"/>
      <c r="BY13" s="778"/>
      <c r="BZ13" s="778"/>
      <c r="CA13" s="779"/>
      <c r="CB13" s="778"/>
      <c r="CC13" s="779"/>
      <c r="CE13" s="986"/>
      <c r="CF13" s="779"/>
      <c r="CG13" s="779"/>
      <c r="CH13" s="779"/>
      <c r="CI13" s="779"/>
      <c r="CJ13" s="779"/>
      <c r="CK13" s="779"/>
      <c r="CL13" s="759"/>
      <c r="CM13" s="795"/>
      <c r="CN13" s="684"/>
    </row>
    <row r="14" spans="1:95" ht="15.75">
      <c r="A14" s="684" t="s">
        <v>900</v>
      </c>
      <c r="B14" s="694"/>
      <c r="C14" s="694"/>
      <c r="D14" s="694"/>
      <c r="E14" s="694"/>
      <c r="F14" s="694"/>
      <c r="G14" s="694"/>
      <c r="H14" s="694"/>
      <c r="I14" s="694"/>
      <c r="J14" s="694"/>
      <c r="K14" s="694"/>
      <c r="L14" s="694"/>
      <c r="M14" s="694"/>
      <c r="N14" s="694"/>
      <c r="O14" s="694"/>
      <c r="P14" s="694"/>
      <c r="Q14" s="694"/>
      <c r="R14" s="694"/>
      <c r="S14" s="694"/>
      <c r="T14" s="694"/>
      <c r="U14" s="694"/>
      <c r="V14" s="694"/>
      <c r="W14" s="694"/>
      <c r="X14" s="694"/>
      <c r="Y14" s="694"/>
      <c r="Z14" s="694"/>
      <c r="AA14" s="694"/>
      <c r="AB14" s="694"/>
      <c r="AC14" s="694"/>
      <c r="AD14" s="694"/>
      <c r="AE14" s="694"/>
      <c r="AF14" s="694"/>
      <c r="AG14" s="694"/>
      <c r="AH14" s="697">
        <f t="shared" ref="AH14:BN14" si="13">AH13/AD13-1</f>
        <v>-4.4170962745729847E-3</v>
      </c>
      <c r="AI14" s="697">
        <f t="shared" si="13"/>
        <v>1.2500569881994439E-2</v>
      </c>
      <c r="AJ14" s="697">
        <f t="shared" si="13"/>
        <v>7.613165377631903E-3</v>
      </c>
      <c r="AK14" s="697">
        <f t="shared" si="13"/>
        <v>1.5340104443162916E-2</v>
      </c>
      <c r="AL14" s="697">
        <f t="shared" si="13"/>
        <v>2.1932612873793778E-2</v>
      </c>
      <c r="AM14" s="697">
        <f t="shared" si="13"/>
        <v>1.4897553220352133E-2</v>
      </c>
      <c r="AN14" s="697">
        <f t="shared" si="13"/>
        <v>5.3294609712386087E-2</v>
      </c>
      <c r="AO14" s="697">
        <f t="shared" si="13"/>
        <v>2.6684854839471805E-2</v>
      </c>
      <c r="AP14" s="697">
        <f t="shared" si="13"/>
        <v>3.4198889952263833E-2</v>
      </c>
      <c r="AQ14" s="697">
        <f t="shared" si="13"/>
        <v>2.3220430818044147E-2</v>
      </c>
      <c r="AR14" s="697">
        <f t="shared" si="13"/>
        <v>4.0010659482697886E-2</v>
      </c>
      <c r="AS14" s="697">
        <f t="shared" si="13"/>
        <v>3.6721103009115907E-2</v>
      </c>
      <c r="AT14" s="697">
        <f t="shared" si="13"/>
        <v>3.3850318472014695E-2</v>
      </c>
      <c r="AU14" s="697">
        <f t="shared" si="13"/>
        <v>4.4992451483305551E-3</v>
      </c>
      <c r="AV14" s="697">
        <f t="shared" si="13"/>
        <v>-2.7931391316756593E-2</v>
      </c>
      <c r="AW14" s="697">
        <f t="shared" si="13"/>
        <v>-4.0149748222935822E-2</v>
      </c>
      <c r="AX14" s="697">
        <f t="shared" si="13"/>
        <v>-4.2112994584246555E-2</v>
      </c>
      <c r="AY14" s="697">
        <f t="shared" si="13"/>
        <v>-3.1052598831550315E-2</v>
      </c>
      <c r="AZ14" s="697">
        <f t="shared" si="13"/>
        <v>1.6862736413720825E-3</v>
      </c>
      <c r="BA14" s="697">
        <f t="shared" si="13"/>
        <v>6.1465826227915299E-2</v>
      </c>
      <c r="BB14" s="697">
        <f t="shared" si="13"/>
        <v>4.9093274473327009E-2</v>
      </c>
      <c r="BC14" s="697">
        <f t="shared" si="13"/>
        <v>3.0433574885683212E-2</v>
      </c>
      <c r="BD14" s="697">
        <f t="shared" si="13"/>
        <v>1.3864800370474439E-2</v>
      </c>
      <c r="BE14" s="697">
        <f t="shared" si="13"/>
        <v>-3.035984297669414E-2</v>
      </c>
      <c r="BF14" s="697">
        <f t="shared" si="13"/>
        <v>-1.0224834479878986E-2</v>
      </c>
      <c r="BG14" s="697">
        <f t="shared" si="13"/>
        <v>-1.0423518651062391E-2</v>
      </c>
      <c r="BH14" s="697">
        <f t="shared" si="13"/>
        <v>6.6183858417057095E-4</v>
      </c>
      <c r="BI14" s="697">
        <f t="shared" si="13"/>
        <v>2.5746470753285067E-2</v>
      </c>
      <c r="BJ14" s="697">
        <f t="shared" si="13"/>
        <v>1.9556475174614452E-2</v>
      </c>
      <c r="BK14" s="697">
        <f t="shared" si="13"/>
        <v>3.4193900176292757E-2</v>
      </c>
      <c r="BL14" s="697">
        <f t="shared" si="13"/>
        <v>4.42961048705377E-2</v>
      </c>
      <c r="BM14" s="697">
        <f t="shared" si="13"/>
        <v>5.5091685917816324E-3</v>
      </c>
      <c r="BN14" s="697">
        <f t="shared" si="13"/>
        <v>1.9422603162903673E-2</v>
      </c>
      <c r="BQ14" s="987" t="s">
        <v>208</v>
      </c>
      <c r="BR14" s="1465">
        <f t="shared" ref="BR14:BZ14" si="14">BR10/BR5</f>
        <v>0.36788954684441882</v>
      </c>
      <c r="BS14" s="1465">
        <f t="shared" si="14"/>
        <v>0.37747016767006497</v>
      </c>
      <c r="BT14" s="1465">
        <f t="shared" si="14"/>
        <v>0.37108363353130175</v>
      </c>
      <c r="BU14" s="1465">
        <f t="shared" si="14"/>
        <v>0.36826170335732678</v>
      </c>
      <c r="BV14" s="1465">
        <f t="shared" si="14"/>
        <v>0.37997027994162608</v>
      </c>
      <c r="BW14" s="1465">
        <f t="shared" si="14"/>
        <v>0.38659415862153246</v>
      </c>
      <c r="BX14" s="1465">
        <f t="shared" si="14"/>
        <v>0.40887532478244726</v>
      </c>
      <c r="BY14" s="1465">
        <f t="shared" si="14"/>
        <v>0.41351937984496123</v>
      </c>
      <c r="BZ14" s="1465">
        <f t="shared" si="14"/>
        <v>0.39148870915747941</v>
      </c>
      <c r="CA14" s="759"/>
      <c r="CB14" s="1465">
        <f>CB10/CB5</f>
        <v>0.41382948462672292</v>
      </c>
      <c r="CC14" s="759"/>
      <c r="CE14" s="987" t="s">
        <v>893</v>
      </c>
      <c r="CF14" s="830" t="e">
        <f>#REF!</f>
        <v>#REF!</v>
      </c>
      <c r="CG14" s="830">
        <f>BZ10</f>
        <v>5659.875</v>
      </c>
      <c r="CH14" s="780" t="e">
        <f t="shared" si="5"/>
        <v>#REF!</v>
      </c>
      <c r="CI14" s="830">
        <f>CB10</f>
        <v>6001.2000000000007</v>
      </c>
      <c r="CJ14" s="780" t="e">
        <f t="shared" si="6"/>
        <v>#REF!</v>
      </c>
      <c r="CK14" s="780">
        <f t="shared" si="7"/>
        <v>-5.6876124775045112E-2</v>
      </c>
      <c r="CL14" s="759"/>
      <c r="CM14" s="795"/>
      <c r="CN14" s="684"/>
    </row>
    <row r="15" spans="1:95" ht="15.75">
      <c r="A15" s="684"/>
      <c r="B15" s="684"/>
      <c r="C15" s="684"/>
      <c r="D15" s="684"/>
      <c r="E15" s="684"/>
      <c r="F15" s="684"/>
      <c r="G15" s="684"/>
      <c r="H15" s="684"/>
      <c r="I15" s="684"/>
      <c r="J15" s="684"/>
      <c r="K15" s="684"/>
      <c r="L15" s="684"/>
      <c r="M15" s="684"/>
      <c r="N15" s="684"/>
      <c r="O15" s="684"/>
      <c r="P15" s="684"/>
      <c r="Q15" s="684"/>
      <c r="R15" s="684"/>
      <c r="S15" s="684"/>
      <c r="T15" s="684"/>
      <c r="U15" s="684"/>
      <c r="V15" s="684"/>
      <c r="W15" s="684"/>
      <c r="X15" s="684"/>
      <c r="Y15" s="684"/>
      <c r="Z15" s="688"/>
      <c r="AA15" s="688"/>
      <c r="AB15" s="688"/>
      <c r="AC15" s="684"/>
      <c r="AD15" s="684"/>
      <c r="AE15" s="684"/>
      <c r="AF15" s="684"/>
      <c r="AG15" s="684"/>
      <c r="AH15" s="684"/>
      <c r="AI15" s="684"/>
      <c r="AJ15" s="684"/>
      <c r="AK15" s="684"/>
      <c r="AL15" s="684"/>
      <c r="AM15" s="684"/>
      <c r="AN15" s="684"/>
      <c r="AO15" s="684"/>
      <c r="AP15" s="684"/>
      <c r="AQ15" s="684"/>
      <c r="AR15" s="684"/>
      <c r="AS15" s="684"/>
      <c r="AT15" s="684"/>
      <c r="AU15" s="684"/>
      <c r="AV15" s="684"/>
      <c r="AW15" s="684"/>
      <c r="AX15" s="684"/>
      <c r="AY15" s="684"/>
      <c r="AZ15" s="684"/>
      <c r="BA15" s="684"/>
      <c r="BB15" s="684"/>
      <c r="BC15" s="684"/>
      <c r="BD15" s="684"/>
      <c r="BE15" s="684"/>
      <c r="BF15" s="684"/>
      <c r="BG15" s="684"/>
      <c r="BH15" s="684"/>
      <c r="BI15" s="684"/>
      <c r="BJ15" s="684"/>
      <c r="BK15" s="684"/>
      <c r="BL15" s="684"/>
      <c r="BM15" s="684"/>
      <c r="BN15" s="684"/>
      <c r="BQ15" s="793"/>
      <c r="BR15" s="793"/>
      <c r="BS15" s="793"/>
      <c r="BT15" s="793"/>
      <c r="BU15" s="793"/>
      <c r="BV15" s="793"/>
      <c r="BW15" s="793"/>
      <c r="BX15" s="793"/>
      <c r="BY15" s="793"/>
      <c r="BZ15" s="793"/>
      <c r="CA15" s="793"/>
      <c r="CB15" s="793"/>
      <c r="CC15" s="793"/>
      <c r="CE15" s="986" t="s">
        <v>895</v>
      </c>
      <c r="CF15" s="778" t="e">
        <f>#REF!</f>
        <v>#REF!</v>
      </c>
      <c r="CG15" s="778">
        <f>BZ11</f>
        <v>0</v>
      </c>
      <c r="CH15" s="779" t="e">
        <f t="shared" si="5"/>
        <v>#REF!</v>
      </c>
      <c r="CI15" s="778">
        <f>CB11</f>
        <v>0</v>
      </c>
      <c r="CJ15" s="779" t="e">
        <f t="shared" si="6"/>
        <v>#REF!</v>
      </c>
      <c r="CK15" s="779" t="e">
        <f t="shared" si="7"/>
        <v>#DIV/0!</v>
      </c>
      <c r="CL15" s="759"/>
      <c r="CN15" s="684"/>
    </row>
    <row r="16" spans="1:95" ht="15.75">
      <c r="A16" s="684" t="s">
        <v>901</v>
      </c>
      <c r="B16" s="684"/>
      <c r="C16" s="684"/>
      <c r="D16" s="684"/>
      <c r="E16" s="684"/>
      <c r="F16" s="684"/>
      <c r="G16" s="684"/>
      <c r="H16" s="684"/>
      <c r="I16" s="684"/>
      <c r="J16" s="684"/>
      <c r="K16" s="684"/>
      <c r="L16" s="684"/>
      <c r="M16" s="684"/>
      <c r="N16" s="684"/>
      <c r="O16" s="684"/>
      <c r="P16" s="684"/>
      <c r="Q16" s="684"/>
      <c r="R16" s="684"/>
      <c r="S16" s="684"/>
      <c r="T16" s="684"/>
      <c r="U16" s="684"/>
      <c r="V16" s="684"/>
      <c r="W16" s="684"/>
      <c r="X16" s="684"/>
      <c r="Y16" s="684"/>
      <c r="Z16" s="688"/>
      <c r="AA16" s="688"/>
      <c r="AB16" s="688"/>
      <c r="AC16" s="684"/>
      <c r="AD16" s="684"/>
      <c r="AE16" s="684"/>
      <c r="AF16" s="684"/>
      <c r="AG16" s="684"/>
      <c r="AH16" s="684"/>
      <c r="AI16" s="684"/>
      <c r="AJ16" s="773">
        <v>0</v>
      </c>
      <c r="AK16" s="769">
        <f>AL16-73</f>
        <v>92.262</v>
      </c>
      <c r="AL16" s="769">
        <v>165.262</v>
      </c>
      <c r="AM16" s="769">
        <v>238.36099999999999</v>
      </c>
      <c r="AN16" s="773">
        <v>319</v>
      </c>
      <c r="AO16" s="769">
        <v>386.11399999999998</v>
      </c>
      <c r="AP16" s="769">
        <v>430.41199999999998</v>
      </c>
      <c r="AQ16" s="769">
        <v>502.42899999999997</v>
      </c>
      <c r="AR16" s="769">
        <v>594</v>
      </c>
      <c r="AS16" s="769">
        <v>666</v>
      </c>
      <c r="AT16" s="769">
        <v>698</v>
      </c>
      <c r="AU16" s="769">
        <v>707</v>
      </c>
      <c r="AV16" s="769">
        <f>AW16-4.745</f>
        <v>722.48099999999999</v>
      </c>
      <c r="AW16" s="769">
        <v>727.226</v>
      </c>
      <c r="AX16" s="769">
        <v>719.22299999999996</v>
      </c>
      <c r="AY16" s="769">
        <v>692.76700000000005</v>
      </c>
      <c r="AZ16" s="769">
        <v>667.01300000000003</v>
      </c>
      <c r="BA16" s="769">
        <v>640.29399999999998</v>
      </c>
      <c r="BB16" s="769">
        <v>608.12199999999996</v>
      </c>
      <c r="BC16" s="769">
        <v>575.26199999999994</v>
      </c>
      <c r="BD16" s="769">
        <v>544.95399999999995</v>
      </c>
      <c r="BE16" s="769">
        <v>515.08900000000006</v>
      </c>
      <c r="BF16" s="703">
        <f>Interims!BT288</f>
        <v>480.875</v>
      </c>
      <c r="BG16" s="703">
        <f>Interims!BU288</f>
        <v>438.6</v>
      </c>
      <c r="BH16" s="703">
        <f>Interims!BV288</f>
        <v>389.30500000000001</v>
      </c>
      <c r="BI16" s="703">
        <f>Interims!BW288</f>
        <v>350.88499999999999</v>
      </c>
      <c r="BJ16" s="703">
        <f>Interims!BY288</f>
        <v>314.697</v>
      </c>
      <c r="BK16" s="703">
        <f>Interims!BZ288</f>
        <v>280.214</v>
      </c>
      <c r="BL16" s="703">
        <f>Interims!CA288</f>
        <v>251.26300000000001</v>
      </c>
      <c r="BM16" s="703">
        <f>Interims!CB288</f>
        <v>225.376</v>
      </c>
      <c r="BN16" s="703">
        <f>Interims!CD288</f>
        <v>200.96700000000001</v>
      </c>
      <c r="BQ16" s="774" t="str">
        <f>Interims!A35</f>
        <v>Corporate Expenses</v>
      </c>
      <c r="BR16" s="829">
        <f>Interims!BT35</f>
        <v>-185.8</v>
      </c>
      <c r="BS16" s="829">
        <f>Interims!BU35</f>
        <v>-91.4</v>
      </c>
      <c r="BT16" s="829">
        <f>Interims!BV35</f>
        <v>-61.2</v>
      </c>
      <c r="BU16" s="829">
        <f>Interims!BW35</f>
        <v>-417.6</v>
      </c>
      <c r="BV16" s="829">
        <f>Interims!BY35</f>
        <v>-118.6</v>
      </c>
      <c r="BW16" s="829">
        <f>Interims!BZ35</f>
        <v>-22.1</v>
      </c>
      <c r="BX16" s="829">
        <f>Interims!CB35</f>
        <v>-250.8</v>
      </c>
      <c r="BY16" s="829">
        <f>Interims!CD35</f>
        <v>-74.5</v>
      </c>
      <c r="BZ16" s="829">
        <f>Interims!HR35</f>
        <v>-108.80150411841734</v>
      </c>
      <c r="CA16" s="832">
        <f>BY16/BZ16-1</f>
        <v>-0.31526681911570154</v>
      </c>
      <c r="CB16" s="829"/>
      <c r="CC16" s="832"/>
      <c r="CE16" s="985" t="s">
        <v>897</v>
      </c>
      <c r="CF16" s="829" t="e">
        <f>#REF!</f>
        <v>#REF!</v>
      </c>
      <c r="CG16" s="829">
        <f>BZ12</f>
        <v>0</v>
      </c>
      <c r="CH16" s="777" t="e">
        <f t="shared" si="5"/>
        <v>#REF!</v>
      </c>
      <c r="CI16" s="829">
        <f>CB12</f>
        <v>0</v>
      </c>
      <c r="CJ16" s="777" t="e">
        <f t="shared" si="6"/>
        <v>#REF!</v>
      </c>
      <c r="CK16" s="777" t="e">
        <f t="shared" si="7"/>
        <v>#DIV/0!</v>
      </c>
      <c r="CL16" s="759"/>
      <c r="CM16" s="795"/>
      <c r="CN16" s="684"/>
    </row>
    <row r="17" spans="1:159" ht="15.75">
      <c r="A17" s="684" t="s">
        <v>902</v>
      </c>
      <c r="B17" s="684"/>
      <c r="C17" s="684"/>
      <c r="D17" s="684"/>
      <c r="E17" s="684"/>
      <c r="F17" s="684"/>
      <c r="G17" s="684"/>
      <c r="H17" s="684"/>
      <c r="I17" s="684"/>
      <c r="J17" s="684"/>
      <c r="K17" s="684"/>
      <c r="L17" s="684"/>
      <c r="M17" s="684"/>
      <c r="N17" s="684"/>
      <c r="O17" s="684"/>
      <c r="P17" s="684"/>
      <c r="Q17" s="684"/>
      <c r="R17" s="684"/>
      <c r="S17" s="684"/>
      <c r="T17" s="684"/>
      <c r="U17" s="684"/>
      <c r="V17" s="684"/>
      <c r="W17" s="684"/>
      <c r="X17" s="684"/>
      <c r="Y17" s="684"/>
      <c r="Z17" s="688"/>
      <c r="AA17" s="688"/>
      <c r="AB17" s="688"/>
      <c r="AC17" s="684"/>
      <c r="AD17" s="684"/>
      <c r="AE17" s="684"/>
      <c r="AF17" s="684"/>
      <c r="AG17" s="684"/>
      <c r="AH17" s="684"/>
      <c r="AI17" s="684"/>
      <c r="AJ17" s="684"/>
      <c r="AK17" s="703">
        <f t="shared" ref="AK17:BN17" si="15">AK16-AJ16</f>
        <v>92.262</v>
      </c>
      <c r="AL17" s="703">
        <f t="shared" si="15"/>
        <v>73</v>
      </c>
      <c r="AM17" s="703">
        <f t="shared" si="15"/>
        <v>73.09899999999999</v>
      </c>
      <c r="AN17" s="703">
        <f t="shared" si="15"/>
        <v>80.63900000000001</v>
      </c>
      <c r="AO17" s="703">
        <f t="shared" si="15"/>
        <v>67.113999999999976</v>
      </c>
      <c r="AP17" s="703">
        <f t="shared" si="15"/>
        <v>44.298000000000002</v>
      </c>
      <c r="AQ17" s="703">
        <f t="shared" si="15"/>
        <v>72.016999999999996</v>
      </c>
      <c r="AR17" s="703">
        <f t="shared" si="15"/>
        <v>91.571000000000026</v>
      </c>
      <c r="AS17" s="703">
        <f t="shared" si="15"/>
        <v>72</v>
      </c>
      <c r="AT17" s="703">
        <f t="shared" si="15"/>
        <v>32</v>
      </c>
      <c r="AU17" s="703">
        <f t="shared" si="15"/>
        <v>9</v>
      </c>
      <c r="AV17" s="703">
        <f t="shared" si="15"/>
        <v>15.480999999999995</v>
      </c>
      <c r="AW17" s="703">
        <f t="shared" si="15"/>
        <v>4.7450000000000045</v>
      </c>
      <c r="AX17" s="703">
        <f t="shared" si="15"/>
        <v>-8.0030000000000427</v>
      </c>
      <c r="AY17" s="703">
        <f t="shared" si="15"/>
        <v>-26.455999999999904</v>
      </c>
      <c r="AZ17" s="703">
        <f t="shared" si="15"/>
        <v>-25.754000000000019</v>
      </c>
      <c r="BA17" s="703">
        <f t="shared" si="15"/>
        <v>-26.719000000000051</v>
      </c>
      <c r="BB17" s="703">
        <f t="shared" si="15"/>
        <v>-32.172000000000025</v>
      </c>
      <c r="BC17" s="703">
        <f t="shared" si="15"/>
        <v>-32.860000000000014</v>
      </c>
      <c r="BD17" s="703">
        <f t="shared" si="15"/>
        <v>-30.307999999999993</v>
      </c>
      <c r="BE17" s="703">
        <f t="shared" si="15"/>
        <v>-29.864999999999895</v>
      </c>
      <c r="BF17" s="703">
        <f t="shared" si="15"/>
        <v>-34.214000000000055</v>
      </c>
      <c r="BG17" s="703">
        <f t="shared" si="15"/>
        <v>-42.274999999999977</v>
      </c>
      <c r="BH17" s="703">
        <f t="shared" si="15"/>
        <v>-49.295000000000016</v>
      </c>
      <c r="BI17" s="703">
        <f t="shared" si="15"/>
        <v>-38.420000000000016</v>
      </c>
      <c r="BJ17" s="703">
        <f t="shared" si="15"/>
        <v>-36.187999999999988</v>
      </c>
      <c r="BK17" s="703">
        <f t="shared" si="15"/>
        <v>-34.483000000000004</v>
      </c>
      <c r="BL17" s="703">
        <f t="shared" si="15"/>
        <v>-28.950999999999993</v>
      </c>
      <c r="BM17" s="703">
        <f t="shared" si="15"/>
        <v>-25.887</v>
      </c>
      <c r="BN17" s="703">
        <f t="shared" si="15"/>
        <v>-24.408999999999992</v>
      </c>
      <c r="BQ17" s="990" t="str">
        <f>Interims!A37</f>
        <v>Other Expense, net</v>
      </c>
      <c r="BR17" s="778">
        <f>Interims!BT37</f>
        <v>2263.6</v>
      </c>
      <c r="BS17" s="778">
        <f>Interims!BU37</f>
        <v>-560.20000000000005</v>
      </c>
      <c r="BT17" s="778">
        <f>Interims!BV37</f>
        <v>-383.70000000000005</v>
      </c>
      <c r="BU17" s="778">
        <f>Interims!BW37</f>
        <v>-6053.5</v>
      </c>
      <c r="BV17" s="778">
        <f>Interims!BY37</f>
        <v>-241.7</v>
      </c>
      <c r="BW17" s="778">
        <f>Interims!BZ37</f>
        <v>-316.09999999999997</v>
      </c>
      <c r="BX17" s="778">
        <f>Interims!CB37</f>
        <v>-543.4</v>
      </c>
      <c r="BY17" s="778">
        <f>Interims!CD37</f>
        <v>-122.9</v>
      </c>
      <c r="BZ17" s="778">
        <f>Interims!HR37</f>
        <v>-250</v>
      </c>
      <c r="CA17" s="821">
        <f>BY17/BZ17-1</f>
        <v>-0.50839999999999996</v>
      </c>
      <c r="CB17" s="778"/>
      <c r="CC17" s="821"/>
      <c r="CE17" s="986" t="s">
        <v>899</v>
      </c>
      <c r="CF17" s="778" t="e">
        <f>#REF!</f>
        <v>#REF!</v>
      </c>
      <c r="CG17" s="778">
        <f>BZ13</f>
        <v>0</v>
      </c>
      <c r="CH17" s="779" t="e">
        <f t="shared" si="5"/>
        <v>#REF!</v>
      </c>
      <c r="CI17" s="778">
        <f>CB13</f>
        <v>0</v>
      </c>
      <c r="CJ17" s="779" t="e">
        <f t="shared" si="6"/>
        <v>#REF!</v>
      </c>
      <c r="CK17" s="779" t="e">
        <f t="shared" si="7"/>
        <v>#DIV/0!</v>
      </c>
      <c r="CL17" s="759"/>
      <c r="CN17" s="684"/>
    </row>
    <row r="18" spans="1:159" ht="15.75">
      <c r="A18" s="684" t="s">
        <v>596</v>
      </c>
      <c r="B18" s="684"/>
      <c r="C18" s="684"/>
      <c r="D18" s="684"/>
      <c r="E18" s="684"/>
      <c r="F18" s="684"/>
      <c r="G18" s="684"/>
      <c r="H18" s="684"/>
      <c r="I18" s="684"/>
      <c r="J18" s="684"/>
      <c r="K18" s="684"/>
      <c r="L18" s="684"/>
      <c r="M18" s="684"/>
      <c r="N18" s="684"/>
      <c r="O18" s="684"/>
      <c r="P18" s="684"/>
      <c r="Q18" s="684"/>
      <c r="R18" s="684"/>
      <c r="S18" s="684"/>
      <c r="T18" s="684"/>
      <c r="U18" s="684"/>
      <c r="V18" s="684"/>
      <c r="W18" s="684"/>
      <c r="X18" s="684"/>
      <c r="Y18" s="684"/>
      <c r="Z18" s="688"/>
      <c r="AA18" s="688"/>
      <c r="AB18" s="688"/>
      <c r="AC18" s="684"/>
      <c r="AD18" s="684"/>
      <c r="AE18" s="684"/>
      <c r="AF18" s="684"/>
      <c r="AG18" s="684"/>
      <c r="AH18" s="684"/>
      <c r="AI18" s="684"/>
      <c r="AJ18" s="684"/>
      <c r="AK18" s="684"/>
      <c r="AL18" s="822">
        <v>1.4930000000000001</v>
      </c>
      <c r="AM18" s="822">
        <v>1.329</v>
      </c>
      <c r="AN18" s="822">
        <v>1.252</v>
      </c>
      <c r="AO18" s="822">
        <v>1.145</v>
      </c>
      <c r="AP18" s="822">
        <v>1.052</v>
      </c>
      <c r="AQ18" s="822">
        <v>0.94499999999999995</v>
      </c>
      <c r="AR18" s="822">
        <v>0.83699999999999997</v>
      </c>
      <c r="AS18" s="822">
        <v>0.89200000000000002</v>
      </c>
      <c r="AT18" s="822">
        <v>7.5380000000000003</v>
      </c>
      <c r="AU18" s="822">
        <v>0.68500000000000005</v>
      </c>
      <c r="AV18" s="822">
        <f>AW18+0.048</f>
        <v>0.64900000000000002</v>
      </c>
      <c r="AW18" s="822">
        <v>0.60099999999999998</v>
      </c>
      <c r="AX18" s="822">
        <v>0.55900000000000005</v>
      </c>
      <c r="AY18" s="822">
        <v>0.53100000000000003</v>
      </c>
      <c r="AZ18" s="822">
        <v>0.48899999999999999</v>
      </c>
      <c r="BA18" s="822">
        <v>0.45300000000000001</v>
      </c>
      <c r="BB18" s="822">
        <v>0.42699999999999999</v>
      </c>
      <c r="BC18" s="822">
        <v>0.39800000000000002</v>
      </c>
      <c r="BD18" s="822">
        <v>0.36499999999999999</v>
      </c>
      <c r="BE18" s="822">
        <v>0.34399999999999997</v>
      </c>
      <c r="BF18" s="1536">
        <f>Interims!BT289</f>
        <v>0.32300000000000001</v>
      </c>
      <c r="BG18" s="1536">
        <f>Interims!BU289</f>
        <v>0.26500000000000001</v>
      </c>
      <c r="BH18" s="1536">
        <f>Interims!BV289</f>
        <v>0.23599999999999999</v>
      </c>
      <c r="BI18" s="1536">
        <f>Interims!BW289</f>
        <v>0.19700000000000001</v>
      </c>
      <c r="BJ18" s="1536">
        <f>Interims!BY289</f>
        <v>0.186</v>
      </c>
      <c r="BK18" s="1536">
        <f>Interims!BZ289</f>
        <v>0.16200000000000001</v>
      </c>
      <c r="BL18" s="1536">
        <f>Interims!CA289</f>
        <v>0.16300000000000001</v>
      </c>
      <c r="BM18" s="1536">
        <f>Interims!CB289</f>
        <v>0.14899999999999999</v>
      </c>
      <c r="BN18" s="1536">
        <f>Interims!CD289</f>
        <v>0.154</v>
      </c>
      <c r="BQ18" s="987" t="s">
        <v>903</v>
      </c>
      <c r="BR18" s="830">
        <f>Interims!BT38</f>
        <v>7961.1999999999989</v>
      </c>
      <c r="BS18" s="830">
        <f>Interims!BU38</f>
        <v>5298.5000000000009</v>
      </c>
      <c r="BT18" s="830">
        <f>Interims!BV38</f>
        <v>5272.2000000000007</v>
      </c>
      <c r="BU18" s="830">
        <f>Interims!BW38</f>
        <v>-863.80000000000018</v>
      </c>
      <c r="BV18" s="830">
        <f>Interims!BY38</f>
        <v>5341.8</v>
      </c>
      <c r="BW18" s="830">
        <f>Interims!BZ38</f>
        <v>5356.0999999999995</v>
      </c>
      <c r="BX18" s="830">
        <f>Interims!CB38</f>
        <v>5154.2</v>
      </c>
      <c r="BY18" s="830">
        <f>Interims!CD38</f>
        <v>5803.8</v>
      </c>
      <c r="BZ18" s="830">
        <f>Interims!HR38</f>
        <v>5301.0734958815829</v>
      </c>
      <c r="CA18" s="780">
        <f>BY18/BZ18-1</f>
        <v>9.4834848924276738E-2</v>
      </c>
      <c r="CB18" s="830">
        <f>CM18</f>
        <v>5871.25</v>
      </c>
      <c r="CC18" s="780">
        <f>BY18/CB18-1</f>
        <v>-1.1488183947200303E-2</v>
      </c>
      <c r="CE18" s="759"/>
      <c r="CF18" s="759"/>
      <c r="CG18" s="759"/>
      <c r="CH18" s="759"/>
      <c r="CI18" s="759"/>
      <c r="CJ18" s="759"/>
      <c r="CK18" s="759"/>
      <c r="CL18" s="759"/>
      <c r="CM18" s="834" cm="1">
        <f t="array" ref="CM18">_xll.VAData("TV_US", CM4, "EBITDA", "Consensus", "CD", "IMPL","","")</f>
        <v>5871.25</v>
      </c>
      <c r="CN18" s="684"/>
    </row>
    <row r="19" spans="1:159" ht="15.75">
      <c r="A19" s="684"/>
      <c r="B19" s="684"/>
      <c r="C19" s="684"/>
      <c r="D19" s="684"/>
      <c r="E19" s="684"/>
      <c r="F19" s="684"/>
      <c r="G19" s="684"/>
      <c r="H19" s="684"/>
      <c r="I19" s="684"/>
      <c r="J19" s="684"/>
      <c r="K19" s="684"/>
      <c r="L19" s="684"/>
      <c r="M19" s="684"/>
      <c r="N19" s="684"/>
      <c r="O19" s="684"/>
      <c r="P19" s="684"/>
      <c r="Q19" s="684"/>
      <c r="R19" s="684"/>
      <c r="S19" s="684"/>
      <c r="T19" s="684"/>
      <c r="U19" s="684"/>
      <c r="V19" s="684"/>
      <c r="W19" s="684"/>
      <c r="X19" s="684"/>
      <c r="Y19" s="684"/>
      <c r="Z19" s="688"/>
      <c r="AA19" s="688"/>
      <c r="AB19" s="688"/>
      <c r="AC19" s="684"/>
      <c r="AD19" s="684"/>
      <c r="AE19" s="684"/>
      <c r="AF19" s="684"/>
      <c r="AG19" s="684"/>
      <c r="AH19" s="684"/>
      <c r="AI19" s="684"/>
      <c r="AJ19" s="684"/>
      <c r="AK19" s="684"/>
      <c r="AL19" s="703"/>
      <c r="AM19" s="703"/>
      <c r="AN19" s="703"/>
      <c r="AO19" s="703"/>
      <c r="AP19" s="703"/>
      <c r="AQ19" s="703"/>
      <c r="AR19" s="703"/>
      <c r="AS19" s="703"/>
      <c r="AT19" s="703"/>
      <c r="AU19" s="703"/>
      <c r="AV19" s="703"/>
      <c r="AW19" s="703"/>
      <c r="AX19" s="703"/>
      <c r="AY19" s="703"/>
      <c r="AZ19" s="703"/>
      <c r="BA19" s="703"/>
      <c r="BB19" s="703"/>
      <c r="BC19" s="703"/>
      <c r="BD19" s="703"/>
      <c r="BE19" s="703"/>
      <c r="BF19" s="703"/>
      <c r="BG19" s="703"/>
      <c r="BH19" s="703"/>
      <c r="BI19" s="703"/>
      <c r="BQ19" s="990" t="s">
        <v>540</v>
      </c>
      <c r="BR19" s="1466">
        <f t="shared" ref="BR19:BZ19" si="16">BR18/BR5</f>
        <v>0.49781457326338291</v>
      </c>
      <c r="BS19" s="1466">
        <f t="shared" si="16"/>
        <v>0.33613312102314907</v>
      </c>
      <c r="BT19" s="1466">
        <f t="shared" si="16"/>
        <v>0.34220621166390813</v>
      </c>
      <c r="BU19" s="1466">
        <f t="shared" si="16"/>
        <v>-5.6730415593968381E-2</v>
      </c>
      <c r="BV19" s="1466">
        <f t="shared" si="16"/>
        <v>0.3559610040848421</v>
      </c>
      <c r="BW19" s="1466">
        <f t="shared" si="16"/>
        <v>0.36363327766236231</v>
      </c>
      <c r="BX19" s="1466">
        <f t="shared" si="16"/>
        <v>0.35428437882349706</v>
      </c>
      <c r="BY19" s="1466">
        <f t="shared" si="16"/>
        <v>0.39991731266149871</v>
      </c>
      <c r="BZ19" s="1466">
        <f t="shared" si="16"/>
        <v>0.36667071623518321</v>
      </c>
      <c r="CA19" s="779"/>
      <c r="CB19" s="778"/>
      <c r="CC19" s="779"/>
      <c r="CE19" s="988" t="s">
        <v>34</v>
      </c>
      <c r="CF19" s="828" t="e">
        <f>#REF!</f>
        <v>#REF!</v>
      </c>
      <c r="CG19" s="828">
        <f>BZ18</f>
        <v>5301.0734958815829</v>
      </c>
      <c r="CH19" s="776" t="e">
        <f t="shared" si="5"/>
        <v>#REF!</v>
      </c>
      <c r="CI19" s="828">
        <f>CB18</f>
        <v>5871.25</v>
      </c>
      <c r="CJ19" s="776" t="e">
        <f t="shared" si="6"/>
        <v>#REF!</v>
      </c>
      <c r="CK19" s="776">
        <f t="shared" si="7"/>
        <v>-9.7113307067220322E-2</v>
      </c>
      <c r="CL19" s="759"/>
      <c r="CN19" s="684"/>
    </row>
    <row r="20" spans="1:159" ht="15.75">
      <c r="A20" s="684"/>
      <c r="B20" s="684"/>
      <c r="C20" s="684"/>
      <c r="D20" s="684"/>
      <c r="E20" s="684"/>
      <c r="F20" s="684"/>
      <c r="G20" s="684"/>
      <c r="H20" s="684"/>
      <c r="I20" s="684"/>
      <c r="J20" s="684"/>
      <c r="K20" s="684"/>
      <c r="L20" s="684"/>
      <c r="M20" s="684"/>
      <c r="N20" s="684"/>
      <c r="O20" s="684"/>
      <c r="P20" s="684"/>
      <c r="Q20" s="684"/>
      <c r="R20" s="684"/>
      <c r="S20" s="684"/>
      <c r="T20" s="684"/>
      <c r="U20" s="684"/>
      <c r="V20" s="684"/>
      <c r="W20" s="684"/>
      <c r="X20" s="684"/>
      <c r="Y20" s="684"/>
      <c r="Z20" s="688"/>
      <c r="AA20" s="688"/>
      <c r="AB20" s="688"/>
      <c r="AC20" s="684"/>
      <c r="AD20" s="684"/>
      <c r="AE20" s="684"/>
      <c r="AF20" s="684"/>
      <c r="AG20" s="684"/>
      <c r="AH20" s="684"/>
      <c r="AI20" s="684"/>
      <c r="AJ20" s="684"/>
      <c r="AK20" s="684"/>
      <c r="AL20" s="703"/>
      <c r="AM20" s="703"/>
      <c r="AN20" s="703"/>
      <c r="AO20" s="703"/>
      <c r="AP20" s="703"/>
      <c r="AQ20" s="703"/>
      <c r="AR20" s="703"/>
      <c r="AS20" s="703"/>
      <c r="AT20" s="703"/>
      <c r="AU20" s="703"/>
      <c r="AV20" s="703"/>
      <c r="AW20" s="703"/>
      <c r="AX20" s="703"/>
      <c r="AY20" s="703"/>
      <c r="AZ20" s="703"/>
      <c r="BA20" s="703"/>
      <c r="BB20" s="703"/>
      <c r="BC20" s="703"/>
      <c r="BD20" s="703"/>
      <c r="BE20" s="703"/>
      <c r="BF20" s="703"/>
      <c r="BG20" s="703"/>
      <c r="BH20" s="703"/>
      <c r="CE20" s="989"/>
      <c r="CF20" s="831"/>
      <c r="CG20" s="831"/>
      <c r="CH20" s="781"/>
      <c r="CI20" s="831"/>
      <c r="CJ20" s="781"/>
      <c r="CK20" s="781"/>
      <c r="CL20" s="759"/>
    </row>
    <row r="21" spans="1:159" ht="15.75">
      <c r="A21" s="693" t="s">
        <v>892</v>
      </c>
      <c r="B21" s="694"/>
      <c r="C21" s="694"/>
      <c r="D21" s="694"/>
      <c r="E21" s="694"/>
      <c r="F21" s="694"/>
      <c r="G21" s="694"/>
      <c r="H21" s="694"/>
      <c r="I21" s="694"/>
      <c r="J21" s="694"/>
      <c r="K21" s="694"/>
      <c r="L21" s="694"/>
      <c r="M21" s="694"/>
      <c r="N21" s="694"/>
      <c r="O21" s="694"/>
      <c r="P21" s="694"/>
      <c r="Q21" s="694"/>
      <c r="R21" s="694"/>
      <c r="S21" s="694"/>
      <c r="T21" s="694"/>
      <c r="U21" s="694"/>
      <c r="V21" s="694"/>
      <c r="W21" s="694"/>
      <c r="X21" s="694"/>
      <c r="Y21" s="694"/>
      <c r="Z21" s="694"/>
      <c r="AA21" s="694"/>
      <c r="AB21" s="694"/>
      <c r="AC21" s="697"/>
      <c r="AD21" s="697"/>
      <c r="AE21" s="697"/>
      <c r="AF21" s="697"/>
      <c r="AG21" s="697"/>
      <c r="AH21" s="697"/>
      <c r="AI21" s="697"/>
      <c r="AJ21" s="697"/>
      <c r="AK21" s="697"/>
      <c r="AL21" s="697"/>
      <c r="AM21" s="697"/>
      <c r="AN21" s="697"/>
      <c r="AO21" s="697"/>
      <c r="AP21" s="697"/>
      <c r="AQ21" s="697"/>
      <c r="AR21" s="697"/>
      <c r="AS21" s="697"/>
      <c r="AT21" s="697"/>
      <c r="AU21" s="697"/>
      <c r="AV21" s="697"/>
      <c r="AW21" s="697"/>
      <c r="AX21" s="697"/>
      <c r="AY21" s="697"/>
      <c r="AZ21" s="697"/>
      <c r="BA21" s="697"/>
      <c r="BB21" s="697"/>
      <c r="BC21" s="697"/>
      <c r="BD21" s="697"/>
      <c r="BQ21" s="990" t="s">
        <v>904</v>
      </c>
      <c r="BR21" s="778">
        <f>Interims!BT40</f>
        <v>2926.1999999999994</v>
      </c>
      <c r="BS21" s="778">
        <f>Interims!BU40</f>
        <v>89.500000000000682</v>
      </c>
      <c r="BT21" s="778">
        <f>Interims!BV40</f>
        <v>364.7000000000005</v>
      </c>
      <c r="BU21" s="778">
        <f>Interims!BW40</f>
        <v>-6223.2</v>
      </c>
      <c r="BV21" s="778">
        <f>Interims!BY40</f>
        <v>889.99999999999977</v>
      </c>
      <c r="BW21" s="778">
        <f>Interims!BZ40</f>
        <v>953.40000000000009</v>
      </c>
      <c r="BX21" s="778">
        <f>Interims!CB40</f>
        <v>1452.6999999999994</v>
      </c>
      <c r="BY21" s="778">
        <f>Interims!CD40</f>
        <v>1542.4</v>
      </c>
      <c r="BZ21" s="778">
        <f>Interims!HR40</f>
        <v>1301.0734958815829</v>
      </c>
      <c r="CA21" s="821">
        <f>BY21/BZ21-1</f>
        <v>0.18548260715656117</v>
      </c>
      <c r="CB21" s="778">
        <f>CM21</f>
        <v>1542.4</v>
      </c>
      <c r="CC21" s="821">
        <f>BY21/CB21-1</f>
        <v>0</v>
      </c>
      <c r="CE21" s="990" t="s">
        <v>904</v>
      </c>
      <c r="CF21" s="778" t="e">
        <f>#REF!</f>
        <v>#REF!</v>
      </c>
      <c r="CG21" s="778">
        <f t="shared" ref="CG21:CG27" si="17">BZ21</f>
        <v>1301.0734958815829</v>
      </c>
      <c r="CH21" s="821" t="e">
        <f t="shared" si="5"/>
        <v>#REF!</v>
      </c>
      <c r="CI21" s="778">
        <f>CB21</f>
        <v>1542.4</v>
      </c>
      <c r="CJ21" s="821" t="e">
        <f t="shared" si="6"/>
        <v>#REF!</v>
      </c>
      <c r="CK21" s="821">
        <f t="shared" si="7"/>
        <v>-0.15646168576142194</v>
      </c>
      <c r="CL21" s="759"/>
      <c r="CM21" s="834" cm="1">
        <f t="array" ref="CM21">_xll.VAData("TV_US",CM4, "Operating income/(loss)", "Consensus", "CD", "IMPL","","")</f>
        <v>1542.4</v>
      </c>
    </row>
    <row r="22" spans="1:159" ht="15.75">
      <c r="A22" s="684" t="s">
        <v>905</v>
      </c>
      <c r="B22" s="684"/>
      <c r="C22" s="684"/>
      <c r="D22" s="684"/>
      <c r="E22" s="684"/>
      <c r="F22" s="684"/>
      <c r="G22" s="684"/>
      <c r="H22" s="684"/>
      <c r="I22" s="684"/>
      <c r="J22" s="684"/>
      <c r="K22" s="684"/>
      <c r="L22" s="684"/>
      <c r="M22" s="684"/>
      <c r="N22" s="684"/>
      <c r="O22" s="684"/>
      <c r="P22" s="684"/>
      <c r="Q22" s="684"/>
      <c r="R22" s="684"/>
      <c r="S22" s="684"/>
      <c r="T22" s="684"/>
      <c r="U22" s="684"/>
      <c r="V22" s="684"/>
      <c r="W22" s="684"/>
      <c r="X22" s="684"/>
      <c r="Y22" s="684"/>
      <c r="Z22" s="688"/>
      <c r="AA22" s="688"/>
      <c r="AB22" s="688"/>
      <c r="AC22" s="684"/>
      <c r="AD22" s="684"/>
      <c r="AE22" s="684"/>
      <c r="AF22" s="684"/>
      <c r="AG22" s="684"/>
      <c r="AH22" s="684"/>
      <c r="AI22" s="684"/>
      <c r="AJ22" s="684"/>
      <c r="AK22" s="703">
        <f t="shared" ref="AK22:AU22" si="18">249*0.8</f>
        <v>199.20000000000002</v>
      </c>
      <c r="AL22" s="703">
        <f t="shared" si="18"/>
        <v>199.20000000000002</v>
      </c>
      <c r="AM22" s="703">
        <f t="shared" si="18"/>
        <v>199.20000000000002</v>
      </c>
      <c r="AN22" s="703">
        <f t="shared" si="18"/>
        <v>199.20000000000002</v>
      </c>
      <c r="AO22" s="703">
        <f t="shared" si="18"/>
        <v>199.20000000000002</v>
      </c>
      <c r="AP22" s="703">
        <f t="shared" si="18"/>
        <v>199.20000000000002</v>
      </c>
      <c r="AQ22" s="703">
        <f t="shared" si="18"/>
        <v>199.20000000000002</v>
      </c>
      <c r="AR22" s="703">
        <f t="shared" si="18"/>
        <v>199.20000000000002</v>
      </c>
      <c r="AS22" s="703">
        <f t="shared" si="18"/>
        <v>199.20000000000002</v>
      </c>
      <c r="AT22" s="703">
        <f t="shared" si="18"/>
        <v>199.20000000000002</v>
      </c>
      <c r="AU22" s="703">
        <f t="shared" si="18"/>
        <v>199.20000000000002</v>
      </c>
      <c r="AV22" s="684"/>
      <c r="AW22" s="684"/>
      <c r="AX22" s="684"/>
      <c r="AY22" s="684"/>
      <c r="AZ22" s="684"/>
      <c r="BA22" s="684"/>
      <c r="BB22" s="684"/>
      <c r="BC22" s="684"/>
      <c r="BD22" s="684"/>
      <c r="BQ22" s="774" t="s">
        <v>906</v>
      </c>
      <c r="BR22" s="829">
        <f>Interims!BT83</f>
        <v>-356.6</v>
      </c>
      <c r="BS22" s="829">
        <f>Interims!BU83</f>
        <v>338.3</v>
      </c>
      <c r="BT22" s="829">
        <f>Interims!BV83</f>
        <v>1736.1</v>
      </c>
      <c r="BU22" s="829">
        <f>Interims!BW83</f>
        <v>-3139</v>
      </c>
      <c r="BV22" s="829">
        <f>Interims!BY83</f>
        <v>91.2</v>
      </c>
      <c r="BW22" s="829">
        <f>Interims!BZ83</f>
        <v>1211.5</v>
      </c>
      <c r="BX22" s="829">
        <f>Interims!CB83</f>
        <v>-2724</v>
      </c>
      <c r="BY22" s="829">
        <f>Interims!CD83</f>
        <v>1339.1</v>
      </c>
      <c r="BZ22" s="829">
        <f>Interims!HR83</f>
        <v>46.107580472549643</v>
      </c>
      <c r="CA22" s="832">
        <f>BY22/BZ22-1</f>
        <v>28.042946653798918</v>
      </c>
      <c r="CB22" s="829">
        <f>CM22</f>
        <v>1339.1</v>
      </c>
      <c r="CC22" s="832">
        <f>BY22/CB22-1</f>
        <v>0</v>
      </c>
      <c r="CE22" s="991" t="s">
        <v>906</v>
      </c>
      <c r="CF22" s="831" t="e">
        <f>#REF!</f>
        <v>#REF!</v>
      </c>
      <c r="CG22" s="831">
        <f t="shared" si="17"/>
        <v>46.107580472549643</v>
      </c>
      <c r="CH22" s="823" t="e">
        <f t="shared" si="5"/>
        <v>#REF!</v>
      </c>
      <c r="CI22" s="831">
        <f>CB22</f>
        <v>1339.1</v>
      </c>
      <c r="CJ22" s="823" t="e">
        <f t="shared" si="6"/>
        <v>#REF!</v>
      </c>
      <c r="CK22" s="823">
        <f t="shared" si="7"/>
        <v>-0.96556823204200604</v>
      </c>
      <c r="CL22" s="759"/>
      <c r="CM22" s="834" cm="1">
        <f t="array" ref="CM22">_xll.VAData("TV_US", CM4, "Share of profit loss of associates and joint ventures accounted for using equity method", "Consensus", "CD", "IMPL","","")</f>
        <v>1339.1</v>
      </c>
    </row>
    <row r="23" spans="1:159" ht="15.75">
      <c r="A23" s="684" t="s">
        <v>907</v>
      </c>
      <c r="B23" s="684"/>
      <c r="C23" s="684"/>
      <c r="D23" s="684"/>
      <c r="E23" s="684"/>
      <c r="F23" s="684"/>
      <c r="G23" s="684"/>
      <c r="H23" s="684"/>
      <c r="I23" s="684"/>
      <c r="J23" s="684"/>
      <c r="K23" s="684"/>
      <c r="L23" s="684"/>
      <c r="M23" s="684"/>
      <c r="N23" s="684"/>
      <c r="O23" s="684"/>
      <c r="P23" s="684"/>
      <c r="Q23" s="684"/>
      <c r="R23" s="684"/>
      <c r="S23" s="684"/>
      <c r="T23" s="684"/>
      <c r="U23" s="684"/>
      <c r="V23" s="684"/>
      <c r="W23" s="684"/>
      <c r="X23" s="684"/>
      <c r="Y23" s="684"/>
      <c r="Z23" s="688"/>
      <c r="AA23" s="688"/>
      <c r="AB23" s="688"/>
      <c r="AC23" s="684"/>
      <c r="AD23" s="684"/>
      <c r="AE23" s="684"/>
      <c r="AF23" s="684"/>
      <c r="AG23" s="684"/>
      <c r="AH23" s="684"/>
      <c r="AI23" s="684"/>
      <c r="AJ23" s="684"/>
      <c r="AK23" s="703">
        <f t="shared" ref="AK23:AU23" si="19">AK22*3*AVERAGE(AJ16,AK16)/1000</f>
        <v>27.5678856</v>
      </c>
      <c r="AL23" s="703">
        <f t="shared" si="19"/>
        <v>76.94817119999999</v>
      </c>
      <c r="AM23" s="703">
        <f t="shared" si="19"/>
        <v>120.60255240000001</v>
      </c>
      <c r="AN23" s="703">
        <f t="shared" si="19"/>
        <v>166.53946679999999</v>
      </c>
      <c r="AO23" s="703">
        <f t="shared" si="19"/>
        <v>210.68806320000002</v>
      </c>
      <c r="AP23" s="703">
        <f t="shared" si="19"/>
        <v>243.97796880000001</v>
      </c>
      <c r="AQ23" s="703">
        <f t="shared" si="19"/>
        <v>278.73289080000001</v>
      </c>
      <c r="AR23" s="703">
        <f t="shared" si="19"/>
        <v>327.61298520000003</v>
      </c>
      <c r="AS23" s="703">
        <f t="shared" si="19"/>
        <v>376.488</v>
      </c>
      <c r="AT23" s="703">
        <f t="shared" si="19"/>
        <v>407.56319999999999</v>
      </c>
      <c r="AU23" s="703">
        <f t="shared" si="19"/>
        <v>419.81400000000002</v>
      </c>
      <c r="AV23" s="684"/>
      <c r="AW23" s="684"/>
      <c r="AX23" s="684"/>
      <c r="AY23" s="684"/>
      <c r="AZ23" s="684"/>
      <c r="BA23" s="684"/>
      <c r="BB23" s="684"/>
      <c r="BC23" s="684"/>
      <c r="BD23" s="684"/>
      <c r="BQ23" s="990" t="str">
        <f>Interims!A84</f>
        <v>PBT</v>
      </c>
      <c r="BR23" s="778">
        <f>Interims!BT84</f>
        <v>1436.1999999999994</v>
      </c>
      <c r="BS23" s="778">
        <f>Interims!BU84</f>
        <v>-162.19999999999931</v>
      </c>
      <c r="BT23" s="778">
        <f>Interims!BV84</f>
        <v>841.50000000000023</v>
      </c>
      <c r="BU23" s="778">
        <f>Interims!BW84</f>
        <v>-11094.8</v>
      </c>
      <c r="BV23" s="778">
        <f>Interims!BY84</f>
        <v>552.49999999999989</v>
      </c>
      <c r="BW23" s="778">
        <f>Interims!BZ84</f>
        <v>492.5</v>
      </c>
      <c r="BX23" s="778">
        <f>Interims!CB84</f>
        <v>-2776.7000000000007</v>
      </c>
      <c r="BY23" s="778">
        <f>Interims!CD84</f>
        <v>1243.9000000000001</v>
      </c>
      <c r="BZ23" s="778">
        <f>Interims!HR84</f>
        <v>-290.41892364586738</v>
      </c>
      <c r="CA23" s="821"/>
      <c r="CB23" s="778">
        <f>CM23</f>
        <v>1243.9000000000001</v>
      </c>
      <c r="CC23" s="821"/>
      <c r="CE23" s="990" t="s">
        <v>242</v>
      </c>
      <c r="CF23" s="778" t="e">
        <f>#REF!</f>
        <v>#REF!</v>
      </c>
      <c r="CG23" s="778">
        <f t="shared" si="17"/>
        <v>-290.41892364586738</v>
      </c>
      <c r="CH23" s="821" t="e">
        <f t="shared" si="5"/>
        <v>#REF!</v>
      </c>
      <c r="CI23" s="778">
        <f>CB23</f>
        <v>1243.9000000000001</v>
      </c>
      <c r="CJ23" s="821" t="e">
        <f t="shared" si="6"/>
        <v>#REF!</v>
      </c>
      <c r="CK23" s="821">
        <f t="shared" si="7"/>
        <v>-1.2334744944496079</v>
      </c>
      <c r="CL23" s="759"/>
      <c r="CM23" s="834" cm="1">
        <f t="array" ref="CM23">_xll.VAData("TV_US", CM4, "Profit/(loss) before tax", "Consensus", "CD", "IMPL","","")</f>
        <v>1243.9000000000001</v>
      </c>
    </row>
    <row r="24" spans="1:159" ht="15.75">
      <c r="A24" s="684" t="s">
        <v>908</v>
      </c>
      <c r="B24" s="684"/>
      <c r="C24" s="684"/>
      <c r="D24" s="684"/>
      <c r="E24" s="684"/>
      <c r="F24" s="684"/>
      <c r="G24" s="684"/>
      <c r="H24" s="684"/>
      <c r="I24" s="684"/>
      <c r="J24" s="684"/>
      <c r="K24" s="684"/>
      <c r="L24" s="684"/>
      <c r="M24" s="684"/>
      <c r="N24" s="684"/>
      <c r="O24" s="684"/>
      <c r="P24" s="684"/>
      <c r="Q24" s="684"/>
      <c r="R24" s="684"/>
      <c r="S24" s="684"/>
      <c r="T24" s="684"/>
      <c r="U24" s="684"/>
      <c r="V24" s="684"/>
      <c r="W24" s="684"/>
      <c r="X24" s="684"/>
      <c r="Y24" s="684"/>
      <c r="Z24" s="688"/>
      <c r="AA24" s="688"/>
      <c r="AB24" s="688"/>
      <c r="AC24" s="684"/>
      <c r="AD24" s="684"/>
      <c r="AE24" s="684"/>
      <c r="AF24" s="684"/>
      <c r="AG24" s="684"/>
      <c r="AH24" s="684"/>
      <c r="AI24" s="684"/>
      <c r="AJ24" s="684"/>
      <c r="AK24" s="703"/>
      <c r="AL24" s="703"/>
      <c r="AM24" s="703"/>
      <c r="AN24" s="703">
        <f t="shared" ref="AN24:AU24" si="20">AN23-AJ23</f>
        <v>166.53946679999999</v>
      </c>
      <c r="AO24" s="703">
        <f t="shared" si="20"/>
        <v>183.12017760000001</v>
      </c>
      <c r="AP24" s="703">
        <f t="shared" si="20"/>
        <v>167.02979760000002</v>
      </c>
      <c r="AQ24" s="703">
        <f t="shared" si="20"/>
        <v>158.1303384</v>
      </c>
      <c r="AR24" s="703">
        <f t="shared" si="20"/>
        <v>161.07351840000004</v>
      </c>
      <c r="AS24" s="703">
        <f t="shared" si="20"/>
        <v>165.79993679999998</v>
      </c>
      <c r="AT24" s="703">
        <f t="shared" si="20"/>
        <v>163.58523119999998</v>
      </c>
      <c r="AU24" s="703">
        <f t="shared" si="20"/>
        <v>141.08110920000001</v>
      </c>
      <c r="AV24" s="684"/>
      <c r="AW24" s="684"/>
      <c r="AX24" s="684"/>
      <c r="AY24" s="684"/>
      <c r="AZ24" s="684"/>
      <c r="BA24" s="684"/>
      <c r="BB24" s="684"/>
      <c r="BC24" s="684"/>
      <c r="BD24" s="684"/>
      <c r="BQ24" s="774" t="s">
        <v>909</v>
      </c>
      <c r="BR24" s="829">
        <f>Interims!BT91</f>
        <v>952.09999999999934</v>
      </c>
      <c r="BS24" s="829">
        <f>Interims!BU91</f>
        <v>-25.599999999999305</v>
      </c>
      <c r="BT24" s="829">
        <f>Interims!BV91</f>
        <v>666.50000000000023</v>
      </c>
      <c r="BU24" s="829">
        <f>Interims!BW91</f>
        <v>-9838.9</v>
      </c>
      <c r="BV24" s="829">
        <f>Interims!BY91</f>
        <v>319.7999999999999</v>
      </c>
      <c r="BW24" s="829">
        <f>Interims!BZ91</f>
        <v>474.5</v>
      </c>
      <c r="BX24" s="829">
        <f>Interims!CB91</f>
        <v>-7681.4000000000005</v>
      </c>
      <c r="BY24" s="829">
        <f>Interims!CD91</f>
        <v>1031.9000000000001</v>
      </c>
      <c r="BZ24" s="829">
        <f ca="1">Interims!HR91</f>
        <v>-446.4523175410888</v>
      </c>
      <c r="CA24" s="832"/>
      <c r="CB24" s="829">
        <f>CM24</f>
        <v>1031.9000000000001</v>
      </c>
      <c r="CC24" s="832"/>
      <c r="CE24" s="991" t="s">
        <v>909</v>
      </c>
      <c r="CF24" s="831" t="e">
        <f>#REF!</f>
        <v>#REF!</v>
      </c>
      <c r="CG24" s="831">
        <f t="shared" ca="1" si="17"/>
        <v>-446.4523175410888</v>
      </c>
      <c r="CH24" s="823" t="e">
        <f t="shared" ca="1" si="5"/>
        <v>#REF!</v>
      </c>
      <c r="CI24" s="831">
        <f>CB24</f>
        <v>1031.9000000000001</v>
      </c>
      <c r="CJ24" s="823" t="e">
        <f t="shared" si="6"/>
        <v>#REF!</v>
      </c>
      <c r="CK24" s="823">
        <f t="shared" ca="1" si="7"/>
        <v>-1.4326507583497323</v>
      </c>
      <c r="CL24" s="759"/>
      <c r="CM24" s="834" cm="1">
        <f t="array" ref="CM24">_xll.VAData("TV_US", CM4, "Net Income / (Loss) attributable to owners of parent", "Consensus", "CD", "IMPL","","")</f>
        <v>1031.9000000000001</v>
      </c>
    </row>
    <row r="25" spans="1:159" ht="15.75">
      <c r="A25" s="684" t="s">
        <v>910</v>
      </c>
      <c r="B25" s="684"/>
      <c r="C25" s="684"/>
      <c r="D25" s="684"/>
      <c r="E25" s="684"/>
      <c r="F25" s="684"/>
      <c r="G25" s="684"/>
      <c r="H25" s="684"/>
      <c r="I25" s="684"/>
      <c r="J25" s="684"/>
      <c r="K25" s="684"/>
      <c r="L25" s="684"/>
      <c r="M25" s="684"/>
      <c r="N25" s="684"/>
      <c r="O25" s="684"/>
      <c r="P25" s="684"/>
      <c r="Q25" s="684"/>
      <c r="R25" s="684"/>
      <c r="S25" s="684"/>
      <c r="T25" s="684"/>
      <c r="U25" s="684"/>
      <c r="V25" s="684"/>
      <c r="W25" s="684"/>
      <c r="X25" s="684"/>
      <c r="Y25" s="684"/>
      <c r="Z25" s="688"/>
      <c r="AA25" s="688"/>
      <c r="AB25" s="688"/>
      <c r="AC25" s="684"/>
      <c r="AD25" s="684"/>
      <c r="AE25" s="684"/>
      <c r="AF25" s="684"/>
      <c r="AG25" s="684"/>
      <c r="AH25" s="684"/>
      <c r="AI25" s="684"/>
      <c r="AJ25" s="684"/>
      <c r="AK25" s="697"/>
      <c r="AL25" s="697"/>
      <c r="AM25" s="697"/>
      <c r="AN25" s="697">
        <f t="shared" ref="AN25:AU25" si="21">AN24/AJ7</f>
        <v>3.0799006306289643E-2</v>
      </c>
      <c r="AO25" s="697">
        <f t="shared" si="21"/>
        <v>3.3526827221296622E-2</v>
      </c>
      <c r="AP25" s="697">
        <f t="shared" si="21"/>
        <v>3.1624848076340507E-2</v>
      </c>
      <c r="AQ25" s="697">
        <f t="shared" si="21"/>
        <v>2.9567573231614963E-2</v>
      </c>
      <c r="AR25" s="697">
        <f t="shared" si="21"/>
        <v>3.0173185920611436E-2</v>
      </c>
      <c r="AS25" s="697">
        <f t="shared" si="21"/>
        <v>3.0822988380955915E-2</v>
      </c>
      <c r="AT25" s="697">
        <f t="shared" si="21"/>
        <v>3.0263857917229381E-2</v>
      </c>
      <c r="AU25" s="697">
        <f t="shared" si="21"/>
        <v>2.5582735089850765E-2</v>
      </c>
      <c r="AV25" s="684"/>
      <c r="AW25" s="684"/>
      <c r="AX25" s="684"/>
      <c r="AY25" s="684"/>
      <c r="AZ25" s="684"/>
      <c r="BA25" s="684"/>
      <c r="BB25" s="684"/>
      <c r="BC25" s="684"/>
      <c r="BD25" s="684"/>
      <c r="BQ25" s="990" t="s">
        <v>911</v>
      </c>
      <c r="BR25" s="778">
        <f>Interims!BT92</f>
        <v>860.59999999999934</v>
      </c>
      <c r="BS25" s="778">
        <f>Interims!BU92</f>
        <v>-344.79999999999927</v>
      </c>
      <c r="BT25" s="778">
        <f>Interims!BV92</f>
        <v>739.9000000000002</v>
      </c>
      <c r="BU25" s="778">
        <f>Interims!BW92</f>
        <v>-9411.9</v>
      </c>
      <c r="BV25" s="778">
        <f>Interims!BY92</f>
        <v>-460.10000000000008</v>
      </c>
      <c r="BW25" s="778">
        <f>Interims!CE92</f>
        <v>885</v>
      </c>
      <c r="BX25" s="778">
        <f>Interims!CB92</f>
        <v>-7648.1</v>
      </c>
      <c r="BY25" s="778">
        <f>Interims!CD92</f>
        <v>1318.8000000000002</v>
      </c>
      <c r="BZ25" s="778">
        <f ca="1">Interims!HR92</f>
        <v>-159.55231754108877</v>
      </c>
      <c r="CA25" s="821">
        <f ca="1">BY25/BZ25-1</f>
        <v>-9.2656273523596777</v>
      </c>
      <c r="CB25" s="778">
        <f>CB24</f>
        <v>1031.9000000000001</v>
      </c>
      <c r="CC25" s="821"/>
      <c r="CE25" s="990" t="s">
        <v>911</v>
      </c>
      <c r="CF25" s="778" t="e">
        <f>#REF!</f>
        <v>#REF!</v>
      </c>
      <c r="CG25" s="778">
        <f t="shared" ca="1" si="17"/>
        <v>-159.55231754108877</v>
      </c>
      <c r="CH25" s="821" t="e">
        <f t="shared" ca="1" si="5"/>
        <v>#REF!</v>
      </c>
      <c r="CI25" s="778"/>
      <c r="CJ25" s="821"/>
      <c r="CK25" s="821"/>
      <c r="CL25" s="759"/>
    </row>
    <row r="26" spans="1:159" ht="15.75">
      <c r="A26" s="684"/>
      <c r="B26" s="684"/>
      <c r="C26" s="684"/>
      <c r="D26" s="684"/>
      <c r="E26" s="684"/>
      <c r="F26" s="684"/>
      <c r="G26" s="684"/>
      <c r="H26" s="684"/>
      <c r="I26" s="684"/>
      <c r="J26" s="684"/>
      <c r="K26" s="684"/>
      <c r="L26" s="684"/>
      <c r="M26" s="684"/>
      <c r="N26" s="684"/>
      <c r="O26" s="684"/>
      <c r="P26" s="684"/>
      <c r="Q26" s="684"/>
      <c r="R26" s="684"/>
      <c r="S26" s="684"/>
      <c r="T26" s="684"/>
      <c r="U26" s="684"/>
      <c r="V26" s="684"/>
      <c r="W26" s="684"/>
      <c r="X26" s="684"/>
      <c r="Y26" s="684"/>
      <c r="Z26" s="688"/>
      <c r="AA26" s="688"/>
      <c r="AB26" s="688"/>
      <c r="AC26" s="684"/>
      <c r="AD26" s="684"/>
      <c r="AE26" s="684"/>
      <c r="AF26" s="684"/>
      <c r="AG26" s="684"/>
      <c r="AH26" s="684"/>
      <c r="AI26" s="684"/>
      <c r="AJ26" s="684"/>
      <c r="AK26" s="684"/>
      <c r="AL26" s="684"/>
      <c r="AM26" s="684"/>
      <c r="AN26" s="684"/>
      <c r="AO26" s="684"/>
      <c r="AP26" s="684"/>
      <c r="AQ26" s="697"/>
      <c r="AR26" s="684"/>
      <c r="AS26" s="684"/>
      <c r="AT26" s="684"/>
      <c r="AU26" s="684"/>
      <c r="AV26" s="684"/>
      <c r="AW26" s="684"/>
      <c r="AX26" s="684"/>
      <c r="AY26" s="684"/>
      <c r="AZ26" s="684"/>
      <c r="BA26" s="684"/>
      <c r="BB26" s="684"/>
      <c r="BC26" s="684"/>
      <c r="BD26" s="684"/>
      <c r="BQ26" s="774" t="s">
        <v>271</v>
      </c>
      <c r="BR26" s="829">
        <f>Interims!BT178</f>
        <v>57456.3</v>
      </c>
      <c r="BS26" s="829">
        <f>Interims!BU178</f>
        <v>59276.4</v>
      </c>
      <c r="BT26" s="829">
        <f>Interims!BV178</f>
        <v>60028.9</v>
      </c>
      <c r="BU26" s="829">
        <f>Interims!BW178</f>
        <v>59647.9</v>
      </c>
      <c r="BV26" s="829">
        <f>Interims!BY178</f>
        <v>55467.3</v>
      </c>
      <c r="BW26" s="829">
        <f>Interims!BZ178</f>
        <v>51570.2</v>
      </c>
      <c r="BX26" s="829">
        <f>Interims!CB178</f>
        <v>49115.199999999997</v>
      </c>
      <c r="BY26" s="829">
        <f>Interims!CD178</f>
        <v>49752.4</v>
      </c>
      <c r="BZ26" s="829">
        <f>Interims!HR178</f>
        <v>49056.2</v>
      </c>
      <c r="CA26" s="832">
        <f>BY26/BZ26-1</f>
        <v>1.4191886040908264E-2</v>
      </c>
      <c r="CB26" s="829"/>
      <c r="CC26" s="829"/>
      <c r="CE26" s="991" t="s">
        <v>271</v>
      </c>
      <c r="CF26" s="831" t="e">
        <f>#REF!</f>
        <v>#REF!</v>
      </c>
      <c r="CG26" s="831">
        <f t="shared" si="17"/>
        <v>49056.2</v>
      </c>
      <c r="CH26" s="823" t="e">
        <f t="shared" si="5"/>
        <v>#REF!</v>
      </c>
      <c r="CI26" s="831"/>
      <c r="CJ26" s="823"/>
      <c r="CK26" s="823"/>
      <c r="CL26" s="759"/>
    </row>
    <row r="27" spans="1:159" ht="15.75" hidden="1">
      <c r="L27" s="684"/>
      <c r="M27" s="684"/>
      <c r="N27" s="684"/>
      <c r="O27" s="684"/>
      <c r="P27" s="684"/>
      <c r="Q27" s="684"/>
      <c r="R27" s="684"/>
      <c r="S27" s="684"/>
      <c r="T27" s="684"/>
      <c r="BQ27" s="992" t="s">
        <v>912</v>
      </c>
      <c r="BR27" s="982">
        <f>Interims!BT187</f>
        <v>2.2387984678867987</v>
      </c>
      <c r="BS27" s="982">
        <f>Interims!BU187</f>
        <v>2.408092462066584</v>
      </c>
      <c r="BT27" s="982">
        <f>Interims!BV187</f>
        <v>2.4581154512360417</v>
      </c>
      <c r="BU27" s="982">
        <f>Interims!BW187</f>
        <v>3.3760223227172133</v>
      </c>
      <c r="BV27" s="982"/>
      <c r="BW27" s="982"/>
      <c r="BX27" s="982"/>
      <c r="BY27" s="982"/>
      <c r="BZ27" s="982"/>
      <c r="CA27" s="1526" t="e">
        <f>BU27/BZ27-1</f>
        <v>#DIV/0!</v>
      </c>
      <c r="CB27" s="982"/>
      <c r="CC27" s="982"/>
      <c r="CE27" s="992" t="s">
        <v>912</v>
      </c>
      <c r="CF27" s="982" t="e">
        <f>#REF!</f>
        <v>#REF!</v>
      </c>
      <c r="CG27" s="982">
        <f t="shared" si="17"/>
        <v>0</v>
      </c>
      <c r="CH27" s="982" t="e">
        <f>CG27-CF27</f>
        <v>#REF!</v>
      </c>
      <c r="CI27" s="982"/>
      <c r="CJ27" s="982"/>
      <c r="CK27" s="982"/>
      <c r="CL27" s="759"/>
    </row>
    <row r="28" spans="1:159" ht="15.75" hidden="1">
      <c r="L28" s="684"/>
      <c r="M28" s="684"/>
      <c r="N28" s="684"/>
      <c r="O28" s="684"/>
      <c r="P28" s="684"/>
      <c r="Q28" s="684"/>
      <c r="R28" s="684"/>
      <c r="S28" s="684"/>
      <c r="T28" s="684"/>
      <c r="BQ28" s="992"/>
      <c r="BR28" s="982"/>
      <c r="BS28" s="982"/>
      <c r="BT28" s="982"/>
      <c r="BU28" s="982"/>
      <c r="BV28" s="982"/>
      <c r="BW28" s="982"/>
      <c r="BX28" s="982"/>
      <c r="BY28" s="982"/>
      <c r="BZ28" s="982"/>
      <c r="CA28" s="1526"/>
      <c r="CB28" s="982"/>
      <c r="CC28" s="982"/>
      <c r="CE28" s="990"/>
      <c r="CF28" s="1558"/>
      <c r="CG28" s="1558"/>
      <c r="CH28" s="1558"/>
      <c r="CI28" s="1558"/>
      <c r="CJ28" s="1558"/>
      <c r="CK28" s="1558"/>
      <c r="CL28" s="759"/>
    </row>
    <row r="29" spans="1:159" ht="15.75">
      <c r="A29" s="704"/>
      <c r="B29" s="690" t="s">
        <v>732</v>
      </c>
      <c r="C29" s="690" t="s">
        <v>732</v>
      </c>
      <c r="D29" s="690" t="s">
        <v>732</v>
      </c>
      <c r="E29" s="690" t="s">
        <v>732</v>
      </c>
      <c r="F29" s="690" t="s">
        <v>732</v>
      </c>
      <c r="G29" s="690" t="s">
        <v>732</v>
      </c>
      <c r="H29" s="690" t="s">
        <v>732</v>
      </c>
      <c r="I29" s="690" t="s">
        <v>732</v>
      </c>
      <c r="J29" s="690" t="s">
        <v>732</v>
      </c>
      <c r="K29" s="690" t="s">
        <v>732</v>
      </c>
      <c r="L29" s="690" t="s">
        <v>732</v>
      </c>
      <c r="M29" s="690" t="s">
        <v>732</v>
      </c>
      <c r="N29" s="690" t="s">
        <v>732</v>
      </c>
      <c r="O29" s="690" t="s">
        <v>732</v>
      </c>
      <c r="P29" s="690" t="s">
        <v>732</v>
      </c>
      <c r="Q29" s="690" t="s">
        <v>732</v>
      </c>
      <c r="R29" s="690" t="s">
        <v>732</v>
      </c>
      <c r="S29" s="690" t="s">
        <v>732</v>
      </c>
      <c r="T29" s="690" t="s">
        <v>732</v>
      </c>
      <c r="U29" s="690" t="s">
        <v>732</v>
      </c>
      <c r="V29" s="690" t="s">
        <v>732</v>
      </c>
      <c r="W29" s="690" t="s">
        <v>732</v>
      </c>
      <c r="X29" s="690" t="s">
        <v>732</v>
      </c>
      <c r="Y29" s="690" t="s">
        <v>732</v>
      </c>
      <c r="Z29" s="690" t="s">
        <v>732</v>
      </c>
      <c r="AA29" s="690" t="s">
        <v>732</v>
      </c>
      <c r="AB29" s="690" t="s">
        <v>732</v>
      </c>
      <c r="AC29" s="690" t="s">
        <v>732</v>
      </c>
      <c r="AD29" s="690" t="s">
        <v>732</v>
      </c>
      <c r="AE29" s="690" t="s">
        <v>732</v>
      </c>
      <c r="AF29" s="690" t="s">
        <v>732</v>
      </c>
      <c r="AG29" s="690" t="s">
        <v>732</v>
      </c>
      <c r="AH29" s="684"/>
      <c r="AI29" s="684"/>
      <c r="AJ29" s="684"/>
      <c r="AK29" s="684"/>
      <c r="AL29" s="684"/>
      <c r="AM29" s="684"/>
      <c r="AN29" s="684"/>
      <c r="AO29" s="684"/>
      <c r="AP29" s="684"/>
      <c r="AQ29" s="684"/>
      <c r="AR29" s="684"/>
      <c r="AS29" s="684"/>
      <c r="AT29" s="684"/>
      <c r="AU29" s="684"/>
      <c r="AV29" s="684"/>
      <c r="AW29" s="684"/>
      <c r="AX29" s="684"/>
      <c r="AY29" s="684"/>
      <c r="AZ29" s="684"/>
      <c r="BA29" s="684"/>
      <c r="BB29" s="684"/>
      <c r="BC29" s="684"/>
      <c r="BD29" s="684"/>
      <c r="BE29" s="684"/>
      <c r="BF29" s="684"/>
      <c r="BG29" s="684"/>
      <c r="BH29" s="684"/>
      <c r="BI29" s="684"/>
      <c r="BJ29" s="684"/>
      <c r="BK29" s="684"/>
      <c r="BL29" s="684"/>
      <c r="BM29" s="684"/>
      <c r="BN29" s="684"/>
      <c r="BO29" s="684"/>
      <c r="BQ29" s="1532" t="s">
        <v>913</v>
      </c>
      <c r="BR29" s="825"/>
      <c r="BS29" s="825"/>
      <c r="BT29" s="825"/>
      <c r="BU29" s="825"/>
      <c r="BV29" s="825"/>
      <c r="BW29" s="825"/>
      <c r="BX29" s="825"/>
      <c r="BY29" s="825"/>
      <c r="BZ29" s="825"/>
      <c r="CA29" s="825"/>
      <c r="CB29" s="825"/>
      <c r="CC29" s="825"/>
      <c r="CE29" s="684"/>
      <c r="CF29" s="684"/>
      <c r="CG29" s="684"/>
      <c r="CH29" s="684"/>
      <c r="CI29" s="684"/>
      <c r="CJ29" s="684"/>
      <c r="CK29" s="684"/>
      <c r="CL29" s="759"/>
      <c r="CM29" s="684"/>
      <c r="CN29" s="684"/>
      <c r="CU29" s="684"/>
      <c r="CV29" s="684"/>
      <c r="CW29" s="684"/>
      <c r="CX29" s="684"/>
      <c r="CY29" s="684"/>
      <c r="CZ29" s="684"/>
      <c r="DA29" s="684"/>
      <c r="DB29" s="684"/>
      <c r="DC29" s="684"/>
      <c r="DD29" s="684"/>
      <c r="DE29" s="684"/>
      <c r="DF29" s="684"/>
      <c r="DG29" s="684"/>
      <c r="DH29" s="684"/>
      <c r="DI29" s="684"/>
      <c r="DJ29" s="684"/>
      <c r="DK29" s="684"/>
      <c r="DL29" s="684"/>
      <c r="DM29" s="684"/>
      <c r="DN29" s="684"/>
      <c r="DO29" s="684"/>
      <c r="DP29" s="684"/>
      <c r="DQ29" s="684"/>
      <c r="DR29" s="684"/>
      <c r="DS29" s="684"/>
      <c r="DT29" s="684"/>
      <c r="DU29" s="684"/>
      <c r="DV29" s="684"/>
      <c r="DW29" s="684"/>
      <c r="DX29" s="684"/>
      <c r="DY29" s="684"/>
      <c r="DZ29" s="684"/>
      <c r="EA29" s="684"/>
      <c r="EB29" s="684"/>
      <c r="EC29" s="684"/>
      <c r="ED29" s="684"/>
      <c r="EE29" s="684"/>
      <c r="EF29" s="684"/>
      <c r="EG29" s="684"/>
      <c r="EH29" s="684"/>
      <c r="EI29" s="684"/>
      <c r="EJ29" s="684"/>
      <c r="EK29" s="684"/>
      <c r="EL29" s="684"/>
      <c r="EM29" s="684"/>
      <c r="EN29" s="684"/>
      <c r="EO29" s="684"/>
      <c r="EP29" s="684"/>
      <c r="EQ29" s="684"/>
      <c r="ER29" s="684"/>
      <c r="ES29" s="684"/>
      <c r="ET29" s="684"/>
      <c r="EU29" s="684"/>
      <c r="EV29" s="684"/>
      <c r="EW29" s="684"/>
      <c r="EX29" s="684"/>
      <c r="EY29" s="684"/>
      <c r="EZ29" s="684"/>
      <c r="FA29" s="684"/>
      <c r="FB29" s="684"/>
      <c r="FC29" s="684"/>
    </row>
    <row r="30" spans="1:159" ht="15.75">
      <c r="A30" s="706" t="s">
        <v>732</v>
      </c>
      <c r="B30" s="692" t="s">
        <v>733</v>
      </c>
      <c r="C30" s="692" t="s">
        <v>734</v>
      </c>
      <c r="D30" s="692" t="s">
        <v>735</v>
      </c>
      <c r="E30" s="692" t="s">
        <v>736</v>
      </c>
      <c r="F30" s="692" t="s">
        <v>737</v>
      </c>
      <c r="G30" s="692" t="s">
        <v>738</v>
      </c>
      <c r="H30" s="692" t="s">
        <v>739</v>
      </c>
      <c r="I30" s="692" t="s">
        <v>740</v>
      </c>
      <c r="J30" s="692" t="s">
        <v>741</v>
      </c>
      <c r="K30" s="692" t="s">
        <v>742</v>
      </c>
      <c r="L30" s="692" t="s">
        <v>743</v>
      </c>
      <c r="M30" s="692" t="s">
        <v>744</v>
      </c>
      <c r="N30" s="692" t="s">
        <v>745</v>
      </c>
      <c r="O30" s="692" t="s">
        <v>746</v>
      </c>
      <c r="P30" s="692" t="s">
        <v>747</v>
      </c>
      <c r="Q30" s="692" t="s">
        <v>748</v>
      </c>
      <c r="R30" s="692" t="s">
        <v>749</v>
      </c>
      <c r="S30" s="692" t="s">
        <v>750</v>
      </c>
      <c r="T30" s="692" t="s">
        <v>750</v>
      </c>
      <c r="U30" s="692" t="s">
        <v>751</v>
      </c>
      <c r="V30" s="692" t="s">
        <v>753</v>
      </c>
      <c r="W30" s="692" t="s">
        <v>754</v>
      </c>
      <c r="X30" s="692" t="s">
        <v>755</v>
      </c>
      <c r="Y30" s="692" t="s">
        <v>756</v>
      </c>
      <c r="Z30" s="692" t="s">
        <v>757</v>
      </c>
      <c r="AA30" s="692" t="s">
        <v>758</v>
      </c>
      <c r="AB30" s="692" t="s">
        <v>759</v>
      </c>
      <c r="AC30" s="692" t="s">
        <v>760</v>
      </c>
      <c r="AD30" s="692" t="s">
        <v>761</v>
      </c>
      <c r="AE30" s="692" t="s">
        <v>762</v>
      </c>
      <c r="AF30" s="692" t="s">
        <v>763</v>
      </c>
      <c r="AG30" s="692" t="s">
        <v>764</v>
      </c>
      <c r="AH30" s="684"/>
      <c r="AI30" s="684"/>
      <c r="AJ30" s="684"/>
      <c r="AK30" s="684"/>
      <c r="AL30" s="684"/>
      <c r="AM30" s="684"/>
      <c r="AN30" s="684"/>
      <c r="AO30" s="684"/>
      <c r="AP30" s="684"/>
      <c r="AQ30" s="684"/>
      <c r="AR30" s="684"/>
      <c r="AS30" s="684"/>
      <c r="AT30" s="684"/>
      <c r="AU30" s="684"/>
      <c r="AV30" s="684"/>
      <c r="AW30" s="684"/>
      <c r="AX30" s="684"/>
      <c r="AY30" s="684"/>
      <c r="AZ30" s="684"/>
      <c r="BA30" s="684"/>
      <c r="BB30" s="684"/>
      <c r="BC30" s="684"/>
      <c r="BD30" s="684"/>
      <c r="BE30" s="684"/>
      <c r="BF30" s="684"/>
      <c r="BG30" s="684"/>
      <c r="BH30" s="684"/>
      <c r="BI30" s="684"/>
      <c r="BJ30" s="684"/>
      <c r="BK30" s="684"/>
      <c r="BL30" s="684"/>
      <c r="BM30" s="684"/>
      <c r="BN30" s="684"/>
      <c r="BO30" s="684"/>
      <c r="BP30" s="684"/>
      <c r="BQ30" s="1533" t="s">
        <v>33</v>
      </c>
      <c r="BR30" s="778">
        <f>'VOD-quarts'!O3</f>
        <v>1149</v>
      </c>
      <c r="BS30" s="778">
        <f>'VOD-quarts'!P3</f>
        <v>1257.7</v>
      </c>
      <c r="BT30" s="778">
        <f>'VOD-quarts'!Q3</f>
        <v>1304.5999999999999</v>
      </c>
      <c r="BU30" s="778">
        <f>'VOD-quarts'!R3</f>
        <v>1344.2</v>
      </c>
      <c r="BV30" s="778">
        <f>'VOD-quarts'!S3</f>
        <v>1023.6999999999998</v>
      </c>
      <c r="BW30" s="778">
        <f>'VOD-quarts'!T3</f>
        <v>1210</v>
      </c>
      <c r="BX30" s="778">
        <f>'VOD-quarts'!V3</f>
        <v>1322.8000000000002</v>
      </c>
      <c r="BY30" s="778">
        <f>'VOD-quarts'!W3</f>
        <v>1075</v>
      </c>
      <c r="BZ30" s="778"/>
      <c r="CA30" s="1896"/>
      <c r="CB30" s="782"/>
      <c r="CC30" s="783"/>
      <c r="CE30" s="684"/>
      <c r="CF30" s="684"/>
      <c r="CG30" s="684"/>
      <c r="CH30" s="684"/>
      <c r="CI30" s="684"/>
      <c r="CJ30" s="684"/>
      <c r="CK30" s="684"/>
      <c r="CL30" s="684"/>
      <c r="CM30" s="684"/>
      <c r="CN30" s="684"/>
      <c r="CU30" s="684"/>
      <c r="CV30" s="684"/>
      <c r="CW30" s="684"/>
      <c r="CX30" s="684"/>
      <c r="CY30" s="684"/>
      <c r="CZ30" s="684"/>
      <c r="DA30" s="684"/>
      <c r="DB30" s="684"/>
      <c r="DC30" s="684"/>
      <c r="DD30" s="684"/>
      <c r="DE30" s="684"/>
      <c r="DF30" s="684"/>
      <c r="DG30" s="684"/>
      <c r="DH30" s="684"/>
      <c r="DI30" s="684"/>
      <c r="DJ30" s="684"/>
      <c r="DK30" s="684"/>
      <c r="DL30" s="684"/>
      <c r="DM30" s="684"/>
      <c r="DN30" s="684"/>
      <c r="DO30" s="684"/>
      <c r="DP30" s="684"/>
      <c r="DQ30" s="684"/>
      <c r="DR30" s="684"/>
      <c r="DS30" s="684"/>
      <c r="DT30" s="684"/>
      <c r="DU30" s="684"/>
      <c r="DV30" s="684"/>
      <c r="DW30" s="684"/>
      <c r="DX30" s="684"/>
      <c r="DY30" s="684"/>
      <c r="DZ30" s="684"/>
      <c r="EA30" s="684"/>
      <c r="EB30" s="684"/>
      <c r="EC30" s="684"/>
      <c r="ED30" s="684"/>
      <c r="EE30" s="684"/>
      <c r="EF30" s="684"/>
      <c r="EG30" s="684"/>
      <c r="EH30" s="684"/>
      <c r="EI30" s="684"/>
      <c r="EJ30" s="684"/>
      <c r="EK30" s="684"/>
      <c r="EL30" s="684"/>
      <c r="EM30" s="684"/>
      <c r="EN30" s="684"/>
      <c r="EO30" s="684"/>
      <c r="EP30" s="684"/>
      <c r="EQ30" s="684"/>
      <c r="ER30" s="684"/>
      <c r="ES30" s="684"/>
      <c r="ET30" s="684"/>
      <c r="EU30" s="684"/>
      <c r="EV30" s="684"/>
      <c r="EW30" s="684"/>
      <c r="EX30" s="684"/>
      <c r="EY30" s="684"/>
      <c r="EZ30" s="684"/>
      <c r="FA30" s="684"/>
      <c r="FB30" s="684"/>
      <c r="FC30" s="684"/>
    </row>
    <row r="31" spans="1:159" ht="15.75">
      <c r="A31" s="707" t="str">
        <f>Interims!A7</f>
        <v>Content</v>
      </c>
      <c r="B31" s="697">
        <f>Interims!CZ7</f>
        <v>5.7092956728597599E-2</v>
      </c>
      <c r="C31" s="697">
        <f>Interims!DA7</f>
        <v>-9.178157063636172E-2</v>
      </c>
      <c r="D31" s="697">
        <f>Interims!DB7</f>
        <v>3.0237377452765335E-2</v>
      </c>
      <c r="E31" s="697">
        <f>Interims!DC7</f>
        <v>-3.2992506603892191E-2</v>
      </c>
      <c r="F31" s="697">
        <f>Interims!DE7</f>
        <v>7.1984047856430866E-2</v>
      </c>
      <c r="G31" s="697">
        <f>Interims!DF7</f>
        <v>0.10980689132904198</v>
      </c>
      <c r="H31" s="697">
        <f>Interims!DG7</f>
        <v>5.8080222582890251E-3</v>
      </c>
      <c r="I31" s="697">
        <f>Interims!DH7</f>
        <v>8.6280266850017773E-2</v>
      </c>
      <c r="J31" s="697">
        <f>Interims!DJ7</f>
        <v>-3.1316432823129348E-2</v>
      </c>
      <c r="K31" s="697">
        <f>Interims!DK7</f>
        <v>-8.1553508472648639E-2</v>
      </c>
      <c r="L31" s="697">
        <f>Interims!DL7</f>
        <v>-7.5045239220387083E-2</v>
      </c>
      <c r="M31" s="697">
        <f>Interims!DM7</f>
        <v>-9.2839058437115263E-2</v>
      </c>
      <c r="N31" s="697">
        <f>Interims!DO7</f>
        <v>8.3489925521554875E-2</v>
      </c>
      <c r="O31" s="697">
        <f>Interims!DP7</f>
        <v>0.35853589073663628</v>
      </c>
      <c r="P31" s="697">
        <f>Interims!DQ7</f>
        <v>0.20998130841121498</v>
      </c>
      <c r="Q31" s="697">
        <f>Interims!DR7</f>
        <v>3.4886571498615737E-3</v>
      </c>
      <c r="R31" s="697">
        <f>Interims!DT7</f>
        <v>-9.0449907587918044E-2</v>
      </c>
      <c r="S31" s="697">
        <f>Interims!DU7</f>
        <v>-0.26627413092221608</v>
      </c>
      <c r="T31" s="697">
        <f>Interims!DV7</f>
        <v>-0.10821721712443755</v>
      </c>
      <c r="U31" s="697">
        <f>Interims!DW7</f>
        <v>4.921637163152548E-2</v>
      </c>
      <c r="V31" s="697">
        <f>Interims!DY7</f>
        <v>-6.3647371570933364E-2</v>
      </c>
      <c r="W31" s="697">
        <f>Interims!DZ7</f>
        <v>-0.16265838509316777</v>
      </c>
      <c r="X31" s="697">
        <f>Interims!EA7</f>
        <v>-7.2280669338168124E-2</v>
      </c>
      <c r="Y31" s="697">
        <f>Interims!EB7</f>
        <v>-4.9433130944064319E-3</v>
      </c>
      <c r="Z31" s="697">
        <f>Interims!ED7</f>
        <v>0.10232475176883282</v>
      </c>
      <c r="AA31" s="697">
        <f>Interims!EE7</f>
        <v>0.16547488354152451</v>
      </c>
      <c r="AB31" s="697">
        <f>Interims!EF7</f>
        <v>0.13399058928971552</v>
      </c>
      <c r="AC31" s="697">
        <f>Interims!EG7</f>
        <v>4.0309951941249533E-2</v>
      </c>
      <c r="AD31" s="697">
        <f>Interims!EI7</f>
        <v>0</v>
      </c>
      <c r="AE31" s="697"/>
      <c r="AF31" s="697"/>
      <c r="AG31" s="697"/>
      <c r="AH31" s="684"/>
      <c r="AI31" s="684"/>
      <c r="AJ31" s="684"/>
      <c r="AK31" s="684"/>
      <c r="AL31" s="684"/>
      <c r="AM31" s="684"/>
      <c r="AN31" s="684"/>
      <c r="AO31" s="684"/>
      <c r="AP31" s="684"/>
      <c r="AQ31" s="684"/>
      <c r="AR31" s="684"/>
      <c r="AS31" s="684"/>
      <c r="AT31" s="684"/>
      <c r="AU31" s="684"/>
      <c r="AV31" s="684"/>
      <c r="AW31" s="684"/>
      <c r="AX31" s="684"/>
      <c r="AY31" s="684"/>
      <c r="AZ31" s="684"/>
      <c r="BA31" s="684"/>
      <c r="BB31" s="684"/>
      <c r="BC31" s="684"/>
      <c r="BD31" s="684"/>
      <c r="BE31" s="684"/>
      <c r="BF31" s="684"/>
      <c r="BG31" s="684"/>
      <c r="BH31" s="684"/>
      <c r="BI31" s="684"/>
      <c r="BJ31" s="684"/>
      <c r="BK31" s="684"/>
      <c r="BL31" s="684"/>
      <c r="BM31" s="684"/>
      <c r="BN31" s="684"/>
      <c r="BO31" s="684"/>
      <c r="BP31" s="684"/>
      <c r="BQ31" s="1534" t="s">
        <v>914</v>
      </c>
      <c r="BR31" s="826">
        <f>'VOD-quarts'!O12</f>
        <v>328.5</v>
      </c>
      <c r="BS31" s="826">
        <f>'VOD-quarts'!P12</f>
        <v>362</v>
      </c>
      <c r="BT31" s="826">
        <f>'VOD-quarts'!Q12</f>
        <v>427.1</v>
      </c>
      <c r="BU31" s="826">
        <f>'VOD-quarts'!R12</f>
        <v>451.9</v>
      </c>
      <c r="BV31" s="826">
        <f>'VOD-quarts'!S12</f>
        <v>345.1</v>
      </c>
      <c r="BW31" s="826">
        <f>'VOD-quarts'!T12</f>
        <v>398</v>
      </c>
      <c r="BX31" s="826">
        <f>'VOD-quarts'!V12</f>
        <v>396.4</v>
      </c>
      <c r="BY31" s="826">
        <f>'VOD-quarts'!W12</f>
        <v>323.3</v>
      </c>
      <c r="BZ31" s="826"/>
      <c r="CA31" s="1897"/>
      <c r="CB31" s="824"/>
      <c r="CC31" s="826"/>
      <c r="CE31" s="684"/>
      <c r="CF31" s="684"/>
      <c r="CG31" s="684"/>
      <c r="CH31" s="684"/>
      <c r="CI31" s="684"/>
      <c r="CJ31" s="684"/>
      <c r="CK31" s="684"/>
      <c r="CL31" s="684"/>
      <c r="CM31" s="684"/>
      <c r="CN31" s="684"/>
      <c r="CU31" s="684"/>
      <c r="CV31" s="684"/>
      <c r="CW31" s="684"/>
      <c r="CX31" s="684"/>
      <c r="CY31" s="684"/>
      <c r="CZ31" s="684"/>
      <c r="DA31" s="684"/>
      <c r="DB31" s="684"/>
      <c r="DC31" s="684"/>
      <c r="DD31" s="684"/>
      <c r="DE31" s="684"/>
      <c r="DF31" s="684"/>
      <c r="DG31" s="684"/>
      <c r="DH31" s="684"/>
      <c r="DI31" s="684"/>
      <c r="DJ31" s="684"/>
      <c r="DK31" s="684"/>
      <c r="DL31" s="684"/>
      <c r="DM31" s="684"/>
      <c r="DN31" s="684"/>
      <c r="DO31" s="684"/>
      <c r="DP31" s="684"/>
      <c r="DQ31" s="684"/>
      <c r="DR31" s="684"/>
      <c r="DS31" s="684"/>
      <c r="DT31" s="684"/>
      <c r="DU31" s="684"/>
      <c r="DV31" s="684"/>
      <c r="DW31" s="684"/>
      <c r="DX31" s="684"/>
      <c r="DY31" s="684"/>
      <c r="DZ31" s="684"/>
      <c r="EA31" s="684"/>
      <c r="EB31" s="684"/>
      <c r="EC31" s="684"/>
      <c r="ED31" s="684"/>
      <c r="EE31" s="684"/>
      <c r="EF31" s="684"/>
      <c r="EG31" s="684"/>
      <c r="EH31" s="684"/>
      <c r="EI31" s="684"/>
      <c r="EJ31" s="684"/>
      <c r="EK31" s="684"/>
      <c r="EL31" s="684"/>
      <c r="EM31" s="684"/>
      <c r="EN31" s="684"/>
      <c r="EO31" s="684"/>
      <c r="EP31" s="684"/>
      <c r="EQ31" s="684"/>
      <c r="ER31" s="684"/>
      <c r="ES31" s="684"/>
      <c r="ET31" s="684"/>
      <c r="EU31" s="684"/>
      <c r="EV31" s="684"/>
      <c r="EW31" s="684"/>
      <c r="EX31" s="684"/>
      <c r="EY31" s="684"/>
      <c r="EZ31" s="684"/>
      <c r="FA31" s="684"/>
      <c r="FB31" s="684"/>
      <c r="FC31" s="684"/>
    </row>
    <row r="32" spans="1:159" ht="15.75" thickBot="1">
      <c r="A32" s="708" t="s">
        <v>915</v>
      </c>
      <c r="B32" s="697"/>
      <c r="C32" s="697"/>
      <c r="D32" s="697"/>
      <c r="E32" s="697"/>
      <c r="F32" s="697"/>
      <c r="G32" s="697"/>
      <c r="H32" s="697"/>
      <c r="I32" s="697"/>
      <c r="J32" s="697"/>
      <c r="K32" s="697"/>
      <c r="L32" s="697"/>
      <c r="M32" s="697"/>
      <c r="N32" s="697"/>
      <c r="O32" s="697"/>
      <c r="P32" s="697"/>
      <c r="Q32" s="697"/>
      <c r="R32" s="697"/>
      <c r="S32" s="697"/>
      <c r="T32" s="697"/>
      <c r="U32" s="697"/>
      <c r="V32" s="697"/>
      <c r="W32" s="697"/>
      <c r="X32" s="697"/>
      <c r="Y32" s="697"/>
      <c r="Z32" s="697"/>
      <c r="AA32" s="697"/>
      <c r="AB32" s="697"/>
      <c r="AC32" s="697"/>
      <c r="AD32" s="697"/>
      <c r="AE32" s="697"/>
      <c r="AF32" s="697"/>
      <c r="AG32" s="697"/>
      <c r="AH32" s="684"/>
      <c r="AI32" s="684"/>
      <c r="AJ32" s="684"/>
      <c r="AK32" s="684"/>
      <c r="AL32" s="684"/>
      <c r="AM32" s="684"/>
      <c r="AN32" s="684"/>
      <c r="AO32" s="684"/>
      <c r="AP32" s="684"/>
      <c r="AQ32" s="684"/>
      <c r="AR32" s="684"/>
      <c r="AS32" s="684"/>
      <c r="AT32" s="684"/>
      <c r="AU32" s="684"/>
      <c r="AV32" s="684"/>
      <c r="AW32" s="684"/>
      <c r="AX32" s="684"/>
      <c r="AY32" s="684"/>
      <c r="AZ32" s="684"/>
      <c r="BA32" s="684"/>
      <c r="BB32" s="684"/>
      <c r="BC32" s="684"/>
      <c r="BD32" s="684"/>
      <c r="BE32" s="684"/>
      <c r="BF32" s="684"/>
      <c r="BG32" s="684"/>
      <c r="BH32" s="684"/>
      <c r="BI32" s="684"/>
      <c r="BJ32" s="684"/>
      <c r="BK32" s="684"/>
      <c r="BL32" s="684"/>
      <c r="BM32" s="684"/>
      <c r="BN32" s="684"/>
      <c r="BO32" s="684"/>
      <c r="CD32" s="684"/>
      <c r="CE32" s="684"/>
      <c r="CF32" s="684"/>
      <c r="CG32" s="684"/>
      <c r="CH32" s="684"/>
      <c r="CI32" s="684"/>
      <c r="CJ32" s="684"/>
      <c r="CK32" s="684"/>
      <c r="CL32" s="684"/>
      <c r="CM32" s="684"/>
      <c r="CN32" s="684"/>
      <c r="CU32" s="684"/>
      <c r="CV32" s="684"/>
      <c r="CW32" s="684"/>
      <c r="CX32" s="684"/>
      <c r="CY32" s="684"/>
      <c r="CZ32" s="684"/>
      <c r="DA32" s="684"/>
      <c r="DB32" s="684"/>
      <c r="DC32" s="684"/>
      <c r="DD32" s="684"/>
      <c r="DE32" s="684"/>
      <c r="DF32" s="684"/>
      <c r="DG32" s="684"/>
      <c r="DH32" s="684"/>
      <c r="DI32" s="684"/>
      <c r="DJ32" s="684"/>
      <c r="DK32" s="684"/>
      <c r="DL32" s="684"/>
      <c r="DM32" s="684"/>
      <c r="DN32" s="684"/>
      <c r="DO32" s="684"/>
      <c r="DP32" s="684"/>
      <c r="DQ32" s="684"/>
      <c r="DR32" s="684"/>
      <c r="DS32" s="684"/>
      <c r="DT32" s="684"/>
      <c r="DU32" s="684"/>
      <c r="DV32" s="684"/>
      <c r="DW32" s="684"/>
      <c r="DX32" s="684"/>
      <c r="DY32" s="684"/>
      <c r="DZ32" s="684"/>
      <c r="EA32" s="684"/>
      <c r="EB32" s="684"/>
      <c r="EC32" s="684"/>
      <c r="ED32" s="684"/>
      <c r="EE32" s="684"/>
      <c r="EF32" s="684"/>
      <c r="EG32" s="684"/>
      <c r="EH32" s="684"/>
      <c r="EI32" s="684"/>
      <c r="EJ32" s="684"/>
      <c r="EK32" s="684"/>
      <c r="EL32" s="684"/>
      <c r="EM32" s="684"/>
      <c r="EN32" s="684"/>
      <c r="EO32" s="684"/>
      <c r="EP32" s="684"/>
      <c r="EQ32" s="684"/>
      <c r="ER32" s="684"/>
      <c r="ES32" s="684"/>
      <c r="ET32" s="684"/>
      <c r="EU32" s="684"/>
      <c r="EV32" s="684"/>
      <c r="EW32" s="684"/>
      <c r="EX32" s="684"/>
      <c r="EY32" s="684"/>
      <c r="EZ32" s="684"/>
      <c r="FA32" s="684"/>
      <c r="FB32" s="684"/>
      <c r="FC32" s="684"/>
    </row>
    <row r="33" spans="1:159" ht="15.75" thickBot="1">
      <c r="A33" s="710" t="str">
        <f>Interims!A8</f>
        <v>Advertising</v>
      </c>
      <c r="B33" s="711">
        <f>Interims!CZ8</f>
        <v>1.5661380310152184E-2</v>
      </c>
      <c r="C33" s="711">
        <f>Interims!DA8</f>
        <v>-0.16380672657908601</v>
      </c>
      <c r="D33" s="711">
        <f>Interims!DB8</f>
        <v>-8.9004887455530701E-2</v>
      </c>
      <c r="E33" s="711">
        <f>Interims!DC8</f>
        <v>-0.10959110390362525</v>
      </c>
      <c r="F33" s="711">
        <f>Interims!DE8</f>
        <v>-3.1402063193408103E-2</v>
      </c>
      <c r="G33" s="711">
        <f>Interims!DF8</f>
        <v>2.1475613248067127E-2</v>
      </c>
      <c r="H33" s="711">
        <f>Interims!DG8</f>
        <v>-1.5018248175182491E-2</v>
      </c>
      <c r="I33" s="711">
        <f>Interims!DH8</f>
        <v>4.0185250230912128E-2</v>
      </c>
      <c r="J33" s="711">
        <f>Interims!DJ8</f>
        <v>-7.8259316319467698E-2</v>
      </c>
      <c r="K33" s="711">
        <f>Interims!DK8</f>
        <v>-9.8000373761913617E-2</v>
      </c>
      <c r="L33" s="711">
        <f>Interims!DL8</f>
        <v>-8.4091372251143937E-2</v>
      </c>
      <c r="M33" s="711">
        <f>Interims!DM8</f>
        <v>-0.1469896695765277</v>
      </c>
      <c r="N33" s="711">
        <f>Interims!DO8</f>
        <v>3.5003149072234896E-2</v>
      </c>
      <c r="O33" s="711">
        <f>Interims!DP8</f>
        <v>9.0995731985248351E-2</v>
      </c>
      <c r="P33" s="711">
        <f>Interims!DQ8</f>
        <v>2.1724179780735486E-2</v>
      </c>
      <c r="Q33" s="711">
        <f>Interims!DR8</f>
        <v>-3.7431273367054985E-2</v>
      </c>
      <c r="R33" s="711">
        <f>Interims!DT8</f>
        <v>-0.13827322302057243</v>
      </c>
      <c r="S33" s="711">
        <f>Interims!DU8</f>
        <v>-0.17005963006570701</v>
      </c>
      <c r="T33" s="711">
        <f>Interims!DV8</f>
        <v>-5.2324200190053904E-2</v>
      </c>
      <c r="U33" s="711">
        <f>Interims!DW8</f>
        <v>8.4384329494910926E-3</v>
      </c>
      <c r="V33" s="711">
        <f>Interims!DY8</f>
        <v>-0.28430973138868521</v>
      </c>
      <c r="W33" s="711">
        <f>Interims!DZ8</f>
        <v>-0.33135025055488188</v>
      </c>
      <c r="X33" s="711">
        <f>Interims!EA8</f>
        <v>-0.13004240740353878</v>
      </c>
      <c r="Y33" s="711">
        <f>Interims!EB8</f>
        <v>1.1328278403770486E-3</v>
      </c>
      <c r="Z33" s="711">
        <f>Interims!ED8</f>
        <v>0.28074835869606485</v>
      </c>
      <c r="AA33" s="711">
        <f>Interims!EE8</f>
        <v>0.32092259256724387</v>
      </c>
      <c r="AB33" s="711">
        <f>Interims!EF8</f>
        <v>0.15834213812313913</v>
      </c>
      <c r="AC33" s="711">
        <f>Interims!EG8</f>
        <v>7.1679666872859427E-2</v>
      </c>
      <c r="AD33" s="711">
        <f>Interims!EI8</f>
        <v>0</v>
      </c>
      <c r="AE33" s="712"/>
      <c r="AF33" s="712"/>
      <c r="AG33" s="712"/>
      <c r="AH33" s="684"/>
      <c r="AI33" s="684"/>
      <c r="AJ33" s="684"/>
      <c r="AK33" s="684"/>
      <c r="AL33" s="684"/>
      <c r="AM33" s="684"/>
      <c r="AN33" s="684"/>
      <c r="AO33" s="684"/>
      <c r="AP33" s="684"/>
      <c r="AQ33" s="684"/>
      <c r="AR33" s="684"/>
      <c r="AS33" s="684"/>
      <c r="AT33" s="684"/>
      <c r="AU33" s="684"/>
      <c r="AV33" s="684"/>
      <c r="AW33" s="684"/>
      <c r="AX33" s="684"/>
      <c r="AY33" s="684"/>
      <c r="AZ33" s="684"/>
      <c r="BA33" s="684"/>
      <c r="BB33" s="684"/>
      <c r="BC33" s="684"/>
      <c r="BD33" s="684"/>
      <c r="BE33" s="684"/>
      <c r="BF33" s="684"/>
      <c r="BG33" s="684"/>
      <c r="BH33" s="684"/>
      <c r="BI33" s="684"/>
      <c r="BJ33" s="684"/>
      <c r="BK33" s="684"/>
      <c r="BL33" s="684"/>
      <c r="BM33" s="684"/>
      <c r="BN33" s="684"/>
      <c r="BO33" s="684"/>
      <c r="CD33" s="684"/>
      <c r="CE33" s="684"/>
      <c r="CF33" s="684"/>
      <c r="CG33" s="684"/>
      <c r="CH33" s="684"/>
      <c r="CI33" s="684"/>
      <c r="CJ33" s="684"/>
      <c r="CK33" s="684"/>
      <c r="CL33" s="684"/>
      <c r="CM33" s="684"/>
      <c r="CN33" s="684"/>
      <c r="CU33" s="684"/>
      <c r="CV33" s="684"/>
      <c r="CW33" s="684"/>
      <c r="CX33" s="684"/>
      <c r="CY33" s="684"/>
      <c r="CZ33" s="684"/>
      <c r="DA33" s="684"/>
      <c r="DB33" s="684"/>
      <c r="DC33" s="684"/>
      <c r="DD33" s="684"/>
      <c r="DE33" s="684"/>
      <c r="DF33" s="684"/>
      <c r="DG33" s="684"/>
      <c r="DH33" s="684"/>
      <c r="DI33" s="684"/>
      <c r="DJ33" s="684"/>
      <c r="DK33" s="684"/>
      <c r="DL33" s="684"/>
      <c r="DM33" s="684"/>
      <c r="DN33" s="684"/>
      <c r="DO33" s="684"/>
      <c r="DP33" s="684"/>
      <c r="DQ33" s="684"/>
      <c r="DR33" s="684"/>
      <c r="DS33" s="684"/>
      <c r="DT33" s="684"/>
      <c r="DU33" s="684"/>
      <c r="DV33" s="684"/>
      <c r="DW33" s="684"/>
      <c r="DX33" s="684"/>
      <c r="DY33" s="684"/>
      <c r="DZ33" s="684"/>
      <c r="EA33" s="684"/>
      <c r="EB33" s="684"/>
      <c r="EC33" s="684"/>
      <c r="ED33" s="684"/>
      <c r="EE33" s="684"/>
      <c r="EF33" s="684"/>
      <c r="EG33" s="684"/>
      <c r="EH33" s="684"/>
      <c r="EI33" s="684"/>
      <c r="EJ33" s="684"/>
      <c r="EK33" s="684"/>
      <c r="EL33" s="684"/>
      <c r="EM33" s="684"/>
      <c r="EN33" s="684"/>
      <c r="EO33" s="684"/>
      <c r="EP33" s="684"/>
      <c r="EQ33" s="684"/>
      <c r="ER33" s="684"/>
      <c r="ES33" s="684"/>
      <c r="ET33" s="684"/>
      <c r="EU33" s="684"/>
      <c r="EV33" s="684"/>
      <c r="EW33" s="684"/>
      <c r="EX33" s="684"/>
      <c r="EY33" s="684"/>
      <c r="EZ33" s="684"/>
      <c r="FA33" s="684"/>
      <c r="FB33" s="684"/>
      <c r="FC33" s="684"/>
    </row>
    <row r="34" spans="1:159">
      <c r="A34" s="707" t="s">
        <v>916</v>
      </c>
      <c r="B34" s="697">
        <f>Interims!CZ9</f>
        <v>0.1943031536113935</v>
      </c>
      <c r="C34" s="697">
        <f>Interims!DA9</f>
        <v>0.27098214285714284</v>
      </c>
      <c r="D34" s="697">
        <f>Interims!DB9</f>
        <v>0.30132219902574819</v>
      </c>
      <c r="E34" s="697">
        <f>Interims!DC9</f>
        <v>0.26901263212168103</v>
      </c>
      <c r="F34" s="697">
        <f>Interims!DE9</f>
        <v>0.31163300073010491</v>
      </c>
      <c r="G34" s="697">
        <f>Interims!DF9</f>
        <v>0.34679779885259321</v>
      </c>
      <c r="H34" s="697">
        <f>Interims!DG9</f>
        <v>0.20406417112299469</v>
      </c>
      <c r="I34" s="697">
        <f>Interims!DH9</f>
        <v>6.1757237176231605E-2</v>
      </c>
      <c r="J34" s="697">
        <f>Interims!DJ9</f>
        <v>-3.3027182484460682E-2</v>
      </c>
      <c r="K34" s="697">
        <f>Interims!DK9</f>
        <v>-0.18186560027818821</v>
      </c>
      <c r="L34" s="697">
        <f>Interims!DL9</f>
        <v>-0.17418724462604362</v>
      </c>
      <c r="M34" s="697">
        <f>Interims!DM9</f>
        <v>9.5474983258394097E-2</v>
      </c>
      <c r="N34" s="697">
        <f>Interims!DO9</f>
        <v>0.13124820109373503</v>
      </c>
      <c r="O34" s="697">
        <f>Interims!DP9</f>
        <v>0.27595367123578773</v>
      </c>
      <c r="P34" s="697">
        <f>Interims!DQ9</f>
        <v>0.27223835645907268</v>
      </c>
      <c r="Q34" s="697">
        <f>Interims!DR9</f>
        <v>9.3004977731203198E-2</v>
      </c>
      <c r="R34" s="697">
        <f>Interims!DT9</f>
        <v>3.324569586973114E-2</v>
      </c>
      <c r="S34" s="697">
        <f>Interims!DU9</f>
        <v>4.3304463690874151E-3</v>
      </c>
      <c r="T34" s="697">
        <f>Interims!DV9</f>
        <v>4.7429827527899926E-2</v>
      </c>
      <c r="U34" s="697">
        <f>Interims!DW9</f>
        <v>6.2639821029082166E-2</v>
      </c>
      <c r="V34" s="697">
        <f>Interims!DY9</f>
        <v>9.3408848395304833E-2</v>
      </c>
      <c r="W34" s="697">
        <f>Interims!DZ9</f>
        <v>0.16144278606965168</v>
      </c>
      <c r="X34" s="697">
        <f>Interims!EA9</f>
        <v>7.4905157801275379E-2</v>
      </c>
      <c r="Y34" s="697">
        <f>Interims!EB9</f>
        <v>5.3909774436090574E-2</v>
      </c>
      <c r="Z34" s="697">
        <f>Interims!ED9</f>
        <v>9.5338187823736931E-3</v>
      </c>
      <c r="AA34" s="697">
        <f>Interims!EE9</f>
        <v>-5.1188691368601491E-2</v>
      </c>
      <c r="AB34" s="697">
        <f>Interims!EF9</f>
        <v>-5.8571750394232902E-3</v>
      </c>
      <c r="AC34" s="697">
        <f>Interims!EG9</f>
        <v>-6.5634586573449782E-3</v>
      </c>
      <c r="AD34" s="697">
        <f>Interims!EI9</f>
        <v>0</v>
      </c>
      <c r="AE34" s="697"/>
      <c r="AF34" s="697"/>
      <c r="AG34" s="697"/>
      <c r="AH34" s="684"/>
      <c r="AI34" s="684"/>
      <c r="AJ34" s="684"/>
      <c r="AK34" s="684"/>
      <c r="AL34" s="684"/>
      <c r="AM34" s="684"/>
      <c r="AN34" s="684"/>
      <c r="AO34" s="684"/>
      <c r="AP34" s="684"/>
      <c r="AQ34" s="684"/>
      <c r="AR34" s="684"/>
      <c r="AS34" s="684"/>
      <c r="AT34" s="684"/>
      <c r="AU34" s="684"/>
      <c r="AV34" s="684"/>
      <c r="AW34" s="684"/>
      <c r="AX34" s="684"/>
      <c r="AY34" s="684"/>
      <c r="AZ34" s="684"/>
      <c r="BA34" s="684"/>
      <c r="BB34" s="684"/>
      <c r="BC34" s="684"/>
      <c r="BD34" s="684"/>
      <c r="BE34" s="684"/>
      <c r="BF34" s="684"/>
      <c r="BG34" s="684"/>
      <c r="BH34" s="684"/>
      <c r="BI34" s="684"/>
      <c r="BJ34" s="684"/>
      <c r="BK34" s="684"/>
      <c r="BL34" s="684"/>
      <c r="BM34" s="684"/>
      <c r="BN34" s="684"/>
      <c r="BO34" s="684"/>
      <c r="CD34" s="684"/>
      <c r="CE34" s="684"/>
      <c r="CF34" s="684"/>
      <c r="CG34" s="684"/>
      <c r="CH34" s="684"/>
      <c r="CI34" s="684"/>
      <c r="CJ34" s="684"/>
      <c r="CK34" s="684"/>
      <c r="CL34" s="684"/>
      <c r="CM34" s="684"/>
      <c r="CN34" s="684"/>
      <c r="CU34" s="684"/>
      <c r="CV34" s="684"/>
      <c r="CW34" s="684"/>
      <c r="CX34" s="684"/>
      <c r="CY34" s="684"/>
      <c r="CZ34" s="684"/>
      <c r="DA34" s="684"/>
      <c r="DB34" s="684"/>
      <c r="DC34" s="684"/>
      <c r="DD34" s="684"/>
      <c r="DE34" s="684"/>
      <c r="DF34" s="684"/>
      <c r="DG34" s="684"/>
      <c r="DH34" s="684"/>
      <c r="DI34" s="684"/>
      <c r="DJ34" s="684"/>
      <c r="DK34" s="684"/>
      <c r="DL34" s="684"/>
      <c r="DM34" s="684"/>
      <c r="DN34" s="684"/>
      <c r="DO34" s="684"/>
      <c r="DP34" s="684"/>
      <c r="DQ34" s="684"/>
      <c r="DR34" s="684"/>
      <c r="DS34" s="684"/>
      <c r="DT34" s="684"/>
      <c r="DU34" s="684"/>
      <c r="DV34" s="684"/>
      <c r="DW34" s="684"/>
      <c r="DX34" s="684"/>
      <c r="DY34" s="684"/>
      <c r="DZ34" s="684"/>
      <c r="EA34" s="684"/>
      <c r="EB34" s="684"/>
      <c r="EC34" s="684"/>
      <c r="ED34" s="684"/>
      <c r="EE34" s="684"/>
      <c r="EF34" s="684"/>
      <c r="EG34" s="684"/>
      <c r="EH34" s="684"/>
      <c r="EI34" s="684"/>
      <c r="EJ34" s="684"/>
      <c r="EK34" s="684"/>
      <c r="EL34" s="684"/>
      <c r="EM34" s="684"/>
      <c r="EN34" s="684"/>
      <c r="EO34" s="684"/>
      <c r="EP34" s="684"/>
      <c r="EQ34" s="684"/>
      <c r="ER34" s="684"/>
      <c r="ES34" s="684"/>
      <c r="ET34" s="684"/>
      <c r="EU34" s="684"/>
      <c r="EV34" s="684"/>
      <c r="EW34" s="684"/>
      <c r="EX34" s="684"/>
      <c r="EY34" s="684"/>
      <c r="EZ34" s="684"/>
      <c r="FA34" s="684"/>
    </row>
    <row r="35" spans="1:159">
      <c r="A35" s="707" t="str">
        <f>Interims!A10</f>
        <v>Licensing and Syndication</v>
      </c>
      <c r="B35" s="697">
        <f>Interims!CZ10</f>
        <v>0.12433088287773897</v>
      </c>
      <c r="C35" s="697">
        <f>Interims!DA10</f>
        <v>2.4302362596712923E-2</v>
      </c>
      <c r="D35" s="697">
        <f>Interims!DB10</f>
        <v>0.34905283951979205</v>
      </c>
      <c r="E35" s="697">
        <f>Interims!DC10</f>
        <v>0.21510749564206821</v>
      </c>
      <c r="F35" s="697">
        <f>Interims!DE10</f>
        <v>0.25042848981146459</v>
      </c>
      <c r="G35" s="697">
        <f>Interims!DF10</f>
        <v>0.25202141608391582</v>
      </c>
      <c r="H35" s="697">
        <f>Interims!DG10</f>
        <v>-2.6413387607417516E-2</v>
      </c>
      <c r="I35" s="697">
        <f>Interims!DH10</f>
        <v>0.26726281560826415</v>
      </c>
      <c r="J35" s="697">
        <f>Interims!DJ10</f>
        <v>7.6352929231394029E-2</v>
      </c>
      <c r="K35" s="697">
        <f>Interims!DK10</f>
        <v>7.1998952742504674E-3</v>
      </c>
      <c r="L35" s="697">
        <f>Interims!DL10</f>
        <v>-5.1100994146613399E-4</v>
      </c>
      <c r="M35" s="697">
        <f>Interims!DM10</f>
        <v>-3.7357080864877101E-3</v>
      </c>
      <c r="N35" s="697">
        <f>Interims!DO10</f>
        <v>0.15441939439675512</v>
      </c>
      <c r="O35" s="697">
        <f>Interims!DP10</f>
        <v>0.20496490772030174</v>
      </c>
      <c r="P35" s="697">
        <f>Interims!DQ10</f>
        <v>0.14617708575412514</v>
      </c>
      <c r="Q35" s="697">
        <f>Interims!DR10</f>
        <v>7.0373456556321212E-2</v>
      </c>
      <c r="R35" s="697">
        <f>Interims!DT10</f>
        <v>-6.6554992645857181E-2</v>
      </c>
      <c r="S35" s="697">
        <f>Interims!DU10</f>
        <v>-0.11059576457052467</v>
      </c>
      <c r="T35" s="697">
        <f>Interims!DV10</f>
        <v>6.792376317923754E-2</v>
      </c>
      <c r="U35" s="697">
        <f>Interims!DW10</f>
        <v>0.13800424628450148</v>
      </c>
      <c r="V35" s="697">
        <f>Interims!DY10</f>
        <v>0.2082111436950147</v>
      </c>
      <c r="W35" s="697">
        <f>Interims!DZ10</f>
        <v>-2.2638153373489067E-2</v>
      </c>
      <c r="X35" s="697">
        <f>Interims!EA10</f>
        <v>-3.6529333586481805E-2</v>
      </c>
      <c r="Y35" s="697">
        <f>Interims!EB10</f>
        <v>-4.1791044776119279E-2</v>
      </c>
      <c r="Z35" s="697">
        <f>Interims!ED10</f>
        <v>-2.3185045645558566E-2</v>
      </c>
      <c r="AA35" s="697">
        <f>Interims!EE10</f>
        <v>0.10311453033875173</v>
      </c>
      <c r="AB35" s="697">
        <f>Interims!EF10</f>
        <v>0.16742206282268546</v>
      </c>
      <c r="AC35" s="697">
        <f>Interims!EG10</f>
        <v>-5.8411214953272284E-3</v>
      </c>
      <c r="AD35" s="697">
        <f>Interims!EI10</f>
        <v>0</v>
      </c>
      <c r="AE35" s="697"/>
      <c r="AF35" s="697"/>
      <c r="AG35" s="697"/>
      <c r="AH35" s="684"/>
      <c r="AI35" s="684"/>
      <c r="AJ35" s="684"/>
      <c r="AK35" s="684"/>
      <c r="AL35" s="684"/>
      <c r="AM35" s="684"/>
      <c r="AN35" s="684"/>
      <c r="AO35" s="684"/>
      <c r="AP35" s="684"/>
      <c r="AQ35" s="684"/>
      <c r="AR35" s="684"/>
      <c r="AS35" s="684"/>
      <c r="AT35" s="684"/>
      <c r="AU35" s="684"/>
      <c r="AV35" s="684"/>
      <c r="AW35" s="684"/>
      <c r="AX35" s="684"/>
      <c r="AY35" s="684"/>
      <c r="AZ35" s="684"/>
      <c r="BA35" s="684"/>
      <c r="BB35" s="684"/>
      <c r="BC35" s="684"/>
      <c r="BD35" s="684"/>
      <c r="BE35" s="684"/>
      <c r="BF35" s="684"/>
      <c r="BG35" s="684"/>
      <c r="BH35" s="684"/>
      <c r="BI35" s="684"/>
      <c r="BJ35" s="684"/>
      <c r="BK35" s="684"/>
      <c r="BL35" s="684"/>
      <c r="BM35" s="684"/>
      <c r="BN35" s="684"/>
      <c r="BO35" s="684"/>
      <c r="BQ35" s="1404" t="str">
        <f>BQ18</f>
        <v>EBITDA (with one offs)</v>
      </c>
      <c r="BS35" s="1234">
        <f>BS18-2472.4</f>
        <v>2826.1000000000008</v>
      </c>
      <c r="BT35" s="1234">
        <f>BT18-2472.4</f>
        <v>2799.8000000000006</v>
      </c>
      <c r="BU35" s="1403">
        <f>BZ18</f>
        <v>5301.0734958815829</v>
      </c>
      <c r="BV35" s="789">
        <f>BS35/BU35-1</f>
        <v>-0.46688156612135168</v>
      </c>
      <c r="BW35" s="1403">
        <f>CB18</f>
        <v>5871.25</v>
      </c>
      <c r="BX35" s="1403">
        <f>CC18</f>
        <v>-1.1488183947200303E-2</v>
      </c>
      <c r="BY35" s="1403">
        <f>CD18</f>
        <v>0</v>
      </c>
      <c r="BZ35" s="789">
        <f>BS35/BW35-1</f>
        <v>-0.51865446029380435</v>
      </c>
      <c r="CD35" s="684"/>
      <c r="CE35" s="684"/>
      <c r="CF35" s="684"/>
      <c r="CG35" s="684"/>
      <c r="CH35" s="684"/>
      <c r="CI35" s="684"/>
      <c r="CJ35" s="684"/>
      <c r="CK35" s="684"/>
      <c r="CL35" s="684"/>
      <c r="CM35" s="684"/>
      <c r="CN35" s="684"/>
      <c r="CU35" s="684"/>
      <c r="CV35" s="684"/>
      <c r="CW35" s="684"/>
      <c r="CX35" s="684"/>
      <c r="CY35" s="684"/>
      <c r="CZ35" s="684"/>
      <c r="DA35" s="684"/>
      <c r="DB35" s="684"/>
      <c r="DC35" s="684"/>
      <c r="DD35" s="684"/>
      <c r="DE35" s="684"/>
      <c r="DF35" s="684"/>
      <c r="DG35" s="684"/>
      <c r="DH35" s="684"/>
      <c r="DI35" s="684"/>
      <c r="DJ35" s="684"/>
      <c r="DK35" s="684"/>
      <c r="DL35" s="684"/>
      <c r="DM35" s="684"/>
      <c r="DN35" s="684"/>
      <c r="DO35" s="684"/>
      <c r="DP35" s="684"/>
      <c r="DQ35" s="684"/>
      <c r="DR35" s="684"/>
      <c r="DS35" s="684"/>
      <c r="DT35" s="684"/>
      <c r="DU35" s="684"/>
      <c r="DV35" s="684"/>
      <c r="DW35" s="684"/>
      <c r="DX35" s="684"/>
      <c r="DY35" s="684"/>
      <c r="DZ35" s="684"/>
      <c r="EA35" s="684"/>
      <c r="EB35" s="684"/>
      <c r="EC35" s="684"/>
      <c r="ED35" s="684"/>
      <c r="EE35" s="684"/>
      <c r="EF35" s="684"/>
      <c r="EG35" s="684"/>
      <c r="EH35" s="684"/>
      <c r="EI35" s="684"/>
      <c r="EJ35" s="684"/>
      <c r="EK35" s="684"/>
      <c r="EL35" s="684"/>
      <c r="EM35" s="684"/>
      <c r="EN35" s="684"/>
      <c r="EO35" s="684"/>
      <c r="EP35" s="684"/>
      <c r="EQ35" s="684"/>
      <c r="ER35" s="684"/>
      <c r="ES35" s="684"/>
      <c r="ET35" s="684"/>
      <c r="EU35" s="684"/>
      <c r="EV35" s="684"/>
      <c r="EW35" s="684"/>
      <c r="EX35" s="684"/>
      <c r="EY35" s="684"/>
      <c r="EZ35" s="684"/>
      <c r="FA35" s="684"/>
    </row>
    <row r="36" spans="1:159">
      <c r="A36" s="707"/>
      <c r="B36" s="697"/>
      <c r="C36" s="697"/>
      <c r="D36" s="697"/>
      <c r="E36" s="697"/>
      <c r="F36" s="697"/>
      <c r="G36" s="697"/>
      <c r="H36" s="697"/>
      <c r="I36" s="697"/>
      <c r="J36" s="697"/>
      <c r="K36" s="697"/>
      <c r="L36" s="697"/>
      <c r="M36" s="697"/>
      <c r="N36" s="697"/>
      <c r="O36" s="697"/>
      <c r="P36" s="697"/>
      <c r="Q36" s="697"/>
      <c r="R36" s="697"/>
      <c r="S36" s="697"/>
      <c r="T36" s="697"/>
      <c r="U36" s="697"/>
      <c r="V36" s="697"/>
      <c r="W36" s="697"/>
      <c r="X36" s="697"/>
      <c r="Y36" s="697"/>
      <c r="Z36" s="697"/>
      <c r="AA36" s="697"/>
      <c r="AB36" s="697"/>
      <c r="AC36" s="697"/>
      <c r="AD36" s="697"/>
      <c r="AE36" s="697"/>
      <c r="AF36" s="697"/>
      <c r="AG36" s="697"/>
      <c r="AH36" s="684"/>
      <c r="AI36" s="684"/>
      <c r="AJ36" s="684"/>
      <c r="AK36" s="684"/>
      <c r="AL36" s="684"/>
      <c r="AM36" s="684"/>
      <c r="AN36" s="684"/>
      <c r="AO36" s="684"/>
      <c r="AP36" s="684"/>
      <c r="AQ36" s="684"/>
      <c r="AR36" s="684"/>
      <c r="AS36" s="684"/>
      <c r="AT36" s="684"/>
      <c r="AU36" s="684"/>
      <c r="AV36" s="684"/>
      <c r="AW36" s="684"/>
      <c r="AX36" s="684"/>
      <c r="AY36" s="684"/>
      <c r="AZ36" s="684"/>
      <c r="BA36" s="684"/>
      <c r="BB36" s="684"/>
      <c r="BC36" s="684"/>
      <c r="BD36" s="684"/>
      <c r="BE36" s="684"/>
      <c r="BF36" s="684"/>
      <c r="BG36" s="684"/>
      <c r="BH36" s="684"/>
      <c r="BI36" s="684"/>
      <c r="BJ36" s="684"/>
      <c r="BK36" s="684"/>
      <c r="BL36" s="684"/>
      <c r="BM36" s="684"/>
      <c r="BN36" s="684"/>
      <c r="BO36" s="684"/>
      <c r="BQ36" s="685" t="str">
        <f>BQ21</f>
        <v>Operating income</v>
      </c>
      <c r="BS36" s="1234">
        <f>BS21-2472.4</f>
        <v>-2382.8999999999996</v>
      </c>
      <c r="BT36" s="1234">
        <f>BT21-2472.4</f>
        <v>-2107.6999999999998</v>
      </c>
      <c r="BU36" s="1403">
        <f>BZ21</f>
        <v>1301.0734958815829</v>
      </c>
      <c r="BV36" s="789">
        <f>BS36/BU36-1</f>
        <v>-2.8314876196793106</v>
      </c>
      <c r="BW36" s="1403">
        <f>CB21</f>
        <v>1542.4</v>
      </c>
      <c r="BX36" s="1403">
        <f>CC21</f>
        <v>0</v>
      </c>
      <c r="BY36" s="1403">
        <f>CD21</f>
        <v>0</v>
      </c>
      <c r="BZ36" s="789">
        <f>BS36/BW36-1</f>
        <v>-2.5449299792531117</v>
      </c>
      <c r="CB36" s="684"/>
      <c r="CC36" s="684"/>
      <c r="CD36" s="684"/>
      <c r="CE36" s="684"/>
      <c r="CF36" s="684"/>
      <c r="CG36" s="684"/>
      <c r="CH36" s="684"/>
      <c r="CI36" s="684"/>
      <c r="CJ36" s="684"/>
      <c r="CK36" s="684"/>
      <c r="CL36" s="684"/>
      <c r="CM36" s="684"/>
      <c r="CN36" s="684"/>
      <c r="CO36" s="684"/>
      <c r="CP36" s="684"/>
      <c r="CQ36" s="684"/>
      <c r="CR36" s="684"/>
      <c r="CS36" s="684"/>
      <c r="CT36" s="684"/>
      <c r="CU36" s="684"/>
      <c r="CV36" s="684"/>
      <c r="CW36" s="684"/>
      <c r="CX36" s="684"/>
      <c r="CY36" s="684"/>
      <c r="CZ36" s="684"/>
      <c r="DA36" s="684"/>
      <c r="DB36" s="684"/>
      <c r="DC36" s="684"/>
      <c r="DD36" s="684"/>
      <c r="DE36" s="684"/>
      <c r="DF36" s="684"/>
      <c r="DG36" s="684"/>
      <c r="DH36" s="684"/>
      <c r="DI36" s="684"/>
      <c r="DJ36" s="684"/>
      <c r="DK36" s="684"/>
      <c r="DL36" s="684"/>
      <c r="DM36" s="684"/>
      <c r="DN36" s="684"/>
      <c r="DO36" s="684"/>
      <c r="DP36" s="684"/>
      <c r="DQ36" s="684"/>
      <c r="DR36" s="684"/>
      <c r="DS36" s="684"/>
      <c r="DT36" s="684"/>
      <c r="DU36" s="684"/>
      <c r="DV36" s="684"/>
      <c r="DW36" s="684"/>
      <c r="DX36" s="684"/>
      <c r="DY36" s="684"/>
      <c r="DZ36" s="684"/>
      <c r="EA36" s="684"/>
      <c r="EB36" s="684"/>
      <c r="EC36" s="684"/>
      <c r="ED36" s="684"/>
      <c r="EE36" s="684"/>
      <c r="EF36" s="684"/>
      <c r="EG36" s="684"/>
      <c r="EH36" s="684"/>
      <c r="EI36" s="684"/>
      <c r="EJ36" s="684"/>
      <c r="EK36" s="684"/>
      <c r="EL36" s="684"/>
      <c r="EM36" s="684"/>
      <c r="EN36" s="684"/>
      <c r="EO36" s="684"/>
      <c r="EP36" s="684"/>
      <c r="EQ36" s="684"/>
      <c r="ER36" s="684"/>
      <c r="ES36" s="684"/>
      <c r="ET36" s="684"/>
      <c r="EU36" s="684"/>
      <c r="EV36" s="684"/>
      <c r="EW36" s="684"/>
      <c r="EX36" s="684"/>
      <c r="EY36" s="684"/>
      <c r="EZ36" s="684"/>
      <c r="FA36" s="684"/>
    </row>
    <row r="37" spans="1:159" ht="15.75" thickBot="1">
      <c r="A37" s="707" t="str">
        <f>Interims!A16</f>
        <v>Satellite (Sky)</v>
      </c>
      <c r="B37" s="697">
        <f>Interims!CZ16</f>
        <v>0.10061440274337974</v>
      </c>
      <c r="C37" s="697">
        <f>Interims!DA16</f>
        <v>9.0327940735270174E-2</v>
      </c>
      <c r="D37" s="697">
        <f>Interims!DB16</f>
        <v>9.3414939242315809E-2</v>
      </c>
      <c r="E37" s="697">
        <f>Interims!DC16</f>
        <v>0.11647436183008852</v>
      </c>
      <c r="F37" s="697">
        <f>Interims!DE16</f>
        <v>0.1574961594218578</v>
      </c>
      <c r="G37" s="697">
        <f>Interims!DF16</f>
        <v>0.18122552651074186</v>
      </c>
      <c r="H37" s="697">
        <f>Interims!DG16</f>
        <v>0.12478038815117465</v>
      </c>
      <c r="I37" s="697">
        <f>Interims!DH16</f>
        <v>9.8318137382040316E-2</v>
      </c>
      <c r="J37" s="697">
        <f>Interims!DJ16</f>
        <v>3.570360400777628E-2</v>
      </c>
      <c r="K37" s="697">
        <f>Interims!DK16</f>
        <v>1.0966366226458968E-2</v>
      </c>
      <c r="L37" s="697">
        <f>Interims!DL16</f>
        <v>-1.1006574884667164E-2</v>
      </c>
      <c r="M37" s="697">
        <f>Interims!DM16</f>
        <v>1.1571088626909587E-2</v>
      </c>
      <c r="N37" s="697">
        <f>Interims!DO16</f>
        <v>-1.1984261632314253E-2</v>
      </c>
      <c r="O37" s="697">
        <f>Interims!DP16</f>
        <v>2.9954447969655629E-3</v>
      </c>
      <c r="P37" s="697">
        <f>Interims!DQ16</f>
        <v>-6.9602585763607339E-3</v>
      </c>
      <c r="Q37" s="697">
        <f>Interims!DR16</f>
        <v>-1.9196236172963732E-2</v>
      </c>
      <c r="R37" s="697">
        <f>Interims!DT16</f>
        <v>-3.5183223119359841E-2</v>
      </c>
      <c r="S37" s="697">
        <f>Interims!DU16</f>
        <v>-5.4905633703258627E-2</v>
      </c>
      <c r="T37" s="697">
        <f>Interims!DV16</f>
        <v>-1.2760527435134006E-2</v>
      </c>
      <c r="U37" s="697">
        <f>Interims!DW16</f>
        <v>-1.5159559860121852E-2</v>
      </c>
      <c r="V37" s="697">
        <f>Interims!DY16</f>
        <v>2.3420933050590786E-2</v>
      </c>
      <c r="W37" s="697">
        <f>Interims!DZ16</f>
        <v>3.1151249976627104E-2</v>
      </c>
      <c r="X37" s="697">
        <f>Interims!EA16</f>
        <v>4.8629713579229294E-2</v>
      </c>
      <c r="Y37" s="697">
        <f>Interims!EB16</f>
        <v>4.4189548437471027E-2</v>
      </c>
      <c r="Z37" s="697">
        <f>Interims!ED16</f>
        <v>4.0608291861691237E-2</v>
      </c>
      <c r="AA37" s="697">
        <f>Interims!EE16</f>
        <v>1.0045877382269364E-2</v>
      </c>
      <c r="AB37" s="697">
        <f>Interims!EF16</f>
        <v>-2.4741420889976551E-2</v>
      </c>
      <c r="AC37" s="697">
        <f>Interims!EG16</f>
        <v>-4.3530123913972485E-2</v>
      </c>
      <c r="AD37" s="697">
        <f>Interims!EI16</f>
        <v>-6.2064428957474105E-2</v>
      </c>
      <c r="AE37" s="697">
        <f>Interims!EJ16</f>
        <v>-7.719789590851156E-2</v>
      </c>
      <c r="AF37" s="697" t="e">
        <f>Interims!#REF!</f>
        <v>#REF!</v>
      </c>
      <c r="AG37" s="697">
        <f>Interims!EL16</f>
        <v>-8.110120432589385E-2</v>
      </c>
      <c r="AH37" s="684"/>
      <c r="AI37" s="684"/>
      <c r="AJ37" s="684"/>
      <c r="AK37" s="684"/>
      <c r="AL37" s="684"/>
      <c r="AM37" s="684"/>
      <c r="AN37" s="684"/>
      <c r="AO37" s="684"/>
      <c r="AP37" s="684"/>
      <c r="AQ37" s="684"/>
      <c r="AR37" s="684"/>
      <c r="AS37" s="684"/>
      <c r="AT37" s="684"/>
      <c r="AU37" s="684"/>
      <c r="AV37" s="684"/>
      <c r="AW37" s="684"/>
      <c r="AX37" s="684"/>
      <c r="AY37" s="684"/>
      <c r="AZ37" s="684"/>
      <c r="BA37" s="684"/>
      <c r="BB37" s="684"/>
      <c r="BC37" s="684"/>
      <c r="BD37" s="684"/>
      <c r="BE37" s="684"/>
      <c r="BF37" s="684"/>
      <c r="BG37" s="684"/>
      <c r="BH37" s="684"/>
      <c r="BI37" s="684"/>
      <c r="BJ37" s="684"/>
      <c r="BK37" s="684"/>
      <c r="BL37" s="684"/>
      <c r="BM37" s="684"/>
      <c r="BN37" s="684"/>
      <c r="BO37" s="684"/>
      <c r="BQ37" s="685" t="str">
        <f>BQ24</f>
        <v>Rep net income</v>
      </c>
      <c r="BS37" s="1234">
        <f>BS25-2472.4</f>
        <v>-2817.1999999999994</v>
      </c>
      <c r="BT37" s="1234">
        <f>BT25-2472.4</f>
        <v>-1732.5</v>
      </c>
      <c r="BU37" s="1403">
        <f ca="1">BZ24</f>
        <v>-446.4523175410888</v>
      </c>
      <c r="BV37" s="789">
        <f ca="1">BS37/BU37-1</f>
        <v>5.3101923527157435</v>
      </c>
      <c r="BW37" s="1403">
        <f>CB24</f>
        <v>1031.9000000000001</v>
      </c>
      <c r="BX37" s="1403">
        <f>CC24</f>
        <v>0</v>
      </c>
      <c r="BY37" s="1403">
        <f>CD24</f>
        <v>0</v>
      </c>
      <c r="BZ37" s="789">
        <f>BS37/BW37-1</f>
        <v>-3.7301095067351477</v>
      </c>
      <c r="CA37" s="684"/>
      <c r="CB37" s="684"/>
      <c r="CC37" s="684"/>
      <c r="CD37" s="684"/>
      <c r="CE37" s="684"/>
      <c r="CF37" s="684"/>
      <c r="CG37" s="684"/>
      <c r="CH37" s="684"/>
      <c r="CI37" s="684"/>
      <c r="CJ37" s="684"/>
      <c r="CK37" s="684"/>
      <c r="CL37" s="684"/>
      <c r="CM37" s="684"/>
      <c r="CN37" s="684"/>
      <c r="CO37" s="684"/>
      <c r="CP37" s="684"/>
      <c r="CQ37" s="684"/>
      <c r="CR37" s="684"/>
      <c r="CS37" s="684"/>
      <c r="CT37" s="684"/>
      <c r="CU37" s="684"/>
      <c r="CV37" s="684"/>
      <c r="CW37" s="684"/>
      <c r="CX37" s="684"/>
      <c r="CY37" s="684"/>
      <c r="CZ37" s="684"/>
      <c r="DA37" s="684"/>
      <c r="DB37" s="684"/>
      <c r="DC37" s="684"/>
      <c r="DD37" s="684"/>
      <c r="DE37" s="684"/>
      <c r="DF37" s="684"/>
      <c r="DG37" s="684"/>
      <c r="DH37" s="684"/>
      <c r="DI37" s="684"/>
      <c r="DJ37" s="684"/>
      <c r="DK37" s="684"/>
      <c r="DL37" s="684"/>
      <c r="DM37" s="684"/>
      <c r="DN37" s="684"/>
      <c r="DO37" s="684"/>
      <c r="DP37" s="684"/>
      <c r="DQ37" s="684"/>
      <c r="DR37" s="684"/>
      <c r="DS37" s="684"/>
      <c r="DT37" s="684"/>
      <c r="DU37" s="684"/>
      <c r="DV37" s="684"/>
      <c r="DW37" s="684"/>
      <c r="DX37" s="684"/>
      <c r="DY37" s="684"/>
      <c r="DZ37" s="684"/>
      <c r="EA37" s="684"/>
      <c r="EB37" s="684"/>
      <c r="EC37" s="684"/>
      <c r="ED37" s="684"/>
      <c r="EE37" s="684"/>
      <c r="EF37" s="684"/>
      <c r="EG37" s="684"/>
      <c r="EH37" s="684"/>
      <c r="EI37" s="684"/>
      <c r="EJ37" s="684"/>
      <c r="EK37" s="684"/>
      <c r="EL37" s="684"/>
      <c r="EM37" s="684"/>
      <c r="EN37" s="684"/>
      <c r="EO37" s="684"/>
      <c r="EP37" s="684"/>
      <c r="EQ37" s="684"/>
      <c r="ER37" s="684"/>
      <c r="ES37" s="684"/>
      <c r="ET37" s="684"/>
      <c r="EU37" s="684"/>
      <c r="EV37" s="684"/>
      <c r="EW37" s="684"/>
      <c r="EX37" s="684"/>
      <c r="EY37" s="684"/>
      <c r="EZ37" s="684"/>
      <c r="FA37" s="684"/>
    </row>
    <row r="38" spans="1:159" ht="15.75" thickBot="1">
      <c r="A38" s="710" t="str">
        <f>Interims!A14</f>
        <v>Cable and Telecom (old disclosure)</v>
      </c>
      <c r="B38" s="711">
        <f>Interims!CZ14</f>
        <v>0.12365778376733472</v>
      </c>
      <c r="C38" s="711">
        <f>Interims!DA14</f>
        <v>0.10564772987488813</v>
      </c>
      <c r="D38" s="711">
        <f>Interims!DB14</f>
        <v>0.13799895485790081</v>
      </c>
      <c r="E38" s="711">
        <f>Interims!DC14</f>
        <v>0.12566235267670733</v>
      </c>
      <c r="F38" s="711">
        <f>Interims!DE14</f>
        <v>0.13502122272693429</v>
      </c>
      <c r="G38" s="711">
        <f>Interims!DF14</f>
        <v>0.12915177214640305</v>
      </c>
      <c r="H38" s="711">
        <f>Interims!DG14</f>
        <v>0.11806964628461758</v>
      </c>
      <c r="I38" s="711">
        <f>Interims!DH14</f>
        <v>9.8162507760796158E-2</v>
      </c>
      <c r="J38" s="711">
        <f>Interims!DJ14</f>
        <v>6.2353203605778562E-2</v>
      </c>
      <c r="K38" s="711">
        <f>Interims!DK14</f>
        <v>3.0068827623332073E-2</v>
      </c>
      <c r="L38" s="711">
        <f>Interims!DL14</f>
        <v>2.0514518344123989E-2</v>
      </c>
      <c r="M38" s="711">
        <f>Interims!DM14</f>
        <v>3.3645287013424285E-2</v>
      </c>
      <c r="N38" s="711">
        <f>Interims!DO14</f>
        <v>7.082247446364387E-2</v>
      </c>
      <c r="O38" s="711">
        <f>Interims!DP14</f>
        <v>9.8174623912800074E-2</v>
      </c>
      <c r="P38" s="711">
        <f>Interims!DQ14</f>
        <v>0.10782817662961852</v>
      </c>
      <c r="Q38" s="711">
        <f>Interims!DR14</f>
        <v>0.10762373587496676</v>
      </c>
      <c r="R38" s="711">
        <f>Interims!DT14</f>
        <v>0.14168887043380973</v>
      </c>
      <c r="S38" s="711">
        <f>Interims!DU14</f>
        <v>0.15749458966427587</v>
      </c>
      <c r="T38" s="711">
        <f>Interims!DV14</f>
        <v>0.14666102669226366</v>
      </c>
      <c r="U38" s="711">
        <f>Interims!DW14</f>
        <v>0.15743299326517946</v>
      </c>
      <c r="V38" s="711">
        <f>Interims!DY14</f>
        <v>9.3613925904971751E-2</v>
      </c>
      <c r="W38" s="711">
        <f>Interims!DZ14</f>
        <v>0.10700196755973623</v>
      </c>
      <c r="X38" s="711">
        <f>Interims!EA14</f>
        <v>7.9057140965371087E-2</v>
      </c>
      <c r="Y38" s="711">
        <f>Interims!EB14</f>
        <v>7.3492433801435553E-2</v>
      </c>
      <c r="Z38" s="711">
        <f>Interims!ED14</f>
        <v>7.8690402505381174E-2</v>
      </c>
      <c r="AA38" s="711">
        <f>Interims!EE14</f>
        <v>5.9493491794001319E-2</v>
      </c>
      <c r="AB38" s="711">
        <f>Interims!EF14</f>
        <v>5.7740688470270696E-2</v>
      </c>
      <c r="AC38" s="711">
        <f>Interims!EG14</f>
        <v>3.9786228299382387E-2</v>
      </c>
      <c r="AD38" s="711">
        <f>Interims!EI14</f>
        <v>1.0962189012118317E-2</v>
      </c>
      <c r="AE38" s="711">
        <f>Interims!EJ14</f>
        <v>-1.9329638779461922E-2</v>
      </c>
      <c r="AF38" s="711" t="e">
        <f>Interims!#REF!</f>
        <v>#REF!</v>
      </c>
      <c r="AG38" s="711">
        <f>Interims!EL14</f>
        <v>1.3589564255623632E-2</v>
      </c>
      <c r="AH38" s="684"/>
      <c r="AI38" s="684"/>
      <c r="AJ38" s="684"/>
      <c r="AK38" s="684"/>
      <c r="AL38" s="684"/>
      <c r="AM38" s="684"/>
      <c r="AN38" s="684"/>
      <c r="AO38" s="684"/>
      <c r="AP38" s="684"/>
      <c r="AQ38" s="684"/>
      <c r="AR38" s="684"/>
      <c r="AS38" s="684"/>
      <c r="AT38" s="684"/>
      <c r="AU38" s="684"/>
      <c r="AV38" s="684"/>
      <c r="AW38" s="684"/>
      <c r="AX38" s="684"/>
      <c r="AY38" s="684"/>
      <c r="AZ38" s="684"/>
      <c r="BA38" s="684"/>
      <c r="BB38" s="684"/>
      <c r="BC38" s="684"/>
      <c r="BD38" s="684"/>
      <c r="BE38" s="684"/>
      <c r="BF38" s="684"/>
      <c r="BG38" s="684"/>
      <c r="BH38" s="684"/>
      <c r="BI38" s="684"/>
      <c r="BJ38" s="684"/>
      <c r="BK38" s="684"/>
      <c r="BL38" s="684"/>
      <c r="BM38" s="684"/>
      <c r="BN38" s="684"/>
      <c r="BO38" s="684"/>
      <c r="CA38" s="684"/>
      <c r="CB38" s="684"/>
      <c r="CC38" s="684"/>
      <c r="CD38" s="684"/>
      <c r="CE38" s="684"/>
      <c r="CF38" s="684"/>
      <c r="CG38" s="684"/>
      <c r="CH38" s="684"/>
      <c r="CI38" s="684"/>
      <c r="CJ38" s="684"/>
      <c r="CK38" s="684"/>
      <c r="CL38" s="684"/>
      <c r="CM38" s="684"/>
      <c r="CN38" s="684"/>
      <c r="CO38" s="684"/>
      <c r="CP38" s="684"/>
      <c r="CQ38" s="684"/>
      <c r="CR38" s="684"/>
      <c r="CS38" s="684"/>
      <c r="CT38" s="684"/>
      <c r="CU38" s="684"/>
      <c r="CV38" s="684"/>
      <c r="CW38" s="684"/>
      <c r="CX38" s="684"/>
      <c r="CY38" s="684"/>
      <c r="CZ38" s="684"/>
      <c r="DA38" s="684"/>
      <c r="DB38" s="684"/>
      <c r="DC38" s="684"/>
      <c r="DD38" s="684"/>
      <c r="DE38" s="684"/>
      <c r="DF38" s="684"/>
      <c r="DG38" s="684"/>
      <c r="DH38" s="684"/>
      <c r="DI38" s="684"/>
      <c r="DJ38" s="684"/>
      <c r="DK38" s="684"/>
      <c r="DL38" s="684"/>
      <c r="DM38" s="684"/>
      <c r="DN38" s="684"/>
      <c r="DO38" s="684"/>
      <c r="DP38" s="684"/>
      <c r="DQ38" s="684"/>
      <c r="DR38" s="684"/>
      <c r="DS38" s="684"/>
      <c r="DT38" s="684"/>
      <c r="DU38" s="684"/>
      <c r="DV38" s="684"/>
      <c r="DW38" s="684"/>
      <c r="DX38" s="684"/>
      <c r="DY38" s="684"/>
      <c r="DZ38" s="684"/>
      <c r="EA38" s="684"/>
      <c r="EB38" s="684"/>
      <c r="EC38" s="684"/>
      <c r="ED38" s="684"/>
      <c r="EE38" s="684"/>
      <c r="EF38" s="684"/>
      <c r="EG38" s="684"/>
      <c r="EH38" s="684"/>
      <c r="EI38" s="684"/>
      <c r="EJ38" s="684"/>
      <c r="EK38" s="684"/>
      <c r="EL38" s="684"/>
      <c r="EM38" s="684"/>
      <c r="EN38" s="684"/>
      <c r="EO38" s="684"/>
      <c r="EP38" s="684"/>
      <c r="EQ38" s="684"/>
      <c r="ER38" s="684"/>
      <c r="ES38" s="684"/>
      <c r="ET38" s="684"/>
      <c r="EU38" s="684"/>
      <c r="EV38" s="684"/>
      <c r="EW38" s="684"/>
      <c r="EX38" s="684"/>
      <c r="EY38" s="684"/>
      <c r="EZ38" s="684"/>
      <c r="FA38" s="684"/>
    </row>
    <row r="39" spans="1:159">
      <c r="A39" s="707" t="str">
        <f>Interims!A18</f>
        <v>Other Businesses</v>
      </c>
      <c r="B39" s="697">
        <f>Interims!CZ18</f>
        <v>7.323076923076921E-2</v>
      </c>
      <c r="C39" s="697">
        <f>Interims!DA18</f>
        <v>-2.5887308028147316E-2</v>
      </c>
      <c r="D39" s="697">
        <f>Interims!DB18</f>
        <v>3.7385107921098948E-2</v>
      </c>
      <c r="E39" s="697">
        <f>Interims!DC18</f>
        <v>-9.1899573661771705E-2</v>
      </c>
      <c r="F39" s="697">
        <f>Interims!DE18</f>
        <v>-7.4697664720600576E-2</v>
      </c>
      <c r="G39" s="697">
        <f>Interims!DF18</f>
        <v>7.8143949380437672E-2</v>
      </c>
      <c r="H39" s="697">
        <f>Interims!DG18</f>
        <v>0.1078646092583373</v>
      </c>
      <c r="I39" s="697">
        <f>Interims!DH18</f>
        <v>0.20978960180838135</v>
      </c>
      <c r="J39" s="697">
        <f>Interims!DJ18</f>
        <v>0.11621880457439038</v>
      </c>
      <c r="K39" s="697">
        <f>Interims!DK18</f>
        <v>7.3311488237883138E-2</v>
      </c>
      <c r="L39" s="697">
        <f>Interims!DL18</f>
        <v>-0.11448083748932913</v>
      </c>
      <c r="M39" s="697">
        <f>Interims!DM18</f>
        <v>-0.19899389148401014</v>
      </c>
      <c r="N39" s="697">
        <f>Interims!DO18</f>
        <v>-0.1024528111436358</v>
      </c>
      <c r="O39" s="697">
        <f>Interims!DP18</f>
        <v>5.376834047206791E-2</v>
      </c>
      <c r="P39" s="697">
        <f>Interims!DQ18</f>
        <v>-1.2380130904662945E-2</v>
      </c>
      <c r="Q39" s="697">
        <f>Interims!DR18</f>
        <v>0.16544051677731941</v>
      </c>
      <c r="R39" s="697">
        <f>Interims!DT18</f>
        <v>0.27097390913180397</v>
      </c>
      <c r="S39" s="697">
        <f>Interims!DU18</f>
        <v>-0.15830666781976988</v>
      </c>
      <c r="T39" s="697">
        <f>Interims!DV18</f>
        <v>0.35273567942460815</v>
      </c>
      <c r="U39" s="697">
        <f>Interims!DW18</f>
        <v>-0.25561970746728235</v>
      </c>
      <c r="V39" s="697">
        <f>Interims!DY18</f>
        <v>-0.15763394239702699</v>
      </c>
      <c r="W39" s="697">
        <f>Interims!DZ18</f>
        <v>-0.70865656306190594</v>
      </c>
      <c r="X39" s="697">
        <f>Interims!EA18</f>
        <v>-0.70282176901750781</v>
      </c>
      <c r="Y39" s="697">
        <f>Interims!EB18</f>
        <v>-0.47132736956409327</v>
      </c>
      <c r="Z39" s="697">
        <f>Interims!ED18</f>
        <v>-0.50026260504201681</v>
      </c>
      <c r="AA39" s="697">
        <f>Interims!EE18</f>
        <v>1.1516487391994357</v>
      </c>
      <c r="AB39" s="697">
        <f>Interims!EF18</f>
        <v>0.80076677316293909</v>
      </c>
      <c r="AC39" s="697">
        <f>Interims!EG18</f>
        <v>0.41647104851330186</v>
      </c>
      <c r="AD39" s="697">
        <f>Interims!EI18</f>
        <v>0.74576983709931688</v>
      </c>
      <c r="AE39" s="697">
        <f>Interims!EJ18</f>
        <v>0.42820849041140785</v>
      </c>
      <c r="AF39" s="697" t="e">
        <f>Interims!#REF!</f>
        <v>#REF!</v>
      </c>
      <c r="AG39" s="697">
        <f>Interims!EL18</f>
        <v>0.38261289877088789</v>
      </c>
      <c r="AH39" s="684"/>
      <c r="AI39" s="684"/>
      <c r="AJ39" s="684"/>
      <c r="AK39" s="684"/>
      <c r="AL39" s="684"/>
      <c r="AM39" s="684"/>
      <c r="AN39" s="684"/>
      <c r="AO39" s="684"/>
      <c r="AP39" s="684"/>
      <c r="AQ39" s="684"/>
      <c r="AR39" s="684"/>
      <c r="AS39" s="684"/>
      <c r="AT39" s="684"/>
      <c r="AU39" s="684"/>
      <c r="AV39" s="684"/>
      <c r="AW39" s="684"/>
      <c r="AX39" s="684"/>
      <c r="AY39" s="684"/>
      <c r="AZ39" s="684"/>
      <c r="BA39" s="684"/>
      <c r="BB39" s="684"/>
      <c r="BC39" s="684"/>
      <c r="BD39" s="684"/>
      <c r="BE39" s="684"/>
      <c r="BF39" s="684"/>
      <c r="BG39" s="684"/>
      <c r="BH39" s="684"/>
      <c r="BI39" s="684"/>
      <c r="BJ39" s="684"/>
      <c r="BK39" s="684"/>
      <c r="BL39" s="684"/>
      <c r="BM39" s="684"/>
      <c r="BN39" s="684"/>
      <c r="BO39" s="684"/>
      <c r="CA39" s="684"/>
      <c r="CB39" s="684"/>
      <c r="CC39" s="684"/>
      <c r="CD39" s="684"/>
      <c r="CE39" s="684"/>
      <c r="CF39" s="684"/>
      <c r="CG39" s="684"/>
      <c r="CH39" s="684"/>
      <c r="CI39" s="684"/>
      <c r="CJ39" s="684"/>
      <c r="CK39" s="684"/>
      <c r="CL39" s="684"/>
      <c r="CM39" s="684"/>
      <c r="CN39" s="684"/>
      <c r="CO39" s="684"/>
      <c r="CP39" s="684"/>
      <c r="CQ39" s="684"/>
      <c r="CR39" s="684"/>
      <c r="CS39" s="684"/>
      <c r="CT39" s="684"/>
      <c r="CU39" s="684"/>
      <c r="CV39" s="684"/>
      <c r="CW39" s="684"/>
      <c r="CX39" s="684"/>
      <c r="CY39" s="684"/>
      <c r="CZ39" s="684"/>
      <c r="DA39" s="684"/>
      <c r="DB39" s="684"/>
      <c r="DC39" s="684"/>
      <c r="DD39" s="684"/>
      <c r="DE39" s="684"/>
      <c r="DF39" s="684"/>
      <c r="DG39" s="684"/>
      <c r="DH39" s="684"/>
      <c r="DI39" s="684"/>
      <c r="DJ39" s="684"/>
      <c r="DK39" s="684"/>
      <c r="DL39" s="684"/>
      <c r="DM39" s="684"/>
      <c r="DN39" s="684"/>
      <c r="DO39" s="684"/>
      <c r="DP39" s="684"/>
      <c r="DQ39" s="684"/>
      <c r="DR39" s="684"/>
      <c r="DS39" s="684"/>
      <c r="DT39" s="684"/>
      <c r="DU39" s="684"/>
      <c r="DV39" s="684"/>
      <c r="DW39" s="684"/>
      <c r="DX39" s="684"/>
      <c r="DY39" s="684"/>
      <c r="DZ39" s="684"/>
      <c r="EA39" s="684"/>
      <c r="EB39" s="684"/>
      <c r="EC39" s="684"/>
      <c r="ED39" s="684"/>
      <c r="EE39" s="684"/>
      <c r="EF39" s="684"/>
      <c r="EG39" s="684"/>
      <c r="EH39" s="684"/>
      <c r="EI39" s="684"/>
      <c r="EJ39" s="684"/>
      <c r="EK39" s="684"/>
      <c r="EL39" s="684"/>
      <c r="EM39" s="684"/>
      <c r="EN39" s="684"/>
      <c r="EO39" s="684"/>
      <c r="EP39" s="684"/>
      <c r="EQ39" s="684"/>
      <c r="ER39" s="684"/>
      <c r="ES39" s="684"/>
      <c r="ET39" s="684"/>
      <c r="EU39" s="684"/>
      <c r="EV39" s="684"/>
      <c r="EW39" s="684"/>
      <c r="EX39" s="684"/>
      <c r="EY39" s="684"/>
      <c r="EZ39" s="684"/>
      <c r="FA39" s="684"/>
    </row>
    <row r="40" spans="1:159">
      <c r="A40" s="713" t="str">
        <f>Interims!A19</f>
        <v>Segment Net Sales</v>
      </c>
      <c r="B40" s="714">
        <f>Interims!CZ19</f>
        <v>8.7149067565920335E-2</v>
      </c>
      <c r="C40" s="714">
        <f>Interims!DA19</f>
        <v>2.4146388099779426E-3</v>
      </c>
      <c r="D40" s="714">
        <f>Interims!DB19</f>
        <v>5.4783455288481164E-2</v>
      </c>
      <c r="E40" s="714">
        <f>Interims!DC19</f>
        <v>2.8937416428084894E-2</v>
      </c>
      <c r="F40" s="714">
        <f>Interims!DE19</f>
        <v>9.8473041488291058E-2</v>
      </c>
      <c r="G40" s="714">
        <f>Interims!DF19</f>
        <v>0.12896609908780299</v>
      </c>
      <c r="H40" s="714">
        <f>Interims!DG19</f>
        <v>7.6182965299684602E-2</v>
      </c>
      <c r="I40" s="714">
        <f>Interims!DH19</f>
        <v>0.10321929078899172</v>
      </c>
      <c r="J40" s="714">
        <f>Interims!DJ19</f>
        <v>2.8591697272833505E-2</v>
      </c>
      <c r="K40" s="714">
        <f>Interims!DK19</f>
        <v>-1.1205383869036578E-2</v>
      </c>
      <c r="L40" s="714">
        <f>Interims!DL19</f>
        <v>-3.2537007181591582E-2</v>
      </c>
      <c r="M40" s="714">
        <f>Interims!DM19</f>
        <v>-4.5800123707696483E-2</v>
      </c>
      <c r="N40" s="714">
        <f>Interims!DO19</f>
        <v>3.9840237461259864E-2</v>
      </c>
      <c r="O40" s="714">
        <f>Interims!DP19</f>
        <v>0.15947989694811082</v>
      </c>
      <c r="P40" s="714">
        <f>Interims!DQ19</f>
        <v>0.10605295493948708</v>
      </c>
      <c r="Q40" s="714">
        <f>Interims!DR19</f>
        <v>4.5327762282056927E-2</v>
      </c>
      <c r="R40" s="714">
        <f>Interims!DT19</f>
        <v>3.3717157045886514E-2</v>
      </c>
      <c r="S40" s="714">
        <f>Interims!DU19</f>
        <v>-7.9521760267929342E-2</v>
      </c>
      <c r="T40" s="714">
        <f>Interims!DV19</f>
        <v>3.4964502849664125E-2</v>
      </c>
      <c r="U40" s="714">
        <f>Interims!DW19</f>
        <v>4.5190713101161073E-2</v>
      </c>
      <c r="V40" s="714">
        <f>Interims!DY19</f>
        <v>9.6122217755201245E-3</v>
      </c>
      <c r="W40" s="714">
        <f>Interims!DZ19</f>
        <v>-5.5910924363172798E-2</v>
      </c>
      <c r="X40" s="714">
        <f>Interims!EA19</f>
        <v>-5.0770508918199675E-2</v>
      </c>
      <c r="Y40" s="714">
        <f>Interims!EB19</f>
        <v>2.7326017012647696E-3</v>
      </c>
      <c r="Z40" s="714">
        <f>Interims!ED19</f>
        <v>3.2467741416481566E-2</v>
      </c>
      <c r="AA40" s="714">
        <f>Interims!EE19</f>
        <v>0.10346356584007421</v>
      </c>
      <c r="AB40" s="714">
        <f>Interims!EF19</f>
        <v>8.6098126769345251E-2</v>
      </c>
      <c r="AC40" s="714">
        <f>Interims!EG19</f>
        <v>3.7181797587933385E-2</v>
      </c>
      <c r="AD40" s="714">
        <f>Interims!EI19</f>
        <v>-0.26988016580440066</v>
      </c>
      <c r="AE40" s="714">
        <f>Interims!EJ19</f>
        <v>-0.30025274242429933</v>
      </c>
      <c r="AF40" s="714" t="e">
        <f>Interims!#REF!</f>
        <v>#REF!</v>
      </c>
      <c r="AG40" s="714">
        <f>Interims!EL19</f>
        <v>-0.36751206154648586</v>
      </c>
      <c r="AH40" s="684"/>
      <c r="AI40" s="684"/>
      <c r="AJ40" s="684"/>
      <c r="AK40" s="684"/>
      <c r="AL40" s="684"/>
      <c r="AM40" s="684"/>
      <c r="AN40" s="684"/>
      <c r="AO40" s="684"/>
      <c r="AP40" s="684"/>
      <c r="AQ40" s="684"/>
      <c r="AR40" s="684"/>
      <c r="AS40" s="684"/>
      <c r="AT40" s="684"/>
      <c r="AU40" s="684"/>
      <c r="AV40" s="684"/>
      <c r="AW40" s="684"/>
      <c r="AX40" s="684"/>
      <c r="AY40" s="684"/>
      <c r="AZ40" s="684"/>
      <c r="BA40" s="684"/>
      <c r="BB40" s="684"/>
      <c r="BC40" s="684"/>
      <c r="BD40" s="684"/>
      <c r="BE40" s="684"/>
      <c r="BF40" s="684"/>
      <c r="BG40" s="684"/>
      <c r="BH40" s="684"/>
      <c r="BI40" s="684"/>
      <c r="BJ40" s="684"/>
      <c r="BK40" s="684"/>
      <c r="BL40" s="684"/>
      <c r="BM40" s="684"/>
      <c r="BN40" s="684"/>
      <c r="BO40" s="684"/>
      <c r="CA40" s="684"/>
      <c r="CB40" s="684"/>
      <c r="CC40" s="684"/>
      <c r="CD40" s="684"/>
      <c r="CE40" s="684"/>
      <c r="CF40" s="684"/>
      <c r="CG40" s="684"/>
      <c r="CH40" s="684"/>
      <c r="CI40" s="684"/>
      <c r="CJ40" s="684"/>
      <c r="CK40" s="684"/>
      <c r="CL40" s="684"/>
      <c r="CM40" s="684"/>
      <c r="CN40" s="684"/>
      <c r="CO40" s="684"/>
      <c r="CP40" s="684"/>
      <c r="CQ40" s="684"/>
      <c r="CR40" s="684"/>
      <c r="CS40" s="684"/>
      <c r="CT40" s="684"/>
      <c r="CU40" s="684"/>
      <c r="CV40" s="684"/>
      <c r="CW40" s="684"/>
      <c r="CX40" s="684"/>
      <c r="CY40" s="684"/>
      <c r="CZ40" s="684"/>
      <c r="DA40" s="684"/>
      <c r="DB40" s="684"/>
      <c r="DC40" s="684"/>
      <c r="DD40" s="684"/>
      <c r="DE40" s="684"/>
      <c r="DF40" s="684"/>
      <c r="DG40" s="684"/>
      <c r="DH40" s="684"/>
      <c r="DI40" s="684"/>
      <c r="DJ40" s="684"/>
      <c r="DK40" s="684"/>
      <c r="DL40" s="684"/>
      <c r="DM40" s="684"/>
      <c r="DN40" s="684"/>
      <c r="DO40" s="684"/>
      <c r="DP40" s="684"/>
      <c r="DQ40" s="684"/>
      <c r="DR40" s="684"/>
      <c r="DS40" s="684"/>
      <c r="DT40" s="684"/>
      <c r="DU40" s="684"/>
      <c r="DV40" s="684"/>
      <c r="DW40" s="684"/>
      <c r="DX40" s="684"/>
      <c r="DY40" s="684"/>
      <c r="DZ40" s="684"/>
      <c r="EA40" s="684"/>
      <c r="EB40" s="684"/>
      <c r="EC40" s="684"/>
      <c r="ED40" s="684"/>
      <c r="EE40" s="684"/>
      <c r="EF40" s="684"/>
      <c r="EG40" s="684"/>
      <c r="EH40" s="684"/>
      <c r="EI40" s="684"/>
      <c r="EJ40" s="684"/>
      <c r="EK40" s="684"/>
      <c r="EL40" s="684"/>
      <c r="EM40" s="684"/>
      <c r="EN40" s="684"/>
      <c r="EO40" s="684"/>
      <c r="EP40" s="684"/>
      <c r="EQ40" s="684"/>
      <c r="ER40" s="684"/>
      <c r="ES40" s="684"/>
      <c r="ET40" s="684"/>
      <c r="EU40" s="684"/>
      <c r="EV40" s="684"/>
      <c r="EW40" s="684"/>
      <c r="EX40" s="684"/>
      <c r="EY40" s="684"/>
      <c r="EZ40" s="684"/>
      <c r="FA40" s="684"/>
    </row>
    <row r="41" spans="1:159">
      <c r="A41" s="707" t="str">
        <f>Interims!A20</f>
        <v>Intersegment Operations</v>
      </c>
      <c r="B41" s="697">
        <f>Interims!CZ20</f>
        <v>0.3641429039659152</v>
      </c>
      <c r="C41" s="697">
        <f>Interims!DA20</f>
        <v>0.35691504783995365</v>
      </c>
      <c r="D41" s="697">
        <f>Interims!DB20</f>
        <v>0.49106673673147649</v>
      </c>
      <c r="E41" s="697">
        <f>Interims!DC20</f>
        <v>0.93649025069631819</v>
      </c>
      <c r="F41" s="697">
        <f>Interims!DE20</f>
        <v>0.2763094666025927</v>
      </c>
      <c r="G41" s="697">
        <f>Interims!DF20</f>
        <v>0.48931623931623935</v>
      </c>
      <c r="H41" s="697">
        <f>Interims!DG20</f>
        <v>0.48140969162995595</v>
      </c>
      <c r="I41" s="697">
        <f>Interims!DH20</f>
        <v>0.4262082853855016</v>
      </c>
      <c r="J41" s="697">
        <f>Interims!DJ20</f>
        <v>0.37782379518072262</v>
      </c>
      <c r="K41" s="697">
        <f>Interims!DK20</f>
        <v>0.12955523672883773</v>
      </c>
      <c r="L41" s="697">
        <f>Interims!DL20</f>
        <v>0.10776733674319017</v>
      </c>
      <c r="M41" s="697">
        <f>Interims!DM20</f>
        <v>-9.8638426626323716E-2</v>
      </c>
      <c r="N41" s="697">
        <f>Interims!DO20</f>
        <v>0.37956004918704744</v>
      </c>
      <c r="O41" s="697">
        <f>Interims!DP20</f>
        <v>0.35488378000762122</v>
      </c>
      <c r="P41" s="697">
        <f>Interims!DQ20</f>
        <v>0.34285407494899589</v>
      </c>
      <c r="Q41" s="697">
        <f>Interims!DR20</f>
        <v>0.66174331431129141</v>
      </c>
      <c r="R41" s="697">
        <f>Interims!DT20</f>
        <v>0.21788650094087347</v>
      </c>
      <c r="S41" s="697">
        <f>Interims!DU20</f>
        <v>0.17436955095153284</v>
      </c>
      <c r="T41" s="697">
        <f>Interims!DV20</f>
        <v>0.13257636334559431</v>
      </c>
      <c r="U41" s="697">
        <f>Interims!DW20</f>
        <v>6.868224361995301E-3</v>
      </c>
      <c r="V41" s="697">
        <f>Interims!DY20</f>
        <v>0.32780352931609325</v>
      </c>
      <c r="W41" s="697">
        <f>Interims!DZ20</f>
        <v>0.43673664883850871</v>
      </c>
      <c r="X41" s="697">
        <f>Interims!EA20</f>
        <v>0.3263908500423609</v>
      </c>
      <c r="Y41" s="697">
        <f>Interims!EB20</f>
        <v>0.29820102989366659</v>
      </c>
      <c r="Z41" s="697">
        <f>Interims!ED20</f>
        <v>0.1268985791278785</v>
      </c>
      <c r="AA41" s="697">
        <f>Interims!EE20</f>
        <v>4.2060228914323927E-2</v>
      </c>
      <c r="AB41" s="697">
        <f>Interims!EF20</f>
        <v>2.0386437430137905E-2</v>
      </c>
      <c r="AC41" s="697">
        <f>Interims!EG20</f>
        <v>-3.9666185864413506E-2</v>
      </c>
      <c r="AD41" s="697">
        <f>Interims!EI20</f>
        <v>-0.92820652173913043</v>
      </c>
      <c r="AE41" s="697">
        <f>Interims!EJ20</f>
        <v>-0.94705411890162627</v>
      </c>
      <c r="AF41" s="697" t="e">
        <f>Interims!#REF!</f>
        <v>#REF!</v>
      </c>
      <c r="AG41" s="697">
        <f>Interims!EL20</f>
        <v>-0.85521939706040129</v>
      </c>
      <c r="AH41" s="684"/>
      <c r="AI41" s="684"/>
      <c r="AJ41" s="684"/>
      <c r="AK41" s="684"/>
      <c r="AL41" s="684"/>
      <c r="AM41" s="684"/>
      <c r="AN41" s="684"/>
      <c r="AO41" s="684"/>
      <c r="AP41" s="684"/>
      <c r="AQ41" s="684"/>
      <c r="AR41" s="684"/>
      <c r="AS41" s="684"/>
      <c r="AT41" s="684"/>
      <c r="AU41" s="684"/>
      <c r="AV41" s="684"/>
      <c r="AW41" s="684"/>
      <c r="AX41" s="684"/>
      <c r="AY41" s="684"/>
      <c r="AZ41" s="684"/>
      <c r="BA41" s="684"/>
      <c r="BB41" s="684"/>
      <c r="BC41" s="684"/>
      <c r="BD41" s="684"/>
      <c r="BE41" s="684"/>
      <c r="BF41" s="684"/>
      <c r="BG41" s="684"/>
      <c r="BH41" s="684"/>
      <c r="BI41" s="684"/>
      <c r="BJ41" s="684"/>
      <c r="BK41" s="684"/>
      <c r="BL41" s="684"/>
      <c r="BM41" s="684"/>
      <c r="BN41" s="684"/>
      <c r="BO41" s="684"/>
      <c r="CA41" s="684"/>
      <c r="CB41" s="684"/>
      <c r="CC41" s="684"/>
      <c r="CD41" s="684"/>
      <c r="CE41" s="684"/>
      <c r="CF41" s="684"/>
      <c r="CG41" s="684"/>
      <c r="CH41" s="684"/>
      <c r="CI41" s="684"/>
      <c r="CJ41" s="684"/>
      <c r="CK41" s="684"/>
      <c r="CL41" s="684"/>
      <c r="CM41" s="684"/>
      <c r="CN41" s="684"/>
      <c r="CO41" s="684"/>
      <c r="CP41" s="684"/>
      <c r="CQ41" s="684"/>
      <c r="CR41" s="684"/>
      <c r="CS41" s="684"/>
      <c r="CT41" s="684"/>
      <c r="CU41" s="684"/>
      <c r="CV41" s="684"/>
      <c r="CW41" s="684"/>
      <c r="CX41" s="684"/>
      <c r="CY41" s="684"/>
      <c r="CZ41" s="684"/>
      <c r="DA41" s="684"/>
      <c r="DB41" s="684"/>
      <c r="DC41" s="684"/>
      <c r="DD41" s="684"/>
      <c r="DE41" s="684"/>
      <c r="DF41" s="684"/>
      <c r="DG41" s="684"/>
      <c r="DH41" s="684"/>
      <c r="DI41" s="684"/>
      <c r="DJ41" s="684"/>
      <c r="DK41" s="684"/>
      <c r="DL41" s="684"/>
      <c r="DM41" s="684"/>
      <c r="DN41" s="684"/>
      <c r="DO41" s="684"/>
      <c r="DP41" s="684"/>
      <c r="DQ41" s="684"/>
      <c r="DR41" s="684"/>
      <c r="DS41" s="684"/>
      <c r="DT41" s="684"/>
      <c r="DU41" s="684"/>
      <c r="DV41" s="684"/>
      <c r="DW41" s="684"/>
      <c r="DX41" s="684"/>
      <c r="DY41" s="684"/>
      <c r="DZ41" s="684"/>
      <c r="EA41" s="684"/>
      <c r="EB41" s="684"/>
      <c r="EC41" s="684"/>
      <c r="ED41" s="684"/>
      <c r="EE41" s="684"/>
      <c r="EF41" s="684"/>
      <c r="EG41" s="684"/>
      <c r="EH41" s="684"/>
      <c r="EI41" s="684"/>
      <c r="EJ41" s="684"/>
      <c r="EK41" s="684"/>
      <c r="EL41" s="684"/>
      <c r="EM41" s="684"/>
      <c r="EN41" s="684"/>
      <c r="EO41" s="684"/>
      <c r="EP41" s="684"/>
      <c r="EQ41" s="684"/>
      <c r="ER41" s="684"/>
      <c r="ES41" s="684"/>
      <c r="ET41" s="684"/>
      <c r="EU41" s="684"/>
      <c r="EV41" s="684"/>
      <c r="EW41" s="684"/>
      <c r="EX41" s="684"/>
      <c r="EY41" s="684"/>
      <c r="EZ41" s="684"/>
      <c r="FA41" s="684"/>
    </row>
    <row r="42" spans="1:159">
      <c r="A42" s="713" t="str">
        <f>Interims!A21</f>
        <v>Consolidated Net Sales</v>
      </c>
      <c r="B42" s="714">
        <f>Interims!CZ21</f>
        <v>8.2155518789884363E-2</v>
      </c>
      <c r="C42" s="714">
        <f>Interims!DA21</f>
        <v>-3.8675636191720653E-3</v>
      </c>
      <c r="D42" s="714">
        <f>Interims!DB21</f>
        <v>4.6359138344646444E-2</v>
      </c>
      <c r="E42" s="714">
        <f>Interims!DC21</f>
        <v>1.5373919704261274E-2</v>
      </c>
      <c r="F42" s="714">
        <f>Interims!DE21</f>
        <v>9.4746064835795396E-2</v>
      </c>
      <c r="G42" s="714">
        <f>Interims!DF21</f>
        <v>0.12092996659630129</v>
      </c>
      <c r="H42" s="714">
        <f>Interims!DG21</f>
        <v>6.5850425718329442E-2</v>
      </c>
      <c r="I42" s="714">
        <f>Interims!DH21</f>
        <v>9.4219685613742943E-2</v>
      </c>
      <c r="J42" s="714">
        <f>Interims!DJ21</f>
        <v>2.0058874936755622E-2</v>
      </c>
      <c r="K42" s="714">
        <f>Interims!DK21</f>
        <v>-1.5376113248453671E-2</v>
      </c>
      <c r="L42" s="714">
        <f>Interims!DL21</f>
        <v>-3.7509326745945537E-2</v>
      </c>
      <c r="M42" s="714">
        <f>Interims!DM21</f>
        <v>-4.3881176513680953E-2</v>
      </c>
      <c r="N42" s="714">
        <f>Interims!DO21</f>
        <v>2.862863043409658E-2</v>
      </c>
      <c r="O42" s="714">
        <f>Interims!DP21</f>
        <v>0.15283786234230501</v>
      </c>
      <c r="P42" s="714">
        <f>Interims!DQ21</f>
        <v>9.6394143384590958E-2</v>
      </c>
      <c r="Q42" s="714">
        <f>Interims!DR21</f>
        <v>2.4223269356012933E-2</v>
      </c>
      <c r="R42" s="714">
        <f>Interims!DT21</f>
        <v>2.556549184639656E-2</v>
      </c>
      <c r="S42" s="714">
        <f>Interims!DU21</f>
        <v>-8.9664367196218842E-2</v>
      </c>
      <c r="T42" s="714">
        <f>Interims!DV21</f>
        <v>3.0088043078791316E-2</v>
      </c>
      <c r="U42" s="714">
        <f>Interims!DW21</f>
        <v>4.7319461535872298E-2</v>
      </c>
      <c r="V42" s="714">
        <f>Interims!DY21</f>
        <v>-7.1125700998493357E-3</v>
      </c>
      <c r="W42" s="714">
        <f>Interims!DZ21</f>
        <v>-8.1299675821553952E-2</v>
      </c>
      <c r="X42" s="714">
        <f>Interims!EA21</f>
        <v>-7.1487295628703595E-2</v>
      </c>
      <c r="Y42" s="714">
        <f>Interims!EB21</f>
        <v>-1.3046242196540159E-2</v>
      </c>
      <c r="Z42" s="714">
        <f>Interims!ED21</f>
        <v>2.5830004132800566E-2</v>
      </c>
      <c r="AA42" s="714">
        <f>Interims!EE21</f>
        <v>0.10841237002606197</v>
      </c>
      <c r="AB42" s="714">
        <f>Interims!EF21</f>
        <v>9.1254228793384407E-2</v>
      </c>
      <c r="AC42" s="714">
        <f>Interims!EG21</f>
        <v>4.257990743655693E-2</v>
      </c>
      <c r="AD42" s="714">
        <f>Interims!EI21</f>
        <v>-0.21904586047136232</v>
      </c>
      <c r="AE42" s="714">
        <f>Interims!EJ21</f>
        <v>-0.25124432378274419</v>
      </c>
      <c r="AF42" s="714" t="e">
        <f>Interims!#REF!</f>
        <v>#REF!</v>
      </c>
      <c r="AG42" s="714">
        <f>Interims!EL21</f>
        <v>-0.33595610131959819</v>
      </c>
      <c r="AH42" s="684"/>
      <c r="AI42" s="684"/>
      <c r="AJ42" s="684"/>
      <c r="AK42" s="684"/>
      <c r="AL42" s="684"/>
      <c r="AM42" s="684"/>
      <c r="AN42" s="684"/>
      <c r="AO42" s="684"/>
      <c r="AP42" s="684"/>
      <c r="AQ42" s="684"/>
      <c r="AR42" s="684"/>
      <c r="AS42" s="684"/>
      <c r="AT42" s="684"/>
      <c r="AU42" s="684"/>
      <c r="AV42" s="684"/>
      <c r="AW42" s="684"/>
      <c r="AX42" s="684"/>
      <c r="AY42" s="684"/>
      <c r="AZ42" s="684"/>
      <c r="BA42" s="684"/>
      <c r="BB42" s="684"/>
      <c r="BC42" s="684"/>
      <c r="BD42" s="684"/>
      <c r="BE42" s="684"/>
      <c r="BF42" s="684"/>
      <c r="BG42" s="684"/>
      <c r="BH42" s="684"/>
      <c r="BI42" s="684"/>
      <c r="BJ42" s="684"/>
      <c r="BK42" s="684"/>
      <c r="BL42" s="684"/>
      <c r="BM42" s="684"/>
      <c r="BN42" s="684"/>
      <c r="BO42" s="684"/>
      <c r="CA42" s="684"/>
      <c r="CB42" s="684"/>
      <c r="CC42" s="684"/>
      <c r="CD42" s="684"/>
      <c r="CE42" s="684"/>
      <c r="CF42" s="684"/>
      <c r="CG42" s="684"/>
      <c r="CH42" s="684"/>
      <c r="CI42" s="684"/>
      <c r="CJ42" s="684"/>
      <c r="CK42" s="684"/>
      <c r="CL42" s="684"/>
      <c r="CM42" s="684"/>
      <c r="CN42" s="684"/>
      <c r="CO42" s="684"/>
      <c r="CP42" s="684"/>
      <c r="CQ42" s="684"/>
      <c r="CR42" s="684"/>
      <c r="CS42" s="684"/>
      <c r="CT42" s="684"/>
      <c r="CU42" s="684"/>
      <c r="CV42" s="684"/>
      <c r="CW42" s="684"/>
      <c r="CX42" s="684"/>
      <c r="CY42" s="684"/>
      <c r="CZ42" s="684"/>
      <c r="DA42" s="684"/>
      <c r="DB42" s="684"/>
      <c r="DC42" s="684"/>
      <c r="DD42" s="684"/>
      <c r="DE42" s="684"/>
      <c r="DF42" s="684"/>
      <c r="DG42" s="684"/>
      <c r="DH42" s="684"/>
      <c r="DI42" s="684"/>
      <c r="DJ42" s="684"/>
      <c r="DK42" s="684"/>
      <c r="DL42" s="684"/>
      <c r="DM42" s="684"/>
      <c r="DN42" s="684"/>
      <c r="DO42" s="684"/>
      <c r="DP42" s="684"/>
      <c r="DQ42" s="684"/>
      <c r="DR42" s="684"/>
      <c r="DS42" s="684"/>
      <c r="DT42" s="684"/>
      <c r="DU42" s="684"/>
      <c r="DV42" s="684"/>
      <c r="DW42" s="684"/>
      <c r="DX42" s="684"/>
      <c r="DY42" s="684"/>
      <c r="DZ42" s="684"/>
      <c r="EA42" s="684"/>
      <c r="EB42" s="684"/>
      <c r="EC42" s="684"/>
      <c r="ED42" s="684"/>
      <c r="EE42" s="684"/>
      <c r="EF42" s="684"/>
      <c r="EG42" s="684"/>
      <c r="EH42" s="684"/>
      <c r="EI42" s="684"/>
      <c r="EJ42" s="684"/>
      <c r="EK42" s="684"/>
      <c r="EL42" s="684"/>
      <c r="EM42" s="684"/>
      <c r="EN42" s="684"/>
      <c r="EO42" s="684"/>
      <c r="EP42" s="684"/>
      <c r="EQ42" s="684"/>
      <c r="ER42" s="684"/>
      <c r="ES42" s="684"/>
      <c r="ET42" s="684"/>
      <c r="EU42" s="684"/>
      <c r="EV42" s="684"/>
      <c r="EW42" s="684"/>
      <c r="EX42" s="684"/>
      <c r="EY42" s="684"/>
      <c r="EZ42" s="684"/>
      <c r="FA42" s="684"/>
    </row>
    <row r="43" spans="1:159">
      <c r="A43" s="715" t="s">
        <v>917</v>
      </c>
      <c r="B43" s="716"/>
      <c r="C43" s="716"/>
      <c r="D43" s="716"/>
      <c r="E43" s="716"/>
      <c r="F43" s="716"/>
      <c r="G43" s="716"/>
      <c r="H43" s="716"/>
      <c r="I43" s="716"/>
      <c r="J43" s="716"/>
      <c r="K43" s="716"/>
      <c r="L43" s="716"/>
      <c r="M43" s="716"/>
      <c r="N43" s="716">
        <f>Interims!DO23</f>
        <v>2.862863043409658E-2</v>
      </c>
      <c r="O43" s="716">
        <f>Interims!DP23</f>
        <v>7.8426547159547111E-2</v>
      </c>
      <c r="P43" s="716">
        <f>Interims!DQ23</f>
        <v>5.2154185079908766E-2</v>
      </c>
      <c r="Q43" s="716">
        <f>Interims!DR23</f>
        <v>2.4223269356012933E-2</v>
      </c>
      <c r="R43" s="716">
        <f>Interims!DT23</f>
        <v>2.556549184639656E-2</v>
      </c>
      <c r="S43" s="716">
        <f>Interims!DU23</f>
        <v>-2.685130693441895E-2</v>
      </c>
      <c r="T43" s="716">
        <f>Interims!DV23</f>
        <v>7.340018565464046E-2</v>
      </c>
      <c r="U43" s="716">
        <f>Interims!DW23</f>
        <v>4.7319461535872298E-2</v>
      </c>
      <c r="V43" s="716">
        <f>Interims!DY21</f>
        <v>-7.1125700998493357E-3</v>
      </c>
      <c r="W43" s="716">
        <f>Interims!DZ21</f>
        <v>-8.1299675821553952E-2</v>
      </c>
      <c r="X43" s="716">
        <f>Interims!EA21</f>
        <v>-7.1487295628703595E-2</v>
      </c>
      <c r="Y43" s="716">
        <f>Interims!EB21</f>
        <v>-1.3046242196540159E-2</v>
      </c>
      <c r="Z43" s="716">
        <f>Interims!ED21</f>
        <v>2.5830004132800566E-2</v>
      </c>
      <c r="AA43" s="716">
        <f>Interims!EE21</f>
        <v>0.10841237002606197</v>
      </c>
      <c r="AB43" s="716">
        <f>Interims!EF21</f>
        <v>9.1254228793384407E-2</v>
      </c>
      <c r="AC43" s="716">
        <f>Interims!EG21</f>
        <v>4.257990743655693E-2</v>
      </c>
      <c r="AD43" s="716">
        <f>Interims!EI21</f>
        <v>-0.21904586047136232</v>
      </c>
      <c r="AE43" s="716">
        <f>Interims!EJ21</f>
        <v>-0.25124432378274419</v>
      </c>
      <c r="AF43" s="716" t="e">
        <f>Interims!#REF!</f>
        <v>#REF!</v>
      </c>
      <c r="AG43" s="716">
        <f>Interims!EL21</f>
        <v>-0.33595610131959819</v>
      </c>
      <c r="AH43" s="684"/>
      <c r="AI43" s="684"/>
      <c r="AJ43" s="684"/>
      <c r="AK43" s="684"/>
      <c r="AL43" s="684"/>
      <c r="AM43" s="684"/>
      <c r="AN43" s="684"/>
      <c r="AO43" s="684"/>
      <c r="AP43" s="684"/>
      <c r="AQ43" s="684"/>
      <c r="AR43" s="684"/>
      <c r="AS43" s="684"/>
      <c r="AT43" s="684"/>
      <c r="AU43" s="684"/>
      <c r="AV43" s="684"/>
      <c r="AW43" s="684"/>
      <c r="AX43" s="684"/>
      <c r="AY43" s="684"/>
      <c r="AZ43" s="684"/>
      <c r="BA43" s="684"/>
      <c r="BB43" s="684"/>
      <c r="BC43" s="684"/>
      <c r="BD43" s="684"/>
      <c r="BE43" s="684"/>
      <c r="BF43" s="684"/>
      <c r="BG43" s="684"/>
      <c r="BH43" s="684"/>
      <c r="BI43" s="684"/>
      <c r="BJ43" s="684"/>
      <c r="BK43" s="684"/>
      <c r="BL43" s="684"/>
      <c r="BM43" s="684"/>
      <c r="BN43" s="684"/>
      <c r="BO43" s="684"/>
      <c r="CA43" s="684"/>
      <c r="CB43" s="684"/>
      <c r="CC43" s="684"/>
      <c r="CD43" s="684"/>
      <c r="CE43" s="684"/>
      <c r="CF43" s="684"/>
      <c r="CG43" s="684"/>
      <c r="CH43" s="684"/>
      <c r="CI43" s="684"/>
      <c r="CJ43" s="684"/>
      <c r="CK43" s="684"/>
      <c r="CL43" s="684"/>
      <c r="CM43" s="684"/>
      <c r="CN43" s="684"/>
      <c r="CO43" s="684"/>
      <c r="CP43" s="684"/>
      <c r="CQ43" s="684"/>
      <c r="CR43" s="684"/>
      <c r="CS43" s="684"/>
      <c r="CT43" s="684"/>
      <c r="CU43" s="684"/>
      <c r="CV43" s="684"/>
      <c r="CW43" s="684"/>
      <c r="CX43" s="684"/>
      <c r="CY43" s="684"/>
      <c r="CZ43" s="684"/>
      <c r="DA43" s="684"/>
      <c r="DB43" s="684"/>
      <c r="DC43" s="684"/>
      <c r="DD43" s="684"/>
      <c r="DE43" s="684"/>
      <c r="DF43" s="684"/>
      <c r="DG43" s="684"/>
      <c r="DH43" s="684"/>
      <c r="DI43" s="684"/>
      <c r="DJ43" s="684"/>
      <c r="DK43" s="684"/>
      <c r="DL43" s="684"/>
      <c r="DM43" s="684"/>
      <c r="DN43" s="684"/>
      <c r="DO43" s="684"/>
      <c r="DP43" s="684"/>
      <c r="DQ43" s="684"/>
      <c r="DR43" s="684"/>
      <c r="DS43" s="684"/>
      <c r="DT43" s="684"/>
      <c r="DU43" s="684"/>
      <c r="DV43" s="684"/>
      <c r="DW43" s="684"/>
      <c r="DX43" s="684"/>
      <c r="DY43" s="684"/>
      <c r="DZ43" s="684"/>
      <c r="EA43" s="684"/>
      <c r="EB43" s="684"/>
      <c r="EC43" s="684"/>
      <c r="ED43" s="684"/>
      <c r="EE43" s="684"/>
      <c r="EF43" s="684"/>
      <c r="EG43" s="684"/>
      <c r="EH43" s="684"/>
      <c r="EI43" s="684"/>
      <c r="EJ43" s="684"/>
      <c r="EK43" s="684"/>
      <c r="EL43" s="684"/>
      <c r="EM43" s="684"/>
      <c r="EN43" s="684"/>
      <c r="EO43" s="684"/>
      <c r="EP43" s="684"/>
      <c r="EQ43" s="684"/>
      <c r="ER43" s="684"/>
      <c r="ES43" s="684"/>
      <c r="ET43" s="684"/>
      <c r="EU43" s="684"/>
      <c r="EV43" s="684"/>
      <c r="EW43" s="684"/>
      <c r="EX43" s="684"/>
      <c r="EY43" s="684"/>
      <c r="EZ43" s="684"/>
      <c r="FA43" s="684"/>
    </row>
    <row r="44" spans="1:159">
      <c r="A44" s="707"/>
      <c r="B44" s="688"/>
      <c r="C44" s="684"/>
      <c r="D44" s="684"/>
      <c r="E44" s="684"/>
      <c r="F44" s="684"/>
      <c r="G44" s="684"/>
      <c r="H44" s="684"/>
      <c r="I44" s="684"/>
      <c r="J44" s="684"/>
      <c r="K44" s="684"/>
      <c r="L44" s="684"/>
      <c r="M44" s="684"/>
      <c r="N44" s="684"/>
      <c r="O44" s="684"/>
      <c r="P44" s="684"/>
      <c r="Q44" s="684"/>
      <c r="R44" s="684"/>
      <c r="S44" s="684"/>
      <c r="T44" s="684"/>
      <c r="U44" s="684"/>
      <c r="V44" s="684"/>
      <c r="W44" s="684"/>
      <c r="X44" s="684"/>
      <c r="Y44" s="684"/>
      <c r="Z44" s="684"/>
      <c r="AA44" s="684"/>
      <c r="AB44" s="684"/>
      <c r="AC44" s="684"/>
      <c r="AD44" s="684"/>
      <c r="AE44" s="684"/>
      <c r="AF44" s="684"/>
      <c r="AG44" s="684"/>
      <c r="AH44" s="684"/>
      <c r="AI44" s="684"/>
      <c r="AJ44" s="684"/>
      <c r="AK44" s="684"/>
      <c r="AL44" s="684"/>
      <c r="AM44" s="684"/>
      <c r="AN44" s="684"/>
      <c r="AO44" s="684"/>
      <c r="AP44" s="684"/>
      <c r="AQ44" s="684"/>
      <c r="AR44" s="684"/>
      <c r="AS44" s="684"/>
      <c r="AT44" s="684"/>
      <c r="AU44" s="684"/>
      <c r="AV44" s="684"/>
      <c r="AW44" s="684"/>
      <c r="AX44" s="684"/>
      <c r="AY44" s="684"/>
      <c r="AZ44" s="684"/>
      <c r="BA44" s="684"/>
      <c r="BB44" s="684"/>
      <c r="BC44" s="684"/>
      <c r="BD44" s="684"/>
      <c r="BE44" s="684"/>
      <c r="BF44" s="684"/>
      <c r="BG44" s="684"/>
      <c r="BH44" s="684"/>
      <c r="BI44" s="684"/>
      <c r="BJ44" s="684"/>
      <c r="BK44" s="684"/>
      <c r="BL44" s="684"/>
      <c r="BM44" s="684"/>
      <c r="BN44" s="684"/>
      <c r="BO44" s="684"/>
      <c r="CA44" s="684"/>
      <c r="CB44" s="684"/>
      <c r="CC44" s="684"/>
      <c r="CD44" s="684"/>
      <c r="CE44" s="684"/>
      <c r="CF44" s="684"/>
      <c r="CG44" s="684"/>
      <c r="CH44" s="684"/>
      <c r="CI44" s="684"/>
      <c r="CJ44" s="684"/>
      <c r="CK44" s="684"/>
      <c r="CL44" s="684"/>
      <c r="CM44" s="684"/>
      <c r="CN44" s="684"/>
      <c r="CO44" s="684"/>
      <c r="CP44" s="684"/>
      <c r="CQ44" s="684"/>
      <c r="CR44" s="684"/>
      <c r="CS44" s="684"/>
      <c r="CT44" s="684"/>
      <c r="CU44" s="684"/>
      <c r="CV44" s="684"/>
      <c r="CW44" s="684"/>
      <c r="CX44" s="684"/>
      <c r="CY44" s="684"/>
      <c r="CZ44" s="684"/>
      <c r="DA44" s="684"/>
      <c r="DB44" s="684"/>
      <c r="DC44" s="684"/>
      <c r="DD44" s="684"/>
      <c r="DE44" s="684"/>
      <c r="DF44" s="684"/>
      <c r="DG44" s="684"/>
      <c r="DH44" s="684"/>
      <c r="DI44" s="684"/>
      <c r="DJ44" s="684"/>
      <c r="DK44" s="684"/>
      <c r="DL44" s="684"/>
      <c r="DM44" s="684"/>
      <c r="DN44" s="684"/>
      <c r="DO44" s="684"/>
      <c r="DP44" s="684"/>
      <c r="DQ44" s="684"/>
      <c r="DR44" s="684"/>
      <c r="DS44" s="684"/>
      <c r="DT44" s="684"/>
      <c r="DU44" s="684"/>
      <c r="DV44" s="684"/>
      <c r="DW44" s="684"/>
      <c r="DX44" s="684"/>
      <c r="DY44" s="684"/>
      <c r="DZ44" s="684"/>
      <c r="EA44" s="684"/>
      <c r="EB44" s="684"/>
      <c r="EC44" s="684"/>
      <c r="ED44" s="684"/>
      <c r="EE44" s="684"/>
      <c r="EF44" s="684"/>
      <c r="EG44" s="684"/>
      <c r="EH44" s="684"/>
      <c r="EI44" s="684"/>
      <c r="EJ44" s="684"/>
      <c r="EK44" s="684"/>
      <c r="EL44" s="684"/>
      <c r="EM44" s="684"/>
      <c r="EN44" s="684"/>
      <c r="EO44" s="684"/>
      <c r="EP44" s="684"/>
      <c r="EQ44" s="684"/>
      <c r="ER44" s="684"/>
      <c r="ES44" s="684"/>
      <c r="ET44" s="684"/>
      <c r="EU44" s="684"/>
      <c r="EV44" s="684"/>
      <c r="EW44" s="684"/>
      <c r="EX44" s="684"/>
      <c r="EY44" s="684"/>
      <c r="EZ44" s="684"/>
      <c r="FA44" s="684"/>
    </row>
    <row r="45" spans="1:159">
      <c r="A45" s="707" t="s">
        <v>918</v>
      </c>
      <c r="B45" s="688"/>
      <c r="C45" s="684"/>
      <c r="D45" s="684"/>
      <c r="E45" s="684"/>
      <c r="F45" s="684"/>
      <c r="G45" s="684"/>
      <c r="H45" s="684"/>
      <c r="I45" s="684"/>
      <c r="J45" s="684"/>
      <c r="K45" s="684"/>
      <c r="L45" s="684"/>
      <c r="M45" s="684"/>
      <c r="N45" s="684"/>
      <c r="O45" s="684"/>
      <c r="P45" s="684"/>
      <c r="Q45" s="684"/>
      <c r="R45" s="684"/>
      <c r="S45" s="684"/>
      <c r="T45" s="684"/>
      <c r="U45" s="684"/>
      <c r="V45" s="684"/>
      <c r="W45" s="684"/>
      <c r="X45" s="684"/>
      <c r="Y45" s="684"/>
      <c r="Z45" s="684"/>
      <c r="AA45" s="684"/>
      <c r="AB45" s="684"/>
      <c r="AC45" s="684"/>
      <c r="AD45" s="684"/>
      <c r="AE45" s="684"/>
      <c r="AF45" s="684"/>
      <c r="AG45" s="684"/>
      <c r="AH45" s="684"/>
      <c r="AI45" s="684"/>
      <c r="AJ45" s="684"/>
      <c r="AK45" s="684"/>
      <c r="AL45" s="684"/>
      <c r="AM45" s="684"/>
      <c r="AN45" s="684"/>
      <c r="AO45" s="684"/>
      <c r="AP45" s="684"/>
      <c r="AQ45" s="684"/>
      <c r="AR45" s="684"/>
      <c r="AS45" s="684"/>
      <c r="AT45" s="684"/>
      <c r="AU45" s="684"/>
      <c r="AV45" s="684"/>
      <c r="AW45" s="684"/>
      <c r="AX45" s="684"/>
      <c r="AY45" s="684"/>
      <c r="AZ45" s="684"/>
      <c r="BA45" s="684"/>
      <c r="BB45" s="684"/>
      <c r="BC45" s="684"/>
      <c r="BD45" s="684"/>
      <c r="BE45" s="684"/>
      <c r="BF45" s="684"/>
      <c r="BG45" s="684"/>
      <c r="BH45" s="684"/>
      <c r="BI45" s="684"/>
      <c r="BJ45" s="684"/>
      <c r="BK45" s="684"/>
      <c r="BL45" s="684"/>
      <c r="BM45" s="684"/>
      <c r="BN45" s="684"/>
      <c r="BO45" s="684"/>
      <c r="BP45" s="684"/>
      <c r="CA45" s="684"/>
      <c r="CB45" s="684"/>
      <c r="CC45" s="684"/>
      <c r="CD45" s="684"/>
      <c r="CE45" s="684"/>
      <c r="CF45" s="684"/>
      <c r="CG45" s="684"/>
      <c r="CH45" s="684"/>
      <c r="CI45" s="684"/>
      <c r="CJ45" s="684"/>
      <c r="CK45" s="684"/>
      <c r="CL45" s="684"/>
      <c r="CM45" s="684"/>
      <c r="CN45" s="684"/>
      <c r="CO45" s="684"/>
      <c r="CP45" s="684"/>
      <c r="CQ45" s="684"/>
      <c r="CR45" s="684"/>
      <c r="CS45" s="684"/>
      <c r="CT45" s="684"/>
      <c r="CU45" s="684"/>
      <c r="CV45" s="684"/>
      <c r="CW45" s="684"/>
      <c r="CX45" s="684"/>
      <c r="CY45" s="684"/>
      <c r="CZ45" s="684"/>
      <c r="DA45" s="684"/>
      <c r="DB45" s="684"/>
      <c r="DC45" s="684"/>
      <c r="DD45" s="684"/>
      <c r="DE45" s="684"/>
      <c r="DF45" s="684"/>
      <c r="DG45" s="684"/>
      <c r="DH45" s="684"/>
      <c r="DI45" s="684"/>
      <c r="DJ45" s="684"/>
      <c r="DK45" s="684"/>
      <c r="DL45" s="684"/>
      <c r="DM45" s="684"/>
      <c r="DN45" s="684"/>
      <c r="DO45" s="684"/>
      <c r="DP45" s="684"/>
      <c r="DQ45" s="684"/>
      <c r="DR45" s="684"/>
      <c r="DS45" s="684"/>
      <c r="DT45" s="684"/>
      <c r="DU45" s="684"/>
      <c r="DV45" s="684"/>
      <c r="DW45" s="684"/>
      <c r="DX45" s="684"/>
      <c r="DY45" s="684"/>
      <c r="DZ45" s="684"/>
      <c r="EA45" s="684"/>
      <c r="EB45" s="684"/>
      <c r="EC45" s="684"/>
      <c r="ED45" s="684"/>
      <c r="EE45" s="684"/>
      <c r="EF45" s="684"/>
      <c r="EG45" s="684"/>
      <c r="EH45" s="684"/>
      <c r="EI45" s="684"/>
      <c r="EJ45" s="684"/>
      <c r="EK45" s="684"/>
      <c r="EL45" s="684"/>
      <c r="EM45" s="684"/>
      <c r="EN45" s="684"/>
      <c r="EO45" s="684"/>
      <c r="EP45" s="684"/>
      <c r="EQ45" s="684"/>
      <c r="ER45" s="684"/>
      <c r="ES45" s="684"/>
      <c r="ET45" s="684"/>
      <c r="EU45" s="684"/>
      <c r="EV45" s="684"/>
      <c r="EW45" s="684"/>
      <c r="EX45" s="684"/>
      <c r="EY45" s="684"/>
      <c r="EZ45" s="684"/>
      <c r="FA45" s="684"/>
    </row>
    <row r="46" spans="1:159">
      <c r="A46" s="684" t="s">
        <v>94</v>
      </c>
      <c r="B46" s="697">
        <f>Interims!X213</f>
        <v>-5.0829937547646531E-2</v>
      </c>
      <c r="C46" s="697"/>
      <c r="D46" s="684"/>
      <c r="E46" s="684"/>
      <c r="F46" s="684"/>
      <c r="G46" s="684"/>
      <c r="H46" s="684"/>
      <c r="I46" s="684"/>
      <c r="J46" s="684"/>
      <c r="K46" s="684"/>
      <c r="L46" s="684"/>
      <c r="M46" s="684"/>
      <c r="N46" s="684"/>
      <c r="O46" s="684"/>
      <c r="P46" s="684"/>
      <c r="Q46" s="684"/>
      <c r="R46" s="684"/>
      <c r="S46" s="684"/>
      <c r="T46" s="684"/>
      <c r="U46" s="684"/>
      <c r="V46" s="684"/>
      <c r="W46" s="684"/>
      <c r="X46" s="684"/>
      <c r="Y46" s="684"/>
      <c r="Z46" s="684"/>
      <c r="AA46" s="684"/>
      <c r="AB46" s="684"/>
      <c r="AC46" s="684"/>
      <c r="AD46" s="684"/>
      <c r="AE46" s="684"/>
      <c r="AF46" s="684"/>
      <c r="AG46" s="684"/>
      <c r="AH46" s="684"/>
      <c r="AI46" s="684"/>
      <c r="AJ46" s="684"/>
      <c r="AK46" s="684"/>
      <c r="AL46" s="684"/>
      <c r="AM46" s="684"/>
      <c r="AN46" s="684"/>
      <c r="AO46" s="684"/>
      <c r="AP46" s="684"/>
      <c r="AQ46" s="684"/>
      <c r="AR46" s="684"/>
      <c r="AS46" s="684"/>
      <c r="AT46" s="684"/>
      <c r="AU46" s="684"/>
      <c r="AV46" s="684"/>
      <c r="AW46" s="684"/>
      <c r="AX46" s="684"/>
      <c r="AY46" s="684"/>
      <c r="AZ46" s="684"/>
      <c r="BA46" s="684"/>
      <c r="BB46" s="684"/>
      <c r="BC46" s="684"/>
      <c r="BD46" s="684"/>
      <c r="BE46" s="684"/>
      <c r="BF46" s="684"/>
      <c r="BG46" s="684"/>
      <c r="BH46" s="684"/>
      <c r="BI46" s="684"/>
      <c r="BJ46" s="684"/>
      <c r="BK46" s="684"/>
      <c r="BL46" s="684"/>
      <c r="BM46" s="684"/>
      <c r="BN46" s="684"/>
      <c r="BO46" s="684"/>
      <c r="CA46" s="684"/>
      <c r="CB46" s="684"/>
      <c r="CC46" s="684"/>
      <c r="CD46" s="684"/>
      <c r="CE46" s="684"/>
      <c r="CF46" s="684"/>
      <c r="CG46" s="684"/>
      <c r="CH46" s="684"/>
      <c r="CI46" s="684"/>
      <c r="CJ46" s="684"/>
      <c r="CK46" s="684"/>
      <c r="CL46" s="684"/>
      <c r="CM46" s="684"/>
      <c r="CN46" s="684"/>
      <c r="CO46" s="684"/>
      <c r="CP46" s="684"/>
      <c r="CQ46" s="684"/>
      <c r="CR46" s="684"/>
      <c r="CS46" s="684"/>
      <c r="CT46" s="684"/>
      <c r="CU46" s="684"/>
      <c r="CV46" s="684"/>
      <c r="CW46" s="684"/>
      <c r="CX46" s="684"/>
      <c r="CY46" s="684"/>
      <c r="CZ46" s="684"/>
      <c r="DA46" s="684"/>
      <c r="DB46" s="684"/>
      <c r="DC46" s="684"/>
      <c r="DD46" s="684"/>
      <c r="DE46" s="684"/>
      <c r="DF46" s="684"/>
      <c r="DG46" s="684"/>
      <c r="DH46" s="684"/>
      <c r="DI46" s="684"/>
      <c r="DJ46" s="684"/>
      <c r="DK46" s="684"/>
      <c r="DL46" s="684"/>
      <c r="DM46" s="684"/>
      <c r="DN46" s="684"/>
      <c r="DO46" s="684"/>
      <c r="DP46" s="684"/>
      <c r="DQ46" s="684"/>
      <c r="DR46" s="684"/>
      <c r="DS46" s="684"/>
      <c r="DT46" s="684"/>
      <c r="DU46" s="684"/>
      <c r="DV46" s="684"/>
      <c r="DW46" s="684"/>
      <c r="DX46" s="684"/>
      <c r="DY46" s="684"/>
      <c r="DZ46" s="684"/>
      <c r="EA46" s="684"/>
      <c r="EB46" s="684"/>
      <c r="EC46" s="684"/>
      <c r="ED46" s="684"/>
      <c r="EE46" s="684"/>
      <c r="EF46" s="684"/>
      <c r="EG46" s="684"/>
      <c r="EH46" s="684"/>
      <c r="EI46" s="684"/>
      <c r="EJ46" s="684"/>
      <c r="EK46" s="684"/>
      <c r="EL46" s="684"/>
      <c r="EM46" s="684"/>
      <c r="EN46" s="684"/>
      <c r="EO46" s="684"/>
      <c r="EP46" s="684"/>
      <c r="EQ46" s="684"/>
      <c r="ER46" s="684"/>
      <c r="ES46" s="684"/>
      <c r="ET46" s="684"/>
      <c r="EU46" s="684"/>
      <c r="EV46" s="684"/>
      <c r="EW46" s="684"/>
      <c r="EX46" s="684"/>
      <c r="EY46" s="684"/>
      <c r="EZ46" s="684"/>
      <c r="FA46" s="684"/>
    </row>
    <row r="47" spans="1:159">
      <c r="A47" s="684" t="s">
        <v>222</v>
      </c>
      <c r="B47" s="697">
        <f>Interims!X214</f>
        <v>4.9128423832202728E-2</v>
      </c>
      <c r="C47" s="697"/>
      <c r="D47" s="684"/>
      <c r="E47" s="684"/>
      <c r="F47" s="684"/>
      <c r="G47" s="684"/>
      <c r="H47" s="684"/>
      <c r="I47" s="684"/>
      <c r="J47" s="684"/>
      <c r="K47" s="684"/>
      <c r="L47" s="684"/>
      <c r="M47" s="684"/>
      <c r="N47" s="684"/>
      <c r="O47" s="684"/>
      <c r="P47" s="684"/>
      <c r="Q47" s="684"/>
      <c r="R47" s="684"/>
      <c r="S47" s="684"/>
      <c r="T47" s="684"/>
      <c r="U47" s="684"/>
      <c r="V47" s="684"/>
      <c r="W47" s="684"/>
      <c r="X47" s="684"/>
      <c r="Y47" s="684"/>
      <c r="Z47" s="684"/>
      <c r="AA47" s="684"/>
      <c r="AB47" s="684"/>
      <c r="AC47" s="684"/>
      <c r="AD47" s="684"/>
      <c r="AE47" s="684"/>
      <c r="AF47" s="684"/>
      <c r="AG47" s="684"/>
      <c r="AH47" s="684"/>
      <c r="AI47" s="684"/>
      <c r="AJ47" s="684"/>
      <c r="AK47" s="684"/>
      <c r="AL47" s="684"/>
      <c r="AM47" s="684"/>
      <c r="AN47" s="684"/>
      <c r="AO47" s="684"/>
      <c r="AP47" s="684"/>
      <c r="AQ47" s="684"/>
      <c r="AR47" s="684"/>
      <c r="AS47" s="684"/>
      <c r="AT47" s="684"/>
      <c r="AU47" s="684"/>
      <c r="AV47" s="684"/>
      <c r="AW47" s="684"/>
      <c r="AX47" s="684"/>
      <c r="AY47" s="684"/>
      <c r="AZ47" s="684"/>
      <c r="BA47" s="684"/>
      <c r="BB47" s="684"/>
      <c r="BC47" s="684"/>
      <c r="BD47" s="684"/>
      <c r="BE47" s="684"/>
      <c r="BF47" s="684"/>
      <c r="BG47" s="684"/>
      <c r="BH47" s="684"/>
      <c r="BI47" s="684"/>
      <c r="BJ47" s="684"/>
      <c r="BK47" s="684"/>
      <c r="BL47" s="684"/>
      <c r="BM47" s="684"/>
      <c r="BN47" s="684"/>
      <c r="BO47" s="684"/>
      <c r="CA47" s="684"/>
      <c r="CB47" s="684"/>
      <c r="CC47" s="684"/>
      <c r="CD47" s="684"/>
      <c r="CE47" s="684"/>
      <c r="CF47" s="684"/>
      <c r="CG47" s="684"/>
      <c r="CH47" s="684"/>
      <c r="CI47" s="684"/>
      <c r="CJ47" s="684"/>
      <c r="CK47" s="684"/>
      <c r="CL47" s="684"/>
      <c r="CM47" s="684"/>
      <c r="CN47" s="684"/>
      <c r="CO47" s="684"/>
      <c r="CP47" s="684"/>
      <c r="CQ47" s="684"/>
      <c r="CR47" s="684"/>
      <c r="CS47" s="684"/>
      <c r="CT47" s="684"/>
      <c r="CU47" s="684"/>
      <c r="CV47" s="684"/>
      <c r="CW47" s="684"/>
      <c r="CX47" s="684"/>
      <c r="CY47" s="684"/>
      <c r="CZ47" s="684"/>
      <c r="DA47" s="684"/>
      <c r="DB47" s="684"/>
      <c r="DC47" s="684"/>
      <c r="DD47" s="684"/>
      <c r="DE47" s="684"/>
      <c r="DF47" s="684"/>
      <c r="DG47" s="684"/>
      <c r="DH47" s="684"/>
      <c r="DI47" s="684"/>
      <c r="DJ47" s="684"/>
      <c r="DK47" s="684"/>
      <c r="DL47" s="684"/>
      <c r="DM47" s="684"/>
      <c r="DN47" s="684"/>
      <c r="DO47" s="684"/>
      <c r="DP47" s="684"/>
      <c r="DQ47" s="684"/>
      <c r="DR47" s="684"/>
      <c r="DS47" s="684"/>
      <c r="DT47" s="684"/>
      <c r="DU47" s="684"/>
      <c r="DV47" s="684"/>
      <c r="DW47" s="684"/>
      <c r="DX47" s="684"/>
      <c r="DY47" s="684"/>
      <c r="DZ47" s="684"/>
      <c r="EA47" s="684"/>
      <c r="EB47" s="684"/>
      <c r="EC47" s="684"/>
      <c r="ED47" s="684"/>
      <c r="EE47" s="684"/>
      <c r="EF47" s="684"/>
      <c r="EG47" s="684"/>
      <c r="EH47" s="684"/>
      <c r="EI47" s="684"/>
      <c r="EJ47" s="684"/>
      <c r="EK47" s="684"/>
      <c r="EL47" s="684"/>
      <c r="EM47" s="684"/>
      <c r="EN47" s="684"/>
      <c r="EO47" s="684"/>
      <c r="EP47" s="684"/>
      <c r="EQ47" s="684"/>
      <c r="ER47" s="684"/>
      <c r="ES47" s="684"/>
      <c r="ET47" s="684"/>
      <c r="EU47" s="684"/>
      <c r="EV47" s="684"/>
      <c r="EW47" s="684"/>
      <c r="EX47" s="684"/>
      <c r="EY47" s="684"/>
      <c r="EZ47" s="684"/>
      <c r="FA47" s="684"/>
    </row>
    <row r="48" spans="1:159">
      <c r="A48" s="684"/>
      <c r="B48" s="688"/>
      <c r="C48" s="684"/>
      <c r="D48" s="684"/>
      <c r="E48" s="684"/>
      <c r="F48" s="684"/>
      <c r="G48" s="684"/>
      <c r="H48" s="684"/>
      <c r="I48" s="684"/>
      <c r="J48" s="684"/>
      <c r="K48" s="684"/>
      <c r="L48" s="684"/>
      <c r="M48" s="684"/>
      <c r="N48" s="684"/>
      <c r="O48" s="684"/>
      <c r="P48" s="684"/>
      <c r="Q48" s="684"/>
      <c r="R48" s="684"/>
      <c r="S48" s="684"/>
      <c r="T48" s="684"/>
      <c r="U48" s="684"/>
      <c r="V48" s="684"/>
      <c r="W48" s="684"/>
      <c r="X48" s="684"/>
      <c r="Y48" s="684"/>
      <c r="Z48" s="684"/>
      <c r="AA48" s="684"/>
      <c r="AB48" s="684"/>
      <c r="AC48" s="684"/>
      <c r="AD48" s="684"/>
      <c r="AE48" s="684"/>
      <c r="AF48" s="684"/>
      <c r="AG48" s="684"/>
      <c r="AH48" s="684"/>
      <c r="AI48" s="684"/>
      <c r="AJ48" s="684"/>
      <c r="AK48" s="684"/>
      <c r="AL48" s="684"/>
      <c r="AM48" s="684"/>
      <c r="AN48" s="684"/>
      <c r="AO48" s="684"/>
      <c r="AP48" s="684"/>
      <c r="AQ48" s="684"/>
      <c r="AR48" s="684"/>
      <c r="AS48" s="684"/>
      <c r="AT48" s="684"/>
      <c r="AU48" s="684"/>
      <c r="AV48" s="684"/>
      <c r="AW48" s="684"/>
      <c r="AX48" s="684"/>
      <c r="AY48" s="684"/>
      <c r="AZ48" s="684"/>
      <c r="BA48" s="684"/>
      <c r="BB48" s="684"/>
      <c r="BC48" s="684"/>
      <c r="BD48" s="684"/>
      <c r="BE48" s="684"/>
      <c r="BF48" s="684"/>
      <c r="BG48" s="684"/>
      <c r="BH48" s="684"/>
      <c r="BI48" s="684"/>
      <c r="BJ48" s="684"/>
      <c r="BK48" s="684"/>
      <c r="BL48" s="684"/>
      <c r="BM48" s="684"/>
      <c r="BN48" s="684"/>
      <c r="BO48" s="684"/>
      <c r="CE48" s="684"/>
      <c r="CF48" s="684"/>
      <c r="CG48" s="684"/>
      <c r="CH48" s="684"/>
      <c r="CI48" s="684"/>
      <c r="CJ48" s="684"/>
      <c r="CK48" s="684"/>
      <c r="CL48" s="684"/>
      <c r="CM48" s="684"/>
      <c r="CN48" s="684"/>
      <c r="CO48" s="684"/>
      <c r="CP48" s="684"/>
      <c r="CQ48" s="684"/>
      <c r="CR48" s="684"/>
      <c r="CS48" s="684"/>
      <c r="CT48" s="684"/>
      <c r="CU48" s="684"/>
      <c r="CV48" s="684"/>
      <c r="CW48" s="684"/>
      <c r="CX48" s="684"/>
      <c r="CY48" s="684"/>
      <c r="CZ48" s="684"/>
      <c r="DA48" s="684"/>
      <c r="DB48" s="684"/>
      <c r="DC48" s="684"/>
      <c r="DD48" s="684"/>
      <c r="DE48" s="684"/>
      <c r="DF48" s="684"/>
      <c r="DG48" s="684"/>
      <c r="DH48" s="684"/>
      <c r="DI48" s="684"/>
      <c r="DJ48" s="684"/>
      <c r="DK48" s="684"/>
      <c r="DL48" s="684"/>
      <c r="DM48" s="684"/>
      <c r="DN48" s="684"/>
      <c r="DO48" s="684"/>
      <c r="DP48" s="684"/>
      <c r="DQ48" s="684"/>
      <c r="DR48" s="684"/>
      <c r="DS48" s="684"/>
      <c r="DT48" s="684"/>
      <c r="DU48" s="684"/>
      <c r="DV48" s="684"/>
      <c r="DW48" s="684"/>
      <c r="DX48" s="684"/>
      <c r="DY48" s="684"/>
      <c r="DZ48" s="684"/>
      <c r="EA48" s="684"/>
      <c r="EB48" s="684"/>
      <c r="EC48" s="684"/>
      <c r="ED48" s="684"/>
      <c r="EE48" s="684"/>
      <c r="EF48" s="684"/>
      <c r="EG48" s="684"/>
      <c r="EH48" s="684"/>
      <c r="EI48" s="684"/>
      <c r="EJ48" s="684"/>
      <c r="EK48" s="684"/>
      <c r="EL48" s="684"/>
      <c r="EM48" s="684"/>
      <c r="EN48" s="684"/>
      <c r="EO48" s="684"/>
      <c r="EP48" s="684"/>
      <c r="EQ48" s="684"/>
      <c r="ER48" s="684"/>
      <c r="ES48" s="684"/>
      <c r="ET48" s="684"/>
      <c r="EU48" s="684"/>
      <c r="EV48" s="684"/>
      <c r="EW48" s="684"/>
      <c r="EX48" s="684"/>
      <c r="EY48" s="684"/>
    </row>
    <row r="49" spans="1:159">
      <c r="A49" s="684"/>
      <c r="B49" s="684"/>
      <c r="C49" s="684"/>
      <c r="D49" s="684"/>
      <c r="E49" s="684"/>
      <c r="F49" s="684"/>
      <c r="G49" s="684"/>
      <c r="H49" s="684"/>
      <c r="I49" s="684"/>
      <c r="J49" s="684"/>
      <c r="K49" s="684"/>
      <c r="L49" s="697"/>
      <c r="M49" s="684"/>
      <c r="N49" s="684"/>
      <c r="O49" s="684"/>
      <c r="P49" s="684"/>
      <c r="Q49" s="684"/>
      <c r="R49" s="684"/>
      <c r="S49" s="684"/>
      <c r="T49" s="684"/>
      <c r="U49" s="684"/>
      <c r="V49" s="684"/>
      <c r="W49" s="684"/>
      <c r="X49" s="684"/>
      <c r="Y49" s="684"/>
      <c r="Z49" s="684"/>
      <c r="AA49" s="684"/>
      <c r="AB49" s="684"/>
      <c r="AC49" s="684"/>
      <c r="AD49" s="684"/>
      <c r="AE49" s="717" t="s">
        <v>919</v>
      </c>
      <c r="AF49" s="684"/>
      <c r="AG49" s="684"/>
      <c r="AH49" s="684"/>
      <c r="AI49" s="684"/>
      <c r="AJ49" s="684"/>
      <c r="AK49" s="684"/>
      <c r="AL49" s="684"/>
      <c r="AM49" s="684"/>
      <c r="AN49" s="684"/>
      <c r="AO49" s="684"/>
      <c r="AP49" s="684"/>
      <c r="AQ49" s="684"/>
      <c r="AR49" s="684"/>
      <c r="AS49" s="684"/>
      <c r="AT49" s="684"/>
      <c r="AU49" s="684"/>
      <c r="AV49" s="684"/>
      <c r="AW49" s="684"/>
      <c r="AX49" s="684"/>
      <c r="AY49" s="684"/>
      <c r="AZ49" s="684"/>
      <c r="BA49" s="684"/>
      <c r="BB49" s="684"/>
      <c r="BC49" s="684"/>
      <c r="BD49" s="684"/>
      <c r="BE49" s="684"/>
      <c r="BF49" s="684"/>
      <c r="BG49" s="684"/>
      <c r="BH49" s="684"/>
      <c r="BI49" s="684"/>
      <c r="BJ49" s="684"/>
      <c r="BK49" s="684"/>
      <c r="BL49" s="684"/>
      <c r="BM49" s="684"/>
      <c r="BN49" s="684"/>
      <c r="BO49" s="684"/>
      <c r="CE49" s="684"/>
      <c r="CF49" s="684"/>
      <c r="CG49" s="684"/>
      <c r="CH49" s="684"/>
      <c r="CI49" s="684"/>
      <c r="CJ49" s="684"/>
      <c r="CK49" s="684"/>
      <c r="CL49" s="684"/>
      <c r="CM49" s="684"/>
      <c r="CN49" s="684"/>
      <c r="CO49" s="684"/>
      <c r="CP49" s="684"/>
      <c r="CQ49" s="684"/>
      <c r="CR49" s="684"/>
      <c r="CS49" s="684"/>
      <c r="CT49" s="684"/>
      <c r="CU49" s="684"/>
      <c r="CV49" s="684"/>
      <c r="CW49" s="684"/>
      <c r="CX49" s="684"/>
      <c r="CY49" s="684"/>
      <c r="CZ49" s="684"/>
      <c r="DA49" s="684"/>
      <c r="DB49" s="684"/>
      <c r="DC49" s="684"/>
      <c r="DD49" s="684"/>
      <c r="DE49" s="684"/>
      <c r="DF49" s="684"/>
      <c r="DG49" s="684"/>
      <c r="DH49" s="684"/>
      <c r="DI49" s="684"/>
      <c r="DJ49" s="684"/>
      <c r="DK49" s="684"/>
      <c r="DL49" s="684"/>
      <c r="DM49" s="684"/>
      <c r="DN49" s="684"/>
      <c r="DO49" s="684"/>
      <c r="DP49" s="684"/>
      <c r="DQ49" s="684"/>
      <c r="DR49" s="684"/>
      <c r="DS49" s="684"/>
      <c r="DT49" s="684"/>
      <c r="DU49" s="684"/>
      <c r="DV49" s="684"/>
      <c r="DW49" s="684"/>
      <c r="DX49" s="684"/>
      <c r="DY49" s="684"/>
      <c r="DZ49" s="684"/>
      <c r="EA49" s="684"/>
      <c r="EB49" s="684"/>
      <c r="EC49" s="684"/>
      <c r="ED49" s="684"/>
      <c r="EE49" s="684"/>
      <c r="EF49" s="684"/>
      <c r="EG49" s="684"/>
      <c r="EH49" s="684"/>
      <c r="EI49" s="684"/>
      <c r="EJ49" s="684"/>
      <c r="EK49" s="684"/>
      <c r="EL49" s="684"/>
      <c r="EM49" s="684"/>
      <c r="EN49" s="684"/>
      <c r="EO49" s="684"/>
      <c r="EP49" s="684"/>
      <c r="EQ49" s="684"/>
      <c r="ER49" s="684"/>
      <c r="ES49" s="684"/>
      <c r="ET49" s="684"/>
      <c r="EU49" s="684"/>
      <c r="EV49" s="684"/>
      <c r="EW49" s="684"/>
      <c r="EX49" s="684"/>
      <c r="EY49" s="684"/>
    </row>
    <row r="50" spans="1:159">
      <c r="A50" s="718" t="s">
        <v>920</v>
      </c>
      <c r="B50" s="686" t="str">
        <f t="shared" ref="B50:AG50" si="22">B60</f>
        <v>Q1 15</v>
      </c>
      <c r="C50" s="686" t="str">
        <f t="shared" si="22"/>
        <v>Q2 15</v>
      </c>
      <c r="D50" s="686" t="str">
        <f t="shared" si="22"/>
        <v>Q3 15</v>
      </c>
      <c r="E50" s="686" t="str">
        <f t="shared" si="22"/>
        <v>Q4 15</v>
      </c>
      <c r="F50" s="686" t="str">
        <f t="shared" si="22"/>
        <v>Q1 16</v>
      </c>
      <c r="G50" s="686" t="str">
        <f t="shared" si="22"/>
        <v>Q2 16</v>
      </c>
      <c r="H50" s="686" t="str">
        <f t="shared" si="22"/>
        <v>Q3 16</v>
      </c>
      <c r="I50" s="686" t="str">
        <f t="shared" si="22"/>
        <v>Q4 16</v>
      </c>
      <c r="J50" s="686" t="str">
        <f t="shared" si="22"/>
        <v>Q1 17</v>
      </c>
      <c r="K50" s="686" t="str">
        <f t="shared" si="22"/>
        <v>Q2 17</v>
      </c>
      <c r="L50" s="686" t="str">
        <f t="shared" si="22"/>
        <v>Q3 17</v>
      </c>
      <c r="M50" s="686" t="str">
        <f t="shared" si="22"/>
        <v>Q4 17</v>
      </c>
      <c r="N50" s="686" t="str">
        <f t="shared" si="22"/>
        <v>Q1 18</v>
      </c>
      <c r="O50" s="686" t="str">
        <f t="shared" si="22"/>
        <v>Q2 18</v>
      </c>
      <c r="P50" s="686" t="str">
        <f t="shared" si="22"/>
        <v>Q3 18</v>
      </c>
      <c r="Q50" s="686" t="str">
        <f t="shared" si="22"/>
        <v>Q4 18</v>
      </c>
      <c r="R50" s="686" t="str">
        <f t="shared" si="22"/>
        <v>Q1 19</v>
      </c>
      <c r="S50" s="686" t="str">
        <f t="shared" si="22"/>
        <v>Q2 19</v>
      </c>
      <c r="T50" s="686" t="str">
        <f t="shared" si="22"/>
        <v>Q2 19</v>
      </c>
      <c r="U50" s="686" t="str">
        <f t="shared" si="22"/>
        <v>Q3 19</v>
      </c>
      <c r="V50" s="686" t="str">
        <f t="shared" si="22"/>
        <v>Q1 20</v>
      </c>
      <c r="W50" s="686" t="str">
        <f t="shared" si="22"/>
        <v>Q2 20</v>
      </c>
      <c r="X50" s="686" t="str">
        <f t="shared" si="22"/>
        <v>Q3 20</v>
      </c>
      <c r="Y50" s="686" t="str">
        <f t="shared" si="22"/>
        <v>Q4 20</v>
      </c>
      <c r="Z50" s="686" t="str">
        <f t="shared" si="22"/>
        <v>Q1 21</v>
      </c>
      <c r="AA50" s="686" t="str">
        <f t="shared" si="22"/>
        <v>Q2 21</v>
      </c>
      <c r="AB50" s="686" t="str">
        <f t="shared" si="22"/>
        <v>Q3 21</v>
      </c>
      <c r="AC50" s="686" t="str">
        <f t="shared" si="22"/>
        <v>Q4 21</v>
      </c>
      <c r="AD50" s="686" t="str">
        <f t="shared" si="22"/>
        <v>Q1 22</v>
      </c>
      <c r="AE50" s="686" t="str">
        <f t="shared" si="22"/>
        <v>Q2 22</v>
      </c>
      <c r="AF50" s="686" t="str">
        <f t="shared" si="22"/>
        <v>Q3 22</v>
      </c>
      <c r="AG50" s="686" t="str">
        <f t="shared" si="22"/>
        <v>Q4 22</v>
      </c>
      <c r="AH50" s="684"/>
      <c r="AI50" s="684"/>
      <c r="AJ50" s="684"/>
      <c r="AK50" s="684"/>
      <c r="AL50" s="684"/>
      <c r="AM50" s="684"/>
      <c r="AN50" s="684"/>
      <c r="AO50" s="684"/>
      <c r="AP50" s="684"/>
      <c r="AQ50" s="684"/>
      <c r="AR50" s="684"/>
      <c r="AS50" s="684"/>
      <c r="AT50" s="684"/>
      <c r="AU50" s="684"/>
      <c r="AV50" s="684"/>
      <c r="AW50" s="684"/>
      <c r="AX50" s="684"/>
      <c r="AY50" s="684"/>
      <c r="AZ50" s="684"/>
      <c r="BA50" s="684"/>
      <c r="BB50" s="684"/>
      <c r="BC50" s="684"/>
      <c r="BD50" s="684"/>
      <c r="BE50" s="684"/>
      <c r="BF50" s="684"/>
      <c r="BG50" s="684"/>
      <c r="BH50" s="684"/>
      <c r="BI50" s="684"/>
      <c r="BJ50" s="684"/>
      <c r="BK50" s="684"/>
      <c r="BL50" s="684"/>
      <c r="BM50" s="684"/>
      <c r="BN50" s="684"/>
      <c r="BO50" s="684"/>
      <c r="CD50" s="684"/>
      <c r="CE50" s="692"/>
      <c r="CF50" s="692" t="s">
        <v>855</v>
      </c>
      <c r="CG50" s="692" t="s">
        <v>856</v>
      </c>
      <c r="CH50" s="692"/>
      <c r="CI50" s="692" t="s">
        <v>921</v>
      </c>
      <c r="CJ50" s="684"/>
      <c r="CK50" s="684"/>
      <c r="CL50" s="684"/>
      <c r="CM50" s="684"/>
      <c r="CN50" s="684"/>
      <c r="CO50" s="684"/>
      <c r="CP50" s="684"/>
      <c r="CQ50" s="684"/>
      <c r="CR50" s="684"/>
      <c r="CS50" s="684"/>
      <c r="CT50" s="684"/>
      <c r="CU50" s="684"/>
      <c r="CV50" s="684"/>
      <c r="CW50" s="684"/>
      <c r="CX50" s="684"/>
      <c r="CY50" s="684"/>
      <c r="CZ50" s="684"/>
      <c r="DA50" s="684"/>
      <c r="DB50" s="684"/>
      <c r="DC50" s="684"/>
      <c r="DD50" s="684"/>
      <c r="DE50" s="684"/>
      <c r="DF50" s="684"/>
      <c r="DG50" s="684"/>
      <c r="DH50" s="684"/>
      <c r="DI50" s="684"/>
      <c r="DJ50" s="684"/>
      <c r="DK50" s="684"/>
      <c r="DL50" s="684"/>
      <c r="DM50" s="684"/>
      <c r="DN50" s="684"/>
      <c r="DO50" s="684"/>
      <c r="DP50" s="684"/>
      <c r="DQ50" s="684"/>
      <c r="DR50" s="684"/>
      <c r="DS50" s="684"/>
      <c r="DT50" s="684"/>
      <c r="DU50" s="684"/>
      <c r="DV50" s="684"/>
      <c r="DW50" s="684"/>
      <c r="DX50" s="684"/>
      <c r="DY50" s="684"/>
      <c r="DZ50" s="684"/>
      <c r="EA50" s="684"/>
      <c r="EB50" s="684"/>
      <c r="EC50" s="684"/>
      <c r="ED50" s="684"/>
      <c r="EE50" s="684"/>
      <c r="EF50" s="684"/>
      <c r="EG50" s="684"/>
      <c r="EH50" s="684"/>
      <c r="EI50" s="684"/>
      <c r="EJ50" s="684"/>
      <c r="EK50" s="684"/>
      <c r="EL50" s="684"/>
      <c r="EM50" s="684"/>
      <c r="EN50" s="684"/>
      <c r="EO50" s="684"/>
      <c r="EP50" s="684"/>
      <c r="EQ50" s="684"/>
      <c r="ER50" s="684"/>
      <c r="ES50" s="684"/>
      <c r="ET50" s="684"/>
      <c r="EU50" s="684"/>
      <c r="EV50" s="684"/>
      <c r="EW50" s="684"/>
      <c r="EX50" s="684"/>
      <c r="EY50" s="684"/>
    </row>
    <row r="51" spans="1:159">
      <c r="A51" s="707" t="str">
        <f>A61</f>
        <v>Content</v>
      </c>
      <c r="B51" s="701">
        <f>Interims!AA29</f>
        <v>2609</v>
      </c>
      <c r="C51" s="701">
        <f>Interims!AB29</f>
        <v>3378.5</v>
      </c>
      <c r="D51" s="701">
        <f>Interims!AC29</f>
        <v>4021.7</v>
      </c>
      <c r="E51" s="701">
        <f>Interims!AD29</f>
        <v>4555.0000000000009</v>
      </c>
      <c r="F51" s="701">
        <f>Interims!AF29</f>
        <v>2655</v>
      </c>
      <c r="G51" s="701">
        <f>Interims!AG29</f>
        <v>3682.6</v>
      </c>
      <c r="H51" s="701">
        <f>Interims!AH29</f>
        <v>3642.6</v>
      </c>
      <c r="I51" s="701">
        <f>Interims!AI29</f>
        <v>4767.8</v>
      </c>
      <c r="J51" s="701">
        <f>Interims!AK29</f>
        <v>2618.6</v>
      </c>
      <c r="K51" s="701">
        <f>Interims!AL29</f>
        <v>3185.1</v>
      </c>
      <c r="L51" s="701">
        <f>Interims!AM29</f>
        <v>3102.1</v>
      </c>
      <c r="M51" s="701">
        <f>Interims!AN29</f>
        <v>3919.5</v>
      </c>
      <c r="N51" s="701">
        <f>Interims!AP29</f>
        <v>2820.1</v>
      </c>
      <c r="O51" s="701">
        <f>Interims!AQ29</f>
        <v>4294.3</v>
      </c>
      <c r="P51" s="701">
        <f>Interims!AR29</f>
        <v>3704</v>
      </c>
      <c r="Q51" s="701">
        <f>Interims!AS29</f>
        <v>4036.7</v>
      </c>
      <c r="R51" s="701">
        <f>Interims!AU29</f>
        <v>2267.3000000000002</v>
      </c>
      <c r="S51" s="701">
        <f>Interims!AV29</f>
        <v>2928.3</v>
      </c>
      <c r="T51" s="701">
        <f>Interims!AW29</f>
        <v>3112.3</v>
      </c>
      <c r="U51" s="701">
        <f>Interims!AX29</f>
        <v>4545</v>
      </c>
      <c r="V51" s="701">
        <f>Interims!AZ29</f>
        <v>1613.9</v>
      </c>
      <c r="W51" s="701">
        <f>Interims!BA29</f>
        <v>2080.8000000000002</v>
      </c>
      <c r="X51" s="701">
        <f>Interims!BB29</f>
        <v>3294.7</v>
      </c>
      <c r="Y51" s="701">
        <f>Interims!BC29</f>
        <v>5371.3999999999987</v>
      </c>
      <c r="Z51" s="701">
        <f>Interims!BE29</f>
        <v>2376.5</v>
      </c>
      <c r="AA51" s="701">
        <f>Interims!BF29</f>
        <v>2569.1999999999998</v>
      </c>
      <c r="AB51" s="701">
        <f>Interims!BG29</f>
        <v>3389.6</v>
      </c>
      <c r="AC51" s="701">
        <f>Interims!BH29</f>
        <v>5443.7</v>
      </c>
      <c r="AD51" s="701">
        <f>Interims!BJ45</f>
        <v>-0.22469391662818339</v>
      </c>
      <c r="AE51" s="701" t="e">
        <f>Interims!#REF!</f>
        <v>#REF!</v>
      </c>
      <c r="AF51" s="701" t="e">
        <f>Interims!#REF!</f>
        <v>#REF!</v>
      </c>
      <c r="AG51" s="701" t="e">
        <f>Interims!#REF!</f>
        <v>#REF!</v>
      </c>
      <c r="AH51" s="684"/>
      <c r="AI51" s="684"/>
      <c r="AJ51" s="684"/>
      <c r="AK51" s="684"/>
      <c r="AL51" s="684"/>
      <c r="AM51" s="684"/>
      <c r="AN51" s="684"/>
      <c r="AO51" s="684"/>
      <c r="AP51" s="684"/>
      <c r="AQ51" s="684"/>
      <c r="AR51" s="684"/>
      <c r="AS51" s="684"/>
      <c r="AT51" s="684"/>
      <c r="AU51" s="684"/>
      <c r="AV51" s="684"/>
      <c r="AW51" s="684"/>
      <c r="AX51" s="684"/>
      <c r="AY51" s="684"/>
      <c r="AZ51" s="684"/>
      <c r="BA51" s="684"/>
      <c r="BB51" s="684"/>
      <c r="BC51" s="684"/>
      <c r="BD51" s="684"/>
      <c r="BE51" s="684"/>
      <c r="BF51" s="684"/>
      <c r="BG51" s="684"/>
      <c r="BH51" s="684"/>
      <c r="BI51" s="684"/>
      <c r="BJ51" s="684"/>
      <c r="BK51" s="684"/>
      <c r="BL51" s="684"/>
      <c r="BM51" s="684"/>
      <c r="BN51" s="684"/>
      <c r="BO51" s="684"/>
      <c r="CD51" s="695" t="s">
        <v>858</v>
      </c>
      <c r="CE51" s="696" t="s">
        <v>761</v>
      </c>
      <c r="CF51" s="696" t="s">
        <v>922</v>
      </c>
      <c r="CG51" s="696" t="s">
        <v>922</v>
      </c>
      <c r="CH51" s="733" t="s">
        <v>758</v>
      </c>
      <c r="CI51" s="733" t="s">
        <v>921</v>
      </c>
      <c r="CJ51" s="684"/>
      <c r="CK51" s="684"/>
      <c r="CL51" s="684"/>
      <c r="CM51" s="684"/>
      <c r="CN51" s="684"/>
      <c r="CO51" s="684"/>
      <c r="CP51" s="684"/>
      <c r="CQ51" s="684"/>
      <c r="CR51" s="684"/>
      <c r="CS51" s="684"/>
      <c r="CT51" s="684"/>
      <c r="CU51" s="684"/>
      <c r="CV51" s="684"/>
      <c r="CW51" s="684"/>
      <c r="CX51" s="684"/>
      <c r="CY51" s="684"/>
      <c r="CZ51" s="684"/>
      <c r="DA51" s="684"/>
      <c r="DB51" s="684"/>
      <c r="DC51" s="684"/>
      <c r="DD51" s="684"/>
      <c r="DE51" s="684"/>
      <c r="DF51" s="684"/>
      <c r="DG51" s="684"/>
      <c r="DH51" s="684"/>
      <c r="DI51" s="684"/>
      <c r="DJ51" s="684"/>
      <c r="DK51" s="684"/>
      <c r="DL51" s="684"/>
      <c r="DM51" s="684"/>
      <c r="DN51" s="684"/>
      <c r="DO51" s="684"/>
      <c r="DP51" s="684"/>
      <c r="DQ51" s="684"/>
      <c r="DR51" s="684"/>
      <c r="DS51" s="684"/>
      <c r="DT51" s="684"/>
      <c r="DU51" s="684"/>
      <c r="DV51" s="684"/>
      <c r="DW51" s="684"/>
      <c r="DX51" s="684"/>
      <c r="DY51" s="684"/>
      <c r="DZ51" s="684"/>
      <c r="EA51" s="684"/>
      <c r="EB51" s="684"/>
      <c r="EC51" s="684"/>
      <c r="ED51" s="684"/>
      <c r="EE51" s="684"/>
      <c r="EF51" s="684"/>
      <c r="EG51" s="684"/>
      <c r="EH51" s="684"/>
      <c r="EI51" s="684"/>
      <c r="EJ51" s="684"/>
      <c r="EK51" s="684"/>
      <c r="EL51" s="684"/>
      <c r="EM51" s="684"/>
      <c r="EN51" s="684"/>
      <c r="EO51" s="684"/>
      <c r="EP51" s="684"/>
      <c r="EQ51" s="684"/>
      <c r="ER51" s="684"/>
      <c r="ES51" s="684"/>
      <c r="ET51" s="684"/>
      <c r="EU51" s="684"/>
      <c r="EV51" s="684"/>
      <c r="EW51" s="684"/>
      <c r="EX51" s="684"/>
      <c r="EY51" s="684"/>
    </row>
    <row r="52" spans="1:159">
      <c r="A52" s="707" t="str">
        <f>A62</f>
        <v>Satellite (Sky)</v>
      </c>
      <c r="B52" s="701">
        <f>Interims!AA31</f>
        <v>2149.1</v>
      </c>
      <c r="C52" s="701">
        <f>Interims!AB31</f>
        <v>2273.9</v>
      </c>
      <c r="D52" s="701">
        <f>Interims!AC31</f>
        <v>2332</v>
      </c>
      <c r="E52" s="701">
        <f>Interims!AD31</f>
        <v>2217.2999999999993</v>
      </c>
      <c r="F52" s="701">
        <f>Interims!AF31</f>
        <v>2409.4</v>
      </c>
      <c r="G52" s="701">
        <f>Interims!AG31</f>
        <v>2531.1999999999998</v>
      </c>
      <c r="H52" s="701">
        <f>Interims!AH31</f>
        <v>2534.1</v>
      </c>
      <c r="I52" s="701">
        <f>Interims!AI31</f>
        <v>2423.8000000000002</v>
      </c>
      <c r="J52" s="701">
        <f>Interims!AK31</f>
        <v>2466.3000000000002</v>
      </c>
      <c r="K52" s="701">
        <f>Interims!AL31</f>
        <v>2655.9</v>
      </c>
      <c r="L52" s="701">
        <f>Interims!AM31</f>
        <v>2660.4</v>
      </c>
      <c r="M52" s="701">
        <f>Interims!AN31</f>
        <v>2324.1</v>
      </c>
      <c r="N52" s="701">
        <f>Interims!AP31</f>
        <v>2441.9</v>
      </c>
      <c r="O52" s="701">
        <f>Interims!AQ31</f>
        <v>2540.9</v>
      </c>
      <c r="P52" s="701">
        <f>Interims!AR31</f>
        <v>2569.9</v>
      </c>
      <c r="Q52" s="701">
        <f>Interims!AS31</f>
        <v>2214.6</v>
      </c>
      <c r="R52" s="701">
        <f>Interims!AU31</f>
        <v>2306.9</v>
      </c>
      <c r="S52" s="701">
        <f>Interims!AV31</f>
        <v>2305.6</v>
      </c>
      <c r="T52" s="701">
        <f>Interims!AW31</f>
        <v>2399.9</v>
      </c>
      <c r="U52" s="701">
        <f>Interims!AX31</f>
        <v>2108.9</v>
      </c>
      <c r="V52" s="701">
        <f>Interims!AZ31</f>
        <v>2234</v>
      </c>
      <c r="W52" s="701">
        <f>Interims!BA31</f>
        <v>2321.4</v>
      </c>
      <c r="X52" s="701">
        <f>Interims!BB31</f>
        <v>2436.6999999999998</v>
      </c>
      <c r="Y52" s="701">
        <f>Interims!BC31</f>
        <v>2143.6999999999998</v>
      </c>
      <c r="Z52" s="701">
        <f>Interims!BE31</f>
        <v>2154.5</v>
      </c>
      <c r="AA52" s="701">
        <f>Interims!BF31</f>
        <v>2242.6999999999998</v>
      </c>
      <c r="AB52" s="701">
        <f>Interims!BG31</f>
        <v>2261.6999999999998</v>
      </c>
      <c r="AC52" s="701">
        <f>Interims!BH31</f>
        <v>1845.4</v>
      </c>
      <c r="AD52" s="701">
        <f>Interims!BJ31</f>
        <v>1861.4</v>
      </c>
      <c r="AE52" s="701" t="e">
        <f>Interims!#REF!</f>
        <v>#REF!</v>
      </c>
      <c r="AF52" s="701" t="e">
        <f>Interims!#REF!</f>
        <v>#REF!</v>
      </c>
      <c r="AG52" s="701" t="e">
        <f>Interims!#REF!</f>
        <v>#REF!</v>
      </c>
      <c r="AH52" s="684"/>
      <c r="AI52" s="684"/>
      <c r="AJ52" s="684"/>
      <c r="AK52" s="684"/>
      <c r="AL52" s="684"/>
      <c r="AM52" s="684"/>
      <c r="AN52" s="684"/>
      <c r="AO52" s="684"/>
      <c r="AP52" s="684"/>
      <c r="AQ52" s="684"/>
      <c r="AR52" s="684"/>
      <c r="AS52" s="684"/>
      <c r="AT52" s="684"/>
      <c r="AU52" s="684"/>
      <c r="AV52" s="684"/>
      <c r="AW52" s="684"/>
      <c r="AX52" s="684"/>
      <c r="AY52" s="684"/>
      <c r="AZ52" s="684"/>
      <c r="BA52" s="684"/>
      <c r="BB52" s="684"/>
      <c r="BC52" s="684"/>
      <c r="BD52" s="684"/>
      <c r="BE52" s="684"/>
      <c r="BF52" s="684"/>
      <c r="BG52" s="684"/>
      <c r="BH52" s="684"/>
      <c r="BI52" s="684"/>
      <c r="BJ52" s="684"/>
      <c r="BK52" s="684"/>
      <c r="BL52" s="684"/>
      <c r="BM52" s="684"/>
      <c r="BN52" s="684"/>
      <c r="BO52" s="684"/>
      <c r="CD52" s="744"/>
      <c r="CE52" s="690"/>
      <c r="CF52" s="690"/>
      <c r="CG52" s="690"/>
      <c r="CH52" s="745"/>
      <c r="CI52" s="745"/>
      <c r="CJ52" s="684"/>
      <c r="CK52" s="684"/>
      <c r="CL52" s="684"/>
      <c r="CM52" s="684"/>
      <c r="CN52" s="684"/>
      <c r="CO52" s="684"/>
      <c r="CP52" s="684"/>
      <c r="CQ52" s="684"/>
      <c r="CR52" s="684"/>
      <c r="CS52" s="684"/>
      <c r="CT52" s="684"/>
      <c r="CU52" s="684"/>
      <c r="CV52" s="684"/>
      <c r="CW52" s="684"/>
      <c r="CX52" s="684"/>
      <c r="CY52" s="684"/>
      <c r="CZ52" s="684"/>
      <c r="DA52" s="684"/>
      <c r="DB52" s="684"/>
      <c r="DC52" s="684"/>
      <c r="DD52" s="684"/>
      <c r="DE52" s="684"/>
      <c r="DF52" s="684"/>
      <c r="DG52" s="684"/>
      <c r="DH52" s="684"/>
      <c r="DI52" s="684"/>
      <c r="DJ52" s="684"/>
      <c r="DK52" s="684"/>
      <c r="DL52" s="684"/>
      <c r="DM52" s="684"/>
      <c r="DN52" s="684"/>
      <c r="DO52" s="684"/>
      <c r="DP52" s="684"/>
      <c r="DQ52" s="684"/>
      <c r="DR52" s="684"/>
      <c r="DS52" s="684"/>
      <c r="DT52" s="684"/>
      <c r="DU52" s="684"/>
      <c r="DV52" s="684"/>
      <c r="DW52" s="684"/>
      <c r="DX52" s="684"/>
      <c r="DY52" s="684"/>
      <c r="DZ52" s="684"/>
      <c r="EA52" s="684"/>
      <c r="EB52" s="684"/>
      <c r="EC52" s="684"/>
      <c r="ED52" s="684"/>
      <c r="EE52" s="684"/>
      <c r="EF52" s="684"/>
      <c r="EG52" s="684"/>
      <c r="EH52" s="684"/>
      <c r="EI52" s="684"/>
      <c r="EJ52" s="684"/>
      <c r="EK52" s="684"/>
      <c r="EL52" s="684"/>
      <c r="EM52" s="684"/>
      <c r="EN52" s="684"/>
      <c r="EO52" s="684"/>
      <c r="EP52" s="684"/>
      <c r="EQ52" s="684"/>
      <c r="ER52" s="684"/>
      <c r="ES52" s="684"/>
      <c r="ET52" s="684"/>
      <c r="EU52" s="684"/>
      <c r="EV52" s="684"/>
      <c r="EW52" s="684"/>
      <c r="EX52" s="684"/>
      <c r="EY52" s="684"/>
    </row>
    <row r="53" spans="1:159">
      <c r="A53" s="707" t="str">
        <f>A63</f>
        <v>Cable and Telecom</v>
      </c>
      <c r="B53" s="701">
        <f>Interims!AA32</f>
        <v>2657.8</v>
      </c>
      <c r="C53" s="701">
        <f>Interims!AB32</f>
        <v>2764.2</v>
      </c>
      <c r="D53" s="701">
        <f>Interims!AC32</f>
        <v>2973</v>
      </c>
      <c r="E53" s="701">
        <f>Interims!AD32</f>
        <v>3010.5999999999995</v>
      </c>
      <c r="F53" s="701">
        <f>Interims!AF32</f>
        <v>3152.4</v>
      </c>
      <c r="G53" s="701">
        <f>Interims!AG32</f>
        <v>3294.2</v>
      </c>
      <c r="H53" s="701">
        <f>Interims!AH32</f>
        <v>3443.2</v>
      </c>
      <c r="I53" s="701">
        <f>Interims!AI32</f>
        <v>3346.2</v>
      </c>
      <c r="J53" s="701">
        <f>Interims!AK32</f>
        <v>3397.3</v>
      </c>
      <c r="K53" s="701">
        <f>Interims!AL32</f>
        <v>3442.3</v>
      </c>
      <c r="L53" s="701">
        <f>Interims!AM32</f>
        <v>3523.5</v>
      </c>
      <c r="M53" s="701">
        <f>Interims!AN32</f>
        <v>3671.7</v>
      </c>
      <c r="N53" s="701">
        <f>Interims!AP32</f>
        <v>3664.9</v>
      </c>
      <c r="O53" s="701">
        <f>Interims!AQ32</f>
        <v>3724.4</v>
      </c>
      <c r="P53" s="701">
        <f>Interims!AR32</f>
        <v>3907.5</v>
      </c>
      <c r="Q53" s="701">
        <f>Interims!AS32</f>
        <v>4005.7000000000007</v>
      </c>
      <c r="R53" s="701">
        <f>Interims!AU32</f>
        <v>4297.1000000000004</v>
      </c>
      <c r="S53" s="701">
        <f>Interims!AV32</f>
        <v>4473.7</v>
      </c>
      <c r="T53" s="701">
        <f>Interims!AW32</f>
        <v>4481.7</v>
      </c>
      <c r="U53" s="701">
        <f>Interims!AX32</f>
        <v>4545</v>
      </c>
      <c r="V53" s="701">
        <f>Interims!AZ32</f>
        <v>4490.3</v>
      </c>
      <c r="W53" s="701">
        <f>Interims!BA32</f>
        <v>4656.5</v>
      </c>
      <c r="X53" s="701">
        <f>Interims!BB32</f>
        <v>4796.7</v>
      </c>
      <c r="Y53" s="701">
        <f>Interims!BC32</f>
        <v>4954.8</v>
      </c>
      <c r="Z53" s="701">
        <f>Interims!BE32</f>
        <v>4834.6000000000004</v>
      </c>
      <c r="AA53" s="701">
        <f>Interims!BF32</f>
        <v>5020.1000000000004</v>
      </c>
      <c r="AB53" s="701">
        <f>Interims!BG32</f>
        <v>5064.5</v>
      </c>
      <c r="AC53" s="701">
        <f>Interims!BH32</f>
        <v>5365.8</v>
      </c>
      <c r="AD53" s="701">
        <f>Interims!BJ32</f>
        <v>4979.3</v>
      </c>
      <c r="AE53" s="701" t="e">
        <f>Interims!#REF!</f>
        <v>#REF!</v>
      </c>
      <c r="AF53" s="701" t="e">
        <f>Interims!#REF!</f>
        <v>#REF!</v>
      </c>
      <c r="AG53" s="701" t="e">
        <f>Interims!#REF!</f>
        <v>#REF!</v>
      </c>
      <c r="AH53" s="684"/>
      <c r="AI53" s="684"/>
      <c r="AJ53" s="684"/>
      <c r="AK53" s="684"/>
      <c r="AL53" s="684"/>
      <c r="AM53" s="684"/>
      <c r="AN53" s="684"/>
      <c r="AO53" s="684"/>
      <c r="AP53" s="684"/>
      <c r="AQ53" s="684"/>
      <c r="AR53" s="684"/>
      <c r="AS53" s="684"/>
      <c r="AT53" s="684"/>
      <c r="AU53" s="684"/>
      <c r="AV53" s="684"/>
      <c r="AW53" s="684"/>
      <c r="AX53" s="684"/>
      <c r="AY53" s="684"/>
      <c r="AZ53" s="684"/>
      <c r="BA53" s="684"/>
      <c r="BB53" s="684"/>
      <c r="BC53" s="684"/>
      <c r="BD53" s="684"/>
      <c r="BE53" s="684"/>
      <c r="BF53" s="684"/>
      <c r="BG53" s="684"/>
      <c r="BH53" s="684"/>
      <c r="BI53" s="684"/>
      <c r="BJ53" s="684"/>
      <c r="BK53" s="684"/>
      <c r="BL53" s="684"/>
      <c r="BM53" s="684"/>
      <c r="BN53" s="684"/>
      <c r="BO53" s="684"/>
      <c r="CD53" s="729" t="s">
        <v>891</v>
      </c>
      <c r="CE53" s="730">
        <f>BS5</f>
        <v>15763.099999999999</v>
      </c>
      <c r="CF53" s="730">
        <f>BZ5</f>
        <v>14457.313499999998</v>
      </c>
      <c r="CG53" s="730">
        <f>CB5</f>
        <v>14501.625</v>
      </c>
      <c r="CH53" s="738" t="e">
        <f>#REF!</f>
        <v>#REF!</v>
      </c>
      <c r="CI53" s="734" t="e">
        <f>CF53/CH53-1</f>
        <v>#REF!</v>
      </c>
      <c r="CJ53" s="684"/>
      <c r="CK53" s="684"/>
      <c r="CL53" s="684"/>
      <c r="CM53" s="684"/>
      <c r="CN53" s="684"/>
      <c r="CO53" s="684"/>
      <c r="CP53" s="684"/>
      <c r="CQ53" s="684"/>
      <c r="CR53" s="684"/>
      <c r="CS53" s="684"/>
      <c r="CT53" s="684"/>
      <c r="CU53" s="684"/>
      <c r="CV53" s="684"/>
      <c r="CW53" s="684"/>
      <c r="CX53" s="684"/>
      <c r="CY53" s="684"/>
      <c r="CZ53" s="684"/>
      <c r="DA53" s="684"/>
      <c r="DB53" s="684"/>
      <c r="DC53" s="684"/>
      <c r="DD53" s="684"/>
      <c r="DE53" s="684"/>
      <c r="DF53" s="684"/>
      <c r="DG53" s="684"/>
      <c r="DH53" s="684"/>
      <c r="DI53" s="684"/>
      <c r="DJ53" s="684"/>
      <c r="DK53" s="684"/>
      <c r="DL53" s="684"/>
      <c r="DM53" s="684"/>
      <c r="DN53" s="684"/>
      <c r="DO53" s="684"/>
      <c r="DP53" s="684"/>
      <c r="DQ53" s="684"/>
      <c r="DR53" s="684"/>
      <c r="DS53" s="684"/>
      <c r="DT53" s="684"/>
      <c r="DU53" s="684"/>
      <c r="DV53" s="684"/>
      <c r="DW53" s="684"/>
      <c r="DX53" s="684"/>
      <c r="DY53" s="684"/>
      <c r="DZ53" s="684"/>
      <c r="EA53" s="684"/>
      <c r="EB53" s="684"/>
      <c r="EC53" s="684"/>
      <c r="ED53" s="684"/>
      <c r="EE53" s="684"/>
      <c r="EF53" s="684"/>
      <c r="EG53" s="684"/>
      <c r="EH53" s="684"/>
      <c r="EI53" s="684"/>
      <c r="EJ53" s="684"/>
      <c r="EK53" s="684"/>
      <c r="EL53" s="684"/>
      <c r="EM53" s="684"/>
      <c r="EN53" s="684"/>
      <c r="EO53" s="684"/>
      <c r="EP53" s="684"/>
      <c r="EQ53" s="684"/>
      <c r="ER53" s="684"/>
      <c r="ES53" s="684"/>
      <c r="ET53" s="684"/>
      <c r="EU53" s="684"/>
      <c r="EV53" s="684"/>
      <c r="EW53" s="684"/>
      <c r="EX53" s="684"/>
      <c r="EY53" s="684"/>
    </row>
    <row r="54" spans="1:159">
      <c r="A54" s="719" t="str">
        <f>A64</f>
        <v>Other Businesses</v>
      </c>
      <c r="B54" s="709">
        <f>Interims!AA33</f>
        <v>221.6</v>
      </c>
      <c r="C54" s="709">
        <f>Interims!AB33</f>
        <v>129</v>
      </c>
      <c r="D54" s="709">
        <f>Interims!AC33</f>
        <v>258</v>
      </c>
      <c r="E54" s="709">
        <f>Interims!AD33</f>
        <v>144.60000000000002</v>
      </c>
      <c r="F54" s="709">
        <f>Interims!AF33</f>
        <v>141.5</v>
      </c>
      <c r="G54" s="709">
        <f>Interims!AG33</f>
        <v>172</v>
      </c>
      <c r="H54" s="709">
        <f>Interims!AH33</f>
        <v>359.1</v>
      </c>
      <c r="I54" s="709">
        <f>Interims!AI33</f>
        <v>368.1</v>
      </c>
      <c r="J54" s="709">
        <f>Interims!AK33</f>
        <v>76.900000000000006</v>
      </c>
      <c r="K54" s="709">
        <f>Interims!AL33</f>
        <v>136.1</v>
      </c>
      <c r="L54" s="709">
        <f>Interims!AM33</f>
        <v>53.3</v>
      </c>
      <c r="M54" s="709">
        <f>Interims!AN33</f>
        <v>223.7</v>
      </c>
      <c r="N54" s="709">
        <f>Interims!AP33</f>
        <v>203.9</v>
      </c>
      <c r="O54" s="709">
        <f>Interims!AQ33</f>
        <v>193.2</v>
      </c>
      <c r="P54" s="709">
        <f>Interims!AR33</f>
        <v>126.7</v>
      </c>
      <c r="Q54" s="709">
        <f>Interims!AS33</f>
        <v>230.5</v>
      </c>
      <c r="R54" s="709">
        <f>Interims!AU33</f>
        <v>535.1</v>
      </c>
      <c r="S54" s="709">
        <f>Interims!AV33</f>
        <v>220.5</v>
      </c>
      <c r="T54" s="709">
        <f>Interims!AW33</f>
        <v>770.5</v>
      </c>
      <c r="U54" s="709">
        <f>Interims!AX33</f>
        <v>77.899999999999991</v>
      </c>
      <c r="V54" s="709">
        <f>Interims!AZ33</f>
        <v>371</v>
      </c>
      <c r="W54" s="709">
        <f>Interims!BA33</f>
        <v>-422.4</v>
      </c>
      <c r="X54" s="709">
        <f>Interims!BB33</f>
        <v>3.3</v>
      </c>
      <c r="Y54" s="709">
        <f>Interims!BC33</f>
        <v>164.59999999999997</v>
      </c>
      <c r="Z54" s="709">
        <f>Interims!BE33</f>
        <v>12.1</v>
      </c>
      <c r="AA54" s="709">
        <f>Interims!BF33</f>
        <v>273.5</v>
      </c>
      <c r="AB54" s="709">
        <f>Interims!BG33</f>
        <v>253.2</v>
      </c>
      <c r="AC54" s="709">
        <f>Interims!BH33</f>
        <v>368.5</v>
      </c>
      <c r="AD54" s="709">
        <f>Interims!BJ33</f>
        <v>376.4</v>
      </c>
      <c r="AE54" s="709" t="e">
        <f>Interims!#REF!</f>
        <v>#REF!</v>
      </c>
      <c r="AF54" s="709" t="e">
        <f>Interims!#REF!</f>
        <v>#REF!</v>
      </c>
      <c r="AG54" s="709" t="e">
        <f>Interims!#REF!</f>
        <v>#REF!</v>
      </c>
      <c r="AH54" s="684"/>
      <c r="AI54" s="684"/>
      <c r="AJ54" s="684"/>
      <c r="AK54" s="684"/>
      <c r="AL54" s="684"/>
      <c r="AM54" s="684"/>
      <c r="AN54" s="684"/>
      <c r="AO54" s="684"/>
      <c r="AP54" s="684"/>
      <c r="AQ54" s="684"/>
      <c r="AR54" s="684"/>
      <c r="AS54" s="684"/>
      <c r="AT54" s="684"/>
      <c r="AU54" s="684"/>
      <c r="AV54" s="684"/>
      <c r="AW54" s="684"/>
      <c r="AX54" s="684"/>
      <c r="AY54" s="684"/>
      <c r="AZ54" s="684"/>
      <c r="BA54" s="684"/>
      <c r="BB54" s="684"/>
      <c r="BC54" s="684"/>
      <c r="BD54" s="684"/>
      <c r="BE54" s="684"/>
      <c r="BF54" s="684"/>
      <c r="BG54" s="684"/>
      <c r="BH54" s="684"/>
      <c r="BI54" s="684"/>
      <c r="BJ54" s="684"/>
      <c r="BK54" s="684"/>
      <c r="BL54" s="684"/>
      <c r="BM54" s="684"/>
      <c r="BN54" s="684"/>
      <c r="BO54" s="684"/>
      <c r="CD54" s="700" t="s">
        <v>887</v>
      </c>
      <c r="CE54" s="701">
        <f>BS6</f>
        <v>11904.8</v>
      </c>
      <c r="CF54" s="701">
        <f>BZ6</f>
        <v>11595.388499999999</v>
      </c>
      <c r="CG54" s="701"/>
      <c r="CH54" s="739">
        <f>Interims!BF14</f>
        <v>11981.6</v>
      </c>
      <c r="CI54" s="735" t="e">
        <f>Interims!#REF!</f>
        <v>#REF!</v>
      </c>
      <c r="CJ54" s="684"/>
      <c r="CK54" s="684"/>
      <c r="CL54" s="684"/>
      <c r="CM54" s="684"/>
      <c r="CN54" s="684"/>
      <c r="CO54" s="684"/>
      <c r="CP54" s="684"/>
      <c r="CQ54" s="684"/>
      <c r="CR54" s="684"/>
      <c r="CS54" s="684"/>
      <c r="CT54" s="684"/>
      <c r="CU54" s="684"/>
      <c r="CV54" s="684"/>
      <c r="CW54" s="684"/>
      <c r="CX54" s="684"/>
      <c r="CY54" s="684"/>
      <c r="CZ54" s="684"/>
      <c r="DA54" s="684"/>
      <c r="DB54" s="684"/>
      <c r="DC54" s="684"/>
      <c r="DD54" s="684"/>
      <c r="DE54" s="684"/>
      <c r="DF54" s="684"/>
      <c r="DG54" s="684"/>
      <c r="DH54" s="684"/>
      <c r="DI54" s="684"/>
      <c r="DJ54" s="684"/>
      <c r="DK54" s="684"/>
      <c r="DL54" s="684"/>
      <c r="DM54" s="684"/>
      <c r="DN54" s="684"/>
      <c r="DO54" s="684"/>
      <c r="DP54" s="684"/>
      <c r="DQ54" s="684"/>
      <c r="DR54" s="684"/>
      <c r="DS54" s="684"/>
      <c r="DT54" s="684"/>
      <c r="DU54" s="684"/>
      <c r="DV54" s="684"/>
      <c r="DW54" s="684"/>
      <c r="DX54" s="684"/>
      <c r="DY54" s="684"/>
      <c r="DZ54" s="684"/>
      <c r="EA54" s="684"/>
      <c r="EB54" s="684"/>
      <c r="EC54" s="684"/>
      <c r="ED54" s="684"/>
      <c r="EE54" s="684"/>
      <c r="EF54" s="684"/>
      <c r="EG54" s="684"/>
      <c r="EH54" s="684"/>
      <c r="EI54" s="684"/>
      <c r="EJ54" s="684"/>
      <c r="EK54" s="684"/>
      <c r="EL54" s="684"/>
      <c r="EM54" s="684"/>
      <c r="EN54" s="684"/>
      <c r="EO54" s="684"/>
      <c r="EP54" s="684"/>
      <c r="EQ54" s="684"/>
      <c r="ER54" s="684"/>
      <c r="ES54" s="684"/>
      <c r="ET54" s="684"/>
      <c r="EU54" s="684"/>
      <c r="EV54" s="684"/>
      <c r="EW54" s="684"/>
      <c r="EX54" s="684"/>
      <c r="EY54" s="684"/>
    </row>
    <row r="55" spans="1:159">
      <c r="A55" s="720" t="str">
        <f>A65</f>
        <v>Rep EBITDA</v>
      </c>
      <c r="B55" s="698">
        <f t="shared" ref="B55:AG55" si="23">SUM(B51:B54)</f>
        <v>7637.5000000000009</v>
      </c>
      <c r="C55" s="698">
        <f t="shared" si="23"/>
        <v>8545.5999999999985</v>
      </c>
      <c r="D55" s="698">
        <f t="shared" si="23"/>
        <v>9584.7000000000007</v>
      </c>
      <c r="E55" s="698">
        <f t="shared" si="23"/>
        <v>9927.5</v>
      </c>
      <c r="F55" s="698">
        <f t="shared" si="23"/>
        <v>8358.2999999999993</v>
      </c>
      <c r="G55" s="698">
        <f t="shared" si="23"/>
        <v>9680</v>
      </c>
      <c r="H55" s="698">
        <f t="shared" si="23"/>
        <v>9979</v>
      </c>
      <c r="I55" s="698">
        <f t="shared" si="23"/>
        <v>10905.9</v>
      </c>
      <c r="J55" s="698">
        <f t="shared" si="23"/>
        <v>8559.1</v>
      </c>
      <c r="K55" s="698">
        <f t="shared" si="23"/>
        <v>9419.4</v>
      </c>
      <c r="L55" s="698">
        <f t="shared" si="23"/>
        <v>9339.2999999999993</v>
      </c>
      <c r="M55" s="698">
        <f t="shared" si="23"/>
        <v>10139</v>
      </c>
      <c r="N55" s="698">
        <f t="shared" si="23"/>
        <v>9130.7999999999993</v>
      </c>
      <c r="O55" s="698">
        <f t="shared" si="23"/>
        <v>10752.800000000001</v>
      </c>
      <c r="P55" s="698">
        <f t="shared" si="23"/>
        <v>10308.1</v>
      </c>
      <c r="Q55" s="698">
        <f t="shared" si="23"/>
        <v>10487.5</v>
      </c>
      <c r="R55" s="698">
        <f t="shared" si="23"/>
        <v>9406.4000000000015</v>
      </c>
      <c r="S55" s="698">
        <f t="shared" si="23"/>
        <v>9928.0999999999985</v>
      </c>
      <c r="T55" s="698">
        <f t="shared" si="23"/>
        <v>10764.400000000001</v>
      </c>
      <c r="U55" s="698">
        <f t="shared" si="23"/>
        <v>11276.8</v>
      </c>
      <c r="V55" s="698">
        <f t="shared" si="23"/>
        <v>8709.2000000000007</v>
      </c>
      <c r="W55" s="698">
        <f t="shared" si="23"/>
        <v>8636.3000000000011</v>
      </c>
      <c r="X55" s="698">
        <f t="shared" si="23"/>
        <v>10531.399999999998</v>
      </c>
      <c r="Y55" s="698">
        <f t="shared" si="23"/>
        <v>12634.499999999998</v>
      </c>
      <c r="Z55" s="698">
        <f t="shared" si="23"/>
        <v>9377.7000000000007</v>
      </c>
      <c r="AA55" s="698">
        <f t="shared" si="23"/>
        <v>10105.5</v>
      </c>
      <c r="AB55" s="698">
        <f t="shared" si="23"/>
        <v>10969</v>
      </c>
      <c r="AC55" s="698">
        <f t="shared" si="23"/>
        <v>13023.400000000001</v>
      </c>
      <c r="AD55" s="698">
        <f t="shared" si="23"/>
        <v>7216.8753060833715</v>
      </c>
      <c r="AE55" s="698" t="e">
        <f t="shared" si="23"/>
        <v>#REF!</v>
      </c>
      <c r="AF55" s="698" t="e">
        <f t="shared" si="23"/>
        <v>#REF!</v>
      </c>
      <c r="AG55" s="698" t="e">
        <f t="shared" si="23"/>
        <v>#REF!</v>
      </c>
      <c r="AH55" s="684"/>
      <c r="AI55" s="684"/>
      <c r="AJ55" s="684"/>
      <c r="AK55" s="684"/>
      <c r="AL55" s="684"/>
      <c r="AM55" s="684"/>
      <c r="AN55" s="684"/>
      <c r="AO55" s="684"/>
      <c r="AP55" s="684"/>
      <c r="AQ55" s="684"/>
      <c r="AR55" s="684"/>
      <c r="AS55" s="684"/>
      <c r="AT55" s="684"/>
      <c r="AU55" s="684"/>
      <c r="AV55" s="684"/>
      <c r="AW55" s="684"/>
      <c r="AX55" s="684"/>
      <c r="AY55" s="684"/>
      <c r="AZ55" s="684"/>
      <c r="BA55" s="684"/>
      <c r="BB55" s="684"/>
      <c r="BC55" s="684"/>
      <c r="BD55" s="684"/>
      <c r="BE55" s="684"/>
      <c r="BF55" s="684"/>
      <c r="BG55" s="684"/>
      <c r="BH55" s="684"/>
      <c r="BI55" s="684"/>
      <c r="BJ55" s="684"/>
      <c r="BK55" s="684"/>
      <c r="BL55" s="684"/>
      <c r="BM55" s="684"/>
      <c r="BN55" s="684"/>
      <c r="BO55" s="684"/>
      <c r="CD55" s="731"/>
      <c r="CE55" s="732"/>
      <c r="CF55" s="732"/>
      <c r="CG55" s="732"/>
      <c r="CH55" s="740"/>
      <c r="CI55" s="736"/>
      <c r="CJ55" s="684"/>
      <c r="CK55" s="684"/>
      <c r="CL55" s="684"/>
      <c r="CM55" s="684"/>
      <c r="CN55" s="684"/>
      <c r="CO55" s="684"/>
      <c r="CP55" s="684"/>
      <c r="CQ55" s="684"/>
      <c r="CR55" s="684"/>
      <c r="CS55" s="684"/>
      <c r="CT55" s="684"/>
      <c r="CU55" s="684"/>
      <c r="CV55" s="684"/>
      <c r="CW55" s="684"/>
      <c r="CX55" s="684"/>
      <c r="CY55" s="684"/>
      <c r="CZ55" s="684"/>
      <c r="DA55" s="684"/>
      <c r="DB55" s="684"/>
      <c r="DC55" s="684"/>
      <c r="DD55" s="684"/>
      <c r="DE55" s="684"/>
      <c r="DF55" s="684"/>
      <c r="DG55" s="684"/>
      <c r="DH55" s="684"/>
      <c r="DI55" s="684"/>
      <c r="DJ55" s="684"/>
      <c r="DK55" s="684"/>
      <c r="DL55" s="684"/>
      <c r="DM55" s="684"/>
      <c r="DN55" s="684"/>
      <c r="DO55" s="684"/>
      <c r="DP55" s="684"/>
      <c r="DQ55" s="684"/>
      <c r="DR55" s="684"/>
      <c r="DS55" s="684"/>
      <c r="DT55" s="684"/>
      <c r="DU55" s="684"/>
      <c r="DV55" s="684"/>
      <c r="DW55" s="684"/>
      <c r="DX55" s="684"/>
      <c r="DY55" s="684"/>
      <c r="DZ55" s="684"/>
      <c r="EA55" s="684"/>
      <c r="EB55" s="684"/>
      <c r="EC55" s="684"/>
      <c r="ED55" s="684"/>
      <c r="EE55" s="684"/>
      <c r="EF55" s="684"/>
      <c r="EG55" s="684"/>
      <c r="EH55" s="684"/>
      <c r="EI55" s="684"/>
      <c r="EJ55" s="684"/>
      <c r="EK55" s="684"/>
      <c r="EL55" s="684"/>
      <c r="EM55" s="684"/>
      <c r="EN55" s="684"/>
      <c r="EO55" s="684"/>
      <c r="EP55" s="684"/>
      <c r="EQ55" s="684"/>
      <c r="ER55" s="684"/>
      <c r="ES55" s="684"/>
      <c r="ET55" s="684"/>
      <c r="EU55" s="684"/>
      <c r="EV55" s="684"/>
      <c r="EW55" s="684"/>
      <c r="EX55" s="684"/>
      <c r="EY55" s="684"/>
    </row>
    <row r="56" spans="1:159">
      <c r="A56" s="707" t="str">
        <f>Interims!A35</f>
        <v>Corporate Expenses</v>
      </c>
      <c r="B56" s="701">
        <f>Interims!AA35</f>
        <v>-410.6</v>
      </c>
      <c r="C56" s="701">
        <f>Interims!AB35</f>
        <v>-514.20000000000005</v>
      </c>
      <c r="D56" s="701">
        <f>Interims!AC35</f>
        <v>-496.3</v>
      </c>
      <c r="E56" s="701">
        <f>Interims!AD35</f>
        <v>-539.69999999999982</v>
      </c>
      <c r="F56" s="701">
        <f>Interims!AF35</f>
        <v>-544.20000000000005</v>
      </c>
      <c r="G56" s="701">
        <f>Interims!AG35</f>
        <v>-551.9</v>
      </c>
      <c r="H56" s="701">
        <f>Interims!AH35</f>
        <v>-518</v>
      </c>
      <c r="I56" s="701">
        <f>Interims!AI35</f>
        <v>-593.80000000000018</v>
      </c>
      <c r="J56" s="701">
        <f>Interims!AK35</f>
        <v>-580.70000000000005</v>
      </c>
      <c r="K56" s="701">
        <f>Interims!AL35</f>
        <v>-553.9</v>
      </c>
      <c r="L56" s="701">
        <f>Interims!AM35</f>
        <v>-550.20000000000005</v>
      </c>
      <c r="M56" s="701">
        <f>Interims!AN35</f>
        <v>-606.20000000000005</v>
      </c>
      <c r="N56" s="701">
        <f>Interims!AP35</f>
        <v>-551.70000000000005</v>
      </c>
      <c r="O56" s="701">
        <f>Interims!AQ35</f>
        <v>-520.29999999999995</v>
      </c>
      <c r="P56" s="701">
        <f>Interims!AR35</f>
        <v>-496</v>
      </c>
      <c r="Q56" s="701">
        <f>Interims!AS35</f>
        <v>-586.69999999999982</v>
      </c>
      <c r="R56" s="701">
        <f>Interims!AU35</f>
        <v>-516.1</v>
      </c>
      <c r="S56" s="701">
        <f>Interims!AV35</f>
        <v>-439.2</v>
      </c>
      <c r="T56" s="701">
        <f>Interims!AW35</f>
        <v>-436.3</v>
      </c>
      <c r="U56" s="701">
        <f>Interims!AX35</f>
        <v>-496.7</v>
      </c>
      <c r="V56" s="701">
        <f>Interims!AZ35</f>
        <v>-423.8</v>
      </c>
      <c r="W56" s="701">
        <f>Interims!BA35</f>
        <v>-366</v>
      </c>
      <c r="X56" s="701">
        <f>Interims!BB35</f>
        <v>-374.9</v>
      </c>
      <c r="Y56" s="701">
        <f>Interims!BC35</f>
        <v>-718.20000000000016</v>
      </c>
      <c r="Z56" s="701">
        <f>Interims!BE35</f>
        <v>-499.4</v>
      </c>
      <c r="AA56" s="701">
        <f>Interims!BF35</f>
        <v>-481.9</v>
      </c>
      <c r="AB56" s="701">
        <f>Interims!BG35</f>
        <v>-480.7</v>
      </c>
      <c r="AC56" s="701">
        <f>Interims!BH35</f>
        <v>-741.6</v>
      </c>
      <c r="AD56" s="701">
        <f>Interims!BJ35</f>
        <v>-333.7</v>
      </c>
      <c r="AE56" s="701" t="e">
        <f>Interims!#REF!</f>
        <v>#REF!</v>
      </c>
      <c r="AF56" s="701" t="e">
        <f>Interims!#REF!</f>
        <v>#REF!</v>
      </c>
      <c r="AG56" s="701" t="e">
        <f>Interims!#REF!</f>
        <v>#REF!</v>
      </c>
      <c r="AH56" s="684"/>
      <c r="AI56" s="684"/>
      <c r="AJ56" s="684"/>
      <c r="AK56" s="684"/>
      <c r="AL56" s="684"/>
      <c r="AM56" s="684"/>
      <c r="AN56" s="684"/>
      <c r="AO56" s="684"/>
      <c r="AP56" s="684"/>
      <c r="AQ56" s="684"/>
      <c r="AR56" s="684"/>
      <c r="AS56" s="684"/>
      <c r="AT56" s="684"/>
      <c r="AU56" s="684"/>
      <c r="AV56" s="684"/>
      <c r="AW56" s="684"/>
      <c r="AX56" s="684"/>
      <c r="AY56" s="684"/>
      <c r="AZ56" s="684"/>
      <c r="BA56" s="684"/>
      <c r="BB56" s="684"/>
      <c r="BC56" s="684"/>
      <c r="BD56" s="684"/>
      <c r="BE56" s="684"/>
      <c r="BF56" s="684"/>
      <c r="BG56" s="684"/>
      <c r="BH56" s="684"/>
      <c r="BI56" s="684"/>
      <c r="BJ56" s="684"/>
      <c r="BK56" s="684"/>
      <c r="BL56" s="684"/>
      <c r="BM56" s="684"/>
      <c r="BN56" s="684"/>
      <c r="BO56" s="684"/>
      <c r="CD56" s="702" t="s">
        <v>587</v>
      </c>
      <c r="CE56" s="698">
        <f>CE57+CE58+CE59</f>
        <v>319.29199999999946</v>
      </c>
      <c r="CF56" s="698" t="e">
        <f>Interims!#REF!</f>
        <v>#REF!</v>
      </c>
      <c r="CG56" s="698"/>
      <c r="CH56" s="741">
        <f>CH57+CH58+CH59</f>
        <v>34.896999999999935</v>
      </c>
      <c r="CI56" s="737"/>
      <c r="CJ56" s="684"/>
      <c r="CK56" s="684"/>
      <c r="CL56" s="684"/>
      <c r="CM56" s="684"/>
      <c r="CN56" s="684"/>
      <c r="CO56" s="684"/>
      <c r="CP56" s="684"/>
      <c r="CQ56" s="684"/>
      <c r="CR56" s="684"/>
      <c r="CS56" s="684"/>
      <c r="CT56" s="684"/>
      <c r="CU56" s="684"/>
      <c r="CV56" s="684"/>
      <c r="CW56" s="684"/>
      <c r="CX56" s="684"/>
      <c r="CY56" s="684"/>
      <c r="CZ56" s="684"/>
      <c r="DA56" s="684"/>
      <c r="DB56" s="684"/>
      <c r="DC56" s="684"/>
      <c r="DD56" s="684"/>
      <c r="DE56" s="684"/>
      <c r="DF56" s="684"/>
      <c r="DG56" s="684"/>
      <c r="DH56" s="684"/>
      <c r="DI56" s="684"/>
      <c r="DJ56" s="684"/>
      <c r="DK56" s="684"/>
      <c r="DL56" s="684"/>
      <c r="DM56" s="684"/>
      <c r="DN56" s="684"/>
      <c r="DO56" s="684"/>
      <c r="DP56" s="684"/>
      <c r="DQ56" s="684"/>
      <c r="DR56" s="684"/>
      <c r="DS56" s="684"/>
      <c r="DT56" s="684"/>
      <c r="DU56" s="684"/>
      <c r="DV56" s="684"/>
      <c r="DW56" s="684"/>
      <c r="DX56" s="684"/>
      <c r="DY56" s="684"/>
      <c r="DZ56" s="684"/>
      <c r="EA56" s="684"/>
      <c r="EB56" s="684"/>
      <c r="EC56" s="684"/>
      <c r="ED56" s="684"/>
      <c r="EE56" s="684"/>
      <c r="EF56" s="684"/>
      <c r="EG56" s="684"/>
      <c r="EH56" s="684"/>
      <c r="EI56" s="684"/>
      <c r="EJ56" s="684"/>
      <c r="EK56" s="684"/>
      <c r="EL56" s="684"/>
      <c r="EM56" s="684"/>
      <c r="EN56" s="684"/>
      <c r="EO56" s="684"/>
      <c r="EP56" s="684"/>
      <c r="EQ56" s="684"/>
      <c r="ER56" s="684"/>
      <c r="ES56" s="684"/>
      <c r="ET56" s="684"/>
      <c r="EU56" s="684"/>
      <c r="EV56" s="684"/>
      <c r="EW56" s="684"/>
      <c r="EX56" s="684"/>
      <c r="EY56" s="684"/>
    </row>
    <row r="57" spans="1:159">
      <c r="A57" s="719" t="str">
        <f>Interims!A37</f>
        <v>Other Expense, net</v>
      </c>
      <c r="B57" s="709">
        <f>Interims!AA37</f>
        <v>-104.30000000000007</v>
      </c>
      <c r="C57" s="709">
        <f>Interims!AB37</f>
        <v>-197.8</v>
      </c>
      <c r="D57" s="709">
        <f>Interims!AC37</f>
        <v>-693.7</v>
      </c>
      <c r="E57" s="709">
        <f>Interims!AD37</f>
        <v>-363.40000000000009</v>
      </c>
      <c r="F57" s="709">
        <f>Interims!AF37</f>
        <v>-495.2</v>
      </c>
      <c r="G57" s="709">
        <f>Interims!AG37</f>
        <v>-279.71999999999997</v>
      </c>
      <c r="H57" s="709">
        <f>Interims!AH37</f>
        <v>-821.4</v>
      </c>
      <c r="I57" s="709">
        <f>Interims!AI37</f>
        <v>-1121.5</v>
      </c>
      <c r="J57" s="709">
        <f>Interims!AK37</f>
        <v>-393.7</v>
      </c>
      <c r="K57" s="709">
        <f>Interims!AL37</f>
        <v>-370.9</v>
      </c>
      <c r="L57" s="709">
        <f>Interims!AM37</f>
        <v>-495.7</v>
      </c>
      <c r="M57" s="709">
        <f>Interims!AN37</f>
        <v>-1126.0000000000002</v>
      </c>
      <c r="N57" s="709">
        <f>Interims!AP37</f>
        <v>-154.1</v>
      </c>
      <c r="O57" s="709">
        <f>Interims!AQ37</f>
        <v>-275.90000000000009</v>
      </c>
      <c r="P57" s="709">
        <f>Interims!AR37</f>
        <v>-432.5</v>
      </c>
      <c r="Q57" s="709">
        <f>Interims!AS37</f>
        <v>-1089</v>
      </c>
      <c r="R57" s="709">
        <f>Interims!AU37</f>
        <v>-203.9</v>
      </c>
      <c r="S57" s="709">
        <f>Interims!AV37</f>
        <v>-283</v>
      </c>
      <c r="T57" s="709">
        <f>Interims!AW37</f>
        <v>-411.09999999999997</v>
      </c>
      <c r="U57" s="709">
        <f>Interims!AX37</f>
        <v>-234.3</v>
      </c>
      <c r="V57" s="709">
        <f>Interims!AZ37</f>
        <v>-93.300000000000011</v>
      </c>
      <c r="W57" s="709">
        <f>Interims!BA37</f>
        <v>-343</v>
      </c>
      <c r="X57" s="709">
        <f>Interims!BB37</f>
        <v>-267.5</v>
      </c>
      <c r="Y57" s="709">
        <f>Interims!BC37</f>
        <v>-416.2</v>
      </c>
      <c r="Z57" s="709">
        <f>Interims!BE37</f>
        <v>-167.9</v>
      </c>
      <c r="AA57" s="709">
        <f>Interims!BF37</f>
        <v>-413.79999999999995</v>
      </c>
      <c r="AB57" s="709">
        <f>Interims!BG37</f>
        <v>-309.3</v>
      </c>
      <c r="AC57" s="709">
        <f>Interims!BH37</f>
        <v>3220.7</v>
      </c>
      <c r="AD57" s="709">
        <f>Interims!BJ37</f>
        <v>-168.60000000000002</v>
      </c>
      <c r="AE57" s="709" t="e">
        <f>Interims!#REF!</f>
        <v>#REF!</v>
      </c>
      <c r="AF57" s="709" t="e">
        <f>Interims!#REF!</f>
        <v>#REF!</v>
      </c>
      <c r="AG57" s="709" t="e">
        <f>Interims!#REF!</f>
        <v>#REF!</v>
      </c>
      <c r="AH57" s="684"/>
      <c r="AI57" s="684"/>
      <c r="AJ57" s="684"/>
      <c r="AK57" s="684"/>
      <c r="AL57" s="684"/>
      <c r="AM57" s="684"/>
      <c r="AN57" s="684"/>
      <c r="AO57" s="684"/>
      <c r="AP57" s="684"/>
      <c r="AQ57" s="684"/>
      <c r="AR57" s="684"/>
      <c r="AS57" s="684"/>
      <c r="AT57" s="684"/>
      <c r="AU57" s="684"/>
      <c r="AV57" s="684"/>
      <c r="AW57" s="684"/>
      <c r="AX57" s="684"/>
      <c r="AY57" s="684"/>
      <c r="AZ57" s="684"/>
      <c r="BA57" s="684"/>
      <c r="BB57" s="684"/>
      <c r="BC57" s="684"/>
      <c r="BD57" s="684"/>
      <c r="BE57" s="684"/>
      <c r="BF57" s="684"/>
      <c r="BG57" s="684"/>
      <c r="BH57" s="684"/>
      <c r="BI57" s="684"/>
      <c r="BJ57" s="684"/>
      <c r="BK57" s="684"/>
      <c r="BL57" s="684"/>
      <c r="BM57" s="684"/>
      <c r="BN57" s="684"/>
      <c r="BO57" s="684"/>
      <c r="CD57" s="731" t="s">
        <v>6</v>
      </c>
      <c r="CE57" s="746">
        <f>Interims!BJ269</f>
        <v>89.041000000000167</v>
      </c>
      <c r="CF57" s="746" t="e">
        <f>Interims!#REF!</f>
        <v>#REF!</v>
      </c>
      <c r="CG57" s="746"/>
      <c r="CH57" s="740">
        <f>Interims!BF269</f>
        <v>-31.505000000000109</v>
      </c>
      <c r="CI57" s="736"/>
      <c r="CJ57" s="684"/>
      <c r="CK57" s="684"/>
      <c r="CL57" s="684"/>
      <c r="CM57" s="684"/>
      <c r="CN57" s="684"/>
      <c r="CO57" s="684"/>
      <c r="CP57" s="684"/>
      <c r="CQ57" s="684"/>
      <c r="CR57" s="684"/>
      <c r="CS57" s="684"/>
      <c r="CT57" s="684"/>
      <c r="CU57" s="684"/>
      <c r="CV57" s="684"/>
      <c r="CW57" s="684"/>
      <c r="CX57" s="684"/>
      <c r="CY57" s="684"/>
      <c r="CZ57" s="684"/>
      <c r="DA57" s="684"/>
      <c r="DB57" s="684"/>
      <c r="DC57" s="684"/>
      <c r="DD57" s="684"/>
      <c r="DE57" s="684"/>
      <c r="DF57" s="684"/>
      <c r="DG57" s="684"/>
      <c r="DH57" s="684"/>
      <c r="DI57" s="684"/>
      <c r="DJ57" s="684"/>
      <c r="DK57" s="684"/>
      <c r="DL57" s="684"/>
      <c r="DM57" s="684"/>
      <c r="DN57" s="684"/>
      <c r="DO57" s="684"/>
      <c r="DP57" s="684"/>
      <c r="DQ57" s="684"/>
      <c r="DR57" s="684"/>
      <c r="DS57" s="684"/>
      <c r="DT57" s="684"/>
      <c r="DU57" s="684"/>
      <c r="DV57" s="684"/>
      <c r="DW57" s="684"/>
      <c r="DX57" s="684"/>
      <c r="DY57" s="684"/>
      <c r="DZ57" s="684"/>
      <c r="EA57" s="684"/>
      <c r="EB57" s="684"/>
      <c r="EC57" s="684"/>
      <c r="ED57" s="684"/>
      <c r="EE57" s="684"/>
      <c r="EF57" s="684"/>
      <c r="EG57" s="684"/>
      <c r="EH57" s="684"/>
      <c r="EI57" s="684"/>
      <c r="EJ57" s="684"/>
      <c r="EK57" s="684"/>
      <c r="EL57" s="684"/>
      <c r="EM57" s="684"/>
      <c r="EN57" s="684"/>
      <c r="EO57" s="684"/>
      <c r="EP57" s="684"/>
      <c r="EQ57" s="684"/>
      <c r="ER57" s="684"/>
      <c r="ES57" s="684"/>
      <c r="ET57" s="684"/>
      <c r="EU57" s="684"/>
      <c r="EV57" s="684"/>
      <c r="EW57" s="684"/>
      <c r="EX57" s="684"/>
      <c r="EY57" s="684"/>
    </row>
    <row r="58" spans="1:159">
      <c r="A58" s="720" t="s">
        <v>923</v>
      </c>
      <c r="B58" s="698">
        <f t="shared" ref="B58:AG58" si="24">B55+B56+B57</f>
        <v>7122.6</v>
      </c>
      <c r="C58" s="698">
        <f t="shared" si="24"/>
        <v>7833.5999999999985</v>
      </c>
      <c r="D58" s="698">
        <f t="shared" si="24"/>
        <v>8394.7000000000007</v>
      </c>
      <c r="E58" s="698">
        <f t="shared" si="24"/>
        <v>9024.4</v>
      </c>
      <c r="F58" s="698">
        <f t="shared" si="24"/>
        <v>7318.9</v>
      </c>
      <c r="G58" s="698">
        <f t="shared" si="24"/>
        <v>8848.380000000001</v>
      </c>
      <c r="H58" s="698">
        <f t="shared" si="24"/>
        <v>8639.6</v>
      </c>
      <c r="I58" s="698">
        <f t="shared" si="24"/>
        <v>9190.5999999999985</v>
      </c>
      <c r="J58" s="698">
        <f t="shared" si="24"/>
        <v>7584.7000000000007</v>
      </c>
      <c r="K58" s="698">
        <f t="shared" si="24"/>
        <v>8494.6</v>
      </c>
      <c r="L58" s="698">
        <f t="shared" si="24"/>
        <v>8293.3999999999978</v>
      </c>
      <c r="M58" s="698">
        <f t="shared" si="24"/>
        <v>8406.7999999999993</v>
      </c>
      <c r="N58" s="698">
        <f t="shared" si="24"/>
        <v>8424.9999999999982</v>
      </c>
      <c r="O58" s="698">
        <f t="shared" si="24"/>
        <v>9956.6000000000022</v>
      </c>
      <c r="P58" s="698">
        <f t="shared" si="24"/>
        <v>9379.6</v>
      </c>
      <c r="Q58" s="698">
        <f t="shared" si="24"/>
        <v>8811.7999999999993</v>
      </c>
      <c r="R58" s="698">
        <f t="shared" si="24"/>
        <v>8686.4000000000015</v>
      </c>
      <c r="S58" s="698">
        <f t="shared" si="24"/>
        <v>9205.8999999999978</v>
      </c>
      <c r="T58" s="698">
        <f t="shared" si="24"/>
        <v>9917.0000000000018</v>
      </c>
      <c r="U58" s="698">
        <f t="shared" si="24"/>
        <v>10545.8</v>
      </c>
      <c r="V58" s="698">
        <f t="shared" si="24"/>
        <v>8192.1000000000022</v>
      </c>
      <c r="W58" s="698">
        <f t="shared" si="24"/>
        <v>7927.3000000000011</v>
      </c>
      <c r="X58" s="698">
        <f t="shared" si="24"/>
        <v>9888.9999999999982</v>
      </c>
      <c r="Y58" s="698">
        <f t="shared" si="24"/>
        <v>11500.099999999997</v>
      </c>
      <c r="Z58" s="698">
        <f t="shared" si="24"/>
        <v>8710.4000000000015</v>
      </c>
      <c r="AA58" s="698">
        <f t="shared" si="24"/>
        <v>9209.8000000000011</v>
      </c>
      <c r="AB58" s="698">
        <f t="shared" si="24"/>
        <v>10179</v>
      </c>
      <c r="AC58" s="698">
        <f t="shared" si="24"/>
        <v>15502.5</v>
      </c>
      <c r="AD58" s="698">
        <f t="shared" si="24"/>
        <v>6714.5753060833713</v>
      </c>
      <c r="AE58" s="698" t="e">
        <f t="shared" si="24"/>
        <v>#REF!</v>
      </c>
      <c r="AF58" s="698" t="e">
        <f t="shared" si="24"/>
        <v>#REF!</v>
      </c>
      <c r="AG58" s="698" t="e">
        <f t="shared" si="24"/>
        <v>#REF!</v>
      </c>
      <c r="AH58" s="684"/>
      <c r="AI58" s="684"/>
      <c r="AJ58" s="684"/>
      <c r="AK58" s="684"/>
      <c r="AL58" s="684"/>
      <c r="AM58" s="684"/>
      <c r="AN58" s="684"/>
      <c r="AO58" s="684"/>
      <c r="AP58" s="684"/>
      <c r="AQ58" s="684"/>
      <c r="AR58" s="684"/>
      <c r="AS58" s="684"/>
      <c r="AT58" s="684"/>
      <c r="AU58" s="684"/>
      <c r="AV58" s="684"/>
      <c r="AW58" s="684"/>
      <c r="AX58" s="684"/>
      <c r="AY58" s="684"/>
      <c r="AZ58" s="684"/>
      <c r="BA58" s="684"/>
      <c r="BB58" s="684"/>
      <c r="BC58" s="684"/>
      <c r="BD58" s="684"/>
      <c r="BE58" s="684"/>
      <c r="BF58" s="684"/>
      <c r="BG58" s="684"/>
      <c r="BH58" s="684"/>
      <c r="BI58" s="684"/>
      <c r="BJ58" s="684"/>
      <c r="BK58" s="684"/>
      <c r="BL58" s="684"/>
      <c r="BM58" s="684"/>
      <c r="BN58" s="684"/>
      <c r="BO58" s="684"/>
      <c r="CD58" s="700" t="s">
        <v>519</v>
      </c>
      <c r="CE58" s="701">
        <f>Interims!BJ270</f>
        <v>82.923999999999978</v>
      </c>
      <c r="CF58" s="701" t="e">
        <f>Interims!#REF!</f>
        <v>#REF!</v>
      </c>
      <c r="CG58" s="701"/>
      <c r="CH58" s="741">
        <f>Interims!BF270</f>
        <v>31.368999999999687</v>
      </c>
      <c r="CI58" s="737"/>
      <c r="CJ58" s="684"/>
      <c r="CK58" s="684"/>
      <c r="CL58" s="684"/>
      <c r="CM58" s="684"/>
      <c r="CN58" s="684"/>
      <c r="CO58" s="684"/>
      <c r="CP58" s="684"/>
      <c r="CQ58" s="684"/>
      <c r="CR58" s="684"/>
      <c r="CS58" s="684"/>
      <c r="CT58" s="684"/>
      <c r="CU58" s="684"/>
      <c r="CV58" s="684"/>
      <c r="CW58" s="684"/>
      <c r="CX58" s="684"/>
      <c r="CY58" s="684"/>
      <c r="CZ58" s="684"/>
      <c r="DA58" s="684"/>
      <c r="DB58" s="684"/>
      <c r="DC58" s="684"/>
      <c r="DD58" s="684"/>
      <c r="DE58" s="684"/>
      <c r="DF58" s="684"/>
      <c r="DG58" s="684"/>
      <c r="DH58" s="684"/>
      <c r="DI58" s="684"/>
      <c r="DJ58" s="684"/>
      <c r="DK58" s="684"/>
      <c r="DL58" s="684"/>
      <c r="DM58" s="684"/>
      <c r="DN58" s="684"/>
      <c r="DO58" s="684"/>
      <c r="DP58" s="684"/>
      <c r="DQ58" s="684"/>
      <c r="DR58" s="684"/>
      <c r="DS58" s="684"/>
      <c r="DT58" s="684"/>
      <c r="DU58" s="684"/>
      <c r="DV58" s="684"/>
      <c r="DW58" s="684"/>
      <c r="DX58" s="684"/>
      <c r="DY58" s="684"/>
      <c r="DZ58" s="684"/>
      <c r="EA58" s="684"/>
      <c r="EB58" s="684"/>
      <c r="EC58" s="684"/>
      <c r="ED58" s="684"/>
      <c r="EE58" s="684"/>
      <c r="EF58" s="684"/>
      <c r="EG58" s="684"/>
      <c r="EH58" s="684"/>
      <c r="EI58" s="684"/>
      <c r="EJ58" s="684"/>
      <c r="EK58" s="684"/>
      <c r="EL58" s="684"/>
      <c r="EM58" s="684"/>
      <c r="EN58" s="684"/>
      <c r="EO58" s="684"/>
      <c r="EP58" s="684"/>
      <c r="EQ58" s="684"/>
      <c r="ER58" s="684"/>
      <c r="ES58" s="684"/>
      <c r="ET58" s="684"/>
      <c r="EU58" s="684"/>
      <c r="EV58" s="684"/>
      <c r="EW58" s="684"/>
      <c r="EX58" s="684"/>
      <c r="EY58" s="684"/>
    </row>
    <row r="59" spans="1:159">
      <c r="A59" s="684"/>
      <c r="B59" s="684"/>
      <c r="C59" s="684"/>
      <c r="D59" s="684"/>
      <c r="E59" s="684"/>
      <c r="F59" s="684"/>
      <c r="G59" s="684"/>
      <c r="H59" s="684"/>
      <c r="I59" s="684"/>
      <c r="J59" s="684"/>
      <c r="K59" s="684"/>
      <c r="L59" s="684"/>
      <c r="M59" s="684"/>
      <c r="N59" s="684"/>
      <c r="O59" s="684"/>
      <c r="P59" s="684"/>
      <c r="Q59" s="684"/>
      <c r="R59" s="684"/>
      <c r="S59" s="684"/>
      <c r="T59" s="684"/>
      <c r="U59" s="684"/>
      <c r="V59" s="684"/>
      <c r="W59" s="684"/>
      <c r="X59" s="684"/>
      <c r="Y59" s="684"/>
      <c r="Z59" s="684"/>
      <c r="AA59" s="684"/>
      <c r="AB59" s="684"/>
      <c r="AC59" s="684"/>
      <c r="AD59" s="684"/>
      <c r="AE59" s="684"/>
      <c r="AF59" s="684"/>
      <c r="AG59" s="684"/>
      <c r="AH59" s="684"/>
      <c r="AI59" s="684"/>
      <c r="AJ59" s="684"/>
      <c r="AK59" s="684"/>
      <c r="AL59" s="684"/>
      <c r="AM59" s="684"/>
      <c r="AN59" s="684"/>
      <c r="AO59" s="684"/>
      <c r="AP59" s="684"/>
      <c r="AQ59" s="684"/>
      <c r="AR59" s="684"/>
      <c r="AS59" s="684"/>
      <c r="AT59" s="684"/>
      <c r="AU59" s="684"/>
      <c r="AV59" s="684"/>
      <c r="AW59" s="684"/>
      <c r="AX59" s="684"/>
      <c r="AY59" s="684"/>
      <c r="AZ59" s="684"/>
      <c r="BA59" s="684"/>
      <c r="BB59" s="684"/>
      <c r="BC59" s="684"/>
      <c r="BD59" s="684"/>
      <c r="BE59" s="684"/>
      <c r="BF59" s="684"/>
      <c r="BG59" s="684"/>
      <c r="BH59" s="684"/>
      <c r="BI59" s="684"/>
      <c r="BJ59" s="684"/>
      <c r="BK59" s="684"/>
      <c r="BL59" s="684"/>
      <c r="BM59" s="684"/>
      <c r="BN59" s="684"/>
      <c r="BO59" s="684"/>
      <c r="BP59" s="684"/>
      <c r="CD59" s="731" t="s">
        <v>518</v>
      </c>
      <c r="CE59" s="732">
        <f>Interims!BJ271</f>
        <v>147.32699999999932</v>
      </c>
      <c r="CF59" s="732" t="e">
        <f>Interims!#REF!</f>
        <v>#REF!</v>
      </c>
      <c r="CG59" s="732"/>
      <c r="CH59" s="740">
        <f>Interims!BF271</f>
        <v>35.033000000000357</v>
      </c>
      <c r="CI59" s="736"/>
      <c r="CJ59" s="684"/>
      <c r="CK59" s="684"/>
      <c r="CL59" s="684"/>
      <c r="CM59" s="684"/>
      <c r="CN59" s="684"/>
      <c r="CO59" s="684"/>
      <c r="CP59" s="684"/>
      <c r="CQ59" s="684"/>
      <c r="CR59" s="684"/>
      <c r="CS59" s="684"/>
      <c r="CT59" s="684"/>
      <c r="CU59" s="684"/>
      <c r="CV59" s="684"/>
      <c r="CW59" s="684"/>
      <c r="CX59" s="684"/>
      <c r="CY59" s="684"/>
      <c r="CZ59" s="684"/>
      <c r="DA59" s="684"/>
      <c r="DB59" s="684"/>
      <c r="DC59" s="684"/>
      <c r="DD59" s="684"/>
      <c r="DE59" s="684"/>
      <c r="DF59" s="684"/>
      <c r="DG59" s="684"/>
      <c r="DH59" s="684"/>
      <c r="DI59" s="684"/>
      <c r="DJ59" s="684"/>
      <c r="DK59" s="684"/>
      <c r="DL59" s="684"/>
      <c r="DM59" s="684"/>
      <c r="DN59" s="684"/>
      <c r="DO59" s="684"/>
      <c r="DP59" s="684"/>
      <c r="DQ59" s="684"/>
      <c r="DR59" s="684"/>
      <c r="DS59" s="684"/>
      <c r="DT59" s="684"/>
      <c r="DU59" s="684"/>
      <c r="DV59" s="684"/>
      <c r="DW59" s="684"/>
      <c r="DX59" s="684"/>
      <c r="DY59" s="684"/>
      <c r="DZ59" s="684"/>
      <c r="EA59" s="684"/>
      <c r="EB59" s="684"/>
      <c r="EC59" s="684"/>
      <c r="ED59" s="684"/>
      <c r="EE59" s="684"/>
      <c r="EF59" s="684"/>
      <c r="EG59" s="684"/>
      <c r="EH59" s="684"/>
      <c r="EI59" s="684"/>
      <c r="EJ59" s="684"/>
      <c r="EK59" s="684"/>
      <c r="EL59" s="684"/>
      <c r="EM59" s="684"/>
      <c r="EN59" s="684"/>
      <c r="EO59" s="684"/>
      <c r="EP59" s="684"/>
      <c r="EQ59" s="684"/>
      <c r="ER59" s="684"/>
      <c r="ES59" s="684"/>
      <c r="ET59" s="684"/>
      <c r="EU59" s="684"/>
      <c r="EV59" s="684"/>
      <c r="EW59" s="684"/>
      <c r="EX59" s="684"/>
      <c r="EY59" s="684"/>
    </row>
    <row r="60" spans="1:159">
      <c r="A60" s="718" t="s">
        <v>540</v>
      </c>
      <c r="B60" s="686" t="s">
        <v>733</v>
      </c>
      <c r="C60" s="686" t="s">
        <v>734</v>
      </c>
      <c r="D60" s="686" t="s">
        <v>735</v>
      </c>
      <c r="E60" s="686" t="s">
        <v>736</v>
      </c>
      <c r="F60" s="686" t="s">
        <v>737</v>
      </c>
      <c r="G60" s="686" t="s">
        <v>738</v>
      </c>
      <c r="H60" s="686" t="s">
        <v>739</v>
      </c>
      <c r="I60" s="686" t="s">
        <v>740</v>
      </c>
      <c r="J60" s="686" t="s">
        <v>741</v>
      </c>
      <c r="K60" s="686" t="s">
        <v>742</v>
      </c>
      <c r="L60" s="686" t="s">
        <v>743</v>
      </c>
      <c r="M60" s="686" t="s">
        <v>744</v>
      </c>
      <c r="N60" s="686" t="s">
        <v>745</v>
      </c>
      <c r="O60" s="686" t="s">
        <v>746</v>
      </c>
      <c r="P60" s="686" t="s">
        <v>747</v>
      </c>
      <c r="Q60" s="686" t="s">
        <v>748</v>
      </c>
      <c r="R60" s="686" t="str">
        <f t="shared" ref="R60:AG60" si="25">R30</f>
        <v>Q1 19</v>
      </c>
      <c r="S60" s="686" t="str">
        <f t="shared" si="25"/>
        <v>Q2 19</v>
      </c>
      <c r="T60" s="686" t="str">
        <f t="shared" si="25"/>
        <v>Q2 19</v>
      </c>
      <c r="U60" s="686" t="str">
        <f t="shared" si="25"/>
        <v>Q3 19</v>
      </c>
      <c r="V60" s="686" t="str">
        <f t="shared" si="25"/>
        <v>Q1 20</v>
      </c>
      <c r="W60" s="686" t="str">
        <f t="shared" si="25"/>
        <v>Q2 20</v>
      </c>
      <c r="X60" s="686" t="str">
        <f t="shared" si="25"/>
        <v>Q3 20</v>
      </c>
      <c r="Y60" s="686" t="str">
        <f t="shared" si="25"/>
        <v>Q4 20</v>
      </c>
      <c r="Z60" s="686" t="str">
        <f t="shared" si="25"/>
        <v>Q1 21</v>
      </c>
      <c r="AA60" s="686" t="str">
        <f t="shared" si="25"/>
        <v>Q2 21</v>
      </c>
      <c r="AB60" s="686" t="str">
        <f t="shared" si="25"/>
        <v>Q3 21</v>
      </c>
      <c r="AC60" s="686" t="str">
        <f t="shared" si="25"/>
        <v>Q4 21</v>
      </c>
      <c r="AD60" s="686" t="str">
        <f t="shared" si="25"/>
        <v>Q1 22</v>
      </c>
      <c r="AE60" s="686" t="str">
        <f t="shared" si="25"/>
        <v>Q2 22</v>
      </c>
      <c r="AF60" s="686" t="str">
        <f t="shared" si="25"/>
        <v>Q3 22</v>
      </c>
      <c r="AG60" s="686" t="str">
        <f t="shared" si="25"/>
        <v>Q4 22</v>
      </c>
      <c r="AH60" s="684"/>
      <c r="AI60" s="684"/>
      <c r="AJ60" s="684"/>
      <c r="AK60" s="684"/>
      <c r="AL60" s="684"/>
      <c r="AM60" s="684"/>
      <c r="AN60" s="684"/>
      <c r="AO60" s="684"/>
      <c r="AP60" s="684"/>
      <c r="AQ60" s="684"/>
      <c r="AR60" s="684"/>
      <c r="AS60" s="684"/>
      <c r="AT60" s="684"/>
      <c r="AU60" s="684"/>
      <c r="AV60" s="684"/>
      <c r="AW60" s="684"/>
      <c r="AX60" s="684"/>
      <c r="AY60" s="684"/>
      <c r="AZ60" s="684"/>
      <c r="BA60" s="684"/>
      <c r="BB60" s="684"/>
      <c r="BC60" s="684"/>
      <c r="BD60" s="684"/>
      <c r="BE60" s="684"/>
      <c r="BF60" s="684"/>
      <c r="BG60" s="684"/>
      <c r="BH60" s="684"/>
      <c r="BI60" s="684"/>
      <c r="BJ60" s="684"/>
      <c r="BK60" s="684"/>
      <c r="BL60" s="684"/>
      <c r="BM60" s="684"/>
      <c r="BN60" s="684"/>
      <c r="BO60" s="684"/>
      <c r="BP60" s="684"/>
      <c r="CD60" s="700"/>
      <c r="CE60" s="701"/>
      <c r="CF60" s="701"/>
      <c r="CG60" s="701"/>
      <c r="CH60" s="739"/>
      <c r="CI60" s="735"/>
      <c r="CJ60" s="684"/>
      <c r="CK60" s="684"/>
      <c r="CL60" s="684"/>
      <c r="CM60" s="684"/>
      <c r="CN60" s="684"/>
      <c r="CO60" s="684"/>
      <c r="CP60" s="684"/>
      <c r="CQ60" s="684"/>
      <c r="CR60" s="684"/>
      <c r="CS60" s="684"/>
      <c r="CT60" s="684"/>
      <c r="CU60" s="684"/>
      <c r="CV60" s="684"/>
      <c r="CW60" s="684"/>
      <c r="CX60" s="684"/>
      <c r="CY60" s="684"/>
      <c r="CZ60" s="684"/>
      <c r="DA60" s="684"/>
      <c r="DB60" s="684"/>
      <c r="DC60" s="684"/>
      <c r="DD60" s="684"/>
      <c r="DE60" s="684"/>
      <c r="DF60" s="684"/>
      <c r="DG60" s="684"/>
      <c r="DH60" s="684"/>
      <c r="DI60" s="684"/>
      <c r="DJ60" s="684"/>
      <c r="DK60" s="684"/>
      <c r="DL60" s="684"/>
      <c r="DM60" s="684"/>
      <c r="DN60" s="684"/>
      <c r="DO60" s="684"/>
      <c r="DP60" s="684"/>
      <c r="DQ60" s="684"/>
      <c r="DR60" s="684"/>
      <c r="DS60" s="684"/>
      <c r="DT60" s="684"/>
      <c r="DU60" s="684"/>
      <c r="DV60" s="684"/>
      <c r="DW60" s="684"/>
      <c r="DX60" s="684"/>
      <c r="DY60" s="684"/>
      <c r="DZ60" s="684"/>
      <c r="EA60" s="684"/>
      <c r="EB60" s="684"/>
      <c r="EC60" s="684"/>
      <c r="ED60" s="684"/>
      <c r="EE60" s="684"/>
      <c r="EF60" s="684"/>
      <c r="EG60" s="684"/>
      <c r="EH60" s="684"/>
      <c r="EI60" s="684"/>
      <c r="EJ60" s="684"/>
      <c r="EK60" s="684"/>
      <c r="EL60" s="684"/>
      <c r="EM60" s="684"/>
      <c r="EN60" s="684"/>
      <c r="EO60" s="684"/>
      <c r="EP60" s="684"/>
      <c r="EQ60" s="684"/>
      <c r="ER60" s="684"/>
      <c r="ES60" s="684"/>
      <c r="ET60" s="684"/>
      <c r="EU60" s="684"/>
      <c r="EV60" s="684"/>
      <c r="EW60" s="684"/>
      <c r="EX60" s="684"/>
      <c r="EY60" s="684"/>
    </row>
    <row r="61" spans="1:159">
      <c r="A61" s="707" t="str">
        <f>Interims!A29</f>
        <v>Content</v>
      </c>
      <c r="B61" s="697">
        <f>Interims!AA65</f>
        <v>0.37159948725252812</v>
      </c>
      <c r="C61" s="697">
        <f>Interims!AB65</f>
        <v>0.42641676132777989</v>
      </c>
      <c r="D61" s="697">
        <f>Interims!AC65</f>
        <v>0.46623000231857176</v>
      </c>
      <c r="E61" s="697">
        <f>Interims!AD65</f>
        <v>0.42322487131362319</v>
      </c>
      <c r="F61" s="697">
        <f>Interims!AF65</f>
        <v>0.35275829081632648</v>
      </c>
      <c r="G61" s="697">
        <f>Interims!AG65</f>
        <v>0.41881041737745933</v>
      </c>
      <c r="H61" s="697">
        <f>Interims!AH65</f>
        <v>0.41984301702377791</v>
      </c>
      <c r="I61" s="697">
        <f>Interims!AI65</f>
        <v>0.40781100314766661</v>
      </c>
      <c r="J61" s="697">
        <f>Interims!AK65</f>
        <v>0.35916990138121169</v>
      </c>
      <c r="K61" s="697">
        <f>Interims!AL65</f>
        <v>0.39439567107071655</v>
      </c>
      <c r="L61" s="697">
        <f>Interims!AM65</f>
        <v>0.38655451713395639</v>
      </c>
      <c r="M61" s="697">
        <f>Interims!AN65</f>
        <v>0.3695619378076147</v>
      </c>
      <c r="N61" s="697">
        <f>Interims!AP65</f>
        <v>0.35700179760488138</v>
      </c>
      <c r="O61" s="697">
        <f>Interims!AQ65</f>
        <v>0.39140857137648793</v>
      </c>
      <c r="P61" s="697">
        <f>Interims!AR65</f>
        <v>0.38145848137506305</v>
      </c>
      <c r="Q61" s="697">
        <f>Interims!AS65</f>
        <v>0.37928928477468332</v>
      </c>
      <c r="R61" s="697">
        <f>Interims!AU65</f>
        <v>0.3155645868418489</v>
      </c>
      <c r="S61" s="697">
        <f>Interims!AV65</f>
        <v>0.36376397515527953</v>
      </c>
      <c r="T61" s="697">
        <f>Interims!AW65</f>
        <v>0.35941704294804433</v>
      </c>
      <c r="U61" s="697">
        <f>Interims!AX65</f>
        <v>0.4070173553274945</v>
      </c>
      <c r="V61" s="697">
        <f>Interims!AZ65</f>
        <v>0.23989238361377013</v>
      </c>
      <c r="W61" s="697">
        <f>Interims!BA65</f>
        <v>0.30869655520280098</v>
      </c>
      <c r="X61" s="697">
        <f>Interims!BB65</f>
        <v>0.41012522717653793</v>
      </c>
      <c r="Y61" s="697">
        <f>Interims!BC65</f>
        <v>0.48341343125078728</v>
      </c>
      <c r="Z61" s="697">
        <f>Interims!BE65</f>
        <v>0.32045577130528585</v>
      </c>
      <c r="AA61" s="697">
        <f>Interims!BF65</f>
        <v>0.3270366598778004</v>
      </c>
      <c r="AB61" s="697">
        <f>Interims!BG65</f>
        <v>0.37208281191683673</v>
      </c>
      <c r="AC61" s="697">
        <f>Interims!BH65</f>
        <v>0.47093682143382376</v>
      </c>
      <c r="AD61" s="697">
        <f>Interims!BJ65</f>
        <v>0</v>
      </c>
      <c r="AE61" s="697" t="e">
        <f>Interims!#REF!</f>
        <v>#REF!</v>
      </c>
      <c r="AF61" s="697" t="e">
        <f>Interims!#REF!</f>
        <v>#REF!</v>
      </c>
      <c r="AG61" s="697" t="e">
        <f>Interims!#REF!</f>
        <v>#REF!</v>
      </c>
      <c r="AH61" s="684"/>
      <c r="AI61" s="684"/>
      <c r="AJ61" s="684"/>
      <c r="AK61" s="684"/>
      <c r="AL61" s="684"/>
      <c r="AM61" s="684"/>
      <c r="AN61" s="684"/>
      <c r="AO61" s="684"/>
      <c r="AP61" s="684"/>
      <c r="AQ61" s="684"/>
      <c r="AR61" s="684"/>
      <c r="AS61" s="684"/>
      <c r="AT61" s="684"/>
      <c r="AU61" s="684"/>
      <c r="AV61" s="684"/>
      <c r="AW61" s="684"/>
      <c r="AX61" s="684"/>
      <c r="AY61" s="684"/>
      <c r="AZ61" s="684"/>
      <c r="BA61" s="684"/>
      <c r="BB61" s="684"/>
      <c r="BC61" s="684"/>
      <c r="BD61" s="684"/>
      <c r="BE61" s="684"/>
      <c r="BF61" s="684"/>
      <c r="BG61" s="684"/>
      <c r="BH61" s="684"/>
      <c r="BI61" s="684"/>
      <c r="BJ61" s="684"/>
      <c r="BK61" s="684"/>
      <c r="BL61" s="684"/>
      <c r="BM61" s="684"/>
      <c r="BN61" s="684"/>
      <c r="BO61" s="684"/>
      <c r="BP61" s="684"/>
      <c r="CA61" s="684"/>
      <c r="CB61" s="684"/>
      <c r="CC61" s="684"/>
      <c r="CD61" s="729" t="s">
        <v>924</v>
      </c>
      <c r="CE61" s="730">
        <f>BS10</f>
        <v>5950.1</v>
      </c>
      <c r="CF61" s="730">
        <f>BZ10</f>
        <v>5659.875</v>
      </c>
      <c r="CG61" s="730">
        <f>CB10</f>
        <v>6001.2000000000007</v>
      </c>
      <c r="CH61" s="738"/>
      <c r="CI61" s="734"/>
      <c r="CJ61" s="684"/>
      <c r="CK61" s="684"/>
      <c r="CL61" s="684"/>
      <c r="CM61" s="684"/>
      <c r="CN61" s="684"/>
      <c r="CO61" s="684"/>
      <c r="CP61" s="684"/>
      <c r="CQ61" s="684"/>
      <c r="CR61" s="684"/>
      <c r="CS61" s="684"/>
      <c r="CT61" s="684"/>
      <c r="CU61" s="684"/>
      <c r="CV61" s="684"/>
      <c r="CW61" s="684"/>
      <c r="CX61" s="684"/>
      <c r="CY61" s="684"/>
      <c r="CZ61" s="684"/>
      <c r="DA61" s="684"/>
      <c r="DB61" s="684"/>
      <c r="DC61" s="684"/>
      <c r="DD61" s="684"/>
      <c r="DE61" s="684"/>
      <c r="DF61" s="684"/>
      <c r="DG61" s="684"/>
      <c r="DH61" s="684"/>
      <c r="DI61" s="684"/>
      <c r="DJ61" s="684"/>
      <c r="DK61" s="684"/>
      <c r="DL61" s="684"/>
      <c r="DM61" s="684"/>
      <c r="DN61" s="684"/>
      <c r="DO61" s="684"/>
      <c r="DP61" s="684"/>
      <c r="DQ61" s="684"/>
      <c r="DR61" s="684"/>
      <c r="DS61" s="684"/>
      <c r="DT61" s="684"/>
      <c r="DU61" s="684"/>
      <c r="DV61" s="684"/>
      <c r="DW61" s="684"/>
      <c r="DX61" s="684"/>
      <c r="DY61" s="684"/>
      <c r="DZ61" s="684"/>
      <c r="EA61" s="684"/>
      <c r="EB61" s="684"/>
      <c r="EC61" s="684"/>
      <c r="ED61" s="684"/>
      <c r="EE61" s="684"/>
      <c r="EF61" s="684"/>
      <c r="EG61" s="684"/>
      <c r="EH61" s="684"/>
      <c r="EI61" s="684"/>
      <c r="EJ61" s="684"/>
      <c r="EK61" s="684"/>
      <c r="EL61" s="684"/>
      <c r="EM61" s="684"/>
      <c r="EN61" s="684"/>
      <c r="EO61" s="684"/>
      <c r="EP61" s="684"/>
      <c r="EQ61" s="684"/>
      <c r="ER61" s="684"/>
      <c r="ES61" s="684"/>
      <c r="ET61" s="684"/>
      <c r="EU61" s="684"/>
      <c r="EV61" s="684"/>
      <c r="EW61" s="684"/>
      <c r="EX61" s="684"/>
      <c r="EY61" s="684"/>
      <c r="EZ61" s="684"/>
      <c r="FA61" s="684"/>
      <c r="FB61" s="684"/>
    </row>
    <row r="62" spans="1:159">
      <c r="A62" s="707" t="str">
        <f>Interims!A31</f>
        <v>Satellite (Sky)</v>
      </c>
      <c r="B62" s="697">
        <f>Interims!AA67</f>
        <v>0.46500205552069585</v>
      </c>
      <c r="C62" s="697">
        <f>Interims!AB67</f>
        <v>0.48129960842417191</v>
      </c>
      <c r="D62" s="697">
        <f>Interims!AC67</f>
        <v>0.47640449438202248</v>
      </c>
      <c r="E62" s="697">
        <f>Interims!AD67</f>
        <v>0.44237176545697576</v>
      </c>
      <c r="F62" s="697">
        <f>Interims!AF67</f>
        <v>0.45038881411694331</v>
      </c>
      <c r="G62" s="697">
        <f>Interims!AG67</f>
        <v>0.45356317307864602</v>
      </c>
      <c r="H62" s="697">
        <f>Interims!AH67</f>
        <v>0.46026008936031093</v>
      </c>
      <c r="I62" s="697">
        <f>Interims!AI67</f>
        <v>0.44028264700005448</v>
      </c>
      <c r="J62" s="697">
        <f>Interims!AK67</f>
        <v>0.44513229614121214</v>
      </c>
      <c r="K62" s="697">
        <f>Interims!AL67</f>
        <v>0.47074567078466478</v>
      </c>
      <c r="L62" s="697">
        <f>Interims!AM67</f>
        <v>0.48857709542349226</v>
      </c>
      <c r="M62" s="697">
        <f>Interims!AN67</f>
        <v>0.41734305415888517</v>
      </c>
      <c r="N62" s="697">
        <f>Interims!AP67</f>
        <v>0.44607431222827082</v>
      </c>
      <c r="O62" s="697">
        <f>Interims!AQ67</f>
        <v>0.4490174595320563</v>
      </c>
      <c r="P62" s="697">
        <f>Interims!AR67</f>
        <v>0.4752649196456642</v>
      </c>
      <c r="Q62" s="697">
        <f>Interims!AS67</f>
        <v>0.40546330031673961</v>
      </c>
      <c r="R62" s="697">
        <f>Interims!AU67</f>
        <v>0.43678052105422599</v>
      </c>
      <c r="S62" s="697">
        <f>Interims!AV67</f>
        <v>0.43110637422636072</v>
      </c>
      <c r="T62" s="697">
        <f>Interims!AW67</f>
        <v>0.44956259483356126</v>
      </c>
      <c r="U62" s="697">
        <f>Interims!AX67</f>
        <v>0.39205443289769665</v>
      </c>
      <c r="V62" s="697">
        <f>Interims!AZ67</f>
        <v>0.41329805931215657</v>
      </c>
      <c r="W62" s="697">
        <f>Interims!BA67</f>
        <v>0.42094764901082565</v>
      </c>
      <c r="X62" s="697">
        <f>Interims!BB67</f>
        <v>0.43528823308740777</v>
      </c>
      <c r="Y62" s="697">
        <f>Interims!BC67</f>
        <v>0.38165859564164639</v>
      </c>
      <c r="Z62" s="697">
        <f>Interims!BE67</f>
        <v>0.38303584127435641</v>
      </c>
      <c r="AA62" s="697">
        <f>Interims!BF67</f>
        <v>0.40263190966050871</v>
      </c>
      <c r="AB62" s="697">
        <f>Interims!BG67</f>
        <v>0.41427629409825256</v>
      </c>
      <c r="AC62" s="697">
        <f>Interims!BH67</f>
        <v>0.34350278279321705</v>
      </c>
      <c r="AD62" s="697">
        <f>Interims!BJ67</f>
        <v>0.35282521750668161</v>
      </c>
      <c r="AE62" s="697" t="e">
        <f>Interims!#REF!</f>
        <v>#REF!</v>
      </c>
      <c r="AF62" s="697" t="e">
        <f>Interims!#REF!</f>
        <v>#REF!</v>
      </c>
      <c r="AG62" s="697" t="e">
        <f>Interims!#REF!</f>
        <v>#REF!</v>
      </c>
      <c r="AH62" s="684"/>
      <c r="AI62" s="684"/>
      <c r="AJ62" s="684"/>
      <c r="AK62" s="684"/>
      <c r="AL62" s="684"/>
      <c r="AM62" s="684"/>
      <c r="AN62" s="684"/>
      <c r="AO62" s="684"/>
      <c r="AP62" s="684"/>
      <c r="AQ62" s="684"/>
      <c r="AR62" s="684"/>
      <c r="AS62" s="684"/>
      <c r="AT62" s="684"/>
      <c r="AU62" s="684"/>
      <c r="AV62" s="684"/>
      <c r="AW62" s="684"/>
      <c r="AX62" s="684"/>
      <c r="AY62" s="684"/>
      <c r="AZ62" s="684"/>
      <c r="BA62" s="684"/>
      <c r="BB62" s="684"/>
      <c r="BC62" s="684"/>
      <c r="BD62" s="684"/>
      <c r="BE62" s="684"/>
      <c r="BF62" s="684"/>
      <c r="BG62" s="684"/>
      <c r="BH62" s="684"/>
      <c r="BI62" s="684"/>
      <c r="BJ62" s="684"/>
      <c r="BK62" s="684"/>
      <c r="BL62" s="684"/>
      <c r="BM62" s="684"/>
      <c r="BN62" s="684"/>
      <c r="BO62" s="684"/>
      <c r="BP62" s="684"/>
      <c r="CA62" s="684"/>
      <c r="CB62" s="684"/>
      <c r="CC62" s="684"/>
      <c r="CD62" s="747" t="s">
        <v>925</v>
      </c>
      <c r="CE62" s="709">
        <f>BS11</f>
        <v>0</v>
      </c>
      <c r="CF62" s="709">
        <f>BZ11</f>
        <v>0</v>
      </c>
      <c r="CG62" s="709">
        <f>Interims!BF32</f>
        <v>5020.1000000000004</v>
      </c>
      <c r="CH62" s="742"/>
      <c r="CI62" s="748"/>
      <c r="CJ62" s="684"/>
      <c r="CK62" s="684"/>
      <c r="CL62" s="684"/>
      <c r="CM62" s="684"/>
      <c r="CN62" s="684"/>
      <c r="CO62" s="684"/>
      <c r="CP62" s="684"/>
      <c r="CQ62" s="684"/>
      <c r="CR62" s="684"/>
      <c r="CS62" s="684"/>
      <c r="CT62" s="684"/>
      <c r="CU62" s="684"/>
      <c r="CV62" s="684"/>
      <c r="CW62" s="684"/>
      <c r="CX62" s="684"/>
      <c r="CY62" s="684"/>
      <c r="CZ62" s="684"/>
      <c r="DA62" s="684"/>
      <c r="DB62" s="684"/>
      <c r="DC62" s="684"/>
      <c r="DD62" s="684"/>
      <c r="DE62" s="684"/>
      <c r="DF62" s="684"/>
      <c r="DG62" s="684"/>
      <c r="DH62" s="684"/>
      <c r="DI62" s="684"/>
      <c r="DJ62" s="684"/>
      <c r="DK62" s="684"/>
      <c r="DL62" s="684"/>
      <c r="DM62" s="684"/>
      <c r="DN62" s="684"/>
      <c r="DO62" s="684"/>
      <c r="DP62" s="684"/>
      <c r="DQ62" s="684"/>
      <c r="DR62" s="684"/>
      <c r="DS62" s="684"/>
      <c r="DT62" s="684"/>
      <c r="DU62" s="684"/>
      <c r="DV62" s="684"/>
      <c r="DW62" s="684"/>
      <c r="DX62" s="684"/>
      <c r="DY62" s="684"/>
      <c r="DZ62" s="684"/>
      <c r="EA62" s="684"/>
      <c r="EB62" s="684"/>
      <c r="EC62" s="684"/>
      <c r="ED62" s="684"/>
      <c r="EE62" s="684"/>
      <c r="EF62" s="684"/>
      <c r="EG62" s="684"/>
      <c r="EH62" s="684"/>
      <c r="EI62" s="684"/>
      <c r="EJ62" s="684"/>
      <c r="EK62" s="684"/>
      <c r="EL62" s="684"/>
      <c r="EM62" s="684"/>
      <c r="EN62" s="684"/>
      <c r="EO62" s="684"/>
      <c r="EP62" s="684"/>
      <c r="EQ62" s="684"/>
      <c r="ER62" s="684"/>
      <c r="ES62" s="684"/>
      <c r="ET62" s="684"/>
      <c r="EU62" s="684"/>
      <c r="EV62" s="684"/>
      <c r="EW62" s="684"/>
      <c r="EX62" s="684"/>
      <c r="EY62" s="684"/>
      <c r="EZ62" s="684"/>
      <c r="FA62" s="684"/>
      <c r="FB62" s="684"/>
      <c r="FC62" s="684"/>
    </row>
    <row r="63" spans="1:159">
      <c r="A63" s="707" t="str">
        <f>Interims!A32</f>
        <v>Cable and Telecom</v>
      </c>
      <c r="B63" s="697">
        <f>Interims!AA68</f>
        <v>0.3958299203216919</v>
      </c>
      <c r="C63" s="697">
        <f>Interims!AB68</f>
        <v>0.40004631170673111</v>
      </c>
      <c r="D63" s="697">
        <f>Interims!AC68</f>
        <v>0.4075952837948999</v>
      </c>
      <c r="E63" s="697">
        <f>Interims!AD68</f>
        <v>0.39769619952180291</v>
      </c>
      <c r="F63" s="697">
        <f>Interims!AF68</f>
        <v>0.41364107543530459</v>
      </c>
      <c r="G63" s="697">
        <f>Interims!AG68</f>
        <v>0.42221965880980755</v>
      </c>
      <c r="H63" s="697">
        <f>Interims!AH68</f>
        <v>0.42220914263292131</v>
      </c>
      <c r="I63" s="697">
        <f>Interims!AI68</f>
        <v>0.40251647981523353</v>
      </c>
      <c r="J63" s="697">
        <f>Interims!AK68</f>
        <v>0.41961142744216495</v>
      </c>
      <c r="K63" s="697">
        <f>Interims!AL68</f>
        <v>0.42832257020916548</v>
      </c>
      <c r="L63" s="697">
        <f>Interims!AM68</f>
        <v>0.42337038149594475</v>
      </c>
      <c r="M63" s="697">
        <f>Interims!AN68</f>
        <v>0.42729462695946652</v>
      </c>
      <c r="N63" s="697">
        <f>Interims!AP68</f>
        <v>0.42272512312998139</v>
      </c>
      <c r="O63" s="697">
        <f>Interims!AQ68</f>
        <v>0.42199485593210734</v>
      </c>
      <c r="P63" s="697">
        <f>Interims!AR68</f>
        <v>0.4238115380860964</v>
      </c>
      <c r="Q63" s="697">
        <f>Interims!AS68</f>
        <v>0.42086848713449682</v>
      </c>
      <c r="R63" s="697">
        <f>Interims!AU68</f>
        <v>0.43413382366312731</v>
      </c>
      <c r="S63" s="697">
        <f>Interims!AV68</f>
        <v>0.43792397975664904</v>
      </c>
      <c r="T63" s="697">
        <f>Interims!AW68</f>
        <v>0.42391767009392645</v>
      </c>
      <c r="U63" s="697">
        <f>Interims!AX68</f>
        <v>0.41257795408538411</v>
      </c>
      <c r="V63" s="697">
        <f>Interims!AZ68</f>
        <v>0.41481981024878284</v>
      </c>
      <c r="W63" s="697">
        <f>Interims!BA68</f>
        <v>0.41175898415393325</v>
      </c>
      <c r="X63" s="697">
        <f>Interims!BB68</f>
        <v>0.42047177832905269</v>
      </c>
      <c r="Y63" s="697">
        <f>Interims!BC68</f>
        <v>0.4189857682843301</v>
      </c>
      <c r="Z63" s="697">
        <f>Interims!BE68</f>
        <v>0.41404530467177669</v>
      </c>
      <c r="AA63" s="697">
        <f>Interims!BF68</f>
        <v>0.41898410896708288</v>
      </c>
      <c r="AB63" s="697">
        <f>Interims!BG68</f>
        <v>0.41971226360366631</v>
      </c>
      <c r="AC63" s="697">
        <f>Interims!BH68</f>
        <v>0.43637871862851935</v>
      </c>
      <c r="AD63" s="697">
        <f>Interims!BJ68</f>
        <v>0.42181371510864502</v>
      </c>
      <c r="AE63" s="697" t="e">
        <f>Interims!#REF!</f>
        <v>#REF!</v>
      </c>
      <c r="AF63" s="697" t="e">
        <f>Interims!#REF!</f>
        <v>#REF!</v>
      </c>
      <c r="AG63" s="697" t="e">
        <f>Interims!#REF!</f>
        <v>#REF!</v>
      </c>
      <c r="AH63" s="684"/>
      <c r="AI63" s="684"/>
      <c r="AJ63" s="684"/>
      <c r="AK63" s="684"/>
      <c r="AL63" s="684"/>
      <c r="AM63" s="684"/>
      <c r="AN63" s="684"/>
      <c r="AO63" s="684"/>
      <c r="AP63" s="684"/>
      <c r="AQ63" s="684"/>
      <c r="AR63" s="684"/>
      <c r="AS63" s="684"/>
      <c r="AT63" s="684"/>
      <c r="AU63" s="684"/>
      <c r="AV63" s="684"/>
      <c r="AW63" s="684"/>
      <c r="AX63" s="684"/>
      <c r="AY63" s="684"/>
      <c r="AZ63" s="684"/>
      <c r="BA63" s="684"/>
      <c r="BB63" s="684"/>
      <c r="BC63" s="684"/>
      <c r="BD63" s="684"/>
      <c r="BE63" s="684"/>
      <c r="BF63" s="684"/>
      <c r="BG63" s="684"/>
      <c r="BH63" s="684"/>
      <c r="BI63" s="684"/>
      <c r="BJ63" s="684"/>
      <c r="BK63" s="684"/>
      <c r="BL63" s="684"/>
      <c r="BM63" s="684"/>
      <c r="BN63" s="684"/>
      <c r="BO63" s="684"/>
      <c r="BP63" s="684"/>
      <c r="CA63" s="684"/>
      <c r="CB63" s="684"/>
      <c r="CC63" s="684"/>
      <c r="CJ63" s="684"/>
      <c r="CK63" s="684"/>
      <c r="CL63" s="684"/>
      <c r="CM63" s="684"/>
      <c r="CN63" s="684"/>
      <c r="CO63" s="684"/>
      <c r="CP63" s="684"/>
      <c r="CQ63" s="684"/>
      <c r="CR63" s="684"/>
      <c r="CS63" s="684"/>
      <c r="CT63" s="684"/>
      <c r="CU63" s="684"/>
      <c r="CV63" s="684"/>
      <c r="CW63" s="684"/>
      <c r="CX63" s="684"/>
      <c r="CY63" s="684"/>
      <c r="CZ63" s="684"/>
      <c r="DA63" s="684"/>
      <c r="DB63" s="684"/>
      <c r="DC63" s="684"/>
      <c r="DD63" s="684"/>
      <c r="DE63" s="684"/>
      <c r="DF63" s="684"/>
      <c r="DG63" s="684"/>
      <c r="DH63" s="684"/>
      <c r="DI63" s="684"/>
      <c r="DJ63" s="684"/>
      <c r="DK63" s="684"/>
      <c r="DL63" s="684"/>
      <c r="DM63" s="684"/>
      <c r="DN63" s="684"/>
      <c r="DO63" s="684"/>
      <c r="DP63" s="684"/>
      <c r="DQ63" s="684"/>
      <c r="DR63" s="684"/>
      <c r="DS63" s="684"/>
      <c r="DT63" s="684"/>
      <c r="DU63" s="684"/>
      <c r="DV63" s="684"/>
      <c r="DW63" s="684"/>
      <c r="DX63" s="684"/>
      <c r="DY63" s="684"/>
      <c r="DZ63" s="684"/>
      <c r="EA63" s="684"/>
      <c r="EB63" s="684"/>
      <c r="EC63" s="684"/>
      <c r="ED63" s="684"/>
      <c r="EE63" s="684"/>
      <c r="EF63" s="684"/>
      <c r="EG63" s="684"/>
      <c r="EH63" s="684"/>
      <c r="EI63" s="684"/>
      <c r="EJ63" s="684"/>
      <c r="EK63" s="684"/>
      <c r="EL63" s="684"/>
      <c r="EM63" s="684"/>
      <c r="EN63" s="684"/>
      <c r="EO63" s="684"/>
      <c r="EP63" s="684"/>
      <c r="EQ63" s="684"/>
      <c r="ER63" s="684"/>
      <c r="ES63" s="684"/>
      <c r="ET63" s="684"/>
      <c r="EU63" s="684"/>
      <c r="EV63" s="684"/>
      <c r="EW63" s="684"/>
      <c r="EX63" s="684"/>
      <c r="EY63" s="684"/>
      <c r="EZ63" s="684"/>
      <c r="FA63" s="684"/>
      <c r="FB63" s="684"/>
      <c r="FC63" s="684"/>
    </row>
    <row r="64" spans="1:159">
      <c r="A64" s="719" t="str">
        <f>Interims!A33</f>
        <v>Other Businesses</v>
      </c>
      <c r="B64" s="705">
        <f>Interims!AA69</f>
        <v>0.11551292743953294</v>
      </c>
      <c r="C64" s="705">
        <f>Interims!AB69</f>
        <v>6.8020036910097545E-2</v>
      </c>
      <c r="D64" s="705">
        <f>Interims!AC69</f>
        <v>0.12842210054753608</v>
      </c>
      <c r="E64" s="705">
        <f>Interims!AD69</f>
        <v>6.2858633281168516E-2</v>
      </c>
      <c r="F64" s="705">
        <f>Interims!AF69</f>
        <v>7.9713818939778039E-2</v>
      </c>
      <c r="G64" s="705">
        <f>Interims!AG69</f>
        <v>8.4119919792634612E-2</v>
      </c>
      <c r="H64" s="705">
        <f>Interims!AH69</f>
        <v>0.16134249898908212</v>
      </c>
      <c r="I64" s="705">
        <f>Interims!AI69</f>
        <v>0.13226733740567734</v>
      </c>
      <c r="J64" s="705">
        <f>Interims!AK69</f>
        <v>3.8810941758352681E-2</v>
      </c>
      <c r="K64" s="705">
        <f>Interims!AL69</f>
        <v>6.201585710380024E-2</v>
      </c>
      <c r="L64" s="705">
        <f>Interims!AM69</f>
        <v>2.7043482672890556E-2</v>
      </c>
      <c r="M64" s="705">
        <f>Interims!AN69</f>
        <v>0.10034990130988695</v>
      </c>
      <c r="N64" s="705">
        <f>Interims!AP69</f>
        <v>0.1146536212325686</v>
      </c>
      <c r="O64" s="705">
        <f>Interims!AQ69</f>
        <v>8.354233330450575E-2</v>
      </c>
      <c r="P64" s="705">
        <f>Interims!AR69</f>
        <v>6.5091189314153614E-2</v>
      </c>
      <c r="Q64" s="705">
        <f>Interims!AS69</f>
        <v>8.8722093918398762E-2</v>
      </c>
      <c r="R64" s="705">
        <f>Interims!AU69</f>
        <v>0.23673848604167588</v>
      </c>
      <c r="S64" s="705">
        <f>Interims!AV69</f>
        <v>0.11328024659645518</v>
      </c>
      <c r="T64" s="705">
        <f>Interims!AW69</f>
        <v>0.29262086513994912</v>
      </c>
      <c r="U64" s="705">
        <f>Interims!AX69</f>
        <v>4.028129686126479E-2</v>
      </c>
      <c r="V64" s="705">
        <f>Interims!AZ69</f>
        <v>0.19485294117647059</v>
      </c>
      <c r="W64" s="705">
        <f>Interims!BA69</f>
        <v>-0.74484217950978659</v>
      </c>
      <c r="X64" s="705">
        <f>Interims!BB69</f>
        <v>4.2172523961661341E-3</v>
      </c>
      <c r="Y64" s="705">
        <f>Interims!BC69</f>
        <v>0.1609937402190923</v>
      </c>
      <c r="Z64" s="705">
        <f>Interims!BE69</f>
        <v>1.2716763005780346E-2</v>
      </c>
      <c r="AA64" s="705">
        <f>Interims!BF69</f>
        <v>0.22414358301917717</v>
      </c>
      <c r="AB64" s="705">
        <f>Interims!BG69</f>
        <v>0.17968916329572068</v>
      </c>
      <c r="AC64" s="705">
        <f>Interims!BH69</f>
        <v>0.25445380472310453</v>
      </c>
      <c r="AD64" s="705">
        <f>Interims!BJ69</f>
        <v>0.22659683342363493</v>
      </c>
      <c r="AE64" s="705" t="e">
        <f>Interims!#REF!</f>
        <v>#REF!</v>
      </c>
      <c r="AF64" s="705" t="e">
        <f>Interims!#REF!</f>
        <v>#REF!</v>
      </c>
      <c r="AG64" s="705" t="e">
        <f>Interims!#REF!</f>
        <v>#REF!</v>
      </c>
      <c r="AH64" s="684"/>
      <c r="AI64" s="684"/>
      <c r="AJ64" s="684"/>
      <c r="AK64" s="684"/>
      <c r="AL64" s="684"/>
      <c r="AM64" s="684"/>
      <c r="AN64" s="684"/>
      <c r="AO64" s="684"/>
      <c r="AP64" s="684"/>
      <c r="AQ64" s="684"/>
      <c r="AR64" s="684"/>
      <c r="AS64" s="684"/>
      <c r="AT64" s="684"/>
      <c r="AU64" s="684"/>
      <c r="AV64" s="684"/>
      <c r="AW64" s="684"/>
      <c r="AX64" s="684"/>
      <c r="AY64" s="684"/>
      <c r="AZ64" s="684"/>
      <c r="BA64" s="684"/>
      <c r="BB64" s="684"/>
      <c r="BC64" s="684"/>
      <c r="BD64" s="684"/>
      <c r="BE64" s="684"/>
      <c r="BF64" s="684"/>
      <c r="BG64" s="684"/>
      <c r="BH64" s="684"/>
      <c r="BI64" s="684"/>
      <c r="BJ64" s="684"/>
      <c r="BK64" s="684"/>
      <c r="BL64" s="684"/>
      <c r="BM64" s="684"/>
      <c r="BN64" s="684"/>
      <c r="BO64" s="684"/>
      <c r="BP64" s="684"/>
      <c r="CA64" s="684"/>
      <c r="CB64" s="684"/>
      <c r="CC64" s="684"/>
      <c r="CJ64" s="684"/>
      <c r="CK64" s="684"/>
      <c r="CL64" s="684"/>
      <c r="CM64" s="684"/>
      <c r="CN64" s="684"/>
      <c r="CO64" s="684"/>
      <c r="CP64" s="684"/>
      <c r="CQ64" s="684"/>
      <c r="CR64" s="684"/>
      <c r="CS64" s="684"/>
      <c r="CT64" s="684"/>
      <c r="CU64" s="684"/>
      <c r="CV64" s="684"/>
      <c r="CW64" s="684"/>
      <c r="CX64" s="684"/>
      <c r="CY64" s="684"/>
      <c r="CZ64" s="684"/>
      <c r="DA64" s="684"/>
      <c r="DB64" s="684"/>
      <c r="DC64" s="684"/>
      <c r="DD64" s="684"/>
      <c r="DE64" s="684"/>
      <c r="DF64" s="684"/>
      <c r="DG64" s="684"/>
      <c r="DH64" s="684"/>
      <c r="DI64" s="684"/>
      <c r="DJ64" s="684"/>
      <c r="DK64" s="684"/>
      <c r="DL64" s="684"/>
      <c r="DM64" s="684"/>
      <c r="DN64" s="684"/>
      <c r="DO64" s="684"/>
      <c r="DP64" s="684"/>
      <c r="DQ64" s="684"/>
      <c r="DR64" s="684"/>
      <c r="DS64" s="684"/>
      <c r="DT64" s="684"/>
      <c r="DU64" s="684"/>
      <c r="DV64" s="684"/>
      <c r="DW64" s="684"/>
      <c r="DX64" s="684"/>
      <c r="DY64" s="684"/>
      <c r="DZ64" s="684"/>
      <c r="EA64" s="684"/>
      <c r="EB64" s="684"/>
      <c r="EC64" s="684"/>
      <c r="ED64" s="684"/>
      <c r="EE64" s="684"/>
      <c r="EF64" s="684"/>
      <c r="EG64" s="684"/>
      <c r="EH64" s="684"/>
      <c r="EI64" s="684"/>
      <c r="EJ64" s="684"/>
      <c r="EK64" s="684"/>
      <c r="EL64" s="684"/>
      <c r="EM64" s="684"/>
      <c r="EN64" s="684"/>
      <c r="EO64" s="684"/>
      <c r="EP64" s="684"/>
      <c r="EQ64" s="684"/>
      <c r="ER64" s="684"/>
      <c r="ES64" s="684"/>
      <c r="ET64" s="684"/>
      <c r="EU64" s="684"/>
      <c r="EV64" s="684"/>
      <c r="EW64" s="684"/>
      <c r="EX64" s="684"/>
      <c r="EY64" s="684"/>
      <c r="EZ64" s="684"/>
      <c r="FA64" s="684"/>
      <c r="FB64" s="684"/>
      <c r="FC64" s="684"/>
    </row>
    <row r="65" spans="1:159">
      <c r="A65" s="707" t="s">
        <v>926</v>
      </c>
      <c r="B65" s="699">
        <f>Interims!AA70</f>
        <v>0.37668429047722385</v>
      </c>
      <c r="C65" s="699">
        <f>Interims!AB70</f>
        <v>0.39832756121321722</v>
      </c>
      <c r="D65" s="699">
        <f>Interims!AC70</f>
        <v>0.41993953732912725</v>
      </c>
      <c r="E65" s="699">
        <f>Interims!AD70</f>
        <v>0.38710645963798584</v>
      </c>
      <c r="F65" s="699">
        <f>Interims!AF70</f>
        <v>0.37527949641256814</v>
      </c>
      <c r="G65" s="699">
        <f>Interims!AG70</f>
        <v>0.39966144381825314</v>
      </c>
      <c r="H65" s="699">
        <f>Interims!AH70</f>
        <v>0.40626475808946866</v>
      </c>
      <c r="I65" s="699">
        <f>Interims!AI70</f>
        <v>0.38546964743306528</v>
      </c>
      <c r="J65" s="699">
        <f>Interims!AK70</f>
        <v>0.37361299052774022</v>
      </c>
      <c r="K65" s="699">
        <f>Interims!AL70</f>
        <v>0.3933091431410784</v>
      </c>
      <c r="L65" s="699">
        <f>Interims!AM70</f>
        <v>0.3930086350552946</v>
      </c>
      <c r="M65" s="699">
        <f>Interims!AN70</f>
        <v>0.37556442083662084</v>
      </c>
      <c r="N65" s="699">
        <f>Interims!AP70</f>
        <v>0.38329758161676114</v>
      </c>
      <c r="O65" s="699">
        <f>Interims!AQ70</f>
        <v>0.38723013486504498</v>
      </c>
      <c r="P65" s="699">
        <f>Interims!AR70</f>
        <v>0.39218453952624815</v>
      </c>
      <c r="Q65" s="699">
        <f>Interims!AS70</f>
        <v>0.37162832560842507</v>
      </c>
      <c r="R65" s="699">
        <f>Interims!AU70</f>
        <v>0.38198733801964685</v>
      </c>
      <c r="S65" s="699">
        <f>Interims!AV70</f>
        <v>0.38841875877826149</v>
      </c>
      <c r="T65" s="699">
        <f>Interims!AW70</f>
        <v>0.39570926522269773</v>
      </c>
      <c r="U65" s="699">
        <f>Interims!AX70</f>
        <v>0.38232013479930965</v>
      </c>
      <c r="V65" s="699">
        <f>Interims!AZ70</f>
        <v>0.35030730121955145</v>
      </c>
      <c r="W65" s="699">
        <f>Interims!BA70</f>
        <v>0.35788937143614913</v>
      </c>
      <c r="X65" s="699">
        <f>Interims!BB70</f>
        <v>0.40785076118148683</v>
      </c>
      <c r="Y65" s="699">
        <f>Interims!BC70</f>
        <v>0.42718325145471192</v>
      </c>
      <c r="Z65" s="699">
        <f>Interims!BE70</f>
        <v>0.36533456959421556</v>
      </c>
      <c r="AA65" s="699">
        <f>Interims!BF70</f>
        <v>0.37950795969640866</v>
      </c>
      <c r="AB65" s="699">
        <f>Interims!BG70</f>
        <v>0.39112280664220589</v>
      </c>
      <c r="AC65" s="699">
        <f>Interims!BH70</f>
        <v>0.42454687703742344</v>
      </c>
      <c r="AD65" s="699">
        <f>Interims!BJ70</f>
        <v>0.3850906820764835</v>
      </c>
      <c r="AE65" s="699" t="e">
        <f>Interims!#REF!</f>
        <v>#REF!</v>
      </c>
      <c r="AF65" s="699" t="e">
        <f>Interims!#REF!</f>
        <v>#REF!</v>
      </c>
      <c r="AG65" s="699" t="e">
        <f>Interims!#REF!</f>
        <v>#REF!</v>
      </c>
      <c r="AH65" s="684"/>
      <c r="AI65" s="684"/>
      <c r="AJ65" s="684"/>
      <c r="AK65" s="684"/>
      <c r="AL65" s="684"/>
      <c r="AM65" s="684"/>
      <c r="AN65" s="684"/>
      <c r="AO65" s="684"/>
      <c r="AP65" s="684"/>
      <c r="AQ65" s="684"/>
      <c r="AR65" s="684"/>
      <c r="AS65" s="684"/>
      <c r="AT65" s="684"/>
      <c r="AU65" s="684"/>
      <c r="AV65" s="684"/>
      <c r="AW65" s="684"/>
      <c r="AX65" s="684"/>
      <c r="AY65" s="684"/>
      <c r="AZ65" s="684"/>
      <c r="BA65" s="684"/>
      <c r="BB65" s="684"/>
      <c r="BC65" s="684"/>
      <c r="BD65" s="684"/>
      <c r="BE65" s="684"/>
      <c r="BF65" s="684"/>
      <c r="BG65" s="684"/>
      <c r="BH65" s="684"/>
      <c r="BI65" s="684"/>
      <c r="BJ65" s="684"/>
      <c r="BK65" s="684"/>
      <c r="BL65" s="684"/>
      <c r="BM65" s="684"/>
      <c r="BN65" s="684"/>
      <c r="BO65" s="684"/>
      <c r="BP65" s="684"/>
      <c r="CA65" s="684"/>
      <c r="CB65" s="684"/>
      <c r="CC65" s="684"/>
      <c r="CD65" s="684"/>
      <c r="CE65" s="692"/>
      <c r="CF65" s="692" t="s">
        <v>855</v>
      </c>
      <c r="CG65" s="692" t="s">
        <v>856</v>
      </c>
      <c r="CH65" s="692"/>
      <c r="CI65" s="692" t="s">
        <v>921</v>
      </c>
      <c r="CJ65" s="684"/>
      <c r="CK65" s="684"/>
      <c r="CL65" s="684"/>
      <c r="CM65" s="684"/>
      <c r="CN65" s="684"/>
      <c r="CO65" s="684"/>
      <c r="CP65" s="684"/>
      <c r="CQ65" s="684"/>
      <c r="CR65" s="684"/>
      <c r="CS65" s="684"/>
      <c r="CT65" s="684"/>
      <c r="CU65" s="684"/>
      <c r="CV65" s="684"/>
      <c r="CW65" s="684"/>
      <c r="CX65" s="684"/>
      <c r="CY65" s="684"/>
      <c r="CZ65" s="684"/>
      <c r="DA65" s="684"/>
      <c r="DB65" s="684"/>
      <c r="DC65" s="684"/>
      <c r="DD65" s="684"/>
      <c r="DE65" s="684"/>
      <c r="DF65" s="684"/>
      <c r="DG65" s="684"/>
      <c r="DH65" s="684"/>
      <c r="DI65" s="684"/>
      <c r="DJ65" s="684"/>
      <c r="DK65" s="684"/>
      <c r="DL65" s="684"/>
      <c r="DM65" s="684"/>
      <c r="DN65" s="684"/>
      <c r="DO65" s="684"/>
      <c r="DP65" s="684"/>
      <c r="DQ65" s="684"/>
      <c r="DR65" s="684"/>
      <c r="DS65" s="684"/>
      <c r="DT65" s="684"/>
      <c r="DU65" s="684"/>
      <c r="DV65" s="684"/>
      <c r="DW65" s="684"/>
      <c r="DX65" s="684"/>
      <c r="DY65" s="684"/>
      <c r="DZ65" s="684"/>
      <c r="EA65" s="684"/>
      <c r="EB65" s="684"/>
      <c r="EC65" s="684"/>
      <c r="ED65" s="684"/>
      <c r="EE65" s="684"/>
      <c r="EF65" s="684"/>
      <c r="EG65" s="684"/>
      <c r="EH65" s="684"/>
      <c r="EI65" s="684"/>
      <c r="EJ65" s="684"/>
      <c r="EK65" s="684"/>
      <c r="EL65" s="684"/>
      <c r="EM65" s="684"/>
      <c r="EN65" s="684"/>
      <c r="EO65" s="684"/>
      <c r="EP65" s="684"/>
      <c r="EQ65" s="684"/>
      <c r="ER65" s="684"/>
      <c r="ES65" s="684"/>
      <c r="ET65" s="684"/>
      <c r="EU65" s="684"/>
      <c r="EV65" s="684"/>
      <c r="EW65" s="684"/>
      <c r="EX65" s="684"/>
      <c r="EY65" s="684"/>
      <c r="EZ65" s="684"/>
      <c r="FA65" s="684"/>
      <c r="FB65" s="684"/>
      <c r="FC65" s="684"/>
    </row>
    <row r="66" spans="1:159">
      <c r="A66" s="707"/>
      <c r="B66" s="697"/>
      <c r="C66" s="697"/>
      <c r="D66" s="697"/>
      <c r="E66" s="697"/>
      <c r="F66" s="697"/>
      <c r="G66" s="697"/>
      <c r="H66" s="697"/>
      <c r="I66" s="697"/>
      <c r="J66" s="697"/>
      <c r="K66" s="697"/>
      <c r="L66" s="697"/>
      <c r="M66" s="697"/>
      <c r="N66" s="697"/>
      <c r="O66" s="697"/>
      <c r="P66" s="697"/>
      <c r="Q66" s="697"/>
      <c r="R66" s="697"/>
      <c r="S66" s="684"/>
      <c r="T66" s="684"/>
      <c r="U66" s="684"/>
      <c r="V66" s="684"/>
      <c r="W66" s="684"/>
      <c r="X66" s="684"/>
      <c r="Y66" s="684"/>
      <c r="Z66" s="684"/>
      <c r="AA66" s="684"/>
      <c r="AB66" s="684"/>
      <c r="AC66" s="684"/>
      <c r="AD66" s="684"/>
      <c r="AE66" s="684"/>
      <c r="AF66" s="684"/>
      <c r="AG66" s="684"/>
      <c r="AH66" s="684"/>
      <c r="AI66" s="684"/>
      <c r="AJ66" s="684"/>
      <c r="AK66" s="684"/>
      <c r="AL66" s="684"/>
      <c r="AM66" s="684"/>
      <c r="AN66" s="684"/>
      <c r="AO66" s="684"/>
      <c r="AP66" s="684"/>
      <c r="AQ66" s="684"/>
      <c r="AS66" s="684"/>
      <c r="AT66" s="684"/>
      <c r="AU66" s="684"/>
      <c r="AV66" s="684"/>
      <c r="AW66" s="684"/>
      <c r="AX66" s="684"/>
      <c r="AY66" s="684"/>
      <c r="AZ66" s="684"/>
      <c r="BA66" s="684"/>
      <c r="BB66" s="684"/>
      <c r="BC66" s="684"/>
      <c r="BD66" s="684"/>
      <c r="BE66" s="684"/>
      <c r="BF66" s="684"/>
      <c r="BG66" s="684"/>
      <c r="BH66" s="684"/>
      <c r="BI66" s="684"/>
      <c r="BJ66" s="684"/>
      <c r="BK66" s="684"/>
      <c r="BL66" s="684"/>
      <c r="BM66" s="684"/>
      <c r="BN66" s="684"/>
      <c r="BO66" s="684"/>
      <c r="BP66" s="684"/>
      <c r="CA66" s="684"/>
      <c r="CB66" s="684"/>
      <c r="CC66" s="684"/>
      <c r="CD66" s="695" t="s">
        <v>927</v>
      </c>
      <c r="CE66" s="696" t="s">
        <v>761</v>
      </c>
      <c r="CF66" s="696" t="s">
        <v>922</v>
      </c>
      <c r="CG66" s="696" t="s">
        <v>922</v>
      </c>
      <c r="CH66" s="733" t="s">
        <v>758</v>
      </c>
      <c r="CI66" s="733" t="s">
        <v>921</v>
      </c>
      <c r="CJ66" s="684"/>
      <c r="CK66" s="684"/>
      <c r="CL66" s="684"/>
      <c r="CM66" s="684"/>
      <c r="CN66" s="684"/>
      <c r="CO66" s="684"/>
      <c r="CP66" s="684"/>
      <c r="CQ66" s="684"/>
      <c r="CR66" s="684"/>
      <c r="CS66" s="684"/>
      <c r="CT66" s="684"/>
      <c r="CU66" s="684"/>
      <c r="CV66" s="684"/>
      <c r="CW66" s="684"/>
      <c r="CX66" s="684"/>
      <c r="CY66" s="684"/>
      <c r="CZ66" s="684"/>
      <c r="DA66" s="684"/>
      <c r="DB66" s="684"/>
      <c r="DC66" s="684"/>
      <c r="DD66" s="684"/>
      <c r="DE66" s="684"/>
      <c r="DF66" s="684"/>
      <c r="DG66" s="684"/>
      <c r="DH66" s="684"/>
      <c r="DI66" s="684"/>
      <c r="DJ66" s="684"/>
      <c r="DK66" s="684"/>
      <c r="DL66" s="684"/>
      <c r="DM66" s="684"/>
      <c r="DN66" s="684"/>
      <c r="DO66" s="684"/>
      <c r="DP66" s="684"/>
      <c r="DQ66" s="684"/>
      <c r="DR66" s="684"/>
      <c r="DS66" s="684"/>
      <c r="DT66" s="684"/>
      <c r="DU66" s="684"/>
      <c r="DV66" s="684"/>
      <c r="DW66" s="684"/>
      <c r="DX66" s="684"/>
      <c r="DY66" s="684"/>
      <c r="DZ66" s="684"/>
      <c r="EA66" s="684"/>
      <c r="EB66" s="684"/>
      <c r="EC66" s="684"/>
      <c r="ED66" s="684"/>
      <c r="EE66" s="684"/>
      <c r="EF66" s="684"/>
      <c r="EG66" s="684"/>
      <c r="EH66" s="684"/>
      <c r="EI66" s="684"/>
      <c r="EJ66" s="684"/>
      <c r="EK66" s="684"/>
      <c r="EL66" s="684"/>
      <c r="EM66" s="684"/>
      <c r="EN66" s="684"/>
      <c r="EO66" s="684"/>
      <c r="EP66" s="684"/>
      <c r="EQ66" s="684"/>
      <c r="ER66" s="684"/>
      <c r="ES66" s="684"/>
      <c r="ET66" s="684"/>
      <c r="EU66" s="684"/>
      <c r="EV66" s="684"/>
      <c r="EW66" s="684"/>
      <c r="EX66" s="684"/>
      <c r="EY66" s="684"/>
      <c r="EZ66" s="684"/>
      <c r="FA66" s="684"/>
      <c r="FB66" s="684"/>
      <c r="FC66" s="684"/>
    </row>
    <row r="67" spans="1:159">
      <c r="A67" s="720" t="str">
        <f>A58</f>
        <v>EBITDA after corp/other</v>
      </c>
      <c r="B67" s="699">
        <f>Interims!AA72</f>
        <v>0.35865131877095985</v>
      </c>
      <c r="C67" s="699">
        <f>Interims!AB72</f>
        <v>0.37328275921222537</v>
      </c>
      <c r="D67" s="699">
        <f>Interims!AC72</f>
        <v>0.37717970031226838</v>
      </c>
      <c r="E67" s="699">
        <f>Interims!AD72</f>
        <v>0.36169649942685839</v>
      </c>
      <c r="F67" s="699">
        <f>Interims!AF72</f>
        <v>0.33664044892139278</v>
      </c>
      <c r="G67" s="699">
        <f>Interims!AG72</f>
        <v>0.37615065785278556</v>
      </c>
      <c r="H67" s="699">
        <f>Interims!AH72</f>
        <v>0.36420047129048444</v>
      </c>
      <c r="I67" s="699">
        <f>Interims!AI72</f>
        <v>0.33663968352807583</v>
      </c>
      <c r="J67" s="699">
        <f>Interims!AK72</f>
        <v>0.3420059430673984</v>
      </c>
      <c r="K67" s="699">
        <f>Interims!AL72</f>
        <v>0.36675042526919327</v>
      </c>
      <c r="L67" s="699">
        <f>Interims!AM72</f>
        <v>0.36323103673304907</v>
      </c>
      <c r="M67" s="699">
        <f>Interims!AN72</f>
        <v>0.3220625981687929</v>
      </c>
      <c r="N67" s="699">
        <f>Interims!AP72</f>
        <v>0.36932316324741354</v>
      </c>
      <c r="O67" s="699">
        <f>Interims!AQ72</f>
        <v>0.37288122898081788</v>
      </c>
      <c r="P67" s="699">
        <f>Interims!AR72</f>
        <v>0.37468641643896905</v>
      </c>
      <c r="Q67" s="699">
        <f>Interims!AS72</f>
        <v>0.32959420690996544</v>
      </c>
      <c r="R67" s="699">
        <f>Interims!AU72</f>
        <v>0.371289837231569</v>
      </c>
      <c r="S67" s="699">
        <f>Interims!AV72</f>
        <v>0.37872517237407216</v>
      </c>
      <c r="T67" s="699">
        <f>Interims!AW72</f>
        <v>0.38458257065740092</v>
      </c>
      <c r="U67" s="699">
        <f>Interims!AX72</f>
        <v>0.37663033385237343</v>
      </c>
      <c r="V67" s="699">
        <f>Interims!AZ72</f>
        <v>0.35266996142719387</v>
      </c>
      <c r="W67" s="699">
        <f>Interims!BA72</f>
        <v>0.35498446134142964</v>
      </c>
      <c r="X67" s="699">
        <f>Interims!BB72</f>
        <v>0.41302259533057678</v>
      </c>
      <c r="Y67" s="699">
        <f>Interims!BC72</f>
        <v>0.41614106697641751</v>
      </c>
      <c r="Z67" s="699">
        <f>Interims!BE72</f>
        <v>0.36554085812126508</v>
      </c>
      <c r="AA67" s="699">
        <f>Interims!BF72</f>
        <v>0.37207705111423545</v>
      </c>
      <c r="AB67" s="699">
        <f>Interims!BG72</f>
        <v>0.3895835486204402</v>
      </c>
      <c r="AC67" s="699">
        <f>Interims!BH72</f>
        <v>0.53806079453557221</v>
      </c>
      <c r="AD67" s="699">
        <f>Interims!BJ72</f>
        <v>0.36083227650839367</v>
      </c>
      <c r="AE67" s="699" t="e">
        <f>Interims!#REF!</f>
        <v>#REF!</v>
      </c>
      <c r="AF67" s="699" t="e">
        <f>Interims!#REF!</f>
        <v>#REF!</v>
      </c>
      <c r="AG67" s="699" t="e">
        <f>Interims!#REF!</f>
        <v>#REF!</v>
      </c>
      <c r="AH67" s="684"/>
      <c r="AI67" s="684"/>
      <c r="AJ67" s="684"/>
      <c r="AK67" s="684"/>
      <c r="AL67" s="684"/>
      <c r="AM67" s="684"/>
      <c r="AN67" s="684"/>
      <c r="AO67" s="684"/>
      <c r="AP67" s="684"/>
      <c r="AQ67" s="684"/>
      <c r="AR67" s="684"/>
      <c r="AS67" s="684"/>
      <c r="AT67" s="684"/>
      <c r="AU67" s="684"/>
      <c r="AV67" s="684"/>
      <c r="AW67" s="684"/>
      <c r="AX67" s="684"/>
      <c r="AY67" s="684"/>
      <c r="AZ67" s="684"/>
      <c r="BA67" s="684"/>
      <c r="BB67" s="684"/>
      <c r="BC67" s="684"/>
      <c r="BD67" s="684"/>
      <c r="BE67" s="684"/>
      <c r="BF67" s="684"/>
      <c r="BG67" s="684"/>
      <c r="BH67" s="684"/>
      <c r="BI67" s="684"/>
      <c r="BJ67" s="684"/>
      <c r="BK67" s="684"/>
      <c r="BL67" s="684"/>
      <c r="BM67" s="684"/>
      <c r="BN67" s="684"/>
      <c r="BO67" s="684"/>
      <c r="BP67" s="684"/>
      <c r="CA67" s="684"/>
      <c r="CB67" s="684"/>
      <c r="CC67" s="684"/>
      <c r="CD67" s="744"/>
      <c r="CE67" s="690"/>
      <c r="CF67" s="690"/>
      <c r="CG67" s="690"/>
      <c r="CH67" s="745"/>
      <c r="CI67" s="745"/>
      <c r="CJ67" s="684"/>
      <c r="CK67" s="684"/>
      <c r="CL67" s="684"/>
      <c r="CM67" s="684"/>
      <c r="CN67" s="684"/>
      <c r="CO67" s="684"/>
      <c r="CP67" s="684"/>
      <c r="CQ67" s="684"/>
      <c r="CR67" s="684"/>
      <c r="CS67" s="684"/>
      <c r="CT67" s="684"/>
      <c r="CU67" s="684"/>
      <c r="CV67" s="684"/>
      <c r="CW67" s="684"/>
      <c r="CX67" s="684"/>
      <c r="CY67" s="684"/>
      <c r="CZ67" s="684"/>
      <c r="DA67" s="684"/>
      <c r="DB67" s="684"/>
      <c r="DC67" s="684"/>
      <c r="DD67" s="684"/>
      <c r="DE67" s="684"/>
      <c r="DF67" s="684"/>
      <c r="DG67" s="684"/>
      <c r="DH67" s="684"/>
      <c r="DI67" s="684"/>
      <c r="DJ67" s="684"/>
      <c r="DK67" s="684"/>
      <c r="DL67" s="684"/>
      <c r="DM67" s="684"/>
      <c r="DN67" s="684"/>
      <c r="DO67" s="684"/>
      <c r="DP67" s="684"/>
      <c r="DQ67" s="684"/>
      <c r="DR67" s="684"/>
      <c r="DS67" s="684"/>
      <c r="DT67" s="684"/>
      <c r="DU67" s="684"/>
      <c r="DV67" s="684"/>
      <c r="DW67" s="684"/>
      <c r="DX67" s="684"/>
      <c r="DY67" s="684"/>
      <c r="DZ67" s="684"/>
      <c r="EA67" s="684"/>
      <c r="EB67" s="684"/>
      <c r="EC67" s="684"/>
      <c r="ED67" s="684"/>
      <c r="EE67" s="684"/>
      <c r="EF67" s="684"/>
      <c r="EG67" s="684"/>
      <c r="EH67" s="684"/>
      <c r="EI67" s="684"/>
      <c r="EJ67" s="684"/>
      <c r="EK67" s="684"/>
      <c r="EL67" s="684"/>
      <c r="EM67" s="684"/>
      <c r="EN67" s="684"/>
      <c r="EO67" s="684"/>
      <c r="EP67" s="684"/>
      <c r="EQ67" s="684"/>
      <c r="ER67" s="684"/>
      <c r="ES67" s="684"/>
      <c r="ET67" s="684"/>
      <c r="EU67" s="684"/>
      <c r="EV67" s="684"/>
      <c r="EW67" s="684"/>
      <c r="EX67" s="684"/>
      <c r="EY67" s="684"/>
      <c r="EZ67" s="684"/>
      <c r="FA67" s="684"/>
      <c r="FB67" s="684"/>
      <c r="FC67" s="684"/>
    </row>
    <row r="68" spans="1:159">
      <c r="A68" s="684"/>
      <c r="B68" s="684"/>
      <c r="C68" s="684"/>
      <c r="D68" s="684"/>
      <c r="E68" s="684"/>
      <c r="F68" s="684"/>
      <c r="G68" s="684"/>
      <c r="H68" s="684"/>
      <c r="I68" s="684"/>
      <c r="J68" s="697"/>
      <c r="K68" s="697"/>
      <c r="L68" s="684"/>
      <c r="M68" s="684"/>
      <c r="N68" s="684"/>
      <c r="O68" s="684"/>
      <c r="P68" s="684"/>
      <c r="Q68" s="684"/>
      <c r="R68" s="684"/>
      <c r="S68" s="684"/>
      <c r="T68" s="684"/>
      <c r="U68" s="684"/>
      <c r="V68" s="684"/>
      <c r="W68" s="684"/>
      <c r="X68" s="684"/>
      <c r="Y68" s="684"/>
      <c r="Z68" s="684"/>
      <c r="AA68" s="684"/>
      <c r="AB68" s="684"/>
      <c r="AC68" s="684"/>
      <c r="AD68" s="684"/>
      <c r="AE68" s="684"/>
      <c r="AF68" s="684"/>
      <c r="AG68" s="684"/>
      <c r="AH68" s="684"/>
      <c r="AI68" s="684"/>
      <c r="AJ68" s="684"/>
      <c r="AK68" s="684"/>
      <c r="AL68" s="684"/>
      <c r="AM68" s="684"/>
      <c r="AN68" s="684"/>
      <c r="AO68" s="684"/>
      <c r="AP68" s="684"/>
      <c r="AQ68" s="684"/>
      <c r="AR68" s="684"/>
      <c r="AS68" s="684"/>
      <c r="AT68" s="684"/>
      <c r="AU68" s="684"/>
      <c r="AV68" s="684"/>
      <c r="AW68" s="684"/>
      <c r="AX68" s="684"/>
      <c r="AY68" s="684"/>
      <c r="AZ68" s="684"/>
      <c r="BA68" s="684"/>
      <c r="BB68" s="684"/>
      <c r="BC68" s="684"/>
      <c r="BD68" s="684"/>
      <c r="BE68" s="684"/>
      <c r="BF68" s="684"/>
      <c r="BG68" s="684"/>
      <c r="BH68" s="684"/>
      <c r="BI68" s="684"/>
      <c r="BJ68" s="684"/>
      <c r="BK68" s="684"/>
      <c r="BL68" s="684"/>
      <c r="BM68" s="684"/>
      <c r="BN68" s="684"/>
      <c r="BO68" s="684"/>
      <c r="BP68" s="684"/>
      <c r="CA68" s="684"/>
      <c r="CB68" s="684"/>
      <c r="CC68" s="684"/>
      <c r="CD68" s="729" t="s">
        <v>928</v>
      </c>
      <c r="CE68" s="730">
        <v>6562.4260000000004</v>
      </c>
      <c r="CF68" s="730">
        <v>6662.7151180000001</v>
      </c>
      <c r="CG68" s="730">
        <v>6564</v>
      </c>
      <c r="CH68" s="738">
        <v>6063.8</v>
      </c>
      <c r="CI68" s="734">
        <f>CF68/CH68-1</f>
        <v>9.8768943236914097E-2</v>
      </c>
      <c r="CJ68" s="684"/>
      <c r="CK68" s="684"/>
      <c r="CL68" s="684"/>
      <c r="CM68" s="684"/>
      <c r="CN68" s="684"/>
      <c r="CO68" s="684"/>
      <c r="CP68" s="684"/>
      <c r="CQ68" s="684"/>
      <c r="CR68" s="684"/>
      <c r="CS68" s="684"/>
      <c r="CT68" s="684"/>
      <c r="CU68" s="684"/>
      <c r="CV68" s="684"/>
      <c r="CW68" s="684"/>
      <c r="CX68" s="684"/>
      <c r="CY68" s="684"/>
      <c r="CZ68" s="684"/>
      <c r="DA68" s="684"/>
      <c r="DB68" s="684"/>
      <c r="DC68" s="684"/>
      <c r="DD68" s="684"/>
      <c r="DE68" s="684"/>
      <c r="DF68" s="684"/>
      <c r="DG68" s="684"/>
      <c r="DH68" s="684"/>
      <c r="DI68" s="684"/>
      <c r="DJ68" s="684"/>
      <c r="DK68" s="684"/>
      <c r="DL68" s="684"/>
      <c r="DM68" s="684"/>
      <c r="DN68" s="684"/>
      <c r="DO68" s="684"/>
      <c r="DP68" s="684"/>
      <c r="DQ68" s="684"/>
      <c r="DR68" s="684"/>
      <c r="DS68" s="684"/>
      <c r="DT68" s="684"/>
      <c r="DU68" s="684"/>
      <c r="DV68" s="684"/>
      <c r="DW68" s="684"/>
      <c r="DX68" s="684"/>
      <c r="DY68" s="684"/>
      <c r="DZ68" s="684"/>
      <c r="EA68" s="684"/>
      <c r="EB68" s="684"/>
      <c r="EC68" s="684"/>
      <c r="ED68" s="684"/>
      <c r="EE68" s="684"/>
      <c r="EF68" s="684"/>
      <c r="EG68" s="684"/>
      <c r="EH68" s="684"/>
      <c r="EI68" s="684"/>
      <c r="EJ68" s="684"/>
      <c r="EK68" s="684"/>
      <c r="EL68" s="684"/>
      <c r="EM68" s="684"/>
      <c r="EN68" s="684"/>
      <c r="EO68" s="684"/>
      <c r="EP68" s="684"/>
      <c r="EQ68" s="684"/>
      <c r="ER68" s="684"/>
      <c r="ES68" s="684"/>
      <c r="ET68" s="684"/>
      <c r="EU68" s="684"/>
      <c r="EV68" s="684"/>
      <c r="EW68" s="684"/>
      <c r="EX68" s="684"/>
      <c r="EY68" s="684"/>
      <c r="EZ68" s="684"/>
      <c r="FA68" s="684"/>
      <c r="FB68" s="684"/>
      <c r="FC68" s="684"/>
    </row>
    <row r="69" spans="1:159">
      <c r="A69" s="684"/>
      <c r="B69" s="684"/>
      <c r="C69" s="684"/>
      <c r="D69" s="684"/>
      <c r="E69" s="684"/>
      <c r="F69" s="684"/>
      <c r="G69" s="684"/>
      <c r="H69" s="684"/>
      <c r="I69" s="684"/>
      <c r="J69" s="684"/>
      <c r="K69" s="684"/>
      <c r="L69" s="684"/>
      <c r="M69" s="684"/>
      <c r="N69" s="684"/>
      <c r="O69" s="684"/>
      <c r="P69" s="684"/>
      <c r="Q69" s="684"/>
      <c r="R69" s="684"/>
      <c r="S69" s="684"/>
      <c r="T69" s="684"/>
      <c r="U69" s="684"/>
      <c r="V69" s="684"/>
      <c r="W69" s="684"/>
      <c r="X69" s="684"/>
      <c r="Y69" s="684"/>
      <c r="Z69" s="684"/>
      <c r="AA69" s="684"/>
      <c r="AB69" s="684"/>
      <c r="AC69" s="684"/>
      <c r="AD69" s="684"/>
      <c r="AE69" s="684"/>
      <c r="AF69" s="684"/>
      <c r="AG69" s="684"/>
      <c r="AH69" s="684"/>
      <c r="AI69" s="684"/>
      <c r="AJ69" s="684"/>
      <c r="AK69" s="684"/>
      <c r="AL69" s="684"/>
      <c r="AM69" s="684"/>
      <c r="AN69" s="684"/>
      <c r="AO69" s="684"/>
      <c r="AP69" s="684"/>
      <c r="AQ69" s="684"/>
      <c r="AR69" s="684"/>
      <c r="AS69" s="684"/>
      <c r="AT69" s="684"/>
      <c r="AU69" s="684"/>
      <c r="AV69" s="684"/>
      <c r="AW69" s="684"/>
      <c r="AX69" s="684"/>
      <c r="AY69" s="684"/>
      <c r="AZ69" s="684"/>
      <c r="BA69" s="684"/>
      <c r="BB69" s="684"/>
      <c r="BC69" s="684"/>
      <c r="BD69" s="684"/>
      <c r="BE69" s="684"/>
      <c r="BF69" s="684"/>
      <c r="BG69" s="684"/>
      <c r="BH69" s="684"/>
      <c r="BI69" s="684"/>
      <c r="BJ69" s="684"/>
      <c r="BK69" s="684"/>
      <c r="BL69" s="684"/>
      <c r="BM69" s="684"/>
      <c r="BN69" s="684"/>
      <c r="BO69" s="684"/>
      <c r="BP69" s="684"/>
      <c r="CA69" s="684"/>
      <c r="CB69" s="684"/>
      <c r="CC69" s="684"/>
      <c r="CD69" s="700" t="s">
        <v>887</v>
      </c>
      <c r="CE69" s="701">
        <v>6022.0550000000003</v>
      </c>
      <c r="CF69" s="701">
        <v>6080.0351180000007</v>
      </c>
      <c r="CG69" s="701"/>
      <c r="CH69" s="739">
        <v>5544</v>
      </c>
      <c r="CI69" s="735">
        <f>CF69/CH69-1</f>
        <v>9.6687431096681209E-2</v>
      </c>
      <c r="CJ69" s="684"/>
      <c r="CK69" s="684"/>
      <c r="CL69" s="684"/>
      <c r="CM69" s="684"/>
      <c r="CN69" s="684"/>
      <c r="CO69" s="684"/>
      <c r="CP69" s="684"/>
      <c r="CQ69" s="684"/>
      <c r="CR69" s="684"/>
      <c r="CS69" s="684"/>
      <c r="CT69" s="684"/>
      <c r="CU69" s="684"/>
      <c r="CV69" s="684"/>
      <c r="CW69" s="684"/>
      <c r="CX69" s="684"/>
      <c r="CY69" s="684"/>
      <c r="CZ69" s="684"/>
      <c r="DA69" s="684"/>
      <c r="DB69" s="684"/>
      <c r="DC69" s="684"/>
      <c r="DD69" s="684"/>
      <c r="DE69" s="684"/>
      <c r="DF69" s="684"/>
      <c r="DG69" s="684"/>
      <c r="DH69" s="684"/>
      <c r="DI69" s="684"/>
      <c r="DJ69" s="684"/>
      <c r="DK69" s="684"/>
      <c r="DL69" s="684"/>
      <c r="DM69" s="684"/>
      <c r="DN69" s="684"/>
      <c r="DO69" s="684"/>
      <c r="DP69" s="684"/>
      <c r="DQ69" s="684"/>
      <c r="DR69" s="684"/>
      <c r="DS69" s="684"/>
      <c r="DT69" s="684"/>
      <c r="DU69" s="684"/>
      <c r="DV69" s="684"/>
      <c r="DW69" s="684"/>
      <c r="DX69" s="684"/>
      <c r="DY69" s="684"/>
      <c r="DZ69" s="684"/>
      <c r="EA69" s="684"/>
      <c r="EB69" s="684"/>
      <c r="EC69" s="684"/>
      <c r="ED69" s="684"/>
      <c r="EE69" s="684"/>
      <c r="EF69" s="684"/>
      <c r="EG69" s="684"/>
      <c r="EH69" s="684"/>
      <c r="EI69" s="684"/>
      <c r="EJ69" s="684"/>
      <c r="EK69" s="684"/>
      <c r="EL69" s="684"/>
      <c r="EM69" s="684"/>
      <c r="EN69" s="684"/>
      <c r="EO69" s="684"/>
      <c r="EP69" s="684"/>
      <c r="EQ69" s="684"/>
      <c r="ER69" s="684"/>
      <c r="ES69" s="684"/>
      <c r="ET69" s="684"/>
      <c r="EU69" s="684"/>
      <c r="EV69" s="684"/>
      <c r="EW69" s="684"/>
      <c r="EX69" s="684"/>
      <c r="EY69" s="684"/>
      <c r="EZ69" s="684"/>
      <c r="FA69" s="684"/>
      <c r="FB69" s="684"/>
      <c r="FC69" s="684"/>
    </row>
    <row r="70" spans="1:159">
      <c r="A70" s="684"/>
      <c r="B70" s="684"/>
      <c r="C70" s="684"/>
      <c r="D70" s="684"/>
      <c r="E70" s="684"/>
      <c r="F70" s="684"/>
      <c r="G70" s="703"/>
      <c r="H70" s="703"/>
      <c r="I70" s="703"/>
      <c r="J70" s="703"/>
      <c r="K70" s="703"/>
      <c r="L70" s="703"/>
      <c r="M70" s="703"/>
      <c r="N70" s="703"/>
      <c r="O70" s="703"/>
      <c r="P70" s="684"/>
      <c r="Q70" s="684"/>
      <c r="R70" s="684"/>
      <c r="S70" s="684"/>
      <c r="T70" s="684"/>
      <c r="U70" s="684"/>
      <c r="V70" s="684"/>
      <c r="W70" s="684"/>
      <c r="X70" s="684"/>
      <c r="Y70" s="684"/>
      <c r="Z70" s="684"/>
      <c r="AA70" s="684"/>
      <c r="AB70" s="684"/>
      <c r="AC70" s="684"/>
      <c r="AD70" s="684"/>
      <c r="AE70" s="684"/>
      <c r="AF70" s="684"/>
      <c r="AG70" s="684"/>
      <c r="AH70" s="684"/>
      <c r="AI70" s="684"/>
      <c r="AJ70" s="684"/>
      <c r="AK70" s="684"/>
      <c r="AL70" s="684"/>
      <c r="AM70" s="684"/>
      <c r="AN70" s="684"/>
      <c r="AO70" s="684"/>
      <c r="AP70" s="684"/>
      <c r="AQ70" s="684"/>
      <c r="AR70" s="684"/>
      <c r="AS70" s="684"/>
      <c r="AT70" s="684"/>
      <c r="AU70" s="684"/>
      <c r="AV70" s="684"/>
      <c r="AW70" s="684"/>
      <c r="AX70" s="684"/>
      <c r="AY70" s="684"/>
      <c r="AZ70" s="684"/>
      <c r="BA70" s="684"/>
      <c r="BB70" s="684"/>
      <c r="BC70" s="684"/>
      <c r="BD70" s="684"/>
      <c r="BE70" s="684"/>
      <c r="BF70" s="684"/>
      <c r="BG70" s="684"/>
      <c r="BH70" s="684"/>
      <c r="BI70" s="684"/>
      <c r="BJ70" s="684"/>
      <c r="BK70" s="684"/>
      <c r="BL70" s="684"/>
      <c r="BM70" s="684"/>
      <c r="BN70" s="684"/>
      <c r="BO70" s="684"/>
      <c r="BP70" s="684"/>
      <c r="CA70" s="684"/>
      <c r="CB70" s="684"/>
      <c r="CC70" s="684"/>
      <c r="CD70" s="731"/>
      <c r="CE70" s="732"/>
      <c r="CF70" s="732"/>
      <c r="CG70" s="732"/>
      <c r="CH70" s="740"/>
      <c r="CI70" s="736"/>
      <c r="CJ70" s="684"/>
      <c r="CK70" s="684"/>
      <c r="CL70" s="684"/>
      <c r="CM70" s="684"/>
      <c r="CN70" s="684"/>
      <c r="CO70" s="684"/>
      <c r="CP70" s="684"/>
      <c r="CQ70" s="684"/>
      <c r="CR70" s="684"/>
      <c r="CS70" s="684"/>
      <c r="CT70" s="684"/>
      <c r="CU70" s="684"/>
      <c r="CV70" s="684"/>
      <c r="CW70" s="684"/>
      <c r="CX70" s="684"/>
      <c r="CY70" s="684"/>
      <c r="CZ70" s="684"/>
      <c r="DA70" s="684"/>
      <c r="DB70" s="684"/>
      <c r="DC70" s="684"/>
      <c r="DD70" s="684"/>
      <c r="DE70" s="684"/>
      <c r="DF70" s="684"/>
      <c r="DG70" s="684"/>
      <c r="DH70" s="684"/>
      <c r="DI70" s="684"/>
      <c r="DJ70" s="684"/>
      <c r="DK70" s="684"/>
      <c r="DL70" s="684"/>
      <c r="DM70" s="684"/>
      <c r="DN70" s="684"/>
      <c r="DO70" s="684"/>
      <c r="DP70" s="684"/>
      <c r="DQ70" s="684"/>
      <c r="DR70" s="684"/>
      <c r="DS70" s="684"/>
      <c r="DT70" s="684"/>
      <c r="DU70" s="684"/>
      <c r="DV70" s="684"/>
      <c r="DW70" s="684"/>
      <c r="DX70" s="684"/>
      <c r="DY70" s="684"/>
      <c r="DZ70" s="684"/>
      <c r="EA70" s="684"/>
      <c r="EB70" s="684"/>
      <c r="EC70" s="684"/>
      <c r="ED70" s="684"/>
      <c r="EE70" s="684"/>
      <c r="EF70" s="684"/>
      <c r="EG70" s="684"/>
      <c r="EH70" s="684"/>
      <c r="EI70" s="684"/>
      <c r="EJ70" s="684"/>
      <c r="EK70" s="684"/>
      <c r="EL70" s="684"/>
      <c r="EM70" s="684"/>
      <c r="EN70" s="684"/>
      <c r="EO70" s="684"/>
      <c r="EP70" s="684"/>
      <c r="EQ70" s="684"/>
      <c r="ER70" s="684"/>
      <c r="ES70" s="684"/>
      <c r="ET70" s="684"/>
      <c r="EU70" s="684"/>
      <c r="EV70" s="684"/>
      <c r="EW70" s="684"/>
      <c r="EX70" s="684"/>
      <c r="EY70" s="684"/>
      <c r="EZ70" s="684"/>
      <c r="FA70" s="684"/>
      <c r="FB70" s="684"/>
      <c r="FC70" s="684"/>
    </row>
    <row r="71" spans="1:159">
      <c r="A71" s="684"/>
      <c r="B71" s="684"/>
      <c r="C71" s="684"/>
      <c r="D71" s="684"/>
      <c r="E71" s="684"/>
      <c r="F71" s="684"/>
      <c r="G71" s="703"/>
      <c r="H71" s="703"/>
      <c r="I71" s="703"/>
      <c r="J71" s="703"/>
      <c r="K71" s="703"/>
      <c r="L71" s="703"/>
      <c r="M71" s="703"/>
      <c r="N71" s="703"/>
      <c r="O71" s="703"/>
      <c r="P71" s="684"/>
      <c r="Q71" s="684"/>
      <c r="R71" s="684"/>
      <c r="S71" s="684"/>
      <c r="T71" s="684"/>
      <c r="U71" s="684"/>
      <c r="V71" s="684"/>
      <c r="W71" s="684"/>
      <c r="X71" s="684"/>
      <c r="Y71" s="684"/>
      <c r="Z71" s="684"/>
      <c r="AA71" s="684"/>
      <c r="AB71" s="684"/>
      <c r="AC71" s="684"/>
      <c r="AD71" s="684"/>
      <c r="AE71" s="684"/>
      <c r="AF71" s="684"/>
      <c r="AG71" s="684"/>
      <c r="AH71" s="684"/>
      <c r="AI71" s="684"/>
      <c r="AJ71" s="684"/>
      <c r="AK71" s="684"/>
      <c r="AL71" s="684"/>
      <c r="AM71" s="684"/>
      <c r="AN71" s="684"/>
      <c r="AO71" s="684"/>
      <c r="AP71" s="684"/>
      <c r="AQ71" s="684"/>
      <c r="AR71" s="684"/>
      <c r="AS71" s="684"/>
      <c r="AT71" s="684"/>
      <c r="AU71" s="684"/>
      <c r="AV71" s="684"/>
      <c r="AW71" s="684"/>
      <c r="AX71" s="684"/>
      <c r="AY71" s="684"/>
      <c r="AZ71" s="684"/>
      <c r="BA71" s="684"/>
      <c r="BB71" s="684"/>
      <c r="BC71" s="684"/>
      <c r="BD71" s="684"/>
      <c r="BE71" s="684"/>
      <c r="BF71" s="684"/>
      <c r="BG71" s="684"/>
      <c r="BH71" s="684"/>
      <c r="BI71" s="684"/>
      <c r="BJ71" s="684"/>
      <c r="BK71" s="684"/>
      <c r="BL71" s="684"/>
      <c r="BM71" s="684"/>
      <c r="BN71" s="684"/>
      <c r="BO71" s="684"/>
      <c r="BP71" s="684"/>
      <c r="CA71" s="684"/>
      <c r="CB71" s="684"/>
      <c r="CC71" s="684"/>
      <c r="CD71" s="702" t="s">
        <v>587</v>
      </c>
      <c r="CE71" s="698">
        <f>CE72+CE73+CE74</f>
        <v>119.67899999999963</v>
      </c>
      <c r="CF71" s="698">
        <f>CF72+CF73+CF74</f>
        <v>100</v>
      </c>
      <c r="CG71" s="698"/>
      <c r="CH71" s="741">
        <f>CH72+CH73+CH74</f>
        <v>158.1560000000004</v>
      </c>
      <c r="CI71" s="737"/>
      <c r="CJ71" s="684"/>
      <c r="CK71" s="684"/>
      <c r="CL71" s="684"/>
      <c r="CM71" s="684"/>
      <c r="CN71" s="684"/>
      <c r="CO71" s="684"/>
      <c r="CP71" s="684"/>
      <c r="CQ71" s="684"/>
      <c r="CR71" s="684"/>
      <c r="CS71" s="684"/>
      <c r="CT71" s="684"/>
      <c r="CU71" s="684"/>
      <c r="CV71" s="684"/>
      <c r="CW71" s="684"/>
      <c r="CX71" s="684"/>
      <c r="CY71" s="684"/>
      <c r="CZ71" s="684"/>
      <c r="DA71" s="684"/>
      <c r="DB71" s="684"/>
      <c r="DC71" s="684"/>
      <c r="DD71" s="684"/>
      <c r="DE71" s="684"/>
      <c r="DF71" s="684"/>
      <c r="DG71" s="684"/>
      <c r="DH71" s="684"/>
      <c r="DI71" s="684"/>
      <c r="DJ71" s="684"/>
      <c r="DK71" s="684"/>
      <c r="DL71" s="684"/>
      <c r="DM71" s="684"/>
      <c r="DN71" s="684"/>
      <c r="DO71" s="684"/>
      <c r="DP71" s="684"/>
      <c r="DQ71" s="684"/>
      <c r="DR71" s="684"/>
      <c r="DS71" s="684"/>
      <c r="DT71" s="684"/>
      <c r="DU71" s="684"/>
      <c r="DV71" s="684"/>
      <c r="DW71" s="684"/>
      <c r="DX71" s="684"/>
      <c r="DY71" s="684"/>
      <c r="DZ71" s="684"/>
      <c r="EA71" s="684"/>
      <c r="EB71" s="684"/>
      <c r="EC71" s="684"/>
      <c r="ED71" s="684"/>
      <c r="EE71" s="684"/>
      <c r="EF71" s="684"/>
      <c r="EG71" s="684"/>
      <c r="EH71" s="684"/>
      <c r="EI71" s="684"/>
      <c r="EJ71" s="684"/>
      <c r="EK71" s="684"/>
      <c r="EL71" s="684"/>
      <c r="EM71" s="684"/>
      <c r="EN71" s="684"/>
      <c r="EO71" s="684"/>
      <c r="EP71" s="684"/>
      <c r="EQ71" s="684"/>
      <c r="ER71" s="684"/>
      <c r="ES71" s="684"/>
      <c r="ET71" s="684"/>
      <c r="EU71" s="684"/>
      <c r="EV71" s="684"/>
      <c r="EW71" s="684"/>
      <c r="EX71" s="684"/>
      <c r="EY71" s="684"/>
      <c r="EZ71" s="684"/>
      <c r="FA71" s="684"/>
      <c r="FB71" s="684"/>
      <c r="FC71" s="684"/>
    </row>
    <row r="72" spans="1:159">
      <c r="A72" s="684"/>
      <c r="B72" s="684"/>
      <c r="C72" s="684"/>
      <c r="D72" s="684"/>
      <c r="E72" s="684"/>
      <c r="F72" s="684"/>
      <c r="G72" s="703"/>
      <c r="H72" s="703"/>
      <c r="I72" s="703"/>
      <c r="J72" s="703"/>
      <c r="K72" s="703"/>
      <c r="L72" s="703"/>
      <c r="M72" s="703"/>
      <c r="N72" s="703"/>
      <c r="O72" s="703"/>
      <c r="P72" s="684"/>
      <c r="Q72" s="684"/>
      <c r="R72" s="684"/>
      <c r="S72" s="684"/>
      <c r="T72" s="684"/>
      <c r="U72" s="684"/>
      <c r="V72" s="684"/>
      <c r="W72" s="684"/>
      <c r="X72" s="684"/>
      <c r="Y72" s="684"/>
      <c r="Z72" s="684"/>
      <c r="AA72" s="684"/>
      <c r="AB72" s="684"/>
      <c r="AC72" s="684"/>
      <c r="AD72" s="684"/>
      <c r="AE72" s="684"/>
      <c r="AF72" s="684"/>
      <c r="AG72" s="684"/>
      <c r="AH72" s="684"/>
      <c r="AI72" s="684"/>
      <c r="AJ72" s="684"/>
      <c r="AK72" s="684"/>
      <c r="AL72" s="684"/>
      <c r="AM72" s="684"/>
      <c r="AN72" s="684"/>
      <c r="AO72" s="684"/>
      <c r="AP72" s="684"/>
      <c r="AQ72" s="684"/>
      <c r="AR72" s="684"/>
      <c r="AS72" s="684"/>
      <c r="AT72" s="684"/>
      <c r="AU72" s="684"/>
      <c r="AV72" s="684"/>
      <c r="AW72" s="684"/>
      <c r="AX72" s="684"/>
      <c r="AY72" s="684"/>
      <c r="AZ72" s="684"/>
      <c r="BA72" s="684"/>
      <c r="BB72" s="684"/>
      <c r="BC72" s="684"/>
      <c r="BD72" s="684"/>
      <c r="BE72" s="684"/>
      <c r="BF72" s="684"/>
      <c r="BG72" s="684"/>
      <c r="BH72" s="684"/>
      <c r="BI72" s="684"/>
      <c r="BJ72" s="684"/>
      <c r="BK72" s="684"/>
      <c r="BL72" s="684"/>
      <c r="BM72" s="684"/>
      <c r="BN72" s="684"/>
      <c r="BO72" s="684"/>
      <c r="BP72" s="684"/>
      <c r="CA72" s="684"/>
      <c r="CB72" s="684"/>
      <c r="CC72" s="684"/>
      <c r="CD72" s="731" t="s">
        <v>6</v>
      </c>
      <c r="CE72" s="746">
        <v>2.1779999999998836</v>
      </c>
      <c r="CF72" s="746">
        <v>10</v>
      </c>
      <c r="CG72" s="746"/>
      <c r="CH72" s="740">
        <v>21.733000000000175</v>
      </c>
      <c r="CI72" s="736"/>
      <c r="CJ72" s="684"/>
      <c r="CK72" s="684"/>
      <c r="CL72" s="684"/>
      <c r="CM72" s="684"/>
      <c r="CN72" s="684"/>
      <c r="CO72" s="684"/>
      <c r="CP72" s="684"/>
      <c r="CQ72" s="684"/>
      <c r="CR72" s="684"/>
      <c r="CS72" s="684"/>
      <c r="CT72" s="684"/>
      <c r="CU72" s="684"/>
      <c r="CV72" s="684"/>
      <c r="CW72" s="684"/>
      <c r="CX72" s="684"/>
      <c r="CY72" s="684"/>
      <c r="CZ72" s="684"/>
      <c r="DA72" s="684"/>
      <c r="DB72" s="684"/>
      <c r="DC72" s="684"/>
      <c r="DD72" s="684"/>
      <c r="DE72" s="684"/>
      <c r="DF72" s="684"/>
      <c r="DG72" s="684"/>
      <c r="DH72" s="684"/>
      <c r="DI72" s="684"/>
      <c r="DJ72" s="684"/>
      <c r="DK72" s="684"/>
      <c r="DL72" s="684"/>
      <c r="DM72" s="684"/>
      <c r="DN72" s="684"/>
      <c r="DO72" s="684"/>
      <c r="DP72" s="684"/>
      <c r="DQ72" s="684"/>
      <c r="DR72" s="684"/>
      <c r="DS72" s="684"/>
      <c r="DT72" s="684"/>
      <c r="DU72" s="684"/>
      <c r="DV72" s="684"/>
      <c r="DW72" s="684"/>
      <c r="DX72" s="684"/>
      <c r="DY72" s="684"/>
      <c r="DZ72" s="684"/>
      <c r="EA72" s="684"/>
      <c r="EB72" s="684"/>
      <c r="EC72" s="684"/>
      <c r="ED72" s="684"/>
      <c r="EE72" s="684"/>
      <c r="EF72" s="684"/>
      <c r="EG72" s="684"/>
      <c r="EH72" s="684"/>
      <c r="EI72" s="684"/>
      <c r="EJ72" s="684"/>
      <c r="EK72" s="684"/>
      <c r="EL72" s="684"/>
      <c r="EM72" s="684"/>
      <c r="EN72" s="684"/>
      <c r="EO72" s="684"/>
      <c r="EP72" s="684"/>
      <c r="EQ72" s="684"/>
      <c r="ER72" s="684"/>
      <c r="ES72" s="684"/>
      <c r="ET72" s="684"/>
      <c r="EU72" s="684"/>
      <c r="EV72" s="684"/>
      <c r="EW72" s="684"/>
      <c r="EX72" s="684"/>
      <c r="EY72" s="684"/>
      <c r="EZ72" s="684"/>
      <c r="FA72" s="684"/>
      <c r="FB72" s="684"/>
      <c r="FC72" s="684"/>
    </row>
    <row r="73" spans="1:159">
      <c r="A73" s="684"/>
      <c r="B73" s="684"/>
      <c r="C73" s="684"/>
      <c r="D73" s="684"/>
      <c r="E73" s="684"/>
      <c r="F73" s="684"/>
      <c r="G73" s="703"/>
      <c r="H73" s="703"/>
      <c r="I73" s="703"/>
      <c r="J73" s="703"/>
      <c r="K73" s="703"/>
      <c r="L73" s="703"/>
      <c r="M73" s="703"/>
      <c r="N73" s="703"/>
      <c r="O73" s="703"/>
      <c r="P73" s="684"/>
      <c r="Q73" s="684"/>
      <c r="R73" s="684"/>
      <c r="S73" s="684"/>
      <c r="T73" s="684"/>
      <c r="U73" s="684"/>
      <c r="V73" s="684"/>
      <c r="W73" s="684"/>
      <c r="X73" s="684"/>
      <c r="Y73" s="684"/>
      <c r="Z73" s="684"/>
      <c r="AA73" s="684"/>
      <c r="AB73" s="684"/>
      <c r="AC73" s="684"/>
      <c r="AD73" s="684"/>
      <c r="AE73" s="684"/>
      <c r="AF73" s="684"/>
      <c r="AG73" s="684"/>
      <c r="AH73" s="684"/>
      <c r="AI73" s="684"/>
      <c r="AJ73" s="684"/>
      <c r="AK73" s="684"/>
      <c r="AL73" s="684"/>
      <c r="AM73" s="684"/>
      <c r="AN73" s="684"/>
      <c r="AO73" s="684"/>
      <c r="AP73" s="684"/>
      <c r="AQ73" s="684"/>
      <c r="AR73" s="684"/>
      <c r="AS73" s="684"/>
      <c r="AT73" s="684"/>
      <c r="AU73" s="684"/>
      <c r="AV73" s="684"/>
      <c r="AW73" s="684"/>
      <c r="AX73" s="684"/>
      <c r="AY73" s="684"/>
      <c r="AZ73" s="684"/>
      <c r="BA73" s="684"/>
      <c r="BB73" s="684"/>
      <c r="BC73" s="684"/>
      <c r="BD73" s="684"/>
      <c r="BE73" s="684"/>
      <c r="BF73" s="684"/>
      <c r="BG73" s="684"/>
      <c r="BH73" s="684"/>
      <c r="BI73" s="684"/>
      <c r="BJ73" s="684"/>
      <c r="BK73" s="684"/>
      <c r="BL73" s="684"/>
      <c r="BM73" s="684"/>
      <c r="BN73" s="684"/>
      <c r="BO73" s="684"/>
      <c r="BP73" s="684"/>
      <c r="CA73" s="684"/>
      <c r="CB73" s="684"/>
      <c r="CC73" s="684"/>
      <c r="CD73" s="700" t="s">
        <v>519</v>
      </c>
      <c r="CE73" s="701">
        <v>59.403999999999996</v>
      </c>
      <c r="CF73" s="701">
        <v>50</v>
      </c>
      <c r="CG73" s="701"/>
      <c r="CH73" s="739">
        <v>58</v>
      </c>
      <c r="CI73" s="737"/>
      <c r="CJ73" s="684"/>
      <c r="CK73" s="684"/>
      <c r="CL73" s="684"/>
      <c r="CM73" s="684"/>
      <c r="CN73" s="684"/>
      <c r="CO73" s="684"/>
      <c r="CP73" s="684"/>
      <c r="CQ73" s="684"/>
      <c r="CR73" s="684"/>
      <c r="CS73" s="684"/>
      <c r="CT73" s="684"/>
      <c r="CU73" s="684"/>
      <c r="CV73" s="684"/>
      <c r="CW73" s="684"/>
      <c r="CX73" s="684"/>
      <c r="CY73" s="684"/>
      <c r="CZ73" s="684"/>
      <c r="DA73" s="684"/>
      <c r="DB73" s="684"/>
      <c r="DC73" s="684"/>
      <c r="DD73" s="684"/>
      <c r="DE73" s="684"/>
      <c r="DF73" s="684"/>
      <c r="DG73" s="684"/>
      <c r="DH73" s="684"/>
      <c r="DI73" s="684"/>
      <c r="DJ73" s="684"/>
      <c r="DK73" s="684"/>
      <c r="DL73" s="684"/>
      <c r="DM73" s="684"/>
      <c r="DN73" s="684"/>
      <c r="DO73" s="684"/>
      <c r="DP73" s="684"/>
      <c r="DQ73" s="684"/>
      <c r="DR73" s="684"/>
      <c r="DS73" s="684"/>
      <c r="DT73" s="684"/>
      <c r="DU73" s="684"/>
      <c r="DV73" s="684"/>
      <c r="DW73" s="684"/>
      <c r="DX73" s="684"/>
      <c r="DY73" s="684"/>
      <c r="DZ73" s="684"/>
      <c r="EA73" s="684"/>
      <c r="EB73" s="684"/>
      <c r="EC73" s="684"/>
      <c r="ED73" s="684"/>
      <c r="EE73" s="684"/>
      <c r="EF73" s="684"/>
      <c r="EG73" s="684"/>
      <c r="EH73" s="684"/>
      <c r="EI73" s="684"/>
      <c r="EJ73" s="684"/>
      <c r="EK73" s="684"/>
      <c r="EL73" s="684"/>
      <c r="EM73" s="684"/>
      <c r="EN73" s="684"/>
      <c r="EO73" s="684"/>
      <c r="EP73" s="684"/>
      <c r="EQ73" s="684"/>
      <c r="ER73" s="684"/>
      <c r="ES73" s="684"/>
      <c r="ET73" s="684"/>
      <c r="EU73" s="684"/>
      <c r="EV73" s="684"/>
      <c r="EW73" s="684"/>
      <c r="EX73" s="684"/>
      <c r="EY73" s="684"/>
      <c r="EZ73" s="684"/>
      <c r="FA73" s="684"/>
      <c r="FB73" s="684"/>
      <c r="FC73" s="684"/>
    </row>
    <row r="74" spans="1:159">
      <c r="A74" s="684"/>
      <c r="B74" s="684"/>
      <c r="C74" s="684"/>
      <c r="D74" s="684"/>
      <c r="E74" s="684"/>
      <c r="F74" s="684"/>
      <c r="G74" s="703"/>
      <c r="H74" s="703"/>
      <c r="I74" s="703"/>
      <c r="J74" s="703"/>
      <c r="K74" s="703"/>
      <c r="L74" s="703"/>
      <c r="M74" s="703"/>
      <c r="N74" s="703"/>
      <c r="O74" s="703"/>
      <c r="P74" s="684"/>
      <c r="Q74" s="684"/>
      <c r="R74" s="684"/>
      <c r="S74" s="684"/>
      <c r="T74" s="684"/>
      <c r="U74" s="684"/>
      <c r="V74" s="684"/>
      <c r="W74" s="684"/>
      <c r="X74" s="684"/>
      <c r="Y74" s="684"/>
      <c r="Z74" s="684"/>
      <c r="AA74" s="684"/>
      <c r="AB74" s="684"/>
      <c r="AC74" s="684"/>
      <c r="AD74" s="684"/>
      <c r="AE74" s="684"/>
      <c r="AF74" s="684"/>
      <c r="AG74" s="684"/>
      <c r="AH74" s="684"/>
      <c r="AI74" s="684"/>
      <c r="AJ74" s="684"/>
      <c r="AK74" s="684"/>
      <c r="AL74" s="684"/>
      <c r="AM74" s="684"/>
      <c r="AN74" s="684"/>
      <c r="AO74" s="684"/>
      <c r="AP74" s="684"/>
      <c r="AQ74" s="684"/>
      <c r="AR74" s="684"/>
      <c r="AS74" s="684"/>
      <c r="AT74" s="684"/>
      <c r="AU74" s="684"/>
      <c r="AV74" s="684"/>
      <c r="AW74" s="684"/>
      <c r="AX74" s="684"/>
      <c r="AY74" s="684"/>
      <c r="AZ74" s="684"/>
      <c r="BA74" s="684"/>
      <c r="BB74" s="684"/>
      <c r="BC74" s="684"/>
      <c r="BD74" s="684"/>
      <c r="BE74" s="684"/>
      <c r="BF74" s="684"/>
      <c r="BG74" s="684"/>
      <c r="BH74" s="684"/>
      <c r="BI74" s="684"/>
      <c r="BJ74" s="684"/>
      <c r="BK74" s="684"/>
      <c r="BL74" s="684"/>
      <c r="BM74" s="684"/>
      <c r="BN74" s="684"/>
      <c r="BO74" s="684"/>
      <c r="BP74" s="684"/>
      <c r="CA74" s="684"/>
      <c r="CB74" s="684"/>
      <c r="CC74" s="684"/>
      <c r="CD74" s="731" t="s">
        <v>518</v>
      </c>
      <c r="CE74" s="732">
        <v>58.096999999999753</v>
      </c>
      <c r="CF74" s="732">
        <v>40</v>
      </c>
      <c r="CG74" s="732"/>
      <c r="CH74" s="740">
        <v>78.423000000000229</v>
      </c>
      <c r="CI74" s="736"/>
      <c r="CJ74" s="684"/>
      <c r="CK74" s="684"/>
      <c r="CL74" s="684"/>
      <c r="CM74" s="684"/>
      <c r="CN74" s="684"/>
      <c r="CO74" s="684"/>
      <c r="CP74" s="684"/>
      <c r="CQ74" s="684"/>
      <c r="CR74" s="684"/>
      <c r="CS74" s="684"/>
      <c r="CT74" s="684"/>
      <c r="CU74" s="684"/>
      <c r="CV74" s="684"/>
      <c r="CW74" s="684"/>
      <c r="CX74" s="684"/>
      <c r="CY74" s="684"/>
      <c r="CZ74" s="684"/>
      <c r="DA74" s="684"/>
      <c r="DB74" s="684"/>
      <c r="DC74" s="684"/>
      <c r="DD74" s="684"/>
      <c r="DE74" s="684"/>
      <c r="DF74" s="684"/>
      <c r="DG74" s="684"/>
      <c r="DH74" s="684"/>
      <c r="DI74" s="684"/>
      <c r="DJ74" s="684"/>
      <c r="DK74" s="684"/>
      <c r="DL74" s="684"/>
      <c r="DM74" s="684"/>
      <c r="DN74" s="684"/>
      <c r="DO74" s="684"/>
      <c r="DP74" s="684"/>
      <c r="DQ74" s="684"/>
      <c r="DR74" s="684"/>
      <c r="DS74" s="684"/>
      <c r="DT74" s="684"/>
      <c r="DU74" s="684"/>
      <c r="DV74" s="684"/>
      <c r="DW74" s="684"/>
      <c r="DX74" s="684"/>
      <c r="DY74" s="684"/>
      <c r="DZ74" s="684"/>
      <c r="EA74" s="684"/>
      <c r="EB74" s="684"/>
      <c r="EC74" s="684"/>
      <c r="ED74" s="684"/>
      <c r="EE74" s="684"/>
      <c r="EF74" s="684"/>
      <c r="EG74" s="684"/>
      <c r="EH74" s="684"/>
      <c r="EI74" s="684"/>
      <c r="EJ74" s="684"/>
      <c r="EK74" s="684"/>
      <c r="EL74" s="684"/>
      <c r="EM74" s="684"/>
      <c r="EN74" s="684"/>
      <c r="EO74" s="684"/>
      <c r="EP74" s="684"/>
      <c r="EQ74" s="684"/>
      <c r="ER74" s="684"/>
      <c r="ES74" s="684"/>
      <c r="ET74" s="684"/>
      <c r="EU74" s="684"/>
      <c r="EV74" s="684"/>
      <c r="EW74" s="684"/>
      <c r="EX74" s="684"/>
      <c r="EY74" s="684"/>
      <c r="EZ74" s="684"/>
      <c r="FA74" s="684"/>
      <c r="FB74" s="684"/>
      <c r="FC74" s="684"/>
    </row>
    <row r="75" spans="1:159">
      <c r="A75" s="684"/>
      <c r="B75" s="684"/>
      <c r="C75" s="684"/>
      <c r="D75" s="684"/>
      <c r="E75" s="684"/>
      <c r="F75" s="684"/>
      <c r="G75" s="684"/>
      <c r="H75" s="684"/>
      <c r="I75" s="684"/>
      <c r="J75" s="684"/>
      <c r="K75" s="684"/>
      <c r="L75" s="684"/>
      <c r="M75" s="684"/>
      <c r="N75" s="684"/>
      <c r="O75" s="684"/>
      <c r="P75" s="684"/>
      <c r="Q75" s="684"/>
      <c r="R75" s="684"/>
      <c r="S75" s="684"/>
      <c r="T75" s="684"/>
      <c r="U75" s="684"/>
      <c r="V75" s="684"/>
      <c r="W75" s="684"/>
      <c r="X75" s="684"/>
      <c r="Y75" s="684"/>
      <c r="Z75" s="684"/>
      <c r="AA75" s="684"/>
      <c r="AB75" s="684"/>
      <c r="AC75" s="684"/>
      <c r="AD75" s="684"/>
      <c r="AE75" s="684"/>
      <c r="AF75" s="684"/>
      <c r="AG75" s="684"/>
      <c r="AH75" s="684"/>
      <c r="AI75" s="684"/>
      <c r="AJ75" s="684"/>
      <c r="AK75" s="684"/>
      <c r="AL75" s="684"/>
      <c r="AM75" s="684"/>
      <c r="AN75" s="684"/>
      <c r="AO75" s="684"/>
      <c r="AP75" s="684"/>
      <c r="AQ75" s="684"/>
      <c r="AR75" s="684"/>
      <c r="AS75" s="684"/>
      <c r="AT75" s="684"/>
      <c r="AU75" s="684"/>
      <c r="AV75" s="684"/>
      <c r="AW75" s="684"/>
      <c r="AX75" s="684"/>
      <c r="AY75" s="684"/>
      <c r="AZ75" s="684"/>
      <c r="BA75" s="684"/>
      <c r="BB75" s="684"/>
      <c r="BC75" s="684"/>
      <c r="BD75" s="684"/>
      <c r="BE75" s="684"/>
      <c r="BF75" s="684"/>
      <c r="BG75" s="684"/>
      <c r="BH75" s="684"/>
      <c r="BI75" s="684"/>
      <c r="BJ75" s="684"/>
      <c r="BK75" s="684"/>
      <c r="BL75" s="684"/>
      <c r="BM75" s="684"/>
      <c r="BN75" s="684"/>
      <c r="BO75" s="684"/>
      <c r="BP75" s="684"/>
      <c r="CA75" s="684"/>
      <c r="CB75" s="684"/>
      <c r="CC75" s="684"/>
      <c r="CD75" s="700"/>
      <c r="CE75" s="701"/>
      <c r="CF75" s="701"/>
      <c r="CG75" s="701"/>
      <c r="CH75" s="739"/>
      <c r="CI75" s="735"/>
      <c r="CJ75" s="684"/>
      <c r="CK75" s="684"/>
      <c r="CL75" s="684"/>
      <c r="CM75" s="684"/>
      <c r="CN75" s="684"/>
      <c r="CO75" s="684"/>
      <c r="CP75" s="684"/>
      <c r="CQ75" s="684"/>
      <c r="CR75" s="684"/>
      <c r="CS75" s="684"/>
      <c r="CT75" s="684"/>
      <c r="CU75" s="684"/>
      <c r="CV75" s="684"/>
      <c r="CW75" s="684"/>
      <c r="CX75" s="684"/>
      <c r="CY75" s="684"/>
      <c r="CZ75" s="684"/>
      <c r="DA75" s="684"/>
      <c r="DB75" s="684"/>
      <c r="DC75" s="684"/>
      <c r="DD75" s="684"/>
      <c r="DE75" s="684"/>
      <c r="DF75" s="684"/>
      <c r="DG75" s="684"/>
      <c r="DH75" s="684"/>
      <c r="DI75" s="684"/>
      <c r="DJ75" s="684"/>
      <c r="DK75" s="684"/>
      <c r="DL75" s="684"/>
      <c r="DM75" s="684"/>
      <c r="DN75" s="684"/>
      <c r="DO75" s="684"/>
      <c r="DP75" s="684"/>
      <c r="DQ75" s="684"/>
      <c r="DR75" s="684"/>
      <c r="DS75" s="684"/>
      <c r="DT75" s="684"/>
      <c r="DU75" s="684"/>
      <c r="DV75" s="684"/>
      <c r="DW75" s="684"/>
      <c r="DX75" s="684"/>
      <c r="DY75" s="684"/>
      <c r="DZ75" s="684"/>
      <c r="EA75" s="684"/>
      <c r="EB75" s="684"/>
      <c r="EC75" s="684"/>
      <c r="ED75" s="684"/>
      <c r="EE75" s="684"/>
      <c r="EF75" s="684"/>
      <c r="EG75" s="684"/>
      <c r="EH75" s="684"/>
      <c r="EI75" s="684"/>
      <c r="EJ75" s="684"/>
      <c r="EK75" s="684"/>
      <c r="EL75" s="684"/>
      <c r="EM75" s="684"/>
      <c r="EN75" s="684"/>
      <c r="EO75" s="684"/>
      <c r="EP75" s="684"/>
      <c r="EQ75" s="684"/>
      <c r="ER75" s="684"/>
      <c r="ES75" s="684"/>
      <c r="ET75" s="684"/>
      <c r="EU75" s="684"/>
      <c r="EV75" s="684"/>
      <c r="EW75" s="684"/>
      <c r="EX75" s="684"/>
      <c r="EY75" s="684"/>
      <c r="EZ75" s="684"/>
      <c r="FA75" s="684"/>
      <c r="FB75" s="684"/>
      <c r="FC75" s="684"/>
    </row>
    <row r="76" spans="1:159">
      <c r="A76" s="684"/>
      <c r="B76" s="684"/>
      <c r="C76" s="684"/>
      <c r="D76" s="684"/>
      <c r="E76" s="684"/>
      <c r="F76" s="684"/>
      <c r="G76" s="684"/>
      <c r="H76" s="684"/>
      <c r="I76" s="684"/>
      <c r="J76" s="684"/>
      <c r="K76" s="684"/>
      <c r="L76" s="684"/>
      <c r="M76" s="684"/>
      <c r="N76" s="684"/>
      <c r="O76" s="684"/>
      <c r="P76" s="684"/>
      <c r="Q76" s="684"/>
      <c r="R76" s="684"/>
      <c r="S76" s="684"/>
      <c r="T76" s="684"/>
      <c r="U76" s="684"/>
      <c r="V76" s="684"/>
      <c r="W76" s="684"/>
      <c r="X76" s="684"/>
      <c r="Y76" s="684"/>
      <c r="Z76" s="684"/>
      <c r="AA76" s="684"/>
      <c r="AB76" s="684"/>
      <c r="AC76" s="684"/>
      <c r="AD76" s="684"/>
      <c r="AE76" s="684"/>
      <c r="AF76" s="684"/>
      <c r="AG76" s="684"/>
      <c r="AH76" s="684"/>
      <c r="AI76" s="684"/>
      <c r="AJ76" s="684"/>
      <c r="AK76" s="684"/>
      <c r="AL76" s="684"/>
      <c r="AM76" s="684"/>
      <c r="AN76" s="684"/>
      <c r="AO76" s="684"/>
      <c r="AP76" s="684"/>
      <c r="AQ76" s="684"/>
      <c r="AR76" s="684"/>
      <c r="AS76" s="684"/>
      <c r="AT76" s="684"/>
      <c r="AU76" s="684"/>
      <c r="AV76" s="684"/>
      <c r="AW76" s="684"/>
      <c r="AX76" s="684"/>
      <c r="AY76" s="684"/>
      <c r="AZ76" s="684"/>
      <c r="BA76" s="684"/>
      <c r="BB76" s="684"/>
      <c r="BC76" s="684"/>
      <c r="BD76" s="684"/>
      <c r="BE76" s="684"/>
      <c r="BF76" s="684"/>
      <c r="BG76" s="684"/>
      <c r="BH76" s="684"/>
      <c r="BI76" s="684"/>
      <c r="BJ76" s="684"/>
      <c r="BK76" s="684"/>
      <c r="BL76" s="684"/>
      <c r="BM76" s="684"/>
      <c r="BN76" s="684"/>
      <c r="BO76" s="684"/>
      <c r="BP76" s="684"/>
      <c r="CA76" s="684"/>
      <c r="CB76" s="684"/>
      <c r="CC76" s="684"/>
      <c r="CD76" s="729" t="s">
        <v>924</v>
      </c>
      <c r="CE76" s="730">
        <v>3228.4879999999998</v>
      </c>
      <c r="CF76" s="730">
        <v>3299.8430155340002</v>
      </c>
      <c r="CG76" s="730">
        <v>3218</v>
      </c>
      <c r="CH76" s="738">
        <v>3011</v>
      </c>
      <c r="CI76" s="734">
        <f>CF76/CH76-1</f>
        <v>9.5929264541348536E-2</v>
      </c>
      <c r="CJ76" s="684"/>
      <c r="CK76" s="684"/>
      <c r="CL76" s="684"/>
      <c r="CM76" s="684"/>
      <c r="CN76" s="684"/>
      <c r="CO76" s="684"/>
      <c r="CP76" s="684"/>
      <c r="CQ76" s="684"/>
      <c r="CR76" s="684"/>
      <c r="CS76" s="684"/>
      <c r="CT76" s="684"/>
      <c r="CU76" s="684"/>
      <c r="CV76" s="684"/>
      <c r="CW76" s="684"/>
      <c r="CX76" s="684"/>
      <c r="CY76" s="684"/>
      <c r="CZ76" s="684"/>
      <c r="DA76" s="684"/>
      <c r="DB76" s="684"/>
      <c r="DC76" s="684"/>
      <c r="DD76" s="684"/>
      <c r="DE76" s="684"/>
      <c r="DF76" s="684"/>
      <c r="DG76" s="684"/>
      <c r="DH76" s="684"/>
      <c r="DI76" s="684"/>
      <c r="DJ76" s="684"/>
      <c r="DK76" s="684"/>
      <c r="DL76" s="684"/>
      <c r="DM76" s="684"/>
      <c r="DN76" s="684"/>
      <c r="DO76" s="684"/>
      <c r="DP76" s="684"/>
      <c r="DQ76" s="684"/>
      <c r="DR76" s="684"/>
      <c r="DS76" s="684"/>
      <c r="DT76" s="684"/>
      <c r="DU76" s="684"/>
      <c r="DV76" s="684"/>
      <c r="DW76" s="684"/>
      <c r="DX76" s="684"/>
      <c r="DY76" s="684"/>
      <c r="DZ76" s="684"/>
      <c r="EA76" s="684"/>
      <c r="EB76" s="684"/>
      <c r="EC76" s="684"/>
      <c r="ED76" s="684"/>
      <c r="EE76" s="684"/>
      <c r="EF76" s="684"/>
      <c r="EG76" s="684"/>
      <c r="EH76" s="684"/>
      <c r="EI76" s="684"/>
      <c r="EJ76" s="684"/>
      <c r="EK76" s="684"/>
      <c r="EL76" s="684"/>
      <c r="EM76" s="684"/>
      <c r="EN76" s="684"/>
      <c r="EO76" s="684"/>
      <c r="EP76" s="684"/>
      <c r="EQ76" s="684"/>
      <c r="ER76" s="684"/>
      <c r="ES76" s="684"/>
      <c r="ET76" s="684"/>
      <c r="EU76" s="684"/>
      <c r="EV76" s="684"/>
      <c r="EW76" s="684"/>
      <c r="EX76" s="684"/>
      <c r="EY76" s="684"/>
      <c r="EZ76" s="684"/>
      <c r="FA76" s="684"/>
      <c r="FB76" s="684"/>
      <c r="FC76" s="684"/>
    </row>
    <row r="77" spans="1:159">
      <c r="A77" s="684"/>
      <c r="B77" s="684"/>
      <c r="C77" s="703"/>
      <c r="D77" s="703"/>
      <c r="E77" s="703"/>
      <c r="F77" s="703"/>
      <c r="G77" s="703"/>
      <c r="H77" s="703"/>
      <c r="I77" s="703"/>
      <c r="J77" s="703"/>
      <c r="K77" s="703"/>
      <c r="L77" s="703"/>
      <c r="M77" s="703"/>
      <c r="N77" s="703"/>
      <c r="O77" s="703"/>
      <c r="P77" s="684"/>
      <c r="Q77" s="684"/>
      <c r="R77" s="684"/>
      <c r="S77" s="684"/>
      <c r="T77" s="684"/>
      <c r="U77" s="684"/>
      <c r="V77" s="684"/>
      <c r="W77" s="684"/>
      <c r="X77" s="684"/>
      <c r="Y77" s="684"/>
      <c r="Z77" s="684"/>
      <c r="AA77" s="684"/>
      <c r="AB77" s="684"/>
      <c r="AC77" s="684"/>
      <c r="AD77" s="684"/>
      <c r="AE77" s="684"/>
      <c r="AF77" s="684"/>
      <c r="AG77" s="684"/>
      <c r="AH77" s="684"/>
      <c r="AI77" s="684"/>
      <c r="AJ77" s="684"/>
      <c r="AK77" s="684"/>
      <c r="AL77" s="684"/>
      <c r="AM77" s="684"/>
      <c r="AN77" s="684"/>
      <c r="AO77" s="684"/>
      <c r="AP77" s="684"/>
      <c r="AQ77" s="684"/>
      <c r="AR77" s="684"/>
      <c r="AS77" s="684"/>
      <c r="AT77" s="684"/>
      <c r="AU77" s="684"/>
      <c r="AV77" s="684"/>
      <c r="AW77" s="684"/>
      <c r="AX77" s="684"/>
      <c r="AY77" s="684"/>
      <c r="AZ77" s="684"/>
      <c r="BA77" s="684"/>
      <c r="BB77" s="684"/>
      <c r="BC77" s="684"/>
      <c r="BD77" s="684"/>
      <c r="BE77" s="684"/>
      <c r="BF77" s="684"/>
      <c r="BG77" s="684"/>
      <c r="BH77" s="684"/>
      <c r="BI77" s="684"/>
      <c r="BJ77" s="684"/>
      <c r="BK77" s="684"/>
      <c r="BL77" s="684"/>
      <c r="BM77" s="684"/>
      <c r="BN77" s="684"/>
      <c r="BO77" s="684"/>
      <c r="BP77" s="684"/>
      <c r="CA77" s="684"/>
      <c r="CB77" s="684"/>
      <c r="CC77" s="684"/>
      <c r="CD77" s="747" t="s">
        <v>925</v>
      </c>
      <c r="CE77" s="709">
        <v>3060.01</v>
      </c>
      <c r="CF77" s="709">
        <v>3119.0580155340003</v>
      </c>
      <c r="CG77" s="709"/>
      <c r="CH77" s="742">
        <v>2838</v>
      </c>
      <c r="CI77" s="748">
        <f>CF77/CH77-1</f>
        <v>9.9033832112050968E-2</v>
      </c>
      <c r="CJ77" s="684"/>
      <c r="CK77" s="684"/>
      <c r="CL77" s="684"/>
      <c r="CM77" s="684"/>
      <c r="CN77" s="684"/>
      <c r="CO77" s="684"/>
      <c r="CP77" s="684"/>
      <c r="CQ77" s="684"/>
      <c r="CR77" s="684"/>
      <c r="CS77" s="684"/>
      <c r="CT77" s="684"/>
      <c r="CU77" s="684"/>
      <c r="CV77" s="684"/>
      <c r="CW77" s="684"/>
      <c r="CX77" s="684"/>
      <c r="CY77" s="684"/>
      <c r="CZ77" s="684"/>
      <c r="DA77" s="684"/>
      <c r="DB77" s="684"/>
      <c r="DC77" s="684"/>
      <c r="DD77" s="684"/>
      <c r="DE77" s="684"/>
      <c r="DF77" s="684"/>
      <c r="DG77" s="684"/>
      <c r="DH77" s="684"/>
      <c r="DI77" s="684"/>
      <c r="DJ77" s="684"/>
      <c r="DK77" s="684"/>
      <c r="DL77" s="684"/>
      <c r="DM77" s="684"/>
      <c r="DN77" s="684"/>
      <c r="DO77" s="684"/>
      <c r="DP77" s="684"/>
      <c r="DQ77" s="684"/>
      <c r="DR77" s="684"/>
      <c r="DS77" s="684"/>
      <c r="DT77" s="684"/>
      <c r="DU77" s="684"/>
      <c r="DV77" s="684"/>
      <c r="DW77" s="684"/>
      <c r="DX77" s="684"/>
      <c r="DY77" s="684"/>
      <c r="DZ77" s="684"/>
      <c r="EA77" s="684"/>
      <c r="EB77" s="684"/>
      <c r="EC77" s="684"/>
      <c r="ED77" s="684"/>
      <c r="EE77" s="684"/>
      <c r="EF77" s="684"/>
      <c r="EG77" s="684"/>
      <c r="EH77" s="684"/>
      <c r="EI77" s="684"/>
      <c r="EJ77" s="684"/>
      <c r="EK77" s="684"/>
      <c r="EL77" s="684"/>
      <c r="EM77" s="684"/>
      <c r="EN77" s="684"/>
      <c r="EO77" s="684"/>
      <c r="EP77" s="684"/>
      <c r="EQ77" s="684"/>
      <c r="ER77" s="684"/>
      <c r="ES77" s="684"/>
      <c r="ET77" s="684"/>
      <c r="EU77" s="684"/>
      <c r="EV77" s="684"/>
      <c r="EW77" s="684"/>
      <c r="EX77" s="684"/>
      <c r="EY77" s="684"/>
      <c r="EZ77" s="684"/>
      <c r="FA77" s="684"/>
      <c r="FB77" s="684"/>
      <c r="FC77" s="684"/>
    </row>
    <row r="78" spans="1:159">
      <c r="A78" s="684"/>
      <c r="B78" s="684"/>
      <c r="C78" s="703"/>
      <c r="D78" s="703"/>
      <c r="E78" s="703"/>
      <c r="F78" s="703"/>
      <c r="G78" s="703"/>
      <c r="H78" s="703"/>
      <c r="I78" s="703"/>
      <c r="J78" s="703"/>
      <c r="K78" s="703"/>
      <c r="L78" s="703"/>
      <c r="M78" s="703"/>
      <c r="N78" s="703"/>
      <c r="O78" s="703"/>
      <c r="P78" s="684"/>
      <c r="Q78" s="684"/>
      <c r="R78" s="684"/>
      <c r="S78" s="684"/>
      <c r="T78" s="684"/>
      <c r="U78" s="684"/>
      <c r="V78" s="684"/>
      <c r="W78" s="684"/>
      <c r="X78" s="684"/>
      <c r="Y78" s="684"/>
      <c r="Z78" s="684"/>
      <c r="AA78" s="684"/>
      <c r="AB78" s="684"/>
      <c r="AC78" s="684"/>
      <c r="AD78" s="684"/>
      <c r="AE78" s="684"/>
      <c r="AF78" s="684"/>
      <c r="AG78" s="684"/>
      <c r="AH78" s="684"/>
      <c r="AI78" s="684"/>
      <c r="AJ78" s="684"/>
      <c r="AK78" s="684"/>
      <c r="AL78" s="684"/>
      <c r="AM78" s="684"/>
      <c r="AN78" s="684"/>
      <c r="AO78" s="684"/>
      <c r="AP78" s="684"/>
      <c r="AQ78" s="684"/>
      <c r="AR78" s="684"/>
      <c r="AS78" s="684"/>
      <c r="AT78" s="684"/>
      <c r="AU78" s="684"/>
      <c r="AV78" s="684"/>
      <c r="AW78" s="684"/>
      <c r="AX78" s="684"/>
      <c r="AY78" s="684"/>
      <c r="AZ78" s="684"/>
      <c r="BA78" s="684"/>
      <c r="BB78" s="684"/>
      <c r="BC78" s="684"/>
      <c r="BD78" s="684"/>
      <c r="BE78" s="684"/>
      <c r="BF78" s="684"/>
      <c r="BG78" s="684"/>
      <c r="BH78" s="684"/>
      <c r="BI78" s="684"/>
      <c r="BJ78" s="684"/>
      <c r="BK78" s="684"/>
      <c r="BL78" s="684"/>
      <c r="BM78" s="684"/>
      <c r="BN78" s="684"/>
      <c r="BO78" s="684"/>
      <c r="BP78" s="684"/>
      <c r="BQ78" s="684"/>
      <c r="BR78" s="684"/>
      <c r="BS78" s="684"/>
      <c r="BT78" s="684"/>
      <c r="BU78" s="684"/>
      <c r="BV78" s="684"/>
      <c r="BW78" s="684"/>
      <c r="BX78" s="684"/>
      <c r="BY78" s="684"/>
      <c r="CA78" s="684"/>
      <c r="CB78" s="684"/>
      <c r="CC78" s="684"/>
      <c r="CD78" s="684"/>
      <c r="CE78" s="684"/>
      <c r="CF78" s="684"/>
      <c r="CG78" s="684"/>
      <c r="CH78" s="684"/>
      <c r="CI78" s="684"/>
      <c r="CJ78" s="684"/>
      <c r="CK78" s="684"/>
      <c r="CL78" s="684"/>
      <c r="CM78" s="684"/>
      <c r="CN78" s="684"/>
      <c r="CO78" s="684"/>
      <c r="CP78" s="684"/>
      <c r="CQ78" s="684"/>
      <c r="CR78" s="684"/>
      <c r="CS78" s="684"/>
      <c r="CT78" s="684"/>
      <c r="CU78" s="684"/>
      <c r="CV78" s="684"/>
      <c r="CW78" s="684"/>
      <c r="CX78" s="684"/>
      <c r="CY78" s="684"/>
      <c r="CZ78" s="684"/>
      <c r="DA78" s="684"/>
      <c r="DB78" s="684"/>
      <c r="DC78" s="684"/>
      <c r="DD78" s="684"/>
      <c r="DE78" s="684"/>
      <c r="DF78" s="684"/>
      <c r="DG78" s="684"/>
      <c r="DH78" s="684"/>
      <c r="DI78" s="684"/>
      <c r="DJ78" s="684"/>
      <c r="DK78" s="684"/>
      <c r="DL78" s="684"/>
      <c r="DM78" s="684"/>
      <c r="DN78" s="684"/>
      <c r="DO78" s="684"/>
      <c r="DP78" s="684"/>
      <c r="DQ78" s="684"/>
      <c r="DR78" s="684"/>
      <c r="DS78" s="684"/>
      <c r="DT78" s="684"/>
      <c r="DU78" s="684"/>
      <c r="DV78" s="684"/>
      <c r="DW78" s="684"/>
      <c r="DX78" s="684"/>
      <c r="DY78" s="684"/>
      <c r="DZ78" s="684"/>
      <c r="EA78" s="684"/>
      <c r="EB78" s="684"/>
      <c r="EC78" s="684"/>
      <c r="ED78" s="684"/>
      <c r="EE78" s="684"/>
      <c r="EF78" s="684"/>
      <c r="EG78" s="684"/>
      <c r="EH78" s="684"/>
      <c r="EI78" s="684"/>
      <c r="EJ78" s="684"/>
      <c r="EK78" s="684"/>
      <c r="EL78" s="684"/>
      <c r="EM78" s="684"/>
      <c r="EN78" s="684"/>
      <c r="EO78" s="684"/>
      <c r="EP78" s="684"/>
      <c r="EQ78" s="684"/>
      <c r="ER78" s="684"/>
      <c r="ES78" s="684"/>
      <c r="ET78" s="684"/>
      <c r="EU78" s="684"/>
      <c r="EV78" s="684"/>
      <c r="EW78" s="684"/>
      <c r="EX78" s="684"/>
      <c r="EY78" s="684"/>
      <c r="EZ78" s="684"/>
      <c r="FA78" s="684"/>
      <c r="FB78" s="684"/>
      <c r="FC78" s="684"/>
    </row>
    <row r="79" spans="1:159">
      <c r="A79" s="684"/>
      <c r="B79" s="684"/>
      <c r="C79" s="703"/>
      <c r="D79" s="703"/>
      <c r="E79" s="703"/>
      <c r="F79" s="703"/>
      <c r="G79" s="703"/>
      <c r="H79" s="703"/>
      <c r="I79" s="703"/>
      <c r="J79" s="703"/>
      <c r="K79" s="703"/>
      <c r="L79" s="703"/>
      <c r="M79" s="703"/>
      <c r="N79" s="703"/>
      <c r="O79" s="703"/>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c r="BL79" s="684"/>
      <c r="BM79" s="684"/>
      <c r="BN79" s="684"/>
      <c r="BO79" s="684"/>
      <c r="BP79" s="684"/>
      <c r="BQ79" s="684"/>
      <c r="BR79" s="684"/>
      <c r="BS79" s="684"/>
      <c r="BT79" s="684"/>
      <c r="BU79" s="684"/>
      <c r="BV79" s="684"/>
      <c r="BW79" s="684"/>
      <c r="BX79" s="684"/>
      <c r="BY79" s="684"/>
      <c r="CA79" s="684"/>
      <c r="CB79" s="684"/>
      <c r="CC79" s="684"/>
      <c r="CD79" s="684"/>
      <c r="CE79" s="684"/>
      <c r="CF79" s="684"/>
      <c r="CG79" s="684"/>
      <c r="CH79" s="684"/>
      <c r="CI79" s="684"/>
      <c r="CJ79" s="684"/>
      <c r="CK79" s="684"/>
      <c r="CL79" s="684"/>
      <c r="CM79" s="684"/>
      <c r="CN79" s="684"/>
      <c r="CO79" s="684"/>
      <c r="CP79" s="684"/>
      <c r="CQ79" s="684"/>
      <c r="CR79" s="684"/>
      <c r="CS79" s="684"/>
      <c r="CT79" s="684"/>
      <c r="CU79" s="684"/>
      <c r="CV79" s="684"/>
      <c r="CW79" s="684"/>
      <c r="CX79" s="684"/>
      <c r="CY79" s="684"/>
      <c r="CZ79" s="684"/>
      <c r="DA79" s="684"/>
      <c r="DB79" s="684"/>
      <c r="DC79" s="684"/>
      <c r="DD79" s="684"/>
      <c r="DE79" s="684"/>
      <c r="DF79" s="684"/>
      <c r="DG79" s="684"/>
      <c r="DH79" s="684"/>
      <c r="DI79" s="684"/>
      <c r="DJ79" s="684"/>
      <c r="DK79" s="684"/>
      <c r="DL79" s="684"/>
      <c r="DM79" s="684"/>
      <c r="DN79" s="684"/>
      <c r="DO79" s="684"/>
      <c r="DP79" s="684"/>
      <c r="DQ79" s="684"/>
      <c r="DR79" s="684"/>
      <c r="DS79" s="684"/>
      <c r="DT79" s="684"/>
      <c r="DU79" s="684"/>
      <c r="DV79" s="684"/>
      <c r="DW79" s="684"/>
      <c r="DX79" s="684"/>
      <c r="DY79" s="684"/>
      <c r="DZ79" s="684"/>
      <c r="EA79" s="684"/>
      <c r="EB79" s="684"/>
      <c r="EC79" s="684"/>
      <c r="ED79" s="684"/>
      <c r="EE79" s="684"/>
      <c r="EF79" s="684"/>
      <c r="EG79" s="684"/>
      <c r="EH79" s="684"/>
      <c r="EI79" s="684"/>
      <c r="EJ79" s="684"/>
      <c r="EK79" s="684"/>
      <c r="EL79" s="684"/>
      <c r="EM79" s="684"/>
      <c r="EN79" s="684"/>
      <c r="EO79" s="684"/>
      <c r="EP79" s="684"/>
      <c r="EQ79" s="684"/>
      <c r="ER79" s="684"/>
      <c r="ES79" s="684"/>
      <c r="ET79" s="684"/>
      <c r="EU79" s="684"/>
      <c r="EV79" s="684"/>
      <c r="EW79" s="684"/>
      <c r="EX79" s="684"/>
      <c r="EY79" s="684"/>
      <c r="EZ79" s="684"/>
      <c r="FA79" s="684"/>
      <c r="FB79" s="684"/>
      <c r="FC79" s="684"/>
    </row>
    <row r="80" spans="1:159">
      <c r="A80" s="684"/>
      <c r="B80" s="684"/>
      <c r="C80" s="703"/>
      <c r="D80" s="703"/>
      <c r="E80" s="703"/>
      <c r="F80" s="703"/>
      <c r="G80" s="703"/>
      <c r="H80" s="703"/>
      <c r="I80" s="703"/>
      <c r="J80" s="703"/>
      <c r="K80" s="703"/>
      <c r="L80" s="703"/>
      <c r="M80" s="703"/>
      <c r="N80" s="703"/>
      <c r="O80" s="703"/>
      <c r="P80" s="684"/>
      <c r="Q80" s="684"/>
      <c r="R80" s="684"/>
      <c r="S80" s="684"/>
      <c r="T80" s="684"/>
      <c r="U80" s="684"/>
      <c r="V80" s="684"/>
      <c r="W80" s="684"/>
      <c r="X80" s="684"/>
      <c r="Y80" s="684"/>
      <c r="Z80" s="684"/>
      <c r="AA80" s="684"/>
      <c r="AB80" s="684"/>
      <c r="AC80" s="684"/>
      <c r="AD80" s="684"/>
      <c r="AE80" s="684"/>
      <c r="AF80" s="684"/>
      <c r="AG80" s="684"/>
      <c r="AH80" s="684"/>
      <c r="AI80" s="684"/>
      <c r="AJ80" s="684"/>
      <c r="AK80" s="684"/>
      <c r="AL80" s="684"/>
      <c r="AM80" s="684"/>
      <c r="AN80" s="684"/>
      <c r="AO80" s="684"/>
      <c r="AP80" s="684"/>
      <c r="AQ80" s="684"/>
      <c r="AR80" s="684"/>
      <c r="AS80" s="684"/>
      <c r="AT80" s="684"/>
      <c r="AU80" s="684"/>
      <c r="AV80" s="684"/>
      <c r="AW80" s="684"/>
      <c r="AX80" s="684"/>
      <c r="AY80" s="684"/>
      <c r="AZ80" s="684"/>
      <c r="BA80" s="684"/>
      <c r="BB80" s="684"/>
      <c r="BC80" s="684"/>
      <c r="BD80" s="684"/>
      <c r="BE80" s="684"/>
      <c r="BF80" s="684"/>
      <c r="BG80" s="684"/>
      <c r="BH80" s="684"/>
      <c r="BI80" s="684"/>
      <c r="BJ80" s="684"/>
      <c r="BK80" s="684"/>
      <c r="BL80" s="684"/>
      <c r="BM80" s="684"/>
      <c r="BN80" s="684"/>
      <c r="BO80" s="684"/>
      <c r="BP80" s="684"/>
      <c r="BQ80" s="684"/>
      <c r="BR80" s="684"/>
      <c r="BS80" s="684"/>
      <c r="BT80" s="684"/>
      <c r="BU80" s="684"/>
      <c r="BV80" s="684"/>
      <c r="BW80" s="684"/>
      <c r="BX80" s="684"/>
      <c r="BY80" s="684"/>
      <c r="CA80" s="684"/>
      <c r="CB80" s="684"/>
      <c r="CC80" s="684"/>
      <c r="CD80" s="684"/>
      <c r="CE80" s="684"/>
      <c r="CF80" s="684"/>
      <c r="CG80" s="684"/>
      <c r="CH80" s="684"/>
      <c r="CI80" s="684"/>
      <c r="CJ80" s="684"/>
      <c r="CK80" s="684"/>
      <c r="CL80" s="684"/>
      <c r="CM80" s="684"/>
      <c r="CN80" s="684"/>
      <c r="CO80" s="684"/>
      <c r="CP80" s="684"/>
      <c r="CQ80" s="684"/>
      <c r="CR80" s="684"/>
      <c r="CS80" s="684"/>
      <c r="CT80" s="684"/>
      <c r="CU80" s="684"/>
      <c r="CV80" s="684"/>
      <c r="CW80" s="684"/>
      <c r="CX80" s="684"/>
      <c r="CY80" s="684"/>
      <c r="CZ80" s="684"/>
      <c r="DA80" s="684"/>
      <c r="DB80" s="684"/>
      <c r="DC80" s="684"/>
      <c r="DD80" s="684"/>
      <c r="DE80" s="684"/>
      <c r="DF80" s="684"/>
      <c r="DG80" s="684"/>
      <c r="DH80" s="684"/>
      <c r="DI80" s="684"/>
      <c r="DJ80" s="684"/>
      <c r="DK80" s="684"/>
      <c r="DL80" s="684"/>
      <c r="DM80" s="684"/>
      <c r="DN80" s="684"/>
      <c r="DO80" s="684"/>
      <c r="DP80" s="684"/>
      <c r="DQ80" s="684"/>
      <c r="DR80" s="684"/>
      <c r="DS80" s="684"/>
      <c r="DT80" s="684"/>
      <c r="DU80" s="684"/>
      <c r="DV80" s="684"/>
      <c r="DW80" s="684"/>
      <c r="DX80" s="684"/>
      <c r="DY80" s="684"/>
      <c r="DZ80" s="684"/>
      <c r="EA80" s="684"/>
      <c r="EB80" s="684"/>
      <c r="EC80" s="684"/>
      <c r="ED80" s="684"/>
      <c r="EE80" s="684"/>
      <c r="EF80" s="684"/>
      <c r="EG80" s="684"/>
      <c r="EH80" s="684"/>
      <c r="EI80" s="684"/>
      <c r="EJ80" s="684"/>
      <c r="EK80" s="684"/>
      <c r="EL80" s="684"/>
      <c r="EM80" s="684"/>
      <c r="EN80" s="684"/>
      <c r="EO80" s="684"/>
      <c r="EP80" s="684"/>
      <c r="EQ80" s="684"/>
      <c r="ER80" s="684"/>
      <c r="ES80" s="684"/>
      <c r="ET80" s="684"/>
      <c r="EU80" s="684"/>
      <c r="EV80" s="684"/>
      <c r="EW80" s="684"/>
      <c r="EX80" s="684"/>
      <c r="EY80" s="684"/>
      <c r="EZ80" s="684"/>
      <c r="FA80" s="684"/>
      <c r="FB80" s="684"/>
      <c r="FC80" s="684"/>
    </row>
    <row r="81" spans="1:172">
      <c r="A81" s="684"/>
      <c r="B81" s="684"/>
      <c r="C81" s="703"/>
      <c r="D81" s="703"/>
      <c r="E81" s="703"/>
      <c r="F81" s="703"/>
      <c r="G81" s="703"/>
      <c r="H81" s="703"/>
      <c r="I81" s="703"/>
      <c r="J81" s="703"/>
      <c r="K81" s="703"/>
      <c r="L81" s="703"/>
      <c r="M81" s="703"/>
      <c r="N81" s="703"/>
      <c r="O81" s="703"/>
      <c r="P81" s="684"/>
      <c r="Q81" s="684"/>
      <c r="R81" s="684"/>
      <c r="S81" s="684"/>
      <c r="T81" s="684"/>
      <c r="U81" s="684"/>
      <c r="V81" s="684"/>
      <c r="W81" s="684"/>
      <c r="X81" s="684"/>
      <c r="Y81" s="684"/>
      <c r="Z81" s="684"/>
      <c r="AA81" s="684"/>
      <c r="AB81" s="684"/>
      <c r="AC81" s="684"/>
      <c r="AD81" s="684"/>
      <c r="AE81" s="684"/>
      <c r="AF81" s="684"/>
      <c r="AG81" s="684"/>
      <c r="AH81" s="684"/>
      <c r="AI81" s="684"/>
      <c r="AJ81" s="684"/>
      <c r="AK81" s="684"/>
      <c r="AL81" s="684"/>
      <c r="AM81" s="684"/>
      <c r="AN81" s="684"/>
      <c r="AO81" s="684"/>
      <c r="AP81" s="684"/>
      <c r="AQ81" s="684"/>
      <c r="AR81" s="684"/>
      <c r="AS81" s="684"/>
      <c r="AT81" s="684"/>
      <c r="AU81" s="684"/>
      <c r="AV81" s="684"/>
      <c r="AW81" s="684"/>
      <c r="AX81" s="684"/>
      <c r="AY81" s="684"/>
      <c r="AZ81" s="684"/>
      <c r="BA81" s="684"/>
      <c r="BB81" s="684"/>
      <c r="BC81" s="684"/>
      <c r="BD81" s="684"/>
      <c r="BE81" s="684"/>
      <c r="BF81" s="684"/>
      <c r="BG81" s="684"/>
      <c r="BH81" s="684"/>
      <c r="BI81" s="684"/>
      <c r="BJ81" s="684"/>
      <c r="BK81" s="684"/>
      <c r="BL81" s="684"/>
      <c r="BM81" s="684"/>
      <c r="BN81" s="684"/>
      <c r="BO81" s="684"/>
      <c r="BP81" s="684"/>
      <c r="BQ81" s="684"/>
      <c r="BR81" s="684"/>
      <c r="BS81" s="684"/>
      <c r="BT81" s="684"/>
      <c r="BU81" s="684"/>
      <c r="BV81" s="684"/>
      <c r="BW81" s="684"/>
      <c r="BX81" s="684"/>
      <c r="BY81" s="684"/>
      <c r="CA81" s="684"/>
      <c r="CB81" s="684"/>
      <c r="CC81" s="684"/>
      <c r="CD81" s="684"/>
      <c r="CE81" s="684"/>
      <c r="CF81" s="684"/>
      <c r="CG81" s="684"/>
      <c r="CH81" s="684"/>
      <c r="CI81" s="684"/>
      <c r="CJ81" s="684"/>
      <c r="CK81" s="684"/>
      <c r="CL81" s="684"/>
      <c r="CM81" s="684"/>
      <c r="CN81" s="684"/>
      <c r="CO81" s="684"/>
      <c r="CP81" s="684"/>
      <c r="CQ81" s="684"/>
      <c r="CR81" s="684"/>
      <c r="CS81" s="684"/>
      <c r="CT81" s="684"/>
      <c r="CU81" s="684"/>
      <c r="CV81" s="684"/>
      <c r="CW81" s="684"/>
      <c r="CX81" s="684"/>
      <c r="CY81" s="684"/>
      <c r="CZ81" s="684"/>
      <c r="DA81" s="684"/>
      <c r="DB81" s="684"/>
      <c r="DC81" s="684"/>
      <c r="DD81" s="684"/>
      <c r="DE81" s="684"/>
      <c r="DF81" s="684"/>
      <c r="DG81" s="684"/>
      <c r="DH81" s="684"/>
      <c r="DI81" s="684"/>
      <c r="DJ81" s="684"/>
      <c r="DK81" s="684"/>
      <c r="DL81" s="684"/>
      <c r="DM81" s="684"/>
      <c r="DN81" s="684"/>
      <c r="DO81" s="684"/>
      <c r="DP81" s="684"/>
      <c r="DQ81" s="684"/>
      <c r="DR81" s="684"/>
      <c r="DS81" s="684"/>
      <c r="DT81" s="684"/>
      <c r="DU81" s="684"/>
      <c r="DV81" s="684"/>
      <c r="DW81" s="684"/>
      <c r="DX81" s="684"/>
      <c r="DY81" s="684"/>
      <c r="DZ81" s="684"/>
      <c r="EA81" s="684"/>
      <c r="EB81" s="684"/>
      <c r="EC81" s="684"/>
      <c r="ED81" s="684"/>
      <c r="EE81" s="684"/>
      <c r="EF81" s="684"/>
      <c r="EG81" s="684"/>
      <c r="EH81" s="684"/>
      <c r="EI81" s="684"/>
      <c r="EJ81" s="684"/>
      <c r="EK81" s="684"/>
      <c r="EL81" s="684"/>
      <c r="EM81" s="684"/>
      <c r="EN81" s="684"/>
      <c r="EO81" s="684"/>
      <c r="EP81" s="684"/>
      <c r="EQ81" s="684"/>
      <c r="ER81" s="684"/>
      <c r="ES81" s="684"/>
      <c r="ET81" s="684"/>
      <c r="EU81" s="684"/>
      <c r="EV81" s="684"/>
      <c r="EW81" s="684"/>
      <c r="EX81" s="684"/>
      <c r="EY81" s="684"/>
      <c r="EZ81" s="684"/>
      <c r="FA81" s="684"/>
      <c r="FB81" s="684"/>
      <c r="FC81" s="684"/>
    </row>
    <row r="82" spans="1:172">
      <c r="A82" s="684"/>
      <c r="B82" s="684"/>
      <c r="C82" s="684"/>
      <c r="D82" s="684"/>
      <c r="E82" s="684"/>
      <c r="F82" s="684"/>
      <c r="G82" s="684"/>
      <c r="H82" s="684"/>
      <c r="I82" s="684"/>
      <c r="J82" s="684"/>
      <c r="K82" s="684"/>
      <c r="L82" s="684"/>
      <c r="M82" s="684"/>
      <c r="N82" s="684"/>
      <c r="O82" s="684"/>
      <c r="P82" s="684"/>
      <c r="Q82" s="684"/>
      <c r="R82" s="684"/>
      <c r="S82" s="684"/>
      <c r="T82" s="684"/>
      <c r="U82" s="684"/>
      <c r="V82" s="684"/>
      <c r="W82" s="684"/>
      <c r="X82" s="684"/>
      <c r="Y82" s="684"/>
      <c r="Z82" s="684"/>
      <c r="AA82" s="684"/>
      <c r="AB82" s="684"/>
      <c r="AC82" s="684"/>
      <c r="AD82" s="684"/>
      <c r="AE82" s="684"/>
      <c r="AF82" s="684"/>
      <c r="AG82" s="684"/>
      <c r="AH82" s="684"/>
      <c r="AI82" s="684"/>
      <c r="AJ82" s="684"/>
      <c r="AK82" s="684"/>
      <c r="AL82" s="684"/>
      <c r="AM82" s="684"/>
      <c r="AN82" s="684"/>
      <c r="AO82" s="684"/>
      <c r="AP82" s="684"/>
      <c r="AQ82" s="684"/>
      <c r="AR82" s="684"/>
      <c r="AS82" s="684"/>
      <c r="AT82" s="684"/>
      <c r="AU82" s="684"/>
      <c r="AV82" s="684"/>
      <c r="AW82" s="684"/>
      <c r="AX82" s="684"/>
      <c r="AY82" s="684"/>
      <c r="AZ82" s="684"/>
      <c r="BA82" s="684"/>
      <c r="BB82" s="684"/>
      <c r="BC82" s="684"/>
      <c r="BD82" s="684"/>
      <c r="BE82" s="684"/>
      <c r="BF82" s="684"/>
      <c r="BG82" s="684"/>
      <c r="BH82" s="684"/>
      <c r="BI82" s="684"/>
      <c r="BJ82" s="684"/>
      <c r="BK82" s="684"/>
      <c r="BL82" s="684"/>
      <c r="BM82" s="684"/>
      <c r="BN82" s="684"/>
      <c r="BO82" s="684"/>
      <c r="BP82" s="684"/>
      <c r="BQ82" s="684"/>
      <c r="BR82" s="684"/>
      <c r="BS82" s="684"/>
      <c r="BT82" s="684"/>
      <c r="BU82" s="684"/>
      <c r="BV82" s="684"/>
      <c r="BW82" s="684"/>
      <c r="BX82" s="684"/>
      <c r="BY82" s="684"/>
      <c r="CA82" s="684"/>
      <c r="CB82" s="684"/>
      <c r="CC82" s="684"/>
      <c r="CD82" s="684"/>
      <c r="CE82" s="684"/>
      <c r="CF82" s="684"/>
      <c r="CG82" s="684"/>
      <c r="CH82" s="684"/>
      <c r="CI82" s="684"/>
      <c r="CJ82" s="684"/>
      <c r="CK82" s="684"/>
      <c r="CL82" s="684"/>
      <c r="CM82" s="684"/>
      <c r="CN82" s="684"/>
      <c r="CO82" s="684"/>
      <c r="CP82" s="684"/>
      <c r="CQ82" s="684"/>
      <c r="CR82" s="684"/>
      <c r="CS82" s="684"/>
      <c r="CT82" s="684"/>
      <c r="CU82" s="684"/>
      <c r="CV82" s="684"/>
      <c r="CW82" s="684"/>
      <c r="CX82" s="684"/>
      <c r="CY82" s="684"/>
      <c r="CZ82" s="684"/>
      <c r="DA82" s="684"/>
      <c r="DB82" s="684"/>
      <c r="DC82" s="684"/>
      <c r="DD82" s="684"/>
      <c r="DE82" s="684"/>
      <c r="DF82" s="684"/>
      <c r="DG82" s="684"/>
      <c r="DH82" s="684"/>
      <c r="DI82" s="684"/>
      <c r="DJ82" s="684"/>
      <c r="DK82" s="684"/>
      <c r="DL82" s="684"/>
      <c r="DM82" s="684"/>
      <c r="DN82" s="684"/>
      <c r="DO82" s="684"/>
      <c r="DP82" s="684"/>
      <c r="DQ82" s="684"/>
      <c r="DR82" s="684"/>
      <c r="DS82" s="684"/>
      <c r="DT82" s="684"/>
      <c r="DU82" s="684"/>
      <c r="DV82" s="684"/>
      <c r="DW82" s="684"/>
      <c r="DX82" s="684"/>
      <c r="DY82" s="684"/>
      <c r="DZ82" s="684"/>
      <c r="EA82" s="684"/>
      <c r="EB82" s="684"/>
      <c r="EC82" s="684"/>
      <c r="ED82" s="684"/>
      <c r="EE82" s="684"/>
      <c r="EF82" s="684"/>
      <c r="EG82" s="684"/>
      <c r="EH82" s="684"/>
      <c r="EI82" s="684"/>
      <c r="EJ82" s="684"/>
      <c r="EK82" s="684"/>
      <c r="EL82" s="684"/>
      <c r="EM82" s="684"/>
      <c r="EN82" s="684"/>
      <c r="EO82" s="684"/>
      <c r="EP82" s="684"/>
      <c r="EQ82" s="684"/>
      <c r="ER82" s="684"/>
      <c r="ES82" s="684"/>
      <c r="ET82" s="684"/>
      <c r="EU82" s="684"/>
      <c r="EV82" s="684"/>
      <c r="EW82" s="684"/>
      <c r="EX82" s="684"/>
      <c r="EY82" s="684"/>
      <c r="EZ82" s="684"/>
      <c r="FA82" s="684"/>
      <c r="FB82" s="684"/>
      <c r="FC82" s="684"/>
    </row>
    <row r="83" spans="1:172">
      <c r="A83" s="684"/>
      <c r="B83" s="684"/>
      <c r="C83" s="684"/>
      <c r="D83" s="684"/>
      <c r="E83" s="697"/>
      <c r="F83" s="697"/>
      <c r="G83" s="697"/>
      <c r="H83" s="697"/>
      <c r="I83" s="697"/>
      <c r="J83" s="697"/>
      <c r="K83" s="697"/>
      <c r="L83" s="697"/>
      <c r="M83" s="697"/>
      <c r="N83" s="697"/>
      <c r="O83" s="697"/>
      <c r="P83" s="684"/>
      <c r="Q83" s="684"/>
      <c r="R83" s="684"/>
      <c r="S83" s="684"/>
      <c r="T83" s="684"/>
      <c r="U83" s="684"/>
      <c r="V83" s="684"/>
      <c r="W83" s="684"/>
      <c r="X83" s="684"/>
      <c r="Y83" s="684"/>
      <c r="Z83" s="684"/>
      <c r="AA83" s="684"/>
      <c r="AB83" s="684"/>
      <c r="AC83" s="684"/>
      <c r="AD83" s="684"/>
      <c r="AE83" s="684"/>
      <c r="AF83" s="684"/>
      <c r="AG83" s="684"/>
      <c r="AH83" s="684"/>
      <c r="AI83" s="684"/>
      <c r="AJ83" s="684"/>
      <c r="AK83" s="684"/>
      <c r="AL83" s="684"/>
      <c r="AM83" s="684"/>
      <c r="AN83" s="684"/>
      <c r="AO83" s="684"/>
      <c r="AP83" s="684"/>
      <c r="AQ83" s="684"/>
      <c r="AR83" s="684"/>
      <c r="AS83" s="684"/>
      <c r="AT83" s="684"/>
      <c r="AU83" s="684"/>
      <c r="AV83" s="684"/>
      <c r="AW83" s="684"/>
      <c r="AX83" s="684"/>
      <c r="AY83" s="684"/>
      <c r="AZ83" s="684"/>
      <c r="BA83" s="684"/>
      <c r="BB83" s="684"/>
      <c r="BC83" s="684"/>
      <c r="BD83" s="684"/>
      <c r="BE83" s="684"/>
      <c r="BF83" s="684"/>
      <c r="BG83" s="684"/>
      <c r="BH83" s="684"/>
      <c r="BI83" s="684"/>
      <c r="BJ83" s="684"/>
      <c r="BK83" s="684"/>
      <c r="BL83" s="684"/>
      <c r="BM83" s="684"/>
      <c r="BN83" s="684"/>
      <c r="BO83" s="684"/>
      <c r="BP83" s="684"/>
      <c r="BQ83" s="684"/>
      <c r="BR83" s="684"/>
      <c r="BS83" s="684"/>
      <c r="BT83" s="684"/>
      <c r="BU83" s="684"/>
      <c r="BV83" s="684"/>
      <c r="BW83" s="684"/>
      <c r="BX83" s="684"/>
      <c r="BY83" s="684"/>
      <c r="CA83" s="684"/>
      <c r="CB83" s="684"/>
      <c r="CC83" s="684"/>
      <c r="CD83" s="684"/>
      <c r="CE83" s="684"/>
      <c r="CF83" s="684"/>
      <c r="CG83" s="684"/>
      <c r="CH83" s="684"/>
      <c r="CI83" s="684"/>
      <c r="CJ83" s="684"/>
      <c r="CK83" s="684"/>
      <c r="CL83" s="684"/>
      <c r="CM83" s="684"/>
      <c r="CN83" s="684"/>
      <c r="CO83" s="684"/>
      <c r="CP83" s="684"/>
      <c r="CQ83" s="684"/>
      <c r="CR83" s="684"/>
      <c r="CS83" s="684"/>
      <c r="CT83" s="684"/>
      <c r="CU83" s="684"/>
      <c r="CV83" s="684"/>
      <c r="CW83" s="684"/>
      <c r="CX83" s="684"/>
      <c r="CY83" s="684"/>
      <c r="CZ83" s="684"/>
      <c r="DA83" s="684"/>
      <c r="DB83" s="684"/>
      <c r="DC83" s="684"/>
      <c r="DD83" s="684"/>
      <c r="DE83" s="684"/>
      <c r="DF83" s="684"/>
      <c r="DG83" s="684"/>
      <c r="DH83" s="684"/>
      <c r="DI83" s="684"/>
      <c r="DJ83" s="684"/>
      <c r="DK83" s="684"/>
      <c r="DL83" s="684"/>
      <c r="DM83" s="684"/>
      <c r="DN83" s="684"/>
      <c r="DO83" s="684"/>
      <c r="DP83" s="684"/>
      <c r="DQ83" s="684"/>
      <c r="DR83" s="684"/>
      <c r="DS83" s="684"/>
      <c r="DT83" s="684"/>
      <c r="DU83" s="684"/>
      <c r="DV83" s="684"/>
      <c r="DW83" s="684"/>
      <c r="DX83" s="684"/>
      <c r="DY83" s="684"/>
      <c r="DZ83" s="684"/>
      <c r="EA83" s="684"/>
      <c r="EB83" s="684"/>
      <c r="EC83" s="684"/>
      <c r="ED83" s="684"/>
      <c r="EE83" s="684"/>
      <c r="EF83" s="684"/>
      <c r="EG83" s="684"/>
      <c r="EH83" s="684"/>
      <c r="EI83" s="684"/>
      <c r="EJ83" s="684"/>
      <c r="EK83" s="684"/>
      <c r="EL83" s="684"/>
      <c r="EM83" s="684"/>
      <c r="EN83" s="684"/>
      <c r="EO83" s="684"/>
      <c r="EP83" s="684"/>
      <c r="EQ83" s="684"/>
      <c r="ER83" s="684"/>
      <c r="ES83" s="684"/>
      <c r="ET83" s="684"/>
      <c r="EU83" s="684"/>
      <c r="EV83" s="684"/>
      <c r="EW83" s="684"/>
      <c r="EX83" s="684"/>
      <c r="EY83" s="684"/>
      <c r="EZ83" s="684"/>
      <c r="FA83" s="684"/>
      <c r="FB83" s="684"/>
      <c r="FC83" s="684"/>
    </row>
    <row r="84" spans="1:172">
      <c r="A84" s="684"/>
      <c r="B84" s="684"/>
      <c r="C84" s="684"/>
      <c r="D84" s="684"/>
      <c r="E84" s="697"/>
      <c r="F84" s="697"/>
      <c r="G84" s="697"/>
      <c r="H84" s="697"/>
      <c r="I84" s="697"/>
      <c r="J84" s="697"/>
      <c r="K84" s="697"/>
      <c r="L84" s="697"/>
      <c r="M84" s="697"/>
      <c r="N84" s="697"/>
      <c r="O84" s="697"/>
      <c r="P84" s="684"/>
      <c r="Q84" s="684"/>
      <c r="R84" s="684"/>
      <c r="S84" s="684"/>
      <c r="T84" s="684"/>
      <c r="U84" s="684"/>
      <c r="V84" s="684"/>
      <c r="W84" s="684"/>
      <c r="X84" s="684"/>
      <c r="Y84" s="684"/>
      <c r="Z84" s="684"/>
      <c r="AA84" s="684"/>
      <c r="AB84" s="684"/>
      <c r="AC84" s="684"/>
      <c r="AD84" s="684"/>
      <c r="AE84" s="684"/>
      <c r="AF84" s="684"/>
      <c r="AG84" s="684"/>
      <c r="AH84" s="684"/>
      <c r="AI84" s="684"/>
      <c r="AJ84" s="684"/>
      <c r="AK84" s="684"/>
      <c r="AL84" s="684"/>
      <c r="AM84" s="684"/>
      <c r="AN84" s="684"/>
      <c r="AO84" s="684"/>
      <c r="AP84" s="684"/>
      <c r="AQ84" s="684"/>
      <c r="AR84" s="684"/>
      <c r="AS84" s="684"/>
      <c r="AT84" s="684"/>
      <c r="AU84" s="684"/>
      <c r="AV84" s="684"/>
      <c r="AW84" s="684"/>
      <c r="AX84" s="684"/>
      <c r="AY84" s="684"/>
      <c r="AZ84" s="684"/>
      <c r="BA84" s="684"/>
      <c r="BB84" s="684"/>
      <c r="BC84" s="684"/>
      <c r="BD84" s="684"/>
      <c r="BE84" s="684"/>
      <c r="BF84" s="684"/>
      <c r="BG84" s="684"/>
      <c r="BH84" s="684"/>
      <c r="BI84" s="684"/>
      <c r="BJ84" s="684"/>
      <c r="BK84" s="684"/>
      <c r="BL84" s="684"/>
      <c r="BM84" s="684"/>
      <c r="BN84" s="684"/>
      <c r="BO84" s="684"/>
      <c r="BP84" s="684"/>
      <c r="BQ84" s="684"/>
      <c r="BR84" s="684"/>
      <c r="BS84" s="684"/>
      <c r="BT84" s="684"/>
      <c r="BU84" s="684"/>
      <c r="BV84" s="684"/>
      <c r="BW84" s="684"/>
      <c r="BX84" s="684"/>
      <c r="BY84" s="684"/>
      <c r="CA84" s="684"/>
      <c r="CB84" s="684"/>
      <c r="CC84" s="684"/>
      <c r="CD84" s="684"/>
      <c r="CE84" s="684"/>
      <c r="CF84" s="684"/>
      <c r="CG84" s="684"/>
      <c r="CH84" s="684"/>
      <c r="CI84" s="684"/>
      <c r="CJ84" s="684"/>
      <c r="CK84" s="684"/>
      <c r="CL84" s="684"/>
      <c r="CM84" s="684"/>
      <c r="CN84" s="684"/>
      <c r="CO84" s="684"/>
      <c r="CP84" s="684"/>
      <c r="CQ84" s="684"/>
      <c r="CR84" s="684"/>
      <c r="CS84" s="684"/>
      <c r="CT84" s="684"/>
      <c r="CU84" s="684"/>
      <c r="CV84" s="684"/>
      <c r="CW84" s="684"/>
      <c r="CX84" s="684"/>
      <c r="CY84" s="684"/>
      <c r="CZ84" s="684"/>
      <c r="DA84" s="684"/>
      <c r="DB84" s="684"/>
      <c r="DC84" s="684"/>
      <c r="DD84" s="684"/>
      <c r="DE84" s="684"/>
      <c r="DF84" s="684"/>
      <c r="DG84" s="684"/>
      <c r="DH84" s="684"/>
      <c r="DI84" s="684"/>
      <c r="DJ84" s="684"/>
      <c r="DK84" s="684"/>
      <c r="DL84" s="684"/>
      <c r="DM84" s="684"/>
      <c r="DN84" s="684"/>
      <c r="DO84" s="684"/>
      <c r="DP84" s="684"/>
      <c r="DQ84" s="684"/>
      <c r="DR84" s="684"/>
      <c r="DS84" s="684"/>
      <c r="DT84" s="684"/>
      <c r="DU84" s="684"/>
      <c r="DV84" s="684"/>
      <c r="DW84" s="684"/>
      <c r="DX84" s="684"/>
      <c r="DY84" s="684"/>
      <c r="DZ84" s="684"/>
      <c r="EA84" s="684"/>
      <c r="EB84" s="684"/>
      <c r="EC84" s="684"/>
      <c r="ED84" s="684"/>
      <c r="EE84" s="684"/>
      <c r="EF84" s="684"/>
      <c r="EG84" s="684"/>
      <c r="EH84" s="684"/>
      <c r="EI84" s="684"/>
      <c r="EJ84" s="684"/>
      <c r="EK84" s="684"/>
      <c r="EL84" s="684"/>
      <c r="EM84" s="684"/>
      <c r="EN84" s="684"/>
      <c r="EO84" s="684"/>
      <c r="EP84" s="684"/>
      <c r="EQ84" s="684"/>
      <c r="ER84" s="684"/>
      <c r="ES84" s="684"/>
      <c r="ET84" s="684"/>
      <c r="EU84" s="684"/>
      <c r="EV84" s="684"/>
      <c r="EW84" s="684"/>
      <c r="EX84" s="684"/>
      <c r="EY84" s="684"/>
      <c r="EZ84" s="684"/>
      <c r="FA84" s="684"/>
      <c r="FB84" s="684"/>
      <c r="FC84" s="684"/>
    </row>
    <row r="85" spans="1:172">
      <c r="A85" s="684"/>
      <c r="B85" s="684"/>
      <c r="C85" s="684"/>
      <c r="D85" s="684"/>
      <c r="E85" s="697"/>
      <c r="F85" s="697"/>
      <c r="G85" s="697"/>
      <c r="H85" s="697"/>
      <c r="I85" s="697"/>
      <c r="J85" s="697"/>
      <c r="K85" s="697"/>
      <c r="L85" s="697"/>
      <c r="M85" s="697"/>
      <c r="N85" s="697"/>
      <c r="O85" s="697"/>
      <c r="P85" s="684"/>
      <c r="Q85" s="684"/>
      <c r="R85" s="684"/>
      <c r="S85" s="684"/>
      <c r="T85" s="684"/>
      <c r="U85" s="684"/>
      <c r="V85" s="684"/>
      <c r="W85" s="684"/>
      <c r="X85" s="684"/>
      <c r="Y85" s="684"/>
      <c r="Z85" s="684"/>
      <c r="AA85" s="684"/>
      <c r="AB85" s="684"/>
      <c r="AC85" s="684"/>
      <c r="AD85" s="684"/>
      <c r="AE85" s="684"/>
      <c r="AF85" s="684"/>
      <c r="AG85" s="684"/>
      <c r="AH85" s="684"/>
      <c r="AI85" s="684"/>
      <c r="AJ85" s="684"/>
      <c r="AK85" s="684"/>
      <c r="AL85" s="684"/>
      <c r="AM85" s="684"/>
      <c r="AN85" s="684"/>
      <c r="AO85" s="684"/>
      <c r="AP85" s="684"/>
      <c r="AQ85" s="684"/>
      <c r="AR85" s="684"/>
      <c r="AS85" s="684"/>
      <c r="AT85" s="684"/>
      <c r="AU85" s="684"/>
      <c r="AV85" s="684"/>
      <c r="AW85" s="684"/>
      <c r="AX85" s="684"/>
      <c r="AY85" s="684"/>
      <c r="AZ85" s="684"/>
      <c r="BA85" s="684"/>
      <c r="BB85" s="684"/>
      <c r="BC85" s="684"/>
      <c r="BD85" s="684"/>
      <c r="BE85" s="684"/>
      <c r="BF85" s="684"/>
      <c r="BG85" s="684"/>
      <c r="BH85" s="684"/>
      <c r="BI85" s="684"/>
      <c r="BJ85" s="684"/>
      <c r="BK85" s="684"/>
      <c r="BL85" s="684"/>
      <c r="BM85" s="684"/>
      <c r="BN85" s="684"/>
      <c r="BO85" s="684"/>
      <c r="BP85" s="684"/>
      <c r="BQ85" s="684"/>
      <c r="BR85" s="684"/>
      <c r="BS85" s="684"/>
      <c r="BT85" s="684"/>
      <c r="BU85" s="684"/>
      <c r="BV85" s="684"/>
      <c r="BW85" s="684"/>
      <c r="BX85" s="684"/>
      <c r="BY85" s="684"/>
      <c r="CA85" s="684"/>
      <c r="CB85" s="684"/>
      <c r="CC85" s="684"/>
      <c r="CD85" s="684"/>
      <c r="CE85" s="684"/>
      <c r="CF85" s="684"/>
      <c r="CG85" s="684"/>
      <c r="CH85" s="684"/>
      <c r="CI85" s="684"/>
      <c r="CJ85" s="684"/>
      <c r="CK85" s="684"/>
      <c r="CL85" s="684"/>
      <c r="CM85" s="684"/>
      <c r="CN85" s="684"/>
      <c r="CO85" s="684"/>
      <c r="CP85" s="684"/>
      <c r="CQ85" s="684"/>
      <c r="CR85" s="684"/>
      <c r="CS85" s="684"/>
      <c r="CT85" s="684"/>
      <c r="CU85" s="684"/>
      <c r="CV85" s="684"/>
      <c r="CW85" s="684"/>
      <c r="CX85" s="684"/>
      <c r="CY85" s="684"/>
      <c r="CZ85" s="684"/>
      <c r="DA85" s="684"/>
      <c r="DB85" s="684"/>
      <c r="DC85" s="684"/>
      <c r="DD85" s="684"/>
      <c r="DE85" s="684"/>
      <c r="DF85" s="684"/>
      <c r="DG85" s="684"/>
      <c r="DH85" s="684"/>
      <c r="DI85" s="684"/>
      <c r="DJ85" s="684"/>
      <c r="DK85" s="684"/>
      <c r="DL85" s="684"/>
      <c r="DM85" s="684"/>
      <c r="DN85" s="684"/>
      <c r="DO85" s="684"/>
      <c r="DP85" s="684"/>
      <c r="DQ85" s="684"/>
      <c r="DR85" s="684"/>
      <c r="DS85" s="684"/>
      <c r="DT85" s="684"/>
      <c r="DU85" s="684"/>
      <c r="DV85" s="684"/>
      <c r="DW85" s="684"/>
      <c r="DX85" s="684"/>
      <c r="DY85" s="684"/>
      <c r="DZ85" s="684"/>
      <c r="EA85" s="684"/>
      <c r="EB85" s="684"/>
      <c r="EC85" s="684"/>
      <c r="ED85" s="684"/>
      <c r="EE85" s="684"/>
      <c r="EF85" s="684"/>
      <c r="EG85" s="684"/>
      <c r="EH85" s="684"/>
      <c r="EI85" s="684"/>
      <c r="EJ85" s="684"/>
      <c r="EK85" s="684"/>
      <c r="EL85" s="684"/>
      <c r="EM85" s="684"/>
      <c r="EN85" s="684"/>
      <c r="EO85" s="684"/>
      <c r="EP85" s="684"/>
      <c r="EQ85" s="684"/>
      <c r="ER85" s="684"/>
      <c r="ES85" s="684"/>
      <c r="ET85" s="684"/>
      <c r="EU85" s="684"/>
      <c r="EV85" s="684"/>
      <c r="EW85" s="684"/>
      <c r="EX85" s="684"/>
      <c r="EY85" s="684"/>
      <c r="EZ85" s="684"/>
      <c r="FA85" s="684"/>
      <c r="FB85" s="684"/>
      <c r="FC85" s="684"/>
    </row>
    <row r="86" spans="1:172">
      <c r="A86" s="684"/>
      <c r="B86" s="684"/>
      <c r="C86" s="684"/>
      <c r="D86" s="684"/>
      <c r="E86" s="697"/>
      <c r="F86" s="697"/>
      <c r="G86" s="697"/>
      <c r="H86" s="697"/>
      <c r="I86" s="697"/>
      <c r="J86" s="697"/>
      <c r="K86" s="697"/>
      <c r="L86" s="697"/>
      <c r="M86" s="697"/>
      <c r="N86" s="697"/>
      <c r="O86" s="697"/>
      <c r="P86" s="684"/>
      <c r="Q86" s="684"/>
      <c r="R86" s="684"/>
      <c r="S86" s="684"/>
      <c r="T86" s="684"/>
      <c r="U86" s="684"/>
      <c r="V86" s="684"/>
      <c r="W86" s="684"/>
      <c r="X86" s="684"/>
      <c r="Y86" s="684"/>
      <c r="Z86" s="684"/>
      <c r="AA86" s="684"/>
      <c r="AB86" s="684"/>
      <c r="AC86" s="684"/>
      <c r="AD86" s="684"/>
      <c r="AE86" s="684"/>
      <c r="AF86" s="684"/>
      <c r="AG86" s="684"/>
      <c r="AH86" s="684"/>
      <c r="AI86" s="684"/>
      <c r="AJ86" s="684"/>
      <c r="AK86" s="684"/>
      <c r="AL86" s="684"/>
      <c r="AM86" s="684"/>
      <c r="AN86" s="684"/>
      <c r="AO86" s="684"/>
      <c r="AP86" s="684"/>
      <c r="AQ86" s="684"/>
      <c r="AR86" s="684"/>
      <c r="AS86" s="684"/>
      <c r="AT86" s="684"/>
      <c r="AU86" s="684"/>
      <c r="AV86" s="684"/>
      <c r="AW86" s="684"/>
      <c r="AX86" s="684"/>
      <c r="AY86" s="684"/>
      <c r="AZ86" s="684"/>
      <c r="BA86" s="684"/>
      <c r="BB86" s="684"/>
      <c r="BC86" s="684"/>
      <c r="BD86" s="684"/>
      <c r="BE86" s="684"/>
      <c r="BF86" s="684"/>
      <c r="BG86" s="684"/>
      <c r="BH86" s="684"/>
      <c r="BI86" s="684"/>
      <c r="BJ86" s="684"/>
      <c r="BK86" s="684"/>
      <c r="BL86" s="684"/>
      <c r="BM86" s="684"/>
      <c r="BN86" s="684"/>
      <c r="BO86" s="684"/>
      <c r="BP86" s="684"/>
      <c r="BR86" s="684"/>
      <c r="BS86" s="684"/>
      <c r="BT86" s="684"/>
      <c r="BU86" s="684"/>
      <c r="BV86" s="684"/>
      <c r="BW86" s="684"/>
      <c r="BX86" s="684"/>
      <c r="BY86" s="684"/>
      <c r="BZ86" s="684"/>
      <c r="CB86" s="684"/>
      <c r="CC86" s="684"/>
      <c r="CD86" s="684"/>
      <c r="CE86" s="684"/>
      <c r="CF86" s="684"/>
      <c r="CG86" s="684"/>
      <c r="CH86" s="684"/>
      <c r="CI86" s="684"/>
      <c r="CJ86" s="684"/>
      <c r="CK86" s="684"/>
      <c r="CL86" s="684"/>
      <c r="CM86" s="684"/>
      <c r="CN86" s="684"/>
      <c r="CO86" s="684"/>
      <c r="CP86" s="684"/>
      <c r="CQ86" s="684"/>
      <c r="CR86" s="684"/>
      <c r="CS86" s="684"/>
      <c r="CT86" s="684"/>
      <c r="CU86" s="684"/>
      <c r="CV86" s="684"/>
      <c r="CW86" s="684"/>
      <c r="CX86" s="684"/>
      <c r="CY86" s="684"/>
      <c r="CZ86" s="684"/>
      <c r="DA86" s="684"/>
      <c r="DB86" s="684"/>
      <c r="DC86" s="684"/>
      <c r="DD86" s="684"/>
      <c r="DE86" s="684"/>
      <c r="DF86" s="684"/>
      <c r="DG86" s="684"/>
      <c r="DH86" s="684"/>
      <c r="DI86" s="684"/>
      <c r="DJ86" s="684"/>
      <c r="DK86" s="684"/>
      <c r="DL86" s="684"/>
      <c r="DM86" s="684"/>
      <c r="DN86" s="684"/>
      <c r="DO86" s="684"/>
      <c r="DP86" s="684"/>
      <c r="DQ86" s="684"/>
      <c r="DR86" s="684"/>
      <c r="DS86" s="684"/>
      <c r="DT86" s="684"/>
      <c r="DU86" s="684"/>
      <c r="DV86" s="684"/>
      <c r="DW86" s="684"/>
      <c r="DX86" s="684"/>
      <c r="DY86" s="684"/>
      <c r="DZ86" s="684"/>
      <c r="EA86" s="684"/>
      <c r="EB86" s="684"/>
      <c r="EC86" s="684"/>
      <c r="ED86" s="684"/>
      <c r="EE86" s="684"/>
      <c r="EF86" s="684"/>
      <c r="EG86" s="684"/>
      <c r="EH86" s="684"/>
      <c r="EI86" s="684"/>
      <c r="EJ86" s="684"/>
      <c r="EK86" s="684"/>
      <c r="EL86" s="684"/>
      <c r="EM86" s="684"/>
      <c r="EN86" s="684"/>
      <c r="EO86" s="684"/>
      <c r="EP86" s="684"/>
      <c r="EQ86" s="684"/>
      <c r="ER86" s="684"/>
      <c r="ES86" s="684"/>
      <c r="ET86" s="684"/>
      <c r="EU86" s="684"/>
      <c r="EV86" s="684"/>
      <c r="EW86" s="684"/>
      <c r="EX86" s="684"/>
      <c r="EY86" s="684"/>
      <c r="EZ86" s="684"/>
      <c r="FA86" s="684"/>
      <c r="FB86" s="684"/>
      <c r="FC86" s="684"/>
      <c r="FD86" s="684"/>
    </row>
    <row r="87" spans="1:172">
      <c r="A87" s="684"/>
      <c r="B87" s="684"/>
      <c r="C87" s="684"/>
      <c r="D87" s="684"/>
      <c r="E87" s="684"/>
      <c r="F87" s="697"/>
      <c r="G87" s="697"/>
      <c r="H87" s="697"/>
      <c r="I87" s="697"/>
      <c r="J87" s="684"/>
      <c r="K87" s="684"/>
      <c r="L87" s="684"/>
      <c r="M87" s="684"/>
      <c r="N87" s="684"/>
      <c r="O87" s="684"/>
      <c r="P87" s="684"/>
      <c r="Q87" s="684"/>
      <c r="R87" s="684"/>
      <c r="S87" s="684"/>
      <c r="T87" s="684"/>
      <c r="U87" s="684"/>
      <c r="V87" s="684"/>
      <c r="W87" s="684"/>
      <c r="X87" s="684"/>
      <c r="Y87" s="684"/>
      <c r="Z87" s="684"/>
      <c r="AA87" s="684"/>
      <c r="AB87" s="684"/>
      <c r="AC87" s="684"/>
      <c r="AD87" s="684"/>
      <c r="AE87" s="684"/>
      <c r="AF87" s="684"/>
      <c r="AG87" s="684"/>
      <c r="AH87" s="684"/>
      <c r="AI87" s="684"/>
      <c r="AJ87" s="684"/>
      <c r="AK87" s="684"/>
      <c r="AL87" s="684"/>
      <c r="AM87" s="684"/>
      <c r="AN87" s="684"/>
      <c r="AO87" s="684"/>
      <c r="AP87" s="684"/>
      <c r="AQ87" s="684"/>
      <c r="AR87" s="684"/>
      <c r="AS87" s="684"/>
      <c r="AT87" s="684"/>
      <c r="AU87" s="684"/>
      <c r="AV87" s="684"/>
      <c r="AW87" s="684"/>
      <c r="AX87" s="684"/>
      <c r="AY87" s="684"/>
      <c r="AZ87" s="684"/>
      <c r="BA87" s="684"/>
      <c r="BB87" s="684"/>
      <c r="BC87" s="684"/>
      <c r="BD87" s="684"/>
      <c r="BE87" s="684"/>
      <c r="BF87" s="684"/>
      <c r="BG87" s="684"/>
      <c r="BH87" s="684"/>
      <c r="BI87" s="684"/>
      <c r="BJ87" s="684"/>
      <c r="BK87" s="684"/>
      <c r="BL87" s="684"/>
      <c r="BM87" s="684"/>
      <c r="BN87" s="684"/>
      <c r="BO87" s="684"/>
      <c r="BP87" s="684"/>
      <c r="BR87" s="684"/>
      <c r="BS87" s="684"/>
      <c r="BT87" s="684"/>
      <c r="BU87" s="684"/>
      <c r="BV87" s="684"/>
      <c r="BW87" s="684"/>
      <c r="BX87" s="684"/>
      <c r="BY87" s="684"/>
      <c r="BZ87" s="684"/>
      <c r="CB87" s="684"/>
      <c r="CC87" s="684"/>
      <c r="CD87" s="684"/>
      <c r="CE87" s="684"/>
      <c r="CF87" s="684"/>
      <c r="CG87" s="684"/>
      <c r="CH87" s="684"/>
      <c r="CI87" s="684"/>
      <c r="CJ87" s="684"/>
      <c r="CK87" s="684"/>
      <c r="CL87" s="684"/>
      <c r="CM87" s="684"/>
      <c r="CN87" s="684"/>
      <c r="CO87" s="684"/>
      <c r="CP87" s="684"/>
      <c r="CQ87" s="684"/>
      <c r="CR87" s="684"/>
      <c r="CS87" s="684"/>
      <c r="CT87" s="684"/>
      <c r="CU87" s="684"/>
      <c r="CV87" s="684"/>
      <c r="CW87" s="684"/>
      <c r="CX87" s="684"/>
      <c r="CY87" s="684"/>
      <c r="CZ87" s="684"/>
      <c r="DA87" s="684"/>
      <c r="DB87" s="684"/>
      <c r="DC87" s="684"/>
      <c r="DD87" s="684"/>
      <c r="DE87" s="684"/>
      <c r="DF87" s="684"/>
      <c r="DG87" s="684"/>
      <c r="DH87" s="684"/>
      <c r="DI87" s="684"/>
      <c r="DJ87" s="684"/>
      <c r="DK87" s="684"/>
      <c r="DL87" s="684"/>
      <c r="DM87" s="684"/>
      <c r="DN87" s="684"/>
      <c r="DO87" s="684"/>
      <c r="DP87" s="684"/>
      <c r="DQ87" s="684"/>
      <c r="DR87" s="684"/>
      <c r="DS87" s="684"/>
      <c r="DT87" s="684"/>
      <c r="DU87" s="684"/>
      <c r="DV87" s="684"/>
      <c r="DW87" s="684"/>
      <c r="DX87" s="684"/>
      <c r="DY87" s="684"/>
      <c r="DZ87" s="684"/>
      <c r="EA87" s="684"/>
      <c r="EB87" s="684"/>
      <c r="EC87" s="684"/>
      <c r="ED87" s="684"/>
      <c r="EE87" s="684"/>
      <c r="EF87" s="684"/>
      <c r="EG87" s="684"/>
      <c r="EH87" s="684"/>
      <c r="EI87" s="684"/>
      <c r="EJ87" s="684"/>
      <c r="EK87" s="684"/>
      <c r="EL87" s="684"/>
      <c r="EM87" s="684"/>
      <c r="EN87" s="684"/>
      <c r="EO87" s="684"/>
      <c r="EP87" s="684"/>
      <c r="EQ87" s="684"/>
      <c r="ER87" s="684"/>
      <c r="ES87" s="684"/>
      <c r="ET87" s="684"/>
      <c r="EU87" s="684"/>
      <c r="EV87" s="684"/>
      <c r="EW87" s="684"/>
      <c r="EX87" s="684"/>
      <c r="EY87" s="684"/>
      <c r="EZ87" s="684"/>
      <c r="FA87" s="684"/>
      <c r="FB87" s="684"/>
      <c r="FC87" s="684"/>
      <c r="FD87" s="684"/>
    </row>
    <row r="88" spans="1:172">
      <c r="A88" s="704"/>
      <c r="B88" s="684"/>
      <c r="C88" s="684"/>
      <c r="D88" s="684"/>
      <c r="E88" s="684"/>
      <c r="F88" s="697"/>
      <c r="G88" s="697"/>
      <c r="H88" s="697"/>
      <c r="I88" s="697"/>
      <c r="J88" s="684"/>
      <c r="K88" s="684"/>
      <c r="L88" s="684"/>
      <c r="M88" s="684"/>
      <c r="N88" s="684"/>
      <c r="O88" s="684"/>
      <c r="P88" s="684"/>
      <c r="Q88" s="684"/>
      <c r="R88" s="684"/>
      <c r="S88" s="684"/>
      <c r="T88" s="684"/>
      <c r="U88" s="684"/>
      <c r="V88" s="684"/>
      <c r="W88" s="684"/>
      <c r="X88" s="684"/>
      <c r="Y88" s="684"/>
      <c r="Z88" s="721"/>
      <c r="AA88" s="721"/>
      <c r="AB88" s="721"/>
      <c r="AC88" s="721"/>
      <c r="AD88" s="684"/>
      <c r="AE88" s="684"/>
      <c r="AF88" s="684"/>
      <c r="AG88" s="684"/>
      <c r="AH88" s="684"/>
      <c r="AI88" s="684"/>
      <c r="AJ88" s="684"/>
      <c r="AK88" s="684"/>
      <c r="AL88" s="684"/>
      <c r="AM88" s="684"/>
      <c r="AN88" s="684"/>
      <c r="AO88" s="684"/>
      <c r="AP88" s="684"/>
      <c r="AQ88" s="684"/>
      <c r="AR88" s="684"/>
      <c r="AS88" s="684"/>
      <c r="AT88" s="684"/>
      <c r="AU88" s="684"/>
      <c r="AV88" s="684"/>
      <c r="AW88" s="684"/>
      <c r="AX88" s="684"/>
      <c r="AY88" s="684"/>
      <c r="AZ88" s="684"/>
      <c r="BA88" s="684"/>
      <c r="BB88" s="684"/>
      <c r="BC88" s="684"/>
      <c r="BD88" s="684"/>
      <c r="BE88" s="684"/>
      <c r="BF88" s="684"/>
      <c r="BG88" s="684"/>
      <c r="BH88" s="684"/>
      <c r="BI88" s="684"/>
      <c r="BJ88" s="684"/>
      <c r="BK88" s="684"/>
      <c r="BL88" s="684"/>
      <c r="BM88" s="684"/>
      <c r="BN88" s="684"/>
      <c r="BO88" s="684"/>
      <c r="BP88" s="684"/>
      <c r="BR88" s="684"/>
      <c r="BS88" s="684"/>
      <c r="BT88" s="684"/>
      <c r="BU88" s="684"/>
      <c r="BV88" s="684"/>
      <c r="BW88" s="684"/>
      <c r="BX88" s="684"/>
      <c r="BY88" s="684"/>
      <c r="BZ88" s="684"/>
      <c r="CB88" s="684"/>
      <c r="CC88" s="684"/>
      <c r="CD88" s="684"/>
      <c r="CE88" s="684"/>
      <c r="CF88" s="684"/>
      <c r="CG88" s="684"/>
      <c r="CH88" s="684"/>
      <c r="CI88" s="684"/>
      <c r="CJ88" s="684"/>
      <c r="CK88" s="684"/>
      <c r="CL88" s="684"/>
      <c r="CM88" s="684"/>
      <c r="CN88" s="684"/>
      <c r="CO88" s="684"/>
      <c r="CP88" s="684"/>
      <c r="CQ88" s="684"/>
      <c r="CR88" s="684"/>
      <c r="CS88" s="684"/>
      <c r="CT88" s="684"/>
      <c r="CU88" s="684"/>
      <c r="CV88" s="684"/>
      <c r="CW88" s="684"/>
      <c r="CX88" s="684"/>
      <c r="CY88" s="684"/>
      <c r="CZ88" s="684"/>
      <c r="DA88" s="684"/>
      <c r="DB88" s="684"/>
      <c r="DC88" s="684"/>
      <c r="DD88" s="684"/>
      <c r="DE88" s="684"/>
      <c r="DF88" s="684"/>
      <c r="DG88" s="684"/>
      <c r="DH88" s="684"/>
      <c r="DI88" s="684"/>
      <c r="DJ88" s="684"/>
      <c r="DK88" s="684"/>
      <c r="DL88" s="684"/>
      <c r="DM88" s="684"/>
      <c r="DN88" s="684"/>
      <c r="DO88" s="684"/>
      <c r="DP88" s="684"/>
      <c r="DQ88" s="684"/>
      <c r="DR88" s="684"/>
      <c r="DS88" s="684"/>
      <c r="DT88" s="684"/>
      <c r="DU88" s="684"/>
      <c r="DV88" s="684"/>
      <c r="DW88" s="684"/>
      <c r="DX88" s="684"/>
      <c r="DY88" s="684"/>
      <c r="DZ88" s="684"/>
      <c r="EA88" s="684"/>
      <c r="EB88" s="684"/>
      <c r="EC88" s="684"/>
      <c r="ED88" s="684"/>
      <c r="EE88" s="684"/>
      <c r="EF88" s="684"/>
      <c r="EG88" s="684"/>
      <c r="EH88" s="684"/>
      <c r="EI88" s="684"/>
      <c r="EJ88" s="684"/>
      <c r="EK88" s="684"/>
      <c r="EL88" s="684"/>
      <c r="EM88" s="684"/>
      <c r="EN88" s="684"/>
      <c r="EO88" s="684"/>
      <c r="EP88" s="684"/>
      <c r="EQ88" s="684"/>
      <c r="ER88" s="684"/>
      <c r="ES88" s="684"/>
      <c r="ET88" s="684"/>
      <c r="EU88" s="684"/>
      <c r="EV88" s="684"/>
      <c r="EW88" s="684"/>
      <c r="EX88" s="684"/>
      <c r="EY88" s="684"/>
      <c r="EZ88" s="684"/>
      <c r="FA88" s="684"/>
      <c r="FB88" s="684"/>
      <c r="FC88" s="684"/>
      <c r="FD88" s="684"/>
    </row>
    <row r="89" spans="1:172">
      <c r="A89" s="718" t="s">
        <v>929</v>
      </c>
      <c r="B89" s="722" t="s">
        <v>879</v>
      </c>
      <c r="C89" s="722" t="s">
        <v>880</v>
      </c>
      <c r="D89" s="722" t="s">
        <v>881</v>
      </c>
      <c r="E89" s="722" t="s">
        <v>882</v>
      </c>
      <c r="F89" s="722" t="s">
        <v>883</v>
      </c>
      <c r="G89" s="722" t="s">
        <v>884</v>
      </c>
      <c r="H89" s="722" t="s">
        <v>885</v>
      </c>
      <c r="I89" s="722" t="s">
        <v>886</v>
      </c>
      <c r="J89" s="722" t="s">
        <v>733</v>
      </c>
      <c r="K89" s="722" t="s">
        <v>734</v>
      </c>
      <c r="L89" s="722" t="s">
        <v>735</v>
      </c>
      <c r="M89" s="722" t="s">
        <v>736</v>
      </c>
      <c r="N89" s="722" t="s">
        <v>737</v>
      </c>
      <c r="O89" s="722" t="s">
        <v>738</v>
      </c>
      <c r="P89" s="722" t="s">
        <v>739</v>
      </c>
      <c r="Q89" s="722" t="s">
        <v>740</v>
      </c>
      <c r="R89" s="722" t="s">
        <v>741</v>
      </c>
      <c r="S89" s="722" t="s">
        <v>742</v>
      </c>
      <c r="T89" s="722" t="s">
        <v>743</v>
      </c>
      <c r="U89" s="722" t="s">
        <v>744</v>
      </c>
      <c r="V89" s="722" t="s">
        <v>745</v>
      </c>
      <c r="W89" s="722" t="s">
        <v>746</v>
      </c>
      <c r="X89" s="722" t="s">
        <v>747</v>
      </c>
      <c r="Y89" s="722" t="s">
        <v>930</v>
      </c>
      <c r="Z89" s="722" t="s">
        <v>749</v>
      </c>
      <c r="AA89" s="722" t="s">
        <v>750</v>
      </c>
      <c r="AB89" s="722" t="s">
        <v>751</v>
      </c>
      <c r="AC89" s="722" t="s">
        <v>752</v>
      </c>
      <c r="AD89" s="722" t="s">
        <v>753</v>
      </c>
      <c r="AE89" s="722" t="s">
        <v>754</v>
      </c>
      <c r="AF89" s="722" t="s">
        <v>755</v>
      </c>
      <c r="AG89" s="722" t="s">
        <v>756</v>
      </c>
      <c r="AH89" s="722" t="s">
        <v>757</v>
      </c>
      <c r="AI89" s="722" t="s">
        <v>758</v>
      </c>
      <c r="AJ89" s="722" t="s">
        <v>759</v>
      </c>
      <c r="AK89" s="722" t="s">
        <v>760</v>
      </c>
      <c r="AL89" s="722" t="s">
        <v>761</v>
      </c>
      <c r="AM89" s="722" t="s">
        <v>762</v>
      </c>
      <c r="AN89" s="722" t="s">
        <v>763</v>
      </c>
      <c r="AO89" s="722" t="s">
        <v>764</v>
      </c>
      <c r="AP89" s="722" t="s">
        <v>765</v>
      </c>
      <c r="AQ89" s="722" t="s">
        <v>766</v>
      </c>
      <c r="AR89" s="722" t="s">
        <v>767</v>
      </c>
      <c r="AS89" s="722" t="s">
        <v>768</v>
      </c>
      <c r="AT89" s="722" t="s">
        <v>859</v>
      </c>
      <c r="AU89" s="722" t="s">
        <v>860</v>
      </c>
      <c r="AV89" s="722" t="s">
        <v>861</v>
      </c>
      <c r="AW89" s="722" t="s">
        <v>862</v>
      </c>
      <c r="AX89" s="722" t="s">
        <v>863</v>
      </c>
      <c r="AY89" s="722" t="s">
        <v>864</v>
      </c>
      <c r="AZ89" s="722" t="s">
        <v>1063</v>
      </c>
      <c r="BA89" s="722" t="s">
        <v>1064</v>
      </c>
      <c r="BB89" s="722" t="s">
        <v>8088</v>
      </c>
      <c r="BC89" s="1723"/>
      <c r="BD89" s="1723"/>
      <c r="BE89" s="684"/>
      <c r="BG89" s="718" t="s">
        <v>931</v>
      </c>
      <c r="BH89" s="722" t="s">
        <v>745</v>
      </c>
      <c r="BI89" s="722" t="s">
        <v>746</v>
      </c>
      <c r="BJ89" s="722" t="s">
        <v>747</v>
      </c>
      <c r="BK89" s="722" t="s">
        <v>748</v>
      </c>
      <c r="BL89" s="722" t="str">
        <f t="shared" ref="BL89:BX89" si="26">Z89</f>
        <v>Q1 19</v>
      </c>
      <c r="BM89" s="722" t="str">
        <f t="shared" si="26"/>
        <v>Q2 19</v>
      </c>
      <c r="BN89" s="722" t="str">
        <f t="shared" si="26"/>
        <v>Q3 19</v>
      </c>
      <c r="BO89" s="722" t="str">
        <f t="shared" si="26"/>
        <v>Q4 19</v>
      </c>
      <c r="BP89" s="722" t="str">
        <f t="shared" si="26"/>
        <v>Q1 20</v>
      </c>
      <c r="BQ89" s="722" t="str">
        <f t="shared" si="26"/>
        <v>Q2 20</v>
      </c>
      <c r="BR89" s="722" t="str">
        <f t="shared" si="26"/>
        <v>Q3 20</v>
      </c>
      <c r="BS89" s="722" t="str">
        <f t="shared" si="26"/>
        <v>Q4 20</v>
      </c>
      <c r="BT89" s="722" t="str">
        <f t="shared" si="26"/>
        <v>Q1 21</v>
      </c>
      <c r="BU89" s="722" t="str">
        <f t="shared" si="26"/>
        <v>Q2 21</v>
      </c>
      <c r="BV89" s="722" t="str">
        <f t="shared" si="26"/>
        <v>Q3 21</v>
      </c>
      <c r="BW89" s="722" t="str">
        <f t="shared" si="26"/>
        <v>Q4 21</v>
      </c>
      <c r="BX89" s="722" t="str">
        <f t="shared" si="26"/>
        <v>Q1 22</v>
      </c>
      <c r="BY89" s="1987"/>
      <c r="BZ89" s="722" t="str">
        <f>AM89</f>
        <v>Q2 22</v>
      </c>
      <c r="CA89" s="722" t="str">
        <f>AN89</f>
        <v>Q3 22</v>
      </c>
      <c r="CB89" s="722" t="str">
        <f>AO89</f>
        <v>Q4 22</v>
      </c>
      <c r="CC89" s="722" t="str">
        <f>AP89</f>
        <v>Q1 23</v>
      </c>
      <c r="CF89" s="1723"/>
      <c r="CJ89" s="684"/>
      <c r="CK89" s="684"/>
      <c r="CL89" s="684"/>
      <c r="CM89" s="684"/>
      <c r="CN89" s="684"/>
      <c r="CO89" s="684"/>
      <c r="CP89" s="684"/>
      <c r="CQ89" s="684"/>
      <c r="CR89" s="684"/>
      <c r="CS89" s="684"/>
      <c r="CT89" s="684"/>
      <c r="CU89" s="684"/>
      <c r="CV89" s="684"/>
      <c r="CW89" s="684"/>
      <c r="CX89" s="684"/>
      <c r="CY89" s="684"/>
      <c r="CZ89" s="684"/>
      <c r="DA89" s="684"/>
      <c r="DB89" s="684"/>
      <c r="DC89" s="684"/>
      <c r="DD89" s="684"/>
      <c r="DE89" s="684"/>
      <c r="DF89" s="684"/>
      <c r="DG89" s="684"/>
      <c r="DH89" s="684"/>
      <c r="DI89" s="684"/>
      <c r="DJ89" s="684"/>
      <c r="DK89" s="684"/>
      <c r="DL89" s="684"/>
      <c r="DM89" s="684"/>
      <c r="DN89" s="684"/>
      <c r="DO89" s="684"/>
      <c r="DP89" s="684"/>
      <c r="DQ89" s="684"/>
      <c r="DR89" s="684"/>
      <c r="DS89" s="684"/>
      <c r="DT89" s="684"/>
      <c r="DU89" s="684"/>
      <c r="DV89" s="684"/>
      <c r="DW89" s="684"/>
      <c r="DX89" s="684"/>
      <c r="DY89" s="684"/>
      <c r="DZ89" s="684"/>
      <c r="EA89" s="684"/>
      <c r="EB89" s="684"/>
      <c r="EC89" s="684"/>
      <c r="ED89" s="684"/>
      <c r="EE89" s="684"/>
      <c r="EF89" s="684"/>
      <c r="EG89" s="684"/>
      <c r="EH89" s="684"/>
      <c r="EI89" s="684"/>
      <c r="EJ89" s="684"/>
      <c r="EK89" s="684"/>
      <c r="EL89" s="684"/>
      <c r="EM89" s="684"/>
      <c r="EN89" s="684"/>
      <c r="EO89" s="684"/>
      <c r="EP89" s="684"/>
      <c r="EQ89" s="684"/>
      <c r="ER89" s="684"/>
      <c r="ES89" s="684"/>
      <c r="ET89" s="684"/>
      <c r="EU89" s="684"/>
      <c r="EV89" s="684"/>
      <c r="EW89" s="684"/>
      <c r="EX89" s="684"/>
      <c r="EY89" s="684"/>
      <c r="EZ89" s="684"/>
      <c r="FA89" s="684"/>
      <c r="FB89" s="684"/>
      <c r="FC89" s="684"/>
      <c r="FD89" s="684"/>
      <c r="FE89" s="684"/>
      <c r="FF89" s="684"/>
      <c r="FG89" s="684"/>
      <c r="FH89" s="684"/>
      <c r="FI89" s="684"/>
      <c r="FJ89" s="684"/>
      <c r="FK89" s="684"/>
      <c r="FL89" s="684"/>
      <c r="FM89" s="684"/>
      <c r="FN89" s="684"/>
      <c r="FO89" s="684"/>
      <c r="FP89" s="684"/>
    </row>
    <row r="90" spans="1:172">
      <c r="A90" s="707" t="s">
        <v>45</v>
      </c>
      <c r="B90" s="703">
        <f>Interims!Q269</f>
        <v>54.800000000000182</v>
      </c>
      <c r="C90" s="703">
        <f>Interims!R269</f>
        <v>41.999999999999545</v>
      </c>
      <c r="D90" s="703">
        <f>Interims!S269</f>
        <v>58.260000000000218</v>
      </c>
      <c r="E90" s="703">
        <f>Interims!T269</f>
        <v>31.940000000000055</v>
      </c>
      <c r="F90" s="703">
        <f>Interims!V269</f>
        <v>22.730000000000018</v>
      </c>
      <c r="G90" s="703">
        <f>Interims!W269</f>
        <v>51.869000000000142</v>
      </c>
      <c r="H90" s="703">
        <f>Interims!X269</f>
        <v>-4.4990000000003647</v>
      </c>
      <c r="I90" s="703">
        <f>Interims!Y269</f>
        <v>44.637000000000171</v>
      </c>
      <c r="J90" s="684"/>
      <c r="K90" s="703">
        <f>Interims!AB269</f>
        <v>48.512000000000171</v>
      </c>
      <c r="L90" s="703">
        <f>Interims!AC269</f>
        <v>31.88799999999992</v>
      </c>
      <c r="M90" s="703">
        <f>Interims!AD269</f>
        <v>113.25500000000011</v>
      </c>
      <c r="N90" s="703">
        <f>Interims!AF269</f>
        <v>91.644999999999982</v>
      </c>
      <c r="O90" s="703">
        <f>Interims!AG269</f>
        <v>66.599999999999454</v>
      </c>
      <c r="P90" s="703">
        <f>Interims!AH269</f>
        <v>20.4950000000008</v>
      </c>
      <c r="Q90" s="703">
        <f>Interims!AI269</f>
        <v>-34.4950000000008</v>
      </c>
      <c r="R90" s="703">
        <f>Interims!AK269</f>
        <v>-67.623999999999995</v>
      </c>
      <c r="S90" s="703">
        <f>Interims!AL269</f>
        <v>25.465000000000146</v>
      </c>
      <c r="T90" s="703">
        <f>Interims!AM269</f>
        <v>30.972999999999502</v>
      </c>
      <c r="U90" s="703">
        <f>Interims!AN269</f>
        <v>61.777000000000044</v>
      </c>
      <c r="V90" s="703">
        <f>Interims!AP269</f>
        <v>52.800000000000182</v>
      </c>
      <c r="W90" s="703">
        <f>Interims!AQ269</f>
        <v>78.059000000000196</v>
      </c>
      <c r="X90" s="703">
        <f>Interims!AR269</f>
        <v>-34.734000000000378</v>
      </c>
      <c r="Y90" s="703">
        <f>Interims!AS269</f>
        <v>103.1220000000003</v>
      </c>
      <c r="Z90" s="703">
        <f>Interims!AU269</f>
        <v>-8.3999999999996362</v>
      </c>
      <c r="AA90" s="703">
        <f>Interims!AV269</f>
        <v>11.406999999999243</v>
      </c>
      <c r="AB90" s="703">
        <f>Interims!AW269</f>
        <v>-42.006999999999607</v>
      </c>
      <c r="AC90" s="703">
        <f>Interims!AX269</f>
        <v>-26.136999999999716</v>
      </c>
      <c r="AD90" s="703">
        <f>Interims!AZ269</f>
        <v>-10.805000000000291</v>
      </c>
      <c r="AE90" s="703">
        <f>Interims!BA269</f>
        <v>27.420000000000073</v>
      </c>
      <c r="AF90" s="703">
        <f>Interims!BB269</f>
        <v>-1.569999999999709</v>
      </c>
      <c r="AG90" s="703">
        <f>Interims!BC269</f>
        <v>-49.226000000000568</v>
      </c>
      <c r="AH90" s="703">
        <f>Interims!BE269</f>
        <v>-38.59900000000016</v>
      </c>
      <c r="AI90" s="703">
        <f>Interims!BF269</f>
        <v>-31.505000000000109</v>
      </c>
      <c r="AJ90" s="703">
        <f>Interims!BG269</f>
        <v>-59.066999999999098</v>
      </c>
      <c r="AK90" s="703">
        <f>Interims!BH269</f>
        <v>10.930999999999585</v>
      </c>
      <c r="AL90" s="703">
        <f>Interims!BJ269</f>
        <v>89.041000000000167</v>
      </c>
      <c r="AM90" s="703">
        <f>Interims!BK269</f>
        <v>79.146999999999935</v>
      </c>
      <c r="AN90" s="703">
        <f>Interims!BL269</f>
        <v>71.046999999999571</v>
      </c>
      <c r="AO90" s="703">
        <f>Interims!BM269</f>
        <v>52.525000000000546</v>
      </c>
      <c r="AP90" s="703">
        <f>Interims!BO269</f>
        <v>30.869999999999891</v>
      </c>
      <c r="AQ90" s="703">
        <f>Interims!BP269</f>
        <v>-46.190000000000509</v>
      </c>
      <c r="AR90" s="703">
        <f>Interims!BQ269</f>
        <v>-383.50999999999976</v>
      </c>
      <c r="AS90" s="703">
        <f>Interims!BR269</f>
        <v>0.10400000000026921</v>
      </c>
      <c r="AT90" s="703">
        <f>Interims!BT269</f>
        <v>2.7539999999999054</v>
      </c>
      <c r="AU90" s="703">
        <f>Interims!BU269</f>
        <v>-65.590999999999894</v>
      </c>
      <c r="AV90" s="703">
        <f>Interims!BV269</f>
        <v>-55.479000000000269</v>
      </c>
      <c r="AW90" s="703">
        <f>Interims!BW269</f>
        <v>-94.659999999999854</v>
      </c>
      <c r="AX90" s="703">
        <f>Interims!BY269</f>
        <v>-72.981999999999971</v>
      </c>
      <c r="AY90" s="703">
        <f>Interims!BZ269</f>
        <v>-53.01299999999992</v>
      </c>
      <c r="AZ90" s="703">
        <f>Interims!CA269</f>
        <v>-42.691000000000258</v>
      </c>
      <c r="BA90" s="703">
        <f>Interims!CB269</f>
        <v>-31.26299999999992</v>
      </c>
      <c r="BB90" s="703">
        <f>Interims!CD269</f>
        <v>-23.503000000000156</v>
      </c>
      <c r="BC90" s="703"/>
      <c r="BD90" s="703"/>
      <c r="BE90" s="684"/>
      <c r="BG90" s="684" t="s">
        <v>467</v>
      </c>
      <c r="BH90" s="703">
        <f t="shared" ref="BH90:BX90" si="27">V91</f>
        <v>173.40000000000009</v>
      </c>
      <c r="BI90" s="703">
        <f t="shared" si="27"/>
        <v>136.19900000000007</v>
      </c>
      <c r="BJ90" s="703">
        <f t="shared" si="27"/>
        <v>61.648999999999432</v>
      </c>
      <c r="BK90" s="703">
        <f t="shared" si="27"/>
        <v>310.76900000000023</v>
      </c>
      <c r="BL90" s="703">
        <f t="shared" si="27"/>
        <v>88.5</v>
      </c>
      <c r="BM90" s="703">
        <f t="shared" si="27"/>
        <v>72.774999999999636</v>
      </c>
      <c r="BN90" s="703">
        <f t="shared" si="27"/>
        <v>18.725000000000364</v>
      </c>
      <c r="BO90" s="703">
        <f t="shared" si="27"/>
        <v>37.054000000000087</v>
      </c>
      <c r="BP90" s="703">
        <f t="shared" si="27"/>
        <v>121.04899999999998</v>
      </c>
      <c r="BQ90" s="703">
        <f t="shared" si="27"/>
        <v>252.17399999999998</v>
      </c>
      <c r="BR90" s="703">
        <f t="shared" si="27"/>
        <v>233.96799999999985</v>
      </c>
      <c r="BS90" s="703">
        <f t="shared" si="27"/>
        <v>127.61400000000049</v>
      </c>
      <c r="BT90" s="703">
        <f t="shared" si="27"/>
        <v>103.96000000000004</v>
      </c>
      <c r="BU90" s="703">
        <f t="shared" si="27"/>
        <v>31.368999999999687</v>
      </c>
      <c r="BV90" s="703">
        <f t="shared" si="27"/>
        <v>24.595000000000255</v>
      </c>
      <c r="BW90" s="703">
        <f t="shared" si="27"/>
        <v>58.318999999999505</v>
      </c>
      <c r="BX90" s="703">
        <f t="shared" si="27"/>
        <v>82.923999999999978</v>
      </c>
      <c r="BY90" s="703"/>
      <c r="BZ90" s="703">
        <f>AM91</f>
        <v>77.564000000000306</v>
      </c>
      <c r="CA90" s="703">
        <f>AN91</f>
        <v>96.233999999999469</v>
      </c>
      <c r="CB90" s="703">
        <f>AO91</f>
        <v>78.327000000000226</v>
      </c>
      <c r="CC90" s="703">
        <f>AP91</f>
        <v>84.71100000000024</v>
      </c>
      <c r="CF90" s="703"/>
      <c r="CJ90" s="684"/>
      <c r="CK90" s="684"/>
      <c r="CL90" s="684"/>
      <c r="CM90" s="684"/>
      <c r="CN90" s="684"/>
      <c r="CO90" s="684"/>
      <c r="CP90" s="684"/>
      <c r="CQ90" s="684"/>
      <c r="CR90" s="684"/>
      <c r="CS90" s="684"/>
      <c r="CT90" s="684"/>
      <c r="CU90" s="684"/>
      <c r="CV90" s="684"/>
      <c r="CW90" s="684"/>
      <c r="CX90" s="684"/>
      <c r="CY90" s="684"/>
      <c r="CZ90" s="684"/>
      <c r="DA90" s="684"/>
      <c r="DB90" s="684"/>
      <c r="DC90" s="684"/>
      <c r="DD90" s="684"/>
      <c r="DE90" s="684"/>
      <c r="DF90" s="684"/>
      <c r="DG90" s="684"/>
      <c r="DH90" s="684"/>
      <c r="DI90" s="684"/>
      <c r="DJ90" s="684"/>
      <c r="DK90" s="684"/>
      <c r="DL90" s="684"/>
      <c r="DM90" s="684"/>
      <c r="DN90" s="684"/>
      <c r="DO90" s="684"/>
      <c r="DP90" s="684"/>
      <c r="DQ90" s="684"/>
      <c r="DR90" s="684"/>
      <c r="DS90" s="684"/>
      <c r="DT90" s="684"/>
      <c r="DU90" s="684"/>
      <c r="DV90" s="684"/>
      <c r="DW90" s="684"/>
      <c r="DX90" s="684"/>
      <c r="DY90" s="684"/>
      <c r="DZ90" s="684"/>
      <c r="EA90" s="684"/>
      <c r="EB90" s="684"/>
      <c r="EC90" s="684"/>
      <c r="ED90" s="684"/>
      <c r="EE90" s="684"/>
      <c r="EF90" s="684"/>
      <c r="EG90" s="684"/>
      <c r="EH90" s="684"/>
      <c r="EI90" s="684"/>
      <c r="EJ90" s="684"/>
      <c r="EK90" s="684"/>
      <c r="EL90" s="684"/>
      <c r="EM90" s="684"/>
      <c r="EN90" s="684"/>
      <c r="EO90" s="684"/>
      <c r="EP90" s="684"/>
      <c r="EQ90" s="684"/>
      <c r="ER90" s="684"/>
      <c r="ES90" s="684"/>
      <c r="ET90" s="684"/>
      <c r="EU90" s="684"/>
      <c r="EV90" s="684"/>
      <c r="EW90" s="684"/>
      <c r="EX90" s="684"/>
      <c r="EY90" s="684"/>
      <c r="EZ90" s="684"/>
      <c r="FA90" s="684"/>
      <c r="FB90" s="684"/>
      <c r="FC90" s="684"/>
      <c r="FD90" s="684"/>
      <c r="FE90" s="684"/>
      <c r="FF90" s="684"/>
      <c r="FG90" s="684"/>
      <c r="FH90" s="684"/>
      <c r="FI90" s="684"/>
      <c r="FJ90" s="684"/>
      <c r="FK90" s="684"/>
      <c r="FL90" s="684"/>
      <c r="FM90" s="684"/>
      <c r="FN90" s="684"/>
      <c r="FO90" s="684"/>
      <c r="FP90" s="684"/>
    </row>
    <row r="91" spans="1:172">
      <c r="A91" s="707" t="str">
        <f>Interims!A270</f>
        <v>Internet</v>
      </c>
      <c r="B91" s="703">
        <f>Interims!Q270</f>
        <v>78.400000000000091</v>
      </c>
      <c r="C91" s="703">
        <f>Interims!R270</f>
        <v>72.399999999999864</v>
      </c>
      <c r="D91" s="703">
        <f>Interims!S270</f>
        <v>109.79999999999995</v>
      </c>
      <c r="E91" s="703">
        <f>Interims!T270</f>
        <v>99.400000000000091</v>
      </c>
      <c r="F91" s="703">
        <f>Interims!V270</f>
        <v>84.398000000000138</v>
      </c>
      <c r="G91" s="703">
        <f>Interims!W270</f>
        <v>89.950000000000045</v>
      </c>
      <c r="H91" s="703">
        <f>Interims!X270</f>
        <v>72.651999999999816</v>
      </c>
      <c r="I91" s="703">
        <f>Interims!Y270</f>
        <v>122.70899999999983</v>
      </c>
      <c r="J91" s="684"/>
      <c r="K91" s="703">
        <f>Interims!AB270</f>
        <v>145.40099999999984</v>
      </c>
      <c r="L91" s="703">
        <f>Interims!AC270</f>
        <v>152.39900000000034</v>
      </c>
      <c r="M91" s="703">
        <f>Interims!AD270</f>
        <v>165.89899999999989</v>
      </c>
      <c r="N91" s="703">
        <f>Interims!AF270</f>
        <v>80.586999999999989</v>
      </c>
      <c r="O91" s="703">
        <f>Interims!AG270</f>
        <v>110.81399999999985</v>
      </c>
      <c r="P91" s="703">
        <f>Interims!AH270</f>
        <v>87.960000000000036</v>
      </c>
      <c r="Q91" s="703">
        <f>Interims!AI270</f>
        <v>65.740000000000236</v>
      </c>
      <c r="R91" s="703">
        <f>Interims!AK270</f>
        <v>45.057000000000002</v>
      </c>
      <c r="S91" s="703">
        <f>Interims!AL270</f>
        <v>119.03099999999995</v>
      </c>
      <c r="T91" s="703">
        <f>Interims!AM270</f>
        <v>144.53200000000015</v>
      </c>
      <c r="U91" s="703">
        <f>Interims!AN270</f>
        <v>157.20399999999972</v>
      </c>
      <c r="V91" s="703">
        <f>Interims!AP270</f>
        <v>173.40000000000009</v>
      </c>
      <c r="W91" s="703">
        <f>Interims!AQ270</f>
        <v>136.19900000000007</v>
      </c>
      <c r="X91" s="703">
        <f>Interims!AR270</f>
        <v>61.648999999999432</v>
      </c>
      <c r="Y91" s="703">
        <f>Interims!AS270</f>
        <v>310.76900000000023</v>
      </c>
      <c r="Z91" s="703">
        <f>Interims!AU270</f>
        <v>88.5</v>
      </c>
      <c r="AA91" s="703">
        <f>Interims!AV270</f>
        <v>72.774999999999636</v>
      </c>
      <c r="AB91" s="703">
        <f>Interims!AW270</f>
        <v>18.725000000000364</v>
      </c>
      <c r="AC91" s="703">
        <f>Interims!AX270</f>
        <v>37.054000000000087</v>
      </c>
      <c r="AD91" s="703">
        <f>Interims!AZ270</f>
        <v>121.04899999999998</v>
      </c>
      <c r="AE91" s="703">
        <f>Interims!BA270</f>
        <v>252.17399999999998</v>
      </c>
      <c r="AF91" s="703">
        <f>Interims!BB270</f>
        <v>233.96799999999985</v>
      </c>
      <c r="AG91" s="703">
        <f>Interims!BC270</f>
        <v>127.61400000000049</v>
      </c>
      <c r="AH91" s="703">
        <f>Interims!BE270</f>
        <v>103.96000000000004</v>
      </c>
      <c r="AI91" s="703">
        <f>Interims!BF270</f>
        <v>31.368999999999687</v>
      </c>
      <c r="AJ91" s="703">
        <f>Interims!BG270</f>
        <v>24.595000000000255</v>
      </c>
      <c r="AK91" s="703">
        <f>Interims!BH270</f>
        <v>58.318999999999505</v>
      </c>
      <c r="AL91" s="703">
        <f>Interims!BJ270</f>
        <v>82.923999999999978</v>
      </c>
      <c r="AM91" s="703">
        <f>Interims!BK270</f>
        <v>77.564000000000306</v>
      </c>
      <c r="AN91" s="703">
        <f>Interims!BL270</f>
        <v>96.233999999999469</v>
      </c>
      <c r="AO91" s="703">
        <f>Interims!BM270</f>
        <v>78.327000000000226</v>
      </c>
      <c r="AP91" s="703">
        <f>Interims!BO270</f>
        <v>84.71100000000024</v>
      </c>
      <c r="AQ91" s="703">
        <f>Interims!BP270</f>
        <v>-37.76299999999992</v>
      </c>
      <c r="AR91" s="703">
        <f>Interims!BQ270</f>
        <v>-353.26299999999992</v>
      </c>
      <c r="AS91" s="703">
        <f>Interims!BR270</f>
        <v>0.59499999999934516</v>
      </c>
      <c r="AT91" s="703">
        <f>Interims!BT270</f>
        <v>10.712000000000444</v>
      </c>
      <c r="AU91" s="703">
        <f>Interims!BU270</f>
        <v>10.680999999999585</v>
      </c>
      <c r="AV91" s="703">
        <f>Interims!BV270</f>
        <v>11.345000000000255</v>
      </c>
      <c r="AW91" s="703">
        <f>Interims!BW270</f>
        <v>-84.962999999999738</v>
      </c>
      <c r="AX91" s="703">
        <f>Interims!BY270</f>
        <v>-5.7619999999997162</v>
      </c>
      <c r="AY91" s="703">
        <f>Interims!BZ270</f>
        <v>6.3809999999994034</v>
      </c>
      <c r="AZ91" s="703">
        <f>Interims!CA270</f>
        <v>21.583000000000538</v>
      </c>
      <c r="BA91" s="703">
        <f>Interims!CB270</f>
        <v>24.714999999999236</v>
      </c>
      <c r="BB91" s="703">
        <f>Interims!CD270</f>
        <v>25.046000000000276</v>
      </c>
      <c r="BC91" s="703"/>
      <c r="BD91" s="703"/>
      <c r="BE91" s="684"/>
      <c r="BG91" s="684" t="s">
        <v>557</v>
      </c>
      <c r="BH91" s="703">
        <f t="shared" ref="BH91:BX91" si="28">V98</f>
        <v>110.95899999999983</v>
      </c>
      <c r="BI91" s="703">
        <f t="shared" si="28"/>
        <v>79.867000000000189</v>
      </c>
      <c r="BJ91" s="703">
        <f t="shared" si="28"/>
        <v>77.932999999999993</v>
      </c>
      <c r="BK91" s="703">
        <f t="shared" si="28"/>
        <v>48.602999999999611</v>
      </c>
      <c r="BL91" s="703">
        <f t="shared" si="28"/>
        <v>11.197000000000116</v>
      </c>
      <c r="BM91" s="703">
        <f t="shared" si="28"/>
        <v>69.363000000000284</v>
      </c>
      <c r="BN91" s="703">
        <f t="shared" si="28"/>
        <v>44.036999999999807</v>
      </c>
      <c r="BO91" s="703">
        <f t="shared" si="28"/>
        <v>31</v>
      </c>
      <c r="BP91" s="703">
        <f t="shared" si="28"/>
        <v>48.752999999999702</v>
      </c>
      <c r="BQ91" s="703">
        <f t="shared" si="28"/>
        <v>83.019000000000233</v>
      </c>
      <c r="BR91" s="703">
        <f t="shared" si="28"/>
        <v>184.5949999999998</v>
      </c>
      <c r="BS91" s="703">
        <f t="shared" si="28"/>
        <v>96.329000000000178</v>
      </c>
      <c r="BT91" s="703">
        <f t="shared" si="28"/>
        <v>79.415999999999713</v>
      </c>
      <c r="BU91" s="703">
        <f t="shared" si="28"/>
        <v>58.160000000000309</v>
      </c>
      <c r="BV91" s="703">
        <f t="shared" si="28"/>
        <v>105</v>
      </c>
      <c r="BW91" s="703">
        <f t="shared" si="28"/>
        <v>80.981000000000222</v>
      </c>
      <c r="BX91" s="703">
        <f t="shared" si="28"/>
        <v>59.403999999999996</v>
      </c>
      <c r="BY91" s="703"/>
      <c r="BZ91" s="703">
        <f>AM98</f>
        <v>19.177999999999884</v>
      </c>
      <c r="CA91" s="703">
        <f>AN98</f>
        <v>100.65700000000015</v>
      </c>
      <c r="CB91" s="703">
        <f>AO98</f>
        <v>124.72799999999961</v>
      </c>
      <c r="CC91" s="703">
        <f>AP98</f>
        <v>147.30500000000029</v>
      </c>
      <c r="CF91" s="703"/>
      <c r="CJ91" s="684"/>
      <c r="CK91" s="684"/>
      <c r="CL91" s="684"/>
      <c r="CM91" s="684"/>
      <c r="CN91" s="684"/>
      <c r="CO91" s="684"/>
      <c r="CP91" s="684"/>
      <c r="CQ91" s="684"/>
      <c r="CR91" s="684"/>
      <c r="CS91" s="684"/>
      <c r="CT91" s="684"/>
      <c r="CU91" s="684"/>
      <c r="CV91" s="684"/>
      <c r="CW91" s="684"/>
      <c r="CX91" s="684"/>
      <c r="CY91" s="684"/>
      <c r="CZ91" s="684"/>
      <c r="DA91" s="684"/>
      <c r="DB91" s="684"/>
      <c r="DC91" s="684"/>
      <c r="DD91" s="684"/>
      <c r="DE91" s="684"/>
      <c r="DF91" s="684"/>
      <c r="DG91" s="684"/>
      <c r="DH91" s="684"/>
      <c r="DI91" s="684"/>
      <c r="DJ91" s="684"/>
      <c r="DK91" s="684"/>
      <c r="DL91" s="684"/>
      <c r="DM91" s="684"/>
      <c r="DN91" s="684"/>
      <c r="DO91" s="684"/>
      <c r="DP91" s="684"/>
      <c r="DQ91" s="684"/>
      <c r="DR91" s="684"/>
      <c r="DS91" s="684"/>
      <c r="DT91" s="684"/>
      <c r="DU91" s="684"/>
      <c r="DV91" s="684"/>
      <c r="DW91" s="684"/>
      <c r="DX91" s="684"/>
      <c r="DY91" s="684"/>
      <c r="DZ91" s="684"/>
      <c r="EA91" s="684"/>
      <c r="EB91" s="684"/>
      <c r="EC91" s="684"/>
      <c r="ED91" s="684"/>
      <c r="EE91" s="684"/>
      <c r="EF91" s="684"/>
      <c r="EG91" s="684"/>
      <c r="EH91" s="684"/>
      <c r="EI91" s="684"/>
      <c r="EJ91" s="684"/>
      <c r="EK91" s="684"/>
      <c r="EL91" s="684"/>
      <c r="EM91" s="684"/>
      <c r="EN91" s="684"/>
      <c r="EO91" s="684"/>
      <c r="EP91" s="684"/>
      <c r="EQ91" s="684"/>
      <c r="ER91" s="684"/>
      <c r="ES91" s="684"/>
      <c r="ET91" s="684"/>
      <c r="EU91" s="684"/>
      <c r="EV91" s="684"/>
      <c r="EW91" s="684"/>
      <c r="EX91" s="684"/>
      <c r="EY91" s="684"/>
      <c r="EZ91" s="684"/>
      <c r="FA91" s="684"/>
      <c r="FB91" s="684"/>
      <c r="FC91" s="684"/>
      <c r="FD91" s="684"/>
      <c r="FE91" s="684"/>
      <c r="FF91" s="684"/>
      <c r="FG91" s="684"/>
      <c r="FH91" s="684"/>
      <c r="FI91" s="684"/>
      <c r="FJ91" s="684"/>
      <c r="FK91" s="684"/>
      <c r="FL91" s="684"/>
      <c r="FM91" s="684"/>
      <c r="FN91" s="684"/>
      <c r="FO91" s="684"/>
      <c r="FP91" s="684"/>
    </row>
    <row r="92" spans="1:172">
      <c r="A92" s="719" t="str">
        <f>Interims!A271</f>
        <v>Voice</v>
      </c>
      <c r="B92" s="723">
        <f>Interims!Q271</f>
        <v>30.600000000000023</v>
      </c>
      <c r="C92" s="723">
        <f>Interims!R271</f>
        <v>27.799999999999955</v>
      </c>
      <c r="D92" s="723">
        <f>Interims!S271</f>
        <v>59.299999999999955</v>
      </c>
      <c r="E92" s="723">
        <f>Interims!T271</f>
        <v>44.300000000000068</v>
      </c>
      <c r="F92" s="723">
        <f>Interims!V271</f>
        <v>26.879000000000019</v>
      </c>
      <c r="G92" s="723">
        <f>Interims!W271</f>
        <v>47.905999999999949</v>
      </c>
      <c r="H92" s="723">
        <f>Interims!X271</f>
        <v>24.215000000000032</v>
      </c>
      <c r="I92" s="723">
        <f>Interims!Y271</f>
        <v>80.182000000000016</v>
      </c>
      <c r="J92" s="724"/>
      <c r="K92" s="723">
        <f>Interims!AB271</f>
        <v>147.76099999999997</v>
      </c>
      <c r="L92" s="723">
        <f>Interims!AC271</f>
        <v>154.43900000000008</v>
      </c>
      <c r="M92" s="723">
        <f>Interims!AD271</f>
        <v>140.82600000000002</v>
      </c>
      <c r="N92" s="723">
        <f>Interims!AF271</f>
        <v>77.563999999999851</v>
      </c>
      <c r="O92" s="723">
        <f>Interims!AG271</f>
        <v>82.810000000000173</v>
      </c>
      <c r="P92" s="723">
        <f>Interims!AH271</f>
        <v>40.893000000000029</v>
      </c>
      <c r="Q92" s="723">
        <f>Interims!AI271</f>
        <v>20.906999999999698</v>
      </c>
      <c r="R92" s="723">
        <f>Interims!AK271</f>
        <v>2.8479999999999999</v>
      </c>
      <c r="S92" s="723">
        <f>Interims!AL271</f>
        <v>14.82300000000032</v>
      </c>
      <c r="T92" s="723">
        <f>Interims!AM271</f>
        <v>23.264999999999873</v>
      </c>
      <c r="U92" s="723">
        <f>Interims!AN271</f>
        <v>22.887000000000171</v>
      </c>
      <c r="V92" s="723">
        <f>Interims!AP271</f>
        <v>36.047999999999774</v>
      </c>
      <c r="W92" s="723">
        <f>Interims!AQ271</f>
        <v>115.07299999999987</v>
      </c>
      <c r="X92" s="723">
        <f>Interims!AR271</f>
        <v>246.89900000000034</v>
      </c>
      <c r="Y92" s="723">
        <f>Interims!AS271</f>
        <v>458.5359999999996</v>
      </c>
      <c r="Z92" s="723">
        <f>Interims!AU271</f>
        <v>204.69200000000001</v>
      </c>
      <c r="AA92" s="723">
        <f>Interims!AV271</f>
        <v>202.18700000000035</v>
      </c>
      <c r="AB92" s="723">
        <f>Interims!AW271</f>
        <v>148.61299999999983</v>
      </c>
      <c r="AC92" s="723">
        <f>Interims!AX271</f>
        <v>103.99200000000019</v>
      </c>
      <c r="AD92" s="723">
        <f>Interims!AZ271</f>
        <v>145.52699999999959</v>
      </c>
      <c r="AE92" s="723">
        <f>Interims!BA271</f>
        <v>214.52800000000025</v>
      </c>
      <c r="AF92" s="723">
        <f>Interims!BB271</f>
        <v>189.2170000000001</v>
      </c>
      <c r="AG92" s="723">
        <f>Interims!BC271</f>
        <v>109.26599999999962</v>
      </c>
      <c r="AH92" s="723">
        <f>Interims!BE271</f>
        <v>85.875</v>
      </c>
      <c r="AI92" s="723">
        <f>Interims!BF271</f>
        <v>35.033000000000357</v>
      </c>
      <c r="AJ92" s="723">
        <f>Interims!BG271</f>
        <v>68.300000000000182</v>
      </c>
      <c r="AK92" s="723">
        <f>Interims!BH271</f>
        <v>131.52700000000004</v>
      </c>
      <c r="AL92" s="723">
        <f>Interims!BJ271</f>
        <v>147.32699999999932</v>
      </c>
      <c r="AM92" s="723">
        <f>Interims!BK271</f>
        <v>147.13500000000022</v>
      </c>
      <c r="AN92" s="723">
        <f>Interims!BL271</f>
        <v>152.34799999999996</v>
      </c>
      <c r="AO92" s="723">
        <f>Interims!BM271</f>
        <v>169.64900000000034</v>
      </c>
      <c r="AP92" s="723">
        <f>Interims!BO271</f>
        <v>174.83600000000024</v>
      </c>
      <c r="AQ92" s="723">
        <f>Interims!BP271</f>
        <v>57.473999999999251</v>
      </c>
      <c r="AR92" s="723">
        <f>Interims!BQ271</f>
        <v>-115.27700000000004</v>
      </c>
      <c r="AS92" s="723">
        <f>Interims!BR271</f>
        <v>0.38800000000082946</v>
      </c>
      <c r="AT92" s="723">
        <f>Interims!BT271</f>
        <v>4.3049999999993815</v>
      </c>
      <c r="AU92" s="723">
        <f>Interims!BU271</f>
        <v>33.855000000000473</v>
      </c>
      <c r="AV92" s="723">
        <f>Interims!BV271</f>
        <v>28.965000000000146</v>
      </c>
      <c r="AW92" s="723">
        <f>Interims!BW271</f>
        <v>-35.321000000000822</v>
      </c>
      <c r="AX92" s="723">
        <f>Interims!BY271</f>
        <v>61.731000000000677</v>
      </c>
      <c r="AY92" s="723">
        <f>Interims!BZ271</f>
        <v>27.514000000000124</v>
      </c>
      <c r="AZ92" s="723">
        <f>Interims!CA271</f>
        <v>40.687999999999192</v>
      </c>
      <c r="BA92" s="723">
        <f>Interims!CB271</f>
        <v>39.431000000000495</v>
      </c>
      <c r="BB92" s="723">
        <f>Interims!CD271</f>
        <v>41.463999999999942</v>
      </c>
      <c r="BC92" s="703"/>
      <c r="BD92" s="703"/>
      <c r="BE92" s="684"/>
      <c r="BG92" s="724" t="s">
        <v>97</v>
      </c>
      <c r="BH92" s="725">
        <f t="shared" ref="BH92:BX92" si="29">AH17</f>
        <v>0</v>
      </c>
      <c r="BI92" s="725">
        <f t="shared" si="29"/>
        <v>0</v>
      </c>
      <c r="BJ92" s="725">
        <f t="shared" si="29"/>
        <v>0</v>
      </c>
      <c r="BK92" s="725">
        <f t="shared" si="29"/>
        <v>92.262</v>
      </c>
      <c r="BL92" s="725">
        <f t="shared" si="29"/>
        <v>73</v>
      </c>
      <c r="BM92" s="725">
        <f t="shared" si="29"/>
        <v>73.09899999999999</v>
      </c>
      <c r="BN92" s="725">
        <f t="shared" si="29"/>
        <v>80.63900000000001</v>
      </c>
      <c r="BO92" s="725">
        <f t="shared" si="29"/>
        <v>67.113999999999976</v>
      </c>
      <c r="BP92" s="725">
        <f t="shared" si="29"/>
        <v>44.298000000000002</v>
      </c>
      <c r="BQ92" s="725">
        <f t="shared" si="29"/>
        <v>72.016999999999996</v>
      </c>
      <c r="BR92" s="725">
        <f t="shared" si="29"/>
        <v>91.571000000000026</v>
      </c>
      <c r="BS92" s="725">
        <f t="shared" si="29"/>
        <v>72</v>
      </c>
      <c r="BT92" s="725">
        <f t="shared" si="29"/>
        <v>32</v>
      </c>
      <c r="BU92" s="725">
        <f t="shared" si="29"/>
        <v>9</v>
      </c>
      <c r="BV92" s="725">
        <f t="shared" si="29"/>
        <v>15.480999999999995</v>
      </c>
      <c r="BW92" s="725">
        <f t="shared" si="29"/>
        <v>4.7450000000000045</v>
      </c>
      <c r="BX92" s="725">
        <f t="shared" si="29"/>
        <v>-8.0030000000000427</v>
      </c>
      <c r="BY92" s="1988"/>
      <c r="BZ92" s="725">
        <f>AY17</f>
        <v>-26.455999999999904</v>
      </c>
      <c r="CA92" s="725">
        <f>AZ17</f>
        <v>-25.754000000000019</v>
      </c>
      <c r="CB92" s="725">
        <f>BA17</f>
        <v>-26.719000000000051</v>
      </c>
      <c r="CC92" s="725">
        <f>BB17</f>
        <v>-32.172000000000025</v>
      </c>
      <c r="CF92" s="694"/>
      <c r="CJ92" s="684"/>
      <c r="CK92" s="684"/>
      <c r="CL92" s="684"/>
      <c r="CM92" s="684"/>
      <c r="CN92" s="684"/>
      <c r="CO92" s="684"/>
      <c r="CP92" s="684"/>
      <c r="CQ92" s="684"/>
      <c r="CR92" s="684"/>
      <c r="CS92" s="684"/>
      <c r="CT92" s="684"/>
      <c r="CU92" s="684"/>
      <c r="CV92" s="684"/>
      <c r="CW92" s="684"/>
      <c r="CX92" s="684"/>
      <c r="CY92" s="684"/>
      <c r="CZ92" s="684"/>
      <c r="DA92" s="684"/>
      <c r="DB92" s="684"/>
      <c r="DC92" s="684"/>
      <c r="DD92" s="684"/>
      <c r="DE92" s="684"/>
      <c r="DF92" s="684"/>
      <c r="DG92" s="684"/>
      <c r="DH92" s="684"/>
      <c r="DI92" s="684"/>
      <c r="DJ92" s="684"/>
      <c r="DK92" s="684"/>
      <c r="DL92" s="684"/>
      <c r="DM92" s="684"/>
      <c r="DN92" s="684"/>
      <c r="DO92" s="684"/>
      <c r="DP92" s="684"/>
      <c r="DQ92" s="684"/>
      <c r="DR92" s="684"/>
      <c r="DS92" s="684"/>
      <c r="DT92" s="684"/>
      <c r="DU92" s="684"/>
      <c r="DV92" s="684"/>
      <c r="DW92" s="684"/>
      <c r="DX92" s="684"/>
      <c r="DY92" s="684"/>
      <c r="DZ92" s="684"/>
      <c r="EA92" s="684"/>
      <c r="EB92" s="684"/>
      <c r="EC92" s="684"/>
      <c r="ED92" s="684"/>
      <c r="EE92" s="684"/>
      <c r="EF92" s="684"/>
      <c r="EG92" s="684"/>
      <c r="EH92" s="684"/>
      <c r="EI92" s="684"/>
      <c r="EJ92" s="684"/>
      <c r="EK92" s="684"/>
      <c r="EL92" s="684"/>
      <c r="EM92" s="684"/>
      <c r="EN92" s="684"/>
      <c r="EO92" s="684"/>
      <c r="EP92" s="684"/>
      <c r="EQ92" s="684"/>
      <c r="ER92" s="684"/>
      <c r="ES92" s="684"/>
      <c r="ET92" s="684"/>
      <c r="EU92" s="684"/>
      <c r="EV92" s="684"/>
      <c r="EW92" s="684"/>
      <c r="EX92" s="684"/>
      <c r="EY92" s="684"/>
      <c r="EZ92" s="684"/>
      <c r="FA92" s="684"/>
      <c r="FB92" s="684"/>
      <c r="FC92" s="684"/>
      <c r="FD92" s="684"/>
      <c r="FE92" s="684"/>
      <c r="FF92" s="684"/>
      <c r="FG92" s="684"/>
      <c r="FH92" s="684"/>
      <c r="FI92" s="684"/>
      <c r="FJ92" s="684"/>
      <c r="FK92" s="684"/>
      <c r="FL92" s="684"/>
      <c r="FM92" s="684"/>
      <c r="FN92" s="684"/>
      <c r="FO92" s="684"/>
      <c r="FP92" s="684"/>
    </row>
    <row r="93" spans="1:172">
      <c r="A93" s="707" t="str">
        <f>Interims!A273</f>
        <v>Total RGUs</v>
      </c>
      <c r="B93" s="703">
        <f>Interims!Q273</f>
        <v>163.8000000000003</v>
      </c>
      <c r="C93" s="703">
        <f>Interims!R273</f>
        <v>142.19999999999891</v>
      </c>
      <c r="D93" s="703">
        <f>Interims!S273</f>
        <v>227.36000000000058</v>
      </c>
      <c r="E93" s="703">
        <f>Interims!T273</f>
        <v>175.64000000000033</v>
      </c>
      <c r="F93" s="703">
        <f>Interims!V273</f>
        <v>134.00700000000052</v>
      </c>
      <c r="G93" s="703">
        <f>Interims!W273</f>
        <v>189.72499999999945</v>
      </c>
      <c r="H93" s="703">
        <f>Interims!X273</f>
        <v>92.367999999999483</v>
      </c>
      <c r="I93" s="703">
        <f>Interims!Y273</f>
        <v>247.52800000000025</v>
      </c>
      <c r="J93" s="703">
        <f>Interims!AA273</f>
        <v>395.37700000000041</v>
      </c>
      <c r="K93" s="703">
        <f>Interims!AB273</f>
        <v>341.67400000000089</v>
      </c>
      <c r="L93" s="703">
        <f>Interims!AC273</f>
        <v>338.72600000000057</v>
      </c>
      <c r="M93" s="703">
        <f>Interims!AD273</f>
        <v>419.97999999999956</v>
      </c>
      <c r="N93" s="703">
        <f>Interims!AF273</f>
        <v>249.79599999999846</v>
      </c>
      <c r="O93" s="703">
        <f>Interims!AG273</f>
        <v>260.22400000000016</v>
      </c>
      <c r="P93" s="703">
        <f>Interims!AH273</f>
        <v>149.34799999999996</v>
      </c>
      <c r="Q93" s="703">
        <f>Interims!AI273</f>
        <v>52.152000000000044</v>
      </c>
      <c r="R93" s="703">
        <f>Interims!AK273</f>
        <v>-19.718999999999994</v>
      </c>
      <c r="S93" s="703">
        <f>Interims!AL273</f>
        <v>159.31899999999951</v>
      </c>
      <c r="T93" s="703">
        <f>Interims!AM273</f>
        <v>198.77000000000044</v>
      </c>
      <c r="U93" s="703">
        <f>Interims!AN273</f>
        <v>241.86799999999857</v>
      </c>
      <c r="V93" s="703">
        <f>Interims!AP273</f>
        <v>262.24799999999959</v>
      </c>
      <c r="W93" s="703">
        <f>Interims!AQ273</f>
        <v>329.33100000000013</v>
      </c>
      <c r="X93" s="703">
        <f>Interims!AR273</f>
        <v>273.81399999999849</v>
      </c>
      <c r="Y93" s="703">
        <f>Interims!AS273</f>
        <v>872.42699999999968</v>
      </c>
      <c r="Z93" s="703">
        <f>Interims!AU273</f>
        <v>284.79199999999946</v>
      </c>
      <c r="AA93" s="703">
        <f>Interims!AV273</f>
        <v>286.3690000000006</v>
      </c>
      <c r="AB93" s="703">
        <f>Interims!AW273</f>
        <v>125.33100000000013</v>
      </c>
      <c r="AC93" s="703">
        <f>Interims!AX273</f>
        <v>114.90900000000147</v>
      </c>
      <c r="AD93" s="703">
        <f>Interims!AZ273</f>
        <v>255.77099999999882</v>
      </c>
      <c r="AE93" s="703">
        <f>Interims!BA273</f>
        <v>494.12200000000121</v>
      </c>
      <c r="AF93" s="703">
        <f>Interims!BB273</f>
        <v>461.72899999999936</v>
      </c>
      <c r="AG93" s="703">
        <f>Interims!BC273</f>
        <v>223.05499999999847</v>
      </c>
      <c r="AH93" s="703">
        <f>Interims!BE273</f>
        <v>169.31300000000192</v>
      </c>
      <c r="AI93" s="703">
        <f>Interims!BF273</f>
        <v>62.099999999998545</v>
      </c>
      <c r="AJ93" s="703">
        <f>Interims!BG273</f>
        <v>52.030000000002474</v>
      </c>
      <c r="AK93" s="703">
        <f>Interims!BH273</f>
        <v>217.84899999999834</v>
      </c>
      <c r="AL93" s="703">
        <f>Interims!BJ273</f>
        <v>336.21899999999732</v>
      </c>
      <c r="AM93" s="703">
        <f>Interims!BK273</f>
        <v>325.22200000000157</v>
      </c>
      <c r="AN93" s="703">
        <f>Interims!BL273</f>
        <v>338.8020000000015</v>
      </c>
      <c r="AO93" s="703">
        <f>Interims!BM273</f>
        <v>327.18099999999868</v>
      </c>
      <c r="AP93" s="703">
        <f>Interims!BO273</f>
        <v>314.7300000000032</v>
      </c>
      <c r="AQ93" s="703">
        <f>Interims!BP273</f>
        <v>-5.3940000000038708</v>
      </c>
      <c r="AR93" s="703">
        <f>Interims!BQ273</f>
        <v>-838.15599999999904</v>
      </c>
      <c r="AS93" s="703">
        <f>Interims!BR273</f>
        <v>9.6020000000007713</v>
      </c>
      <c r="AT93" s="703">
        <f>Interims!BT273</f>
        <v>27.694999999999709</v>
      </c>
      <c r="AU93" s="703">
        <f>Interims!BU273</f>
        <v>-11.572999999998501</v>
      </c>
      <c r="AV93" s="703">
        <f>Interims!BV273</f>
        <v>-19.618000000000393</v>
      </c>
      <c r="AW93" s="703">
        <f>Interims!BW273</f>
        <v>-203.9280000000017</v>
      </c>
      <c r="AX93" s="703">
        <f>Interims!BY273</f>
        <v>29.126000000000204</v>
      </c>
      <c r="AY93" s="703">
        <f>Interims!BZ273</f>
        <v>64.371000000002823</v>
      </c>
      <c r="AZ93" s="703">
        <f>Interims!CA273</f>
        <v>113.58699999999772</v>
      </c>
      <c r="BA93" s="703">
        <f>Interims!CB273</f>
        <v>128.13500000000022</v>
      </c>
      <c r="BB93" s="703">
        <f>Interims!CD273</f>
        <v>162.19200000000092</v>
      </c>
      <c r="BC93" s="703"/>
      <c r="BD93" s="703"/>
      <c r="BE93" s="684"/>
      <c r="BG93" s="684" t="s">
        <v>85</v>
      </c>
      <c r="BH93" s="703">
        <f t="shared" ref="BH93:BO93" si="30">SUM(BH90:BH92)</f>
        <v>284.35899999999992</v>
      </c>
      <c r="BI93" s="703">
        <f t="shared" si="30"/>
        <v>216.06600000000026</v>
      </c>
      <c r="BJ93" s="703">
        <f t="shared" si="30"/>
        <v>139.58199999999943</v>
      </c>
      <c r="BK93" s="703">
        <f t="shared" si="30"/>
        <v>451.63399999999984</v>
      </c>
      <c r="BL93" s="703">
        <f t="shared" si="30"/>
        <v>172.69700000000012</v>
      </c>
      <c r="BM93" s="703">
        <f t="shared" si="30"/>
        <v>215.23699999999991</v>
      </c>
      <c r="BN93" s="703">
        <f t="shared" si="30"/>
        <v>143.40100000000018</v>
      </c>
      <c r="BO93" s="703">
        <f t="shared" si="30"/>
        <v>135.16800000000006</v>
      </c>
      <c r="BP93" s="703">
        <f t="shared" ref="BP93:BZ93" si="31">SUM(BP90:BP92)</f>
        <v>214.09999999999968</v>
      </c>
      <c r="BQ93" s="703">
        <f t="shared" si="31"/>
        <v>407.21000000000021</v>
      </c>
      <c r="BR93" s="703">
        <f t="shared" si="31"/>
        <v>510.13399999999967</v>
      </c>
      <c r="BS93" s="703">
        <f t="shared" si="31"/>
        <v>295.94300000000067</v>
      </c>
      <c r="BT93" s="703">
        <f t="shared" si="31"/>
        <v>215.37599999999975</v>
      </c>
      <c r="BU93" s="703">
        <f t="shared" si="31"/>
        <v>98.528999999999996</v>
      </c>
      <c r="BV93" s="703">
        <f t="shared" si="31"/>
        <v>145.07600000000025</v>
      </c>
      <c r="BW93" s="703">
        <f t="shared" si="31"/>
        <v>144.04499999999973</v>
      </c>
      <c r="BX93" s="703">
        <f t="shared" si="31"/>
        <v>134.32499999999993</v>
      </c>
      <c r="BY93" s="703"/>
      <c r="BZ93" s="703">
        <f t="shared" si="31"/>
        <v>70.286000000000286</v>
      </c>
      <c r="CA93" s="703">
        <f>SUM(CA90:CA92)</f>
        <v>171.1369999999996</v>
      </c>
      <c r="CB93" s="703">
        <f>SUM(CB90:CB92)</f>
        <v>176.33599999999979</v>
      </c>
      <c r="CC93" s="703">
        <f>SUM(BQ87:BQ89)</f>
        <v>0</v>
      </c>
      <c r="CF93" s="703"/>
      <c r="CJ93" s="684"/>
      <c r="CK93" s="684"/>
      <c r="CL93" s="684"/>
      <c r="CM93" s="684"/>
      <c r="CN93" s="684"/>
      <c r="CO93" s="684"/>
      <c r="CP93" s="684"/>
      <c r="CQ93" s="684"/>
      <c r="CR93" s="684"/>
      <c r="CS93" s="684"/>
      <c r="CT93" s="684"/>
      <c r="CU93" s="684"/>
      <c r="CV93" s="684"/>
      <c r="CW93" s="684"/>
      <c r="CX93" s="684"/>
      <c r="CY93" s="684"/>
      <c r="CZ93" s="684"/>
      <c r="DA93" s="684"/>
      <c r="DB93" s="684"/>
      <c r="DC93" s="684"/>
      <c r="DD93" s="684"/>
      <c r="DE93" s="684"/>
      <c r="DF93" s="684"/>
      <c r="DG93" s="684"/>
      <c r="DH93" s="684"/>
      <c r="DI93" s="684"/>
      <c r="DJ93" s="684"/>
      <c r="DK93" s="684"/>
      <c r="DL93" s="684"/>
      <c r="DM93" s="684"/>
      <c r="DN93" s="684"/>
      <c r="DO93" s="684"/>
      <c r="DP93" s="684"/>
      <c r="DQ93" s="684"/>
      <c r="DR93" s="684"/>
      <c r="DS93" s="684"/>
      <c r="DT93" s="684"/>
      <c r="DU93" s="684"/>
      <c r="DV93" s="684"/>
      <c r="DW93" s="684"/>
      <c r="DX93" s="684"/>
      <c r="DY93" s="684"/>
      <c r="DZ93" s="684"/>
      <c r="EA93" s="684"/>
      <c r="EB93" s="684"/>
      <c r="EC93" s="684"/>
      <c r="ED93" s="684"/>
      <c r="EE93" s="684"/>
      <c r="EF93" s="684"/>
      <c r="EG93" s="684"/>
      <c r="EH93" s="684"/>
      <c r="EI93" s="684"/>
      <c r="EJ93" s="684"/>
      <c r="EK93" s="684"/>
      <c r="EL93" s="684"/>
      <c r="EM93" s="684"/>
      <c r="EN93" s="684"/>
      <c r="EO93" s="684"/>
      <c r="EP93" s="684"/>
      <c r="EQ93" s="684"/>
      <c r="ER93" s="684"/>
      <c r="ES93" s="684"/>
      <c r="ET93" s="684"/>
      <c r="EU93" s="684"/>
      <c r="EV93" s="684"/>
      <c r="EW93" s="684"/>
      <c r="EX93" s="684"/>
      <c r="EY93" s="684"/>
      <c r="EZ93" s="684"/>
      <c r="FA93" s="684"/>
      <c r="FB93" s="684"/>
      <c r="FC93" s="684"/>
      <c r="FD93" s="684"/>
      <c r="FE93" s="684"/>
      <c r="FF93" s="684"/>
      <c r="FG93" s="684"/>
      <c r="FH93" s="684"/>
      <c r="FI93" s="684"/>
      <c r="FJ93" s="684"/>
      <c r="FK93" s="684"/>
      <c r="FL93" s="684"/>
      <c r="FM93" s="684"/>
      <c r="FN93" s="684"/>
      <c r="FO93" s="684"/>
      <c r="FP93" s="684"/>
    </row>
    <row r="94" spans="1:172">
      <c r="A94" s="684" t="s">
        <v>932</v>
      </c>
      <c r="B94" s="684"/>
      <c r="C94" s="684"/>
      <c r="D94" s="684"/>
      <c r="E94" s="684"/>
      <c r="F94" s="697"/>
      <c r="G94" s="697"/>
      <c r="H94" s="697"/>
      <c r="I94" s="697"/>
      <c r="J94" s="684"/>
      <c r="K94" s="684"/>
      <c r="L94" s="684"/>
      <c r="M94" s="684"/>
      <c r="N94" s="684"/>
      <c r="O94" s="684"/>
      <c r="P94" s="703"/>
      <c r="Q94" s="703"/>
      <c r="R94" s="703"/>
      <c r="S94" s="703"/>
      <c r="T94" s="703"/>
      <c r="U94" s="684"/>
      <c r="V94" s="684"/>
      <c r="W94" s="684"/>
      <c r="X94" s="684"/>
      <c r="Y94" s="684"/>
      <c r="Z94" s="684"/>
      <c r="AA94" s="684"/>
      <c r="AB94" s="684"/>
      <c r="AC94" s="684"/>
      <c r="AD94" s="684"/>
      <c r="AE94" s="684"/>
      <c r="AF94" s="684"/>
      <c r="AG94" s="684"/>
      <c r="AH94" s="684"/>
      <c r="AI94" s="684"/>
      <c r="AJ94" s="684"/>
      <c r="AK94" s="684"/>
      <c r="AL94" s="684"/>
      <c r="AM94" s="684"/>
      <c r="AN94" s="684"/>
      <c r="AO94" s="684"/>
      <c r="AP94" s="684"/>
      <c r="AQ94" s="684"/>
      <c r="AR94" s="684"/>
      <c r="AS94" s="684"/>
      <c r="AT94" s="684"/>
      <c r="AU94" s="684"/>
      <c r="AV94" s="684"/>
      <c r="AW94" s="684"/>
      <c r="AX94" s="684"/>
      <c r="AY94" s="684"/>
      <c r="AZ94" s="684"/>
      <c r="BA94" s="684"/>
      <c r="BB94" s="684"/>
      <c r="BC94" s="684"/>
      <c r="BD94" s="684"/>
      <c r="BE94" s="684"/>
      <c r="BF94" s="684"/>
      <c r="BG94" s="684"/>
      <c r="BH94" s="684"/>
      <c r="BI94" s="684"/>
      <c r="BJ94" s="684"/>
      <c r="BK94" s="684"/>
      <c r="BL94" s="684"/>
      <c r="BM94" s="684"/>
      <c r="BN94" s="684"/>
      <c r="BO94" s="684"/>
      <c r="BP94" s="684"/>
      <c r="BQ94" s="684"/>
      <c r="BR94" s="684"/>
      <c r="BS94" s="684"/>
      <c r="BT94" s="684"/>
      <c r="BU94" s="684"/>
      <c r="BV94" s="684"/>
      <c r="BW94" s="684"/>
      <c r="BX94" s="684"/>
      <c r="BY94" s="684"/>
      <c r="BZ94" s="684"/>
      <c r="CA94" s="684"/>
      <c r="CB94" s="684"/>
      <c r="CC94" s="684"/>
      <c r="CD94" s="684"/>
      <c r="CF94" s="684"/>
      <c r="CG94" s="684"/>
      <c r="CH94" s="684"/>
      <c r="CI94" s="684"/>
      <c r="CJ94" s="684"/>
      <c r="CK94" s="684"/>
      <c r="CL94" s="684"/>
      <c r="CM94" s="684"/>
      <c r="CN94" s="684"/>
      <c r="CO94" s="684"/>
      <c r="CP94" s="684"/>
      <c r="CQ94" s="684"/>
      <c r="CR94" s="684"/>
      <c r="CS94" s="684"/>
      <c r="CT94" s="684"/>
      <c r="CU94" s="684"/>
      <c r="CV94" s="684"/>
      <c r="CW94" s="684"/>
      <c r="CX94" s="684"/>
      <c r="CY94" s="684"/>
      <c r="CZ94" s="684"/>
      <c r="DA94" s="684"/>
      <c r="DB94" s="684"/>
      <c r="DC94" s="684"/>
      <c r="DD94" s="684"/>
      <c r="DE94" s="684"/>
      <c r="DF94" s="684"/>
      <c r="DG94" s="684"/>
      <c r="DH94" s="684"/>
      <c r="DI94" s="684"/>
      <c r="DJ94" s="684"/>
      <c r="DK94" s="684"/>
      <c r="DL94" s="684"/>
      <c r="DM94" s="684"/>
      <c r="DN94" s="684"/>
      <c r="DO94" s="684"/>
      <c r="DP94" s="684"/>
      <c r="DQ94" s="684"/>
      <c r="DR94" s="684"/>
      <c r="DS94" s="684"/>
      <c r="DT94" s="684"/>
      <c r="DU94" s="684"/>
      <c r="DV94" s="684"/>
      <c r="DW94" s="684"/>
      <c r="DX94" s="684"/>
      <c r="DY94" s="684"/>
      <c r="DZ94" s="684"/>
      <c r="EA94" s="684"/>
      <c r="EB94" s="684"/>
      <c r="EC94" s="684"/>
      <c r="ED94" s="684"/>
      <c r="EE94" s="684"/>
      <c r="EF94" s="684"/>
      <c r="EG94" s="684"/>
      <c r="EH94" s="684"/>
      <c r="EI94" s="684"/>
      <c r="EJ94" s="684"/>
      <c r="EK94" s="684"/>
      <c r="EL94" s="684"/>
      <c r="EM94" s="684"/>
      <c r="EN94" s="684"/>
      <c r="EO94" s="684"/>
      <c r="EP94" s="684"/>
      <c r="EQ94" s="684"/>
      <c r="ER94" s="684"/>
      <c r="ES94" s="684"/>
      <c r="ET94" s="684"/>
      <c r="EU94" s="684"/>
      <c r="EV94" s="684"/>
      <c r="EW94" s="684"/>
      <c r="EX94" s="684"/>
      <c r="EY94" s="684"/>
      <c r="EZ94" s="684"/>
      <c r="FA94" s="684"/>
      <c r="FB94" s="684"/>
      <c r="FC94" s="684"/>
      <c r="FD94" s="684"/>
      <c r="FE94" s="684"/>
      <c r="FF94" s="684"/>
      <c r="FG94" s="684"/>
      <c r="FH94" s="684"/>
      <c r="FI94" s="684"/>
      <c r="FJ94" s="684"/>
      <c r="FK94" s="684"/>
      <c r="FL94" s="684"/>
      <c r="FM94" s="684"/>
      <c r="FN94" s="684"/>
      <c r="FO94" s="684"/>
    </row>
    <row r="95" spans="1:172">
      <c r="A95" s="684"/>
      <c r="B95" s="684"/>
      <c r="C95" s="684"/>
      <c r="D95" s="684"/>
      <c r="E95" s="684"/>
      <c r="F95" s="697"/>
      <c r="G95" s="697"/>
      <c r="H95" s="697"/>
      <c r="I95" s="697"/>
      <c r="J95" s="684"/>
      <c r="K95" s="684"/>
      <c r="L95" s="684"/>
      <c r="M95" s="684"/>
      <c r="N95" s="684"/>
      <c r="O95" s="684"/>
      <c r="P95" s="703"/>
      <c r="Q95" s="703"/>
      <c r="R95" s="703"/>
      <c r="S95" s="703"/>
      <c r="T95" s="703"/>
      <c r="U95" s="684"/>
      <c r="V95" s="684"/>
      <c r="W95" s="684"/>
      <c r="X95" s="684"/>
      <c r="Y95" s="684"/>
      <c r="Z95" s="684"/>
      <c r="AA95" s="684"/>
      <c r="AB95" s="684"/>
      <c r="AC95" s="684"/>
      <c r="AD95" s="684"/>
      <c r="AE95" s="684"/>
      <c r="AF95" s="684"/>
      <c r="AG95" s="684"/>
      <c r="AH95" s="684"/>
      <c r="AI95" s="684"/>
      <c r="AJ95" s="684"/>
      <c r="AK95" s="684"/>
      <c r="AL95" s="684"/>
      <c r="AM95" s="684"/>
      <c r="AN95" s="684"/>
      <c r="AO95" s="684"/>
      <c r="AP95" s="684"/>
      <c r="AQ95" s="684"/>
      <c r="AR95" s="684"/>
      <c r="AS95" s="684"/>
      <c r="AT95" s="684"/>
      <c r="AU95" s="684"/>
      <c r="AV95" s="684"/>
      <c r="AW95" s="684"/>
      <c r="AX95" s="684"/>
      <c r="AY95" s="684"/>
      <c r="AZ95" s="684"/>
      <c r="BA95" s="684"/>
      <c r="BB95" s="684"/>
      <c r="BC95" s="684"/>
      <c r="BD95" s="684"/>
      <c r="BE95" s="684"/>
      <c r="BF95" s="684"/>
      <c r="BG95" s="684"/>
      <c r="BH95" s="684"/>
      <c r="BI95" s="684"/>
      <c r="BJ95" s="684"/>
      <c r="BK95" s="684"/>
      <c r="BL95" s="684"/>
      <c r="BM95" s="684"/>
      <c r="BN95" s="684"/>
      <c r="BO95" s="684"/>
      <c r="BP95" s="684"/>
      <c r="BQ95" s="684"/>
      <c r="BR95" s="684"/>
      <c r="BS95" s="684"/>
      <c r="BT95" s="684"/>
      <c r="BU95" s="684"/>
      <c r="BV95" s="684"/>
      <c r="BW95" s="684"/>
      <c r="BX95" s="684"/>
      <c r="BY95" s="684"/>
      <c r="BZ95" s="684"/>
      <c r="CA95" s="684"/>
      <c r="CB95" s="684"/>
      <c r="CC95" s="684"/>
      <c r="CD95" s="684"/>
      <c r="CE95" s="684"/>
      <c r="CF95" s="684"/>
      <c r="CG95" s="684"/>
      <c r="CH95" s="684"/>
      <c r="CI95" s="684"/>
      <c r="CJ95" s="684"/>
      <c r="CK95" s="684"/>
      <c r="CL95" s="684"/>
      <c r="CM95" s="684"/>
      <c r="CN95" s="684"/>
      <c r="CO95" s="684"/>
      <c r="CP95" s="684"/>
      <c r="CQ95" s="684"/>
      <c r="CR95" s="684"/>
      <c r="CS95" s="684"/>
      <c r="CT95" s="684"/>
      <c r="CU95" s="684"/>
      <c r="CV95" s="684"/>
      <c r="CW95" s="684"/>
      <c r="CX95" s="684"/>
      <c r="CY95" s="684"/>
      <c r="CZ95" s="684"/>
      <c r="DA95" s="684"/>
      <c r="DB95" s="684"/>
      <c r="DC95" s="684"/>
      <c r="DD95" s="684"/>
      <c r="DE95" s="684"/>
      <c r="DF95" s="684"/>
      <c r="DG95" s="684"/>
      <c r="DH95" s="684"/>
      <c r="DI95" s="684"/>
      <c r="DJ95" s="684"/>
      <c r="DK95" s="684"/>
      <c r="DL95" s="684"/>
      <c r="DM95" s="684"/>
      <c r="DN95" s="684"/>
      <c r="DO95" s="684"/>
      <c r="DP95" s="684"/>
      <c r="DQ95" s="684"/>
      <c r="DR95" s="684"/>
      <c r="DS95" s="684"/>
      <c r="DT95" s="684"/>
      <c r="DU95" s="684"/>
      <c r="DV95" s="684"/>
      <c r="DW95" s="684"/>
      <c r="DX95" s="684"/>
      <c r="DY95" s="684"/>
      <c r="DZ95" s="684"/>
      <c r="EA95" s="684"/>
      <c r="EB95" s="684"/>
      <c r="EC95" s="684"/>
      <c r="ED95" s="684"/>
      <c r="EE95" s="684"/>
      <c r="EF95" s="684"/>
      <c r="EG95" s="684"/>
      <c r="EH95" s="684"/>
      <c r="EI95" s="684"/>
      <c r="EJ95" s="684"/>
      <c r="EK95" s="684"/>
      <c r="EL95" s="684"/>
      <c r="EM95" s="684"/>
      <c r="EN95" s="684"/>
      <c r="EO95" s="684"/>
      <c r="EP95" s="684"/>
      <c r="EQ95" s="684"/>
      <c r="ER95" s="684"/>
      <c r="ES95" s="684"/>
      <c r="ET95" s="684"/>
      <c r="EU95" s="684"/>
      <c r="EV95" s="684"/>
      <c r="EW95" s="684"/>
      <c r="EX95" s="684"/>
      <c r="EY95" s="684"/>
      <c r="EZ95" s="684"/>
      <c r="FA95" s="684"/>
      <c r="FB95" s="684"/>
      <c r="FC95" s="684"/>
      <c r="FD95" s="684"/>
      <c r="FE95" s="684"/>
      <c r="FF95" s="684"/>
      <c r="FG95" s="684"/>
      <c r="FH95" s="684"/>
      <c r="FI95" s="684"/>
      <c r="FJ95" s="684"/>
      <c r="FK95" s="684"/>
      <c r="FL95" s="684"/>
      <c r="FM95" s="684"/>
      <c r="FN95" s="684"/>
      <c r="FO95" s="684"/>
    </row>
    <row r="96" spans="1:172">
      <c r="A96" s="704" t="s">
        <v>933</v>
      </c>
      <c r="B96" s="684"/>
      <c r="C96" s="684"/>
      <c r="D96" s="684"/>
      <c r="E96" s="684"/>
      <c r="F96" s="697"/>
      <c r="G96" s="697"/>
      <c r="H96" s="697"/>
      <c r="I96" s="697"/>
      <c r="J96" s="684"/>
      <c r="K96" s="684"/>
      <c r="L96" s="684"/>
      <c r="M96" s="684"/>
      <c r="N96" s="684"/>
      <c r="O96" s="684"/>
      <c r="P96" s="703"/>
      <c r="Q96" s="703"/>
      <c r="R96" s="703"/>
      <c r="S96" s="703"/>
      <c r="T96" s="703"/>
      <c r="U96" s="684"/>
      <c r="V96" s="684"/>
      <c r="W96" s="684"/>
      <c r="X96" s="684"/>
      <c r="Y96" s="684"/>
      <c r="Z96" s="684"/>
      <c r="AA96" s="684"/>
      <c r="AB96" s="684"/>
      <c r="AC96" s="684"/>
      <c r="AD96" s="684"/>
      <c r="AE96" s="684"/>
      <c r="AF96" s="684"/>
      <c r="AG96" s="684"/>
      <c r="AH96" s="684"/>
      <c r="AI96" s="684"/>
      <c r="AJ96" s="684"/>
      <c r="AK96" s="684"/>
      <c r="AL96" s="684"/>
      <c r="AM96" s="684"/>
      <c r="AN96" s="684"/>
      <c r="AO96" s="684"/>
      <c r="AP96" s="684"/>
      <c r="AQ96" s="684"/>
      <c r="AR96" s="684"/>
      <c r="AS96" s="684"/>
      <c r="AT96" s="684"/>
      <c r="AU96" s="684"/>
      <c r="AV96" s="684"/>
      <c r="AW96" s="684"/>
      <c r="AX96" s="684"/>
      <c r="AY96" s="684"/>
      <c r="AZ96" s="684"/>
      <c r="BA96" s="684"/>
      <c r="BB96" s="684"/>
      <c r="BC96" s="684"/>
      <c r="BD96" s="684"/>
      <c r="BE96" s="684"/>
      <c r="BF96" s="684"/>
      <c r="BG96" s="684"/>
      <c r="BH96" s="684"/>
      <c r="BI96" s="684"/>
      <c r="BJ96" s="684"/>
      <c r="BK96" s="684"/>
      <c r="BL96" s="684"/>
      <c r="BM96" s="684"/>
      <c r="BN96" s="684"/>
      <c r="BO96" s="684"/>
      <c r="BP96" s="684"/>
      <c r="BQ96" s="684"/>
      <c r="BR96" s="684"/>
      <c r="BS96" s="684"/>
      <c r="BT96" s="684"/>
      <c r="BU96" s="684"/>
      <c r="BV96" s="684"/>
      <c r="BW96" s="684"/>
      <c r="BX96" s="684"/>
      <c r="BY96" s="684"/>
      <c r="BZ96" s="684"/>
      <c r="CA96" s="684"/>
      <c r="CB96" s="684"/>
      <c r="CC96" s="684"/>
      <c r="CD96" s="684"/>
      <c r="CE96" s="684"/>
      <c r="CF96" s="684"/>
      <c r="CG96" s="684"/>
      <c r="CH96" s="684"/>
      <c r="CI96" s="684"/>
      <c r="CJ96" s="684"/>
      <c r="CK96" s="684"/>
      <c r="CL96" s="684"/>
      <c r="CM96" s="684"/>
      <c r="CN96" s="684"/>
      <c r="CO96" s="684"/>
      <c r="CP96" s="684"/>
      <c r="CQ96" s="684"/>
      <c r="CR96" s="684"/>
      <c r="CS96" s="684"/>
      <c r="CT96" s="684"/>
      <c r="CU96" s="684"/>
      <c r="CV96" s="684"/>
      <c r="CW96" s="684"/>
      <c r="CX96" s="684"/>
      <c r="CY96" s="684"/>
      <c r="CZ96" s="684"/>
      <c r="DA96" s="684"/>
      <c r="DB96" s="684"/>
      <c r="DC96" s="684"/>
      <c r="DD96" s="684"/>
      <c r="DE96" s="684"/>
      <c r="DF96" s="684"/>
      <c r="DG96" s="684"/>
      <c r="DH96" s="684"/>
      <c r="DI96" s="684"/>
      <c r="DJ96" s="684"/>
      <c r="DK96" s="684"/>
      <c r="DL96" s="684"/>
      <c r="DM96" s="684"/>
      <c r="DN96" s="684"/>
      <c r="DO96" s="684"/>
      <c r="DP96" s="684"/>
      <c r="DQ96" s="684"/>
      <c r="DR96" s="684"/>
      <c r="DS96" s="684"/>
      <c r="DT96" s="684"/>
      <c r="DU96" s="684"/>
      <c r="DV96" s="684"/>
      <c r="DW96" s="684"/>
      <c r="DX96" s="684"/>
      <c r="DY96" s="684"/>
      <c r="DZ96" s="684"/>
      <c r="EA96" s="684"/>
      <c r="EB96" s="684"/>
      <c r="EC96" s="684"/>
      <c r="ED96" s="684"/>
      <c r="EE96" s="684"/>
      <c r="EF96" s="684"/>
      <c r="EG96" s="684"/>
      <c r="EH96" s="684"/>
      <c r="EI96" s="684"/>
      <c r="EJ96" s="684"/>
      <c r="EK96" s="684"/>
      <c r="EL96" s="684"/>
      <c r="EM96" s="684"/>
      <c r="EN96" s="684"/>
      <c r="EO96" s="684"/>
      <c r="EP96" s="684"/>
      <c r="EQ96" s="684"/>
      <c r="ER96" s="684"/>
      <c r="ES96" s="684"/>
      <c r="ET96" s="684"/>
      <c r="EU96" s="684"/>
      <c r="EV96" s="684"/>
      <c r="EW96" s="684"/>
      <c r="EX96" s="684"/>
      <c r="EY96" s="684"/>
      <c r="EZ96" s="684"/>
      <c r="FA96" s="684"/>
      <c r="FB96" s="684"/>
      <c r="FC96" s="684"/>
      <c r="FD96" s="684"/>
      <c r="FE96" s="684"/>
      <c r="FF96" s="684"/>
      <c r="FG96" s="684"/>
      <c r="FH96" s="684"/>
      <c r="FI96" s="684"/>
      <c r="FJ96" s="684"/>
      <c r="FK96" s="684"/>
      <c r="FL96" s="684"/>
      <c r="FM96" s="684"/>
      <c r="FN96" s="684"/>
      <c r="FO96" s="684"/>
    </row>
    <row r="97" spans="1:171">
      <c r="A97" s="707" t="s">
        <v>45</v>
      </c>
      <c r="B97" s="684"/>
      <c r="C97" s="684"/>
      <c r="D97" s="684"/>
      <c r="E97" s="684"/>
      <c r="F97" s="697"/>
      <c r="G97" s="697"/>
      <c r="H97" s="697"/>
      <c r="I97" s="697"/>
      <c r="J97" s="703">
        <v>84.649999999999636</v>
      </c>
      <c r="K97" s="703">
        <v>79.300000000000182</v>
      </c>
      <c r="L97" s="703">
        <v>76.5</v>
      </c>
      <c r="M97" s="703">
        <v>187.65099999999984</v>
      </c>
      <c r="N97" s="684">
        <v>133</v>
      </c>
      <c r="O97" s="703">
        <v>39.616999999999734</v>
      </c>
      <c r="P97" s="703">
        <v>22.883000000000266</v>
      </c>
      <c r="Q97" s="703">
        <v>-58.700000000000273</v>
      </c>
      <c r="R97" s="703">
        <v>-63.205999999999676</v>
      </c>
      <c r="S97" s="703">
        <v>15.005999999999858</v>
      </c>
      <c r="T97" s="703">
        <v>46.34900000000016</v>
      </c>
      <c r="U97" s="703">
        <v>70.928999999999633</v>
      </c>
      <c r="V97" s="703">
        <v>60.722000000000207</v>
      </c>
      <c r="W97" s="703">
        <v>52.699999999999818</v>
      </c>
      <c r="X97" s="703">
        <v>25.700000000000273</v>
      </c>
      <c r="Y97" s="703">
        <v>22.784000000000106</v>
      </c>
      <c r="Z97" s="703">
        <v>-5.3840000000000146</v>
      </c>
      <c r="AA97" s="703">
        <v>20.760999999999967</v>
      </c>
      <c r="AB97" s="703">
        <v>6.4389999999998508</v>
      </c>
      <c r="AC97" s="703">
        <v>0.79799999999977445</v>
      </c>
      <c r="AD97" s="769">
        <v>8.705000000000382</v>
      </c>
      <c r="AE97" s="769">
        <v>27.896999999999935</v>
      </c>
      <c r="AF97" s="769">
        <v>100.07200000000012</v>
      </c>
      <c r="AG97" s="769">
        <v>51.174999999999727</v>
      </c>
      <c r="AH97" s="769">
        <v>23.619999999999891</v>
      </c>
      <c r="AI97" s="769">
        <v>21.733000000000175</v>
      </c>
      <c r="AJ97" s="769">
        <v>58</v>
      </c>
      <c r="AK97" s="769">
        <v>23.626000000000204</v>
      </c>
      <c r="AL97" s="769">
        <v>2.1779999999998836</v>
      </c>
      <c r="AM97" s="769">
        <v>1.4800000000000182</v>
      </c>
      <c r="AN97" s="769">
        <v>48.710000000000036</v>
      </c>
      <c r="AO97" s="769">
        <v>83.42699999999968</v>
      </c>
      <c r="AP97" s="769">
        <v>86.297000000000025</v>
      </c>
      <c r="AQ97" s="769">
        <v>83.932000000000244</v>
      </c>
      <c r="AR97" s="769">
        <v>43.041999999999916</v>
      </c>
      <c r="AS97" s="769">
        <v>25.204000000000178</v>
      </c>
      <c r="AT97" s="769">
        <v>14.848999999999705</v>
      </c>
      <c r="AU97" s="769">
        <v>-60.010999999999967</v>
      </c>
      <c r="AV97" s="769">
        <v>-12.291999999999916</v>
      </c>
      <c r="AW97" s="769">
        <v>-7</v>
      </c>
      <c r="AX97" s="769">
        <v>-21</v>
      </c>
      <c r="AY97" s="769">
        <v>45.125</v>
      </c>
      <c r="AZ97" s="769">
        <v>120.62899999999991</v>
      </c>
      <c r="BA97" s="769">
        <v>35.570000000000164</v>
      </c>
      <c r="BB97" s="769"/>
      <c r="BC97" s="769"/>
      <c r="BD97" s="769"/>
      <c r="BE97" s="684"/>
      <c r="BF97" s="684"/>
      <c r="BG97" s="684"/>
      <c r="BH97" s="684"/>
      <c r="BI97" s="684"/>
      <c r="BJ97" s="684"/>
      <c r="BK97" s="684"/>
      <c r="BL97" s="684"/>
      <c r="BM97" s="684"/>
      <c r="BN97" s="684"/>
      <c r="BO97" s="684"/>
      <c r="BP97" s="684"/>
      <c r="BQ97" s="684"/>
      <c r="BR97" s="684"/>
      <c r="BS97" s="684"/>
      <c r="BT97" s="684"/>
      <c r="BU97" s="684"/>
      <c r="BV97" s="684"/>
      <c r="BW97" s="684"/>
      <c r="BX97" s="684"/>
      <c r="BY97" s="684"/>
      <c r="BZ97" s="684"/>
      <c r="CA97" s="684"/>
      <c r="CB97" s="684"/>
      <c r="CC97" s="684"/>
      <c r="CD97" s="684"/>
      <c r="CE97" s="684"/>
      <c r="CF97" s="684"/>
      <c r="CG97" s="684"/>
      <c r="CH97" s="684"/>
      <c r="CI97" s="684"/>
      <c r="CJ97" s="684"/>
      <c r="CK97" s="684"/>
      <c r="CL97" s="684"/>
      <c r="CM97" s="684"/>
      <c r="CN97" s="684"/>
      <c r="CO97" s="684"/>
      <c r="CP97" s="684"/>
      <c r="CQ97" s="684"/>
      <c r="CR97" s="684"/>
      <c r="CS97" s="684"/>
      <c r="CT97" s="684"/>
      <c r="CU97" s="684"/>
      <c r="CV97" s="684"/>
      <c r="CW97" s="684"/>
      <c r="CX97" s="684"/>
      <c r="CY97" s="684"/>
      <c r="CZ97" s="684"/>
      <c r="DA97" s="684"/>
      <c r="DB97" s="684"/>
      <c r="DC97" s="684"/>
      <c r="DD97" s="684"/>
      <c r="DE97" s="684"/>
      <c r="DF97" s="684"/>
      <c r="DG97" s="684"/>
      <c r="DH97" s="684"/>
      <c r="DI97" s="684"/>
      <c r="DJ97" s="684"/>
      <c r="DK97" s="684"/>
      <c r="DL97" s="684"/>
      <c r="DM97" s="684"/>
      <c r="DN97" s="684"/>
      <c r="DO97" s="684"/>
      <c r="DP97" s="684"/>
      <c r="DQ97" s="684"/>
      <c r="DR97" s="684"/>
      <c r="DS97" s="684"/>
      <c r="DT97" s="684"/>
      <c r="DU97" s="684"/>
      <c r="DV97" s="684"/>
      <c r="DW97" s="684"/>
      <c r="DX97" s="684"/>
      <c r="DY97" s="684"/>
      <c r="DZ97" s="684"/>
      <c r="EA97" s="684"/>
      <c r="EB97" s="684"/>
      <c r="EC97" s="684"/>
      <c r="ED97" s="684"/>
      <c r="EE97" s="684"/>
      <c r="EF97" s="684"/>
      <c r="EG97" s="684"/>
      <c r="EH97" s="684"/>
      <c r="EI97" s="684"/>
      <c r="EJ97" s="684"/>
      <c r="EK97" s="684"/>
      <c r="EL97" s="684"/>
      <c r="EM97" s="684"/>
      <c r="EN97" s="684"/>
      <c r="EO97" s="684"/>
      <c r="EP97" s="684"/>
      <c r="EQ97" s="684"/>
      <c r="ER97" s="684"/>
      <c r="ES97" s="684"/>
      <c r="ET97" s="684"/>
      <c r="EU97" s="684"/>
      <c r="EV97" s="684"/>
      <c r="EW97" s="684"/>
      <c r="EX97" s="684"/>
      <c r="EY97" s="684"/>
      <c r="EZ97" s="684"/>
      <c r="FA97" s="684"/>
      <c r="FB97" s="684"/>
      <c r="FC97" s="684"/>
      <c r="FD97" s="684"/>
      <c r="FE97" s="684"/>
      <c r="FF97" s="684"/>
      <c r="FG97" s="684"/>
      <c r="FH97" s="684"/>
      <c r="FI97" s="684"/>
      <c r="FJ97" s="684"/>
      <c r="FK97" s="684"/>
      <c r="FL97" s="684"/>
      <c r="FM97" s="684"/>
      <c r="FN97" s="684"/>
      <c r="FO97" s="684"/>
    </row>
    <row r="98" spans="1:171">
      <c r="A98" s="707" t="str">
        <f>A91</f>
        <v>Internet</v>
      </c>
      <c r="B98" s="684"/>
      <c r="C98" s="684"/>
      <c r="D98" s="684"/>
      <c r="E98" s="684"/>
      <c r="F98" s="697"/>
      <c r="G98" s="697"/>
      <c r="H98" s="697"/>
      <c r="I98" s="697"/>
      <c r="J98" s="703">
        <v>123</v>
      </c>
      <c r="K98" s="703">
        <v>102.40000000000009</v>
      </c>
      <c r="L98" s="703">
        <v>145.29999999999995</v>
      </c>
      <c r="M98" s="703">
        <v>129.66599999999994</v>
      </c>
      <c r="N98" s="684">
        <v>94</v>
      </c>
      <c r="O98" s="703">
        <v>51.969000000000051</v>
      </c>
      <c r="P98" s="703">
        <v>138.7510000000002</v>
      </c>
      <c r="Q98" s="703">
        <v>112.29999999999973</v>
      </c>
      <c r="R98" s="703">
        <v>75.791000000000167</v>
      </c>
      <c r="S98" s="703">
        <v>109.21799999999985</v>
      </c>
      <c r="T98" s="703">
        <v>101.20600000000013</v>
      </c>
      <c r="U98" s="703">
        <v>111.22600000000011</v>
      </c>
      <c r="V98" s="703">
        <v>110.95899999999983</v>
      </c>
      <c r="W98" s="703">
        <v>79.867000000000189</v>
      </c>
      <c r="X98" s="703">
        <v>77.932999999999993</v>
      </c>
      <c r="Y98" s="703">
        <v>48.602999999999611</v>
      </c>
      <c r="Z98" s="703">
        <v>11.197000000000116</v>
      </c>
      <c r="AA98" s="703">
        <v>69.363000000000284</v>
      </c>
      <c r="AB98" s="703">
        <v>44.036999999999807</v>
      </c>
      <c r="AC98" s="703">
        <v>31</v>
      </c>
      <c r="AD98" s="769">
        <v>48.752999999999702</v>
      </c>
      <c r="AE98" s="769">
        <v>83.019000000000233</v>
      </c>
      <c r="AF98" s="769">
        <v>184.5949999999998</v>
      </c>
      <c r="AG98" s="769">
        <v>96.329000000000178</v>
      </c>
      <c r="AH98" s="769">
        <v>79.415999999999713</v>
      </c>
      <c r="AI98" s="769">
        <v>58.160000000000309</v>
      </c>
      <c r="AJ98" s="769">
        <v>105</v>
      </c>
      <c r="AK98" s="769">
        <v>80.981000000000222</v>
      </c>
      <c r="AL98" s="769">
        <v>59.403999999999996</v>
      </c>
      <c r="AM98" s="769">
        <v>19.177999999999884</v>
      </c>
      <c r="AN98" s="769">
        <v>100.65700000000015</v>
      </c>
      <c r="AO98" s="769">
        <v>124.72799999999961</v>
      </c>
      <c r="AP98" s="769">
        <v>147.30500000000029</v>
      </c>
      <c r="AQ98" s="769">
        <v>163.3119999999999</v>
      </c>
      <c r="AR98" s="769">
        <v>117.12700000000041</v>
      </c>
      <c r="AS98" s="769">
        <v>155.94799999999941</v>
      </c>
      <c r="AT98" s="769">
        <v>151.32999999999993</v>
      </c>
      <c r="AU98" s="769">
        <v>90.765000000000327</v>
      </c>
      <c r="AV98" s="769">
        <v>181.80000000000018</v>
      </c>
      <c r="AW98" s="769">
        <v>167</v>
      </c>
      <c r="AX98" s="769">
        <v>100</v>
      </c>
      <c r="AY98" s="769">
        <v>132.44500000000062</v>
      </c>
      <c r="AZ98" s="769">
        <v>128.54199999999946</v>
      </c>
      <c r="BA98" s="769">
        <v>132.63100000000031</v>
      </c>
      <c r="BB98" s="769"/>
      <c r="BC98" s="769"/>
      <c r="BD98" s="769"/>
      <c r="BE98" s="704"/>
      <c r="BF98" s="684"/>
      <c r="BG98" s="684"/>
      <c r="BH98" s="684"/>
      <c r="BI98" s="684"/>
      <c r="BJ98" s="684"/>
      <c r="BK98" s="684"/>
      <c r="BL98" s="684"/>
      <c r="BM98" s="684"/>
      <c r="BN98" s="684"/>
      <c r="BO98" s="684"/>
      <c r="BP98" s="684"/>
      <c r="BQ98" s="684"/>
      <c r="BR98" s="684"/>
      <c r="BS98" s="684"/>
      <c r="BT98" s="684"/>
      <c r="BU98" s="684"/>
      <c r="BV98" s="684"/>
      <c r="BW98" s="684"/>
      <c r="BX98" s="684"/>
      <c r="BY98" s="684"/>
      <c r="BZ98" s="684"/>
      <c r="CA98" s="684"/>
      <c r="CB98" s="684"/>
      <c r="CC98" s="684"/>
      <c r="CD98" s="684"/>
      <c r="CE98" s="684"/>
      <c r="CF98" s="684"/>
      <c r="CG98" s="684"/>
      <c r="CH98" s="684"/>
      <c r="CI98" s="684"/>
      <c r="CJ98" s="684"/>
      <c r="CK98" s="684"/>
      <c r="CL98" s="684"/>
      <c r="CM98" s="684"/>
      <c r="CN98" s="684"/>
      <c r="CO98" s="684"/>
      <c r="CP98" s="684"/>
      <c r="CQ98" s="684"/>
      <c r="CR98" s="684"/>
      <c r="CS98" s="684"/>
      <c r="CT98" s="684"/>
      <c r="CU98" s="684"/>
      <c r="CV98" s="684"/>
      <c r="CW98" s="684"/>
      <c r="CX98" s="684"/>
      <c r="CY98" s="684"/>
      <c r="CZ98" s="684"/>
      <c r="DA98" s="684"/>
      <c r="DB98" s="684"/>
      <c r="DC98" s="684"/>
      <c r="DD98" s="684"/>
      <c r="DE98" s="684"/>
      <c r="DF98" s="684"/>
      <c r="DG98" s="684"/>
      <c r="DH98" s="684"/>
      <c r="DI98" s="684"/>
      <c r="DJ98" s="684"/>
      <c r="DK98" s="684"/>
      <c r="DL98" s="684"/>
      <c r="DM98" s="684"/>
      <c r="DN98" s="684"/>
      <c r="DO98" s="684"/>
      <c r="DP98" s="684"/>
      <c r="DQ98" s="684"/>
      <c r="DR98" s="684"/>
      <c r="DS98" s="684"/>
      <c r="DT98" s="684"/>
      <c r="DU98" s="684"/>
      <c r="DV98" s="684"/>
      <c r="DW98" s="684"/>
      <c r="DX98" s="684"/>
      <c r="DY98" s="684"/>
      <c r="DZ98" s="684"/>
      <c r="EA98" s="684"/>
      <c r="EB98" s="684"/>
      <c r="EC98" s="684"/>
      <c r="ED98" s="684"/>
      <c r="EE98" s="684"/>
      <c r="EF98" s="684"/>
      <c r="EG98" s="684"/>
      <c r="EH98" s="684"/>
      <c r="EI98" s="684"/>
      <c r="EJ98" s="684"/>
      <c r="EK98" s="684"/>
      <c r="EL98" s="684"/>
      <c r="EM98" s="684"/>
      <c r="EN98" s="684"/>
      <c r="EO98" s="684"/>
      <c r="EP98" s="684"/>
      <c r="EQ98" s="684"/>
      <c r="ER98" s="684"/>
      <c r="ES98" s="684"/>
      <c r="ET98" s="684"/>
      <c r="EU98" s="684"/>
      <c r="EV98" s="684"/>
      <c r="EW98" s="684"/>
      <c r="EX98" s="684"/>
      <c r="EY98" s="684"/>
      <c r="EZ98" s="684"/>
      <c r="FA98" s="684"/>
      <c r="FB98" s="684"/>
      <c r="FC98" s="684"/>
      <c r="FD98" s="684"/>
      <c r="FE98" s="684"/>
      <c r="FF98" s="684"/>
      <c r="FG98" s="684"/>
      <c r="FH98" s="684"/>
      <c r="FI98" s="684"/>
      <c r="FJ98" s="684"/>
      <c r="FK98" s="684"/>
      <c r="FL98" s="684"/>
      <c r="FM98" s="684"/>
      <c r="FN98" s="684"/>
      <c r="FO98" s="684"/>
    </row>
    <row r="99" spans="1:171">
      <c r="A99" s="719" t="str">
        <f>A92</f>
        <v>Voice</v>
      </c>
      <c r="B99" s="724"/>
      <c r="C99" s="724"/>
      <c r="D99" s="724"/>
      <c r="E99" s="724"/>
      <c r="F99" s="705"/>
      <c r="G99" s="705"/>
      <c r="H99" s="705"/>
      <c r="I99" s="705"/>
      <c r="J99" s="723">
        <v>38.557999999999993</v>
      </c>
      <c r="K99" s="723">
        <v>40</v>
      </c>
      <c r="L99" s="723">
        <v>49.5</v>
      </c>
      <c r="M99" s="723">
        <v>46.816000000000031</v>
      </c>
      <c r="N99" s="724">
        <v>15</v>
      </c>
      <c r="O99" s="723">
        <v>18.466000000000008</v>
      </c>
      <c r="P99" s="723">
        <v>129.62200000000007</v>
      </c>
      <c r="Q99" s="723">
        <v>116.79999999999995</v>
      </c>
      <c r="R99" s="723">
        <v>22.980000000000018</v>
      </c>
      <c r="S99" s="723">
        <v>99.479000000000042</v>
      </c>
      <c r="T99" s="723">
        <v>83.899999999999864</v>
      </c>
      <c r="U99" s="723">
        <v>84.176000000000158</v>
      </c>
      <c r="V99" s="723">
        <v>87.464999999999918</v>
      </c>
      <c r="W99" s="723">
        <v>70.134999999999991</v>
      </c>
      <c r="X99" s="723">
        <v>113.66499999999996</v>
      </c>
      <c r="Y99" s="723">
        <v>75.081000000000131</v>
      </c>
      <c r="Z99" s="723">
        <v>93.718999999999824</v>
      </c>
      <c r="AA99" s="723">
        <v>81.50200000000018</v>
      </c>
      <c r="AB99" s="723">
        <v>84.897999999999911</v>
      </c>
      <c r="AC99" s="723">
        <v>58</v>
      </c>
      <c r="AD99" s="770">
        <v>55.963000000000193</v>
      </c>
      <c r="AE99" s="770">
        <v>81.598999999999705</v>
      </c>
      <c r="AF99" s="770">
        <v>243.48100000000022</v>
      </c>
      <c r="AG99" s="770">
        <v>115.21699999999964</v>
      </c>
      <c r="AH99" s="770">
        <v>100.67900000000009</v>
      </c>
      <c r="AI99" s="770">
        <v>78.423000000000229</v>
      </c>
      <c r="AJ99" s="770">
        <v>129</v>
      </c>
      <c r="AK99" s="770">
        <v>96.579000000000178</v>
      </c>
      <c r="AL99" s="770">
        <v>58.096999999999753</v>
      </c>
      <c r="AM99" s="770">
        <v>45.121000000000095</v>
      </c>
      <c r="AN99" s="770">
        <v>128.92599999999993</v>
      </c>
      <c r="AO99" s="770">
        <v>140.86200000000008</v>
      </c>
      <c r="AP99" s="770">
        <v>174.46199999999999</v>
      </c>
      <c r="AQ99" s="770">
        <v>184.279</v>
      </c>
      <c r="AR99" s="770">
        <v>143.56700000000001</v>
      </c>
      <c r="AS99" s="770">
        <v>175.62199999999984</v>
      </c>
      <c r="AT99" s="770">
        <v>173.11699999999973</v>
      </c>
      <c r="AU99" s="770">
        <v>110.21300000000065</v>
      </c>
      <c r="AV99" s="770">
        <v>226.58299999999963</v>
      </c>
      <c r="AW99" s="770">
        <v>175</v>
      </c>
      <c r="AX99" s="770">
        <v>84</v>
      </c>
      <c r="AY99" s="770">
        <v>133.69999999999982</v>
      </c>
      <c r="AZ99" s="770">
        <v>97.944000000000415</v>
      </c>
      <c r="BA99" s="770">
        <v>56.407000000000153</v>
      </c>
      <c r="BB99" s="770"/>
      <c r="BC99" s="769"/>
      <c r="BD99" s="769"/>
      <c r="BE99" s="684"/>
      <c r="BF99" s="684"/>
      <c r="BG99" s="684"/>
      <c r="BH99" s="684"/>
      <c r="BI99" s="684"/>
      <c r="BJ99" s="684"/>
      <c r="BK99" s="684"/>
      <c r="BL99" s="684"/>
      <c r="BM99" s="684"/>
      <c r="BN99" s="684"/>
      <c r="BO99" s="684"/>
      <c r="BP99" s="684"/>
      <c r="BQ99" s="684"/>
      <c r="BR99" s="684"/>
      <c r="BS99" s="684"/>
      <c r="BT99" s="684"/>
      <c r="BU99" s="684"/>
      <c r="BV99" s="684"/>
      <c r="BW99" s="684"/>
      <c r="BX99" s="684"/>
      <c r="BY99" s="684"/>
      <c r="BZ99" s="684"/>
      <c r="CA99" s="684"/>
      <c r="CB99" s="684"/>
      <c r="CC99" s="684"/>
      <c r="CD99" s="684"/>
      <c r="CE99" s="684"/>
      <c r="CF99" s="684"/>
      <c r="CG99" s="684"/>
      <c r="CH99" s="684"/>
      <c r="CI99" s="684"/>
      <c r="CJ99" s="684"/>
      <c r="CK99" s="684"/>
      <c r="CL99" s="684"/>
      <c r="CM99" s="684"/>
      <c r="CN99" s="684"/>
      <c r="CO99" s="684"/>
      <c r="CP99" s="684"/>
      <c r="CQ99" s="684"/>
      <c r="CR99" s="684"/>
      <c r="CS99" s="684"/>
      <c r="CT99" s="684"/>
      <c r="CU99" s="684"/>
      <c r="CV99" s="684"/>
      <c r="CW99" s="684"/>
      <c r="CX99" s="684"/>
      <c r="CY99" s="684"/>
      <c r="CZ99" s="684"/>
      <c r="DA99" s="684"/>
      <c r="DB99" s="684"/>
      <c r="DC99" s="684"/>
      <c r="DD99" s="684"/>
      <c r="DE99" s="684"/>
      <c r="DF99" s="684"/>
      <c r="DG99" s="684"/>
      <c r="DH99" s="684"/>
      <c r="DI99" s="684"/>
      <c r="DJ99" s="684"/>
      <c r="DK99" s="684"/>
      <c r="DL99" s="684"/>
      <c r="DM99" s="684"/>
      <c r="DN99" s="684"/>
      <c r="DO99" s="684"/>
      <c r="DP99" s="684"/>
      <c r="DQ99" s="684"/>
      <c r="DR99" s="684"/>
      <c r="DS99" s="684"/>
      <c r="DT99" s="684"/>
      <c r="DU99" s="684"/>
      <c r="DV99" s="684"/>
      <c r="DW99" s="684"/>
      <c r="DX99" s="684"/>
      <c r="DY99" s="684"/>
      <c r="DZ99" s="684"/>
      <c r="EA99" s="684"/>
      <c r="EB99" s="684"/>
      <c r="EC99" s="684"/>
      <c r="ED99" s="684"/>
      <c r="EE99" s="684"/>
      <c r="EF99" s="684"/>
      <c r="EG99" s="684"/>
      <c r="EH99" s="684"/>
      <c r="EI99" s="684"/>
      <c r="EJ99" s="684"/>
      <c r="EK99" s="684"/>
      <c r="EL99" s="684"/>
      <c r="EM99" s="684"/>
      <c r="EN99" s="684"/>
      <c r="EO99" s="684"/>
      <c r="EP99" s="684"/>
      <c r="EQ99" s="684"/>
      <c r="ER99" s="684"/>
      <c r="ES99" s="684"/>
      <c r="ET99" s="684"/>
      <c r="EU99" s="684"/>
      <c r="EV99" s="684"/>
      <c r="EW99" s="684"/>
      <c r="EX99" s="684"/>
      <c r="EY99" s="684"/>
      <c r="EZ99" s="684"/>
      <c r="FA99" s="684"/>
      <c r="FB99" s="684"/>
      <c r="FC99" s="684"/>
      <c r="FD99" s="684"/>
      <c r="FE99" s="684"/>
      <c r="FF99" s="684"/>
      <c r="FG99" s="684"/>
      <c r="FH99" s="684"/>
      <c r="FI99" s="684"/>
      <c r="FJ99" s="684"/>
      <c r="FK99" s="684"/>
      <c r="FL99" s="684"/>
      <c r="FM99" s="684"/>
      <c r="FN99" s="684"/>
      <c r="FO99" s="684"/>
    </row>
    <row r="100" spans="1:171">
      <c r="A100" s="707" t="str">
        <f>A93</f>
        <v>Total RGUs</v>
      </c>
      <c r="B100" s="684"/>
      <c r="C100" s="684"/>
      <c r="D100" s="684"/>
      <c r="E100" s="684"/>
      <c r="F100" s="697"/>
      <c r="G100" s="697"/>
      <c r="H100" s="697"/>
      <c r="I100" s="697"/>
      <c r="J100" s="703">
        <v>246.20799999999872</v>
      </c>
      <c r="K100" s="703">
        <v>221.70000000000073</v>
      </c>
      <c r="L100" s="703">
        <v>271.30000000000018</v>
      </c>
      <c r="M100" s="703">
        <v>364.13299999999981</v>
      </c>
      <c r="N100" s="703">
        <f t="shared" ref="N100:AK100" si="32">SUM(N97:N99)</f>
        <v>242</v>
      </c>
      <c r="O100" s="703">
        <f t="shared" si="32"/>
        <v>110.05199999999979</v>
      </c>
      <c r="P100" s="703">
        <f t="shared" si="32"/>
        <v>291.25600000000054</v>
      </c>
      <c r="Q100" s="703">
        <f t="shared" si="32"/>
        <v>170.39999999999941</v>
      </c>
      <c r="R100" s="703">
        <f t="shared" si="32"/>
        <v>35.565000000000509</v>
      </c>
      <c r="S100" s="703">
        <f t="shared" si="32"/>
        <v>223.70299999999975</v>
      </c>
      <c r="T100" s="703">
        <f t="shared" si="32"/>
        <v>231.45500000000015</v>
      </c>
      <c r="U100" s="703">
        <f t="shared" si="32"/>
        <v>266.3309999999999</v>
      </c>
      <c r="V100" s="703">
        <f t="shared" si="32"/>
        <v>259.14599999999996</v>
      </c>
      <c r="W100" s="703">
        <f t="shared" si="32"/>
        <v>202.702</v>
      </c>
      <c r="X100" s="703">
        <f t="shared" si="32"/>
        <v>217.29800000000023</v>
      </c>
      <c r="Y100" s="703">
        <f t="shared" si="32"/>
        <v>146.46799999999985</v>
      </c>
      <c r="Z100" s="703">
        <f t="shared" si="32"/>
        <v>99.531999999999925</v>
      </c>
      <c r="AA100" s="703">
        <f t="shared" si="32"/>
        <v>171.62600000000043</v>
      </c>
      <c r="AB100" s="703">
        <f t="shared" si="32"/>
        <v>135.37399999999957</v>
      </c>
      <c r="AC100" s="703">
        <f t="shared" si="32"/>
        <v>89.797999999999774</v>
      </c>
      <c r="AD100" s="703">
        <f t="shared" si="32"/>
        <v>113.42100000000028</v>
      </c>
      <c r="AE100" s="703">
        <f t="shared" si="32"/>
        <v>192.51499999999987</v>
      </c>
      <c r="AF100" s="703">
        <f t="shared" si="32"/>
        <v>528.14800000000014</v>
      </c>
      <c r="AG100" s="703">
        <f t="shared" si="32"/>
        <v>262.72099999999955</v>
      </c>
      <c r="AH100" s="703">
        <f t="shared" si="32"/>
        <v>203.71499999999969</v>
      </c>
      <c r="AI100" s="703">
        <f t="shared" si="32"/>
        <v>158.31600000000071</v>
      </c>
      <c r="AJ100" s="703">
        <f t="shared" si="32"/>
        <v>292</v>
      </c>
      <c r="AK100" s="703">
        <f t="shared" si="32"/>
        <v>201.1860000000006</v>
      </c>
      <c r="AL100" s="703">
        <f t="shared" ref="AL100:AS100" si="33">SUM(AL97:AL99)</f>
        <v>119.67899999999963</v>
      </c>
      <c r="AM100" s="703">
        <f t="shared" si="33"/>
        <v>65.778999999999996</v>
      </c>
      <c r="AN100" s="703">
        <f t="shared" si="33"/>
        <v>278.29300000000012</v>
      </c>
      <c r="AO100" s="703">
        <f t="shared" si="33"/>
        <v>349.01699999999937</v>
      </c>
      <c r="AP100" s="703">
        <f t="shared" si="33"/>
        <v>408.06400000000031</v>
      </c>
      <c r="AQ100" s="703">
        <f t="shared" si="33"/>
        <v>431.52300000000014</v>
      </c>
      <c r="AR100" s="703">
        <f t="shared" si="33"/>
        <v>303.73600000000033</v>
      </c>
      <c r="AS100" s="703">
        <f t="shared" si="33"/>
        <v>356.77399999999943</v>
      </c>
      <c r="AT100" s="703">
        <f t="shared" ref="AT100:BA100" si="34">SUM(AT97:AT99)</f>
        <v>339.29599999999937</v>
      </c>
      <c r="AU100" s="703">
        <f t="shared" si="34"/>
        <v>140.96700000000101</v>
      </c>
      <c r="AV100" s="703">
        <f t="shared" si="34"/>
        <v>396.09099999999989</v>
      </c>
      <c r="AW100" s="703">
        <f t="shared" si="34"/>
        <v>335</v>
      </c>
      <c r="AX100" s="703">
        <f t="shared" si="34"/>
        <v>163</v>
      </c>
      <c r="AY100" s="703">
        <f t="shared" si="34"/>
        <v>311.27000000000044</v>
      </c>
      <c r="AZ100" s="703">
        <f t="shared" si="34"/>
        <v>347.11499999999978</v>
      </c>
      <c r="BA100" s="703">
        <f t="shared" si="34"/>
        <v>224.60800000000063</v>
      </c>
      <c r="BB100" s="703">
        <f>SUM(BB97:BB99)</f>
        <v>0</v>
      </c>
      <c r="BC100" s="703"/>
      <c r="BD100" s="703"/>
      <c r="BE100" s="684"/>
      <c r="BF100" s="684"/>
      <c r="BG100" s="684"/>
      <c r="BH100" s="684"/>
      <c r="BI100" s="684"/>
      <c r="BJ100" s="684"/>
      <c r="BK100" s="684"/>
      <c r="BL100" s="684"/>
      <c r="BM100" s="684"/>
      <c r="BN100" s="684"/>
      <c r="BO100" s="684"/>
      <c r="BP100" s="684"/>
      <c r="BQ100" s="684"/>
      <c r="BR100" s="684"/>
      <c r="BS100" s="684"/>
      <c r="BT100" s="684"/>
      <c r="BU100" s="684"/>
      <c r="BV100" s="684"/>
      <c r="BW100" s="684"/>
      <c r="BX100" s="684"/>
      <c r="BY100" s="684"/>
      <c r="BZ100" s="684"/>
      <c r="CA100" s="684"/>
      <c r="CB100" s="684"/>
      <c r="CC100" s="684"/>
      <c r="CD100" s="684"/>
      <c r="CE100" s="684"/>
      <c r="CF100" s="684"/>
      <c r="CG100" s="684"/>
      <c r="CH100" s="684"/>
      <c r="CI100" s="684"/>
      <c r="CJ100" s="684"/>
      <c r="CK100" s="684"/>
      <c r="CL100" s="684"/>
      <c r="CM100" s="684"/>
      <c r="CN100" s="684"/>
      <c r="CO100" s="684"/>
      <c r="CP100" s="684"/>
      <c r="CQ100" s="684"/>
      <c r="CR100" s="684"/>
      <c r="CS100" s="684"/>
      <c r="CT100" s="684"/>
      <c r="CU100" s="684"/>
      <c r="CV100" s="684"/>
      <c r="CW100" s="684"/>
      <c r="CX100" s="684"/>
      <c r="CY100" s="684"/>
      <c r="CZ100" s="684"/>
      <c r="DA100" s="684"/>
      <c r="DB100" s="684"/>
      <c r="DC100" s="684"/>
      <c r="DD100" s="684"/>
      <c r="DE100" s="684"/>
      <c r="DF100" s="684"/>
      <c r="DG100" s="684"/>
      <c r="DH100" s="684"/>
      <c r="DI100" s="684"/>
      <c r="DJ100" s="684"/>
      <c r="DK100" s="684"/>
      <c r="DL100" s="684"/>
      <c r="DM100" s="684"/>
      <c r="DN100" s="684"/>
      <c r="DO100" s="684"/>
      <c r="DP100" s="684"/>
      <c r="DQ100" s="684"/>
      <c r="DR100" s="684"/>
      <c r="DS100" s="684"/>
      <c r="DT100" s="684"/>
      <c r="DU100" s="684"/>
      <c r="DV100" s="684"/>
      <c r="DW100" s="684"/>
      <c r="DX100" s="684"/>
      <c r="DY100" s="684"/>
      <c r="DZ100" s="684"/>
      <c r="EA100" s="684"/>
      <c r="EB100" s="684"/>
      <c r="EC100" s="684"/>
      <c r="ED100" s="684"/>
      <c r="EE100" s="684"/>
      <c r="EF100" s="684"/>
      <c r="EG100" s="684"/>
      <c r="EH100" s="684"/>
      <c r="EI100" s="684"/>
      <c r="EJ100" s="684"/>
      <c r="EK100" s="684"/>
      <c r="EL100" s="684"/>
      <c r="EM100" s="684"/>
      <c r="EN100" s="684"/>
      <c r="EO100" s="684"/>
      <c r="EP100" s="684"/>
      <c r="EQ100" s="684"/>
      <c r="ER100" s="684"/>
      <c r="ES100" s="684"/>
      <c r="ET100" s="684"/>
      <c r="EU100" s="684"/>
      <c r="EV100" s="684"/>
      <c r="EW100" s="684"/>
      <c r="EX100" s="684"/>
      <c r="EY100" s="684"/>
      <c r="EZ100" s="684"/>
      <c r="FA100" s="684"/>
      <c r="FB100" s="684"/>
      <c r="FC100" s="684"/>
      <c r="FD100" s="684"/>
      <c r="FE100" s="684"/>
      <c r="FF100" s="684"/>
      <c r="FG100" s="684"/>
      <c r="FH100" s="684"/>
      <c r="FI100" s="684"/>
      <c r="FJ100" s="684"/>
      <c r="FK100" s="684"/>
      <c r="FL100" s="684"/>
      <c r="FM100" s="684"/>
      <c r="FN100" s="684"/>
      <c r="FO100" s="684"/>
    </row>
    <row r="101" spans="1:171">
      <c r="A101" s="707"/>
      <c r="B101" s="684"/>
      <c r="C101" s="684"/>
      <c r="D101" s="684"/>
      <c r="E101" s="684"/>
      <c r="F101" s="697"/>
      <c r="G101" s="697"/>
      <c r="H101" s="697"/>
      <c r="I101" s="697"/>
      <c r="J101" s="684"/>
      <c r="K101" s="684"/>
      <c r="L101" s="684"/>
      <c r="M101" s="684"/>
      <c r="N101" s="684"/>
      <c r="O101" s="684"/>
      <c r="P101" s="684"/>
      <c r="Q101" s="684"/>
      <c r="R101" s="684"/>
      <c r="S101" s="684"/>
      <c r="T101" s="684"/>
      <c r="U101" s="684"/>
      <c r="V101" s="684"/>
      <c r="W101" s="684"/>
      <c r="X101" s="684"/>
      <c r="Y101" s="684"/>
      <c r="Z101" s="684"/>
      <c r="AA101" s="684"/>
      <c r="AB101" s="684"/>
      <c r="AC101" s="684"/>
      <c r="AD101" s="684"/>
      <c r="AE101" s="684"/>
      <c r="AF101" s="684"/>
      <c r="AG101" s="684"/>
      <c r="AH101" s="684"/>
      <c r="AI101" s="684"/>
      <c r="AJ101" s="684"/>
      <c r="AK101" s="684"/>
      <c r="AL101" s="684"/>
      <c r="AM101" s="684"/>
      <c r="AN101" s="684"/>
      <c r="AO101" s="684"/>
      <c r="AP101" s="684"/>
      <c r="AQ101" s="684"/>
      <c r="AR101" s="684"/>
      <c r="AS101" s="684"/>
      <c r="AT101" s="684"/>
      <c r="AU101" s="684"/>
      <c r="AV101" s="684"/>
      <c r="AW101" s="684"/>
      <c r="AX101" s="684"/>
      <c r="AY101" s="684"/>
      <c r="AZ101" s="684"/>
      <c r="BA101" s="684"/>
      <c r="BB101" s="684"/>
      <c r="BC101" s="684"/>
      <c r="BD101" s="684"/>
      <c r="BE101" s="684"/>
      <c r="BF101" s="684"/>
      <c r="BG101" s="684"/>
      <c r="BH101" s="684"/>
      <c r="BI101" s="684"/>
      <c r="BJ101" s="684"/>
      <c r="BK101" s="684"/>
      <c r="BL101" s="684"/>
      <c r="BM101" s="684"/>
      <c r="BN101" s="684"/>
      <c r="BO101" s="684"/>
      <c r="BP101" s="684"/>
      <c r="BQ101" s="684"/>
      <c r="BR101" s="684"/>
      <c r="BS101" s="684"/>
      <c r="BT101" s="684"/>
      <c r="BU101" s="684"/>
      <c r="BV101" s="684"/>
      <c r="BW101" s="684"/>
      <c r="BX101" s="684"/>
      <c r="BY101" s="684"/>
      <c r="BZ101" s="684"/>
      <c r="CA101" s="684"/>
      <c r="CB101" s="684"/>
      <c r="CC101" s="684"/>
      <c r="CD101" s="684"/>
      <c r="CE101" s="684"/>
      <c r="CF101" s="684"/>
      <c r="CG101" s="684"/>
      <c r="CH101" s="684"/>
      <c r="CI101" s="684"/>
      <c r="CJ101" s="684"/>
      <c r="CK101" s="684"/>
      <c r="CL101" s="684"/>
      <c r="CM101" s="684"/>
      <c r="CN101" s="684"/>
      <c r="CO101" s="684"/>
      <c r="CP101" s="684"/>
      <c r="CQ101" s="684"/>
      <c r="CR101" s="684"/>
      <c r="CS101" s="684"/>
      <c r="CT101" s="684"/>
      <c r="CU101" s="684"/>
      <c r="CV101" s="684"/>
      <c r="CW101" s="684"/>
      <c r="CX101" s="684"/>
      <c r="CY101" s="684"/>
      <c r="CZ101" s="684"/>
      <c r="DA101" s="684"/>
      <c r="DB101" s="684"/>
      <c r="DC101" s="684"/>
      <c r="DD101" s="684"/>
      <c r="DE101" s="684"/>
      <c r="DF101" s="684"/>
      <c r="DG101" s="684"/>
      <c r="DH101" s="684"/>
      <c r="DI101" s="684"/>
      <c r="DJ101" s="684"/>
      <c r="DK101" s="684"/>
      <c r="DL101" s="684"/>
      <c r="DM101" s="684"/>
      <c r="DN101" s="684"/>
      <c r="DO101" s="684"/>
      <c r="DP101" s="684"/>
      <c r="DQ101" s="684"/>
      <c r="DR101" s="684"/>
      <c r="DS101" s="684"/>
      <c r="DT101" s="684"/>
      <c r="DU101" s="684"/>
      <c r="DV101" s="684"/>
      <c r="DW101" s="684"/>
      <c r="DX101" s="684"/>
      <c r="DY101" s="684"/>
      <c r="DZ101" s="684"/>
      <c r="EA101" s="684"/>
      <c r="EB101" s="684"/>
      <c r="EC101" s="684"/>
      <c r="ED101" s="684"/>
      <c r="EE101" s="684"/>
      <c r="EF101" s="684"/>
      <c r="EG101" s="684"/>
      <c r="EH101" s="684"/>
      <c r="EI101" s="684"/>
      <c r="EJ101" s="684"/>
      <c r="EK101" s="684"/>
      <c r="EL101" s="684"/>
      <c r="EM101" s="684"/>
      <c r="EN101" s="684"/>
      <c r="EO101" s="684"/>
      <c r="EP101" s="684"/>
      <c r="EQ101" s="684"/>
      <c r="ER101" s="684"/>
      <c r="ES101" s="684"/>
      <c r="ET101" s="684"/>
      <c r="EU101" s="684"/>
      <c r="EV101" s="684"/>
      <c r="EW101" s="684"/>
      <c r="EX101" s="684"/>
      <c r="EY101" s="684"/>
      <c r="EZ101" s="684"/>
      <c r="FA101" s="684"/>
      <c r="FB101" s="684"/>
      <c r="FC101" s="684"/>
      <c r="FD101" s="684"/>
      <c r="FE101" s="684"/>
      <c r="FF101" s="684"/>
      <c r="FG101" s="684"/>
      <c r="FH101" s="684"/>
      <c r="FI101" s="684"/>
      <c r="FJ101" s="684"/>
      <c r="FK101" s="684"/>
      <c r="FL101" s="684"/>
      <c r="FM101" s="684"/>
      <c r="FN101" s="684"/>
      <c r="FO101" s="684"/>
    </row>
    <row r="102" spans="1:171">
      <c r="A102" s="719" t="s">
        <v>33</v>
      </c>
      <c r="B102" s="724"/>
      <c r="C102" s="724"/>
      <c r="D102" s="724"/>
      <c r="E102" s="724"/>
      <c r="F102" s="705"/>
      <c r="G102" s="705"/>
      <c r="H102" s="705"/>
      <c r="I102" s="705"/>
      <c r="J102" s="724"/>
      <c r="K102" s="724"/>
      <c r="L102" s="724"/>
      <c r="M102" s="724"/>
      <c r="N102" s="727" t="str">
        <f t="shared" ref="N102:AM102" si="35">N89</f>
        <v>Q1 16</v>
      </c>
      <c r="O102" s="727" t="str">
        <f t="shared" si="35"/>
        <v>Q2 16</v>
      </c>
      <c r="P102" s="727" t="str">
        <f t="shared" si="35"/>
        <v>Q3 16</v>
      </c>
      <c r="Q102" s="727" t="str">
        <f t="shared" si="35"/>
        <v>Q4 16</v>
      </c>
      <c r="R102" s="727" t="str">
        <f t="shared" si="35"/>
        <v>Q1 17</v>
      </c>
      <c r="S102" s="727" t="str">
        <f t="shared" si="35"/>
        <v>Q2 17</v>
      </c>
      <c r="T102" s="727" t="str">
        <f t="shared" si="35"/>
        <v>Q3 17</v>
      </c>
      <c r="U102" s="727" t="str">
        <f t="shared" si="35"/>
        <v>Q4 17</v>
      </c>
      <c r="V102" s="727" t="str">
        <f t="shared" si="35"/>
        <v>Q1 18</v>
      </c>
      <c r="W102" s="727" t="str">
        <f t="shared" si="35"/>
        <v>Q2 18</v>
      </c>
      <c r="X102" s="727" t="str">
        <f t="shared" si="35"/>
        <v>Q3 18</v>
      </c>
      <c r="Y102" s="727" t="str">
        <f t="shared" si="35"/>
        <v>Q4 18*</v>
      </c>
      <c r="Z102" s="727" t="str">
        <f t="shared" si="35"/>
        <v>Q1 19</v>
      </c>
      <c r="AA102" s="727" t="str">
        <f t="shared" si="35"/>
        <v>Q2 19</v>
      </c>
      <c r="AB102" s="727" t="str">
        <f t="shared" si="35"/>
        <v>Q3 19</v>
      </c>
      <c r="AC102" s="727" t="str">
        <f t="shared" si="35"/>
        <v>Q4 19</v>
      </c>
      <c r="AD102" s="727" t="str">
        <f t="shared" si="35"/>
        <v>Q1 20</v>
      </c>
      <c r="AE102" s="727" t="str">
        <f t="shared" si="35"/>
        <v>Q2 20</v>
      </c>
      <c r="AF102" s="727" t="str">
        <f t="shared" si="35"/>
        <v>Q3 20</v>
      </c>
      <c r="AG102" s="727" t="str">
        <f t="shared" si="35"/>
        <v>Q4 20</v>
      </c>
      <c r="AH102" s="727" t="str">
        <f t="shared" si="35"/>
        <v>Q1 21</v>
      </c>
      <c r="AI102" s="727" t="str">
        <f t="shared" si="35"/>
        <v>Q2 21</v>
      </c>
      <c r="AJ102" s="727" t="str">
        <f t="shared" si="35"/>
        <v>Q3 21</v>
      </c>
      <c r="AK102" s="727" t="str">
        <f t="shared" si="35"/>
        <v>Q4 21</v>
      </c>
      <c r="AL102" s="727" t="str">
        <f t="shared" si="35"/>
        <v>Q1 22</v>
      </c>
      <c r="AM102" s="727" t="str">
        <f t="shared" si="35"/>
        <v>Q2 22</v>
      </c>
      <c r="AN102" s="727" t="str">
        <f t="shared" ref="AN102:AS102" si="36">AN89</f>
        <v>Q3 22</v>
      </c>
      <c r="AO102" s="727" t="str">
        <f t="shared" si="36"/>
        <v>Q4 22</v>
      </c>
      <c r="AP102" s="727" t="str">
        <f t="shared" si="36"/>
        <v>Q1 23</v>
      </c>
      <c r="AQ102" s="727" t="str">
        <f t="shared" si="36"/>
        <v>Q2 23</v>
      </c>
      <c r="AR102" s="727" t="str">
        <f t="shared" si="36"/>
        <v>Q3 23</v>
      </c>
      <c r="AS102" s="727" t="str">
        <f t="shared" si="36"/>
        <v>Q4 23</v>
      </c>
      <c r="AT102" s="727" t="str">
        <f t="shared" ref="AT102:AY102" si="37">AT89</f>
        <v>Q1 24</v>
      </c>
      <c r="AU102" s="727" t="str">
        <f t="shared" si="37"/>
        <v>Q2 24</v>
      </c>
      <c r="AV102" s="727" t="str">
        <f t="shared" si="37"/>
        <v>Q3 24</v>
      </c>
      <c r="AW102" s="727" t="str">
        <f t="shared" si="37"/>
        <v>Q4 24</v>
      </c>
      <c r="AX102" s="727" t="str">
        <f t="shared" si="37"/>
        <v>Q1 25</v>
      </c>
      <c r="AY102" s="727" t="str">
        <f t="shared" si="37"/>
        <v>Q2 25</v>
      </c>
      <c r="AZ102" s="727" t="str">
        <f>AZ89</f>
        <v>Q3 25</v>
      </c>
      <c r="BA102" s="727" t="str">
        <f>BA89</f>
        <v>Q4 25</v>
      </c>
      <c r="BB102" s="727" t="str">
        <f>BB89</f>
        <v>Q1 26</v>
      </c>
      <c r="BC102" s="728"/>
      <c r="BD102" s="728"/>
      <c r="BE102" s="684"/>
      <c r="BF102" s="684"/>
      <c r="BG102" s="684"/>
      <c r="BH102" s="684"/>
      <c r="BI102" s="684"/>
      <c r="BJ102" s="684"/>
      <c r="BK102" s="684"/>
      <c r="BL102" s="684"/>
      <c r="BM102" s="684"/>
      <c r="BN102" s="684"/>
      <c r="BO102" s="684"/>
      <c r="BP102" s="684"/>
      <c r="BQ102" s="684"/>
      <c r="BR102" s="684"/>
      <c r="BS102" s="684"/>
      <c r="BT102" s="684"/>
      <c r="BU102" s="684"/>
      <c r="BV102" s="684"/>
      <c r="BW102" s="684"/>
      <c r="BX102" s="684"/>
      <c r="BY102" s="684"/>
      <c r="BZ102" s="684"/>
      <c r="CA102" s="684"/>
      <c r="CB102" s="684"/>
      <c r="CC102" s="684"/>
      <c r="CD102" s="684"/>
      <c r="CE102" s="684"/>
      <c r="CF102" s="684"/>
      <c r="CG102" s="684"/>
      <c r="CH102" s="684"/>
      <c r="CI102" s="684"/>
      <c r="CJ102" s="684"/>
      <c r="CK102" s="684"/>
      <c r="CL102" s="684"/>
      <c r="CM102" s="684"/>
      <c r="CN102" s="684"/>
      <c r="CO102" s="684"/>
      <c r="CP102" s="684"/>
      <c r="CQ102" s="684"/>
      <c r="CR102" s="684"/>
      <c r="CS102" s="684"/>
      <c r="CT102" s="684"/>
      <c r="CU102" s="684"/>
      <c r="CV102" s="684"/>
      <c r="CW102" s="684"/>
      <c r="CX102" s="684"/>
      <c r="CY102" s="684"/>
      <c r="CZ102" s="684"/>
      <c r="DA102" s="684"/>
      <c r="DB102" s="684"/>
      <c r="DC102" s="684"/>
      <c r="DD102" s="684"/>
      <c r="DE102" s="684"/>
      <c r="DF102" s="684"/>
      <c r="DG102" s="684"/>
      <c r="DH102" s="684"/>
      <c r="DI102" s="684"/>
      <c r="DJ102" s="684"/>
      <c r="DK102" s="684"/>
      <c r="DL102" s="684"/>
      <c r="DM102" s="684"/>
      <c r="DN102" s="684"/>
      <c r="DO102" s="684"/>
      <c r="DP102" s="684"/>
      <c r="DQ102" s="684"/>
      <c r="DR102" s="684"/>
      <c r="DS102" s="684"/>
      <c r="DT102" s="684"/>
      <c r="DU102" s="684"/>
      <c r="DV102" s="684"/>
      <c r="DW102" s="684"/>
      <c r="DX102" s="684"/>
      <c r="DY102" s="684"/>
      <c r="DZ102" s="684"/>
      <c r="EA102" s="684"/>
      <c r="EB102" s="684"/>
      <c r="EC102" s="684"/>
      <c r="ED102" s="684"/>
      <c r="EE102" s="684"/>
      <c r="EF102" s="684"/>
      <c r="EG102" s="684"/>
      <c r="EH102" s="684"/>
      <c r="EI102" s="684"/>
      <c r="EJ102" s="684"/>
      <c r="EK102" s="684"/>
      <c r="EL102" s="684"/>
      <c r="EM102" s="684"/>
      <c r="EN102" s="684"/>
      <c r="EO102" s="684"/>
      <c r="EP102" s="684"/>
      <c r="EQ102" s="684"/>
      <c r="ER102" s="684"/>
      <c r="ES102" s="684"/>
      <c r="ET102" s="684"/>
      <c r="EU102" s="684"/>
      <c r="EV102" s="684"/>
      <c r="EW102" s="684"/>
      <c r="EX102" s="684"/>
      <c r="EY102" s="684"/>
      <c r="EZ102" s="684"/>
      <c r="FA102" s="684"/>
      <c r="FB102" s="684"/>
      <c r="FC102" s="684"/>
      <c r="FD102" s="684"/>
      <c r="FE102" s="684"/>
      <c r="FF102" s="684"/>
      <c r="FG102" s="684"/>
      <c r="FH102" s="684"/>
      <c r="FI102" s="684"/>
      <c r="FJ102" s="684"/>
      <c r="FK102" s="684"/>
      <c r="FL102" s="684"/>
      <c r="FM102" s="684"/>
      <c r="FN102" s="684"/>
      <c r="FO102" s="684"/>
    </row>
    <row r="103" spans="1:171">
      <c r="A103" s="707" t="s">
        <v>467</v>
      </c>
      <c r="B103" s="684"/>
      <c r="C103" s="684"/>
      <c r="D103" s="684"/>
      <c r="E103" s="684"/>
      <c r="F103" s="697"/>
      <c r="G103" s="697"/>
      <c r="H103" s="697"/>
      <c r="I103" s="697"/>
      <c r="J103" s="684"/>
      <c r="K103" s="684"/>
      <c r="L103" s="684"/>
      <c r="M103" s="684"/>
      <c r="N103" s="697">
        <f>Interims!DE14</f>
        <v>0.13502122272693429</v>
      </c>
      <c r="O103" s="697">
        <f>Interims!DF14</f>
        <v>0.12915177214640305</v>
      </c>
      <c r="P103" s="697">
        <f>Interims!DG14</f>
        <v>0.11806964628461758</v>
      </c>
      <c r="Q103" s="697">
        <f>Interims!DH14</f>
        <v>9.8162507760796158E-2</v>
      </c>
      <c r="R103" s="697">
        <f>Interims!DJ14</f>
        <v>6.2353203605778562E-2</v>
      </c>
      <c r="S103" s="697">
        <f>Interims!DK14</f>
        <v>3.0068827623332073E-2</v>
      </c>
      <c r="T103" s="697">
        <f>Interims!DL14</f>
        <v>2.0514518344123989E-2</v>
      </c>
      <c r="U103" s="697">
        <f>Interims!DM14</f>
        <v>3.3645287013424285E-2</v>
      </c>
      <c r="V103" s="697">
        <f>Interims!DO14</f>
        <v>7.082247446364387E-2</v>
      </c>
      <c r="W103" s="697">
        <f>Interims!DP14</f>
        <v>9.8174623912800074E-2</v>
      </c>
      <c r="X103" s="697">
        <f>Interims!DQ14</f>
        <v>0.10782817662961852</v>
      </c>
      <c r="Y103" s="697">
        <f>Interims!DR14</f>
        <v>0.10762373587496676</v>
      </c>
      <c r="Z103" s="697">
        <f>Interims!DT14-4.5%</f>
        <v>9.6688870433809734E-2</v>
      </c>
      <c r="AA103" s="697">
        <f>Interims!DU14-4.5%</f>
        <v>0.11249458966427588</v>
      </c>
      <c r="AB103" s="697">
        <f>Interims!DV14-4.5%</f>
        <v>0.10166102669226366</v>
      </c>
      <c r="AC103" s="697">
        <f>Interims!DW14-4.5%</f>
        <v>0.11243299326517946</v>
      </c>
      <c r="AD103" s="697">
        <f>Interims!DY14</f>
        <v>9.3613925904971751E-2</v>
      </c>
      <c r="AE103" s="697">
        <f>Interims!DZ14</f>
        <v>0.10700196755973623</v>
      </c>
      <c r="AF103" s="697">
        <f>Interims!EA14</f>
        <v>7.9057140965371087E-2</v>
      </c>
      <c r="AG103" s="697">
        <f>Interims!EB14</f>
        <v>7.3492433801435553E-2</v>
      </c>
      <c r="AH103" s="697">
        <f>Interims!ED14</f>
        <v>7.8690402505381174E-2</v>
      </c>
      <c r="AI103" s="697">
        <f>Interims!EE14</f>
        <v>5.9493491794001319E-2</v>
      </c>
      <c r="AJ103" s="697">
        <f>Interims!EF14</f>
        <v>5.7740688470270696E-2</v>
      </c>
      <c r="AK103" s="697">
        <f>Interims!EG14</f>
        <v>3.9786228299382387E-2</v>
      </c>
      <c r="AL103" s="697">
        <f>Interims!EI14</f>
        <v>1.0962189012118317E-2</v>
      </c>
      <c r="AM103" s="697">
        <f>Interims!EJ14</f>
        <v>-1.9329638779461922E-2</v>
      </c>
      <c r="AN103" s="697">
        <f>Interims!EK14</f>
        <v>2.7132746589760171E-2</v>
      </c>
      <c r="AO103" s="697">
        <f>Interims!EL14</f>
        <v>1.3589564255623632E-2</v>
      </c>
      <c r="AP103" s="697">
        <f>Interims!EN14</f>
        <v>2.695582193231405E-2</v>
      </c>
      <c r="AQ103" s="697">
        <f>Interims!EO14</f>
        <v>4.6085106382978802E-2</v>
      </c>
      <c r="AR103" s="697">
        <f>Interims!EP14</f>
        <v>-1.9856382120380878E-2</v>
      </c>
      <c r="AS103" s="697">
        <f>Interims!EQ14</f>
        <v>-1.7884508918183717E-2</v>
      </c>
      <c r="AT103" s="697">
        <f>Interims!ES14</f>
        <v>-1.76528331147352E-2</v>
      </c>
      <c r="AU103" s="697">
        <f>Interims!ET14</f>
        <v>-3.1460765569702676E-2</v>
      </c>
      <c r="AV103" s="697">
        <f>Interims!EU14</f>
        <v>-3.8895611587187906E-2</v>
      </c>
      <c r="AW103" s="697">
        <f>Interims!EV14</f>
        <v>-2.7466422665925916E-2</v>
      </c>
      <c r="AX103" s="697">
        <f>Interims!EX14</f>
        <v>-3.1153694357906381E-2</v>
      </c>
      <c r="AY103" s="697">
        <f>Interims!EY14</f>
        <v>-2.5435118607620377E-2</v>
      </c>
      <c r="AZ103" s="697">
        <f>Interims!EZ14</f>
        <v>3.7686074995280094E-4</v>
      </c>
      <c r="BA103" s="771">
        <f>(14548.2-2798.6)/(15226.4-3363.5)-1</f>
        <v>-9.5507843781873492E-3</v>
      </c>
      <c r="BB103" s="771">
        <v>3.4000000000000002E-2</v>
      </c>
      <c r="BC103" s="697"/>
      <c r="BD103" s="697"/>
      <c r="BE103" s="684"/>
      <c r="BF103" s="684"/>
      <c r="BG103" s="684"/>
      <c r="BH103" s="684"/>
      <c r="BI103" s="684"/>
      <c r="BJ103" s="684"/>
      <c r="BK103" s="684"/>
      <c r="BL103" s="684"/>
      <c r="BM103" s="684"/>
      <c r="BN103" s="684"/>
      <c r="BO103" s="684"/>
      <c r="BP103" s="684"/>
      <c r="BQ103" s="684"/>
      <c r="BR103" s="684"/>
      <c r="BS103" s="684"/>
      <c r="BT103" s="684"/>
      <c r="BU103" s="684"/>
      <c r="BV103" s="684"/>
      <c r="BW103" s="684"/>
      <c r="BX103" s="684"/>
      <c r="BY103" s="684"/>
      <c r="BZ103" s="684"/>
      <c r="CA103" s="684"/>
      <c r="CB103" s="684"/>
      <c r="CC103" s="684"/>
      <c r="CD103" s="684"/>
      <c r="CE103" s="684"/>
      <c r="CF103" s="684"/>
      <c r="CG103" s="684"/>
      <c r="CH103" s="684"/>
      <c r="CI103" s="684"/>
      <c r="CJ103" s="684"/>
      <c r="CK103" s="684"/>
      <c r="CL103" s="684"/>
      <c r="CM103" s="684"/>
      <c r="CN103" s="684"/>
      <c r="CO103" s="684"/>
      <c r="CP103" s="684"/>
      <c r="CQ103" s="684"/>
      <c r="CR103" s="684"/>
      <c r="CS103" s="684"/>
      <c r="CT103" s="684"/>
      <c r="CU103" s="684"/>
      <c r="CV103" s="684"/>
      <c r="CW103" s="684"/>
      <c r="CX103" s="684"/>
      <c r="CY103" s="684"/>
      <c r="CZ103" s="684"/>
      <c r="DA103" s="684"/>
      <c r="DB103" s="684"/>
      <c r="DC103" s="684"/>
      <c r="DD103" s="684"/>
      <c r="DE103" s="684"/>
      <c r="DF103" s="684"/>
      <c r="DG103" s="684"/>
      <c r="DH103" s="684"/>
      <c r="DI103" s="684"/>
      <c r="DJ103" s="684"/>
      <c r="DK103" s="684"/>
      <c r="DL103" s="684"/>
      <c r="DM103" s="684"/>
      <c r="DN103" s="684"/>
      <c r="DO103" s="684"/>
      <c r="DP103" s="684"/>
      <c r="DQ103" s="684"/>
      <c r="DR103" s="684"/>
      <c r="DS103" s="684"/>
      <c r="DT103" s="684"/>
      <c r="DU103" s="684"/>
      <c r="DV103" s="684"/>
      <c r="DW103" s="684"/>
      <c r="DX103" s="684"/>
      <c r="DY103" s="684"/>
      <c r="DZ103" s="684"/>
      <c r="EA103" s="684"/>
      <c r="EB103" s="684"/>
      <c r="EC103" s="684"/>
      <c r="ED103" s="684"/>
      <c r="EE103" s="684"/>
      <c r="EF103" s="684"/>
      <c r="EG103" s="684"/>
      <c r="EH103" s="684"/>
      <c r="EI103" s="684"/>
      <c r="EJ103" s="684"/>
      <c r="EK103" s="684"/>
      <c r="EL103" s="684"/>
      <c r="EM103" s="684"/>
      <c r="EN103" s="684"/>
      <c r="EO103" s="684"/>
      <c r="EP103" s="684"/>
      <c r="EQ103" s="684"/>
      <c r="ER103" s="684"/>
      <c r="ES103" s="684"/>
      <c r="ET103" s="684"/>
      <c r="EU103" s="684"/>
      <c r="EV103" s="684"/>
      <c r="EW103" s="684"/>
      <c r="EX103" s="684"/>
      <c r="EY103" s="684"/>
      <c r="EZ103" s="684"/>
      <c r="FA103" s="684"/>
      <c r="FB103" s="684"/>
      <c r="FC103" s="684"/>
      <c r="FD103" s="684"/>
      <c r="FE103" s="684"/>
      <c r="FF103" s="684"/>
      <c r="FG103" s="684"/>
      <c r="FH103" s="684"/>
      <c r="FI103" s="684"/>
      <c r="FJ103" s="684"/>
      <c r="FK103" s="684"/>
      <c r="FL103" s="684"/>
      <c r="FM103" s="684"/>
      <c r="FN103" s="684"/>
      <c r="FO103" s="684"/>
    </row>
    <row r="104" spans="1:171">
      <c r="A104" s="707" t="s">
        <v>934</v>
      </c>
      <c r="B104" s="684"/>
      <c r="C104" s="684"/>
      <c r="D104" s="684"/>
      <c r="E104" s="684"/>
      <c r="F104" s="697"/>
      <c r="G104" s="697"/>
      <c r="H104" s="697"/>
      <c r="I104" s="697"/>
      <c r="J104" s="684"/>
      <c r="K104" s="684"/>
      <c r="L104" s="684"/>
      <c r="M104" s="684"/>
      <c r="N104" s="697">
        <f>Interims!AF135</f>
        <v>0.17355371900826455</v>
      </c>
      <c r="O104" s="697">
        <f>Interims!AG135</f>
        <v>0.14565996887896637</v>
      </c>
      <c r="P104" s="697">
        <f>Interims!AH135</f>
        <v>0.12136063664596275</v>
      </c>
      <c r="Q104" s="697">
        <f>Interims!AI135</f>
        <v>9.834249041968679E-2</v>
      </c>
      <c r="R104" s="697">
        <f>Interims!AK135</f>
        <v>5.1588252921786149E-2</v>
      </c>
      <c r="S104" s="697">
        <f>Interims!AL135</f>
        <v>4.3654777370969677E-2</v>
      </c>
      <c r="T104" s="697">
        <f>Interims!AM135</f>
        <v>5.3471230545097947E-2</v>
      </c>
      <c r="U104" s="697">
        <f>Interims!AN135</f>
        <v>7.5693247579413869E-2</v>
      </c>
      <c r="V104" s="697">
        <f>Interims!AP135</f>
        <v>9.5906416083666901E-2</v>
      </c>
      <c r="W104" s="697">
        <f>Interims!AQ135</f>
        <v>0.1131229400364957</v>
      </c>
      <c r="X104" s="697">
        <f>Interims!AR135</f>
        <v>0.12562642057124074</v>
      </c>
      <c r="Y104" s="697">
        <f>Interims!AS135</f>
        <v>0.10702236579869462</v>
      </c>
      <c r="Z104" s="697">
        <f>Interims!AU134</f>
        <v>9.2024858933354325E-2</v>
      </c>
      <c r="AA104" s="697">
        <f>Interims!AV134</f>
        <v>0.11091625365357727</v>
      </c>
      <c r="AB104" s="697">
        <f>Interims!AW134</f>
        <v>0.11043802989940277</v>
      </c>
      <c r="AC104" s="697">
        <f>Interims!AX134</f>
        <v>9.7358357357180347E-2</v>
      </c>
      <c r="AD104" s="697">
        <f>Interims!AZ135</f>
        <v>9.9344166234702769E-2</v>
      </c>
      <c r="AE104" s="697">
        <f>Interims!BA135</f>
        <v>7.7261088447183379E-2</v>
      </c>
      <c r="AF104" s="697">
        <f>Interims!BB135</f>
        <v>6.4932630833628435E-2</v>
      </c>
      <c r="AG104" s="697">
        <f>Interims!BC135</f>
        <v>7.4329908477792861E-2</v>
      </c>
      <c r="AH104" s="697">
        <f>Interims!BE135</f>
        <v>7.2736218454662938E-2</v>
      </c>
      <c r="AI104" s="697">
        <f>Interims!BF135</f>
        <v>6.4035290918430077E-2</v>
      </c>
      <c r="AJ104" s="697">
        <f>Interims!BG135</f>
        <v>5.823571973326569E-2</v>
      </c>
      <c r="AK104" s="697">
        <f>Interims!BH135</f>
        <v>4.8198377875282583E-2</v>
      </c>
      <c r="AL104" s="697">
        <f>Interims!BJ135</f>
        <v>3.3940413171020811E-2</v>
      </c>
      <c r="AM104" s="697">
        <f>Interims!BK135</f>
        <v>3.7947125805749327E-2</v>
      </c>
      <c r="AN104" s="697">
        <f>Interims!BL135</f>
        <v>1.9495518802550071E-2</v>
      </c>
      <c r="AO104" s="697">
        <f>Interims!BM135</f>
        <v>9.1783018782449766E-3</v>
      </c>
      <c r="AP104" s="697">
        <f>Interims!BO135</f>
        <v>4.0164131379036405E-2</v>
      </c>
      <c r="AQ104" s="697">
        <f>Interims!BP135</f>
        <v>4.3153133435470892E-2</v>
      </c>
      <c r="AR104" s="697">
        <f>Interims!BQ135</f>
        <v>1.7808591625883663E-2</v>
      </c>
      <c r="AS104" s="697">
        <f>Interims!BR135</f>
        <v>-2.6485428525255816E-3</v>
      </c>
      <c r="AT104" s="697">
        <f>Interims!BT135</f>
        <v>-3.649868505224263E-2</v>
      </c>
      <c r="AU104" s="697">
        <f>Interims!BU135</f>
        <v>-4.9594363045074585E-2</v>
      </c>
      <c r="AV104" s="697">
        <f>Interims!BV135</f>
        <v>-5.1288900761319645E-2</v>
      </c>
      <c r="AW104" s="697">
        <f>Interims!BW135</f>
        <v>-4.2804288530611134E-2</v>
      </c>
      <c r="AX104" s="697">
        <f>Interims!BY135</f>
        <v>-2.9803400833609883E-2</v>
      </c>
      <c r="AY104" s="697">
        <f>Interims!BZ135</f>
        <v>-3.0676539575955508E-2</v>
      </c>
      <c r="AZ104" s="697">
        <f>Interims!CA135</f>
        <v>-6.9172650053967999E-3</v>
      </c>
      <c r="BA104" s="771">
        <v>-6.0000000000000001E-3</v>
      </c>
      <c r="BB104" s="771">
        <v>8.9999999999999993E-3</v>
      </c>
      <c r="BC104" s="697"/>
      <c r="BD104" s="697"/>
      <c r="BE104" s="684"/>
      <c r="BF104" s="684"/>
      <c r="BG104" s="684"/>
      <c r="BH104" s="684"/>
      <c r="BI104" s="684"/>
      <c r="BJ104" s="684"/>
      <c r="BK104" s="684"/>
      <c r="BL104" s="684"/>
      <c r="BM104" s="684"/>
      <c r="BN104" s="684"/>
      <c r="BO104" s="684"/>
      <c r="BP104" s="684"/>
      <c r="BQ104" s="684"/>
      <c r="BR104" s="684"/>
      <c r="BS104" s="684"/>
      <c r="BT104" s="684"/>
      <c r="BU104" s="684"/>
      <c r="BV104" s="684"/>
      <c r="BW104" s="684"/>
      <c r="BX104" s="684"/>
      <c r="BY104" s="684"/>
      <c r="BZ104" s="684"/>
      <c r="CA104" s="684"/>
      <c r="CB104" s="684"/>
      <c r="CC104" s="684"/>
      <c r="CD104" s="684"/>
      <c r="CE104" s="684"/>
      <c r="CF104" s="684"/>
      <c r="CG104" s="684"/>
      <c r="CH104" s="684"/>
      <c r="CI104" s="684"/>
      <c r="CJ104" s="684"/>
      <c r="CK104" s="684"/>
      <c r="CL104" s="684"/>
      <c r="CM104" s="684"/>
      <c r="CN104" s="684"/>
      <c r="CO104" s="684"/>
      <c r="CP104" s="684"/>
      <c r="CQ104" s="684"/>
      <c r="CR104" s="684"/>
      <c r="CS104" s="684"/>
      <c r="CT104" s="684"/>
      <c r="CU104" s="684"/>
      <c r="CV104" s="684"/>
      <c r="CW104" s="684"/>
      <c r="CX104" s="684"/>
      <c r="CY104" s="684"/>
      <c r="CZ104" s="684"/>
      <c r="DA104" s="684"/>
      <c r="DB104" s="684"/>
      <c r="DC104" s="684"/>
      <c r="DD104" s="684"/>
      <c r="DE104" s="684"/>
      <c r="DF104" s="684"/>
      <c r="DG104" s="684"/>
      <c r="DH104" s="684"/>
      <c r="DI104" s="684"/>
      <c r="DJ104" s="684"/>
      <c r="DK104" s="684"/>
      <c r="DL104" s="684"/>
      <c r="DM104" s="684"/>
      <c r="DN104" s="684"/>
      <c r="DO104" s="684"/>
      <c r="DP104" s="684"/>
      <c r="DQ104" s="684"/>
      <c r="DR104" s="684"/>
      <c r="DS104" s="684"/>
      <c r="DT104" s="684"/>
      <c r="DU104" s="684"/>
      <c r="DV104" s="684"/>
      <c r="DW104" s="684"/>
      <c r="DX104" s="684"/>
      <c r="DY104" s="684"/>
      <c r="DZ104" s="684"/>
      <c r="EA104" s="684"/>
      <c r="EB104" s="684"/>
      <c r="EC104" s="684"/>
      <c r="ED104" s="684"/>
      <c r="EE104" s="684"/>
      <c r="EF104" s="684"/>
      <c r="EG104" s="684"/>
      <c r="EH104" s="684"/>
      <c r="EI104" s="684"/>
      <c r="EJ104" s="684"/>
      <c r="EK104" s="684"/>
      <c r="EL104" s="684"/>
      <c r="EM104" s="684"/>
      <c r="EN104" s="684"/>
      <c r="EO104" s="684"/>
      <c r="EP104" s="684"/>
      <c r="EQ104" s="684"/>
      <c r="ER104" s="684"/>
      <c r="ES104" s="684"/>
      <c r="ET104" s="684"/>
      <c r="EU104" s="684"/>
      <c r="EV104" s="684"/>
      <c r="EW104" s="684"/>
      <c r="EX104" s="684"/>
      <c r="EY104" s="684"/>
      <c r="EZ104" s="684"/>
      <c r="FA104" s="684"/>
      <c r="FB104" s="684"/>
      <c r="FC104" s="684"/>
      <c r="FD104" s="684"/>
      <c r="FE104" s="684"/>
      <c r="FF104" s="684"/>
      <c r="FG104" s="684"/>
      <c r="FH104" s="684"/>
      <c r="FI104" s="684"/>
      <c r="FJ104" s="684"/>
      <c r="FK104" s="684"/>
      <c r="FL104" s="684"/>
      <c r="FM104" s="684"/>
      <c r="FN104" s="684"/>
      <c r="FO104" s="684"/>
    </row>
    <row r="105" spans="1:171">
      <c r="A105" s="707" t="s">
        <v>935</v>
      </c>
      <c r="B105" s="684"/>
      <c r="C105" s="684"/>
      <c r="D105" s="684"/>
      <c r="E105" s="684"/>
      <c r="F105" s="697"/>
      <c r="G105" s="697"/>
      <c r="H105" s="697"/>
      <c r="I105" s="697"/>
      <c r="J105" s="684"/>
      <c r="K105" s="684"/>
      <c r="L105" s="684"/>
      <c r="M105" s="684"/>
      <c r="N105" s="771">
        <v>0.21323606241836801</v>
      </c>
      <c r="O105" s="771">
        <v>0.24291920575145509</v>
      </c>
      <c r="P105" s="771">
        <v>0.18239137536752703</v>
      </c>
      <c r="Q105" s="771">
        <v>9.397054424293394E-2</v>
      </c>
      <c r="R105" s="771">
        <v>6.1262302080945963E-2</v>
      </c>
      <c r="S105" s="771">
        <v>2.8043828966660023E-2</v>
      </c>
      <c r="T105" s="771">
        <v>6.0136490481584648E-2</v>
      </c>
      <c r="U105" s="771">
        <v>8.5392423339826218E-2</v>
      </c>
      <c r="V105" s="771">
        <v>0.13424017733964866</v>
      </c>
      <c r="W105" s="771">
        <v>0.17404488608079216</v>
      </c>
      <c r="X105" s="771">
        <v>0.14334659385887583</v>
      </c>
      <c r="Y105" s="771">
        <v>0.12268885974181565</v>
      </c>
      <c r="Z105" s="771">
        <v>9.2518063498788106E-2</v>
      </c>
      <c r="AA105" s="771">
        <v>0.11523843993953453</v>
      </c>
      <c r="AB105" s="771">
        <v>9.4150262390909623E-2</v>
      </c>
      <c r="AC105" s="771">
        <v>7.4444788946657736E-2</v>
      </c>
      <c r="AD105" s="771">
        <v>7.9387117621714909E-2</v>
      </c>
      <c r="AE105" s="771">
        <v>1.350615526185317E-2</v>
      </c>
      <c r="AF105" s="771">
        <v>6.7481874999999913E-2</v>
      </c>
      <c r="AG105" s="771">
        <v>8.5060236050259919E-2</v>
      </c>
      <c r="AH105" s="771">
        <v>8.9488805042994501E-2</v>
      </c>
      <c r="AI105" s="771">
        <v>0.11933043688411837</v>
      </c>
      <c r="AJ105" s="771">
        <v>9.7694672021168438E-2</v>
      </c>
      <c r="AK105" s="771">
        <v>0.12241253664376783</v>
      </c>
      <c r="AL105" s="771">
        <v>0.10316272509113578</v>
      </c>
      <c r="AM105" s="771">
        <v>0.10100000000000001</v>
      </c>
      <c r="AN105" s="771">
        <v>9.0518041451565612E-2</v>
      </c>
      <c r="AO105" s="771">
        <v>6.6835881134052588E-2</v>
      </c>
      <c r="AP105" s="771">
        <v>8.2097888511479811E-2</v>
      </c>
      <c r="AQ105" s="771">
        <v>0.10045330199814262</v>
      </c>
      <c r="AR105" s="771">
        <v>0.12617952559748669</v>
      </c>
      <c r="AS105" s="771">
        <v>0.1363249841471148</v>
      </c>
      <c r="AT105" s="771">
        <v>0.12489002836358964</v>
      </c>
      <c r="AU105" s="771">
        <v>0.10904161328633566</v>
      </c>
      <c r="AV105" s="771">
        <v>9.8860000353236943E-2</v>
      </c>
      <c r="AW105" s="771">
        <v>0.11</v>
      </c>
      <c r="AX105" s="771">
        <v>9.2999999999999999E-2</v>
      </c>
      <c r="AY105" s="771">
        <v>0.10604497905149035</v>
      </c>
      <c r="AZ105" s="771">
        <v>0.11244997273337276</v>
      </c>
      <c r="BA105" s="771">
        <v>0.10348005503615831</v>
      </c>
      <c r="BB105" s="771">
        <v>0.1127985538244165</v>
      </c>
      <c r="BC105" s="771"/>
      <c r="BD105" s="771"/>
      <c r="BE105" s="684"/>
      <c r="BF105" s="684"/>
      <c r="BG105" s="684"/>
      <c r="BH105" s="684"/>
      <c r="BI105" s="684"/>
      <c r="BJ105" s="684"/>
      <c r="BK105" s="684"/>
      <c r="BL105" s="684"/>
      <c r="BM105" s="684"/>
      <c r="BN105" s="684"/>
      <c r="BO105" s="684"/>
      <c r="BP105" s="684"/>
      <c r="BQ105" s="684"/>
      <c r="BR105" s="684"/>
      <c r="BS105" s="684"/>
      <c r="BT105" s="684"/>
      <c r="BU105" s="684"/>
      <c r="BV105" s="684"/>
      <c r="BW105" s="684"/>
      <c r="BX105" s="684"/>
      <c r="BY105" s="684"/>
      <c r="BZ105" s="684"/>
      <c r="CA105" s="684"/>
      <c r="CB105" s="684"/>
      <c r="CC105" s="684"/>
      <c r="CD105" s="684"/>
      <c r="CE105" s="684"/>
      <c r="CF105" s="684"/>
      <c r="CG105" s="684"/>
      <c r="CH105" s="684"/>
      <c r="CI105" s="684"/>
      <c r="CJ105" s="684"/>
      <c r="CK105" s="684"/>
      <c r="CL105" s="684"/>
      <c r="CM105" s="684"/>
      <c r="CN105" s="684"/>
      <c r="CO105" s="684"/>
      <c r="CP105" s="684"/>
      <c r="CQ105" s="684"/>
      <c r="CR105" s="684"/>
      <c r="CS105" s="684"/>
      <c r="CT105" s="684"/>
      <c r="CU105" s="684"/>
      <c r="CV105" s="684"/>
      <c r="CW105" s="684"/>
      <c r="CX105" s="684"/>
      <c r="CY105" s="684"/>
      <c r="CZ105" s="684"/>
      <c r="DA105" s="684"/>
      <c r="DB105" s="684"/>
      <c r="DC105" s="684"/>
      <c r="DD105" s="684"/>
      <c r="DE105" s="684"/>
      <c r="DF105" s="684"/>
      <c r="DG105" s="684"/>
      <c r="DH105" s="684"/>
      <c r="DI105" s="684"/>
      <c r="DJ105" s="684"/>
      <c r="DK105" s="684"/>
      <c r="DL105" s="684"/>
      <c r="DM105" s="684"/>
      <c r="DN105" s="684"/>
      <c r="DO105" s="684"/>
      <c r="DP105" s="684"/>
      <c r="DQ105" s="684"/>
      <c r="DR105" s="684"/>
      <c r="DS105" s="684"/>
      <c r="DT105" s="684"/>
      <c r="DU105" s="684"/>
      <c r="DV105" s="684"/>
      <c r="DW105" s="684"/>
      <c r="DX105" s="684"/>
      <c r="DY105" s="684"/>
      <c r="DZ105" s="684"/>
      <c r="EA105" s="684"/>
      <c r="EB105" s="684"/>
      <c r="EC105" s="684"/>
      <c r="ED105" s="684"/>
      <c r="EE105" s="684"/>
      <c r="EF105" s="684"/>
      <c r="EG105" s="684"/>
      <c r="EH105" s="684"/>
      <c r="EI105" s="684"/>
      <c r="EJ105" s="684"/>
      <c r="EK105" s="684"/>
      <c r="EL105" s="684"/>
      <c r="EM105" s="684"/>
      <c r="EN105" s="684"/>
      <c r="EO105" s="684"/>
      <c r="EP105" s="684"/>
      <c r="EQ105" s="684"/>
      <c r="ER105" s="684"/>
      <c r="ES105" s="684"/>
      <c r="ET105" s="684"/>
      <c r="EU105" s="684"/>
      <c r="EV105" s="684"/>
      <c r="EW105" s="684"/>
      <c r="EX105" s="684"/>
      <c r="EY105" s="684"/>
      <c r="EZ105" s="684"/>
      <c r="FA105" s="684"/>
      <c r="FB105" s="684"/>
      <c r="FC105" s="684"/>
      <c r="FD105" s="684"/>
      <c r="FE105" s="684"/>
      <c r="FF105" s="684"/>
      <c r="FG105" s="684"/>
      <c r="FH105" s="684"/>
      <c r="FI105" s="684"/>
      <c r="FJ105" s="684"/>
      <c r="FK105" s="684"/>
      <c r="FL105" s="684"/>
      <c r="FM105" s="684"/>
      <c r="FN105" s="684"/>
      <c r="FO105" s="684"/>
    </row>
    <row r="106" spans="1:171">
      <c r="A106" s="707" t="s">
        <v>466</v>
      </c>
      <c r="B106" s="684"/>
      <c r="C106" s="684"/>
      <c r="D106" s="684"/>
      <c r="E106" s="684"/>
      <c r="F106" s="697"/>
      <c r="G106" s="697"/>
      <c r="H106" s="697"/>
      <c r="I106" s="697"/>
      <c r="J106" s="684"/>
      <c r="K106" s="684"/>
      <c r="L106" s="684"/>
      <c r="M106" s="684"/>
      <c r="N106" s="697"/>
      <c r="O106" s="697"/>
      <c r="P106" s="697"/>
      <c r="Q106" s="697"/>
      <c r="R106" s="697"/>
      <c r="S106" s="697"/>
      <c r="T106" s="697"/>
      <c r="U106" s="697"/>
      <c r="V106" s="697"/>
      <c r="W106" s="697"/>
      <c r="X106" s="697"/>
      <c r="Y106" s="697"/>
      <c r="Z106" s="771">
        <v>-7.1143835295221169E-2</v>
      </c>
      <c r="AA106" s="771">
        <v>-3.4134952136352981E-2</v>
      </c>
      <c r="AB106" s="771">
        <v>-5.00976236963665E-2</v>
      </c>
      <c r="AC106" s="771">
        <v>5.1680257622188641E-2</v>
      </c>
      <c r="AD106" s="771">
        <v>-3.8473189942441643E-2</v>
      </c>
      <c r="AE106" s="771">
        <v>-5.9119621002763467E-2</v>
      </c>
      <c r="AF106" s="771">
        <v>-4.7392394697783891E-2</v>
      </c>
      <c r="AG106" s="771">
        <v>-2.5054129291679605E-2</v>
      </c>
      <c r="AH106" s="771">
        <v>-2.6254988447804717E-4</v>
      </c>
      <c r="AI106" s="771">
        <v>-4.300849680058727E-3</v>
      </c>
      <c r="AJ106" s="771">
        <v>1.9341320582388688E-2</v>
      </c>
      <c r="AK106" s="771">
        <v>1.3271996615905168E-2</v>
      </c>
      <c r="AL106" s="771">
        <v>-3.1724355270760007E-2</v>
      </c>
      <c r="AM106" s="771">
        <v>-2.5000000000000001E-2</v>
      </c>
      <c r="AN106" s="771">
        <v>2.6353238813050517E-3</v>
      </c>
      <c r="AO106" s="771">
        <v>-1.2732870636121718E-2</v>
      </c>
      <c r="AP106" s="771">
        <v>4.1117439652834209E-2</v>
      </c>
      <c r="AQ106" s="771">
        <v>5.589189189189181E-2</v>
      </c>
      <c r="AR106" s="771">
        <v>3.5903905798244207E-2</v>
      </c>
      <c r="AS106" s="771">
        <v>5.9358317035784092E-2</v>
      </c>
      <c r="AT106" s="771">
        <v>9.717084353670602E-2</v>
      </c>
      <c r="AU106" s="771">
        <v>6.0999999999999999E-2</v>
      </c>
      <c r="AV106" s="771">
        <v>5.6480259819344347E-2</v>
      </c>
      <c r="AW106" s="771">
        <v>3.9E-2</v>
      </c>
      <c r="AX106" s="771">
        <v>1.4999999999999999E-2</v>
      </c>
      <c r="AY106" s="771">
        <v>3.5999999999999997E-2</v>
      </c>
      <c r="AZ106" s="771">
        <v>-1.4E-2</v>
      </c>
      <c r="BA106" s="771">
        <v>2.1999999999999999E-2</v>
      </c>
      <c r="BB106" s="771">
        <v>-8.1891018547208816E-3</v>
      </c>
      <c r="BC106" s="771"/>
      <c r="BD106" s="771"/>
      <c r="BE106" s="684"/>
      <c r="BF106" s="684"/>
      <c r="BG106" s="684"/>
      <c r="BH106" s="684"/>
      <c r="BI106" s="684"/>
      <c r="BJ106" s="684"/>
      <c r="BK106" s="684"/>
      <c r="BL106" s="684"/>
      <c r="BM106" s="684"/>
      <c r="BN106" s="684"/>
      <c r="BO106" s="684"/>
      <c r="BP106" s="684"/>
      <c r="BQ106" s="684"/>
      <c r="BR106" s="684"/>
      <c r="BS106" s="684"/>
      <c r="BT106" s="684"/>
      <c r="BU106" s="684"/>
      <c r="BV106" s="684"/>
      <c r="BW106" s="684"/>
      <c r="BX106" s="684"/>
      <c r="BY106" s="684"/>
      <c r="BZ106" s="684"/>
      <c r="CA106" s="684"/>
      <c r="CB106" s="684"/>
      <c r="CC106" s="684"/>
      <c r="CD106" s="684"/>
      <c r="CE106" s="684"/>
      <c r="CF106" s="684"/>
      <c r="CG106" s="684"/>
      <c r="CH106" s="684"/>
      <c r="CI106" s="684"/>
      <c r="CJ106" s="684"/>
      <c r="CK106" s="684"/>
      <c r="CL106" s="684"/>
      <c r="CM106" s="684"/>
      <c r="CN106" s="684"/>
      <c r="CO106" s="684"/>
      <c r="CP106" s="684"/>
      <c r="CQ106" s="684"/>
      <c r="CR106" s="684"/>
      <c r="CS106" s="684"/>
      <c r="CT106" s="684"/>
      <c r="CU106" s="684"/>
      <c r="CV106" s="684"/>
      <c r="CW106" s="684"/>
      <c r="CX106" s="684"/>
      <c r="CY106" s="684"/>
      <c r="CZ106" s="684"/>
      <c r="DA106" s="684"/>
      <c r="DB106" s="684"/>
      <c r="DC106" s="684"/>
      <c r="DD106" s="684"/>
      <c r="DE106" s="684"/>
      <c r="DF106" s="684"/>
      <c r="DG106" s="684"/>
      <c r="DH106" s="684"/>
      <c r="DI106" s="684"/>
      <c r="DJ106" s="684"/>
      <c r="DK106" s="684"/>
      <c r="DL106" s="684"/>
      <c r="DM106" s="684"/>
      <c r="DN106" s="684"/>
      <c r="DO106" s="684"/>
      <c r="DP106" s="684"/>
      <c r="DQ106" s="684"/>
      <c r="DR106" s="684"/>
      <c r="DS106" s="684"/>
      <c r="DT106" s="684"/>
      <c r="DU106" s="684"/>
      <c r="DV106" s="684"/>
      <c r="DW106" s="684"/>
      <c r="DX106" s="684"/>
      <c r="DY106" s="684"/>
      <c r="DZ106" s="684"/>
      <c r="EA106" s="684"/>
      <c r="EB106" s="684"/>
      <c r="EC106" s="684"/>
      <c r="ED106" s="684"/>
      <c r="EE106" s="684"/>
      <c r="EF106" s="684"/>
      <c r="EG106" s="684"/>
      <c r="EH106" s="684"/>
      <c r="EI106" s="684"/>
      <c r="EJ106" s="684"/>
      <c r="EK106" s="684"/>
      <c r="EL106" s="684"/>
      <c r="EM106" s="684"/>
      <c r="EN106" s="684"/>
      <c r="EO106" s="684"/>
      <c r="EP106" s="684"/>
      <c r="EQ106" s="684"/>
      <c r="ER106" s="684"/>
      <c r="ES106" s="684"/>
      <c r="ET106" s="684"/>
      <c r="EU106" s="684"/>
      <c r="EV106" s="684"/>
      <c r="EW106" s="684"/>
      <c r="EX106" s="684"/>
      <c r="EY106" s="684"/>
      <c r="EZ106" s="684"/>
      <c r="FA106" s="684"/>
      <c r="FB106" s="684"/>
      <c r="FC106" s="684"/>
      <c r="FD106" s="684"/>
      <c r="FE106" s="684"/>
      <c r="FF106" s="684"/>
      <c r="FG106" s="684"/>
      <c r="FH106" s="684"/>
      <c r="FI106" s="684"/>
      <c r="FJ106" s="684"/>
      <c r="FK106" s="684"/>
      <c r="FL106" s="684"/>
      <c r="FM106" s="684"/>
      <c r="FN106" s="684"/>
      <c r="FO106" s="684"/>
    </row>
    <row r="107" spans="1:171">
      <c r="A107" s="707" t="s">
        <v>936</v>
      </c>
      <c r="B107" s="684"/>
      <c r="C107" s="684"/>
      <c r="D107" s="684"/>
      <c r="E107" s="684"/>
      <c r="F107" s="697"/>
      <c r="G107" s="697"/>
      <c r="H107" s="697"/>
      <c r="I107" s="697"/>
      <c r="J107" s="684"/>
      <c r="K107" s="684"/>
      <c r="L107" s="684"/>
      <c r="M107" s="684"/>
      <c r="N107" s="697"/>
      <c r="O107" s="697"/>
      <c r="P107" s="697"/>
      <c r="Q107" s="697"/>
      <c r="R107" s="697"/>
      <c r="S107" s="697"/>
      <c r="T107" s="697"/>
      <c r="U107" s="697"/>
      <c r="V107" s="697"/>
      <c r="W107" s="697"/>
      <c r="X107" s="697"/>
      <c r="Y107" s="697"/>
      <c r="Z107" s="697"/>
      <c r="AA107" s="697"/>
      <c r="AB107" s="697"/>
      <c r="AC107" s="697"/>
      <c r="AD107" s="771"/>
      <c r="AE107" s="771"/>
      <c r="AF107" s="771"/>
      <c r="AG107" s="771"/>
      <c r="AH107" s="771"/>
      <c r="AI107" s="771"/>
      <c r="AJ107" s="771"/>
      <c r="AK107" s="771">
        <v>0.42640186915887845</v>
      </c>
      <c r="AL107" s="771">
        <v>0.44080183754437252</v>
      </c>
      <c r="AM107" s="771">
        <v>0.39863065804488396</v>
      </c>
      <c r="AN107" s="771">
        <v>0.40641711229946531</v>
      </c>
      <c r="AO107" s="771">
        <v>0.37559377559377549</v>
      </c>
      <c r="AP107" s="771">
        <v>0.18840579710144922</v>
      </c>
      <c r="AQ107" s="771">
        <v>0.15868914876257811</v>
      </c>
      <c r="AR107" s="771">
        <v>0.1212927756653992</v>
      </c>
      <c r="AS107" s="771">
        <v>6.5134555846630082E-2</v>
      </c>
      <c r="AT107" s="771">
        <v>0.10975609756097571</v>
      </c>
      <c r="AU107" s="771">
        <v>7.9216054453702611E-2</v>
      </c>
      <c r="AV107" s="771">
        <v>7.8783768509099072E-2</v>
      </c>
      <c r="AW107" s="771">
        <v>7.9373951928451758E-2</v>
      </c>
      <c r="AX107" s="771">
        <v>5.4196959682749402E-2</v>
      </c>
      <c r="AY107" s="771">
        <v>7.7207481513701604E-2</v>
      </c>
      <c r="AZ107" s="771">
        <v>0.03</v>
      </c>
      <c r="BA107" s="771">
        <v>3.2000000000000001E-2</v>
      </c>
      <c r="BB107" s="771">
        <v>2.9049111807732508E-2</v>
      </c>
      <c r="BC107" s="771"/>
      <c r="BD107" s="771"/>
      <c r="BE107" s="771"/>
      <c r="BF107" s="684"/>
      <c r="BG107" s="684"/>
      <c r="BH107" s="684"/>
      <c r="BI107" s="684"/>
      <c r="BJ107" s="684"/>
      <c r="BK107" s="684"/>
      <c r="BL107" s="684"/>
      <c r="BM107" s="684"/>
      <c r="BN107" s="684"/>
      <c r="BO107" s="684"/>
      <c r="BP107" s="684"/>
      <c r="BQ107" s="684"/>
      <c r="BR107" s="684"/>
      <c r="BS107" s="684"/>
      <c r="BT107" s="684"/>
      <c r="BU107" s="684"/>
      <c r="BV107" s="684"/>
      <c r="BW107" s="684"/>
      <c r="BX107" s="684"/>
      <c r="BY107" s="684"/>
      <c r="BZ107" s="684"/>
      <c r="CA107" s="684"/>
      <c r="CB107" s="684"/>
      <c r="CC107" s="684"/>
      <c r="CD107" s="684"/>
      <c r="CE107" s="684"/>
      <c r="CF107" s="684"/>
      <c r="CG107" s="684"/>
      <c r="CH107" s="684"/>
      <c r="CI107" s="684"/>
      <c r="CJ107" s="684"/>
      <c r="CK107" s="684"/>
      <c r="CL107" s="684"/>
      <c r="CM107" s="684"/>
      <c r="CN107" s="684"/>
      <c r="CO107" s="684"/>
      <c r="CP107" s="684"/>
      <c r="CQ107" s="684"/>
      <c r="CR107" s="684"/>
      <c r="CS107" s="684"/>
      <c r="CT107" s="684"/>
      <c r="CU107" s="684"/>
      <c r="CV107" s="684"/>
      <c r="CW107" s="684"/>
      <c r="CX107" s="684"/>
      <c r="CY107" s="684"/>
      <c r="CZ107" s="684"/>
      <c r="DA107" s="684"/>
      <c r="DB107" s="684"/>
      <c r="DC107" s="684"/>
      <c r="DD107" s="684"/>
      <c r="DE107" s="684"/>
      <c r="DF107" s="684"/>
      <c r="DG107" s="684"/>
      <c r="DH107" s="684"/>
      <c r="DI107" s="684"/>
      <c r="DJ107" s="684"/>
      <c r="DK107" s="684"/>
      <c r="DL107" s="684"/>
      <c r="DM107" s="684"/>
      <c r="DN107" s="684"/>
      <c r="DO107" s="684"/>
      <c r="DP107" s="684"/>
      <c r="DQ107" s="684"/>
      <c r="DR107" s="684"/>
      <c r="DS107" s="684"/>
      <c r="DT107" s="684"/>
      <c r="DU107" s="684"/>
      <c r="DV107" s="684"/>
      <c r="DW107" s="684"/>
      <c r="DX107" s="684"/>
      <c r="DY107" s="684"/>
      <c r="DZ107" s="684"/>
      <c r="EA107" s="684"/>
      <c r="EB107" s="684"/>
      <c r="EC107" s="684"/>
      <c r="ED107" s="684"/>
      <c r="EE107" s="684"/>
      <c r="EF107" s="684"/>
      <c r="EG107" s="684"/>
      <c r="EH107" s="684"/>
      <c r="EI107" s="684"/>
      <c r="EJ107" s="684"/>
      <c r="EK107" s="684"/>
      <c r="EL107" s="684"/>
      <c r="EM107" s="684"/>
      <c r="EN107" s="684"/>
      <c r="EO107" s="684"/>
      <c r="EP107" s="684"/>
      <c r="EQ107" s="684"/>
      <c r="ER107" s="684"/>
      <c r="ES107" s="684"/>
      <c r="ET107" s="684"/>
      <c r="EU107" s="684"/>
      <c r="EV107" s="684"/>
      <c r="EW107" s="684"/>
      <c r="EX107" s="684"/>
      <c r="EY107" s="684"/>
      <c r="EZ107" s="684"/>
      <c r="FA107" s="684"/>
      <c r="FB107" s="684"/>
      <c r="FC107" s="684"/>
      <c r="FD107" s="684"/>
      <c r="FE107" s="684"/>
      <c r="FF107" s="684"/>
      <c r="FG107" s="684"/>
      <c r="FH107" s="684"/>
      <c r="FI107" s="684"/>
      <c r="FJ107" s="684"/>
      <c r="FK107" s="684"/>
      <c r="FL107" s="684"/>
      <c r="FM107" s="684"/>
      <c r="FN107" s="684"/>
      <c r="FO107" s="684"/>
    </row>
    <row r="108" spans="1:171">
      <c r="A108" s="707"/>
      <c r="B108" s="684"/>
      <c r="C108" s="684"/>
      <c r="D108" s="684"/>
      <c r="E108" s="684"/>
      <c r="F108" s="697"/>
      <c r="G108" s="697"/>
      <c r="H108" s="697"/>
      <c r="I108" s="697"/>
      <c r="J108" s="684"/>
      <c r="K108" s="684"/>
      <c r="L108" s="684"/>
      <c r="M108" s="684"/>
      <c r="N108" s="684"/>
      <c r="O108" s="684"/>
      <c r="P108" s="684"/>
      <c r="Q108" s="684"/>
      <c r="R108" s="684"/>
      <c r="S108" s="684"/>
      <c r="T108" s="684"/>
      <c r="U108" s="684"/>
      <c r="V108" s="684"/>
      <c r="W108" s="684"/>
      <c r="X108" s="684"/>
      <c r="Y108" s="684"/>
      <c r="Z108" s="684"/>
      <c r="AA108" s="684"/>
      <c r="AB108" s="684"/>
      <c r="AC108" s="684"/>
      <c r="AD108" s="684"/>
      <c r="AE108" s="684"/>
      <c r="AF108" s="684"/>
      <c r="AG108" s="684"/>
      <c r="AH108" s="684"/>
      <c r="AI108" s="684"/>
      <c r="AJ108" s="684"/>
      <c r="AK108" s="684"/>
      <c r="AL108" s="684"/>
      <c r="AM108" s="684"/>
      <c r="AN108" s="684"/>
      <c r="AO108" s="684"/>
      <c r="AP108" s="684"/>
      <c r="AQ108" s="684"/>
      <c r="AR108" s="684"/>
      <c r="AS108" s="684"/>
      <c r="AT108" s="684"/>
      <c r="AU108" s="684"/>
      <c r="AV108" s="684"/>
      <c r="AW108" s="684"/>
      <c r="AX108" s="684"/>
      <c r="AY108" s="684"/>
      <c r="AZ108" s="684"/>
      <c r="BA108" s="684"/>
      <c r="BB108" s="684"/>
      <c r="BC108" s="684"/>
      <c r="BD108" s="684"/>
      <c r="BE108" s="684"/>
      <c r="BF108" s="684"/>
      <c r="BG108" s="684"/>
      <c r="BH108" s="684"/>
      <c r="BI108" s="684"/>
      <c r="BJ108" s="684"/>
      <c r="BK108" s="684"/>
      <c r="BL108" s="684"/>
      <c r="BM108" s="684"/>
      <c r="BN108" s="684"/>
      <c r="BO108" s="684"/>
      <c r="BP108" s="684"/>
      <c r="BQ108" s="684"/>
      <c r="BR108" s="684"/>
      <c r="BS108" s="684"/>
      <c r="BT108" s="684"/>
      <c r="BU108" s="684"/>
      <c r="BV108" s="684"/>
      <c r="BW108" s="684"/>
      <c r="BX108" s="684"/>
      <c r="BY108" s="684"/>
      <c r="BZ108" s="684"/>
      <c r="CA108" s="684"/>
      <c r="CB108" s="684"/>
      <c r="CC108" s="684"/>
      <c r="CD108" s="684"/>
      <c r="CE108" s="684"/>
      <c r="CF108" s="684"/>
      <c r="CG108" s="684"/>
      <c r="CH108" s="684"/>
      <c r="CI108" s="684"/>
      <c r="CJ108" s="684"/>
      <c r="CK108" s="684"/>
      <c r="CL108" s="684"/>
      <c r="CM108" s="684"/>
      <c r="CN108" s="684"/>
      <c r="CO108" s="684"/>
      <c r="CP108" s="684"/>
      <c r="CQ108" s="684"/>
      <c r="CR108" s="684"/>
      <c r="CS108" s="684"/>
      <c r="CT108" s="684"/>
      <c r="CU108" s="684"/>
      <c r="CV108" s="684"/>
      <c r="CW108" s="684"/>
      <c r="CX108" s="684"/>
      <c r="CY108" s="684"/>
      <c r="CZ108" s="684"/>
      <c r="DA108" s="684"/>
      <c r="DB108" s="684"/>
      <c r="DC108" s="684"/>
      <c r="DD108" s="684"/>
      <c r="DE108" s="684"/>
      <c r="DF108" s="684"/>
      <c r="DG108" s="684"/>
      <c r="DH108" s="684"/>
      <c r="DI108" s="684"/>
      <c r="DJ108" s="684"/>
      <c r="DK108" s="684"/>
      <c r="DL108" s="684"/>
      <c r="DM108" s="684"/>
      <c r="DN108" s="684"/>
      <c r="DO108" s="684"/>
      <c r="DP108" s="684"/>
      <c r="DQ108" s="684"/>
      <c r="DR108" s="684"/>
      <c r="DS108" s="684"/>
      <c r="DT108" s="684"/>
      <c r="DU108" s="684"/>
      <c r="DV108" s="684"/>
      <c r="DW108" s="684"/>
      <c r="DX108" s="684"/>
      <c r="DY108" s="684"/>
      <c r="DZ108" s="684"/>
      <c r="EA108" s="684"/>
      <c r="EB108" s="684"/>
      <c r="EC108" s="684"/>
      <c r="ED108" s="684"/>
      <c r="EE108" s="684"/>
      <c r="EF108" s="684"/>
      <c r="EG108" s="684"/>
      <c r="EH108" s="684"/>
      <c r="EI108" s="684"/>
      <c r="EJ108" s="684"/>
      <c r="EK108" s="684"/>
      <c r="EL108" s="684"/>
      <c r="EM108" s="684"/>
      <c r="EN108" s="684"/>
      <c r="EO108" s="684"/>
      <c r="EP108" s="684"/>
      <c r="EQ108" s="684"/>
      <c r="ER108" s="684"/>
      <c r="ES108" s="684"/>
      <c r="ET108" s="684"/>
      <c r="EU108" s="684"/>
      <c r="EV108" s="684"/>
      <c r="EW108" s="684"/>
      <c r="EX108" s="684"/>
      <c r="EY108" s="684"/>
      <c r="EZ108" s="684"/>
      <c r="FA108" s="684"/>
      <c r="FB108" s="684"/>
      <c r="FC108" s="684"/>
      <c r="FD108" s="684"/>
      <c r="FE108" s="684"/>
      <c r="FF108" s="684"/>
      <c r="FG108" s="684"/>
      <c r="FH108" s="684"/>
      <c r="FI108" s="684"/>
      <c r="FJ108" s="684"/>
      <c r="FK108" s="684"/>
      <c r="FL108" s="684"/>
      <c r="FM108" s="684"/>
      <c r="FN108" s="684"/>
      <c r="FO108" s="684"/>
    </row>
    <row r="109" spans="1:171">
      <c r="A109" s="719" t="s">
        <v>34</v>
      </c>
      <c r="B109" s="724"/>
      <c r="C109" s="724"/>
      <c r="D109" s="724"/>
      <c r="E109" s="724"/>
      <c r="F109" s="705"/>
      <c r="G109" s="705"/>
      <c r="H109" s="705"/>
      <c r="I109" s="705"/>
      <c r="J109" s="724"/>
      <c r="K109" s="724"/>
      <c r="L109" s="724"/>
      <c r="M109" s="724"/>
      <c r="N109" s="727" t="s">
        <v>737</v>
      </c>
      <c r="O109" s="727" t="s">
        <v>738</v>
      </c>
      <c r="P109" s="727" t="s">
        <v>739</v>
      </c>
      <c r="Q109" s="727" t="s">
        <v>740</v>
      </c>
      <c r="R109" s="727" t="s">
        <v>741</v>
      </c>
      <c r="S109" s="727" t="s">
        <v>742</v>
      </c>
      <c r="T109" s="727" t="s">
        <v>743</v>
      </c>
      <c r="U109" s="727" t="s">
        <v>744</v>
      </c>
      <c r="V109" s="727" t="s">
        <v>745</v>
      </c>
      <c r="W109" s="727" t="s">
        <v>746</v>
      </c>
      <c r="X109" s="727" t="s">
        <v>747</v>
      </c>
      <c r="Y109" s="727" t="s">
        <v>748</v>
      </c>
      <c r="Z109" s="727" t="str">
        <f t="shared" ref="Z109:AM109" si="38">Z102</f>
        <v>Q1 19</v>
      </c>
      <c r="AA109" s="727" t="str">
        <f t="shared" si="38"/>
        <v>Q2 19</v>
      </c>
      <c r="AB109" s="727" t="str">
        <f t="shared" si="38"/>
        <v>Q3 19</v>
      </c>
      <c r="AC109" s="727" t="str">
        <f t="shared" si="38"/>
        <v>Q4 19</v>
      </c>
      <c r="AD109" s="727" t="str">
        <f t="shared" si="38"/>
        <v>Q1 20</v>
      </c>
      <c r="AE109" s="727" t="str">
        <f t="shared" si="38"/>
        <v>Q2 20</v>
      </c>
      <c r="AF109" s="727" t="str">
        <f t="shared" si="38"/>
        <v>Q3 20</v>
      </c>
      <c r="AG109" s="727" t="str">
        <f t="shared" si="38"/>
        <v>Q4 20</v>
      </c>
      <c r="AH109" s="727" t="str">
        <f t="shared" si="38"/>
        <v>Q1 21</v>
      </c>
      <c r="AI109" s="727" t="str">
        <f t="shared" si="38"/>
        <v>Q2 21</v>
      </c>
      <c r="AJ109" s="727" t="str">
        <f t="shared" si="38"/>
        <v>Q3 21</v>
      </c>
      <c r="AK109" s="727" t="str">
        <f t="shared" si="38"/>
        <v>Q4 21</v>
      </c>
      <c r="AL109" s="727" t="str">
        <f t="shared" si="38"/>
        <v>Q1 22</v>
      </c>
      <c r="AM109" s="727" t="str">
        <f t="shared" si="38"/>
        <v>Q2 22</v>
      </c>
      <c r="AN109" s="727" t="str">
        <f t="shared" ref="AN109:AS109" si="39">AN102</f>
        <v>Q3 22</v>
      </c>
      <c r="AO109" s="727" t="str">
        <f t="shared" si="39"/>
        <v>Q4 22</v>
      </c>
      <c r="AP109" s="727" t="str">
        <f t="shared" si="39"/>
        <v>Q1 23</v>
      </c>
      <c r="AQ109" s="727" t="str">
        <f t="shared" si="39"/>
        <v>Q2 23</v>
      </c>
      <c r="AR109" s="727" t="str">
        <f t="shared" si="39"/>
        <v>Q3 23</v>
      </c>
      <c r="AS109" s="727" t="str">
        <f t="shared" si="39"/>
        <v>Q4 23</v>
      </c>
      <c r="AT109" s="727" t="str">
        <f t="shared" ref="AT109:AY109" si="40">AT102</f>
        <v>Q1 24</v>
      </c>
      <c r="AU109" s="727" t="str">
        <f t="shared" si="40"/>
        <v>Q2 24</v>
      </c>
      <c r="AV109" s="727" t="str">
        <f t="shared" si="40"/>
        <v>Q3 24</v>
      </c>
      <c r="AW109" s="727" t="str">
        <f t="shared" si="40"/>
        <v>Q4 24</v>
      </c>
      <c r="AX109" s="727" t="str">
        <f t="shared" si="40"/>
        <v>Q1 25</v>
      </c>
      <c r="AY109" s="727" t="str">
        <f t="shared" si="40"/>
        <v>Q2 25</v>
      </c>
      <c r="AZ109" s="727" t="str">
        <f>AZ102</f>
        <v>Q3 25</v>
      </c>
      <c r="BA109" s="727" t="str">
        <f>BA102</f>
        <v>Q4 25</v>
      </c>
      <c r="BB109" s="727" t="str">
        <f>BB102</f>
        <v>Q1 26</v>
      </c>
      <c r="BC109" s="728"/>
      <c r="BD109" s="728"/>
      <c r="BE109" s="684"/>
      <c r="BF109" s="684"/>
      <c r="BG109" s="684"/>
      <c r="BH109" s="684"/>
      <c r="BI109" s="684"/>
      <c r="BJ109" s="684"/>
      <c r="BK109" s="684"/>
      <c r="BL109" s="684"/>
      <c r="BM109" s="684"/>
      <c r="BN109" s="684"/>
      <c r="BO109" s="684"/>
      <c r="BP109" s="684"/>
      <c r="BQ109" s="684"/>
      <c r="BR109" s="684"/>
      <c r="BS109" s="684"/>
      <c r="BT109" s="684"/>
      <c r="BU109" s="684"/>
      <c r="BV109" s="684"/>
      <c r="BW109" s="684"/>
      <c r="BX109" s="684"/>
      <c r="BY109" s="684"/>
      <c r="BZ109" s="684"/>
      <c r="CA109" s="684"/>
      <c r="CB109" s="684"/>
      <c r="CC109" s="684"/>
      <c r="CD109" s="684"/>
      <c r="CE109" s="684"/>
      <c r="CF109" s="684"/>
      <c r="CG109" s="684"/>
      <c r="CH109" s="684"/>
      <c r="CI109" s="684"/>
      <c r="CJ109" s="684"/>
      <c r="CK109" s="684"/>
      <c r="CL109" s="684"/>
      <c r="CM109" s="684"/>
      <c r="CN109" s="684"/>
      <c r="CO109" s="684"/>
      <c r="CP109" s="684"/>
      <c r="CQ109" s="684"/>
      <c r="CR109" s="684"/>
      <c r="CS109" s="684"/>
      <c r="CT109" s="684"/>
      <c r="CU109" s="684"/>
      <c r="CV109" s="684"/>
      <c r="CW109" s="684"/>
      <c r="CX109" s="684"/>
      <c r="CY109" s="684"/>
      <c r="CZ109" s="684"/>
      <c r="DA109" s="684"/>
      <c r="DB109" s="684"/>
      <c r="DC109" s="684"/>
      <c r="DD109" s="684"/>
      <c r="DE109" s="684"/>
      <c r="DF109" s="684"/>
      <c r="DG109" s="684"/>
      <c r="DH109" s="684"/>
      <c r="DI109" s="684"/>
      <c r="DJ109" s="684"/>
      <c r="DK109" s="684"/>
      <c r="DL109" s="684"/>
      <c r="DM109" s="684"/>
      <c r="DN109" s="684"/>
      <c r="DO109" s="684"/>
      <c r="DP109" s="684"/>
      <c r="DQ109" s="684"/>
      <c r="DR109" s="684"/>
      <c r="DS109" s="684"/>
      <c r="DT109" s="684"/>
      <c r="DU109" s="684"/>
      <c r="DV109" s="684"/>
      <c r="DW109" s="684"/>
      <c r="DX109" s="684"/>
      <c r="DY109" s="684"/>
      <c r="DZ109" s="684"/>
      <c r="EA109" s="684"/>
      <c r="EB109" s="684"/>
      <c r="EC109" s="684"/>
      <c r="ED109" s="684"/>
      <c r="EE109" s="684"/>
      <c r="EF109" s="684"/>
      <c r="EG109" s="684"/>
      <c r="EH109" s="684"/>
      <c r="EI109" s="684"/>
      <c r="EJ109" s="684"/>
      <c r="EK109" s="684"/>
      <c r="EL109" s="684"/>
      <c r="EM109" s="684"/>
      <c r="EN109" s="684"/>
      <c r="EO109" s="684"/>
      <c r="EP109" s="684"/>
      <c r="EQ109" s="684"/>
      <c r="ER109" s="684"/>
      <c r="ES109" s="684"/>
      <c r="ET109" s="684"/>
      <c r="EU109" s="684"/>
      <c r="EV109" s="684"/>
      <c r="EW109" s="684"/>
      <c r="EX109" s="684"/>
      <c r="EY109" s="684"/>
      <c r="EZ109" s="684"/>
      <c r="FA109" s="684"/>
      <c r="FB109" s="684"/>
      <c r="FC109" s="684"/>
      <c r="FD109" s="684"/>
      <c r="FE109" s="684"/>
      <c r="FF109" s="684"/>
      <c r="FG109" s="684"/>
      <c r="FH109" s="684"/>
      <c r="FI109" s="684"/>
      <c r="FJ109" s="684"/>
      <c r="FK109" s="684"/>
      <c r="FL109" s="684"/>
      <c r="FM109" s="684"/>
      <c r="FN109" s="684"/>
      <c r="FO109" s="684"/>
    </row>
    <row r="110" spans="1:171">
      <c r="A110" s="707" t="s">
        <v>8074</v>
      </c>
      <c r="B110" s="684"/>
      <c r="C110" s="684"/>
      <c r="D110" s="684"/>
      <c r="E110" s="684"/>
      <c r="F110" s="697"/>
      <c r="G110" s="697"/>
      <c r="H110" s="697"/>
      <c r="I110" s="697"/>
      <c r="J110" s="684"/>
      <c r="K110" s="684"/>
      <c r="L110" s="684"/>
      <c r="M110" s="684"/>
      <c r="N110" s="728"/>
      <c r="O110" s="728"/>
      <c r="P110" s="728"/>
      <c r="Q110" s="728"/>
      <c r="R110" s="728"/>
      <c r="S110" s="728"/>
      <c r="T110" s="728"/>
      <c r="U110" s="728"/>
      <c r="V110" s="728"/>
      <c r="W110" s="728"/>
      <c r="X110" s="728"/>
      <c r="Y110" s="728"/>
      <c r="Z110" s="728"/>
      <c r="AA110" s="728"/>
      <c r="AB110" s="728"/>
      <c r="AC110" s="728"/>
      <c r="AD110" s="728"/>
      <c r="AE110" s="728"/>
      <c r="AF110" s="728"/>
      <c r="AG110" s="728"/>
      <c r="AH110" s="728"/>
      <c r="AI110" s="728"/>
      <c r="AJ110" s="728"/>
      <c r="AK110" s="728"/>
      <c r="AL110" s="728"/>
      <c r="AM110" s="728"/>
      <c r="AN110" s="728"/>
      <c r="AO110" s="728"/>
      <c r="AP110" s="728"/>
      <c r="AQ110" s="728"/>
      <c r="AR110" s="728"/>
      <c r="AS110" s="728"/>
      <c r="AT110" s="697">
        <f>Interims!ES34</f>
        <v>-0.125</v>
      </c>
      <c r="AU110" s="697">
        <f>Interims!ET34</f>
        <v>-7.6999999999999999E-2</v>
      </c>
      <c r="AV110" s="697">
        <f>Interims!EU34</f>
        <v>-4.7E-2</v>
      </c>
      <c r="AW110" s="697">
        <f>Interims!EV34</f>
        <v>-4.3999999999999997E-2</v>
      </c>
      <c r="AX110" s="697">
        <f>Interims!EX34</f>
        <v>-3.0815514838358649E-2</v>
      </c>
      <c r="AY110" s="697">
        <f>Interims!EY34</f>
        <v>-4.2990874102956322E-2</v>
      </c>
      <c r="AZ110" s="697">
        <f>Interims!EZ34</f>
        <v>-6.9965541970579137E-3</v>
      </c>
      <c r="BA110" s="697">
        <f>Interims!FA34</f>
        <v>6.0831416189609966E-2</v>
      </c>
      <c r="BB110" s="697">
        <f>Interims!FC34</f>
        <v>5.2454358920397626E-2</v>
      </c>
      <c r="BC110" s="697"/>
      <c r="BD110" s="697"/>
      <c r="BE110" s="684"/>
      <c r="BF110" s="684"/>
      <c r="BG110" s="684"/>
      <c r="BH110" s="684"/>
      <c r="BI110" s="684"/>
      <c r="BJ110" s="684"/>
      <c r="BK110" s="684"/>
      <c r="BL110" s="684"/>
      <c r="BM110" s="684"/>
      <c r="BN110" s="684"/>
      <c r="BO110" s="684"/>
      <c r="BP110" s="684"/>
      <c r="BQ110" s="684"/>
      <c r="BR110" s="684"/>
      <c r="BS110" s="684"/>
      <c r="BT110" s="684"/>
      <c r="BU110" s="684"/>
      <c r="BV110" s="684"/>
      <c r="BW110" s="684"/>
      <c r="BX110" s="684"/>
      <c r="BY110" s="684"/>
      <c r="BZ110" s="684"/>
      <c r="CA110" s="684"/>
      <c r="CB110" s="684"/>
      <c r="CC110" s="684"/>
      <c r="CD110" s="684"/>
      <c r="CE110" s="684"/>
      <c r="CF110" s="684"/>
      <c r="CG110" s="684"/>
      <c r="CH110" s="684"/>
      <c r="CI110" s="684"/>
      <c r="CJ110" s="684"/>
      <c r="CK110" s="684"/>
      <c r="CL110" s="684"/>
      <c r="CM110" s="684"/>
      <c r="CN110" s="684"/>
      <c r="CO110" s="684"/>
      <c r="CP110" s="684"/>
      <c r="CQ110" s="684"/>
      <c r="CR110" s="684"/>
      <c r="CS110" s="684"/>
      <c r="CT110" s="684"/>
      <c r="CU110" s="684"/>
      <c r="CV110" s="684"/>
      <c r="CW110" s="684"/>
      <c r="CX110" s="684"/>
      <c r="CY110" s="684"/>
      <c r="CZ110" s="684"/>
      <c r="DA110" s="684"/>
      <c r="DB110" s="684"/>
      <c r="DC110" s="684"/>
      <c r="DD110" s="684"/>
      <c r="DE110" s="684"/>
      <c r="DF110" s="684"/>
      <c r="DG110" s="684"/>
      <c r="DH110" s="684"/>
      <c r="DI110" s="684"/>
      <c r="DJ110" s="684"/>
      <c r="DK110" s="684"/>
      <c r="DL110" s="684"/>
      <c r="DM110" s="684"/>
      <c r="DN110" s="684"/>
      <c r="DO110" s="684"/>
      <c r="DP110" s="684"/>
      <c r="DQ110" s="684"/>
      <c r="DR110" s="684"/>
      <c r="DS110" s="684"/>
      <c r="DT110" s="684"/>
      <c r="DU110" s="684"/>
      <c r="DV110" s="684"/>
      <c r="DW110" s="684"/>
      <c r="DX110" s="684"/>
      <c r="DY110" s="684"/>
      <c r="DZ110" s="684"/>
      <c r="EA110" s="684"/>
      <c r="EB110" s="684"/>
      <c r="EC110" s="684"/>
      <c r="ED110" s="684"/>
      <c r="EE110" s="684"/>
      <c r="EF110" s="684"/>
      <c r="EG110" s="684"/>
      <c r="EH110" s="684"/>
      <c r="EI110" s="684"/>
      <c r="EJ110" s="684"/>
      <c r="EK110" s="684"/>
      <c r="EL110" s="684"/>
      <c r="EM110" s="684"/>
      <c r="EN110" s="684"/>
      <c r="EO110" s="684"/>
      <c r="EP110" s="684"/>
      <c r="EQ110" s="684"/>
      <c r="ER110" s="684"/>
      <c r="ES110" s="684"/>
      <c r="ET110" s="684"/>
      <c r="EU110" s="684"/>
      <c r="EV110" s="684"/>
      <c r="EW110" s="684"/>
      <c r="EX110" s="684"/>
      <c r="EY110" s="684"/>
      <c r="EZ110" s="684"/>
      <c r="FA110" s="684"/>
      <c r="FB110" s="684"/>
      <c r="FC110" s="684"/>
      <c r="FD110" s="684"/>
      <c r="FE110" s="684"/>
      <c r="FF110" s="684"/>
      <c r="FG110" s="684"/>
      <c r="FH110" s="684"/>
      <c r="FI110" s="684"/>
      <c r="FJ110" s="684"/>
      <c r="FK110" s="684"/>
      <c r="FL110" s="684"/>
      <c r="FM110" s="684"/>
      <c r="FN110" s="684"/>
      <c r="FO110" s="684"/>
    </row>
    <row r="111" spans="1:171">
      <c r="A111" s="707" t="s">
        <v>937</v>
      </c>
      <c r="B111" s="684"/>
      <c r="C111" s="684"/>
      <c r="D111" s="684"/>
      <c r="E111" s="684"/>
      <c r="F111" s="697"/>
      <c r="G111" s="697"/>
      <c r="H111" s="697"/>
      <c r="I111" s="697"/>
      <c r="J111" s="684"/>
      <c r="K111" s="684"/>
      <c r="L111" s="684"/>
      <c r="M111" s="684"/>
      <c r="N111" s="697">
        <f>Interims!DE32</f>
        <v>0.18609376175784487</v>
      </c>
      <c r="O111" s="697">
        <f>Interims!DF32</f>
        <v>0.19173721148976197</v>
      </c>
      <c r="P111" s="697">
        <f>Interims!DG32</f>
        <v>0.15815674402959967</v>
      </c>
      <c r="Q111" s="697">
        <f>Interims!DH32</f>
        <v>0.11147279612037475</v>
      </c>
      <c r="R111" s="697">
        <f>Interims!DJ32</f>
        <v>7.7686841771348769E-2</v>
      </c>
      <c r="S111" s="697">
        <f>Interims!DK32</f>
        <v>4.4957804626313047E-2</v>
      </c>
      <c r="T111" s="697">
        <f>Interims!DL32</f>
        <v>2.3321328996282586E-2</v>
      </c>
      <c r="U111" s="697">
        <f>Interims!DM32</f>
        <v>9.727452035144335E-2</v>
      </c>
      <c r="V111" s="697">
        <f>Interims!DO32</f>
        <v>7.8768433756218226E-2</v>
      </c>
      <c r="W111" s="697">
        <f>Interims!DP32</f>
        <v>8.1951021119600176E-2</v>
      </c>
      <c r="X111" s="697">
        <f>Interims!DQ32</f>
        <v>0.10898254576415489</v>
      </c>
      <c r="Y111" s="697">
        <f>Interims!DR32</f>
        <v>9.0966037530299637E-2</v>
      </c>
      <c r="Z111" s="771">
        <f>Interims!DT32-4.5%</f>
        <v>0.12750129607902</v>
      </c>
      <c r="AA111" s="771">
        <f>Interims!DU32-4.5%</f>
        <v>0.15618676833852424</v>
      </c>
      <c r="AB111" s="771">
        <f>Interims!DV32-4.5%</f>
        <v>0.10194817658349324</v>
      </c>
      <c r="AC111" s="771">
        <f>Interims!DW32-4.5%</f>
        <v>8.9633147764435581E-2</v>
      </c>
      <c r="AD111" s="697">
        <f>Interims!DY32</f>
        <v>4.4960554792767171E-2</v>
      </c>
      <c r="AE111" s="697">
        <f>Interims!DZ32</f>
        <v>4.0861032255180341E-2</v>
      </c>
      <c r="AF111" s="697">
        <f>Interims!EA32</f>
        <v>7.0285829038088332E-2</v>
      </c>
      <c r="AG111" s="697">
        <f>Interims!EB32</f>
        <v>9.0165016501650097E-2</v>
      </c>
      <c r="AH111" s="697">
        <f>Interims!ED32</f>
        <v>7.6676391332427762E-2</v>
      </c>
      <c r="AI111" s="697">
        <f>Interims!EE32</f>
        <v>7.8084398153119405E-2</v>
      </c>
      <c r="AJ111" s="697">
        <f>Interims!EF32</f>
        <v>5.5830049825922101E-2</v>
      </c>
      <c r="AK111" s="697">
        <f>Interims!EG32</f>
        <v>8.2949866795834382E-2</v>
      </c>
      <c r="AL111" s="697">
        <f>Interims!EI32</f>
        <v>2.9930087287469487E-2</v>
      </c>
      <c r="AM111" s="697">
        <f>Interims!EJ32</f>
        <v>-1.3605306667197947E-2</v>
      </c>
      <c r="AN111" s="697">
        <f>Interims!EK32</f>
        <v>-3.0032579721591568E-2</v>
      </c>
      <c r="AO111" s="697">
        <f>Interims!EL32</f>
        <v>-5.7121025755712096E-2</v>
      </c>
      <c r="AP111" s="697">
        <f>Interims!EN32</f>
        <v>-4.478541160404137E-3</v>
      </c>
      <c r="AQ111" s="697">
        <f>Interims!EO32</f>
        <v>-2.2294923058281957E-2</v>
      </c>
      <c r="AR111" s="697">
        <f>Interims!EP32</f>
        <v>-0.12042993241592692</v>
      </c>
      <c r="AS111" s="697">
        <f>Interims!EQ32</f>
        <v>-7.0661949281521141E-2</v>
      </c>
      <c r="AT111" s="697">
        <f>Interims!ES32</f>
        <v>-8.6999999999999994E-2</v>
      </c>
      <c r="AU111" s="697"/>
      <c r="AV111" s="697"/>
      <c r="AW111" s="697"/>
      <c r="AX111" s="697"/>
      <c r="AY111" s="697"/>
      <c r="AZ111" s="697"/>
      <c r="BA111" s="697"/>
      <c r="BB111" s="697"/>
      <c r="BC111" s="697"/>
      <c r="BD111" s="697"/>
      <c r="BE111" s="684"/>
      <c r="BF111" s="684"/>
      <c r="BG111" s="684"/>
      <c r="BH111" s="684"/>
      <c r="BI111" s="684"/>
      <c r="BJ111" s="684"/>
      <c r="BK111" s="684"/>
      <c r="BL111" s="684"/>
      <c r="BM111" s="684"/>
      <c r="BN111" s="684"/>
      <c r="BO111" s="684"/>
      <c r="BP111" s="684"/>
      <c r="BQ111" s="684"/>
      <c r="BR111" s="684"/>
      <c r="BS111" s="684"/>
      <c r="BT111" s="684"/>
      <c r="BU111" s="684"/>
      <c r="BV111" s="684"/>
      <c r="BW111" s="684"/>
      <c r="BX111" s="684"/>
      <c r="BY111" s="684"/>
      <c r="BZ111" s="684"/>
      <c r="CA111" s="684"/>
      <c r="CB111" s="684"/>
      <c r="CC111" s="684"/>
      <c r="CD111" s="684"/>
      <c r="CE111" s="684"/>
      <c r="CF111" s="684"/>
      <c r="CG111" s="684"/>
      <c r="CH111" s="684"/>
      <c r="CI111" s="684"/>
      <c r="CJ111" s="684"/>
      <c r="CK111" s="684"/>
      <c r="CL111" s="684"/>
      <c r="CM111" s="684"/>
      <c r="CN111" s="684"/>
      <c r="CO111" s="684"/>
      <c r="CP111" s="684"/>
      <c r="CQ111" s="684"/>
      <c r="CR111" s="684"/>
      <c r="CS111" s="684"/>
      <c r="CT111" s="684"/>
      <c r="CU111" s="684"/>
      <c r="CV111" s="684"/>
      <c r="CW111" s="684"/>
      <c r="CX111" s="684"/>
      <c r="CY111" s="684"/>
      <c r="CZ111" s="684"/>
      <c r="DA111" s="684"/>
      <c r="DB111" s="684"/>
      <c r="DC111" s="684"/>
      <c r="DD111" s="684"/>
      <c r="DE111" s="684"/>
      <c r="DF111" s="684"/>
      <c r="DG111" s="684"/>
      <c r="DH111" s="684"/>
      <c r="DI111" s="684"/>
      <c r="DJ111" s="684"/>
      <c r="DK111" s="684"/>
      <c r="DL111" s="684"/>
      <c r="DM111" s="684"/>
      <c r="DN111" s="684"/>
      <c r="DO111" s="684"/>
      <c r="DP111" s="684"/>
      <c r="DQ111" s="684"/>
      <c r="DR111" s="684"/>
      <c r="DS111" s="684"/>
      <c r="DT111" s="684"/>
      <c r="DU111" s="684"/>
      <c r="DV111" s="684"/>
      <c r="DW111" s="684"/>
      <c r="DX111" s="684"/>
      <c r="DY111" s="684"/>
      <c r="DZ111" s="684"/>
      <c r="EA111" s="684"/>
      <c r="EB111" s="684"/>
      <c r="EC111" s="684"/>
      <c r="ED111" s="684"/>
      <c r="EE111" s="684"/>
      <c r="EF111" s="684"/>
      <c r="EG111" s="684"/>
      <c r="EH111" s="684"/>
      <c r="EI111" s="684"/>
      <c r="EJ111" s="684"/>
      <c r="EK111" s="684"/>
      <c r="EL111" s="684"/>
      <c r="EM111" s="684"/>
      <c r="EN111" s="684"/>
      <c r="EO111" s="684"/>
      <c r="EP111" s="684"/>
      <c r="EQ111" s="684"/>
      <c r="ER111" s="684"/>
      <c r="ES111" s="684"/>
      <c r="ET111" s="684"/>
      <c r="EU111" s="684"/>
      <c r="EV111" s="684"/>
      <c r="EW111" s="684"/>
      <c r="EX111" s="684"/>
      <c r="EY111" s="684"/>
      <c r="EZ111" s="684"/>
      <c r="FA111" s="684"/>
      <c r="FB111" s="684"/>
      <c r="FC111" s="684"/>
      <c r="FD111" s="684"/>
      <c r="FE111" s="684"/>
      <c r="FF111" s="684"/>
      <c r="FG111" s="684"/>
      <c r="FH111" s="684"/>
      <c r="FI111" s="684"/>
      <c r="FJ111" s="684"/>
      <c r="FK111" s="684"/>
      <c r="FL111" s="684"/>
      <c r="FM111" s="684"/>
      <c r="FN111" s="684"/>
      <c r="FO111" s="684"/>
    </row>
    <row r="112" spans="1:171">
      <c r="A112" s="707" t="s">
        <v>934</v>
      </c>
      <c r="B112" s="684"/>
      <c r="C112" s="684"/>
      <c r="D112" s="684"/>
      <c r="E112" s="684"/>
      <c r="F112" s="697"/>
      <c r="G112" s="697"/>
      <c r="H112" s="697"/>
      <c r="I112" s="697"/>
      <c r="J112" s="684"/>
      <c r="K112" s="684"/>
      <c r="L112" s="684"/>
      <c r="M112" s="684"/>
      <c r="N112" s="697">
        <f>Interims!AF150</f>
        <v>0.23881123506327429</v>
      </c>
      <c r="O112" s="697">
        <f>Interims!AG150</f>
        <v>0.21307536671724825</v>
      </c>
      <c r="P112" s="697">
        <f>Interims!AH150</f>
        <v>0.19262393230621844</v>
      </c>
      <c r="Q112" s="697">
        <f>Interims!AI150</f>
        <v>0.17453152264623362</v>
      </c>
      <c r="R112" s="697">
        <f>Interims!AK150</f>
        <v>7.5992169425164624E-2</v>
      </c>
      <c r="S112" s="697">
        <f>Interims!AL150</f>
        <v>6.3483790263733963E-2</v>
      </c>
      <c r="T112" s="697">
        <f>Interims!AM150</f>
        <v>5.1271753681392251E-2</v>
      </c>
      <c r="U112" s="697">
        <f>Interims!AN150</f>
        <v>8.2969996447372241E-2</v>
      </c>
      <c r="V112" s="697">
        <f>Interims!AP150</f>
        <v>0.10420112471055254</v>
      </c>
      <c r="W112" s="697">
        <f>Interims!AQ150</f>
        <v>0.11265764882702745</v>
      </c>
      <c r="X112" s="697">
        <f>Interims!AR150</f>
        <v>0.12966382274290078</v>
      </c>
      <c r="Y112" s="697">
        <f>Interims!AS150</f>
        <v>9.4506739830609643E-2</v>
      </c>
      <c r="Z112" s="697">
        <f>Interims!AU149</f>
        <v>0.12863690832834024</v>
      </c>
      <c r="AA112" s="697">
        <f>Interims!AV149</f>
        <v>0.14716538438949905</v>
      </c>
      <c r="AB112" s="697">
        <f>Interims!AW149</f>
        <v>0.11596942370015488</v>
      </c>
      <c r="AC112" s="697">
        <f>Interims!AX149</f>
        <v>8.6059099207106124E-2</v>
      </c>
      <c r="AD112" s="697">
        <f>Interims!AZ150</f>
        <v>5.2353481723504069E-2</v>
      </c>
      <c r="AE112" s="697">
        <f>Interims!BA150</f>
        <v>2.8203359771417302E-2</v>
      </c>
      <c r="AF112" s="697">
        <f>Interims!BB150</f>
        <v>4.9372527125761678E-2</v>
      </c>
      <c r="AG112" s="697">
        <f>Interims!BC150</f>
        <v>7.716027077160259E-2</v>
      </c>
      <c r="AH112" s="697">
        <f>Interims!BE150</f>
        <v>8.7466951269798976E-2</v>
      </c>
      <c r="AI112" s="697">
        <f>Interims!BF150</f>
        <v>7.1964161655846404E-2</v>
      </c>
      <c r="AJ112" s="697">
        <f>Interims!BG150</f>
        <v>6.0211422358955158E-2</v>
      </c>
      <c r="AK112" s="697">
        <f>Interims!BH150</f>
        <v>8.379925750324313E-2</v>
      </c>
      <c r="AL112" s="697">
        <f>Interims!BJ150</f>
        <v>4.2647157227934773E-2</v>
      </c>
      <c r="AM112" s="697">
        <f>Interims!BK150</f>
        <v>4.983574317831363E-2</v>
      </c>
      <c r="AN112" s="697">
        <f>Interims!BL150</f>
        <v>2.9017759741676308E-3</v>
      </c>
      <c r="AO112" s="697">
        <f>Interims!BM150</f>
        <v>1.0338210107096124E-2</v>
      </c>
      <c r="AP112" s="697">
        <f>Interims!BO150</f>
        <v>1.4375869076906689E-2</v>
      </c>
      <c r="AQ112" s="697">
        <f>Interims!BP150</f>
        <v>-1.4347446622815396E-2</v>
      </c>
      <c r="AR112" s="697">
        <f>Interims!BQ150</f>
        <v>-7.3139426110035433E-2</v>
      </c>
      <c r="AS112" s="697">
        <f>Interims!BR150</f>
        <v>-6.6745639475511709E-2</v>
      </c>
      <c r="AT112" s="697">
        <f>Interims!BT150</f>
        <v>-8.6999999999999966E-2</v>
      </c>
      <c r="AU112" s="697"/>
      <c r="AV112" s="697"/>
      <c r="AW112" s="697"/>
      <c r="AX112" s="697"/>
      <c r="AY112" s="697"/>
      <c r="AZ112" s="697"/>
      <c r="BA112" s="697"/>
      <c r="BB112" s="697"/>
      <c r="BC112" s="697"/>
      <c r="BD112" s="697"/>
      <c r="BE112" s="684"/>
      <c r="BF112" s="684"/>
      <c r="BG112" s="684"/>
      <c r="BH112" s="684"/>
      <c r="BI112" s="684"/>
      <c r="BJ112" s="684"/>
      <c r="BK112" s="684"/>
      <c r="BL112" s="684"/>
      <c r="BM112" s="684"/>
      <c r="BN112" s="684"/>
      <c r="BO112" s="684"/>
      <c r="BP112" s="684"/>
      <c r="BQ112" s="684"/>
      <c r="BR112" s="684"/>
      <c r="BS112" s="684"/>
      <c r="BT112" s="684"/>
      <c r="BU112" s="684"/>
      <c r="BV112" s="684"/>
      <c r="BW112" s="684"/>
      <c r="BX112" s="684"/>
      <c r="BY112" s="684"/>
      <c r="BZ112" s="684"/>
      <c r="CA112" s="684"/>
      <c r="CB112" s="684"/>
      <c r="CC112" s="684"/>
      <c r="CD112" s="684"/>
      <c r="CM112" s="684"/>
      <c r="CN112" s="684"/>
      <c r="CO112" s="684"/>
      <c r="CP112" s="684"/>
      <c r="CQ112" s="684"/>
      <c r="CR112" s="684"/>
      <c r="CS112" s="684"/>
      <c r="CT112" s="684"/>
      <c r="CU112" s="684"/>
      <c r="CV112" s="684"/>
      <c r="CW112" s="684"/>
      <c r="CX112" s="684"/>
      <c r="CY112" s="684"/>
      <c r="CZ112" s="684"/>
      <c r="DA112" s="684"/>
      <c r="DB112" s="684"/>
      <c r="DC112" s="684"/>
      <c r="DD112" s="684"/>
      <c r="DE112" s="684"/>
      <c r="DF112" s="684"/>
      <c r="DG112" s="684"/>
      <c r="DH112" s="684"/>
      <c r="DI112" s="684"/>
      <c r="DJ112" s="684"/>
      <c r="DK112" s="684"/>
      <c r="DL112" s="684"/>
      <c r="DM112" s="684"/>
      <c r="DN112" s="684"/>
      <c r="DO112" s="684"/>
      <c r="DP112" s="684"/>
      <c r="DQ112" s="684"/>
      <c r="DR112" s="684"/>
      <c r="DS112" s="684"/>
      <c r="DT112" s="684"/>
      <c r="DU112" s="684"/>
      <c r="DV112" s="684"/>
      <c r="DW112" s="684"/>
      <c r="DX112" s="684"/>
      <c r="DY112" s="684"/>
      <c r="DZ112" s="684"/>
      <c r="EA112" s="684"/>
      <c r="EB112" s="684"/>
      <c r="EC112" s="684"/>
      <c r="ED112" s="684"/>
      <c r="EE112" s="684"/>
      <c r="EF112" s="684"/>
      <c r="EG112" s="684"/>
      <c r="EH112" s="684"/>
      <c r="EI112" s="684"/>
      <c r="EJ112" s="684"/>
      <c r="EK112" s="684"/>
      <c r="EL112" s="684"/>
      <c r="EM112" s="684"/>
      <c r="EN112" s="684"/>
      <c r="EO112" s="684"/>
      <c r="EP112" s="684"/>
      <c r="EQ112" s="684"/>
      <c r="ER112" s="684"/>
      <c r="ES112" s="684"/>
      <c r="ET112" s="684"/>
      <c r="EU112" s="684"/>
      <c r="EV112" s="684"/>
      <c r="EW112" s="684"/>
      <c r="EX112" s="684"/>
      <c r="EY112" s="684"/>
      <c r="EZ112" s="684"/>
      <c r="FA112" s="684"/>
      <c r="FB112" s="684"/>
      <c r="FC112" s="684"/>
      <c r="FD112" s="684"/>
      <c r="FE112" s="684"/>
      <c r="FF112" s="684"/>
      <c r="FG112" s="684"/>
      <c r="FH112" s="684"/>
      <c r="FI112" s="684"/>
      <c r="FJ112" s="684"/>
      <c r="FK112" s="684"/>
      <c r="FL112" s="684"/>
      <c r="FM112" s="684"/>
      <c r="FN112" s="684"/>
      <c r="FO112" s="684"/>
    </row>
    <row r="113" spans="1:171">
      <c r="A113" s="707" t="s">
        <v>557</v>
      </c>
      <c r="B113" s="684"/>
      <c r="C113" s="684"/>
      <c r="D113" s="684"/>
      <c r="E113" s="684"/>
      <c r="F113" s="697"/>
      <c r="G113" s="697"/>
      <c r="H113" s="697"/>
      <c r="I113" s="697"/>
      <c r="J113" s="684"/>
      <c r="K113" s="684"/>
      <c r="L113" s="684"/>
      <c r="M113" s="684"/>
      <c r="N113" s="771">
        <v>0.19504488330341108</v>
      </c>
      <c r="O113" s="771">
        <v>0.23814584949573314</v>
      </c>
      <c r="P113" s="771">
        <v>0.13388888888888872</v>
      </c>
      <c r="Q113" s="771">
        <v>0.15331530884271416</v>
      </c>
      <c r="R113" s="771">
        <v>5.3826092181960217E-2</v>
      </c>
      <c r="S113" s="771">
        <v>0.11475779619917659</v>
      </c>
      <c r="T113" s="771">
        <v>0.23395698525063779</v>
      </c>
      <c r="U113" s="771">
        <v>9.2447306791569206E-2</v>
      </c>
      <c r="V113" s="771">
        <v>0.19264035691965198</v>
      </c>
      <c r="W113" s="771">
        <v>0.15675230530955475</v>
      </c>
      <c r="X113" s="771">
        <v>0.10867196495410325</v>
      </c>
      <c r="Y113" s="771">
        <v>9.6965699208443334E-2</v>
      </c>
      <c r="Z113" s="771">
        <v>5.4539840838028431E-2</v>
      </c>
      <c r="AA113" s="771">
        <v>9.0788988639036727E-2</v>
      </c>
      <c r="AB113" s="771">
        <v>4.5404742518822205E-2</v>
      </c>
      <c r="AC113" s="771">
        <v>6.7891669364910534E-2</v>
      </c>
      <c r="AD113" s="771">
        <v>9.4194525292563558E-2</v>
      </c>
      <c r="AE113" s="771">
        <v>3.428765708755499E-2</v>
      </c>
      <c r="AF113" s="771">
        <v>0.14417089160839147</v>
      </c>
      <c r="AG113" s="771">
        <v>0.12686714240852437</v>
      </c>
      <c r="AH113" s="771">
        <v>9.5395834234278887E-2</v>
      </c>
      <c r="AI113" s="771">
        <v>0.11859159936920571</v>
      </c>
      <c r="AJ113" s="771">
        <v>8.7999999999999995E-2</v>
      </c>
      <c r="AK113" s="771">
        <v>0.13363084598915265</v>
      </c>
      <c r="AL113" s="771">
        <v>7.8632397287918154E-2</v>
      </c>
      <c r="AM113" s="771">
        <v>8.0107822410147897E-2</v>
      </c>
      <c r="AN113" s="771">
        <v>4.6471352287487333E-2</v>
      </c>
      <c r="AO113" s="771">
        <v>2.9770583408494922E-3</v>
      </c>
      <c r="AP113" s="771">
        <v>8.0529148597552336E-3</v>
      </c>
      <c r="AQ113" s="771">
        <v>9.2038549644968271E-3</v>
      </c>
      <c r="AR113" s="771">
        <v>5.3525631668893014E-2</v>
      </c>
      <c r="AS113" s="771">
        <v>0.11403042596348878</v>
      </c>
      <c r="AT113" s="771">
        <v>0.12387491360451675</v>
      </c>
      <c r="AU113" s="771">
        <v>0.11647652428804478</v>
      </c>
      <c r="AV113" s="771">
        <v>9.2151546847509147E-2</v>
      </c>
      <c r="AW113" s="771">
        <v>9.9000000000000005E-2</v>
      </c>
      <c r="AX113" s="771">
        <v>8.2000000000000003E-2</v>
      </c>
      <c r="AY113" s="771">
        <v>9.6536431537110889E-2</v>
      </c>
      <c r="AZ113" s="771">
        <v>0.10247998128969771</v>
      </c>
      <c r="BA113" s="771">
        <v>8.5000000000000006E-2</v>
      </c>
      <c r="BB113" s="771">
        <v>8.502103969188135E-2</v>
      </c>
      <c r="BC113" s="771"/>
      <c r="BD113" s="771"/>
      <c r="BE113" s="684"/>
      <c r="BF113" s="684"/>
      <c r="BG113" s="684"/>
      <c r="BH113" s="684"/>
      <c r="BI113" s="684"/>
      <c r="BJ113" s="684"/>
      <c r="BK113" s="684"/>
      <c r="BL113" s="684"/>
      <c r="BM113" s="684"/>
      <c r="BN113" s="684"/>
      <c r="BO113" s="684"/>
      <c r="BP113" s="684"/>
      <c r="BQ113" s="684"/>
      <c r="BR113" s="684"/>
      <c r="BS113" s="684"/>
      <c r="BT113" s="684"/>
      <c r="BU113" s="684"/>
      <c r="BV113" s="684"/>
      <c r="BW113" s="684"/>
      <c r="BX113" s="684"/>
      <c r="BY113" s="684"/>
      <c r="BZ113" s="684"/>
      <c r="CA113" s="684"/>
      <c r="CB113" s="684"/>
      <c r="CC113" s="684"/>
      <c r="CD113" s="684"/>
      <c r="CM113" s="684"/>
      <c r="CN113" s="684"/>
      <c r="CO113" s="684"/>
      <c r="CP113" s="684"/>
      <c r="CQ113" s="684"/>
      <c r="CR113" s="684"/>
      <c r="CS113" s="684"/>
      <c r="CT113" s="684"/>
      <c r="CU113" s="684"/>
      <c r="CV113" s="684"/>
      <c r="CW113" s="684"/>
      <c r="CX113" s="684"/>
      <c r="CY113" s="684"/>
      <c r="CZ113" s="684"/>
      <c r="DA113" s="684"/>
      <c r="DB113" s="684"/>
      <c r="DC113" s="684"/>
      <c r="DD113" s="684"/>
      <c r="DE113" s="684"/>
      <c r="DF113" s="684"/>
      <c r="DG113" s="684"/>
      <c r="DH113" s="684"/>
      <c r="DI113" s="684"/>
      <c r="DJ113" s="684"/>
      <c r="DK113" s="684"/>
      <c r="DL113" s="684"/>
      <c r="DM113" s="684"/>
      <c r="DN113" s="684"/>
      <c r="DO113" s="684"/>
      <c r="DP113" s="684"/>
      <c r="DQ113" s="684"/>
      <c r="DR113" s="684"/>
      <c r="DS113" s="684"/>
      <c r="DT113" s="684"/>
      <c r="DU113" s="684"/>
      <c r="DV113" s="684"/>
      <c r="DW113" s="684"/>
      <c r="DX113" s="684"/>
      <c r="DY113" s="684"/>
      <c r="DZ113" s="684"/>
      <c r="EA113" s="684"/>
      <c r="EB113" s="684"/>
      <c r="EC113" s="684"/>
      <c r="ED113" s="684"/>
      <c r="EE113" s="684"/>
      <c r="EF113" s="684"/>
      <c r="EG113" s="684"/>
      <c r="EH113" s="684"/>
      <c r="EI113" s="684"/>
      <c r="EJ113" s="684"/>
      <c r="EK113" s="684"/>
      <c r="EL113" s="684"/>
      <c r="EM113" s="684"/>
      <c r="EN113" s="684"/>
      <c r="EO113" s="684"/>
      <c r="EP113" s="684"/>
      <c r="EQ113" s="684"/>
      <c r="ER113" s="684"/>
      <c r="ES113" s="684"/>
      <c r="ET113" s="684"/>
      <c r="EU113" s="684"/>
      <c r="EV113" s="684"/>
      <c r="EW113" s="684"/>
      <c r="EX113" s="684"/>
      <c r="EY113" s="684"/>
      <c r="EZ113" s="684"/>
      <c r="FA113" s="684"/>
      <c r="FB113" s="684"/>
      <c r="FC113" s="684"/>
      <c r="FD113" s="684"/>
      <c r="FE113" s="684"/>
      <c r="FF113" s="684"/>
      <c r="FG113" s="684"/>
      <c r="FH113" s="684"/>
      <c r="FI113" s="684"/>
      <c r="FJ113" s="684"/>
      <c r="FK113" s="684"/>
      <c r="FL113" s="684"/>
      <c r="FM113" s="684"/>
      <c r="FN113" s="684"/>
      <c r="FO113" s="684"/>
    </row>
    <row r="114" spans="1:171">
      <c r="A114" s="707" t="s">
        <v>938</v>
      </c>
      <c r="B114" s="684"/>
      <c r="C114" s="684"/>
      <c r="D114" s="684"/>
      <c r="E114" s="684"/>
      <c r="F114" s="697"/>
      <c r="G114" s="697"/>
      <c r="H114" s="697"/>
      <c r="I114" s="697"/>
      <c r="J114" s="684"/>
      <c r="K114" s="684"/>
      <c r="L114" s="684"/>
      <c r="M114" s="684"/>
      <c r="N114" s="771"/>
      <c r="O114" s="771"/>
      <c r="P114" s="771"/>
      <c r="Q114" s="771"/>
      <c r="R114" s="771"/>
      <c r="S114" s="771"/>
      <c r="T114" s="771"/>
      <c r="U114" s="771"/>
      <c r="V114" s="771"/>
      <c r="W114" s="771"/>
      <c r="X114" s="771"/>
      <c r="Y114" s="771"/>
      <c r="Z114" s="771"/>
      <c r="AA114" s="771"/>
      <c r="AB114" s="771"/>
      <c r="AC114" s="771"/>
      <c r="AD114" s="771"/>
      <c r="AE114" s="771"/>
      <c r="AF114" s="771"/>
      <c r="AG114" s="771"/>
      <c r="AH114" s="771">
        <v>0.6293365794278758</v>
      </c>
      <c r="AI114" s="771">
        <v>0.97264843228819209</v>
      </c>
      <c r="AJ114" s="771">
        <v>0.76647398843930636</v>
      </c>
      <c r="AK114" s="771">
        <v>0.35131845841784992</v>
      </c>
      <c r="AL114" s="771">
        <v>0.39260366081434439</v>
      </c>
      <c r="AM114" s="771">
        <v>0.28677713899222179</v>
      </c>
      <c r="AN114" s="771">
        <v>0.32689790575916233</v>
      </c>
      <c r="AO114" s="771">
        <v>0.31462023416391482</v>
      </c>
      <c r="AP114" s="771">
        <v>0.18937768240343344</v>
      </c>
      <c r="AQ114" s="771">
        <v>0.15032851511169509</v>
      </c>
      <c r="AR114" s="771">
        <v>0.1871763255240444</v>
      </c>
      <c r="AS114" s="771">
        <v>8.1525462434345775E-2</v>
      </c>
      <c r="AT114" s="771">
        <v>0.12494361750112759</v>
      </c>
      <c r="AU114" s="771">
        <v>0.16426776330820192</v>
      </c>
      <c r="AV114" s="771">
        <v>0.11965101786456178</v>
      </c>
      <c r="AW114" s="771">
        <v>0.15772804054054057</v>
      </c>
      <c r="AX114" s="771">
        <v>1.9045709703287894E-2</v>
      </c>
      <c r="AY114" s="771">
        <v>5.9458398744113072E-2</v>
      </c>
      <c r="AZ114" s="771">
        <v>-5.3999999999999999E-2</v>
      </c>
      <c r="BA114" s="771">
        <v>-8.3000000000000004E-2</v>
      </c>
      <c r="BB114" s="771">
        <v>-4.6035805626598481E-2</v>
      </c>
      <c r="BC114" s="771"/>
      <c r="BD114" s="771"/>
      <c r="BE114" s="684"/>
      <c r="BF114" s="684"/>
      <c r="BG114" s="684"/>
      <c r="BH114" s="684"/>
      <c r="BI114" s="684"/>
      <c r="BJ114" s="684"/>
      <c r="BK114" s="684"/>
      <c r="BL114" s="684"/>
      <c r="BM114" s="684"/>
      <c r="BN114" s="684"/>
      <c r="BO114" s="684"/>
      <c r="BP114" s="684"/>
      <c r="BQ114" s="684"/>
      <c r="BR114" s="684"/>
      <c r="BS114" s="684"/>
      <c r="BT114" s="684"/>
      <c r="BU114" s="684"/>
      <c r="BV114" s="684"/>
      <c r="BW114" s="684"/>
      <c r="BX114" s="684"/>
      <c r="BY114" s="684"/>
      <c r="BZ114" s="684"/>
      <c r="CA114" s="684"/>
      <c r="CB114" s="684"/>
      <c r="CC114" s="684"/>
      <c r="CD114" s="684"/>
      <c r="CM114" s="684"/>
      <c r="CN114" s="684"/>
      <c r="CO114" s="684"/>
      <c r="CP114" s="684"/>
      <c r="CQ114" s="684"/>
      <c r="CR114" s="684"/>
      <c r="CS114" s="684"/>
      <c r="CT114" s="684"/>
      <c r="CU114" s="684"/>
      <c r="CV114" s="684"/>
      <c r="CW114" s="684"/>
      <c r="CX114" s="684"/>
      <c r="CY114" s="684"/>
      <c r="CZ114" s="684"/>
      <c r="DA114" s="684"/>
      <c r="DB114" s="684"/>
      <c r="DC114" s="684"/>
      <c r="DD114" s="684"/>
      <c r="DE114" s="684"/>
      <c r="DF114" s="684"/>
      <c r="DG114" s="684"/>
      <c r="DH114" s="684"/>
      <c r="DI114" s="684"/>
      <c r="DJ114" s="684"/>
      <c r="DK114" s="684"/>
      <c r="DL114" s="684"/>
      <c r="DM114" s="684"/>
      <c r="DN114" s="684"/>
      <c r="DO114" s="684"/>
      <c r="DP114" s="684"/>
      <c r="DQ114" s="684"/>
      <c r="DR114" s="684"/>
      <c r="DS114" s="684"/>
      <c r="DT114" s="684"/>
      <c r="DU114" s="684"/>
      <c r="DV114" s="684"/>
      <c r="DW114" s="684"/>
      <c r="DX114" s="684"/>
      <c r="DY114" s="684"/>
      <c r="DZ114" s="684"/>
      <c r="EA114" s="684"/>
      <c r="EB114" s="684"/>
      <c r="EC114" s="684"/>
      <c r="ED114" s="684"/>
      <c r="EE114" s="684"/>
      <c r="EF114" s="684"/>
      <c r="EG114" s="684"/>
      <c r="EH114" s="684"/>
      <c r="EI114" s="684"/>
      <c r="EJ114" s="684"/>
      <c r="EK114" s="684"/>
      <c r="EL114" s="684"/>
      <c r="EM114" s="684"/>
      <c r="EN114" s="684"/>
      <c r="EO114" s="684"/>
      <c r="EP114" s="684"/>
      <c r="EQ114" s="684"/>
      <c r="ER114" s="684"/>
      <c r="ES114" s="684"/>
      <c r="ET114" s="684"/>
      <c r="EU114" s="684"/>
      <c r="EV114" s="684"/>
      <c r="EW114" s="684"/>
      <c r="EX114" s="684"/>
      <c r="EY114" s="684"/>
      <c r="EZ114" s="684"/>
      <c r="FA114" s="684"/>
      <c r="FB114" s="684"/>
      <c r="FC114" s="684"/>
      <c r="FD114" s="684"/>
      <c r="FE114" s="684"/>
      <c r="FF114" s="684"/>
      <c r="FG114" s="684"/>
      <c r="FH114" s="684"/>
      <c r="FI114" s="684"/>
      <c r="FJ114" s="684"/>
      <c r="FK114" s="684"/>
      <c r="FL114" s="684"/>
      <c r="FM114" s="684"/>
      <c r="FN114" s="684"/>
      <c r="FO114" s="684"/>
    </row>
    <row r="115" spans="1:171">
      <c r="A115" s="707"/>
      <c r="B115" s="684"/>
      <c r="C115" s="684"/>
      <c r="D115" s="684"/>
      <c r="E115" s="684"/>
      <c r="F115" s="697"/>
      <c r="G115" s="697"/>
      <c r="H115" s="697"/>
      <c r="I115" s="697"/>
      <c r="J115" s="684"/>
      <c r="K115" s="684"/>
      <c r="L115" s="684"/>
      <c r="M115" s="684"/>
      <c r="N115" s="697"/>
      <c r="O115" s="697"/>
      <c r="P115" s="697"/>
      <c r="Q115" s="697"/>
      <c r="R115" s="697"/>
      <c r="S115" s="697"/>
      <c r="T115" s="697"/>
      <c r="U115" s="697"/>
      <c r="V115" s="697"/>
      <c r="W115" s="697"/>
      <c r="X115" s="697"/>
      <c r="Y115" s="697"/>
      <c r="Z115" s="697"/>
      <c r="AA115" s="684"/>
      <c r="AB115" s="684"/>
      <c r="AC115" s="684"/>
      <c r="AD115" s="684"/>
      <c r="AE115" s="684"/>
      <c r="AF115" s="684"/>
      <c r="AG115" s="684"/>
      <c r="AH115" s="684"/>
      <c r="AI115" s="684"/>
      <c r="AJ115" s="684"/>
      <c r="AK115" s="684"/>
      <c r="AL115" s="684"/>
      <c r="AM115" s="684"/>
      <c r="AN115" s="684"/>
      <c r="AO115" s="684"/>
      <c r="AP115" s="684"/>
      <c r="AQ115" s="684"/>
      <c r="AR115" s="684"/>
      <c r="AS115" s="684"/>
      <c r="AT115" s="684"/>
      <c r="AU115" s="684"/>
      <c r="AV115" s="684"/>
      <c r="AW115" s="684"/>
      <c r="AX115" s="684"/>
      <c r="AY115" s="684"/>
      <c r="AZ115" s="684"/>
      <c r="BA115" s="684"/>
      <c r="BB115" s="684"/>
      <c r="BC115" s="684"/>
      <c r="BD115" s="684"/>
      <c r="BE115" s="684"/>
      <c r="BF115" s="684"/>
      <c r="BG115" s="684"/>
      <c r="BH115" s="684"/>
      <c r="BI115" s="684"/>
      <c r="BJ115" s="684"/>
      <c r="BK115" s="684"/>
      <c r="BL115" s="684"/>
      <c r="BM115" s="684"/>
      <c r="BN115" s="684"/>
      <c r="BO115" s="684"/>
      <c r="BP115" s="684"/>
      <c r="BQ115" s="684"/>
      <c r="BR115" s="684"/>
      <c r="BS115" s="684"/>
      <c r="BT115" s="684"/>
      <c r="BU115" s="684"/>
      <c r="BV115" s="684"/>
      <c r="BW115" s="684"/>
      <c r="CI115" s="684"/>
      <c r="CJ115" s="684"/>
      <c r="CK115" s="684"/>
      <c r="CL115" s="684"/>
      <c r="CM115" s="684"/>
      <c r="CN115" s="684"/>
      <c r="CO115" s="684"/>
      <c r="CP115" s="684"/>
      <c r="CQ115" s="684"/>
      <c r="CR115" s="684"/>
      <c r="CS115" s="684"/>
      <c r="CT115" s="684"/>
      <c r="CU115" s="684"/>
      <c r="CV115" s="684"/>
      <c r="CW115" s="684"/>
      <c r="CX115" s="684"/>
      <c r="CY115" s="684"/>
      <c r="CZ115" s="684"/>
      <c r="DA115" s="684"/>
      <c r="DB115" s="684"/>
      <c r="DC115" s="684"/>
      <c r="DD115" s="684"/>
      <c r="DE115" s="684"/>
      <c r="DF115" s="684"/>
      <c r="DG115" s="684"/>
      <c r="DH115" s="684"/>
      <c r="DI115" s="684"/>
      <c r="DJ115" s="684"/>
      <c r="DK115" s="684"/>
      <c r="DL115" s="684"/>
      <c r="DM115" s="684"/>
      <c r="DN115" s="684"/>
      <c r="DO115" s="684"/>
      <c r="DP115" s="684"/>
      <c r="DQ115" s="684"/>
      <c r="DR115" s="684"/>
      <c r="DS115" s="684"/>
      <c r="DT115" s="684"/>
      <c r="DU115" s="684"/>
      <c r="DV115" s="684"/>
      <c r="DW115" s="684"/>
      <c r="DX115" s="684"/>
      <c r="DY115" s="684"/>
      <c r="DZ115" s="684"/>
      <c r="EA115" s="684"/>
      <c r="EB115" s="684"/>
      <c r="EC115" s="684"/>
      <c r="ED115" s="684"/>
      <c r="EE115" s="684"/>
      <c r="EF115" s="684"/>
      <c r="EG115" s="684"/>
      <c r="EH115" s="684"/>
      <c r="EI115" s="684"/>
      <c r="EJ115" s="684"/>
      <c r="EK115" s="684"/>
      <c r="EL115" s="684"/>
      <c r="EM115" s="684"/>
      <c r="EN115" s="684"/>
      <c r="EO115" s="684"/>
      <c r="EP115" s="684"/>
      <c r="EQ115" s="684"/>
      <c r="ER115" s="684"/>
      <c r="ES115" s="684"/>
      <c r="ET115" s="684"/>
      <c r="EU115" s="684"/>
      <c r="EV115" s="684"/>
      <c r="EW115" s="684"/>
      <c r="EX115" s="684"/>
      <c r="EY115" s="684"/>
      <c r="EZ115" s="684"/>
      <c r="FA115" s="684"/>
      <c r="FB115" s="684"/>
      <c r="FC115" s="684"/>
      <c r="FD115" s="684"/>
      <c r="FE115" s="684"/>
      <c r="FF115" s="684"/>
      <c r="FG115" s="684"/>
      <c r="FH115" s="684"/>
      <c r="FI115" s="684"/>
      <c r="FJ115" s="684"/>
      <c r="FK115" s="684"/>
    </row>
    <row r="119" spans="1:171">
      <c r="A119" s="684"/>
      <c r="B119" s="728" t="str">
        <f>'Earnings Snaps'!V89</f>
        <v>Q1 18</v>
      </c>
      <c r="C119" s="728" t="str">
        <f>'Earnings Snaps'!W89</f>
        <v>Q2 18</v>
      </c>
      <c r="D119" s="728" t="str">
        <f>'Earnings Snaps'!X89</f>
        <v>Q3 18</v>
      </c>
      <c r="E119" s="728" t="s">
        <v>748</v>
      </c>
      <c r="F119" s="728" t="str">
        <f>'Earnings Snaps'!Z89</f>
        <v>Q1 19</v>
      </c>
      <c r="G119" s="728" t="str">
        <f>'Earnings Snaps'!AA89</f>
        <v>Q2 19</v>
      </c>
      <c r="H119" s="728" t="str">
        <f>'Earnings Snaps'!AB89</f>
        <v>Q3 19</v>
      </c>
      <c r="I119" s="728" t="str">
        <f>'Earnings Snaps'!AC89</f>
        <v>Q4 19</v>
      </c>
      <c r="J119" s="728" t="str">
        <f>'Earnings Snaps'!AD89</f>
        <v>Q1 20</v>
      </c>
      <c r="K119" s="728" t="str">
        <f>'Earnings Snaps'!AE89</f>
        <v>Q2 20</v>
      </c>
      <c r="L119" s="728" t="str">
        <f>'Earnings Snaps'!AF89</f>
        <v>Q3 20</v>
      </c>
      <c r="M119" s="728" t="str">
        <f>'Earnings Snaps'!AG89</f>
        <v>Q4 20</v>
      </c>
      <c r="N119" s="728" t="str">
        <f>'Earnings Snaps'!AH89</f>
        <v>Q1 21</v>
      </c>
      <c r="O119" s="728" t="str">
        <f>'Earnings Snaps'!AI89</f>
        <v>Q2 21</v>
      </c>
      <c r="P119" s="728" t="str">
        <f>'Earnings Snaps'!AJ89</f>
        <v>Q3 21</v>
      </c>
      <c r="Q119" s="728" t="str">
        <f>'Earnings Snaps'!AK89</f>
        <v>Q4 21</v>
      </c>
      <c r="R119" s="728" t="str">
        <f>'Earnings Snaps'!AL89</f>
        <v>Q1 22</v>
      </c>
      <c r="S119" s="728" t="str">
        <f>'Earnings Snaps'!AM89</f>
        <v>Q2 22</v>
      </c>
      <c r="T119" s="728" t="str">
        <f>'Earnings Snaps'!AO89</f>
        <v>Q4 22</v>
      </c>
      <c r="U119" s="728" t="str">
        <f>'Earnings Snaps'!AP89</f>
        <v>Q1 23</v>
      </c>
    </row>
    <row r="120" spans="1:171">
      <c r="A120" s="684" t="s">
        <v>467</v>
      </c>
      <c r="B120" s="703">
        <f>'Earnings Snaps'!V91</f>
        <v>173.40000000000009</v>
      </c>
      <c r="C120" s="703">
        <f>'Earnings Snaps'!W91</f>
        <v>136.19900000000007</v>
      </c>
      <c r="D120" s="703">
        <f>'Earnings Snaps'!X91</f>
        <v>61.648999999999432</v>
      </c>
      <c r="E120" s="726">
        <v>81</v>
      </c>
      <c r="F120" s="703">
        <f>'Earnings Snaps'!Z91</f>
        <v>88.5</v>
      </c>
      <c r="G120" s="703">
        <f>'Earnings Snaps'!AA91</f>
        <v>72.774999999999636</v>
      </c>
      <c r="H120" s="703">
        <f>'Earnings Snaps'!AB91</f>
        <v>18.725000000000364</v>
      </c>
      <c r="I120" s="703">
        <f>'Earnings Snaps'!AC91</f>
        <v>37.054000000000087</v>
      </c>
      <c r="J120" s="703">
        <f>'Earnings Snaps'!AD91</f>
        <v>121.04899999999998</v>
      </c>
      <c r="K120" s="703">
        <f>'Earnings Snaps'!AE91</f>
        <v>252.17399999999998</v>
      </c>
      <c r="L120" s="703">
        <f>'Earnings Snaps'!AF91</f>
        <v>233.96799999999985</v>
      </c>
      <c r="M120" s="703">
        <f>'Earnings Snaps'!AG91</f>
        <v>127.61400000000049</v>
      </c>
      <c r="N120" s="703">
        <f>'Earnings Snaps'!AH91</f>
        <v>103.96000000000004</v>
      </c>
      <c r="O120" s="703">
        <f>'Earnings Snaps'!AI91</f>
        <v>31.368999999999687</v>
      </c>
      <c r="P120" s="703">
        <f>'Earnings Snaps'!AJ91</f>
        <v>24.595000000000255</v>
      </c>
      <c r="Q120" s="703">
        <f>'Earnings Snaps'!AK91</f>
        <v>58.318999999999505</v>
      </c>
      <c r="R120" s="703">
        <f>'Earnings Snaps'!AL91</f>
        <v>82.923999999999978</v>
      </c>
      <c r="S120" s="703">
        <f>'Earnings Snaps'!AM91</f>
        <v>77.564000000000306</v>
      </c>
      <c r="T120" s="703">
        <f>'Earnings Snaps'!AO91</f>
        <v>78.327000000000226</v>
      </c>
      <c r="U120" s="703" t="e">
        <f>'Earnings Snaps'!#REF!</f>
        <v>#REF!</v>
      </c>
    </row>
    <row r="121" spans="1:171">
      <c r="A121" s="684" t="s">
        <v>468</v>
      </c>
      <c r="B121" s="703">
        <f>'Earnings Snaps'!V98</f>
        <v>110.95899999999983</v>
      </c>
      <c r="C121" s="703">
        <f>'Earnings Snaps'!W98</f>
        <v>79.867000000000189</v>
      </c>
      <c r="D121" s="703">
        <f>'Earnings Snaps'!X98</f>
        <v>77.932999999999993</v>
      </c>
      <c r="E121" s="703">
        <f>'Earnings Snaps'!Y98</f>
        <v>48.602999999999611</v>
      </c>
      <c r="F121" s="703">
        <f>'Earnings Snaps'!Z98</f>
        <v>11.197000000000116</v>
      </c>
      <c r="G121" s="703">
        <f>'Earnings Snaps'!AA98</f>
        <v>69.363000000000284</v>
      </c>
      <c r="H121" s="703">
        <f>'Earnings Snaps'!AB98</f>
        <v>44.036999999999807</v>
      </c>
      <c r="I121" s="703">
        <f>'Earnings Snaps'!AC98</f>
        <v>31</v>
      </c>
      <c r="J121" s="703">
        <f>'Earnings Snaps'!AD98</f>
        <v>48.752999999999702</v>
      </c>
      <c r="K121" s="703">
        <f>'Earnings Snaps'!AE98</f>
        <v>83.019000000000233</v>
      </c>
      <c r="L121" s="703">
        <f>'Earnings Snaps'!AF98</f>
        <v>184.5949999999998</v>
      </c>
      <c r="M121" s="703">
        <f>'Earnings Snaps'!AG98</f>
        <v>96.329000000000178</v>
      </c>
      <c r="N121" s="703">
        <f>'Earnings Snaps'!AH98</f>
        <v>79.415999999999713</v>
      </c>
      <c r="O121" s="703">
        <f>'Earnings Snaps'!AI98</f>
        <v>58.160000000000309</v>
      </c>
      <c r="P121" s="703">
        <f>'Earnings Snaps'!AJ98</f>
        <v>105</v>
      </c>
      <c r="Q121" s="703">
        <f>'Earnings Snaps'!AK98</f>
        <v>80.981000000000222</v>
      </c>
      <c r="R121" s="703">
        <f>'Earnings Snaps'!AL98</f>
        <v>59.403999999999996</v>
      </c>
      <c r="S121" s="703">
        <f>'Earnings Snaps'!AM98</f>
        <v>19.177999999999884</v>
      </c>
      <c r="T121" s="703">
        <f>'Earnings Snaps'!AO98</f>
        <v>124.72799999999961</v>
      </c>
      <c r="U121" s="703">
        <f>'Earnings Snaps'!AP98</f>
        <v>147.30500000000029</v>
      </c>
    </row>
    <row r="138" spans="1:47">
      <c r="A138" s="472" t="s">
        <v>773</v>
      </c>
      <c r="AD138" s="727" t="str">
        <f>AD109</f>
        <v>Q1 20</v>
      </c>
      <c r="AE138" s="727" t="str">
        <f t="shared" ref="AE138:AM138" si="41">AE109</f>
        <v>Q2 20</v>
      </c>
      <c r="AF138" s="727" t="str">
        <f t="shared" si="41"/>
        <v>Q3 20</v>
      </c>
      <c r="AG138" s="727" t="str">
        <f t="shared" si="41"/>
        <v>Q4 20</v>
      </c>
      <c r="AH138" s="727" t="str">
        <f t="shared" si="41"/>
        <v>Q1 21</v>
      </c>
      <c r="AI138" s="727" t="str">
        <f t="shared" si="41"/>
        <v>Q2 21</v>
      </c>
      <c r="AJ138" s="727" t="str">
        <f t="shared" si="41"/>
        <v>Q3 21</v>
      </c>
      <c r="AK138" s="727" t="str">
        <f t="shared" si="41"/>
        <v>Q4 21</v>
      </c>
      <c r="AL138" s="727" t="str">
        <f t="shared" si="41"/>
        <v>Q1 22</v>
      </c>
      <c r="AM138" s="727" t="str">
        <f t="shared" si="41"/>
        <v>Q2 22</v>
      </c>
      <c r="AN138" s="727" t="str">
        <f t="shared" ref="AN138:AU138" si="42">AN109</f>
        <v>Q3 22</v>
      </c>
      <c r="AO138" s="727" t="str">
        <f t="shared" si="42"/>
        <v>Q4 22</v>
      </c>
      <c r="AP138" s="727" t="str">
        <f t="shared" si="42"/>
        <v>Q1 23</v>
      </c>
      <c r="AQ138" s="727" t="str">
        <f t="shared" si="42"/>
        <v>Q2 23</v>
      </c>
      <c r="AR138" s="727" t="str">
        <f t="shared" si="42"/>
        <v>Q3 23</v>
      </c>
      <c r="AS138" s="727" t="str">
        <f t="shared" si="42"/>
        <v>Q4 23</v>
      </c>
      <c r="AT138" s="727" t="str">
        <f t="shared" si="42"/>
        <v>Q1 24</v>
      </c>
      <c r="AU138" s="727" t="str">
        <f t="shared" si="42"/>
        <v>Q2 24</v>
      </c>
    </row>
    <row r="139" spans="1:47">
      <c r="A139" s="129" t="s">
        <v>769</v>
      </c>
      <c r="AD139" s="750">
        <f>Interims!AZ135</f>
        <v>9.9344166234702769E-2</v>
      </c>
      <c r="AE139" s="750">
        <f>Interims!BA135</f>
        <v>7.7261088447183379E-2</v>
      </c>
      <c r="AF139" s="750">
        <f>Interims!BB135</f>
        <v>6.4932630833628435E-2</v>
      </c>
      <c r="AG139" s="750">
        <f>Interims!BC135</f>
        <v>7.4329908477792861E-2</v>
      </c>
      <c r="AH139" s="750">
        <f>Interims!BE135</f>
        <v>7.2736218454662938E-2</v>
      </c>
      <c r="AI139" s="750">
        <f>Interims!BF135</f>
        <v>6.4035290918430077E-2</v>
      </c>
      <c r="AJ139" s="750">
        <f>Interims!BG135</f>
        <v>5.823571973326569E-2</v>
      </c>
      <c r="AK139" s="750">
        <f>Interims!BH135</f>
        <v>4.8198377875282583E-2</v>
      </c>
      <c r="AL139" s="750">
        <f>Interims!BJ135</f>
        <v>3.3940413171020811E-2</v>
      </c>
      <c r="AM139" s="750">
        <f>Interims!BK135</f>
        <v>3.7947125805749327E-2</v>
      </c>
      <c r="AN139" s="750">
        <f>Interims!BL135</f>
        <v>1.9495518802550071E-2</v>
      </c>
      <c r="AO139" s="750">
        <f>Interims!BM135</f>
        <v>9.1783018782449766E-3</v>
      </c>
      <c r="AP139" s="750">
        <f>Interims!BO135</f>
        <v>4.0164131379036405E-2</v>
      </c>
      <c r="AQ139" s="750">
        <f>Interims!BP135</f>
        <v>4.3153133435470892E-2</v>
      </c>
      <c r="AR139" s="750">
        <f>Interims!BQ135</f>
        <v>1.7808591625883663E-2</v>
      </c>
      <c r="AS139" s="750">
        <f>Interims!BR135</f>
        <v>-2.6485428525255816E-3</v>
      </c>
      <c r="AT139" s="750">
        <f>Interims!BT135</f>
        <v>-3.649868505224263E-2</v>
      </c>
      <c r="AU139" s="750">
        <f>Interims!BU135</f>
        <v>-4.9594363045074585E-2</v>
      </c>
    </row>
    <row r="140" spans="1:47">
      <c r="A140" s="471" t="s">
        <v>770</v>
      </c>
      <c r="B140" s="743"/>
      <c r="C140" s="743"/>
      <c r="D140" s="743"/>
      <c r="E140" s="743"/>
      <c r="F140" s="743"/>
      <c r="G140" s="743"/>
      <c r="H140" s="743"/>
      <c r="I140" s="743"/>
      <c r="J140" s="743"/>
      <c r="K140" s="743"/>
      <c r="L140" s="743"/>
      <c r="M140" s="743"/>
      <c r="N140" s="743"/>
      <c r="O140" s="743"/>
      <c r="P140" s="743"/>
      <c r="Q140" s="743"/>
      <c r="R140" s="743"/>
      <c r="S140" s="743"/>
      <c r="T140" s="743"/>
      <c r="U140" s="743"/>
      <c r="V140" s="743"/>
      <c r="W140" s="743"/>
      <c r="X140" s="743"/>
      <c r="Y140" s="743"/>
      <c r="Z140" s="743"/>
      <c r="AA140" s="743"/>
      <c r="AB140" s="743"/>
      <c r="AC140" s="743"/>
      <c r="AD140" s="760">
        <f>Interims!AZ136</f>
        <v>6.4388773239537844E-2</v>
      </c>
      <c r="AE140" s="760">
        <f>Interims!BA136</f>
        <v>0.26627972819932055</v>
      </c>
      <c r="AF140" s="760">
        <f>Interims!BB136</f>
        <v>0.20609306531265204</v>
      </c>
      <c r="AG140" s="760">
        <f>Interims!BC136</f>
        <v>9.0190067443286281E-2</v>
      </c>
      <c r="AH140" s="760">
        <f>Interims!BE136</f>
        <v>0.14668195306177512</v>
      </c>
      <c r="AI140" s="760">
        <f>Interims!BF136</f>
        <v>4.2537730575740618E-2</v>
      </c>
      <c r="AJ140" s="760">
        <f>Interims!BG136</f>
        <v>5.9976931949250467E-3</v>
      </c>
      <c r="AK140" s="760">
        <f>Interims!BH136</f>
        <v>0.10359372363759123</v>
      </c>
      <c r="AL140" s="760">
        <f>Interims!BJ136</f>
        <v>-0.10109980591660284</v>
      </c>
      <c r="AM140" s="760">
        <f>Interims!BK136</f>
        <v>-0.18760388182939247</v>
      </c>
      <c r="AN140" s="760">
        <f>Interims!BL136</f>
        <v>3.8179316670488461E-2</v>
      </c>
      <c r="AO140" s="760">
        <f>Interims!BM136</f>
        <v>-4.8514498292820063E-2</v>
      </c>
      <c r="AP140" s="760">
        <f>Interims!BO136</f>
        <v>-4.0499869144203116E-2</v>
      </c>
      <c r="AQ140" s="760">
        <f>Interims!BP136</f>
        <v>-7.9989440337909223E-2</v>
      </c>
      <c r="AR140" s="760">
        <f>Interims!BQ136</f>
        <v>-0.24014356709000562</v>
      </c>
      <c r="AS140" s="760">
        <f>Interims!BR136</f>
        <v>-0.16067698569974831</v>
      </c>
      <c r="AT140" s="760">
        <f>Interims!BT136</f>
        <v>-0.27425843845891584</v>
      </c>
      <c r="AU140" s="760">
        <f>Interims!BU136</f>
        <v>-0.25875179340028698</v>
      </c>
    </row>
    <row r="141" spans="1:47">
      <c r="A141" s="129" t="s">
        <v>939</v>
      </c>
      <c r="AD141" s="750">
        <f>Interims!AZ137</f>
        <v>9.460130706222647E-2</v>
      </c>
      <c r="AE141" s="750">
        <f>Interims!BA137</f>
        <v>0.10238390908406725</v>
      </c>
      <c r="AF141" s="750">
        <f>Interims!BB137</f>
        <v>8.3312955667255384E-2</v>
      </c>
      <c r="AG141" s="750">
        <f>Interims!BC137</f>
        <v>7.6592692378344873E-2</v>
      </c>
      <c r="AH141" s="750">
        <f>Interims!BE137</f>
        <v>8.2492481269909046E-2</v>
      </c>
      <c r="AI141" s="750">
        <f>Interims!BF137</f>
        <v>6.0753206632587986E-2</v>
      </c>
      <c r="AJ141" s="750">
        <f>Interims!BG137</f>
        <v>5.0662965873560006E-2</v>
      </c>
      <c r="AK141" s="750">
        <f>Interims!BH137</f>
        <v>5.620150314848682E-2</v>
      </c>
      <c r="AL141" s="750">
        <f>Interims!BJ137</f>
        <v>1.506695052483642E-2</v>
      </c>
      <c r="AM141" s="750">
        <f>Interims!BK137</f>
        <v>4.1030426877344262E-3</v>
      </c>
      <c r="AN141" s="750">
        <f>Interims!BL137</f>
        <v>2.2088896669159919E-2</v>
      </c>
      <c r="AO141" s="750">
        <f>Interims!BM137</f>
        <v>4.6925964674748855E-4</v>
      </c>
      <c r="AP141" s="750">
        <f>Interims!BO137</f>
        <v>3.0180581423597141E-2</v>
      </c>
      <c r="AQ141" s="750">
        <f>Interims!BP137</f>
        <v>2.8203320299980517E-2</v>
      </c>
      <c r="AR141" s="750">
        <f>Interims!BQ137</f>
        <v>-1.8559750875827175E-2</v>
      </c>
      <c r="AS141" s="750">
        <f>Interims!BR137</f>
        <v>-2.5335824625345005E-2</v>
      </c>
      <c r="AT141" s="750">
        <f>Interims!BT137</f>
        <v>-6.3906553369439734E-2</v>
      </c>
      <c r="AU141" s="750">
        <f>Interims!BU137</f>
        <v>-7.2314693597655966E-2</v>
      </c>
    </row>
    <row r="167" spans="1:35">
      <c r="A167" s="685" t="s">
        <v>940</v>
      </c>
      <c r="AD167" s="685">
        <v>2022</v>
      </c>
      <c r="AE167" s="685">
        <v>2023</v>
      </c>
      <c r="AF167" s="685">
        <v>2024</v>
      </c>
      <c r="AG167" s="685">
        <v>2025</v>
      </c>
      <c r="AH167" s="685">
        <v>2026</v>
      </c>
    </row>
    <row r="168" spans="1:35">
      <c r="A168" s="749" t="s">
        <v>6</v>
      </c>
      <c r="AD168" s="750">
        <f>Valuation!R49</f>
        <v>-0.41251419295615921</v>
      </c>
      <c r="AE168" s="750">
        <f>Valuation!S49</f>
        <v>-0.14941941954122767</v>
      </c>
      <c r="AF168" s="750">
        <f>Valuation!T49</f>
        <v>5.3132879932841506E-2</v>
      </c>
      <c r="AG168" s="750">
        <f>Valuation!U49</f>
        <v>0.12478732540355314</v>
      </c>
      <c r="AH168" s="750">
        <f ca="1">Valuation!V49</f>
        <v>-2.8389954055223548E-3</v>
      </c>
    </row>
    <row r="169" spans="1:35">
      <c r="A169" s="749" t="s">
        <v>557</v>
      </c>
      <c r="AD169" s="761"/>
      <c r="AE169" s="761">
        <v>-8.8484984705841825E-3</v>
      </c>
      <c r="AF169" s="761">
        <v>3.7129766922799838E-2</v>
      </c>
      <c r="AG169" s="761">
        <v>0.10052678170534821</v>
      </c>
      <c r="AH169" s="761">
        <v>0.14276765466158792</v>
      </c>
      <c r="AI169" s="685" t="s">
        <v>941</v>
      </c>
    </row>
    <row r="177" spans="30:37">
      <c r="AD177" s="1006" t="s">
        <v>761</v>
      </c>
      <c r="AE177" s="1006" t="s">
        <v>762</v>
      </c>
      <c r="AF177" s="1006" t="s">
        <v>763</v>
      </c>
      <c r="AG177" s="1006" t="s">
        <v>764</v>
      </c>
      <c r="AH177" s="1006" t="s">
        <v>765</v>
      </c>
      <c r="AI177" s="1006" t="s">
        <v>766</v>
      </c>
      <c r="AJ177" s="1006" t="s">
        <v>767</v>
      </c>
      <c r="AK177" s="1006"/>
    </row>
    <row r="178" spans="30:37">
      <c r="AD178" s="964">
        <f>Interims!BJ187</f>
        <v>2.1202493000536129</v>
      </c>
      <c r="AE178" s="964">
        <f>Interims!BK187</f>
        <v>2.1988741219192756</v>
      </c>
      <c r="AF178" s="964">
        <f>Interims!BL187</f>
        <v>2.2718424678505817</v>
      </c>
      <c r="AG178" s="964">
        <f>Interims!BM187</f>
        <v>2.6523995044794342</v>
      </c>
      <c r="AH178" s="964">
        <f>Interims!BO187</f>
        <v>2.3832494622382727</v>
      </c>
      <c r="AI178" s="964">
        <f>Interims!BP187</f>
        <v>2.46690060166158</v>
      </c>
      <c r="AJ178" s="964">
        <f>Interims!BQ187</f>
        <v>2.6314437303340701</v>
      </c>
      <c r="AK178" s="964"/>
    </row>
    <row r="206" spans="33:46">
      <c r="AH206" s="891" t="s">
        <v>942</v>
      </c>
      <c r="AI206" s="891" t="s">
        <v>943</v>
      </c>
      <c r="AJ206" s="891" t="s">
        <v>944</v>
      </c>
      <c r="AK206" s="891" t="s">
        <v>945</v>
      </c>
      <c r="AL206" s="891" t="s">
        <v>946</v>
      </c>
      <c r="AM206" s="891" t="s">
        <v>947</v>
      </c>
      <c r="AN206" s="891" t="s">
        <v>948</v>
      </c>
      <c r="AO206" s="891" t="s">
        <v>950</v>
      </c>
      <c r="AP206" s="891" t="s">
        <v>951</v>
      </c>
      <c r="AQ206" s="891" t="s">
        <v>952</v>
      </c>
      <c r="AR206" s="891" t="s">
        <v>8029</v>
      </c>
      <c r="AS206" s="891" t="s">
        <v>8075</v>
      </c>
      <c r="AT206" s="891" t="s">
        <v>8094</v>
      </c>
    </row>
    <row r="207" spans="33:46">
      <c r="AG207" s="685" t="s">
        <v>36</v>
      </c>
      <c r="AH207" s="996">
        <f>Interims!BO122</f>
        <v>2578.1399999999994</v>
      </c>
      <c r="AI207" s="996">
        <f>Interims!BP122</f>
        <v>2738.6859999999979</v>
      </c>
      <c r="AJ207" s="996">
        <f>Interims!BQ122</f>
        <v>2281.7379999999998</v>
      </c>
      <c r="AK207" s="996">
        <f>Interims!BR122</f>
        <v>1910.2150000000011</v>
      </c>
      <c r="AL207" s="996">
        <f>Interims!BT122</f>
        <v>5924.7999999999993</v>
      </c>
      <c r="AM207" s="996">
        <f>Interims!BU122</f>
        <v>3537.275000000001</v>
      </c>
      <c r="AN207" s="996">
        <f>Interims!BV122</f>
        <v>2848.5480000000007</v>
      </c>
      <c r="AO207" s="996">
        <f>AO211-Interims!BW37</f>
        <v>2325.132000000001</v>
      </c>
      <c r="AP207" s="996">
        <f>Interims!BY122</f>
        <v>3564.3900000000003</v>
      </c>
      <c r="AQ207" s="996">
        <f>Interims!BZ122</f>
        <v>3229.7409999999995</v>
      </c>
      <c r="AR207" s="996">
        <f>Interims!CA122</f>
        <v>1885.8400000000011</v>
      </c>
      <c r="AS207" s="996">
        <f>Interims!CB122</f>
        <v>527.96</v>
      </c>
      <c r="AT207" s="996">
        <f>Interims!CD122</f>
        <v>3311.0427</v>
      </c>
    </row>
    <row r="208" spans="33:46">
      <c r="AG208" s="685" t="s">
        <v>953</v>
      </c>
      <c r="AH208" s="888">
        <f>Interims!BO123</f>
        <v>0.13921143005248487</v>
      </c>
      <c r="AI208" s="888">
        <f>Interims!BP123</f>
        <v>0.14787561689398593</v>
      </c>
      <c r="AJ208" s="888">
        <f>Interims!BQ123</f>
        <v>0.12457825799723733</v>
      </c>
      <c r="AK208" s="888">
        <f>Interims!BR123</f>
        <v>0.10374611674740943</v>
      </c>
      <c r="AL208" s="888">
        <f>Interims!BT123</f>
        <v>0.37142821319758762</v>
      </c>
      <c r="AM208" s="888">
        <f>Interims!BU123</f>
        <v>0.22501319949364842</v>
      </c>
      <c r="AN208" s="888">
        <f>Interims!BV123</f>
        <v>0.18541854349467551</v>
      </c>
      <c r="AO208" s="888">
        <f>AO207/Interims!BW21</f>
        <v>0.15270398781064473</v>
      </c>
      <c r="AP208" s="888">
        <f>Interims!BY123</f>
        <v>0.23804495912806542</v>
      </c>
      <c r="AQ208" s="888">
        <f>Interims!BZ123</f>
        <v>0.21927172865154043</v>
      </c>
      <c r="AR208" s="888">
        <f>Interims!CA123</f>
        <v>0.12892869351199843</v>
      </c>
      <c r="AS208" s="888">
        <f>Interims!CB123</f>
        <v>3.6290400186964708E-2</v>
      </c>
      <c r="AT208" s="888">
        <f>Interims!CD123</f>
        <v>0.22815109043927648</v>
      </c>
    </row>
    <row r="210" spans="41:41">
      <c r="AO210" s="891" t="s">
        <v>949</v>
      </c>
    </row>
    <row r="211" spans="41:41">
      <c r="AO211" s="996">
        <f>Interims!BW122</f>
        <v>-3728.367999999999</v>
      </c>
    </row>
    <row r="212" spans="41:41">
      <c r="AO212" s="888">
        <f>Interims!BW123</f>
        <v>-0.24486208164766451</v>
      </c>
    </row>
  </sheetData>
  <phoneticPr fontId="157" type="noConversion"/>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9D93D-4A1A-4366-8346-FCD8B1A15932}">
  <sheetPr>
    <tabColor theme="8" tint="0.59999389629810485"/>
  </sheetPr>
  <dimension ref="A1:V248"/>
  <sheetViews>
    <sheetView zoomScale="72" zoomScaleNormal="72" workbookViewId="0">
      <pane ySplit="2" topLeftCell="A139" activePane="bottomLeft" state="frozen"/>
      <selection activeCell="AF5" sqref="AF5"/>
      <selection pane="bottomLeft" activeCell="V157" sqref="V157"/>
    </sheetView>
  </sheetViews>
  <sheetFormatPr defaultColWidth="9.140625" defaultRowHeight="15" outlineLevelRow="1"/>
  <cols>
    <col min="1" max="1" width="3.42578125" style="685" customWidth="1"/>
    <col min="2" max="2" width="50" style="685" customWidth="1"/>
    <col min="3" max="4" width="8.85546875" style="685" customWidth="1"/>
    <col min="5" max="16384" width="9.140625" style="685"/>
  </cols>
  <sheetData>
    <row r="1" spans="2:20">
      <c r="T1" s="685">
        <f ca="1">SOP!G42</f>
        <v>2.1807837624824744</v>
      </c>
    </row>
    <row r="2" spans="2:20">
      <c r="B2" s="804" t="s">
        <v>954</v>
      </c>
      <c r="C2" s="804">
        <v>2019</v>
      </c>
      <c r="D2" s="804">
        <v>2020</v>
      </c>
      <c r="E2" s="804">
        <v>2021</v>
      </c>
      <c r="F2" s="804">
        <f>E2+1</f>
        <v>2022</v>
      </c>
      <c r="G2" s="804">
        <f t="shared" ref="G2:S2" si="0">F2+1</f>
        <v>2023</v>
      </c>
      <c r="H2" s="804">
        <f t="shared" si="0"/>
        <v>2024</v>
      </c>
      <c r="I2" s="804">
        <f t="shared" si="0"/>
        <v>2025</v>
      </c>
      <c r="J2" s="804">
        <f t="shared" si="0"/>
        <v>2026</v>
      </c>
      <c r="K2" s="804">
        <f t="shared" si="0"/>
        <v>2027</v>
      </c>
      <c r="L2" s="804">
        <f t="shared" si="0"/>
        <v>2028</v>
      </c>
      <c r="M2" s="804">
        <f t="shared" si="0"/>
        <v>2029</v>
      </c>
      <c r="N2" s="804">
        <f t="shared" si="0"/>
        <v>2030</v>
      </c>
      <c r="O2" s="1842">
        <f t="shared" si="0"/>
        <v>2031</v>
      </c>
      <c r="P2" s="1842">
        <f t="shared" si="0"/>
        <v>2032</v>
      </c>
      <c r="Q2" s="1842">
        <f t="shared" si="0"/>
        <v>2033</v>
      </c>
      <c r="R2" s="1842">
        <f t="shared" si="0"/>
        <v>2034</v>
      </c>
      <c r="S2" s="1842">
        <f t="shared" si="0"/>
        <v>2035</v>
      </c>
    </row>
    <row r="3" spans="2:20">
      <c r="B3" s="788"/>
      <c r="C3" s="818"/>
      <c r="D3" s="818"/>
      <c r="E3" s="818"/>
      <c r="F3" s="818"/>
      <c r="G3" s="818"/>
      <c r="H3" s="818"/>
      <c r="I3" s="818"/>
      <c r="J3" s="818"/>
      <c r="K3" s="818"/>
      <c r="L3" s="818"/>
      <c r="M3" s="818"/>
      <c r="N3" s="818"/>
      <c r="O3" s="818"/>
      <c r="P3" s="818"/>
      <c r="Q3" s="818"/>
      <c r="R3" s="818"/>
      <c r="S3" s="818"/>
    </row>
    <row r="4" spans="2:20">
      <c r="B4" s="788" t="s">
        <v>955</v>
      </c>
      <c r="C4" s="817"/>
      <c r="D4" s="817"/>
      <c r="E4" s="817"/>
      <c r="F4" s="817"/>
      <c r="G4" s="817"/>
      <c r="H4" s="817"/>
      <c r="I4" s="817"/>
      <c r="J4" s="817"/>
      <c r="K4" s="817"/>
      <c r="L4" s="817"/>
      <c r="M4" s="817"/>
      <c r="N4" s="817"/>
      <c r="O4" s="817"/>
      <c r="P4" s="817"/>
      <c r="Q4" s="817"/>
      <c r="R4" s="817"/>
      <c r="S4" s="817"/>
    </row>
    <row r="5" spans="2:20">
      <c r="B5" s="685" t="s">
        <v>956</v>
      </c>
      <c r="C5" s="910">
        <v>18800</v>
      </c>
      <c r="D5" s="910">
        <v>24100</v>
      </c>
      <c r="E5" s="795">
        <f t="shared" ref="E5:S5" si="1">AVERAGE(D9,E9)*E20*12</f>
        <v>28112.266784452295</v>
      </c>
      <c r="F5" s="795">
        <f t="shared" si="1"/>
        <v>31891.853604240285</v>
      </c>
      <c r="G5" s="795">
        <f t="shared" si="1"/>
        <v>34709.720215901063</v>
      </c>
      <c r="H5" s="795">
        <f t="shared" si="1"/>
        <v>37667.956156017666</v>
      </c>
      <c r="I5" s="795">
        <f t="shared" si="1"/>
        <v>40278.834338434775</v>
      </c>
      <c r="J5" s="795">
        <f t="shared" si="1"/>
        <v>42249.831709922153</v>
      </c>
      <c r="K5" s="795">
        <f t="shared" si="1"/>
        <v>44041.000868936055</v>
      </c>
      <c r="L5" s="795">
        <f t="shared" si="1"/>
        <v>45901.61532895187</v>
      </c>
      <c r="M5" s="795">
        <f t="shared" si="1"/>
        <v>47834.22975578659</v>
      </c>
      <c r="N5" s="795">
        <f t="shared" si="1"/>
        <v>49841.489594435348</v>
      </c>
      <c r="O5" s="795">
        <f t="shared" si="1"/>
        <v>51926.134216622813</v>
      </c>
      <c r="P5" s="795">
        <f t="shared" si="1"/>
        <v>54091.000175506531</v>
      </c>
      <c r="Q5" s="795">
        <f t="shared" si="1"/>
        <v>56339.024571128306</v>
      </c>
      <c r="R5" s="795">
        <f t="shared" si="1"/>
        <v>58673.248530329452</v>
      </c>
      <c r="S5" s="795">
        <f t="shared" si="1"/>
        <v>61096.820804968644</v>
      </c>
    </row>
    <row r="6" spans="2:20">
      <c r="B6" s="685" t="s">
        <v>957</v>
      </c>
      <c r="C6" s="911">
        <f>C5</f>
        <v>18800</v>
      </c>
      <c r="D6" s="911">
        <f>D5</f>
        <v>24100</v>
      </c>
      <c r="E6" s="912">
        <v>27000</v>
      </c>
      <c r="F6" s="912">
        <v>30000</v>
      </c>
      <c r="G6" s="912">
        <v>34000</v>
      </c>
      <c r="H6" s="912">
        <v>38000</v>
      </c>
      <c r="I6" s="912">
        <v>42000</v>
      </c>
      <c r="J6" s="913">
        <f t="shared" ref="J6:S6" si="2">I6*1.05</f>
        <v>44100</v>
      </c>
      <c r="K6" s="913">
        <f t="shared" si="2"/>
        <v>46305</v>
      </c>
      <c r="L6" s="913">
        <f t="shared" si="2"/>
        <v>48620.25</v>
      </c>
      <c r="M6" s="913">
        <f t="shared" si="2"/>
        <v>51051.262500000004</v>
      </c>
      <c r="N6" s="913">
        <f t="shared" si="2"/>
        <v>53603.825625000005</v>
      </c>
      <c r="O6" s="913">
        <f t="shared" si="2"/>
        <v>56284.016906250006</v>
      </c>
      <c r="P6" s="913">
        <f t="shared" si="2"/>
        <v>59098.217751562508</v>
      </c>
      <c r="Q6" s="913">
        <f t="shared" si="2"/>
        <v>62053.128639140639</v>
      </c>
      <c r="R6" s="913">
        <f t="shared" si="2"/>
        <v>65155.785071097671</v>
      </c>
      <c r="S6" s="913">
        <f t="shared" si="2"/>
        <v>68413.574324652553</v>
      </c>
    </row>
    <row r="7" spans="2:20">
      <c r="B7" s="685" t="s">
        <v>958</v>
      </c>
      <c r="C7" s="834"/>
      <c r="D7" s="834"/>
      <c r="E7" s="834"/>
      <c r="F7" s="834"/>
      <c r="G7" s="834"/>
      <c r="H7" s="834"/>
      <c r="I7" s="834"/>
      <c r="J7" s="834"/>
      <c r="K7" s="834"/>
      <c r="L7" s="834"/>
      <c r="M7" s="834"/>
      <c r="N7" s="834"/>
      <c r="O7" s="834"/>
      <c r="P7" s="834"/>
      <c r="Q7" s="834"/>
      <c r="R7" s="834"/>
      <c r="S7" s="834"/>
    </row>
    <row r="8" spans="2:20">
      <c r="C8" s="834"/>
      <c r="D8" s="834"/>
      <c r="E8" s="834"/>
      <c r="F8" s="834"/>
      <c r="G8" s="834"/>
      <c r="H8" s="834"/>
      <c r="I8" s="834"/>
      <c r="J8" s="834"/>
      <c r="K8" s="834"/>
      <c r="L8" s="834"/>
      <c r="M8" s="834"/>
      <c r="N8" s="834"/>
      <c r="O8" s="834"/>
      <c r="P8" s="834"/>
      <c r="Q8" s="834"/>
      <c r="R8" s="834"/>
      <c r="S8" s="834"/>
    </row>
    <row r="9" spans="2:20">
      <c r="B9" s="685" t="s">
        <v>959</v>
      </c>
      <c r="C9" s="795">
        <f>D9-D10</f>
        <v>268</v>
      </c>
      <c r="D9" s="910">
        <v>298</v>
      </c>
      <c r="E9" s="795">
        <f t="shared" ref="E9:S9" si="3">D9+E10</f>
        <v>343</v>
      </c>
      <c r="F9" s="795">
        <f t="shared" si="3"/>
        <v>363</v>
      </c>
      <c r="G9" s="795">
        <f t="shared" si="3"/>
        <v>383</v>
      </c>
      <c r="H9" s="795">
        <f t="shared" si="3"/>
        <v>403</v>
      </c>
      <c r="I9" s="795">
        <f t="shared" si="3"/>
        <v>413</v>
      </c>
      <c r="J9" s="795">
        <f t="shared" si="3"/>
        <v>418</v>
      </c>
      <c r="K9" s="795">
        <f t="shared" si="3"/>
        <v>423</v>
      </c>
      <c r="L9" s="795">
        <f t="shared" si="3"/>
        <v>428</v>
      </c>
      <c r="M9" s="795">
        <f t="shared" si="3"/>
        <v>433</v>
      </c>
      <c r="N9" s="795">
        <f t="shared" si="3"/>
        <v>438</v>
      </c>
      <c r="O9" s="795">
        <f t="shared" si="3"/>
        <v>443</v>
      </c>
      <c r="P9" s="795">
        <f t="shared" si="3"/>
        <v>448</v>
      </c>
      <c r="Q9" s="795">
        <f t="shared" si="3"/>
        <v>453</v>
      </c>
      <c r="R9" s="795">
        <f t="shared" si="3"/>
        <v>458</v>
      </c>
      <c r="S9" s="795">
        <f t="shared" si="3"/>
        <v>463</v>
      </c>
    </row>
    <row r="10" spans="2:20">
      <c r="B10" s="685" t="s">
        <v>575</v>
      </c>
      <c r="C10" s="795"/>
      <c r="D10" s="834">
        <v>30</v>
      </c>
      <c r="E10" s="834">
        <v>45</v>
      </c>
      <c r="F10" s="834">
        <v>20</v>
      </c>
      <c r="G10" s="834">
        <v>20</v>
      </c>
      <c r="H10" s="834">
        <v>20</v>
      </c>
      <c r="I10" s="834">
        <v>10</v>
      </c>
      <c r="J10" s="834">
        <v>5</v>
      </c>
      <c r="K10" s="834">
        <v>5</v>
      </c>
      <c r="L10" s="834">
        <v>5</v>
      </c>
      <c r="M10" s="834">
        <v>5</v>
      </c>
      <c r="N10" s="834">
        <v>5</v>
      </c>
      <c r="O10" s="834">
        <v>5</v>
      </c>
      <c r="P10" s="834">
        <v>5</v>
      </c>
      <c r="Q10" s="834">
        <v>5</v>
      </c>
      <c r="R10" s="834">
        <v>5</v>
      </c>
      <c r="S10" s="834">
        <v>5</v>
      </c>
    </row>
    <row r="11" spans="2:20">
      <c r="C11" s="795"/>
      <c r="D11" s="795"/>
      <c r="E11" s="795"/>
      <c r="F11" s="795"/>
      <c r="G11" s="795"/>
      <c r="H11" s="795"/>
      <c r="I11" s="795"/>
      <c r="J11" s="795"/>
      <c r="K11" s="795"/>
      <c r="L11" s="795"/>
      <c r="M11" s="795"/>
      <c r="N11" s="795"/>
      <c r="O11" s="795"/>
      <c r="P11" s="795"/>
      <c r="Q11" s="795"/>
      <c r="R11" s="795"/>
      <c r="S11" s="795"/>
    </row>
    <row r="12" spans="2:20">
      <c r="B12" s="685" t="s">
        <v>960</v>
      </c>
      <c r="C12" s="795"/>
      <c r="D12" s="910">
        <v>330</v>
      </c>
      <c r="E12" s="795">
        <f t="shared" ref="E12:S12" si="4">(1+E13)*D12</f>
        <v>333.3</v>
      </c>
      <c r="F12" s="795">
        <f t="shared" si="4"/>
        <v>336.63300000000004</v>
      </c>
      <c r="G12" s="795">
        <f t="shared" si="4"/>
        <v>339.99933000000004</v>
      </c>
      <c r="H12" s="795">
        <f t="shared" si="4"/>
        <v>343.39932330000005</v>
      </c>
      <c r="I12" s="795">
        <f t="shared" si="4"/>
        <v>346.83331653300007</v>
      </c>
      <c r="J12" s="795">
        <f t="shared" si="4"/>
        <v>350.3016496983301</v>
      </c>
      <c r="K12" s="795">
        <f t="shared" si="4"/>
        <v>353.80466619531342</v>
      </c>
      <c r="L12" s="795">
        <f t="shared" si="4"/>
        <v>357.34271285726658</v>
      </c>
      <c r="M12" s="795">
        <f t="shared" si="4"/>
        <v>360.91613998583927</v>
      </c>
      <c r="N12" s="795">
        <f t="shared" si="4"/>
        <v>364.52530138569767</v>
      </c>
      <c r="O12" s="795">
        <f t="shared" si="4"/>
        <v>368.17055439955465</v>
      </c>
      <c r="P12" s="795">
        <f t="shared" si="4"/>
        <v>371.85225994355022</v>
      </c>
      <c r="Q12" s="795">
        <f t="shared" si="4"/>
        <v>375.57078254298574</v>
      </c>
      <c r="R12" s="795">
        <f t="shared" si="4"/>
        <v>379.32649036841559</v>
      </c>
      <c r="S12" s="795">
        <f t="shared" si="4"/>
        <v>383.11975527209972</v>
      </c>
    </row>
    <row r="13" spans="2:20">
      <c r="B13" s="685" t="s">
        <v>961</v>
      </c>
      <c r="C13" s="795"/>
      <c r="D13" s="795"/>
      <c r="E13" s="914">
        <v>0.01</v>
      </c>
      <c r="F13" s="914">
        <v>0.01</v>
      </c>
      <c r="G13" s="914">
        <v>0.01</v>
      </c>
      <c r="H13" s="914">
        <v>0.01</v>
      </c>
      <c r="I13" s="914">
        <v>0.01</v>
      </c>
      <c r="J13" s="914">
        <v>0.01</v>
      </c>
      <c r="K13" s="914">
        <v>0.01</v>
      </c>
      <c r="L13" s="914">
        <v>0.01</v>
      </c>
      <c r="M13" s="914">
        <v>0.01</v>
      </c>
      <c r="N13" s="914">
        <v>0.01</v>
      </c>
      <c r="O13" s="914">
        <v>0.01</v>
      </c>
      <c r="P13" s="914">
        <v>0.01</v>
      </c>
      <c r="Q13" s="914">
        <v>0.01</v>
      </c>
      <c r="R13" s="914">
        <v>0.01</v>
      </c>
      <c r="S13" s="914">
        <v>0.01</v>
      </c>
    </row>
    <row r="14" spans="2:20">
      <c r="B14" s="685" t="s">
        <v>962</v>
      </c>
      <c r="C14" s="795"/>
      <c r="D14" s="812">
        <f t="shared" ref="D14:N14" si="5">D9/D12</f>
        <v>0.90303030303030307</v>
      </c>
      <c r="E14" s="812">
        <f t="shared" si="5"/>
        <v>1.029102910291029</v>
      </c>
      <c r="F14" s="812">
        <f t="shared" si="5"/>
        <v>1.078325654347613</v>
      </c>
      <c r="G14" s="812">
        <f t="shared" si="5"/>
        <v>1.1264728080493569</v>
      </c>
      <c r="H14" s="812">
        <f t="shared" si="5"/>
        <v>1.1735608449290149</v>
      </c>
      <c r="I14" s="812">
        <f t="shared" si="5"/>
        <v>1.1907737241866279</v>
      </c>
      <c r="J14" s="812">
        <f t="shared" si="5"/>
        <v>1.1932572979886615</v>
      </c>
      <c r="K14" s="812">
        <f t="shared" si="5"/>
        <v>1.1955749610336912</v>
      </c>
      <c r="L14" s="812">
        <f t="shared" si="5"/>
        <v>1.1977297552194832</v>
      </c>
      <c r="M14" s="812">
        <f t="shared" si="5"/>
        <v>1.1997246784723703</v>
      </c>
      <c r="N14" s="812">
        <f t="shared" si="5"/>
        <v>1.2015626853197772</v>
      </c>
      <c r="O14" s="812">
        <f>O9/O12</f>
        <v>1.2032466874557197</v>
      </c>
      <c r="P14" s="812">
        <f>P9/P12</f>
        <v>1.2047795542993596</v>
      </c>
      <c r="Q14" s="812">
        <f>Q9/Q12</f>
        <v>1.2061641135466978</v>
      </c>
      <c r="R14" s="812">
        <f>R9/R12</f>
        <v>1.2074031517154888</v>
      </c>
      <c r="S14" s="812">
        <f>S9/S12</f>
        <v>1.2084994146834522</v>
      </c>
    </row>
    <row r="15" spans="2:20">
      <c r="C15" s="795"/>
      <c r="D15" s="812"/>
      <c r="E15" s="812"/>
      <c r="F15" s="812"/>
      <c r="G15" s="812"/>
      <c r="H15" s="812"/>
      <c r="I15" s="812"/>
      <c r="J15" s="812"/>
      <c r="K15" s="812"/>
      <c r="L15" s="812"/>
      <c r="M15" s="812"/>
      <c r="N15" s="812"/>
      <c r="O15" s="812"/>
      <c r="P15" s="812"/>
      <c r="Q15" s="812"/>
      <c r="R15" s="812"/>
      <c r="S15" s="812"/>
    </row>
    <row r="16" spans="2:20">
      <c r="B16" s="685" t="s">
        <v>495</v>
      </c>
      <c r="C16" s="795"/>
      <c r="D16" s="910">
        <v>127</v>
      </c>
      <c r="E16" s="795">
        <f>E12/E17</f>
        <v>128.27000000000001</v>
      </c>
      <c r="F16" s="795">
        <f t="shared" ref="F16:N16" si="6">F12/F17</f>
        <v>129.55270000000002</v>
      </c>
      <c r="G16" s="795">
        <f t="shared" si="6"/>
        <v>130.84822700000004</v>
      </c>
      <c r="H16" s="795">
        <f t="shared" si="6"/>
        <v>132.15670927000002</v>
      </c>
      <c r="I16" s="795">
        <f t="shared" si="6"/>
        <v>133.47827636270003</v>
      </c>
      <c r="J16" s="795">
        <f t="shared" si="6"/>
        <v>134.81305912632703</v>
      </c>
      <c r="K16" s="795">
        <f t="shared" si="6"/>
        <v>136.16118971759033</v>
      </c>
      <c r="L16" s="795">
        <f t="shared" si="6"/>
        <v>137.52280161476622</v>
      </c>
      <c r="M16" s="795">
        <f t="shared" si="6"/>
        <v>138.8980296309139</v>
      </c>
      <c r="N16" s="795">
        <f t="shared" si="6"/>
        <v>140.28700992722307</v>
      </c>
      <c r="O16" s="795">
        <f>O12/O17</f>
        <v>141.68988002649527</v>
      </c>
      <c r="P16" s="795">
        <f>P12/P17</f>
        <v>143.10677882676023</v>
      </c>
      <c r="Q16" s="795">
        <f>Q12/Q17</f>
        <v>144.53784661502786</v>
      </c>
      <c r="R16" s="795">
        <f>R12/R17</f>
        <v>145.98322508117812</v>
      </c>
      <c r="S16" s="795">
        <f>S12/S17</f>
        <v>147.44305733198991</v>
      </c>
    </row>
    <row r="17" spans="2:19">
      <c r="B17" s="685" t="s">
        <v>963</v>
      </c>
      <c r="C17" s="795"/>
      <c r="D17" s="915">
        <f>D12/D16</f>
        <v>2.5984251968503935</v>
      </c>
      <c r="E17" s="916">
        <f t="shared" ref="E17:S17" si="7">D17</f>
        <v>2.5984251968503935</v>
      </c>
      <c r="F17" s="916">
        <f t="shared" si="7"/>
        <v>2.5984251968503935</v>
      </c>
      <c r="G17" s="916">
        <f t="shared" si="7"/>
        <v>2.5984251968503935</v>
      </c>
      <c r="H17" s="916">
        <f t="shared" si="7"/>
        <v>2.5984251968503935</v>
      </c>
      <c r="I17" s="916">
        <f t="shared" si="7"/>
        <v>2.5984251968503935</v>
      </c>
      <c r="J17" s="916">
        <f t="shared" si="7"/>
        <v>2.5984251968503935</v>
      </c>
      <c r="K17" s="916">
        <f t="shared" si="7"/>
        <v>2.5984251968503935</v>
      </c>
      <c r="L17" s="916">
        <f t="shared" si="7"/>
        <v>2.5984251968503935</v>
      </c>
      <c r="M17" s="916">
        <f t="shared" si="7"/>
        <v>2.5984251968503935</v>
      </c>
      <c r="N17" s="916">
        <f t="shared" si="7"/>
        <v>2.5984251968503935</v>
      </c>
      <c r="O17" s="916">
        <f t="shared" si="7"/>
        <v>2.5984251968503935</v>
      </c>
      <c r="P17" s="916">
        <f t="shared" si="7"/>
        <v>2.5984251968503935</v>
      </c>
      <c r="Q17" s="916">
        <f t="shared" si="7"/>
        <v>2.5984251968503935</v>
      </c>
      <c r="R17" s="916">
        <f t="shared" si="7"/>
        <v>2.5984251968503935</v>
      </c>
      <c r="S17" s="916">
        <f t="shared" si="7"/>
        <v>2.5984251968503935</v>
      </c>
    </row>
    <row r="18" spans="2:19">
      <c r="B18" s="685" t="s">
        <v>964</v>
      </c>
      <c r="C18" s="795"/>
      <c r="D18" s="917">
        <f t="shared" ref="D18:N18" si="8">D9/D16</f>
        <v>2.3464566929133857</v>
      </c>
      <c r="E18" s="917">
        <f t="shared" si="8"/>
        <v>2.67404693225228</v>
      </c>
      <c r="F18" s="917">
        <f t="shared" si="8"/>
        <v>2.8019485506670256</v>
      </c>
      <c r="G18" s="917">
        <f t="shared" si="8"/>
        <v>2.9270553280022655</v>
      </c>
      <c r="H18" s="917">
        <f t="shared" si="8"/>
        <v>3.0494100695005897</v>
      </c>
      <c r="I18" s="917">
        <f t="shared" si="8"/>
        <v>3.0941364486739147</v>
      </c>
      <c r="J18" s="917">
        <f t="shared" si="8"/>
        <v>3.100589829419357</v>
      </c>
      <c r="K18" s="917">
        <f t="shared" si="8"/>
        <v>3.1066121034733709</v>
      </c>
      <c r="L18" s="917">
        <f t="shared" si="8"/>
        <v>3.1122111749797599</v>
      </c>
      <c r="M18" s="917">
        <f t="shared" si="8"/>
        <v>3.1173948338258439</v>
      </c>
      <c r="N18" s="917">
        <f t="shared" si="8"/>
        <v>3.1221707571301294</v>
      </c>
      <c r="O18" s="917">
        <f>O9/O16</f>
        <v>3.1265465107117127</v>
      </c>
      <c r="P18" s="917">
        <f>P9/P16</f>
        <v>3.1305295505416426</v>
      </c>
      <c r="Q18" s="917">
        <f>Q9/Q16</f>
        <v>3.1341272241764586</v>
      </c>
      <c r="R18" s="917">
        <f>R9/R16</f>
        <v>3.1373467721741051</v>
      </c>
      <c r="S18" s="917">
        <f>S9/S16</f>
        <v>3.140195329492435</v>
      </c>
    </row>
    <row r="19" spans="2:19">
      <c r="C19" s="795"/>
      <c r="D19" s="795"/>
      <c r="E19" s="795"/>
      <c r="F19" s="795"/>
      <c r="G19" s="795"/>
      <c r="H19" s="795"/>
      <c r="I19" s="795"/>
      <c r="J19" s="795"/>
      <c r="K19" s="795"/>
      <c r="L19" s="795"/>
      <c r="M19" s="795"/>
      <c r="N19" s="795"/>
      <c r="O19" s="795"/>
      <c r="P19" s="795"/>
      <c r="Q19" s="795"/>
      <c r="R19" s="795"/>
      <c r="S19" s="795"/>
    </row>
    <row r="20" spans="2:19">
      <c r="B20" s="685" t="s">
        <v>965</v>
      </c>
      <c r="C20" s="795"/>
      <c r="D20" s="915">
        <f>D5/AVERAGE(C9,D9)/12</f>
        <v>7.0965842167255593</v>
      </c>
      <c r="E20" s="915">
        <f t="shared" ref="E20:S20" si="9">(1+E21)*D20</f>
        <v>7.3094817432273267</v>
      </c>
      <c r="F20" s="915">
        <f t="shared" si="9"/>
        <v>7.5287661955241463</v>
      </c>
      <c r="G20" s="915">
        <f t="shared" si="9"/>
        <v>7.7546291813898707</v>
      </c>
      <c r="H20" s="915">
        <f t="shared" si="9"/>
        <v>7.9872680568315673</v>
      </c>
      <c r="I20" s="915">
        <f t="shared" si="9"/>
        <v>8.2268860985365144</v>
      </c>
      <c r="J20" s="915">
        <f t="shared" si="9"/>
        <v>8.4736926814926097</v>
      </c>
      <c r="K20" s="915">
        <f t="shared" si="9"/>
        <v>8.7279034619373874</v>
      </c>
      <c r="L20" s="915">
        <f t="shared" si="9"/>
        <v>8.9897405657955094</v>
      </c>
      <c r="M20" s="915">
        <f t="shared" si="9"/>
        <v>9.259432782769375</v>
      </c>
      <c r="N20" s="915">
        <f t="shared" si="9"/>
        <v>9.5372157662524568</v>
      </c>
      <c r="O20" s="915">
        <f t="shared" si="9"/>
        <v>9.8233322392400311</v>
      </c>
      <c r="P20" s="915">
        <f t="shared" si="9"/>
        <v>10.118032206417233</v>
      </c>
      <c r="Q20" s="915">
        <f t="shared" si="9"/>
        <v>10.421573172609751</v>
      </c>
      <c r="R20" s="915">
        <f t="shared" si="9"/>
        <v>10.734220367788044</v>
      </c>
      <c r="S20" s="915">
        <f t="shared" si="9"/>
        <v>11.056246978821687</v>
      </c>
    </row>
    <row r="21" spans="2:19">
      <c r="B21" s="685" t="s">
        <v>192</v>
      </c>
      <c r="C21" s="795"/>
      <c r="D21" s="915"/>
      <c r="E21" s="914">
        <v>0.03</v>
      </c>
      <c r="F21" s="914">
        <v>0.03</v>
      </c>
      <c r="G21" s="914">
        <v>0.03</v>
      </c>
      <c r="H21" s="914">
        <v>0.03</v>
      </c>
      <c r="I21" s="914">
        <v>0.03</v>
      </c>
      <c r="J21" s="914">
        <v>0.03</v>
      </c>
      <c r="K21" s="914">
        <v>0.03</v>
      </c>
      <c r="L21" s="914">
        <v>0.03</v>
      </c>
      <c r="M21" s="914">
        <v>0.03</v>
      </c>
      <c r="N21" s="914">
        <v>0.03</v>
      </c>
      <c r="O21" s="914">
        <v>0.03</v>
      </c>
      <c r="P21" s="914">
        <v>0.03</v>
      </c>
      <c r="Q21" s="914">
        <v>0.03</v>
      </c>
      <c r="R21" s="914">
        <v>0.03</v>
      </c>
      <c r="S21" s="914">
        <v>0.03</v>
      </c>
    </row>
    <row r="22" spans="2:19">
      <c r="C22" s="795"/>
      <c r="D22" s="795"/>
      <c r="E22" s="795"/>
      <c r="F22" s="795"/>
      <c r="G22" s="795"/>
      <c r="H22" s="795"/>
      <c r="I22" s="795"/>
      <c r="J22" s="795"/>
      <c r="K22" s="795"/>
      <c r="L22" s="795"/>
      <c r="M22" s="795"/>
      <c r="N22" s="795"/>
      <c r="O22" s="795"/>
      <c r="P22" s="795"/>
      <c r="Q22" s="795"/>
      <c r="R22" s="795"/>
      <c r="S22" s="795"/>
    </row>
    <row r="23" spans="2:19">
      <c r="B23" s="685" t="s">
        <v>966</v>
      </c>
      <c r="C23" s="910">
        <v>15100</v>
      </c>
      <c r="D23" s="910">
        <v>19700</v>
      </c>
      <c r="E23" s="795"/>
      <c r="F23" s="795"/>
      <c r="G23" s="795"/>
      <c r="H23" s="795"/>
      <c r="I23" s="795"/>
      <c r="J23" s="795"/>
      <c r="K23" s="795"/>
      <c r="L23" s="795"/>
      <c r="M23" s="795"/>
      <c r="N23" s="795"/>
      <c r="O23" s="795"/>
      <c r="P23" s="795"/>
      <c r="Q23" s="795"/>
      <c r="R23" s="795"/>
      <c r="S23" s="795"/>
    </row>
    <row r="24" spans="2:19">
      <c r="C24" s="795"/>
      <c r="D24" s="795"/>
      <c r="E24" s="795"/>
      <c r="F24" s="795"/>
      <c r="G24" s="795"/>
      <c r="H24" s="795"/>
      <c r="I24" s="795"/>
      <c r="J24" s="795"/>
      <c r="K24" s="795"/>
      <c r="L24" s="795"/>
      <c r="M24" s="795"/>
      <c r="N24" s="795"/>
      <c r="O24" s="795"/>
      <c r="P24" s="795"/>
      <c r="Q24" s="795"/>
      <c r="R24" s="795"/>
      <c r="S24" s="795"/>
    </row>
    <row r="25" spans="2:19">
      <c r="B25" s="788" t="s">
        <v>967</v>
      </c>
      <c r="C25" s="795"/>
      <c r="D25" s="795"/>
      <c r="E25" s="795"/>
      <c r="F25" s="795"/>
      <c r="G25" s="795"/>
      <c r="H25" s="795"/>
      <c r="I25" s="795"/>
      <c r="J25" s="795"/>
      <c r="K25" s="795"/>
      <c r="L25" s="795"/>
      <c r="M25" s="795"/>
      <c r="N25" s="795"/>
      <c r="O25" s="795"/>
      <c r="P25" s="795"/>
      <c r="Q25" s="795"/>
      <c r="R25" s="795"/>
      <c r="S25" s="795"/>
    </row>
    <row r="26" spans="2:19">
      <c r="B26" s="685" t="s">
        <v>968</v>
      </c>
      <c r="C26" s="795"/>
      <c r="D26" s="795"/>
      <c r="E26" s="915">
        <f>E27*E9</f>
        <v>0</v>
      </c>
      <c r="F26" s="915">
        <f t="shared" ref="F26:N26" si="10">F27*F9</f>
        <v>0.36299999999999999</v>
      </c>
      <c r="G26" s="915">
        <f t="shared" si="10"/>
        <v>2.8725000000000001</v>
      </c>
      <c r="H26" s="915">
        <f t="shared" si="10"/>
        <v>3.4255000000000004</v>
      </c>
      <c r="I26" s="915">
        <f t="shared" si="10"/>
        <v>3.7169999999999996</v>
      </c>
      <c r="J26" s="915">
        <f t="shared" si="10"/>
        <v>3.9710000000000001</v>
      </c>
      <c r="K26" s="915">
        <f t="shared" si="10"/>
        <v>4.2300000000000004</v>
      </c>
      <c r="L26" s="915">
        <f t="shared" si="10"/>
        <v>4.28</v>
      </c>
      <c r="M26" s="915">
        <f t="shared" si="10"/>
        <v>4.33</v>
      </c>
      <c r="N26" s="915">
        <f t="shared" si="10"/>
        <v>4.38</v>
      </c>
      <c r="O26" s="915">
        <f>O27*O9</f>
        <v>4.43</v>
      </c>
      <c r="P26" s="915">
        <f>P27*P9</f>
        <v>4.4800000000000004</v>
      </c>
      <c r="Q26" s="915">
        <f>Q27*Q9</f>
        <v>4.53</v>
      </c>
      <c r="R26" s="915">
        <f>R27*R9</f>
        <v>4.58</v>
      </c>
      <c r="S26" s="915">
        <f>S27*S9</f>
        <v>4.63</v>
      </c>
    </row>
    <row r="27" spans="2:19">
      <c r="B27" s="685" t="s">
        <v>969</v>
      </c>
      <c r="C27" s="795"/>
      <c r="D27" s="795"/>
      <c r="E27" s="914">
        <v>0</v>
      </c>
      <c r="F27" s="914">
        <v>1E-3</v>
      </c>
      <c r="G27" s="914">
        <v>7.4999999999999997E-3</v>
      </c>
      <c r="H27" s="914">
        <v>8.5000000000000006E-3</v>
      </c>
      <c r="I27" s="914">
        <v>8.9999999999999993E-3</v>
      </c>
      <c r="J27" s="914">
        <v>9.4999999999999998E-3</v>
      </c>
      <c r="K27" s="914">
        <v>0.01</v>
      </c>
      <c r="L27" s="914">
        <v>0.01</v>
      </c>
      <c r="M27" s="914">
        <v>0.01</v>
      </c>
      <c r="N27" s="914">
        <v>0.01</v>
      </c>
      <c r="O27" s="914">
        <v>0.01</v>
      </c>
      <c r="P27" s="914">
        <v>0.01</v>
      </c>
      <c r="Q27" s="914">
        <v>0.01</v>
      </c>
      <c r="R27" s="914">
        <v>0.01</v>
      </c>
      <c r="S27" s="914">
        <v>0.01</v>
      </c>
    </row>
    <row r="28" spans="2:19">
      <c r="C28" s="795"/>
      <c r="D28" s="795"/>
      <c r="E28" s="795"/>
      <c r="F28" s="795"/>
      <c r="G28" s="795"/>
      <c r="H28" s="795"/>
      <c r="I28" s="795"/>
      <c r="J28" s="795"/>
      <c r="K28" s="795"/>
      <c r="L28" s="795"/>
      <c r="M28" s="795"/>
      <c r="N28" s="795"/>
      <c r="O28" s="795"/>
      <c r="P28" s="795"/>
      <c r="Q28" s="795"/>
      <c r="R28" s="795"/>
      <c r="S28" s="795"/>
    </row>
    <row r="29" spans="2:19">
      <c r="B29" s="685" t="s">
        <v>970</v>
      </c>
      <c r="C29" s="795"/>
      <c r="D29" s="795"/>
      <c r="E29" s="915">
        <f>(1-E30)*E20</f>
        <v>6.5785335689045938</v>
      </c>
      <c r="F29" s="915">
        <f t="shared" ref="F29:N29" si="11">(1-F30)*F20</f>
        <v>6.7758895759717319</v>
      </c>
      <c r="G29" s="915">
        <f t="shared" si="11"/>
        <v>6.9791662632508835</v>
      </c>
      <c r="H29" s="915">
        <f t="shared" si="11"/>
        <v>7.1885412511484104</v>
      </c>
      <c r="I29" s="915">
        <f t="shared" si="11"/>
        <v>7.404197488682863</v>
      </c>
      <c r="J29" s="915">
        <f t="shared" si="11"/>
        <v>7.6263234133433491</v>
      </c>
      <c r="K29" s="915">
        <f t="shared" si="11"/>
        <v>7.8551131157436487</v>
      </c>
      <c r="L29" s="915">
        <f t="shared" si="11"/>
        <v>8.0907665092159586</v>
      </c>
      <c r="M29" s="915">
        <f t="shared" si="11"/>
        <v>8.3334895044924373</v>
      </c>
      <c r="N29" s="915">
        <f t="shared" si="11"/>
        <v>8.5834941896272117</v>
      </c>
      <c r="O29" s="915">
        <f>(1-O30)*O20</f>
        <v>8.8409990153160276</v>
      </c>
      <c r="P29" s="915">
        <f>(1-P30)*P20</f>
        <v>9.1062289857755108</v>
      </c>
      <c r="Q29" s="915">
        <f>(1-Q30)*Q20</f>
        <v>9.3794158553487765</v>
      </c>
      <c r="R29" s="915">
        <f>(1-R30)*R20</f>
        <v>9.6607983310092393</v>
      </c>
      <c r="S29" s="915">
        <f>(1-S30)*S20</f>
        <v>9.9506222809395179</v>
      </c>
    </row>
    <row r="30" spans="2:19">
      <c r="B30" s="685" t="s">
        <v>971</v>
      </c>
      <c r="C30" s="795"/>
      <c r="D30" s="795"/>
      <c r="E30" s="918">
        <v>0.1</v>
      </c>
      <c r="F30" s="789">
        <f>E30</f>
        <v>0.1</v>
      </c>
      <c r="G30" s="789">
        <f t="shared" ref="G30:S30" si="12">F30</f>
        <v>0.1</v>
      </c>
      <c r="H30" s="789">
        <f t="shared" si="12"/>
        <v>0.1</v>
      </c>
      <c r="I30" s="789">
        <f t="shared" si="12"/>
        <v>0.1</v>
      </c>
      <c r="J30" s="789">
        <f t="shared" si="12"/>
        <v>0.1</v>
      </c>
      <c r="K30" s="789">
        <f t="shared" si="12"/>
        <v>0.1</v>
      </c>
      <c r="L30" s="789">
        <f t="shared" si="12"/>
        <v>0.1</v>
      </c>
      <c r="M30" s="789">
        <f t="shared" si="12"/>
        <v>0.1</v>
      </c>
      <c r="N30" s="789">
        <f t="shared" si="12"/>
        <v>0.1</v>
      </c>
      <c r="O30" s="789">
        <f t="shared" si="12"/>
        <v>0.1</v>
      </c>
      <c r="P30" s="789">
        <f t="shared" si="12"/>
        <v>0.1</v>
      </c>
      <c r="Q30" s="789">
        <f t="shared" si="12"/>
        <v>0.1</v>
      </c>
      <c r="R30" s="789">
        <f t="shared" si="12"/>
        <v>0.1</v>
      </c>
      <c r="S30" s="789">
        <f t="shared" si="12"/>
        <v>0.1</v>
      </c>
    </row>
    <row r="31" spans="2:19">
      <c r="C31" s="795"/>
      <c r="D31" s="795"/>
      <c r="E31" s="795"/>
      <c r="F31" s="795"/>
      <c r="G31" s="795"/>
      <c r="H31" s="795"/>
      <c r="I31" s="795"/>
      <c r="J31" s="795"/>
      <c r="K31" s="795"/>
      <c r="L31" s="795"/>
      <c r="M31" s="795"/>
      <c r="N31" s="795"/>
      <c r="O31" s="795"/>
      <c r="P31" s="795"/>
      <c r="Q31" s="795"/>
      <c r="R31" s="795"/>
      <c r="S31" s="795"/>
    </row>
    <row r="32" spans="2:19">
      <c r="B32" s="685" t="s">
        <v>972</v>
      </c>
      <c r="C32" s="795"/>
      <c r="D32" s="795"/>
      <c r="E32" s="795">
        <f t="shared" ref="E32:S32" si="13">E29*12*AVERAGE(D26,E26)</f>
        <v>0</v>
      </c>
      <c r="F32" s="795">
        <f t="shared" si="13"/>
        <v>14.757887496466431</v>
      </c>
      <c r="G32" s="795">
        <f t="shared" si="13"/>
        <v>135.48655466848942</v>
      </c>
      <c r="H32" s="795">
        <f t="shared" si="13"/>
        <v>271.64059679839613</v>
      </c>
      <c r="I32" s="795">
        <f>I29*12*AVERAGE(H26,I26)</f>
        <v>317.30688337750411</v>
      </c>
      <c r="J32" s="795">
        <f t="shared" si="13"/>
        <v>351.78704641070198</v>
      </c>
      <c r="K32" s="795">
        <f t="shared" si="13"/>
        <v>386.51869597328198</v>
      </c>
      <c r="L32" s="795">
        <f t="shared" si="13"/>
        <v>413.11453796056691</v>
      </c>
      <c r="M32" s="795">
        <f t="shared" si="13"/>
        <v>430.50806780207927</v>
      </c>
      <c r="N32" s="795">
        <f t="shared" si="13"/>
        <v>448.57340634991817</v>
      </c>
      <c r="O32" s="795">
        <f t="shared" si="13"/>
        <v>467.33520794960509</v>
      </c>
      <c r="P32" s="795">
        <f t="shared" si="13"/>
        <v>486.81900157955886</v>
      </c>
      <c r="Q32" s="795">
        <f t="shared" si="13"/>
        <v>507.05122114015501</v>
      </c>
      <c r="R32" s="795">
        <f t="shared" si="13"/>
        <v>528.05923677296494</v>
      </c>
      <c r="S32" s="795">
        <f t="shared" si="13"/>
        <v>549.87138724471777</v>
      </c>
    </row>
    <row r="33" spans="1:19">
      <c r="C33" s="795"/>
      <c r="D33" s="795"/>
      <c r="E33" s="795"/>
      <c r="F33" s="795"/>
      <c r="G33" s="795"/>
      <c r="H33" s="795"/>
      <c r="I33" s="795"/>
      <c r="J33" s="795"/>
      <c r="K33" s="795"/>
      <c r="L33" s="795"/>
      <c r="M33" s="795"/>
      <c r="N33" s="795"/>
      <c r="O33" s="795"/>
      <c r="P33" s="795"/>
      <c r="Q33" s="795"/>
      <c r="R33" s="795"/>
      <c r="S33" s="795"/>
    </row>
    <row r="34" spans="1:19">
      <c r="B34" s="788" t="s">
        <v>973</v>
      </c>
      <c r="C34" s="795"/>
      <c r="D34" s="795"/>
      <c r="E34" s="795"/>
      <c r="F34" s="795"/>
      <c r="G34" s="795"/>
      <c r="H34" s="795"/>
      <c r="I34" s="795"/>
      <c r="J34" s="795"/>
      <c r="K34" s="795"/>
      <c r="L34" s="795"/>
      <c r="M34" s="795"/>
      <c r="N34" s="795"/>
      <c r="O34" s="795"/>
      <c r="P34" s="795"/>
      <c r="Q34" s="795"/>
      <c r="R34" s="795"/>
      <c r="S34" s="795"/>
    </row>
    <row r="35" spans="1:19">
      <c r="C35" s="795"/>
      <c r="D35" s="795"/>
      <c r="E35" s="795"/>
      <c r="F35" s="795"/>
      <c r="G35" s="795"/>
      <c r="H35" s="795"/>
      <c r="I35" s="795"/>
      <c r="J35" s="795"/>
      <c r="K35" s="795"/>
      <c r="L35" s="795"/>
      <c r="M35" s="795"/>
      <c r="N35" s="795"/>
      <c r="O35" s="795"/>
      <c r="P35" s="795"/>
      <c r="Q35" s="795"/>
      <c r="R35" s="795"/>
      <c r="S35" s="795"/>
    </row>
    <row r="36" spans="1:19">
      <c r="B36" s="787" t="s">
        <v>974</v>
      </c>
      <c r="C36" s="795"/>
      <c r="D36" s="795"/>
      <c r="E36" s="795"/>
      <c r="F36" s="795"/>
      <c r="G36" s="795"/>
      <c r="H36" s="795"/>
      <c r="I36" s="795"/>
      <c r="J36" s="795"/>
      <c r="K36" s="795"/>
      <c r="L36" s="795"/>
      <c r="M36" s="795"/>
      <c r="N36" s="795"/>
      <c r="O36" s="795"/>
      <c r="P36" s="795"/>
      <c r="Q36" s="795"/>
      <c r="R36" s="795"/>
      <c r="S36" s="795"/>
    </row>
    <row r="37" spans="1:19">
      <c r="B37" s="787"/>
      <c r="C37" s="795"/>
      <c r="D37" s="795"/>
      <c r="E37" s="795"/>
      <c r="F37" s="795"/>
      <c r="G37" s="795"/>
      <c r="H37" s="795"/>
      <c r="I37" s="795"/>
      <c r="J37" s="795"/>
      <c r="K37" s="795"/>
      <c r="L37" s="795"/>
      <c r="M37" s="795"/>
      <c r="N37" s="795"/>
      <c r="O37" s="795"/>
      <c r="P37" s="795"/>
      <c r="Q37" s="795"/>
      <c r="R37" s="795"/>
      <c r="S37" s="795"/>
    </row>
    <row r="38" spans="1:19">
      <c r="B38" s="685" t="s">
        <v>975</v>
      </c>
      <c r="C38" s="795"/>
      <c r="D38" s="795"/>
      <c r="E38" s="910">
        <v>5</v>
      </c>
      <c r="F38" s="795">
        <f t="shared" ref="F38:S38" si="14">E38+F39</f>
        <v>7</v>
      </c>
      <c r="G38" s="795">
        <f t="shared" si="14"/>
        <v>10</v>
      </c>
      <c r="H38" s="795">
        <f t="shared" si="14"/>
        <v>13</v>
      </c>
      <c r="I38" s="795">
        <f t="shared" si="14"/>
        <v>14</v>
      </c>
      <c r="J38" s="795">
        <f t="shared" si="14"/>
        <v>15</v>
      </c>
      <c r="K38" s="795">
        <f t="shared" si="14"/>
        <v>16</v>
      </c>
      <c r="L38" s="795">
        <f t="shared" si="14"/>
        <v>17</v>
      </c>
      <c r="M38" s="795">
        <f t="shared" si="14"/>
        <v>18</v>
      </c>
      <c r="N38" s="795">
        <f t="shared" si="14"/>
        <v>19</v>
      </c>
      <c r="O38" s="795">
        <f t="shared" si="14"/>
        <v>20</v>
      </c>
      <c r="P38" s="795">
        <f t="shared" si="14"/>
        <v>21</v>
      </c>
      <c r="Q38" s="795">
        <f t="shared" si="14"/>
        <v>22</v>
      </c>
      <c r="R38" s="795">
        <f t="shared" si="14"/>
        <v>23</v>
      </c>
      <c r="S38" s="795">
        <f t="shared" si="14"/>
        <v>24</v>
      </c>
    </row>
    <row r="39" spans="1:19">
      <c r="B39" s="685" t="s">
        <v>575</v>
      </c>
      <c r="C39" s="795"/>
      <c r="D39" s="795"/>
      <c r="E39" s="795"/>
      <c r="F39" s="834">
        <v>2</v>
      </c>
      <c r="G39" s="834">
        <v>3</v>
      </c>
      <c r="H39" s="834">
        <v>3</v>
      </c>
      <c r="I39" s="834">
        <v>1</v>
      </c>
      <c r="J39" s="834">
        <v>1</v>
      </c>
      <c r="K39" s="834">
        <v>1</v>
      </c>
      <c r="L39" s="834">
        <v>1</v>
      </c>
      <c r="M39" s="834">
        <v>1</v>
      </c>
      <c r="N39" s="834">
        <v>1</v>
      </c>
      <c r="O39" s="834">
        <v>1</v>
      </c>
      <c r="P39" s="834">
        <v>1</v>
      </c>
      <c r="Q39" s="834">
        <v>1</v>
      </c>
      <c r="R39" s="834">
        <v>1</v>
      </c>
      <c r="S39" s="834">
        <v>1</v>
      </c>
    </row>
    <row r="40" spans="1:19">
      <c r="B40" s="685" t="s">
        <v>976</v>
      </c>
      <c r="C40" s="795" t="s">
        <v>57</v>
      </c>
      <c r="D40" s="795"/>
      <c r="E40" s="795"/>
      <c r="F40" s="795"/>
      <c r="G40" s="795"/>
      <c r="H40" s="795"/>
      <c r="I40" s="795"/>
      <c r="J40" s="795"/>
      <c r="K40" s="795"/>
      <c r="L40" s="795"/>
      <c r="M40" s="795"/>
      <c r="N40" s="795"/>
      <c r="O40" s="795"/>
      <c r="P40" s="795"/>
      <c r="Q40" s="795"/>
      <c r="R40" s="795"/>
      <c r="S40" s="795"/>
    </row>
    <row r="41" spans="1:19">
      <c r="B41" s="685" t="s">
        <v>977</v>
      </c>
      <c r="C41" s="795"/>
      <c r="D41" s="795"/>
      <c r="E41" s="789">
        <f t="shared" ref="E41:N41" si="15">E38/E50</f>
        <v>2.2577996715927751E-2</v>
      </c>
      <c r="F41" s="789">
        <f t="shared" si="15"/>
        <v>2.7486256871564224E-2</v>
      </c>
      <c r="G41" s="789">
        <f t="shared" si="15"/>
        <v>3.5696437495537948E-2</v>
      </c>
      <c r="H41" s="789">
        <f t="shared" si="15"/>
        <v>4.4195589280189837E-2</v>
      </c>
      <c r="I41" s="789">
        <f t="shared" si="15"/>
        <v>4.5328809518143422E-2</v>
      </c>
      <c r="J41" s="789">
        <f t="shared" si="15"/>
        <v>4.6253887263411654E-2</v>
      </c>
      <c r="K41" s="789">
        <f t="shared" si="15"/>
        <v>4.698807595013247E-2</v>
      </c>
      <c r="L41" s="789">
        <f t="shared" si="15"/>
        <v>4.7547457806681667E-2</v>
      </c>
      <c r="M41" s="789">
        <f t="shared" si="15"/>
        <v>4.7947016275645377E-2</v>
      </c>
      <c r="N41" s="789">
        <f t="shared" si="15"/>
        <v>4.8200704192447735E-2</v>
      </c>
      <c r="O41" s="789">
        <f>O38/O50</f>
        <v>4.832150796235362E-2</v>
      </c>
      <c r="P41" s="789">
        <f>P38/P50</f>
        <v>4.832150796235362E-2</v>
      </c>
      <c r="Q41" s="789">
        <f>Q38/Q50</f>
        <v>4.8211935381940116E-2</v>
      </c>
      <c r="R41" s="789">
        <f>R38/R50</f>
        <v>4.8003225704962016E-2</v>
      </c>
      <c r="S41" s="789">
        <f>S38/S50</f>
        <v>4.7705069023564736E-2</v>
      </c>
    </row>
    <row r="42" spans="1:19">
      <c r="C42" s="795"/>
      <c r="D42" s="795"/>
      <c r="E42" s="795"/>
      <c r="F42" s="795"/>
      <c r="G42" s="795"/>
      <c r="H42" s="795"/>
      <c r="I42" s="795"/>
      <c r="J42" s="795"/>
      <c r="K42" s="795"/>
      <c r="L42" s="795"/>
      <c r="M42" s="795"/>
      <c r="N42" s="795"/>
      <c r="O42" s="795"/>
      <c r="P42" s="795"/>
      <c r="Q42" s="795"/>
      <c r="R42" s="795"/>
      <c r="S42" s="795"/>
    </row>
    <row r="43" spans="1:19">
      <c r="B43" s="685" t="s">
        <v>978</v>
      </c>
      <c r="C43" s="795"/>
      <c r="D43" s="795"/>
      <c r="E43" s="795"/>
      <c r="F43" s="795"/>
      <c r="G43" s="795"/>
      <c r="H43" s="795"/>
      <c r="I43" s="795"/>
      <c r="J43" s="795"/>
      <c r="K43" s="795"/>
      <c r="L43" s="795"/>
      <c r="M43" s="795"/>
      <c r="N43" s="795"/>
      <c r="O43" s="795"/>
      <c r="P43" s="795"/>
      <c r="Q43" s="795"/>
      <c r="R43" s="795"/>
      <c r="S43" s="795"/>
    </row>
    <row r="44" spans="1:19">
      <c r="B44" s="685" t="s">
        <v>979</v>
      </c>
      <c r="C44" s="795"/>
      <c r="D44" s="795">
        <f>D38</f>
        <v>0</v>
      </c>
      <c r="E44" s="795">
        <f>E38</f>
        <v>5</v>
      </c>
      <c r="F44" s="795">
        <f t="shared" ref="F44:N44" si="16">F38</f>
        <v>7</v>
      </c>
      <c r="G44" s="795">
        <f t="shared" si="16"/>
        <v>10</v>
      </c>
      <c r="H44" s="795">
        <f t="shared" si="16"/>
        <v>13</v>
      </c>
      <c r="I44" s="795">
        <f t="shared" si="16"/>
        <v>14</v>
      </c>
      <c r="J44" s="795">
        <f t="shared" si="16"/>
        <v>15</v>
      </c>
      <c r="K44" s="795">
        <f t="shared" si="16"/>
        <v>16</v>
      </c>
      <c r="L44" s="795">
        <f t="shared" si="16"/>
        <v>17</v>
      </c>
      <c r="M44" s="795">
        <f t="shared" si="16"/>
        <v>18</v>
      </c>
      <c r="N44" s="795">
        <f t="shared" si="16"/>
        <v>19</v>
      </c>
      <c r="O44" s="795">
        <f>O38</f>
        <v>20</v>
      </c>
      <c r="P44" s="795">
        <f>P38</f>
        <v>21</v>
      </c>
      <c r="Q44" s="795">
        <f>Q38</f>
        <v>22</v>
      </c>
      <c r="R44" s="795">
        <f>R38</f>
        <v>23</v>
      </c>
      <c r="S44" s="795">
        <f>S38</f>
        <v>24</v>
      </c>
    </row>
    <row r="45" spans="1:19">
      <c r="B45" s="685" t="s">
        <v>980</v>
      </c>
      <c r="C45" s="795"/>
      <c r="D45" s="910">
        <v>43</v>
      </c>
      <c r="E45" s="795"/>
      <c r="F45" s="795"/>
      <c r="G45" s="795"/>
      <c r="H45" s="795"/>
      <c r="I45" s="795"/>
      <c r="J45" s="795"/>
      <c r="K45" s="795"/>
      <c r="L45" s="795"/>
      <c r="M45" s="795"/>
      <c r="N45" s="795"/>
      <c r="O45" s="795"/>
      <c r="P45" s="795"/>
      <c r="Q45" s="795"/>
      <c r="R45" s="795"/>
      <c r="S45" s="795"/>
    </row>
    <row r="46" spans="1:19">
      <c r="A46" s="685" t="s">
        <v>981</v>
      </c>
      <c r="B46" s="685" t="s">
        <v>982</v>
      </c>
      <c r="C46" s="795"/>
      <c r="D46" s="910">
        <v>44</v>
      </c>
      <c r="E46" s="834">
        <v>56</v>
      </c>
      <c r="F46" s="795"/>
      <c r="G46" s="795"/>
      <c r="H46" s="795"/>
      <c r="I46" s="795"/>
      <c r="J46" s="795"/>
      <c r="K46" s="795"/>
      <c r="L46" s="795"/>
      <c r="M46" s="795"/>
      <c r="N46" s="795"/>
      <c r="O46" s="795"/>
      <c r="P46" s="795"/>
      <c r="Q46" s="795"/>
      <c r="R46" s="795"/>
      <c r="S46" s="795"/>
    </row>
    <row r="47" spans="1:19">
      <c r="A47" s="685" t="s">
        <v>983</v>
      </c>
      <c r="B47" s="685" t="s">
        <v>984</v>
      </c>
      <c r="C47" s="795"/>
      <c r="D47" s="910">
        <v>33</v>
      </c>
      <c r="E47" s="795"/>
      <c r="F47" s="795"/>
      <c r="G47" s="795"/>
      <c r="H47" s="795"/>
      <c r="I47" s="795"/>
      <c r="J47" s="795"/>
      <c r="K47" s="795"/>
      <c r="L47" s="795"/>
      <c r="M47" s="795"/>
      <c r="N47" s="795"/>
      <c r="O47" s="795"/>
      <c r="P47" s="795"/>
      <c r="Q47" s="795"/>
      <c r="R47" s="795"/>
      <c r="S47" s="795"/>
    </row>
    <row r="48" spans="1:19">
      <c r="A48" s="685" t="s">
        <v>985</v>
      </c>
      <c r="B48" s="685" t="s">
        <v>986</v>
      </c>
      <c r="C48" s="795"/>
      <c r="D48" s="910">
        <v>24</v>
      </c>
      <c r="E48" s="795"/>
      <c r="F48" s="795"/>
      <c r="G48" s="795"/>
      <c r="H48" s="795"/>
      <c r="I48" s="795"/>
      <c r="J48" s="795"/>
      <c r="K48" s="795"/>
      <c r="L48" s="795"/>
      <c r="M48" s="795"/>
      <c r="N48" s="795"/>
      <c r="O48" s="795"/>
      <c r="P48" s="795"/>
      <c r="Q48" s="795"/>
      <c r="R48" s="795"/>
      <c r="S48" s="795"/>
    </row>
    <row r="49" spans="2:19">
      <c r="B49" s="743" t="s">
        <v>987</v>
      </c>
      <c r="C49" s="833"/>
      <c r="D49" s="920">
        <v>30</v>
      </c>
      <c r="E49" s="833"/>
      <c r="F49" s="833"/>
      <c r="G49" s="833"/>
      <c r="H49" s="833"/>
      <c r="I49" s="833"/>
      <c r="J49" s="833"/>
      <c r="K49" s="833"/>
      <c r="L49" s="833"/>
      <c r="M49" s="833"/>
      <c r="N49" s="833"/>
      <c r="O49" s="833"/>
      <c r="P49" s="833"/>
      <c r="Q49" s="833"/>
      <c r="R49" s="833"/>
      <c r="S49" s="833"/>
    </row>
    <row r="50" spans="2:19">
      <c r="B50" s="685" t="s">
        <v>988</v>
      </c>
      <c r="C50" s="795"/>
      <c r="D50" s="795">
        <f>SUM(D45:D49)</f>
        <v>174</v>
      </c>
      <c r="E50" s="834">
        <f>E46/D46*D50</f>
        <v>221.45454545454544</v>
      </c>
      <c r="F50" s="795">
        <f>(1+F51)*E50</f>
        <v>254.67272727272723</v>
      </c>
      <c r="G50" s="795">
        <f t="shared" ref="G50:S50" si="17">(1+G51)*F50</f>
        <v>280.14</v>
      </c>
      <c r="H50" s="795">
        <f t="shared" si="17"/>
        <v>294.14699999999999</v>
      </c>
      <c r="I50" s="795">
        <f t="shared" si="17"/>
        <v>308.85435000000001</v>
      </c>
      <c r="J50" s="795">
        <f t="shared" si="17"/>
        <v>324.29706750000003</v>
      </c>
      <c r="K50" s="795">
        <f t="shared" si="17"/>
        <v>340.51192087500004</v>
      </c>
      <c r="L50" s="795">
        <f t="shared" si="17"/>
        <v>357.53751691875004</v>
      </c>
      <c r="M50" s="795">
        <f t="shared" si="17"/>
        <v>375.41439276468753</v>
      </c>
      <c r="N50" s="795">
        <f t="shared" si="17"/>
        <v>394.1851124029219</v>
      </c>
      <c r="O50" s="795">
        <f t="shared" si="17"/>
        <v>413.89436802306801</v>
      </c>
      <c r="P50" s="795">
        <f t="shared" si="17"/>
        <v>434.58908642422142</v>
      </c>
      <c r="Q50" s="795">
        <f t="shared" si="17"/>
        <v>456.31854074543253</v>
      </c>
      <c r="R50" s="795">
        <f t="shared" si="17"/>
        <v>479.13446778270418</v>
      </c>
      <c r="S50" s="795">
        <f t="shared" si="17"/>
        <v>503.0911911718394</v>
      </c>
    </row>
    <row r="51" spans="2:19">
      <c r="B51" s="685" t="s">
        <v>989</v>
      </c>
      <c r="C51" s="795"/>
      <c r="D51" s="795"/>
      <c r="E51" s="834"/>
      <c r="F51" s="918">
        <v>0.15</v>
      </c>
      <c r="G51" s="918">
        <v>0.1</v>
      </c>
      <c r="H51" s="918">
        <v>0.05</v>
      </c>
      <c r="I51" s="918">
        <v>0.05</v>
      </c>
      <c r="J51" s="918">
        <v>0.05</v>
      </c>
      <c r="K51" s="918">
        <v>0.05</v>
      </c>
      <c r="L51" s="918">
        <v>0.05</v>
      </c>
      <c r="M51" s="918">
        <v>0.05</v>
      </c>
      <c r="N51" s="918">
        <v>0.05</v>
      </c>
      <c r="O51" s="918">
        <v>0.05</v>
      </c>
      <c r="P51" s="918">
        <v>0.05</v>
      </c>
      <c r="Q51" s="918">
        <v>0.05</v>
      </c>
      <c r="R51" s="918">
        <v>0.05</v>
      </c>
      <c r="S51" s="918">
        <v>0.05</v>
      </c>
    </row>
    <row r="52" spans="2:19">
      <c r="C52" s="795"/>
      <c r="D52" s="795"/>
      <c r="E52" s="795"/>
      <c r="F52" s="795"/>
      <c r="G52" s="795"/>
      <c r="H52" s="795"/>
      <c r="I52" s="795"/>
      <c r="J52" s="795"/>
      <c r="K52" s="795"/>
      <c r="L52" s="795"/>
      <c r="M52" s="795"/>
      <c r="N52" s="795"/>
      <c r="O52" s="795"/>
      <c r="P52" s="795"/>
      <c r="Q52" s="795"/>
      <c r="R52" s="795"/>
      <c r="S52" s="795"/>
    </row>
    <row r="53" spans="2:19">
      <c r="B53" s="685" t="s">
        <v>990</v>
      </c>
      <c r="C53" s="795"/>
      <c r="D53" s="795"/>
      <c r="E53" s="795">
        <f t="shared" ref="E53:S53" si="18">E59*12*AVERAGE(D50,E50)</f>
        <v>3796.3636363636369</v>
      </c>
      <c r="F53" s="795">
        <f t="shared" si="18"/>
        <v>5427.8509090909074</v>
      </c>
      <c r="G53" s="795">
        <f t="shared" si="18"/>
        <v>6279.7710436363623</v>
      </c>
      <c r="H53" s="795">
        <f t="shared" si="18"/>
        <v>6945.5762926199995</v>
      </c>
      <c r="I53" s="795">
        <f t="shared" si="18"/>
        <v>7511.6407604685301</v>
      </c>
      <c r="J53" s="795">
        <f t="shared" si="18"/>
        <v>8123.839482446715</v>
      </c>
      <c r="K53" s="795">
        <f t="shared" si="18"/>
        <v>8785.9324002661251</v>
      </c>
      <c r="L53" s="795">
        <f t="shared" si="18"/>
        <v>9501.9858908878123</v>
      </c>
      <c r="M53" s="795">
        <f t="shared" si="18"/>
        <v>10276.397740995169</v>
      </c>
      <c r="N53" s="795">
        <f t="shared" si="18"/>
        <v>11113.924156886276</v>
      </c>
      <c r="O53" s="795">
        <f t="shared" si="18"/>
        <v>12019.708975672507</v>
      </c>
      <c r="P53" s="795">
        <f t="shared" si="18"/>
        <v>12999.315257189819</v>
      </c>
      <c r="Q53" s="795">
        <f t="shared" si="18"/>
        <v>14058.75945065079</v>
      </c>
      <c r="R53" s="795">
        <f t="shared" si="18"/>
        <v>15204.548345878829</v>
      </c>
      <c r="S53" s="795">
        <f t="shared" si="18"/>
        <v>16443.71903606796</v>
      </c>
    </row>
    <row r="54" spans="2:19">
      <c r="C54" s="795"/>
      <c r="D54" s="795"/>
      <c r="E54" s="795"/>
      <c r="F54" s="795"/>
      <c r="G54" s="795"/>
      <c r="H54" s="795"/>
      <c r="I54" s="795"/>
      <c r="J54" s="795"/>
      <c r="K54" s="795"/>
      <c r="L54" s="795"/>
      <c r="M54" s="795"/>
      <c r="N54" s="795"/>
      <c r="O54" s="795"/>
      <c r="P54" s="795"/>
      <c r="Q54" s="795"/>
      <c r="R54" s="795"/>
      <c r="S54" s="795"/>
    </row>
    <row r="55" spans="2:19">
      <c r="B55" s="685" t="s">
        <v>991</v>
      </c>
      <c r="C55" s="795"/>
      <c r="D55" s="795"/>
      <c r="E55" s="919">
        <v>1</v>
      </c>
      <c r="F55" s="915">
        <f t="shared" ref="F55:N55" si="19">(1+F58)*F59</f>
        <v>1.1875</v>
      </c>
      <c r="G55" s="915">
        <f t="shared" si="19"/>
        <v>1.223125</v>
      </c>
      <c r="H55" s="915">
        <f t="shared" si="19"/>
        <v>1.25981875</v>
      </c>
      <c r="I55" s="915">
        <f t="shared" si="19"/>
        <v>1.2976133125</v>
      </c>
      <c r="J55" s="915">
        <f t="shared" si="19"/>
        <v>1.336541711875</v>
      </c>
      <c r="K55" s="915">
        <f t="shared" si="19"/>
        <v>1.37663796323125</v>
      </c>
      <c r="L55" s="915">
        <f t="shared" si="19"/>
        <v>1.4179371021281875</v>
      </c>
      <c r="M55" s="915">
        <f t="shared" si="19"/>
        <v>1.460475215192033</v>
      </c>
      <c r="N55" s="915">
        <f t="shared" si="19"/>
        <v>1.5042894716477941</v>
      </c>
      <c r="O55" s="915">
        <f>(1+O58)*O59</f>
        <v>1.5494181557972282</v>
      </c>
      <c r="P55" s="915">
        <f>(1+P58)*P59</f>
        <v>1.595900700471145</v>
      </c>
      <c r="Q55" s="915">
        <f>(1+Q58)*Q59</f>
        <v>1.6437777214852796</v>
      </c>
      <c r="R55" s="915">
        <f>(1+R58)*R59</f>
        <v>1.693091053129838</v>
      </c>
      <c r="S55" s="915">
        <f>(1+S58)*S59</f>
        <v>1.7438837847237332</v>
      </c>
    </row>
    <row r="56" spans="2:19">
      <c r="B56" s="685" t="s">
        <v>192</v>
      </c>
      <c r="C56" s="795"/>
      <c r="D56" s="795"/>
      <c r="E56" s="795"/>
      <c r="F56" s="789">
        <f>F55/E55-1</f>
        <v>0.1875</v>
      </c>
      <c r="G56" s="789">
        <f t="shared" ref="G56:S56" si="20">G55/F55-1</f>
        <v>3.0000000000000027E-2</v>
      </c>
      <c r="H56" s="789">
        <f t="shared" si="20"/>
        <v>3.0000000000000027E-2</v>
      </c>
      <c r="I56" s="789">
        <f t="shared" si="20"/>
        <v>3.0000000000000027E-2</v>
      </c>
      <c r="J56" s="789">
        <f t="shared" si="20"/>
        <v>3.0000000000000027E-2</v>
      </c>
      <c r="K56" s="789">
        <f t="shared" si="20"/>
        <v>3.0000000000000027E-2</v>
      </c>
      <c r="L56" s="789">
        <f t="shared" si="20"/>
        <v>3.0000000000000027E-2</v>
      </c>
      <c r="M56" s="789">
        <f t="shared" si="20"/>
        <v>3.0000000000000027E-2</v>
      </c>
      <c r="N56" s="789">
        <f t="shared" si="20"/>
        <v>3.0000000000000027E-2</v>
      </c>
      <c r="O56" s="789">
        <f t="shared" si="20"/>
        <v>3.0000000000000249E-2</v>
      </c>
      <c r="P56" s="789">
        <f t="shared" si="20"/>
        <v>3.0000000000000027E-2</v>
      </c>
      <c r="Q56" s="789">
        <f t="shared" si="20"/>
        <v>3.0000000000000249E-2</v>
      </c>
      <c r="R56" s="789">
        <f t="shared" si="20"/>
        <v>3.0000000000000027E-2</v>
      </c>
      <c r="S56" s="789">
        <f t="shared" si="20"/>
        <v>3.0000000000000027E-2</v>
      </c>
    </row>
    <row r="57" spans="2:19">
      <c r="C57" s="795"/>
      <c r="D57" s="795"/>
      <c r="E57" s="795"/>
      <c r="F57" s="918"/>
      <c r="G57" s="795"/>
      <c r="H57" s="795"/>
      <c r="I57" s="795"/>
      <c r="J57" s="795"/>
      <c r="K57" s="795"/>
      <c r="L57" s="795"/>
      <c r="M57" s="795"/>
      <c r="N57" s="795"/>
      <c r="O57" s="795"/>
      <c r="P57" s="795"/>
      <c r="Q57" s="795"/>
      <c r="R57" s="795"/>
      <c r="S57" s="795"/>
    </row>
    <row r="58" spans="2:19">
      <c r="B58" s="685" t="s">
        <v>992</v>
      </c>
      <c r="C58" s="795"/>
      <c r="D58" s="795"/>
      <c r="E58" s="918">
        <f>E55/E59-1</f>
        <v>-0.375</v>
      </c>
      <c r="F58" s="918">
        <f>E58</f>
        <v>-0.375</v>
      </c>
      <c r="G58" s="918">
        <f t="shared" ref="G58:S58" si="21">F58</f>
        <v>-0.375</v>
      </c>
      <c r="H58" s="918">
        <f t="shared" si="21"/>
        <v>-0.375</v>
      </c>
      <c r="I58" s="918">
        <f t="shared" si="21"/>
        <v>-0.375</v>
      </c>
      <c r="J58" s="918">
        <f t="shared" si="21"/>
        <v>-0.375</v>
      </c>
      <c r="K58" s="918">
        <f t="shared" si="21"/>
        <v>-0.375</v>
      </c>
      <c r="L58" s="918">
        <f t="shared" si="21"/>
        <v>-0.375</v>
      </c>
      <c r="M58" s="918">
        <f t="shared" si="21"/>
        <v>-0.375</v>
      </c>
      <c r="N58" s="918">
        <f t="shared" si="21"/>
        <v>-0.375</v>
      </c>
      <c r="O58" s="918">
        <f t="shared" si="21"/>
        <v>-0.375</v>
      </c>
      <c r="P58" s="918">
        <f t="shared" si="21"/>
        <v>-0.375</v>
      </c>
      <c r="Q58" s="918">
        <f t="shared" si="21"/>
        <v>-0.375</v>
      </c>
      <c r="R58" s="918">
        <f t="shared" si="21"/>
        <v>-0.375</v>
      </c>
      <c r="S58" s="918">
        <f t="shared" si="21"/>
        <v>-0.375</v>
      </c>
    </row>
    <row r="59" spans="2:19">
      <c r="B59" s="685" t="s">
        <v>982</v>
      </c>
      <c r="C59" s="795"/>
      <c r="D59" s="795"/>
      <c r="E59" s="919">
        <v>1.6</v>
      </c>
      <c r="F59" s="916">
        <v>1.9</v>
      </c>
      <c r="G59" s="915">
        <f>(1+G60)*F59</f>
        <v>1.9569999999999999</v>
      </c>
      <c r="H59" s="915">
        <f t="shared" ref="H59:S59" si="22">(1+H60)*G59</f>
        <v>2.0157099999999999</v>
      </c>
      <c r="I59" s="915">
        <f t="shared" si="22"/>
        <v>2.0761813</v>
      </c>
      <c r="J59" s="915">
        <f t="shared" si="22"/>
        <v>2.1384667390000001</v>
      </c>
      <c r="K59" s="915">
        <f t="shared" si="22"/>
        <v>2.2026207411700001</v>
      </c>
      <c r="L59" s="915">
        <f t="shared" si="22"/>
        <v>2.2686993634051</v>
      </c>
      <c r="M59" s="915">
        <f t="shared" si="22"/>
        <v>2.3367603443072529</v>
      </c>
      <c r="N59" s="915">
        <f t="shared" si="22"/>
        <v>2.4068631546364707</v>
      </c>
      <c r="O59" s="915">
        <f t="shared" si="22"/>
        <v>2.4790690492755649</v>
      </c>
      <c r="P59" s="915">
        <f t="shared" si="22"/>
        <v>2.5534411207538321</v>
      </c>
      <c r="Q59" s="915">
        <f t="shared" si="22"/>
        <v>2.6300443543764471</v>
      </c>
      <c r="R59" s="915">
        <f t="shared" si="22"/>
        <v>2.7089456850077407</v>
      </c>
      <c r="S59" s="915">
        <f t="shared" si="22"/>
        <v>2.7902140555579731</v>
      </c>
    </row>
    <row r="60" spans="2:19">
      <c r="B60" s="685" t="s">
        <v>192</v>
      </c>
      <c r="C60" s="795"/>
      <c r="D60" s="795"/>
      <c r="E60" s="795"/>
      <c r="F60" s="921">
        <f>F59/E59-1</f>
        <v>0.18749999999999978</v>
      </c>
      <c r="G60" s="918">
        <v>0.03</v>
      </c>
      <c r="H60" s="918">
        <v>0.03</v>
      </c>
      <c r="I60" s="918">
        <v>0.03</v>
      </c>
      <c r="J60" s="918">
        <v>0.03</v>
      </c>
      <c r="K60" s="918">
        <v>0.03</v>
      </c>
      <c r="L60" s="918">
        <v>0.03</v>
      </c>
      <c r="M60" s="918">
        <v>0.03</v>
      </c>
      <c r="N60" s="918">
        <v>0.03</v>
      </c>
      <c r="O60" s="918">
        <v>0.03</v>
      </c>
      <c r="P60" s="918">
        <v>0.03</v>
      </c>
      <c r="Q60" s="918">
        <v>0.03</v>
      </c>
      <c r="R60" s="918">
        <v>0.03</v>
      </c>
      <c r="S60" s="918">
        <v>0.03</v>
      </c>
    </row>
    <row r="61" spans="2:19">
      <c r="C61" s="795"/>
      <c r="D61" s="795"/>
      <c r="E61" s="795"/>
      <c r="F61" s="918"/>
      <c r="G61" s="918"/>
      <c r="H61" s="795"/>
      <c r="I61" s="795"/>
      <c r="J61" s="795"/>
      <c r="K61" s="795"/>
      <c r="L61" s="795"/>
      <c r="M61" s="795"/>
      <c r="N61" s="795"/>
      <c r="O61" s="795"/>
      <c r="P61" s="795"/>
      <c r="Q61" s="795"/>
      <c r="R61" s="795"/>
      <c r="S61" s="795"/>
    </row>
    <row r="62" spans="2:19">
      <c r="B62" s="685" t="s">
        <v>993</v>
      </c>
      <c r="C62" s="795"/>
      <c r="D62" s="795"/>
      <c r="E62" s="795">
        <f t="shared" ref="E62:S62" si="23">E55*AVERAGE(D44,E44)*12</f>
        <v>30</v>
      </c>
      <c r="F62" s="795">
        <f t="shared" si="23"/>
        <v>85.5</v>
      </c>
      <c r="G62" s="795">
        <f t="shared" si="23"/>
        <v>124.75874999999999</v>
      </c>
      <c r="H62" s="795">
        <f>H55*AVERAGE(G44,H44)*12</f>
        <v>173.85498749999999</v>
      </c>
      <c r="I62" s="795">
        <f t="shared" si="23"/>
        <v>210.21335662499999</v>
      </c>
      <c r="J62" s="795">
        <f t="shared" si="23"/>
        <v>232.55825786625002</v>
      </c>
      <c r="K62" s="795">
        <f t="shared" si="23"/>
        <v>256.05466116101252</v>
      </c>
      <c r="L62" s="795">
        <f t="shared" si="23"/>
        <v>280.75154622138109</v>
      </c>
      <c r="M62" s="795">
        <f t="shared" si="23"/>
        <v>306.69979519032694</v>
      </c>
      <c r="N62" s="795">
        <f t="shared" si="23"/>
        <v>333.95226270581031</v>
      </c>
      <c r="O62" s="795">
        <f t="shared" si="23"/>
        <v>362.5638484565514</v>
      </c>
      <c r="P62" s="795">
        <f t="shared" si="23"/>
        <v>392.59157231590166</v>
      </c>
      <c r="Q62" s="795">
        <f t="shared" si="23"/>
        <v>424.09465214320215</v>
      </c>
      <c r="R62" s="795">
        <f t="shared" si="23"/>
        <v>457.13458434505623</v>
      </c>
      <c r="S62" s="795">
        <f t="shared" si="23"/>
        <v>491.77522729209272</v>
      </c>
    </row>
    <row r="63" spans="2:19">
      <c r="C63" s="795"/>
      <c r="D63" s="795"/>
      <c r="E63" s="795"/>
      <c r="F63" s="918"/>
      <c r="G63" s="918"/>
      <c r="H63" s="795"/>
      <c r="I63" s="795"/>
      <c r="J63" s="795"/>
      <c r="K63" s="795"/>
      <c r="L63" s="795"/>
      <c r="M63" s="795"/>
      <c r="N63" s="795"/>
      <c r="O63" s="795"/>
      <c r="P63" s="795"/>
      <c r="Q63" s="795"/>
      <c r="R63" s="795"/>
      <c r="S63" s="795"/>
    </row>
    <row r="64" spans="2:19">
      <c r="B64" s="804" t="s">
        <v>994</v>
      </c>
      <c r="C64" s="804">
        <f t="shared" ref="C64:N64" si="24">C2</f>
        <v>2019</v>
      </c>
      <c r="D64" s="804">
        <f t="shared" si="24"/>
        <v>2020</v>
      </c>
      <c r="E64" s="804">
        <f t="shared" si="24"/>
        <v>2021</v>
      </c>
      <c r="F64" s="804">
        <f t="shared" si="24"/>
        <v>2022</v>
      </c>
      <c r="G64" s="804">
        <f t="shared" si="24"/>
        <v>2023</v>
      </c>
      <c r="H64" s="804">
        <f t="shared" si="24"/>
        <v>2024</v>
      </c>
      <c r="I64" s="804">
        <f t="shared" si="24"/>
        <v>2025</v>
      </c>
      <c r="J64" s="804">
        <f t="shared" si="24"/>
        <v>2026</v>
      </c>
      <c r="K64" s="804">
        <f t="shared" si="24"/>
        <v>2027</v>
      </c>
      <c r="L64" s="804">
        <f t="shared" si="24"/>
        <v>2028</v>
      </c>
      <c r="M64" s="804">
        <f t="shared" si="24"/>
        <v>2029</v>
      </c>
      <c r="N64" s="804">
        <f t="shared" si="24"/>
        <v>2030</v>
      </c>
      <c r="O64" s="804">
        <f>O2</f>
        <v>2031</v>
      </c>
      <c r="P64" s="804">
        <f>P2</f>
        <v>2032</v>
      </c>
      <c r="Q64" s="804">
        <f>Q2</f>
        <v>2033</v>
      </c>
      <c r="R64" s="804">
        <f>R2</f>
        <v>2034</v>
      </c>
      <c r="S64" s="804">
        <f>S2</f>
        <v>2035</v>
      </c>
    </row>
    <row r="65" spans="2:19" hidden="1" outlineLevel="1">
      <c r="B65" s="817" t="s">
        <v>995</v>
      </c>
      <c r="C65" s="922"/>
      <c r="D65" s="910">
        <v>490</v>
      </c>
      <c r="E65" s="922">
        <f>(1+E66)*D65</f>
        <v>588</v>
      </c>
      <c r="F65" s="922">
        <f>(1+F66)*E65</f>
        <v>646.80000000000007</v>
      </c>
      <c r="G65" s="922">
        <f>(1+G66)*F65</f>
        <v>711.48000000000013</v>
      </c>
      <c r="H65" s="922">
        <f>(1+H66)*G65</f>
        <v>782.62800000000016</v>
      </c>
      <c r="I65" s="912">
        <v>850</v>
      </c>
      <c r="J65" s="922"/>
      <c r="K65" s="922"/>
      <c r="L65" s="922"/>
      <c r="M65" s="922"/>
      <c r="N65" s="922"/>
      <c r="O65" s="922"/>
      <c r="P65" s="922"/>
      <c r="Q65" s="922"/>
      <c r="R65" s="922"/>
      <c r="S65" s="922"/>
    </row>
    <row r="66" spans="2:19" hidden="1" outlineLevel="1">
      <c r="B66" s="685" t="s">
        <v>989</v>
      </c>
      <c r="C66" s="922"/>
      <c r="D66" s="922"/>
      <c r="E66" s="914">
        <v>0.2</v>
      </c>
      <c r="F66" s="914">
        <v>0.1</v>
      </c>
      <c r="G66" s="914">
        <v>0.1</v>
      </c>
      <c r="H66" s="914">
        <v>0.1</v>
      </c>
      <c r="I66" s="923">
        <f>I65/H65-1</f>
        <v>8.6084321031192124E-2</v>
      </c>
      <c r="J66" s="922"/>
      <c r="K66" s="922"/>
      <c r="L66" s="922"/>
      <c r="M66" s="922"/>
      <c r="N66" s="922"/>
      <c r="O66" s="922"/>
      <c r="P66" s="922"/>
      <c r="Q66" s="922"/>
      <c r="R66" s="922"/>
      <c r="S66" s="922"/>
    </row>
    <row r="67" spans="2:19" hidden="1" outlineLevel="1">
      <c r="B67" s="685" t="s">
        <v>996</v>
      </c>
      <c r="C67" s="795"/>
      <c r="D67" s="795"/>
      <c r="E67" s="795"/>
      <c r="F67" s="795"/>
      <c r="G67" s="795"/>
      <c r="H67" s="795"/>
      <c r="I67" s="795"/>
      <c r="J67" s="795"/>
      <c r="K67" s="795"/>
      <c r="L67" s="795"/>
      <c r="M67" s="795"/>
      <c r="N67" s="795"/>
      <c r="O67" s="795"/>
      <c r="P67" s="795"/>
      <c r="Q67" s="795"/>
      <c r="R67" s="795"/>
      <c r="S67" s="795"/>
    </row>
    <row r="68" spans="2:19" hidden="1" outlineLevel="1">
      <c r="C68" s="795"/>
      <c r="D68" s="795"/>
      <c r="E68" s="795"/>
      <c r="F68" s="795"/>
      <c r="G68" s="795"/>
      <c r="H68" s="795"/>
      <c r="I68" s="795"/>
      <c r="J68" s="795"/>
      <c r="K68" s="795"/>
      <c r="L68" s="795"/>
      <c r="M68" s="795"/>
      <c r="N68" s="795"/>
      <c r="O68" s="795"/>
      <c r="P68" s="795"/>
      <c r="Q68" s="795"/>
      <c r="R68" s="795"/>
      <c r="S68" s="795"/>
    </row>
    <row r="69" spans="2:19" outlineLevel="1">
      <c r="C69" s="795"/>
      <c r="D69" s="795"/>
      <c r="E69" s="795"/>
      <c r="F69" s="795"/>
      <c r="G69" s="795"/>
      <c r="H69" s="795"/>
      <c r="I69" s="795"/>
      <c r="J69" s="795"/>
      <c r="K69" s="795"/>
      <c r="L69" s="795"/>
      <c r="M69" s="795"/>
      <c r="N69" s="795"/>
      <c r="O69" s="795"/>
      <c r="P69" s="795"/>
      <c r="Q69" s="795"/>
      <c r="R69" s="795"/>
      <c r="S69" s="795"/>
    </row>
    <row r="70" spans="2:19" outlineLevel="1">
      <c r="B70" s="788" t="s">
        <v>955</v>
      </c>
      <c r="C70" s="795"/>
      <c r="D70" s="795"/>
      <c r="E70" s="795"/>
      <c r="F70" s="795"/>
      <c r="G70" s="795"/>
      <c r="H70" s="795"/>
      <c r="I70" s="795"/>
      <c r="J70" s="795"/>
      <c r="K70" s="795"/>
      <c r="L70" s="795"/>
      <c r="M70" s="795"/>
      <c r="N70" s="795"/>
      <c r="O70" s="795"/>
      <c r="P70" s="795"/>
      <c r="Q70" s="795"/>
      <c r="R70" s="795"/>
      <c r="S70" s="795"/>
    </row>
    <row r="71" spans="2:19">
      <c r="B71" s="685" t="s">
        <v>997</v>
      </c>
      <c r="C71" s="795">
        <f>D71-D72</f>
        <v>45</v>
      </c>
      <c r="D71" s="910">
        <v>53</v>
      </c>
      <c r="E71" s="795">
        <f>(D71+F71)/2</f>
        <v>60.9</v>
      </c>
      <c r="F71" s="910">
        <v>68.8</v>
      </c>
      <c r="G71" s="795">
        <f>($J$71-$F$71)/4+F71</f>
        <v>84.35</v>
      </c>
      <c r="H71" s="795">
        <f>($J$71-$F$71)/4+G71</f>
        <v>99.899999999999991</v>
      </c>
      <c r="I71" s="795">
        <f>($J$71-$F$71)/4+H71</f>
        <v>115.44999999999999</v>
      </c>
      <c r="J71" s="910">
        <v>131</v>
      </c>
      <c r="K71" s="795">
        <f t="shared" ref="K71:S71" si="25">J71+K72</f>
        <v>143</v>
      </c>
      <c r="L71" s="795">
        <f t="shared" si="25"/>
        <v>153</v>
      </c>
      <c r="M71" s="795">
        <f t="shared" si="25"/>
        <v>163</v>
      </c>
      <c r="N71" s="795">
        <f t="shared" si="25"/>
        <v>173</v>
      </c>
      <c r="O71" s="795">
        <f t="shared" si="25"/>
        <v>183</v>
      </c>
      <c r="P71" s="795">
        <f t="shared" si="25"/>
        <v>193</v>
      </c>
      <c r="Q71" s="795">
        <f t="shared" si="25"/>
        <v>203</v>
      </c>
      <c r="R71" s="795">
        <f t="shared" si="25"/>
        <v>213</v>
      </c>
      <c r="S71" s="795">
        <f t="shared" si="25"/>
        <v>223</v>
      </c>
    </row>
    <row r="72" spans="2:19">
      <c r="B72" s="685" t="s">
        <v>587</v>
      </c>
      <c r="C72" s="795"/>
      <c r="D72" s="834">
        <v>8</v>
      </c>
      <c r="E72" s="795">
        <f t="shared" ref="E72:J72" si="26">E71-D71</f>
        <v>7.8999999999999986</v>
      </c>
      <c r="F72" s="795">
        <f t="shared" si="26"/>
        <v>7.8999999999999986</v>
      </c>
      <c r="G72" s="795">
        <f t="shared" si="26"/>
        <v>15.549999999999997</v>
      </c>
      <c r="H72" s="795">
        <f t="shared" si="26"/>
        <v>15.549999999999997</v>
      </c>
      <c r="I72" s="795">
        <f t="shared" si="26"/>
        <v>15.549999999999997</v>
      </c>
      <c r="J72" s="795">
        <f t="shared" si="26"/>
        <v>15.550000000000011</v>
      </c>
      <c r="K72" s="834">
        <v>12</v>
      </c>
      <c r="L72" s="834">
        <v>10</v>
      </c>
      <c r="M72" s="834">
        <v>10</v>
      </c>
      <c r="N72" s="834">
        <v>10</v>
      </c>
      <c r="O72" s="834">
        <v>10</v>
      </c>
      <c r="P72" s="834">
        <v>10</v>
      </c>
      <c r="Q72" s="834">
        <v>10</v>
      </c>
      <c r="R72" s="834">
        <v>10</v>
      </c>
      <c r="S72" s="834">
        <v>10</v>
      </c>
    </row>
    <row r="73" spans="2:19">
      <c r="B73" s="924" t="s">
        <v>998</v>
      </c>
      <c r="C73" s="795"/>
      <c r="D73" s="795"/>
      <c r="E73" s="789"/>
      <c r="F73" s="789"/>
      <c r="G73" s="789"/>
      <c r="H73" s="789"/>
      <c r="I73" s="789"/>
      <c r="J73" s="795"/>
      <c r="K73" s="795"/>
      <c r="L73" s="795"/>
      <c r="M73" s="795"/>
      <c r="N73" s="795"/>
      <c r="O73" s="795"/>
      <c r="P73" s="795"/>
      <c r="Q73" s="795"/>
      <c r="R73" s="795"/>
      <c r="S73" s="795"/>
    </row>
    <row r="74" spans="2:19">
      <c r="C74" s="795"/>
      <c r="D74" s="795"/>
      <c r="E74" s="795"/>
      <c r="F74" s="795"/>
      <c r="G74" s="795"/>
      <c r="H74" s="795"/>
      <c r="I74" s="795"/>
      <c r="J74" s="795"/>
      <c r="K74" s="795"/>
      <c r="L74" s="795"/>
      <c r="M74" s="795"/>
      <c r="N74" s="795"/>
      <c r="O74" s="795"/>
      <c r="P74" s="795"/>
      <c r="Q74" s="795"/>
      <c r="R74" s="795"/>
      <c r="S74" s="795"/>
    </row>
    <row r="75" spans="2:19">
      <c r="B75" s="924" t="s">
        <v>999</v>
      </c>
      <c r="C75" s="795"/>
      <c r="D75" s="795"/>
      <c r="E75" s="910">
        <v>36</v>
      </c>
      <c r="F75" s="795">
        <f>($J$75-$E$75)/5+E75</f>
        <v>38.494</v>
      </c>
      <c r="G75" s="795">
        <f>($J$75-$E$75)/5+F75</f>
        <v>40.988</v>
      </c>
      <c r="H75" s="795">
        <f>($J$75-$E$75)/5+G75</f>
        <v>43.481999999999999</v>
      </c>
      <c r="I75" s="795">
        <f>($J$75-$E$75)/5+H75</f>
        <v>45.975999999999999</v>
      </c>
      <c r="J75" s="795">
        <f>J76*J71</f>
        <v>48.47</v>
      </c>
      <c r="K75" s="795"/>
      <c r="L75" s="795"/>
      <c r="M75" s="795"/>
      <c r="N75" s="795"/>
      <c r="O75" s="795"/>
      <c r="P75" s="795"/>
      <c r="Q75" s="795"/>
      <c r="R75" s="795"/>
      <c r="S75" s="795"/>
    </row>
    <row r="76" spans="2:19">
      <c r="B76" s="924" t="s">
        <v>592</v>
      </c>
      <c r="C76" s="795"/>
      <c r="D76" s="795"/>
      <c r="E76" s="789">
        <f>E75/E71</f>
        <v>0.59113300492610843</v>
      </c>
      <c r="F76" s="789">
        <f>F75/F71</f>
        <v>0.55950581395348842</v>
      </c>
      <c r="G76" s="789">
        <f>G75/G71</f>
        <v>0.48592768227623001</v>
      </c>
      <c r="H76" s="789">
        <f>H75/H71</f>
        <v>0.43525525525525527</v>
      </c>
      <c r="I76" s="789">
        <f>I75/I71</f>
        <v>0.39823300129926376</v>
      </c>
      <c r="J76" s="925">
        <v>0.37</v>
      </c>
      <c r="K76" s="795"/>
      <c r="L76" s="795"/>
      <c r="M76" s="795"/>
      <c r="N76" s="795"/>
      <c r="O76" s="795"/>
      <c r="P76" s="795"/>
      <c r="Q76" s="795"/>
      <c r="R76" s="795"/>
      <c r="S76" s="795"/>
    </row>
    <row r="77" spans="2:19">
      <c r="B77" s="924"/>
      <c r="C77" s="795"/>
      <c r="D77" s="795"/>
      <c r="E77" s="789"/>
      <c r="F77" s="789"/>
      <c r="G77" s="789"/>
      <c r="H77" s="789"/>
      <c r="I77" s="789"/>
      <c r="J77" s="925"/>
      <c r="K77" s="795"/>
      <c r="L77" s="795"/>
      <c r="M77" s="795"/>
      <c r="N77" s="795"/>
      <c r="O77" s="795"/>
      <c r="P77" s="795"/>
      <c r="Q77" s="795"/>
      <c r="R77" s="795"/>
      <c r="S77" s="795"/>
    </row>
    <row r="78" spans="2:19">
      <c r="B78" s="685" t="s">
        <v>1000</v>
      </c>
      <c r="C78" s="795">
        <f t="shared" ref="C78:N78" si="27">C79*C71</f>
        <v>33.75</v>
      </c>
      <c r="D78" s="795">
        <f t="shared" si="27"/>
        <v>39.75</v>
      </c>
      <c r="E78" s="795">
        <f t="shared" si="27"/>
        <v>45.674999999999997</v>
      </c>
      <c r="F78" s="795">
        <f t="shared" si="27"/>
        <v>51.599999999999994</v>
      </c>
      <c r="G78" s="795">
        <f t="shared" si="27"/>
        <v>63.262499999999996</v>
      </c>
      <c r="H78" s="795">
        <f t="shared" si="27"/>
        <v>74.924999999999997</v>
      </c>
      <c r="I78" s="795">
        <f t="shared" si="27"/>
        <v>86.587499999999991</v>
      </c>
      <c r="J78" s="795">
        <f t="shared" si="27"/>
        <v>98.25</v>
      </c>
      <c r="K78" s="795">
        <f t="shared" si="27"/>
        <v>107.25</v>
      </c>
      <c r="L78" s="795">
        <f t="shared" si="27"/>
        <v>114.75</v>
      </c>
      <c r="M78" s="795">
        <f t="shared" si="27"/>
        <v>122.25</v>
      </c>
      <c r="N78" s="795">
        <f t="shared" si="27"/>
        <v>129.75</v>
      </c>
      <c r="O78" s="795">
        <f>O79*O71</f>
        <v>137.25</v>
      </c>
      <c r="P78" s="795">
        <f>P79*P71</f>
        <v>144.75</v>
      </c>
      <c r="Q78" s="795">
        <f>Q79*Q71</f>
        <v>152.25</v>
      </c>
      <c r="R78" s="795">
        <f>R79*R71</f>
        <v>159.75</v>
      </c>
      <c r="S78" s="795">
        <f>S79*S71</f>
        <v>167.25</v>
      </c>
    </row>
    <row r="79" spans="2:19">
      <c r="B79" s="685" t="s">
        <v>1001</v>
      </c>
      <c r="C79" s="789">
        <f>D79</f>
        <v>0.75</v>
      </c>
      <c r="D79" s="925">
        <v>0.75</v>
      </c>
      <c r="E79" s="918">
        <f t="shared" ref="E79:S79" si="28">D79</f>
        <v>0.75</v>
      </c>
      <c r="F79" s="918">
        <f t="shared" si="28"/>
        <v>0.75</v>
      </c>
      <c r="G79" s="918">
        <f t="shared" si="28"/>
        <v>0.75</v>
      </c>
      <c r="H79" s="918">
        <f t="shared" si="28"/>
        <v>0.75</v>
      </c>
      <c r="I79" s="918">
        <f t="shared" si="28"/>
        <v>0.75</v>
      </c>
      <c r="J79" s="918">
        <f t="shared" si="28"/>
        <v>0.75</v>
      </c>
      <c r="K79" s="918">
        <f t="shared" si="28"/>
        <v>0.75</v>
      </c>
      <c r="L79" s="918">
        <f t="shared" si="28"/>
        <v>0.75</v>
      </c>
      <c r="M79" s="918">
        <f t="shared" si="28"/>
        <v>0.75</v>
      </c>
      <c r="N79" s="918">
        <f t="shared" si="28"/>
        <v>0.75</v>
      </c>
      <c r="O79" s="918">
        <f t="shared" si="28"/>
        <v>0.75</v>
      </c>
      <c r="P79" s="918">
        <f t="shared" si="28"/>
        <v>0.75</v>
      </c>
      <c r="Q79" s="918">
        <f t="shared" si="28"/>
        <v>0.75</v>
      </c>
      <c r="R79" s="918">
        <f t="shared" si="28"/>
        <v>0.75</v>
      </c>
      <c r="S79" s="918">
        <f t="shared" si="28"/>
        <v>0.75</v>
      </c>
    </row>
    <row r="80" spans="2:19">
      <c r="C80" s="795"/>
      <c r="D80" s="795"/>
      <c r="E80" s="795"/>
      <c r="F80" s="795"/>
      <c r="G80" s="795"/>
      <c r="H80" s="795"/>
      <c r="I80" s="795"/>
      <c r="J80" s="795"/>
      <c r="K80" s="795"/>
      <c r="L80" s="795"/>
      <c r="M80" s="795"/>
      <c r="N80" s="795"/>
      <c r="O80" s="795"/>
      <c r="P80" s="795"/>
      <c r="Q80" s="795"/>
      <c r="R80" s="795"/>
      <c r="S80" s="795"/>
    </row>
    <row r="81" spans="2:19">
      <c r="B81" s="685" t="s">
        <v>1002</v>
      </c>
      <c r="C81" s="795"/>
      <c r="D81" s="910">
        <f>660-220</f>
        <v>440</v>
      </c>
      <c r="E81" s="795">
        <f t="shared" ref="E81:S81" si="29">(1+E82)*D81</f>
        <v>448.8</v>
      </c>
      <c r="F81" s="795">
        <f t="shared" si="29"/>
        <v>457.77600000000001</v>
      </c>
      <c r="G81" s="795">
        <f t="shared" si="29"/>
        <v>466.93152000000003</v>
      </c>
      <c r="H81" s="795">
        <f t="shared" si="29"/>
        <v>476.27015040000003</v>
      </c>
      <c r="I81" s="795">
        <f t="shared" si="29"/>
        <v>485.79555340800005</v>
      </c>
      <c r="J81" s="795">
        <f t="shared" si="29"/>
        <v>495.51146447616003</v>
      </c>
      <c r="K81" s="795">
        <f t="shared" si="29"/>
        <v>505.42169376568324</v>
      </c>
      <c r="L81" s="795">
        <f t="shared" si="29"/>
        <v>515.53012764099697</v>
      </c>
      <c r="M81" s="795">
        <f t="shared" si="29"/>
        <v>525.84073019381697</v>
      </c>
      <c r="N81" s="795">
        <f t="shared" si="29"/>
        <v>536.35754479769332</v>
      </c>
      <c r="O81" s="795">
        <f t="shared" si="29"/>
        <v>547.08469569364718</v>
      </c>
      <c r="P81" s="795">
        <f t="shared" si="29"/>
        <v>558.02638960752017</v>
      </c>
      <c r="Q81" s="795">
        <f t="shared" si="29"/>
        <v>569.18691739967062</v>
      </c>
      <c r="R81" s="795">
        <f t="shared" si="29"/>
        <v>580.57065574766409</v>
      </c>
      <c r="S81" s="795">
        <f t="shared" si="29"/>
        <v>592.18206886261737</v>
      </c>
    </row>
    <row r="82" spans="2:19">
      <c r="B82" s="685" t="s">
        <v>989</v>
      </c>
      <c r="C82" s="795"/>
      <c r="D82" s="795"/>
      <c r="E82" s="918">
        <v>0.02</v>
      </c>
      <c r="F82" s="918">
        <v>0.02</v>
      </c>
      <c r="G82" s="918">
        <v>0.02</v>
      </c>
      <c r="H82" s="918">
        <v>0.02</v>
      </c>
      <c r="I82" s="918">
        <v>0.02</v>
      </c>
      <c r="J82" s="918">
        <v>0.02</v>
      </c>
      <c r="K82" s="918">
        <v>0.02</v>
      </c>
      <c r="L82" s="918">
        <v>0.02</v>
      </c>
      <c r="M82" s="918">
        <v>0.02</v>
      </c>
      <c r="N82" s="918">
        <v>0.02</v>
      </c>
      <c r="O82" s="918">
        <v>0.02</v>
      </c>
      <c r="P82" s="918">
        <v>0.02</v>
      </c>
      <c r="Q82" s="918">
        <v>0.02</v>
      </c>
      <c r="R82" s="918">
        <v>0.02</v>
      </c>
      <c r="S82" s="918">
        <v>0.02</v>
      </c>
    </row>
    <row r="83" spans="2:19">
      <c r="C83" s="795"/>
      <c r="D83" s="795"/>
      <c r="E83" s="795"/>
      <c r="F83" s="795"/>
      <c r="G83" s="795"/>
      <c r="H83" s="795"/>
      <c r="I83" s="795"/>
      <c r="J83" s="795"/>
      <c r="K83" s="795"/>
      <c r="L83" s="795"/>
      <c r="M83" s="795"/>
      <c r="N83" s="795"/>
      <c r="O83" s="795"/>
      <c r="P83" s="795"/>
      <c r="Q83" s="795"/>
      <c r="R83" s="795"/>
      <c r="S83" s="795"/>
    </row>
    <row r="84" spans="2:19">
      <c r="B84" s="685" t="s">
        <v>1003</v>
      </c>
      <c r="C84" s="795"/>
      <c r="D84" s="812">
        <f t="shared" ref="D84:N84" si="30">D78/D81</f>
        <v>9.0340909090909097E-2</v>
      </c>
      <c r="E84" s="812">
        <f t="shared" si="30"/>
        <v>0.10177139037433154</v>
      </c>
      <c r="F84" s="812">
        <f t="shared" si="30"/>
        <v>0.1127188843451819</v>
      </c>
      <c r="G84" s="812">
        <f t="shared" si="30"/>
        <v>0.13548560611200544</v>
      </c>
      <c r="H84" s="812">
        <f t="shared" si="30"/>
        <v>0.15731617851144675</v>
      </c>
      <c r="I84" s="812">
        <f t="shared" si="30"/>
        <v>0.17823856021851778</v>
      </c>
      <c r="J84" s="812">
        <f t="shared" si="30"/>
        <v>0.19827997340862127</v>
      </c>
      <c r="K84" s="812">
        <f t="shared" si="30"/>
        <v>0.21219904353714147</v>
      </c>
      <c r="L84" s="812">
        <f t="shared" si="30"/>
        <v>0.22258640930469381</v>
      </c>
      <c r="M84" s="812">
        <f t="shared" si="30"/>
        <v>0.23248484375666467</v>
      </c>
      <c r="N84" s="812">
        <f t="shared" si="30"/>
        <v>0.24190952706545762</v>
      </c>
      <c r="O84" s="812">
        <f>O78/O81</f>
        <v>0.25087523208080442</v>
      </c>
      <c r="P84" s="812">
        <f>P78/P81</f>
        <v>0.25939633446691979</v>
      </c>
      <c r="Q84" s="812">
        <f>Q78/Q81</f>
        <v>0.26748682259872353</v>
      </c>
      <c r="R84" s="812">
        <f>R78/R81</f>
        <v>0.27516030722267992</v>
      </c>
      <c r="S84" s="812">
        <f>S78/S81</f>
        <v>0.28243003088768126</v>
      </c>
    </row>
    <row r="85" spans="2:19">
      <c r="C85" s="795"/>
      <c r="D85" s="795"/>
      <c r="E85" s="795"/>
      <c r="F85" s="795"/>
      <c r="G85" s="795"/>
      <c r="H85" s="795"/>
      <c r="I85" s="795"/>
      <c r="J85" s="795"/>
      <c r="K85" s="795"/>
      <c r="L85" s="795"/>
      <c r="M85" s="795"/>
      <c r="N85" s="795"/>
      <c r="O85" s="795"/>
      <c r="P85" s="795"/>
      <c r="Q85" s="795"/>
      <c r="R85" s="795"/>
      <c r="S85" s="795"/>
    </row>
    <row r="86" spans="2:19">
      <c r="B86" s="685" t="s">
        <v>965</v>
      </c>
      <c r="C86" s="795"/>
      <c r="D86" s="915">
        <f t="shared" ref="D86:N86" si="31">(1-D87)*D20</f>
        <v>6.3869257950530036</v>
      </c>
      <c r="E86" s="915">
        <f t="shared" si="31"/>
        <v>6.5785335689045938</v>
      </c>
      <c r="F86" s="915">
        <f t="shared" si="31"/>
        <v>6.7758895759717319</v>
      </c>
      <c r="G86" s="915">
        <f t="shared" si="31"/>
        <v>6.9791662632508835</v>
      </c>
      <c r="H86" s="915">
        <f t="shared" si="31"/>
        <v>7.1885412511484104</v>
      </c>
      <c r="I86" s="915">
        <f t="shared" si="31"/>
        <v>7.404197488682863</v>
      </c>
      <c r="J86" s="915">
        <f t="shared" si="31"/>
        <v>7.6263234133433491</v>
      </c>
      <c r="K86" s="915">
        <f t="shared" si="31"/>
        <v>7.8551131157436487</v>
      </c>
      <c r="L86" s="915">
        <f t="shared" si="31"/>
        <v>8.0907665092159586</v>
      </c>
      <c r="M86" s="915">
        <f t="shared" si="31"/>
        <v>8.3334895044924373</v>
      </c>
      <c r="N86" s="915">
        <f t="shared" si="31"/>
        <v>8.5834941896272117</v>
      </c>
      <c r="O86" s="915">
        <f>(1-O87)*O20</f>
        <v>8.8409990153160276</v>
      </c>
      <c r="P86" s="915">
        <f>(1-P87)*P20</f>
        <v>9.1062289857755108</v>
      </c>
      <c r="Q86" s="915">
        <f>(1-Q87)*Q20</f>
        <v>9.3794158553487765</v>
      </c>
      <c r="R86" s="915">
        <f>(1-R87)*R20</f>
        <v>9.6607983310092393</v>
      </c>
      <c r="S86" s="915">
        <f>(1-S87)*S20</f>
        <v>9.9506222809395179</v>
      </c>
    </row>
    <row r="87" spans="2:19">
      <c r="B87" s="685" t="s">
        <v>1004</v>
      </c>
      <c r="C87" s="795"/>
      <c r="D87" s="918">
        <v>0.1</v>
      </c>
      <c r="E87" s="918">
        <f t="shared" ref="E87:S87" si="32">D87</f>
        <v>0.1</v>
      </c>
      <c r="F87" s="918">
        <f t="shared" si="32"/>
        <v>0.1</v>
      </c>
      <c r="G87" s="918">
        <f t="shared" si="32"/>
        <v>0.1</v>
      </c>
      <c r="H87" s="918">
        <f t="shared" si="32"/>
        <v>0.1</v>
      </c>
      <c r="I87" s="918">
        <f t="shared" si="32"/>
        <v>0.1</v>
      </c>
      <c r="J87" s="918">
        <f t="shared" si="32"/>
        <v>0.1</v>
      </c>
      <c r="K87" s="918">
        <f t="shared" si="32"/>
        <v>0.1</v>
      </c>
      <c r="L87" s="918">
        <f t="shared" si="32"/>
        <v>0.1</v>
      </c>
      <c r="M87" s="918">
        <f t="shared" si="32"/>
        <v>0.1</v>
      </c>
      <c r="N87" s="918">
        <f t="shared" si="32"/>
        <v>0.1</v>
      </c>
      <c r="O87" s="918">
        <f t="shared" si="32"/>
        <v>0.1</v>
      </c>
      <c r="P87" s="918">
        <f t="shared" si="32"/>
        <v>0.1</v>
      </c>
      <c r="Q87" s="918">
        <f t="shared" si="32"/>
        <v>0.1</v>
      </c>
      <c r="R87" s="918">
        <f t="shared" si="32"/>
        <v>0.1</v>
      </c>
      <c r="S87" s="918">
        <f t="shared" si="32"/>
        <v>0.1</v>
      </c>
    </row>
    <row r="88" spans="2:19">
      <c r="C88" s="795"/>
      <c r="D88" s="795"/>
      <c r="E88" s="795"/>
      <c r="F88" s="795"/>
      <c r="G88" s="795"/>
      <c r="H88" s="795"/>
      <c r="I88" s="795"/>
      <c r="J88" s="795"/>
      <c r="K88" s="795"/>
      <c r="L88" s="795"/>
      <c r="M88" s="795"/>
      <c r="N88" s="795"/>
      <c r="O88" s="795"/>
      <c r="P88" s="795"/>
      <c r="Q88" s="795"/>
      <c r="R88" s="795"/>
      <c r="S88" s="795"/>
    </row>
    <row r="89" spans="2:19" collapsed="1">
      <c r="B89" s="685" t="s">
        <v>1005</v>
      </c>
      <c r="C89" s="795"/>
      <c r="D89" s="926">
        <f t="shared" ref="D89:S89" si="33">D86*AVERAGE(C78,D78)*12</f>
        <v>2816.6342756183744</v>
      </c>
      <c r="E89" s="926">
        <f t="shared" si="33"/>
        <v>3371.8273807420492</v>
      </c>
      <c r="F89" s="926">
        <f t="shared" si="33"/>
        <v>3954.747951015901</v>
      </c>
      <c r="G89" s="926">
        <f t="shared" si="33"/>
        <v>4809.8669094759261</v>
      </c>
      <c r="H89" s="926">
        <f t="shared" si="33"/>
        <v>5960.1992648584255</v>
      </c>
      <c r="I89" s="926">
        <f t="shared" si="33"/>
        <v>7175.2226813453453</v>
      </c>
      <c r="J89" s="926">
        <f t="shared" si="33"/>
        <v>8457.7833234831069</v>
      </c>
      <c r="K89" s="926">
        <f t="shared" si="33"/>
        <v>9685.3544717119184</v>
      </c>
      <c r="L89" s="926">
        <f t="shared" si="33"/>
        <v>10776.900990275657</v>
      </c>
      <c r="M89" s="926">
        <f t="shared" si="33"/>
        <v>11850.222075388245</v>
      </c>
      <c r="N89" s="926">
        <f t="shared" si="33"/>
        <v>12978.243214716344</v>
      </c>
      <c r="O89" s="926">
        <f t="shared" si="33"/>
        <v>14163.280422536276</v>
      </c>
      <c r="P89" s="926">
        <f t="shared" si="33"/>
        <v>15407.739443932163</v>
      </c>
      <c r="Q89" s="926">
        <f t="shared" si="33"/>
        <v>16714.11905423152</v>
      </c>
      <c r="R89" s="926">
        <f t="shared" si="33"/>
        <v>18085.014475649295</v>
      </c>
      <c r="S89" s="926">
        <f t="shared" si="33"/>
        <v>19523.120915203333</v>
      </c>
    </row>
    <row r="90" spans="2:19">
      <c r="C90" s="795"/>
      <c r="D90" s="795"/>
      <c r="E90" s="795"/>
      <c r="F90" s="795"/>
      <c r="G90" s="795"/>
      <c r="H90" s="795"/>
      <c r="I90" s="795"/>
      <c r="J90" s="795"/>
      <c r="K90" s="795"/>
      <c r="L90" s="795"/>
      <c r="M90" s="795"/>
      <c r="N90" s="795"/>
      <c r="O90" s="795"/>
      <c r="P90" s="795"/>
      <c r="Q90" s="795"/>
      <c r="R90" s="795"/>
      <c r="S90" s="795"/>
    </row>
    <row r="91" spans="2:19">
      <c r="B91" s="788" t="s">
        <v>967</v>
      </c>
      <c r="C91" s="795"/>
      <c r="D91" s="795"/>
      <c r="E91" s="795"/>
      <c r="F91" s="795"/>
      <c r="G91" s="795"/>
      <c r="H91" s="795"/>
      <c r="I91" s="795"/>
      <c r="J91" s="795"/>
      <c r="K91" s="795"/>
      <c r="L91" s="795"/>
      <c r="M91" s="795"/>
      <c r="N91" s="795"/>
      <c r="O91" s="795"/>
      <c r="P91" s="795"/>
      <c r="Q91" s="795"/>
      <c r="R91" s="795"/>
      <c r="S91" s="795"/>
    </row>
    <row r="92" spans="2:19">
      <c r="B92" s="685" t="s">
        <v>968</v>
      </c>
      <c r="C92" s="795"/>
      <c r="D92" s="795"/>
      <c r="E92" s="915">
        <f t="shared" ref="E92:N92" si="34">E93*E78</f>
        <v>0</v>
      </c>
      <c r="F92" s="915">
        <f t="shared" si="34"/>
        <v>0.10319999999999999</v>
      </c>
      <c r="G92" s="915">
        <f t="shared" si="34"/>
        <v>2.5305</v>
      </c>
      <c r="H92" s="915">
        <f t="shared" si="34"/>
        <v>3.1468500000000001</v>
      </c>
      <c r="I92" s="915">
        <f t="shared" si="34"/>
        <v>3.80985</v>
      </c>
      <c r="J92" s="915">
        <f t="shared" si="34"/>
        <v>4.5195000000000007</v>
      </c>
      <c r="K92" s="915">
        <f t="shared" si="34"/>
        <v>5.1480000000000006</v>
      </c>
      <c r="L92" s="915">
        <f t="shared" si="34"/>
        <v>5.7375000000000007</v>
      </c>
      <c r="M92" s="915">
        <f t="shared" si="34"/>
        <v>6.3570000000000011</v>
      </c>
      <c r="N92" s="915">
        <f t="shared" si="34"/>
        <v>7.0065000000000017</v>
      </c>
      <c r="O92" s="915">
        <f>O93*O78</f>
        <v>7.6860000000000017</v>
      </c>
      <c r="P92" s="915">
        <f>P93*P78</f>
        <v>8.395500000000002</v>
      </c>
      <c r="Q92" s="915">
        <f>Q93*Q78</f>
        <v>9.1350000000000033</v>
      </c>
      <c r="R92" s="915">
        <f>R93*R78</f>
        <v>9.9045000000000041</v>
      </c>
      <c r="S92" s="915">
        <f>S93*S78</f>
        <v>10.704000000000002</v>
      </c>
    </row>
    <row r="93" spans="2:19">
      <c r="B93" s="685" t="s">
        <v>1006</v>
      </c>
      <c r="C93" s="795"/>
      <c r="D93" s="795"/>
      <c r="E93" s="914">
        <v>0</v>
      </c>
      <c r="F93" s="914">
        <v>2E-3</v>
      </c>
      <c r="G93" s="914">
        <v>0.04</v>
      </c>
      <c r="H93" s="914">
        <f>G93+0.2%</f>
        <v>4.2000000000000003E-2</v>
      </c>
      <c r="I93" s="914">
        <f>H93+0.2%</f>
        <v>4.4000000000000004E-2</v>
      </c>
      <c r="J93" s="914">
        <f t="shared" ref="J93:S93" si="35">I93+0.2%</f>
        <v>4.6000000000000006E-2</v>
      </c>
      <c r="K93" s="914">
        <f t="shared" si="35"/>
        <v>4.8000000000000008E-2</v>
      </c>
      <c r="L93" s="914">
        <f t="shared" si="35"/>
        <v>5.000000000000001E-2</v>
      </c>
      <c r="M93" s="914">
        <f t="shared" si="35"/>
        <v>5.2000000000000011E-2</v>
      </c>
      <c r="N93" s="914">
        <f t="shared" si="35"/>
        <v>5.4000000000000013E-2</v>
      </c>
      <c r="O93" s="914">
        <f t="shared" si="35"/>
        <v>5.6000000000000015E-2</v>
      </c>
      <c r="P93" s="914">
        <f t="shared" si="35"/>
        <v>5.8000000000000017E-2</v>
      </c>
      <c r="Q93" s="914">
        <f t="shared" si="35"/>
        <v>6.0000000000000019E-2</v>
      </c>
      <c r="R93" s="914">
        <f t="shared" si="35"/>
        <v>6.200000000000002E-2</v>
      </c>
      <c r="S93" s="914">
        <f t="shared" si="35"/>
        <v>6.4000000000000015E-2</v>
      </c>
    </row>
    <row r="94" spans="2:19">
      <c r="C94" s="795"/>
      <c r="D94" s="795"/>
      <c r="E94" s="795"/>
      <c r="F94" s="795"/>
      <c r="G94" s="795"/>
      <c r="H94" s="795"/>
      <c r="I94" s="795"/>
      <c r="J94" s="795"/>
      <c r="K94" s="795"/>
      <c r="L94" s="795"/>
      <c r="M94" s="795"/>
      <c r="N94" s="795"/>
      <c r="O94" s="795"/>
      <c r="P94" s="795"/>
      <c r="Q94" s="795"/>
      <c r="R94" s="795"/>
      <c r="S94" s="795"/>
    </row>
    <row r="95" spans="2:19">
      <c r="B95" s="685" t="s">
        <v>970</v>
      </c>
      <c r="C95" s="795"/>
      <c r="D95" s="795"/>
      <c r="E95" s="915">
        <f t="shared" ref="E95:N95" si="36">(1-E96)*E86</f>
        <v>5.9206802120141342</v>
      </c>
      <c r="F95" s="915">
        <f t="shared" si="36"/>
        <v>6.0983006183745587</v>
      </c>
      <c r="G95" s="915">
        <f t="shared" si="36"/>
        <v>5.5833330106007075</v>
      </c>
      <c r="H95" s="915">
        <f t="shared" si="36"/>
        <v>5.7508330009187283</v>
      </c>
      <c r="I95" s="915">
        <f t="shared" si="36"/>
        <v>5.9233579909462906</v>
      </c>
      <c r="J95" s="915">
        <f t="shared" si="36"/>
        <v>6.10105873067468</v>
      </c>
      <c r="K95" s="915">
        <f t="shared" si="36"/>
        <v>6.2840904925949195</v>
      </c>
      <c r="L95" s="915">
        <f t="shared" si="36"/>
        <v>6.4726132073727669</v>
      </c>
      <c r="M95" s="915">
        <f t="shared" si="36"/>
        <v>6.6667916035939498</v>
      </c>
      <c r="N95" s="915">
        <f t="shared" si="36"/>
        <v>6.8667953517017697</v>
      </c>
      <c r="O95" s="915">
        <f>(1-O96)*O86</f>
        <v>7.0727992122528223</v>
      </c>
      <c r="P95" s="915">
        <f>(1-P96)*P86</f>
        <v>7.2849831886204086</v>
      </c>
      <c r="Q95" s="915">
        <f>(1-Q96)*Q86</f>
        <v>7.5035326842790218</v>
      </c>
      <c r="R95" s="915">
        <f>(1-R96)*R86</f>
        <v>7.7286386648073915</v>
      </c>
      <c r="S95" s="915">
        <f>(1-S96)*S86</f>
        <v>7.9604978247516147</v>
      </c>
    </row>
    <row r="96" spans="2:19">
      <c r="B96" s="685" t="s">
        <v>971</v>
      </c>
      <c r="C96" s="795"/>
      <c r="D96" s="795"/>
      <c r="E96" s="918">
        <v>0.1</v>
      </c>
      <c r="F96" s="789">
        <f>E96</f>
        <v>0.1</v>
      </c>
      <c r="G96" s="918">
        <v>0.2</v>
      </c>
      <c r="H96" s="918">
        <v>0.2</v>
      </c>
      <c r="I96" s="918">
        <v>0.2</v>
      </c>
      <c r="J96" s="918">
        <v>0.2</v>
      </c>
      <c r="K96" s="918">
        <v>0.2</v>
      </c>
      <c r="L96" s="918">
        <v>0.2</v>
      </c>
      <c r="M96" s="918">
        <v>0.2</v>
      </c>
      <c r="N96" s="918">
        <v>0.2</v>
      </c>
      <c r="O96" s="918">
        <v>0.2</v>
      </c>
      <c r="P96" s="918">
        <v>0.2</v>
      </c>
      <c r="Q96" s="918">
        <v>0.2</v>
      </c>
      <c r="R96" s="918">
        <v>0.2</v>
      </c>
      <c r="S96" s="918">
        <v>0.2</v>
      </c>
    </row>
    <row r="97" spans="2:19">
      <c r="C97" s="795"/>
      <c r="D97" s="795"/>
      <c r="E97" s="795"/>
      <c r="F97" s="795"/>
      <c r="G97" s="795"/>
      <c r="H97" s="795"/>
      <c r="I97" s="795"/>
      <c r="J97" s="795"/>
      <c r="K97" s="795"/>
      <c r="L97" s="795"/>
      <c r="M97" s="795"/>
      <c r="N97" s="795"/>
      <c r="O97" s="795"/>
      <c r="P97" s="795"/>
      <c r="Q97" s="795"/>
      <c r="R97" s="795"/>
      <c r="S97" s="795"/>
    </row>
    <row r="98" spans="2:19">
      <c r="B98" s="685" t="s">
        <v>972</v>
      </c>
      <c r="C98" s="795"/>
      <c r="D98" s="795"/>
      <c r="E98" s="795">
        <f t="shared" ref="E98:S98" si="37">E95*12*AVERAGE(D92,E92)</f>
        <v>0</v>
      </c>
      <c r="F98" s="795">
        <f t="shared" si="37"/>
        <v>3.7760677428975264</v>
      </c>
      <c r="G98" s="795">
        <f t="shared" si="37"/>
        <v>88.228944900114499</v>
      </c>
      <c r="H98" s="795">
        <f t="shared" si="37"/>
        <v>195.89695042659568</v>
      </c>
      <c r="I98" s="795">
        <f t="shared" si="37"/>
        <v>247.24214721369637</v>
      </c>
      <c r="J98" s="795">
        <f t="shared" si="37"/>
        <v>304.90712123007091</v>
      </c>
      <c r="K98" s="795">
        <f t="shared" si="37"/>
        <v>364.50866902296832</v>
      </c>
      <c r="L98" s="795">
        <f t="shared" si="37"/>
        <v>422.74578641313752</v>
      </c>
      <c r="M98" s="795">
        <f t="shared" si="37"/>
        <v>483.78906629800224</v>
      </c>
      <c r="N98" s="795">
        <f t="shared" si="37"/>
        <v>550.58651809479977</v>
      </c>
      <c r="O98" s="795">
        <f t="shared" si="37"/>
        <v>623.50261455614771</v>
      </c>
      <c r="P98" s="795">
        <f t="shared" si="37"/>
        <v>702.92074288679487</v>
      </c>
      <c r="Q98" s="795">
        <f t="shared" si="37"/>
        <v>789.24407833052044</v>
      </c>
      <c r="R98" s="795">
        <f t="shared" si="37"/>
        <v>882.89649515160238</v>
      </c>
      <c r="S98" s="795">
        <f t="shared" si="37"/>
        <v>984.32351652836235</v>
      </c>
    </row>
    <row r="100" spans="2:19">
      <c r="B100" s="788" t="s">
        <v>973</v>
      </c>
    </row>
    <row r="102" spans="2:19">
      <c r="B102" s="685" t="s">
        <v>1007</v>
      </c>
      <c r="E102" s="910">
        <v>1</v>
      </c>
      <c r="F102" s="915">
        <f t="shared" ref="F102:S102" si="38">E102+F103</f>
        <v>3</v>
      </c>
      <c r="G102" s="915">
        <f t="shared" si="38"/>
        <v>28</v>
      </c>
      <c r="H102" s="915">
        <f t="shared" si="38"/>
        <v>33</v>
      </c>
      <c r="I102" s="915">
        <f t="shared" si="38"/>
        <v>38</v>
      </c>
      <c r="J102" s="915">
        <f t="shared" si="38"/>
        <v>43</v>
      </c>
      <c r="K102" s="915">
        <f t="shared" si="38"/>
        <v>47</v>
      </c>
      <c r="L102" s="915">
        <f t="shared" si="38"/>
        <v>50</v>
      </c>
      <c r="M102" s="915">
        <f t="shared" si="38"/>
        <v>52</v>
      </c>
      <c r="N102" s="915">
        <f t="shared" si="38"/>
        <v>54</v>
      </c>
      <c r="O102" s="915">
        <f t="shared" si="38"/>
        <v>56</v>
      </c>
      <c r="P102" s="915">
        <f t="shared" si="38"/>
        <v>58</v>
      </c>
      <c r="Q102" s="915">
        <f t="shared" si="38"/>
        <v>60</v>
      </c>
      <c r="R102" s="915">
        <f t="shared" si="38"/>
        <v>62</v>
      </c>
      <c r="S102" s="915">
        <f t="shared" si="38"/>
        <v>64</v>
      </c>
    </row>
    <row r="103" spans="2:19">
      <c r="B103" s="685" t="s">
        <v>575</v>
      </c>
      <c r="F103" s="916">
        <v>2</v>
      </c>
      <c r="G103" s="916">
        <v>25</v>
      </c>
      <c r="H103" s="916">
        <v>5</v>
      </c>
      <c r="I103" s="916">
        <v>5</v>
      </c>
      <c r="J103" s="916">
        <v>5</v>
      </c>
      <c r="K103" s="916">
        <v>4</v>
      </c>
      <c r="L103" s="916">
        <v>3</v>
      </c>
      <c r="M103" s="916">
        <v>2</v>
      </c>
      <c r="N103" s="916">
        <v>2</v>
      </c>
      <c r="O103" s="916">
        <v>2</v>
      </c>
      <c r="P103" s="916">
        <v>2</v>
      </c>
      <c r="Q103" s="916">
        <v>2</v>
      </c>
      <c r="R103" s="916">
        <v>2</v>
      </c>
      <c r="S103" s="916">
        <v>2</v>
      </c>
    </row>
    <row r="105" spans="2:19">
      <c r="B105" s="685" t="s">
        <v>1008</v>
      </c>
      <c r="E105" s="814">
        <f>E102/E81</f>
        <v>2.2281639928698753E-3</v>
      </c>
      <c r="F105" s="814">
        <f t="shared" ref="F105:N105" si="39">F102/F81</f>
        <v>6.5534235084408095E-3</v>
      </c>
      <c r="G105" s="814">
        <f t="shared" si="39"/>
        <v>5.9965966743902831E-2</v>
      </c>
      <c r="H105" s="814">
        <f t="shared" si="39"/>
        <v>6.9288406951988568E-2</v>
      </c>
      <c r="I105" s="814">
        <f t="shared" si="39"/>
        <v>7.8222206303492733E-2</v>
      </c>
      <c r="J105" s="814">
        <f t="shared" si="39"/>
        <v>8.677902144092331E-2</v>
      </c>
      <c r="K105" s="814">
        <f t="shared" si="39"/>
        <v>9.2991655442849874E-2</v>
      </c>
      <c r="L105" s="814">
        <f t="shared" si="39"/>
        <v>9.6987542180694469E-2</v>
      </c>
      <c r="M105" s="814">
        <f t="shared" si="39"/>
        <v>9.8889258694041415E-2</v>
      </c>
      <c r="N105" s="814">
        <f t="shared" si="39"/>
        <v>0.10067910953013266</v>
      </c>
      <c r="O105" s="814">
        <f>O102/O81</f>
        <v>0.10236075043005499</v>
      </c>
      <c r="P105" s="814">
        <f>P102/P81</f>
        <v>0.1039377367812183</v>
      </c>
      <c r="Q105" s="814">
        <f>Q102/Q81</f>
        <v>0.10541352614728021</v>
      </c>
      <c r="R105" s="814">
        <f>R102/R81</f>
        <v>0.10679148073744073</v>
      </c>
      <c r="S105" s="814">
        <f>S102/S81</f>
        <v>0.10807486981651181</v>
      </c>
    </row>
    <row r="107" spans="2:19">
      <c r="B107" s="685" t="s">
        <v>1009</v>
      </c>
      <c r="E107" s="918">
        <v>0.25</v>
      </c>
      <c r="F107" s="918">
        <v>0.25</v>
      </c>
      <c r="G107" s="918">
        <v>0.25</v>
      </c>
      <c r="H107" s="918">
        <v>0.25</v>
      </c>
      <c r="I107" s="918">
        <v>0.25</v>
      </c>
      <c r="J107" s="918">
        <v>0.25</v>
      </c>
      <c r="K107" s="918">
        <v>0.25</v>
      </c>
      <c r="L107" s="918">
        <v>0.25</v>
      </c>
      <c r="M107" s="918">
        <v>0.25</v>
      </c>
      <c r="N107" s="918">
        <v>0.25</v>
      </c>
      <c r="O107" s="918">
        <v>0.25</v>
      </c>
      <c r="P107" s="918">
        <v>0.25</v>
      </c>
      <c r="Q107" s="918">
        <v>0.25</v>
      </c>
      <c r="R107" s="918">
        <v>0.25</v>
      </c>
      <c r="S107" s="918">
        <v>0.25</v>
      </c>
    </row>
    <row r="108" spans="2:19">
      <c r="B108" s="685" t="s">
        <v>1010</v>
      </c>
      <c r="E108" s="790">
        <f>(1-E107)*E55</f>
        <v>0.75</v>
      </c>
      <c r="F108" s="790">
        <f t="shared" ref="F108:N108" si="40">(1-F107)*F55</f>
        <v>0.890625</v>
      </c>
      <c r="G108" s="790">
        <f t="shared" si="40"/>
        <v>0.91734375000000001</v>
      </c>
      <c r="H108" s="790">
        <f t="shared" si="40"/>
        <v>0.94486406249999999</v>
      </c>
      <c r="I108" s="790">
        <f t="shared" si="40"/>
        <v>0.97320998437499995</v>
      </c>
      <c r="J108" s="790">
        <f t="shared" si="40"/>
        <v>1.00240628390625</v>
      </c>
      <c r="K108" s="790">
        <f t="shared" si="40"/>
        <v>1.0324784724234375</v>
      </c>
      <c r="L108" s="790">
        <f t="shared" si="40"/>
        <v>1.0634528265961407</v>
      </c>
      <c r="M108" s="790">
        <f t="shared" si="40"/>
        <v>1.0953564113940248</v>
      </c>
      <c r="N108" s="790">
        <f t="shared" si="40"/>
        <v>1.1282171037358455</v>
      </c>
      <c r="O108" s="790">
        <f>(1-O107)*O55</f>
        <v>1.162063616847921</v>
      </c>
      <c r="P108" s="790">
        <f>(1-P107)*P55</f>
        <v>1.1969255253533588</v>
      </c>
      <c r="Q108" s="790">
        <f>(1-Q107)*Q55</f>
        <v>1.2328332911139597</v>
      </c>
      <c r="R108" s="790">
        <f>(1-R107)*R55</f>
        <v>1.2698182898473784</v>
      </c>
      <c r="S108" s="790">
        <f>(1-S107)*S55</f>
        <v>1.3079128385427998</v>
      </c>
    </row>
    <row r="110" spans="2:19">
      <c r="B110" s="685" t="s">
        <v>1011</v>
      </c>
      <c r="E110" s="796">
        <f t="shared" ref="E110:S110" si="41">E108*12*AVERAGE(D102,E102)</f>
        <v>9</v>
      </c>
      <c r="F110" s="796">
        <f t="shared" si="41"/>
        <v>21.375</v>
      </c>
      <c r="G110" s="796">
        <f t="shared" si="41"/>
        <v>170.62593749999999</v>
      </c>
      <c r="H110" s="796">
        <f t="shared" si="41"/>
        <v>345.82024687500001</v>
      </c>
      <c r="I110" s="796">
        <f t="shared" si="41"/>
        <v>414.58745334374998</v>
      </c>
      <c r="J110" s="796">
        <f t="shared" si="41"/>
        <v>487.16945397843745</v>
      </c>
      <c r="K110" s="796">
        <f t="shared" si="41"/>
        <v>557.53837510865628</v>
      </c>
      <c r="L110" s="796">
        <f t="shared" si="41"/>
        <v>618.92954507895388</v>
      </c>
      <c r="M110" s="796">
        <f t="shared" si="41"/>
        <v>670.35812377314323</v>
      </c>
      <c r="N110" s="796">
        <f t="shared" si="41"/>
        <v>717.54607797599772</v>
      </c>
      <c r="O110" s="796">
        <f t="shared" si="41"/>
        <v>766.96198711962791</v>
      </c>
      <c r="P110" s="796">
        <f t="shared" si="41"/>
        <v>818.69705934169747</v>
      </c>
      <c r="Q110" s="796">
        <f t="shared" si="41"/>
        <v>872.84597010868345</v>
      </c>
      <c r="R110" s="796">
        <f t="shared" si="41"/>
        <v>929.50698816828105</v>
      </c>
      <c r="S110" s="796">
        <f t="shared" si="41"/>
        <v>988.78210593835672</v>
      </c>
    </row>
    <row r="111" spans="2:19">
      <c r="E111" s="796"/>
      <c r="F111" s="796"/>
      <c r="G111" s="796"/>
      <c r="H111" s="796"/>
      <c r="I111" s="796"/>
      <c r="J111" s="796"/>
      <c r="K111" s="796"/>
      <c r="L111" s="796"/>
      <c r="M111" s="796"/>
      <c r="N111" s="796"/>
      <c r="O111" s="796"/>
      <c r="P111" s="796"/>
      <c r="Q111" s="796"/>
      <c r="R111" s="796"/>
      <c r="S111" s="796"/>
    </row>
    <row r="112" spans="2:19">
      <c r="B112" s="804" t="s">
        <v>1012</v>
      </c>
      <c r="C112" s="804"/>
      <c r="D112" s="804"/>
      <c r="E112" s="804">
        <f>E119</f>
        <v>2021</v>
      </c>
      <c r="F112" s="804">
        <f t="shared" ref="F112:N112" si="42">F119</f>
        <v>2022</v>
      </c>
      <c r="G112" s="804">
        <f t="shared" si="42"/>
        <v>2023</v>
      </c>
      <c r="H112" s="804">
        <f t="shared" si="42"/>
        <v>2024</v>
      </c>
      <c r="I112" s="804">
        <f t="shared" si="42"/>
        <v>2025</v>
      </c>
      <c r="J112" s="804">
        <f t="shared" si="42"/>
        <v>2026</v>
      </c>
      <c r="K112" s="804">
        <f t="shared" si="42"/>
        <v>2027</v>
      </c>
      <c r="L112" s="804">
        <f t="shared" si="42"/>
        <v>2028</v>
      </c>
      <c r="M112" s="804">
        <f t="shared" si="42"/>
        <v>2029</v>
      </c>
      <c r="N112" s="804">
        <f t="shared" si="42"/>
        <v>2030</v>
      </c>
      <c r="O112" s="804">
        <f>O119</f>
        <v>2031</v>
      </c>
      <c r="P112" s="804">
        <f>P119</f>
        <v>2032</v>
      </c>
      <c r="Q112" s="804">
        <f>Q119</f>
        <v>2033</v>
      </c>
      <c r="R112" s="804">
        <f>R119</f>
        <v>2034</v>
      </c>
      <c r="S112" s="804">
        <f>S119</f>
        <v>2035</v>
      </c>
    </row>
    <row r="113" spans="2:19">
      <c r="B113" s="685" t="s">
        <v>1013</v>
      </c>
      <c r="E113" s="915">
        <f>E26</f>
        <v>0</v>
      </c>
      <c r="F113" s="915">
        <f t="shared" ref="F113:N113" si="43">F26</f>
        <v>0.36299999999999999</v>
      </c>
      <c r="G113" s="915">
        <f t="shared" si="43"/>
        <v>2.8725000000000001</v>
      </c>
      <c r="H113" s="915">
        <f t="shared" si="43"/>
        <v>3.4255000000000004</v>
      </c>
      <c r="I113" s="915">
        <f t="shared" si="43"/>
        <v>3.7169999999999996</v>
      </c>
      <c r="J113" s="915">
        <f t="shared" si="43"/>
        <v>3.9710000000000001</v>
      </c>
      <c r="K113" s="915">
        <f t="shared" si="43"/>
        <v>4.2300000000000004</v>
      </c>
      <c r="L113" s="915">
        <f t="shared" si="43"/>
        <v>4.28</v>
      </c>
      <c r="M113" s="915">
        <f t="shared" si="43"/>
        <v>4.33</v>
      </c>
      <c r="N113" s="915">
        <f t="shared" si="43"/>
        <v>4.38</v>
      </c>
      <c r="O113" s="915">
        <f>O26</f>
        <v>4.43</v>
      </c>
      <c r="P113" s="915">
        <f>P26</f>
        <v>4.4800000000000004</v>
      </c>
      <c r="Q113" s="915">
        <f>Q26</f>
        <v>4.53</v>
      </c>
      <c r="R113" s="915">
        <f>R26</f>
        <v>4.58</v>
      </c>
      <c r="S113" s="915">
        <f>S26</f>
        <v>4.63</v>
      </c>
    </row>
    <row r="114" spans="2:19">
      <c r="B114" s="685" t="s">
        <v>1014</v>
      </c>
      <c r="E114" s="915">
        <f>E92</f>
        <v>0</v>
      </c>
      <c r="F114" s="915">
        <f t="shared" ref="F114:N114" si="44">F92</f>
        <v>0.10319999999999999</v>
      </c>
      <c r="G114" s="915">
        <f t="shared" si="44"/>
        <v>2.5305</v>
      </c>
      <c r="H114" s="915">
        <f t="shared" si="44"/>
        <v>3.1468500000000001</v>
      </c>
      <c r="I114" s="915">
        <f t="shared" si="44"/>
        <v>3.80985</v>
      </c>
      <c r="J114" s="915">
        <f t="shared" si="44"/>
        <v>4.5195000000000007</v>
      </c>
      <c r="K114" s="915">
        <f t="shared" si="44"/>
        <v>5.1480000000000006</v>
      </c>
      <c r="L114" s="915">
        <f t="shared" si="44"/>
        <v>5.7375000000000007</v>
      </c>
      <c r="M114" s="915">
        <f t="shared" si="44"/>
        <v>6.3570000000000011</v>
      </c>
      <c r="N114" s="915">
        <f t="shared" si="44"/>
        <v>7.0065000000000017</v>
      </c>
      <c r="O114" s="915">
        <f>O92</f>
        <v>7.6860000000000017</v>
      </c>
      <c r="P114" s="915">
        <f>P92</f>
        <v>8.395500000000002</v>
      </c>
      <c r="Q114" s="915">
        <f>Q92</f>
        <v>9.1350000000000033</v>
      </c>
      <c r="R114" s="915">
        <f>R92</f>
        <v>9.9045000000000041</v>
      </c>
      <c r="S114" s="915">
        <f>S92</f>
        <v>10.704000000000002</v>
      </c>
    </row>
    <row r="115" spans="2:19">
      <c r="B115" s="685" t="s">
        <v>1015</v>
      </c>
      <c r="E115" s="795">
        <f>E38</f>
        <v>5</v>
      </c>
      <c r="F115" s="795">
        <f t="shared" ref="F115:N115" si="45">F38</f>
        <v>7</v>
      </c>
      <c r="G115" s="795">
        <f t="shared" si="45"/>
        <v>10</v>
      </c>
      <c r="H115" s="795">
        <f t="shared" si="45"/>
        <v>13</v>
      </c>
      <c r="I115" s="795">
        <f t="shared" si="45"/>
        <v>14</v>
      </c>
      <c r="J115" s="795">
        <f t="shared" si="45"/>
        <v>15</v>
      </c>
      <c r="K115" s="795">
        <f t="shared" si="45"/>
        <v>16</v>
      </c>
      <c r="L115" s="795">
        <f t="shared" si="45"/>
        <v>17</v>
      </c>
      <c r="M115" s="795">
        <f t="shared" si="45"/>
        <v>18</v>
      </c>
      <c r="N115" s="795">
        <f t="shared" si="45"/>
        <v>19</v>
      </c>
      <c r="O115" s="795">
        <f>O38</f>
        <v>20</v>
      </c>
      <c r="P115" s="795">
        <f>P38</f>
        <v>21</v>
      </c>
      <c r="Q115" s="795">
        <f>Q38</f>
        <v>22</v>
      </c>
      <c r="R115" s="795">
        <f>R38</f>
        <v>23</v>
      </c>
      <c r="S115" s="795">
        <f>S38</f>
        <v>24</v>
      </c>
    </row>
    <row r="116" spans="2:19">
      <c r="B116" s="743" t="s">
        <v>1016</v>
      </c>
      <c r="C116" s="743"/>
      <c r="D116" s="743"/>
      <c r="E116" s="927">
        <f>E102</f>
        <v>1</v>
      </c>
      <c r="F116" s="927">
        <f t="shared" ref="F116:N116" si="46">F102</f>
        <v>3</v>
      </c>
      <c r="G116" s="927">
        <f t="shared" si="46"/>
        <v>28</v>
      </c>
      <c r="H116" s="927">
        <f t="shared" si="46"/>
        <v>33</v>
      </c>
      <c r="I116" s="927">
        <f t="shared" si="46"/>
        <v>38</v>
      </c>
      <c r="J116" s="927">
        <f t="shared" si="46"/>
        <v>43</v>
      </c>
      <c r="K116" s="927">
        <f t="shared" si="46"/>
        <v>47</v>
      </c>
      <c r="L116" s="833">
        <f t="shared" si="46"/>
        <v>50</v>
      </c>
      <c r="M116" s="927">
        <f t="shared" si="46"/>
        <v>52</v>
      </c>
      <c r="N116" s="927">
        <f t="shared" si="46"/>
        <v>54</v>
      </c>
      <c r="O116" s="927">
        <f>O102</f>
        <v>56</v>
      </c>
      <c r="P116" s="927">
        <f>P102</f>
        <v>58</v>
      </c>
      <c r="Q116" s="927">
        <f>Q102</f>
        <v>60</v>
      </c>
      <c r="R116" s="927">
        <f>R102</f>
        <v>62</v>
      </c>
      <c r="S116" s="927">
        <f>S102</f>
        <v>64</v>
      </c>
    </row>
    <row r="117" spans="2:19">
      <c r="B117" s="817" t="s">
        <v>1017</v>
      </c>
      <c r="C117" s="817"/>
      <c r="D117" s="817"/>
      <c r="E117" s="818">
        <f>E113+E114+E115+E116</f>
        <v>6</v>
      </c>
      <c r="F117" s="818">
        <f t="shared" ref="F117:N117" si="47">F113+F114+F115+F116</f>
        <v>10.466200000000001</v>
      </c>
      <c r="G117" s="818">
        <f t="shared" si="47"/>
        <v>43.402999999999999</v>
      </c>
      <c r="H117" s="818">
        <f t="shared" si="47"/>
        <v>52.57235</v>
      </c>
      <c r="I117" s="818">
        <f t="shared" si="47"/>
        <v>59.526849999999996</v>
      </c>
      <c r="J117" s="818">
        <f t="shared" si="47"/>
        <v>66.490499999999997</v>
      </c>
      <c r="K117" s="818">
        <f t="shared" si="47"/>
        <v>72.378</v>
      </c>
      <c r="L117" s="818">
        <f t="shared" si="47"/>
        <v>77.017499999999998</v>
      </c>
      <c r="M117" s="818">
        <f t="shared" si="47"/>
        <v>80.686999999999998</v>
      </c>
      <c r="N117" s="818">
        <f t="shared" si="47"/>
        <v>84.386499999999998</v>
      </c>
      <c r="O117" s="818">
        <f>O113+O114+O115+O116</f>
        <v>88.116</v>
      </c>
      <c r="P117" s="818">
        <f>P113+P114+P115+P116</f>
        <v>91.875500000000002</v>
      </c>
      <c r="Q117" s="818">
        <f>Q113+Q114+Q115+Q116</f>
        <v>95.665000000000006</v>
      </c>
      <c r="R117" s="818">
        <f>R113+R114+R115+R116</f>
        <v>99.484499999999997</v>
      </c>
      <c r="S117" s="818">
        <f>S113+S114+S115+S116</f>
        <v>103.334</v>
      </c>
    </row>
    <row r="119" spans="2:19">
      <c r="B119" s="804" t="s">
        <v>1018</v>
      </c>
      <c r="C119" s="804"/>
      <c r="D119" s="804"/>
      <c r="E119" s="804">
        <f>E2</f>
        <v>2021</v>
      </c>
      <c r="F119" s="804">
        <f t="shared" ref="F119:N119" si="48">F2</f>
        <v>2022</v>
      </c>
      <c r="G119" s="804">
        <f t="shared" si="48"/>
        <v>2023</v>
      </c>
      <c r="H119" s="804">
        <f t="shared" si="48"/>
        <v>2024</v>
      </c>
      <c r="I119" s="804">
        <f t="shared" si="48"/>
        <v>2025</v>
      </c>
      <c r="J119" s="804">
        <f t="shared" si="48"/>
        <v>2026</v>
      </c>
      <c r="K119" s="804">
        <f t="shared" si="48"/>
        <v>2027</v>
      </c>
      <c r="L119" s="804">
        <f t="shared" si="48"/>
        <v>2028</v>
      </c>
      <c r="M119" s="804">
        <f t="shared" si="48"/>
        <v>2029</v>
      </c>
      <c r="N119" s="804">
        <f t="shared" si="48"/>
        <v>2030</v>
      </c>
      <c r="O119" s="804">
        <f>O2</f>
        <v>2031</v>
      </c>
      <c r="P119" s="804">
        <f>P2</f>
        <v>2032</v>
      </c>
      <c r="Q119" s="804">
        <f>Q2</f>
        <v>2033</v>
      </c>
      <c r="R119" s="804">
        <f>R2</f>
        <v>2034</v>
      </c>
      <c r="S119" s="804">
        <f>S2</f>
        <v>2035</v>
      </c>
    </row>
    <row r="120" spans="2:19">
      <c r="B120" s="685" t="s">
        <v>1013</v>
      </c>
      <c r="E120" s="795">
        <f>E32</f>
        <v>0</v>
      </c>
      <c r="F120" s="795">
        <f t="shared" ref="F120:N120" si="49">F32</f>
        <v>14.757887496466431</v>
      </c>
      <c r="G120" s="795">
        <f>G32</f>
        <v>135.48655466848942</v>
      </c>
      <c r="H120" s="795">
        <f t="shared" si="49"/>
        <v>271.64059679839613</v>
      </c>
      <c r="I120" s="795">
        <f>I32</f>
        <v>317.30688337750411</v>
      </c>
      <c r="J120" s="795">
        <f t="shared" si="49"/>
        <v>351.78704641070198</v>
      </c>
      <c r="K120" s="795">
        <f t="shared" si="49"/>
        <v>386.51869597328198</v>
      </c>
      <c r="L120" s="795">
        <f t="shared" si="49"/>
        <v>413.11453796056691</v>
      </c>
      <c r="M120" s="795">
        <f t="shared" si="49"/>
        <v>430.50806780207927</v>
      </c>
      <c r="N120" s="795">
        <f t="shared" si="49"/>
        <v>448.57340634991817</v>
      </c>
      <c r="O120" s="795">
        <f>O32</f>
        <v>467.33520794960509</v>
      </c>
      <c r="P120" s="795">
        <f>P32</f>
        <v>486.81900157955886</v>
      </c>
      <c r="Q120" s="795">
        <f>Q32</f>
        <v>507.05122114015501</v>
      </c>
      <c r="R120" s="795">
        <f>R32</f>
        <v>528.05923677296494</v>
      </c>
      <c r="S120" s="795">
        <f>S32</f>
        <v>549.87138724471777</v>
      </c>
    </row>
    <row r="121" spans="2:19">
      <c r="B121" s="685" t="s">
        <v>1014</v>
      </c>
      <c r="E121" s="795">
        <f>E98</f>
        <v>0</v>
      </c>
      <c r="F121" s="795">
        <f t="shared" ref="F121:N121" si="50">F98</f>
        <v>3.7760677428975264</v>
      </c>
      <c r="G121" s="795">
        <f>G98</f>
        <v>88.228944900114499</v>
      </c>
      <c r="H121" s="795">
        <f t="shared" si="50"/>
        <v>195.89695042659568</v>
      </c>
      <c r="I121" s="795">
        <f t="shared" si="50"/>
        <v>247.24214721369637</v>
      </c>
      <c r="J121" s="795">
        <f t="shared" si="50"/>
        <v>304.90712123007091</v>
      </c>
      <c r="K121" s="795">
        <f t="shared" si="50"/>
        <v>364.50866902296832</v>
      </c>
      <c r="L121" s="795">
        <f t="shared" si="50"/>
        <v>422.74578641313752</v>
      </c>
      <c r="M121" s="795">
        <f t="shared" si="50"/>
        <v>483.78906629800224</v>
      </c>
      <c r="N121" s="795">
        <f t="shared" si="50"/>
        <v>550.58651809479977</v>
      </c>
      <c r="O121" s="795">
        <f>O98</f>
        <v>623.50261455614771</v>
      </c>
      <c r="P121" s="795">
        <f>P98</f>
        <v>702.92074288679487</v>
      </c>
      <c r="Q121" s="795">
        <f>Q98</f>
        <v>789.24407833052044</v>
      </c>
      <c r="R121" s="795">
        <f>R98</f>
        <v>882.89649515160238</v>
      </c>
      <c r="S121" s="795">
        <f>S98</f>
        <v>984.32351652836235</v>
      </c>
    </row>
    <row r="122" spans="2:19">
      <c r="B122" s="685" t="s">
        <v>1015</v>
      </c>
      <c r="E122" s="795">
        <f>E62</f>
        <v>30</v>
      </c>
      <c r="F122" s="795">
        <f t="shared" ref="F122:N122" si="51">F62</f>
        <v>85.5</v>
      </c>
      <c r="G122" s="795">
        <f t="shared" si="51"/>
        <v>124.75874999999999</v>
      </c>
      <c r="H122" s="795">
        <f t="shared" si="51"/>
        <v>173.85498749999999</v>
      </c>
      <c r="I122" s="795">
        <f t="shared" si="51"/>
        <v>210.21335662499999</v>
      </c>
      <c r="J122" s="795">
        <f t="shared" si="51"/>
        <v>232.55825786625002</v>
      </c>
      <c r="K122" s="795">
        <f t="shared" si="51"/>
        <v>256.05466116101252</v>
      </c>
      <c r="L122" s="795">
        <f t="shared" si="51"/>
        <v>280.75154622138109</v>
      </c>
      <c r="M122" s="795">
        <f t="shared" si="51"/>
        <v>306.69979519032694</v>
      </c>
      <c r="N122" s="795">
        <f t="shared" si="51"/>
        <v>333.95226270581031</v>
      </c>
      <c r="O122" s="795">
        <f>O62</f>
        <v>362.5638484565514</v>
      </c>
      <c r="P122" s="795">
        <f>P62</f>
        <v>392.59157231590166</v>
      </c>
      <c r="Q122" s="795">
        <f>Q62</f>
        <v>424.09465214320215</v>
      </c>
      <c r="R122" s="795">
        <f>R62</f>
        <v>457.13458434505623</v>
      </c>
      <c r="S122" s="795">
        <f>S62</f>
        <v>491.77522729209272</v>
      </c>
    </row>
    <row r="123" spans="2:19">
      <c r="B123" s="743" t="s">
        <v>1016</v>
      </c>
      <c r="C123" s="743"/>
      <c r="D123" s="743"/>
      <c r="E123" s="927">
        <f>E110</f>
        <v>9</v>
      </c>
      <c r="F123" s="927">
        <f t="shared" ref="F123:N123" si="52">F110</f>
        <v>21.375</v>
      </c>
      <c r="G123" s="927">
        <f>G110</f>
        <v>170.62593749999999</v>
      </c>
      <c r="H123" s="927">
        <f t="shared" si="52"/>
        <v>345.82024687500001</v>
      </c>
      <c r="I123" s="927">
        <f t="shared" si="52"/>
        <v>414.58745334374998</v>
      </c>
      <c r="J123" s="927">
        <f t="shared" si="52"/>
        <v>487.16945397843745</v>
      </c>
      <c r="K123" s="927">
        <f t="shared" si="52"/>
        <v>557.53837510865628</v>
      </c>
      <c r="L123" s="927">
        <f t="shared" si="52"/>
        <v>618.92954507895388</v>
      </c>
      <c r="M123" s="927">
        <f t="shared" si="52"/>
        <v>670.35812377314323</v>
      </c>
      <c r="N123" s="927">
        <f t="shared" si="52"/>
        <v>717.54607797599772</v>
      </c>
      <c r="O123" s="927">
        <f>O110</f>
        <v>766.96198711962791</v>
      </c>
      <c r="P123" s="927">
        <f>P110</f>
        <v>818.69705934169747</v>
      </c>
      <c r="Q123" s="927">
        <f>Q110</f>
        <v>872.84597010868345</v>
      </c>
      <c r="R123" s="927">
        <f>R110</f>
        <v>929.50698816828105</v>
      </c>
      <c r="S123" s="927">
        <f>S110</f>
        <v>988.78210593835672</v>
      </c>
    </row>
    <row r="124" spans="2:19">
      <c r="B124" s="817" t="s">
        <v>1019</v>
      </c>
      <c r="C124" s="817"/>
      <c r="D124" s="817"/>
      <c r="E124" s="818">
        <f>E120+E121+E122+E123</f>
        <v>39</v>
      </c>
      <c r="F124" s="818">
        <f t="shared" ref="F124:N124" si="53">F120+F121+F122+F123</f>
        <v>125.40895523936396</v>
      </c>
      <c r="G124" s="818">
        <f>G120+G121+G122+G123</f>
        <v>519.10018706860387</v>
      </c>
      <c r="H124" s="818">
        <f t="shared" si="53"/>
        <v>987.21278159999179</v>
      </c>
      <c r="I124" s="818">
        <f t="shared" si="53"/>
        <v>1189.3498405599503</v>
      </c>
      <c r="J124" s="818">
        <f t="shared" si="53"/>
        <v>1376.4218794854605</v>
      </c>
      <c r="K124" s="818">
        <f t="shared" si="53"/>
        <v>1564.6204012659191</v>
      </c>
      <c r="L124" s="818">
        <f t="shared" si="53"/>
        <v>1735.5414156740394</v>
      </c>
      <c r="M124" s="818">
        <f t="shared" si="53"/>
        <v>1891.3550530635516</v>
      </c>
      <c r="N124" s="818">
        <f t="shared" si="53"/>
        <v>2050.6582651265262</v>
      </c>
      <c r="O124" s="818">
        <f>O120+O121+O122+O123</f>
        <v>2220.363658081932</v>
      </c>
      <c r="P124" s="818">
        <f>P120+P121+P122+P123</f>
        <v>2401.028376123953</v>
      </c>
      <c r="Q124" s="818">
        <f>Q120+Q121+Q122+Q123</f>
        <v>2593.2359217225612</v>
      </c>
      <c r="R124" s="818">
        <f>R120+R121+R122+R123</f>
        <v>2797.5973044379048</v>
      </c>
      <c r="S124" s="818">
        <f>S120+S121+S122+S123</f>
        <v>3014.7522370035294</v>
      </c>
    </row>
    <row r="126" spans="2:19">
      <c r="B126" s="804" t="s">
        <v>1020</v>
      </c>
      <c r="C126" s="804"/>
      <c r="D126" s="804"/>
      <c r="E126" s="804">
        <f t="shared" ref="E126:N126" si="54">E119</f>
        <v>2021</v>
      </c>
      <c r="F126" s="804">
        <f t="shared" si="54"/>
        <v>2022</v>
      </c>
      <c r="G126" s="804">
        <f t="shared" si="54"/>
        <v>2023</v>
      </c>
      <c r="H126" s="804">
        <f t="shared" si="54"/>
        <v>2024</v>
      </c>
      <c r="I126" s="804">
        <f t="shared" si="54"/>
        <v>2025</v>
      </c>
      <c r="J126" s="804">
        <f t="shared" si="54"/>
        <v>2026</v>
      </c>
      <c r="K126" s="804">
        <f t="shared" si="54"/>
        <v>2027</v>
      </c>
      <c r="L126" s="804">
        <f t="shared" si="54"/>
        <v>2028</v>
      </c>
      <c r="M126" s="804">
        <f t="shared" si="54"/>
        <v>2029</v>
      </c>
      <c r="N126" s="804">
        <f t="shared" si="54"/>
        <v>2030</v>
      </c>
      <c r="O126" s="804">
        <f>O119</f>
        <v>2031</v>
      </c>
      <c r="P126" s="804">
        <f>P119</f>
        <v>2032</v>
      </c>
      <c r="Q126" s="804">
        <f>Q119</f>
        <v>2033</v>
      </c>
      <c r="R126" s="804">
        <f>R119</f>
        <v>2034</v>
      </c>
      <c r="S126" s="804">
        <f>S119</f>
        <v>2035</v>
      </c>
    </row>
    <row r="127" spans="2:19">
      <c r="B127" s="685" t="s">
        <v>1013</v>
      </c>
      <c r="E127" s="789">
        <f t="shared" ref="E127:N127" si="55">E120/E$124</f>
        <v>0</v>
      </c>
      <c r="F127" s="789">
        <f t="shared" si="55"/>
        <v>0.11767809936936748</v>
      </c>
      <c r="G127" s="789">
        <f t="shared" si="55"/>
        <v>0.2610027082317033</v>
      </c>
      <c r="H127" s="789">
        <f t="shared" si="55"/>
        <v>0.27515911651604003</v>
      </c>
      <c r="I127" s="789">
        <f t="shared" si="55"/>
        <v>0.26679020129864806</v>
      </c>
      <c r="J127" s="789">
        <f t="shared" si="55"/>
        <v>0.25558083001572773</v>
      </c>
      <c r="K127" s="789">
        <f t="shared" si="55"/>
        <v>0.247036722556189</v>
      </c>
      <c r="L127" s="789">
        <f t="shared" si="55"/>
        <v>0.23803208280116087</v>
      </c>
      <c r="M127" s="789">
        <f t="shared" si="55"/>
        <v>0.22761885300422952</v>
      </c>
      <c r="N127" s="789">
        <f t="shared" si="55"/>
        <v>0.21874605534152278</v>
      </c>
      <c r="O127" s="789">
        <f t="shared" ref="O127:S131" si="56">O120/O$124</f>
        <v>0.21047687672627197</v>
      </c>
      <c r="P127" s="789">
        <f t="shared" si="56"/>
        <v>0.20275437242663677</v>
      </c>
      <c r="Q127" s="789">
        <f t="shared" si="56"/>
        <v>0.19552838092854483</v>
      </c>
      <c r="R127" s="789">
        <f t="shared" si="56"/>
        <v>0.18875455589526419</v>
      </c>
      <c r="S127" s="789">
        <f t="shared" si="56"/>
        <v>0.18239355808265514</v>
      </c>
    </row>
    <row r="128" spans="2:19">
      <c r="B128" s="685" t="s">
        <v>1014</v>
      </c>
      <c r="E128" s="789">
        <f t="shared" ref="E128:N128" si="57">E121/E$124</f>
        <v>0</v>
      </c>
      <c r="F128" s="789">
        <f t="shared" si="57"/>
        <v>3.0110032698145595E-2</v>
      </c>
      <c r="G128" s="789">
        <f t="shared" si="57"/>
        <v>0.16996515720471939</v>
      </c>
      <c r="H128" s="789">
        <f t="shared" si="57"/>
        <v>0.19843437410636267</v>
      </c>
      <c r="I128" s="789">
        <f t="shared" si="57"/>
        <v>0.20788008606222527</v>
      </c>
      <c r="J128" s="789">
        <f t="shared" si="57"/>
        <v>0.22152155946841859</v>
      </c>
      <c r="K128" s="789">
        <f t="shared" si="57"/>
        <v>0.23296939547001172</v>
      </c>
      <c r="L128" s="789">
        <f t="shared" si="57"/>
        <v>0.24358150292193056</v>
      </c>
      <c r="M128" s="789">
        <f t="shared" si="57"/>
        <v>0.25578966017743598</v>
      </c>
      <c r="N128" s="789">
        <f t="shared" si="57"/>
        <v>0.26849257502240553</v>
      </c>
      <c r="O128" s="789">
        <f t="shared" si="56"/>
        <v>0.28081103394331464</v>
      </c>
      <c r="P128" s="789">
        <f t="shared" si="56"/>
        <v>0.29275819889373378</v>
      </c>
      <c r="Q128" s="789">
        <f t="shared" si="56"/>
        <v>0.30434719483843325</v>
      </c>
      <c r="R128" s="789">
        <f t="shared" si="56"/>
        <v>0.31559098722001183</v>
      </c>
      <c r="S128" s="789">
        <f t="shared" si="56"/>
        <v>0.32650229244268408</v>
      </c>
    </row>
    <row r="129" spans="2:22">
      <c r="B129" s="685" t="s">
        <v>1015</v>
      </c>
      <c r="E129" s="789">
        <f t="shared" ref="E129:N129" si="58">E122/E$124</f>
        <v>0.76923076923076927</v>
      </c>
      <c r="F129" s="789">
        <f t="shared" si="58"/>
        <v>0.68176949434598955</v>
      </c>
      <c r="G129" s="789">
        <f t="shared" si="58"/>
        <v>0.2403365537287159</v>
      </c>
      <c r="H129" s="789">
        <f t="shared" si="58"/>
        <v>0.17610690495541437</v>
      </c>
      <c r="I129" s="789">
        <f t="shared" si="58"/>
        <v>0.17674644537391182</v>
      </c>
      <c r="J129" s="789">
        <f t="shared" si="58"/>
        <v>0.16895855938673821</v>
      </c>
      <c r="K129" s="789">
        <f t="shared" si="58"/>
        <v>0.16365289686485054</v>
      </c>
      <c r="L129" s="789">
        <f t="shared" si="58"/>
        <v>0.16176597324953174</v>
      </c>
      <c r="M129" s="789">
        <f t="shared" si="58"/>
        <v>0.16215876267840096</v>
      </c>
      <c r="N129" s="789">
        <f t="shared" si="58"/>
        <v>0.16285125044235751</v>
      </c>
      <c r="O129" s="789">
        <f t="shared" si="56"/>
        <v>0.16329030027889813</v>
      </c>
      <c r="P129" s="789">
        <f t="shared" si="56"/>
        <v>0.16350975949300239</v>
      </c>
      <c r="Q129" s="789">
        <f t="shared" si="56"/>
        <v>0.16353878511041781</v>
      </c>
      <c r="R129" s="789">
        <f t="shared" si="56"/>
        <v>0.16340256820375512</v>
      </c>
      <c r="S129" s="789">
        <f t="shared" si="56"/>
        <v>0.16312293304105341</v>
      </c>
    </row>
    <row r="130" spans="2:22">
      <c r="B130" s="743" t="s">
        <v>1016</v>
      </c>
      <c r="C130" s="743"/>
      <c r="D130" s="743"/>
      <c r="E130" s="842">
        <f t="shared" ref="E130:N130" si="59">E123/E$124</f>
        <v>0.23076923076923078</v>
      </c>
      <c r="F130" s="842">
        <f t="shared" si="59"/>
        <v>0.17044237358649739</v>
      </c>
      <c r="G130" s="842">
        <f t="shared" si="59"/>
        <v>0.32869558083486144</v>
      </c>
      <c r="H130" s="842">
        <f t="shared" si="59"/>
        <v>0.35029960442218294</v>
      </c>
      <c r="I130" s="842">
        <f t="shared" si="59"/>
        <v>0.34858326726521499</v>
      </c>
      <c r="J130" s="842">
        <f t="shared" si="59"/>
        <v>0.35393905112911533</v>
      </c>
      <c r="K130" s="842">
        <f t="shared" si="59"/>
        <v>0.35634098510894874</v>
      </c>
      <c r="L130" s="842">
        <f t="shared" si="59"/>
        <v>0.35662044102737683</v>
      </c>
      <c r="M130" s="842">
        <f t="shared" si="59"/>
        <v>0.3544327241399336</v>
      </c>
      <c r="N130" s="842">
        <f t="shared" si="59"/>
        <v>0.34991011919371406</v>
      </c>
      <c r="O130" s="842">
        <f t="shared" si="56"/>
        <v>0.34542178905151527</v>
      </c>
      <c r="P130" s="842">
        <f t="shared" si="56"/>
        <v>0.34097766918662703</v>
      </c>
      <c r="Q130" s="842">
        <f t="shared" si="56"/>
        <v>0.33658563912260403</v>
      </c>
      <c r="R130" s="842">
        <f t="shared" si="56"/>
        <v>0.33225188868096878</v>
      </c>
      <c r="S130" s="842">
        <f t="shared" si="56"/>
        <v>0.32798121643360739</v>
      </c>
    </row>
    <row r="131" spans="2:22">
      <c r="B131" s="817" t="s">
        <v>1019</v>
      </c>
      <c r="C131" s="817"/>
      <c r="D131" s="817"/>
      <c r="E131" s="928">
        <f t="shared" ref="E131:N131" si="60">E124/E$124</f>
        <v>1</v>
      </c>
      <c r="F131" s="928">
        <f t="shared" si="60"/>
        <v>1</v>
      </c>
      <c r="G131" s="928">
        <f t="shared" si="60"/>
        <v>1</v>
      </c>
      <c r="H131" s="928">
        <f t="shared" si="60"/>
        <v>1</v>
      </c>
      <c r="I131" s="928">
        <f t="shared" si="60"/>
        <v>1</v>
      </c>
      <c r="J131" s="928">
        <f t="shared" si="60"/>
        <v>1</v>
      </c>
      <c r="K131" s="928">
        <f t="shared" si="60"/>
        <v>1</v>
      </c>
      <c r="L131" s="928">
        <f t="shared" si="60"/>
        <v>1</v>
      </c>
      <c r="M131" s="928">
        <f t="shared" si="60"/>
        <v>1</v>
      </c>
      <c r="N131" s="928">
        <f t="shared" si="60"/>
        <v>1</v>
      </c>
      <c r="O131" s="928">
        <f t="shared" si="56"/>
        <v>1</v>
      </c>
      <c r="P131" s="928">
        <f t="shared" si="56"/>
        <v>1</v>
      </c>
      <c r="Q131" s="928">
        <f t="shared" si="56"/>
        <v>1</v>
      </c>
      <c r="R131" s="928">
        <f t="shared" si="56"/>
        <v>1</v>
      </c>
      <c r="S131" s="928">
        <f t="shared" si="56"/>
        <v>1</v>
      </c>
    </row>
    <row r="133" spans="2:22">
      <c r="B133" s="804" t="s">
        <v>1021</v>
      </c>
      <c r="C133" s="743"/>
      <c r="D133" s="804">
        <v>2020</v>
      </c>
      <c r="E133" s="804">
        <v>2021</v>
      </c>
      <c r="F133" s="804">
        <v>2022</v>
      </c>
      <c r="G133" s="804">
        <f t="shared" ref="G133:S133" si="61">F133+1</f>
        <v>2023</v>
      </c>
      <c r="H133" s="804">
        <f t="shared" si="61"/>
        <v>2024</v>
      </c>
      <c r="I133" s="804">
        <f t="shared" si="61"/>
        <v>2025</v>
      </c>
      <c r="J133" s="804">
        <f t="shared" si="61"/>
        <v>2026</v>
      </c>
      <c r="K133" s="804">
        <f t="shared" si="61"/>
        <v>2027</v>
      </c>
      <c r="L133" s="804">
        <f t="shared" si="61"/>
        <v>2028</v>
      </c>
      <c r="M133" s="804">
        <f t="shared" si="61"/>
        <v>2029</v>
      </c>
      <c r="N133" s="804">
        <f t="shared" si="61"/>
        <v>2030</v>
      </c>
      <c r="O133" s="804">
        <f t="shared" si="61"/>
        <v>2031</v>
      </c>
      <c r="P133" s="804">
        <f t="shared" si="61"/>
        <v>2032</v>
      </c>
      <c r="Q133" s="804">
        <f t="shared" si="61"/>
        <v>2033</v>
      </c>
      <c r="R133" s="804">
        <f t="shared" si="61"/>
        <v>2034</v>
      </c>
      <c r="S133" s="804">
        <f t="shared" si="61"/>
        <v>2035</v>
      </c>
    </row>
    <row r="134" spans="2:22">
      <c r="B134" s="685" t="s">
        <v>1022</v>
      </c>
    </row>
    <row r="135" spans="2:22" hidden="1" outlineLevel="1">
      <c r="B135" s="924" t="s">
        <v>1023</v>
      </c>
      <c r="D135" s="795">
        <f>Content!N22/Master!S7-Content!N58</f>
        <v>1138.7960893854749</v>
      </c>
      <c r="E135" s="795">
        <f>Content!O22/Master!T7-Content!O58</f>
        <v>1354.0006780445976</v>
      </c>
      <c r="F135" s="910">
        <f>1519-0.5*F137</f>
        <v>1456.2955223803181</v>
      </c>
      <c r="G135" s="910">
        <f>1768.3-0.5*G137</f>
        <v>1508.7499064656981</v>
      </c>
      <c r="H135" s="910">
        <f>1828.3-0.5*H137</f>
        <v>1334.6936092000042</v>
      </c>
      <c r="I135" s="834">
        <f>H135*1</f>
        <v>1334.6936092000042</v>
      </c>
      <c r="J135" s="834">
        <f>I135*1.02</f>
        <v>1361.3874813840043</v>
      </c>
      <c r="K135" s="834">
        <f t="shared" ref="K135:S135" si="62">J135*0.97</f>
        <v>1320.5458569424841</v>
      </c>
      <c r="L135" s="834">
        <f t="shared" si="62"/>
        <v>1280.9294812342096</v>
      </c>
      <c r="M135" s="834">
        <f t="shared" si="62"/>
        <v>1242.5015967971833</v>
      </c>
      <c r="N135" s="834">
        <f t="shared" si="62"/>
        <v>1205.2265488932678</v>
      </c>
      <c r="O135" s="834">
        <f t="shared" si="62"/>
        <v>1169.0697524264697</v>
      </c>
      <c r="P135" s="834">
        <f t="shared" si="62"/>
        <v>1133.9976598536755</v>
      </c>
      <c r="Q135" s="834">
        <f t="shared" si="62"/>
        <v>1099.9777300580652</v>
      </c>
      <c r="R135" s="834">
        <f t="shared" si="62"/>
        <v>1066.9783981563232</v>
      </c>
      <c r="S135" s="834">
        <f t="shared" si="62"/>
        <v>1034.9690462116334</v>
      </c>
    </row>
    <row r="136" spans="2:22" hidden="1" outlineLevel="1">
      <c r="B136" s="924" t="s">
        <v>1024</v>
      </c>
      <c r="D136" s="795">
        <f>Univision!M5</f>
        <v>2541.9</v>
      </c>
      <c r="E136" s="795">
        <f>Univision!N5</f>
        <v>2859.6375000000003</v>
      </c>
      <c r="F136" s="910">
        <f>3193-0.5*F137</f>
        <v>3130.2955223803178</v>
      </c>
      <c r="G136" s="910">
        <f>3159.7-0.5*G137</f>
        <v>2900.1499064656978</v>
      </c>
      <c r="H136" s="910">
        <f>3227.2-0.5*H137</f>
        <v>2733.5936092000038</v>
      </c>
      <c r="I136" s="834">
        <f>H136*1.03</f>
        <v>2815.6014174760039</v>
      </c>
      <c r="J136" s="834">
        <f t="shared" ref="J136:S136" si="63">I136*1.03</f>
        <v>2900.0694600002839</v>
      </c>
      <c r="K136" s="834">
        <f t="shared" si="63"/>
        <v>2987.0715438002926</v>
      </c>
      <c r="L136" s="834">
        <f t="shared" si="63"/>
        <v>3076.6836901143015</v>
      </c>
      <c r="M136" s="834">
        <f t="shared" si="63"/>
        <v>3168.9842008177307</v>
      </c>
      <c r="N136" s="834">
        <f t="shared" si="63"/>
        <v>3264.0537268422627</v>
      </c>
      <c r="O136" s="834">
        <f t="shared" si="63"/>
        <v>3361.9753386475309</v>
      </c>
      <c r="P136" s="834">
        <f t="shared" si="63"/>
        <v>3462.8345988069568</v>
      </c>
      <c r="Q136" s="834">
        <f t="shared" si="63"/>
        <v>3566.7196367711658</v>
      </c>
      <c r="R136" s="834">
        <f t="shared" si="63"/>
        <v>3673.7212258743007</v>
      </c>
      <c r="S136" s="834">
        <f t="shared" si="63"/>
        <v>3783.9328626505298</v>
      </c>
    </row>
    <row r="137" spans="2:22" hidden="1" outlineLevel="1">
      <c r="B137" s="931" t="s">
        <v>1025</v>
      </c>
      <c r="C137" s="743"/>
      <c r="D137" s="743">
        <v>0</v>
      </c>
      <c r="E137" s="743">
        <v>0</v>
      </c>
      <c r="F137" s="833">
        <f t="shared" ref="F137:N137" si="64">F124</f>
        <v>125.40895523936396</v>
      </c>
      <c r="G137" s="833">
        <f>G124</f>
        <v>519.10018706860387</v>
      </c>
      <c r="H137" s="833">
        <f t="shared" si="64"/>
        <v>987.21278159999179</v>
      </c>
      <c r="I137" s="833">
        <f t="shared" si="64"/>
        <v>1189.3498405599503</v>
      </c>
      <c r="J137" s="833">
        <f t="shared" si="64"/>
        <v>1376.4218794854605</v>
      </c>
      <c r="K137" s="833">
        <f t="shared" si="64"/>
        <v>1564.6204012659191</v>
      </c>
      <c r="L137" s="833">
        <f t="shared" si="64"/>
        <v>1735.5414156740394</v>
      </c>
      <c r="M137" s="833">
        <f t="shared" si="64"/>
        <v>1891.3550530635516</v>
      </c>
      <c r="N137" s="833">
        <f t="shared" si="64"/>
        <v>2050.6582651265262</v>
      </c>
      <c r="O137" s="833">
        <f>O124</f>
        <v>2220.363658081932</v>
      </c>
      <c r="P137" s="833">
        <f>P124</f>
        <v>2401.028376123953</v>
      </c>
      <c r="Q137" s="833">
        <f>Q124</f>
        <v>2593.2359217225612</v>
      </c>
      <c r="R137" s="833">
        <f>R124</f>
        <v>2797.5973044379048</v>
      </c>
      <c r="S137" s="833">
        <f>S124</f>
        <v>3014.7522370035294</v>
      </c>
    </row>
    <row r="138" spans="2:22" collapsed="1">
      <c r="B138" s="932" t="s">
        <v>222</v>
      </c>
      <c r="C138" s="817"/>
      <c r="D138" s="818">
        <f>SUM(D135:D137)</f>
        <v>3680.6960893854748</v>
      </c>
      <c r="E138" s="818">
        <f>SUM(E135:E137)</f>
        <v>4213.6381780445981</v>
      </c>
      <c r="F138" s="818">
        <f>SUM(F135:F137)</f>
        <v>4712</v>
      </c>
      <c r="G138" s="818">
        <f>SUM(G135:G137)</f>
        <v>4928</v>
      </c>
      <c r="H138" s="818">
        <f>SUM(H135:H137)</f>
        <v>5055.5</v>
      </c>
      <c r="I138" s="818">
        <f t="shared" ref="I138:S138" si="65">I145+I150</f>
        <v>4827.2</v>
      </c>
      <c r="J138" s="818">
        <f t="shared" si="65"/>
        <v>5090.3629999999994</v>
      </c>
      <c r="K138" s="818">
        <f t="shared" si="65"/>
        <v>5231.6203299999997</v>
      </c>
      <c r="L138" s="818">
        <f t="shared" si="65"/>
        <v>5421.1465359000003</v>
      </c>
      <c r="M138" s="818">
        <f t="shared" si="65"/>
        <v>5580.9609319770007</v>
      </c>
      <c r="N138" s="818">
        <f t="shared" si="65"/>
        <v>5727.0168384768731</v>
      </c>
      <c r="O138" s="818">
        <f t="shared" si="65"/>
        <v>5862.8858523310619</v>
      </c>
      <c r="P138" s="818">
        <f t="shared" si="65"/>
        <v>5991.9323147856903</v>
      </c>
      <c r="Q138" s="818">
        <f t="shared" si="65"/>
        <v>6118.7355980233169</v>
      </c>
      <c r="R138" s="818">
        <f t="shared" si="65"/>
        <v>6237.7671002869156</v>
      </c>
      <c r="S138" s="818">
        <f t="shared" si="65"/>
        <v>6348.5084001654141</v>
      </c>
      <c r="V138" s="685">
        <f>'VOD-quarts'!V92</f>
        <v>-1.5920249962803057E-2</v>
      </c>
    </row>
    <row r="139" spans="2:22">
      <c r="B139" s="924" t="s">
        <v>989</v>
      </c>
      <c r="E139" s="814">
        <f>E138/D138-1</f>
        <v>0.14479383130708379</v>
      </c>
      <c r="F139" s="814">
        <f>F138/E138-1</f>
        <v>0.11827352062456242</v>
      </c>
      <c r="G139" s="814">
        <f>G138/F138-1</f>
        <v>4.5840407470288724E-2</v>
      </c>
      <c r="H139" s="814">
        <f t="shared" ref="H139:S139" si="66">H138/G138-1</f>
        <v>2.5872564935064846E-2</v>
      </c>
      <c r="I139" s="814">
        <f t="shared" si="66"/>
        <v>-4.5158738008109989E-2</v>
      </c>
      <c r="J139" s="814">
        <f t="shared" si="66"/>
        <v>5.4516697050049689E-2</v>
      </c>
      <c r="K139" s="814">
        <f t="shared" si="66"/>
        <v>2.7749952213624196E-2</v>
      </c>
      <c r="L139" s="814">
        <f t="shared" si="66"/>
        <v>3.6227056618231446E-2</v>
      </c>
      <c r="M139" s="814">
        <f t="shared" si="66"/>
        <v>2.9479814835971396E-2</v>
      </c>
      <c r="N139" s="814">
        <f t="shared" si="66"/>
        <v>2.6170386834823089E-2</v>
      </c>
      <c r="O139" s="814">
        <f t="shared" si="66"/>
        <v>2.3724221123527123E-2</v>
      </c>
      <c r="P139" s="814">
        <f t="shared" si="66"/>
        <v>2.2010741076140761E-2</v>
      </c>
      <c r="Q139" s="814">
        <f t="shared" si="66"/>
        <v>2.1162335716764735E-2</v>
      </c>
      <c r="R139" s="814">
        <f t="shared" si="66"/>
        <v>1.9453611020886719E-2</v>
      </c>
      <c r="S139" s="814">
        <f t="shared" si="66"/>
        <v>1.7753355984291952E-2</v>
      </c>
    </row>
    <row r="140" spans="2:22" hidden="1" outlineLevel="1">
      <c r="B140" s="924" t="s">
        <v>1026</v>
      </c>
      <c r="E140" s="814"/>
      <c r="F140" s="814">
        <f>F137/F138</f>
        <v>2.6614803743498294E-2</v>
      </c>
      <c r="G140" s="814">
        <f t="shared" ref="G140:N140" si="67">G137/G138</f>
        <v>0.10533688860970046</v>
      </c>
      <c r="H140" s="814">
        <f t="shared" si="67"/>
        <v>0.19527500377806187</v>
      </c>
      <c r="I140" s="814">
        <f t="shared" si="67"/>
        <v>0.24638503491878322</v>
      </c>
      <c r="J140" s="814">
        <f t="shared" si="67"/>
        <v>0.27039758844024692</v>
      </c>
      <c r="K140" s="814">
        <f t="shared" si="67"/>
        <v>0.29906994440973111</v>
      </c>
      <c r="L140" s="814">
        <f t="shared" si="67"/>
        <v>0.32014287091870886</v>
      </c>
      <c r="M140" s="814">
        <f t="shared" si="67"/>
        <v>0.33889415749655816</v>
      </c>
      <c r="N140" s="814">
        <f t="shared" si="67"/>
        <v>0.35806744121113993</v>
      </c>
      <c r="O140" s="814">
        <f>O137/O138</f>
        <v>0.37871514370335618</v>
      </c>
      <c r="P140" s="814">
        <f>P137/P138</f>
        <v>0.40071019664210428</v>
      </c>
      <c r="Q140" s="814">
        <f>Q137/Q138</f>
        <v>0.42381892143865751</v>
      </c>
      <c r="R140" s="814">
        <f>R137/R138</f>
        <v>0.44849338865332516</v>
      </c>
      <c r="S140" s="814">
        <f>S137/S138</f>
        <v>0.47487567897444671</v>
      </c>
    </row>
    <row r="141" spans="2:22" collapsed="1">
      <c r="G141" s="814"/>
    </row>
    <row r="142" spans="2:22">
      <c r="B142" s="685" t="s">
        <v>1027</v>
      </c>
      <c r="E142" s="1612">
        <v>1627.5</v>
      </c>
      <c r="F142" s="1612">
        <v>1797</v>
      </c>
      <c r="G142" s="1612">
        <v>1777.6</v>
      </c>
      <c r="H142" s="1612">
        <v>1820.5</v>
      </c>
      <c r="I142" s="1612">
        <f>SUM('VOD-quarts'!S21:V21)</f>
        <v>1660.3</v>
      </c>
      <c r="J142" s="926">
        <f t="shared" ref="J142:S143" si="68">I142*(1+J153)</f>
        <v>1726.712</v>
      </c>
      <c r="K142" s="926">
        <f t="shared" si="68"/>
        <v>1769.8797999999999</v>
      </c>
      <c r="L142" s="926">
        <f t="shared" si="68"/>
        <v>1858.3737900000001</v>
      </c>
      <c r="M142" s="926">
        <f t="shared" si="68"/>
        <v>1914.1250037000002</v>
      </c>
      <c r="N142" s="926">
        <f t="shared" si="68"/>
        <v>1966.7634413017504</v>
      </c>
      <c r="O142" s="926">
        <f t="shared" si="68"/>
        <v>2015.932527334294</v>
      </c>
      <c r="P142" s="926">
        <f t="shared" si="68"/>
        <v>2061.2910091993158</v>
      </c>
      <c r="Q142" s="926">
        <f t="shared" si="68"/>
        <v>2102.5168293833021</v>
      </c>
      <c r="R142" s="926">
        <f t="shared" si="68"/>
        <v>2139.3108738975102</v>
      </c>
      <c r="S142" s="926">
        <f t="shared" si="68"/>
        <v>2171.4005370059726</v>
      </c>
    </row>
    <row r="143" spans="2:22">
      <c r="B143" s="685" t="s">
        <v>1028</v>
      </c>
      <c r="E143" s="1612">
        <v>1112.3</v>
      </c>
      <c r="F143" s="1612">
        <v>1360.2</v>
      </c>
      <c r="G143" s="1612">
        <v>1309.3</v>
      </c>
      <c r="H143" s="1612">
        <v>1344.5</v>
      </c>
      <c r="I143" s="1612">
        <f>SUM('VOD-quarts'!S22:V22)</f>
        <v>1421.4</v>
      </c>
      <c r="J143" s="926">
        <f t="shared" si="68"/>
        <v>1499.577</v>
      </c>
      <c r="K143" s="926">
        <f t="shared" si="68"/>
        <v>1544.56431</v>
      </c>
      <c r="L143" s="926">
        <f t="shared" si="68"/>
        <v>1590.9012393</v>
      </c>
      <c r="M143" s="926">
        <f t="shared" si="68"/>
        <v>1638.6282764790001</v>
      </c>
      <c r="N143" s="926">
        <f t="shared" si="68"/>
        <v>1683.6905540821726</v>
      </c>
      <c r="O143" s="926">
        <f t="shared" si="68"/>
        <v>1725.7828179342268</v>
      </c>
      <c r="P143" s="926">
        <f t="shared" si="68"/>
        <v>1768.9273883825824</v>
      </c>
      <c r="Q143" s="926">
        <f t="shared" si="68"/>
        <v>1813.1505730921467</v>
      </c>
      <c r="R143" s="926">
        <f t="shared" si="68"/>
        <v>1858.4793374194503</v>
      </c>
      <c r="S143" s="926">
        <f t="shared" si="68"/>
        <v>1904.9413208549363</v>
      </c>
    </row>
    <row r="144" spans="2:22">
      <c r="B144" s="685" t="s">
        <v>1029</v>
      </c>
      <c r="E144" s="1612">
        <v>101.2</v>
      </c>
      <c r="F144" s="1612">
        <v>36.200000000000003</v>
      </c>
      <c r="G144" s="1612">
        <v>72.8</v>
      </c>
      <c r="H144" s="1612">
        <v>62.2</v>
      </c>
      <c r="I144" s="1612">
        <f>SUM('VOD-quarts'!S23:V23)</f>
        <v>51.5</v>
      </c>
      <c r="J144" s="969">
        <v>53</v>
      </c>
      <c r="K144" s="969">
        <f t="shared" ref="K144:S144" si="69">J144</f>
        <v>53</v>
      </c>
      <c r="L144" s="969">
        <f t="shared" si="69"/>
        <v>53</v>
      </c>
      <c r="M144" s="969">
        <f t="shared" si="69"/>
        <v>53</v>
      </c>
      <c r="N144" s="969">
        <f t="shared" si="69"/>
        <v>53</v>
      </c>
      <c r="O144" s="969">
        <f t="shared" si="69"/>
        <v>53</v>
      </c>
      <c r="P144" s="969">
        <f t="shared" si="69"/>
        <v>53</v>
      </c>
      <c r="Q144" s="969">
        <f t="shared" si="69"/>
        <v>53</v>
      </c>
      <c r="R144" s="969">
        <f t="shared" si="69"/>
        <v>53</v>
      </c>
      <c r="S144" s="969">
        <f t="shared" si="69"/>
        <v>53</v>
      </c>
    </row>
    <row r="145" spans="2:19">
      <c r="B145" s="817" t="s">
        <v>1030</v>
      </c>
      <c r="C145" s="817"/>
      <c r="D145" s="817"/>
      <c r="E145" s="818">
        <f>SUM(E142:E144)</f>
        <v>2841</v>
      </c>
      <c r="F145" s="818">
        <f>SUM(F142:F144)</f>
        <v>3193.3999999999996</v>
      </c>
      <c r="G145" s="818">
        <f>SUM(G142:G144)</f>
        <v>3159.7</v>
      </c>
      <c r="H145" s="818">
        <f>SUM(H142:H144)</f>
        <v>3227.2</v>
      </c>
      <c r="I145" s="818">
        <f t="shared" ref="I145:N145" si="70">SUM(I142:I144)</f>
        <v>3133.2</v>
      </c>
      <c r="J145" s="818">
        <f t="shared" si="70"/>
        <v>3279.2889999999998</v>
      </c>
      <c r="K145" s="818">
        <f t="shared" si="70"/>
        <v>3367.4441099999999</v>
      </c>
      <c r="L145" s="818">
        <f t="shared" si="70"/>
        <v>3502.2750292999999</v>
      </c>
      <c r="M145" s="818">
        <f t="shared" si="70"/>
        <v>3605.7532801790003</v>
      </c>
      <c r="N145" s="818">
        <f t="shared" si="70"/>
        <v>3703.453995383923</v>
      </c>
      <c r="O145" s="818">
        <f>SUM(O142:O144)</f>
        <v>3794.7153452685207</v>
      </c>
      <c r="P145" s="818">
        <f>SUM(P142:P144)</f>
        <v>3883.218397581898</v>
      </c>
      <c r="Q145" s="818">
        <f>SUM(Q142:Q144)</f>
        <v>3968.6674024754489</v>
      </c>
      <c r="R145" s="818">
        <f>SUM(R142:R144)</f>
        <v>4050.7902113169603</v>
      </c>
      <c r="S145" s="818">
        <f>SUM(S142:S144)</f>
        <v>4129.3418578609089</v>
      </c>
    </row>
    <row r="146" spans="2:19">
      <c r="E146" s="814"/>
      <c r="F146" s="814"/>
      <c r="G146" s="814"/>
    </row>
    <row r="147" spans="2:19">
      <c r="B147" s="685" t="s">
        <v>1031</v>
      </c>
      <c r="E147" s="1612">
        <v>940.6</v>
      </c>
      <c r="F147" s="1612">
        <v>1021.3</v>
      </c>
      <c r="G147" s="1612">
        <v>1204.7</v>
      </c>
      <c r="H147" s="1612">
        <v>1264.5999999999999</v>
      </c>
      <c r="I147" s="1612">
        <f>SUM('VOD-quarts'!S25:V25)</f>
        <v>1256.5999999999999</v>
      </c>
      <c r="J147" s="926">
        <f t="shared" ref="J147:S148" si="71">I147*(1+J158)</f>
        <v>1319.43</v>
      </c>
      <c r="K147" s="926">
        <f t="shared" si="71"/>
        <v>1359.0129000000002</v>
      </c>
      <c r="L147" s="926">
        <f t="shared" si="71"/>
        <v>1399.7832870000002</v>
      </c>
      <c r="M147" s="926">
        <f t="shared" si="71"/>
        <v>1441.7767856100002</v>
      </c>
      <c r="N147" s="926">
        <f t="shared" si="71"/>
        <v>1477.8212052502499</v>
      </c>
      <c r="O147" s="926">
        <f t="shared" si="71"/>
        <v>1511.0721823683805</v>
      </c>
      <c r="P147" s="926">
        <f t="shared" si="71"/>
        <v>1541.293626015748</v>
      </c>
      <c r="Q147" s="926">
        <f t="shared" si="71"/>
        <v>1572.119498536063</v>
      </c>
      <c r="R147" s="926">
        <f t="shared" si="71"/>
        <v>1599.6315897604443</v>
      </c>
      <c r="S147" s="926">
        <f t="shared" si="71"/>
        <v>1623.6260636068507</v>
      </c>
    </row>
    <row r="148" spans="2:19">
      <c r="B148" s="685" t="s">
        <v>1032</v>
      </c>
      <c r="E148" s="1612">
        <v>361.8</v>
      </c>
      <c r="F148" s="1612">
        <v>411.2</v>
      </c>
      <c r="G148" s="1612">
        <v>504.1</v>
      </c>
      <c r="H148" s="1612">
        <v>516.79999999999995</v>
      </c>
      <c r="I148" s="1612">
        <f>SUM('VOD-quarts'!S26:V26)</f>
        <v>398.8</v>
      </c>
      <c r="J148" s="926">
        <f t="shared" si="71"/>
        <v>450.64399999999995</v>
      </c>
      <c r="K148" s="926">
        <f t="shared" si="71"/>
        <v>464.16331999999994</v>
      </c>
      <c r="L148" s="926">
        <f t="shared" si="71"/>
        <v>478.08821959999995</v>
      </c>
      <c r="M148" s="926">
        <f t="shared" si="71"/>
        <v>492.43086618799998</v>
      </c>
      <c r="N148" s="926">
        <f t="shared" si="71"/>
        <v>504.74163784269996</v>
      </c>
      <c r="O148" s="926">
        <f t="shared" si="71"/>
        <v>516.09832469416074</v>
      </c>
      <c r="P148" s="926">
        <f t="shared" si="71"/>
        <v>526.42029118804396</v>
      </c>
      <c r="Q148" s="926">
        <f t="shared" si="71"/>
        <v>536.94869701180482</v>
      </c>
      <c r="R148" s="926">
        <f t="shared" si="71"/>
        <v>546.3452992095115</v>
      </c>
      <c r="S148" s="926">
        <f t="shared" si="71"/>
        <v>554.54047869765407</v>
      </c>
    </row>
    <row r="149" spans="2:19">
      <c r="B149" s="685" t="s">
        <v>1033</v>
      </c>
      <c r="E149" s="1612">
        <v>39.9</v>
      </c>
      <c r="F149" s="1612">
        <v>86</v>
      </c>
      <c r="G149" s="1612">
        <v>59.5</v>
      </c>
      <c r="H149" s="1612">
        <v>46.9</v>
      </c>
      <c r="I149" s="1612">
        <f>SUM('VOD-quarts'!S27:V27)</f>
        <v>38.6</v>
      </c>
      <c r="J149" s="969">
        <v>41</v>
      </c>
      <c r="K149" s="969">
        <f t="shared" ref="K149:S149" si="72">J149</f>
        <v>41</v>
      </c>
      <c r="L149" s="969">
        <f t="shared" si="72"/>
        <v>41</v>
      </c>
      <c r="M149" s="969">
        <f t="shared" si="72"/>
        <v>41</v>
      </c>
      <c r="N149" s="969">
        <f t="shared" si="72"/>
        <v>41</v>
      </c>
      <c r="O149" s="969">
        <f t="shared" si="72"/>
        <v>41</v>
      </c>
      <c r="P149" s="969">
        <f t="shared" si="72"/>
        <v>41</v>
      </c>
      <c r="Q149" s="969">
        <f t="shared" si="72"/>
        <v>41</v>
      </c>
      <c r="R149" s="969">
        <f t="shared" si="72"/>
        <v>41</v>
      </c>
      <c r="S149" s="969">
        <f t="shared" si="72"/>
        <v>41</v>
      </c>
    </row>
    <row r="150" spans="2:19">
      <c r="B150" s="817" t="s">
        <v>1034</v>
      </c>
      <c r="C150" s="817"/>
      <c r="D150" s="817"/>
      <c r="E150" s="818">
        <f>SUM(E147:E149)</f>
        <v>1342.3000000000002</v>
      </c>
      <c r="F150" s="818">
        <f>SUM(F147:F149)</f>
        <v>1518.5</v>
      </c>
      <c r="G150" s="818">
        <f>SUM(G147:G149)</f>
        <v>1768.3000000000002</v>
      </c>
      <c r="H150" s="818">
        <f>SUM(H147:H149)</f>
        <v>1828.3</v>
      </c>
      <c r="I150" s="818">
        <f t="shared" ref="I150:N150" si="73">SUM(I147:I149)</f>
        <v>1693.9999999999998</v>
      </c>
      <c r="J150" s="818">
        <f t="shared" si="73"/>
        <v>1811.0740000000001</v>
      </c>
      <c r="K150" s="818">
        <f t="shared" si="73"/>
        <v>1864.1762200000001</v>
      </c>
      <c r="L150" s="818">
        <f t="shared" si="73"/>
        <v>1918.8715066000002</v>
      </c>
      <c r="M150" s="818">
        <f t="shared" si="73"/>
        <v>1975.2076517980001</v>
      </c>
      <c r="N150" s="818">
        <f t="shared" si="73"/>
        <v>2023.5628430929498</v>
      </c>
      <c r="O150" s="818">
        <f>SUM(O147:O149)</f>
        <v>2068.1705070625412</v>
      </c>
      <c r="P150" s="818">
        <f>SUM(P147:P149)</f>
        <v>2108.7139172037919</v>
      </c>
      <c r="Q150" s="818">
        <f>SUM(Q147:Q149)</f>
        <v>2150.0681955478676</v>
      </c>
      <c r="R150" s="818">
        <f>SUM(R147:R149)</f>
        <v>2186.9768889699558</v>
      </c>
      <c r="S150" s="818">
        <f>SUM(S147:S149)</f>
        <v>2219.1665423045047</v>
      </c>
    </row>
    <row r="151" spans="2:19">
      <c r="G151" s="814"/>
    </row>
    <row r="152" spans="2:19">
      <c r="B152" s="817" t="s">
        <v>1035</v>
      </c>
      <c r="G152" s="814"/>
    </row>
    <row r="153" spans="2:19">
      <c r="B153" s="685" t="s">
        <v>1027</v>
      </c>
      <c r="F153" s="1613">
        <f t="shared" ref="F153:I156" si="74">F142/E142-1</f>
        <v>0.10414746543778808</v>
      </c>
      <c r="G153" s="1613">
        <f t="shared" si="74"/>
        <v>-1.0795770728992848E-2</v>
      </c>
      <c r="H153" s="1613">
        <f t="shared" si="74"/>
        <v>2.4133663366336711E-2</v>
      </c>
      <c r="I153" s="1613">
        <f t="shared" si="74"/>
        <v>-8.7997802801428215E-2</v>
      </c>
      <c r="J153" s="1615">
        <v>0.04</v>
      </c>
      <c r="K153" s="1615">
        <v>2.5000000000000001E-2</v>
      </c>
      <c r="L153" s="1615">
        <v>0.05</v>
      </c>
      <c r="M153" s="1615">
        <v>0.03</v>
      </c>
      <c r="N153" s="1615">
        <v>2.75E-2</v>
      </c>
      <c r="O153" s="1615">
        <v>2.5000000000000001E-2</v>
      </c>
      <c r="P153" s="1615">
        <v>2.2499999999999999E-2</v>
      </c>
      <c r="Q153" s="1615">
        <v>0.02</v>
      </c>
      <c r="R153" s="1615">
        <v>1.7500000000000002E-2</v>
      </c>
      <c r="S153" s="1615">
        <v>1.4999999999999999E-2</v>
      </c>
    </row>
    <row r="154" spans="2:19">
      <c r="B154" s="685" t="s">
        <v>1028</v>
      </c>
      <c r="F154" s="1613">
        <f t="shared" si="74"/>
        <v>0.2228715274656119</v>
      </c>
      <c r="G154" s="1613">
        <f t="shared" si="74"/>
        <v>-3.7420967504778746E-2</v>
      </c>
      <c r="H154" s="1613">
        <f t="shared" si="74"/>
        <v>2.6884594821660501E-2</v>
      </c>
      <c r="I154" s="1613">
        <f t="shared" si="74"/>
        <v>5.7195983637039927E-2</v>
      </c>
      <c r="J154" s="1615">
        <v>5.5E-2</v>
      </c>
      <c r="K154" s="1615">
        <v>0.03</v>
      </c>
      <c r="L154" s="1615">
        <v>0.03</v>
      </c>
      <c r="M154" s="1615">
        <v>0.03</v>
      </c>
      <c r="N154" s="1615">
        <v>2.75E-2</v>
      </c>
      <c r="O154" s="1615">
        <v>2.5000000000000001E-2</v>
      </c>
      <c r="P154" s="1615">
        <v>2.5000000000000001E-2</v>
      </c>
      <c r="Q154" s="1615">
        <v>2.5000000000000001E-2</v>
      </c>
      <c r="R154" s="1615">
        <v>2.5000000000000001E-2</v>
      </c>
      <c r="S154" s="1615">
        <v>2.5000000000000001E-2</v>
      </c>
    </row>
    <row r="155" spans="2:19">
      <c r="B155" s="685" t="s">
        <v>1029</v>
      </c>
      <c r="F155" s="1613">
        <f t="shared" si="74"/>
        <v>-0.64229249011857703</v>
      </c>
      <c r="G155" s="1613">
        <f t="shared" si="74"/>
        <v>1.0110497237569058</v>
      </c>
      <c r="H155" s="1613">
        <f t="shared" si="74"/>
        <v>-0.14560439560439553</v>
      </c>
      <c r="I155" s="1613">
        <f t="shared" ref="I155:S156" si="75">I144/H144-1</f>
        <v>-0.17202572347266887</v>
      </c>
      <c r="J155" s="1613">
        <f t="shared" si="75"/>
        <v>2.9126213592232997E-2</v>
      </c>
      <c r="K155" s="1613">
        <f t="shared" si="75"/>
        <v>0</v>
      </c>
      <c r="L155" s="1613">
        <f t="shared" si="75"/>
        <v>0</v>
      </c>
      <c r="M155" s="1613">
        <f t="shared" si="75"/>
        <v>0</v>
      </c>
      <c r="N155" s="1613">
        <f t="shared" si="75"/>
        <v>0</v>
      </c>
      <c r="O155" s="1613">
        <f t="shared" si="75"/>
        <v>0</v>
      </c>
      <c r="P155" s="1613">
        <f t="shared" si="75"/>
        <v>0</v>
      </c>
      <c r="Q155" s="1613">
        <f t="shared" si="75"/>
        <v>0</v>
      </c>
      <c r="R155" s="1613">
        <f t="shared" si="75"/>
        <v>0</v>
      </c>
      <c r="S155" s="1613">
        <f t="shared" si="75"/>
        <v>0</v>
      </c>
    </row>
    <row r="156" spans="2:19">
      <c r="B156" s="817" t="s">
        <v>1030</v>
      </c>
      <c r="F156" s="1614">
        <f t="shared" si="74"/>
        <v>0.12404083069341776</v>
      </c>
      <c r="G156" s="1614">
        <f t="shared" si="74"/>
        <v>-1.0553015594663928E-2</v>
      </c>
      <c r="H156" s="1614">
        <f t="shared" si="74"/>
        <v>2.136278760641841E-2</v>
      </c>
      <c r="I156" s="1614">
        <f t="shared" si="75"/>
        <v>-2.9127416955875063E-2</v>
      </c>
      <c r="J156" s="1614">
        <f t="shared" si="75"/>
        <v>4.66261330269373E-2</v>
      </c>
      <c r="K156" s="1614">
        <f t="shared" si="75"/>
        <v>2.688238517556707E-2</v>
      </c>
      <c r="L156" s="1614">
        <f t="shared" si="75"/>
        <v>4.0039541829248071E-2</v>
      </c>
      <c r="M156" s="1614">
        <f t="shared" si="75"/>
        <v>2.9546009383415672E-2</v>
      </c>
      <c r="N156" s="1614">
        <f t="shared" si="75"/>
        <v>2.7095784878568452E-2</v>
      </c>
      <c r="O156" s="1614">
        <f t="shared" si="75"/>
        <v>2.4642225878422686E-2</v>
      </c>
      <c r="P156" s="1614">
        <f t="shared" si="75"/>
        <v>2.3322711787520101E-2</v>
      </c>
      <c r="Q156" s="1614">
        <f t="shared" si="75"/>
        <v>2.2004686871786694E-2</v>
      </c>
      <c r="R156" s="1614">
        <f t="shared" si="75"/>
        <v>2.0692791940762678E-2</v>
      </c>
      <c r="S156" s="1614">
        <f t="shared" si="75"/>
        <v>1.9391684695122979E-2</v>
      </c>
    </row>
    <row r="157" spans="2:19">
      <c r="F157" s="1613"/>
      <c r="G157" s="1613"/>
      <c r="H157" s="1613"/>
      <c r="I157" s="1613"/>
      <c r="J157" s="1613"/>
      <c r="K157" s="1613"/>
      <c r="L157" s="1613"/>
      <c r="M157" s="1613"/>
      <c r="N157" s="1613"/>
      <c r="O157" s="1613"/>
      <c r="P157" s="1613"/>
      <c r="Q157" s="1613"/>
      <c r="R157" s="1613"/>
      <c r="S157" s="1613"/>
    </row>
    <row r="158" spans="2:19">
      <c r="B158" s="685" t="s">
        <v>1031</v>
      </c>
      <c r="F158" s="1613">
        <f t="shared" ref="F158:I161" si="76">F147/E147-1</f>
        <v>8.5796300233893286E-2</v>
      </c>
      <c r="G158" s="1613">
        <f t="shared" si="76"/>
        <v>0.17957505140507202</v>
      </c>
      <c r="H158" s="1613">
        <f t="shared" si="76"/>
        <v>4.9721922470324476E-2</v>
      </c>
      <c r="I158" s="1613">
        <f t="shared" si="76"/>
        <v>-6.3261110232484263E-3</v>
      </c>
      <c r="J158" s="1615">
        <v>0.05</v>
      </c>
      <c r="K158" s="1615">
        <v>0.03</v>
      </c>
      <c r="L158" s="1615">
        <v>0.03</v>
      </c>
      <c r="M158" s="1615">
        <v>0.03</v>
      </c>
      <c r="N158" s="1615">
        <v>2.5000000000000001E-2</v>
      </c>
      <c r="O158" s="1615">
        <v>2.2499999999999999E-2</v>
      </c>
      <c r="P158" s="1615">
        <v>0.02</v>
      </c>
      <c r="Q158" s="1615">
        <v>0.02</v>
      </c>
      <c r="R158" s="1615">
        <v>1.7500000000000002E-2</v>
      </c>
      <c r="S158" s="1615">
        <v>1.4999999999999999E-2</v>
      </c>
    </row>
    <row r="159" spans="2:19">
      <c r="B159" s="685" t="s">
        <v>1032</v>
      </c>
      <c r="F159" s="1613">
        <f t="shared" si="76"/>
        <v>0.13653952459922603</v>
      </c>
      <c r="G159" s="1613">
        <f t="shared" si="76"/>
        <v>0.22592412451361876</v>
      </c>
      <c r="H159" s="1613">
        <f t="shared" si="76"/>
        <v>2.5193414005157511E-2</v>
      </c>
      <c r="I159" s="1613">
        <f t="shared" si="76"/>
        <v>-0.22832817337461286</v>
      </c>
      <c r="J159" s="1615">
        <v>0.13</v>
      </c>
      <c r="K159" s="1615">
        <v>0.03</v>
      </c>
      <c r="L159" s="1615">
        <v>0.03</v>
      </c>
      <c r="M159" s="1615">
        <v>0.03</v>
      </c>
      <c r="N159" s="1615">
        <v>2.5000000000000001E-2</v>
      </c>
      <c r="O159" s="1615">
        <v>2.2499999999999999E-2</v>
      </c>
      <c r="P159" s="1615">
        <v>0.02</v>
      </c>
      <c r="Q159" s="1615">
        <v>0.02</v>
      </c>
      <c r="R159" s="1615">
        <v>1.7500000000000002E-2</v>
      </c>
      <c r="S159" s="1615">
        <v>1.4999999999999999E-2</v>
      </c>
    </row>
    <row r="160" spans="2:19">
      <c r="B160" s="685" t="s">
        <v>1033</v>
      </c>
      <c r="F160" s="1613">
        <f t="shared" si="76"/>
        <v>1.155388471177945</v>
      </c>
      <c r="G160" s="1613">
        <f t="shared" si="76"/>
        <v>-0.30813953488372092</v>
      </c>
      <c r="H160" s="1613">
        <f t="shared" si="76"/>
        <v>-0.21176470588235297</v>
      </c>
      <c r="I160" s="1613">
        <f t="shared" ref="I160:S161" si="77">I149/H149-1</f>
        <v>-0.1769722814498933</v>
      </c>
      <c r="J160" s="1613">
        <f t="shared" si="77"/>
        <v>6.2176165803108807E-2</v>
      </c>
      <c r="K160" s="1613">
        <f t="shared" si="77"/>
        <v>0</v>
      </c>
      <c r="L160" s="1613">
        <f t="shared" si="77"/>
        <v>0</v>
      </c>
      <c r="M160" s="1613">
        <f t="shared" si="77"/>
        <v>0</v>
      </c>
      <c r="N160" s="1613">
        <f t="shared" si="77"/>
        <v>0</v>
      </c>
      <c r="O160" s="1613">
        <f t="shared" si="77"/>
        <v>0</v>
      </c>
      <c r="P160" s="1613">
        <f t="shared" si="77"/>
        <v>0</v>
      </c>
      <c r="Q160" s="1613">
        <f t="shared" si="77"/>
        <v>0</v>
      </c>
      <c r="R160" s="1613">
        <f t="shared" si="77"/>
        <v>0</v>
      </c>
      <c r="S160" s="1613">
        <f t="shared" si="77"/>
        <v>0</v>
      </c>
    </row>
    <row r="161" spans="2:21">
      <c r="B161" s="817" t="s">
        <v>1034</v>
      </c>
      <c r="F161" s="1614">
        <f t="shared" si="76"/>
        <v>0.1312672278924234</v>
      </c>
      <c r="G161" s="1614">
        <f t="shared" si="76"/>
        <v>0.16450444517616081</v>
      </c>
      <c r="H161" s="1614">
        <f t="shared" si="76"/>
        <v>3.3930894079058804E-2</v>
      </c>
      <c r="I161" s="1614">
        <f t="shared" si="77"/>
        <v>-7.3456216157085974E-2</v>
      </c>
      <c r="J161" s="1614">
        <f t="shared" si="77"/>
        <v>6.9110979929162042E-2</v>
      </c>
      <c r="K161" s="1614">
        <f t="shared" si="77"/>
        <v>2.9320844979277449E-2</v>
      </c>
      <c r="L161" s="1614">
        <f t="shared" si="77"/>
        <v>2.9340191132789073E-2</v>
      </c>
      <c r="M161" s="1614">
        <f t="shared" si="77"/>
        <v>2.9358998246745927E-2</v>
      </c>
      <c r="N161" s="1614">
        <f t="shared" si="77"/>
        <v>2.4481067218898644E-2</v>
      </c>
      <c r="O161" s="1614">
        <f t="shared" si="77"/>
        <v>2.2044120903806474E-2</v>
      </c>
      <c r="P161" s="1614">
        <f t="shared" si="77"/>
        <v>1.9603514315091441E-2</v>
      </c>
      <c r="Q161" s="1614">
        <f t="shared" si="77"/>
        <v>1.9611137388855671E-2</v>
      </c>
      <c r="R161" s="1614">
        <f t="shared" si="77"/>
        <v>1.7166289654679145E-2</v>
      </c>
      <c r="S161" s="1614">
        <f t="shared" si="77"/>
        <v>1.4718789895264983E-2</v>
      </c>
    </row>
    <row r="162" spans="2:21">
      <c r="G162" s="814"/>
    </row>
    <row r="163" spans="2:21">
      <c r="G163" s="814"/>
    </row>
    <row r="164" spans="2:21">
      <c r="G164" s="814"/>
    </row>
    <row r="165" spans="2:21">
      <c r="B165" s="817" t="s">
        <v>1036</v>
      </c>
      <c r="C165" s="817"/>
      <c r="D165" s="817"/>
      <c r="E165" s="935">
        <v>1650</v>
      </c>
      <c r="F165" s="935">
        <v>1690</v>
      </c>
      <c r="G165" s="935">
        <v>1615.2</v>
      </c>
      <c r="H165" s="935">
        <v>1569.5</v>
      </c>
      <c r="I165" s="935">
        <f>SUM('VOD-quarts'!S33:V33)</f>
        <v>1606.1999999999998</v>
      </c>
      <c r="J165" s="818">
        <f t="shared" ref="J165:S165" si="78">J138-J168</f>
        <v>1627.7879999999996</v>
      </c>
      <c r="K165" s="818">
        <f t="shared" si="78"/>
        <v>1630.5423299999998</v>
      </c>
      <c r="L165" s="818">
        <f t="shared" si="78"/>
        <v>1685.0281109000002</v>
      </c>
      <c r="M165" s="818">
        <f t="shared" si="78"/>
        <v>1714.0783621020009</v>
      </c>
      <c r="N165" s="818">
        <f t="shared" si="78"/>
        <v>1734.4605850809362</v>
      </c>
      <c r="O165" s="818">
        <f t="shared" si="78"/>
        <v>1740.5715206997575</v>
      </c>
      <c r="P165" s="818">
        <f t="shared" si="78"/>
        <v>1735.6427673763683</v>
      </c>
      <c r="Q165" s="818">
        <f t="shared" si="78"/>
        <v>1724.1166403231919</v>
      </c>
      <c r="R165" s="818">
        <f t="shared" si="78"/>
        <v>1700.3230264615368</v>
      </c>
      <c r="S165" s="818">
        <f t="shared" si="78"/>
        <v>1663.5973939407104</v>
      </c>
    </row>
    <row r="166" spans="2:21">
      <c r="B166" s="685" t="s">
        <v>548</v>
      </c>
      <c r="E166" s="814">
        <f t="shared" ref="E166:N166" si="79">E165/E138</f>
        <v>0.39158559189951786</v>
      </c>
      <c r="F166" s="814">
        <f t="shared" si="79"/>
        <v>0.35865874363327677</v>
      </c>
      <c r="G166" s="814">
        <f t="shared" si="79"/>
        <v>0.32775974025974025</v>
      </c>
      <c r="H166" s="814">
        <f t="shared" si="79"/>
        <v>0.31045396103253881</v>
      </c>
      <c r="I166" s="814">
        <f t="shared" si="79"/>
        <v>0.33273947630096118</v>
      </c>
      <c r="J166" s="814">
        <f t="shared" si="79"/>
        <v>0.31977837336944337</v>
      </c>
      <c r="K166" s="814">
        <f t="shared" si="79"/>
        <v>0.31167061582238326</v>
      </c>
      <c r="L166" s="814">
        <f t="shared" si="79"/>
        <v>0.3108250440642733</v>
      </c>
      <c r="M166" s="814">
        <f t="shared" si="79"/>
        <v>0.30712961136870126</v>
      </c>
      <c r="N166" s="814">
        <f t="shared" si="79"/>
        <v>0.30285585567480611</v>
      </c>
      <c r="O166" s="814">
        <f>O165/O138</f>
        <v>0.29687965355963952</v>
      </c>
      <c r="P166" s="814">
        <f>P165/P138</f>
        <v>0.2896632799228217</v>
      </c>
      <c r="Q166" s="814">
        <f>Q165/Q138</f>
        <v>0.28177662079076843</v>
      </c>
      <c r="R166" s="814">
        <f>R165/R138</f>
        <v>0.27258520543085485</v>
      </c>
      <c r="S166" s="814">
        <f>S165/S138</f>
        <v>0.26204539540301536</v>
      </c>
      <c r="U166" s="685">
        <f>'VOD-quarts'!T118</f>
        <v>9.9447513812154664E-2</v>
      </c>
    </row>
    <row r="167" spans="2:21">
      <c r="E167" s="795">
        <f>4200-E165</f>
        <v>2550</v>
      </c>
      <c r="F167" s="795">
        <f>(E138*1.125)-F165</f>
        <v>3050.3429503001726</v>
      </c>
      <c r="G167" s="795"/>
      <c r="U167" s="685">
        <f>'VOD-quarts'!V34</f>
        <v>0.2996673722407015</v>
      </c>
    </row>
    <row r="168" spans="2:21">
      <c r="B168" s="685" t="s">
        <v>779</v>
      </c>
      <c r="E168" s="795">
        <f>E138-E165</f>
        <v>2563.6381780445981</v>
      </c>
      <c r="F168" s="795">
        <f>F138-F165</f>
        <v>3022</v>
      </c>
      <c r="G168" s="795">
        <f>G138-G165</f>
        <v>3312.8</v>
      </c>
      <c r="H168" s="795">
        <f>H138-H165</f>
        <v>3486</v>
      </c>
      <c r="I168" s="795">
        <f>I138-I165</f>
        <v>3221</v>
      </c>
      <c r="J168" s="795">
        <f t="shared" ref="J168:S168" si="80">(1+J169)*I168</f>
        <v>3462.5749999999998</v>
      </c>
      <c r="K168" s="795">
        <f t="shared" si="80"/>
        <v>3601.078</v>
      </c>
      <c r="L168" s="795">
        <f t="shared" si="80"/>
        <v>3736.1184250000001</v>
      </c>
      <c r="M168" s="795">
        <f t="shared" si="80"/>
        <v>3866.8825698749997</v>
      </c>
      <c r="N168" s="795">
        <f t="shared" si="80"/>
        <v>3992.5562533959369</v>
      </c>
      <c r="O168" s="795">
        <f t="shared" si="80"/>
        <v>4122.3143316313044</v>
      </c>
      <c r="P168" s="795">
        <f t="shared" si="80"/>
        <v>4256.289547409322</v>
      </c>
      <c r="Q168" s="795">
        <f t="shared" si="80"/>
        <v>4394.6189577001251</v>
      </c>
      <c r="R168" s="795">
        <f t="shared" si="80"/>
        <v>4537.4440738253788</v>
      </c>
      <c r="S168" s="795">
        <f t="shared" si="80"/>
        <v>4684.9110062247037</v>
      </c>
    </row>
    <row r="169" spans="2:21">
      <c r="B169" s="685" t="s">
        <v>192</v>
      </c>
      <c r="F169" s="789">
        <f>F168/E168-1</f>
        <v>0.1787934919525247</v>
      </c>
      <c r="G169" s="789">
        <f>G168/F168-1</f>
        <v>9.6227663798808871E-2</v>
      </c>
      <c r="H169" s="789">
        <f>H168/G168-1</f>
        <v>5.2282057474040133E-2</v>
      </c>
      <c r="I169" s="789">
        <f>I168/H168-1</f>
        <v>-7.6018359150889281E-2</v>
      </c>
      <c r="J169" s="933">
        <v>7.4999999999999997E-2</v>
      </c>
      <c r="K169" s="933">
        <v>0.04</v>
      </c>
      <c r="L169" s="933">
        <v>3.7499999999999999E-2</v>
      </c>
      <c r="M169" s="933">
        <v>3.5000000000000003E-2</v>
      </c>
      <c r="N169" s="933">
        <v>3.2500000000000001E-2</v>
      </c>
      <c r="O169" s="933">
        <v>3.2500000000000001E-2</v>
      </c>
      <c r="P169" s="933">
        <v>3.2500000000000001E-2</v>
      </c>
      <c r="Q169" s="933">
        <v>3.2500000000000001E-2</v>
      </c>
      <c r="R169" s="933">
        <v>3.2500000000000001E-2</v>
      </c>
      <c r="S169" s="933">
        <v>3.2500000000000001E-2</v>
      </c>
    </row>
    <row r="170" spans="2:21">
      <c r="B170" s="924" t="s">
        <v>1037</v>
      </c>
      <c r="F170" s="910">
        <v>18</v>
      </c>
      <c r="G170" s="834">
        <f>F170*1.03*0</f>
        <v>0</v>
      </c>
      <c r="H170" s="834">
        <f>G170*1.03</f>
        <v>0</v>
      </c>
      <c r="I170" s="834">
        <f t="shared" ref="I170:S170" si="81">H170*1.03</f>
        <v>0</v>
      </c>
      <c r="J170" s="834">
        <f t="shared" si="81"/>
        <v>0</v>
      </c>
      <c r="K170" s="834">
        <f t="shared" si="81"/>
        <v>0</v>
      </c>
      <c r="L170" s="834">
        <f t="shared" si="81"/>
        <v>0</v>
      </c>
      <c r="M170" s="834">
        <f t="shared" si="81"/>
        <v>0</v>
      </c>
      <c r="N170" s="834">
        <f t="shared" si="81"/>
        <v>0</v>
      </c>
      <c r="O170" s="834">
        <f t="shared" si="81"/>
        <v>0</v>
      </c>
      <c r="P170" s="834">
        <f t="shared" si="81"/>
        <v>0</v>
      </c>
      <c r="Q170" s="834">
        <f t="shared" si="81"/>
        <v>0</v>
      </c>
      <c r="R170" s="834">
        <f t="shared" si="81"/>
        <v>0</v>
      </c>
      <c r="S170" s="834">
        <f t="shared" si="81"/>
        <v>0</v>
      </c>
    </row>
    <row r="171" spans="2:21">
      <c r="I171" s="796"/>
    </row>
    <row r="172" spans="2:21">
      <c r="B172" s="685" t="s">
        <v>1038</v>
      </c>
      <c r="F172" s="910">
        <v>109.7</v>
      </c>
      <c r="G172" s="910">
        <v>87.8</v>
      </c>
      <c r="H172" s="910">
        <v>86.7</v>
      </c>
      <c r="I172" s="910">
        <f>-SUM('VOD-quarts'!S147:V147)</f>
        <v>14.7</v>
      </c>
      <c r="J172" s="834">
        <f t="shared" ref="J172:S172" si="82">I172*1.02</f>
        <v>14.994</v>
      </c>
      <c r="K172" s="834">
        <f t="shared" si="82"/>
        <v>15.29388</v>
      </c>
      <c r="L172" s="834">
        <f t="shared" si="82"/>
        <v>15.5997576</v>
      </c>
      <c r="M172" s="834">
        <f t="shared" si="82"/>
        <v>15.911752752</v>
      </c>
      <c r="N172" s="834">
        <f t="shared" si="82"/>
        <v>16.229987807040001</v>
      </c>
      <c r="O172" s="834">
        <f t="shared" si="82"/>
        <v>16.554587563180799</v>
      </c>
      <c r="P172" s="834">
        <f t="shared" si="82"/>
        <v>16.885679314444417</v>
      </c>
      <c r="Q172" s="834">
        <f t="shared" si="82"/>
        <v>17.223392900733305</v>
      </c>
      <c r="R172" s="834">
        <f t="shared" si="82"/>
        <v>17.567860758747972</v>
      </c>
      <c r="S172" s="834">
        <f t="shared" si="82"/>
        <v>17.919217973922933</v>
      </c>
    </row>
    <row r="174" spans="2:21">
      <c r="B174" s="685" t="s">
        <v>552</v>
      </c>
      <c r="F174" s="910">
        <f>197+327</f>
        <v>524</v>
      </c>
      <c r="G174" s="910">
        <v>570.70000000000005</v>
      </c>
      <c r="H174" s="910">
        <v>551.6</v>
      </c>
      <c r="I174" s="910">
        <f>-SUM('VOD-quarts'!S149:V149)</f>
        <v>531.9</v>
      </c>
      <c r="J174" s="796">
        <f t="shared" ref="J174:S174" si="83">J175*J138</f>
        <v>559.93992999999989</v>
      </c>
      <c r="K174" s="796">
        <f t="shared" si="83"/>
        <v>575.47823629999993</v>
      </c>
      <c r="L174" s="796">
        <f t="shared" si="83"/>
        <v>596.32611894900003</v>
      </c>
      <c r="M174" s="796">
        <f t="shared" si="83"/>
        <v>613.9057025174701</v>
      </c>
      <c r="N174" s="796">
        <f t="shared" si="83"/>
        <v>629.97185223245606</v>
      </c>
      <c r="O174" s="796">
        <f t="shared" si="83"/>
        <v>644.91744375641679</v>
      </c>
      <c r="P174" s="796">
        <f t="shared" si="83"/>
        <v>659.11255462642589</v>
      </c>
      <c r="Q174" s="796">
        <f t="shared" si="83"/>
        <v>673.06091578256485</v>
      </c>
      <c r="R174" s="796">
        <f t="shared" si="83"/>
        <v>686.15438103156077</v>
      </c>
      <c r="S174" s="796">
        <f t="shared" si="83"/>
        <v>698.33592401819556</v>
      </c>
    </row>
    <row r="175" spans="2:21">
      <c r="B175" s="685" t="s">
        <v>1039</v>
      </c>
      <c r="F175" s="789">
        <f>F174/F138</f>
        <v>0.11120543293718166</v>
      </c>
      <c r="G175" s="789">
        <f>G174/G138</f>
        <v>0.11580762987012988</v>
      </c>
      <c r="H175" s="789">
        <f>H174/H138</f>
        <v>0.10910889130649788</v>
      </c>
      <c r="I175" s="789">
        <f>I174/I138</f>
        <v>0.1101881007623467</v>
      </c>
      <c r="J175" s="925">
        <v>0.11</v>
      </c>
      <c r="K175" s="925">
        <v>0.11</v>
      </c>
      <c r="L175" s="925">
        <v>0.11</v>
      </c>
      <c r="M175" s="925">
        <v>0.11</v>
      </c>
      <c r="N175" s="925">
        <v>0.11</v>
      </c>
      <c r="O175" s="925">
        <v>0.11</v>
      </c>
      <c r="P175" s="925">
        <v>0.11</v>
      </c>
      <c r="Q175" s="925">
        <v>0.11</v>
      </c>
      <c r="R175" s="925">
        <v>0.11</v>
      </c>
      <c r="S175" s="925">
        <v>0.11</v>
      </c>
    </row>
    <row r="177" spans="2:19">
      <c r="B177" s="685" t="s">
        <v>1040</v>
      </c>
      <c r="G177" s="910">
        <f>(-93.9-G165)+G172+G174</f>
        <v>-1050.6000000000001</v>
      </c>
      <c r="H177" s="919">
        <f>-(900.2+72.9-155.2+157.1+5.5+12.3)</f>
        <v>-992.80000000000007</v>
      </c>
      <c r="I177" s="919">
        <f>604.7-(I165-I172-I174)</f>
        <v>-454.89999999999986</v>
      </c>
      <c r="J177" s="919">
        <v>-300</v>
      </c>
      <c r="K177" s="919">
        <v>-250</v>
      </c>
      <c r="L177" s="919">
        <v>-250</v>
      </c>
      <c r="M177" s="919">
        <v>-250</v>
      </c>
      <c r="N177" s="919">
        <v>-250</v>
      </c>
      <c r="O177" s="919">
        <v>-250</v>
      </c>
      <c r="P177" s="919">
        <v>-250</v>
      </c>
      <c r="Q177" s="919">
        <v>-250</v>
      </c>
      <c r="R177" s="919">
        <v>-250</v>
      </c>
      <c r="S177" s="919">
        <v>-250</v>
      </c>
    </row>
    <row r="178" spans="2:19">
      <c r="B178" s="1079" t="s">
        <v>238</v>
      </c>
      <c r="C178" s="1079"/>
      <c r="D178" s="1079"/>
      <c r="E178" s="1079"/>
      <c r="F178" s="1080">
        <f>F165-F172-F174+F177</f>
        <v>1056.3</v>
      </c>
      <c r="G178" s="1080">
        <f>G165-G172-G174+G177</f>
        <v>-93.900000000000091</v>
      </c>
      <c r="H178" s="1799">
        <f t="shared" ref="H178:N178" si="84">H165-H172-H174+H177</f>
        <v>-61.600000000000136</v>
      </c>
      <c r="I178" s="1080">
        <f t="shared" si="84"/>
        <v>604.70000000000005</v>
      </c>
      <c r="J178" s="1080">
        <f t="shared" si="84"/>
        <v>752.85406999999987</v>
      </c>
      <c r="K178" s="1080">
        <f t="shared" si="84"/>
        <v>789.77021369999989</v>
      </c>
      <c r="L178" s="1080">
        <f t="shared" si="84"/>
        <v>823.10223435100033</v>
      </c>
      <c r="M178" s="1080">
        <f t="shared" si="84"/>
        <v>834.26090683253096</v>
      </c>
      <c r="N178" s="1080">
        <f t="shared" si="84"/>
        <v>838.25874504144008</v>
      </c>
      <c r="O178" s="1080">
        <f>O165-O172-O174+O177</f>
        <v>829.09948938015987</v>
      </c>
      <c r="P178" s="1080">
        <f>P165-P172-P174+P177</f>
        <v>809.64453343549803</v>
      </c>
      <c r="Q178" s="1080">
        <f>Q165-Q172-Q174+Q177</f>
        <v>783.83233163989371</v>
      </c>
      <c r="R178" s="1080">
        <f>R165-R172-R174+R177</f>
        <v>746.6007846712281</v>
      </c>
      <c r="S178" s="1080">
        <f>S165-S172-S174+S177</f>
        <v>697.34225194859187</v>
      </c>
    </row>
    <row r="180" spans="2:19">
      <c r="B180" s="685" t="s">
        <v>1041</v>
      </c>
      <c r="F180" s="685">
        <v>700</v>
      </c>
      <c r="G180" s="936">
        <f>680.4-19.8</f>
        <v>660.6</v>
      </c>
      <c r="H180" s="936">
        <f>725.6-21.2+9.4</f>
        <v>713.8</v>
      </c>
      <c r="I180" s="936">
        <f>712.6-26.4-31.7</f>
        <v>654.5</v>
      </c>
      <c r="J180" s="796">
        <f t="shared" ref="J180:S180" si="85">J181*I215</f>
        <v>720.07380000000012</v>
      </c>
      <c r="K180" s="796">
        <f t="shared" si="85"/>
        <v>614.77695471000004</v>
      </c>
      <c r="L180" s="796">
        <f t="shared" si="85"/>
        <v>560.44167833945107</v>
      </c>
      <c r="M180" s="796">
        <f t="shared" si="85"/>
        <v>501.86918178804569</v>
      </c>
      <c r="N180" s="796">
        <f t="shared" si="85"/>
        <v>439.86683519072233</v>
      </c>
      <c r="O180" s="796">
        <f t="shared" si="85"/>
        <v>374.64767903857296</v>
      </c>
      <c r="P180" s="796">
        <f t="shared" si="85"/>
        <v>306.62126131435832</v>
      </c>
      <c r="Q180" s="796">
        <f t="shared" si="85"/>
        <v>236.09087462560888</v>
      </c>
      <c r="R180" s="796">
        <f t="shared" si="85"/>
        <v>163.20473142871256</v>
      </c>
      <c r="S180" s="796">
        <f t="shared" si="85"/>
        <v>88.327087801272697</v>
      </c>
    </row>
    <row r="181" spans="2:19">
      <c r="B181" s="685" t="s">
        <v>1042</v>
      </c>
      <c r="F181" s="814">
        <f>F180/F215</f>
        <v>7.3788290852360189E-2</v>
      </c>
      <c r="G181" s="814">
        <f>G180/F215</f>
        <v>6.9635064195813057E-2</v>
      </c>
      <c r="H181" s="814">
        <f>H180/G215</f>
        <v>7.390228498659239E-2</v>
      </c>
      <c r="I181" s="814">
        <f>I180/H215</f>
        <v>7.1462107067596925E-2</v>
      </c>
      <c r="J181" s="933">
        <v>8.1000000000000003E-2</v>
      </c>
      <c r="K181" s="933">
        <v>7.4999999999999997E-2</v>
      </c>
      <c r="L181" s="933">
        <f t="shared" ref="L181:S181" si="86">K181</f>
        <v>7.4999999999999997E-2</v>
      </c>
      <c r="M181" s="933">
        <f t="shared" si="86"/>
        <v>7.4999999999999997E-2</v>
      </c>
      <c r="N181" s="933">
        <f t="shared" si="86"/>
        <v>7.4999999999999997E-2</v>
      </c>
      <c r="O181" s="933">
        <f t="shared" si="86"/>
        <v>7.4999999999999997E-2</v>
      </c>
      <c r="P181" s="933">
        <f t="shared" si="86"/>
        <v>7.4999999999999997E-2</v>
      </c>
      <c r="Q181" s="933">
        <f t="shared" si="86"/>
        <v>7.4999999999999997E-2</v>
      </c>
      <c r="R181" s="933">
        <f t="shared" si="86"/>
        <v>7.4999999999999997E-2</v>
      </c>
      <c r="S181" s="933">
        <f t="shared" si="86"/>
        <v>7.4999999999999997E-2</v>
      </c>
    </row>
    <row r="183" spans="2:19">
      <c r="B183" s="685" t="s">
        <v>107</v>
      </c>
      <c r="H183" s="936">
        <v>47.3</v>
      </c>
      <c r="I183" s="936">
        <v>-7.5</v>
      </c>
      <c r="J183" s="936">
        <v>0</v>
      </c>
      <c r="K183" s="936">
        <v>0</v>
      </c>
      <c r="L183" s="936">
        <v>0</v>
      </c>
      <c r="M183" s="936">
        <v>0</v>
      </c>
      <c r="N183" s="936">
        <v>0</v>
      </c>
      <c r="O183" s="936">
        <v>0</v>
      </c>
      <c r="P183" s="936">
        <v>0</v>
      </c>
      <c r="Q183" s="936">
        <v>0</v>
      </c>
      <c r="R183" s="936">
        <v>0</v>
      </c>
      <c r="S183" s="936">
        <v>0</v>
      </c>
    </row>
    <row r="184" spans="2:19">
      <c r="B184" s="1395" t="s">
        <v>553</v>
      </c>
      <c r="C184" s="1395"/>
      <c r="D184" s="1395"/>
      <c r="E184" s="1395"/>
      <c r="F184" s="1396">
        <f>F178-F180-F183</f>
        <v>356.29999999999995</v>
      </c>
      <c r="G184" s="1396">
        <f>G178-G180-G183</f>
        <v>-754.50000000000011</v>
      </c>
      <c r="H184" s="1396">
        <f>H178-H180-H183</f>
        <v>-822.7</v>
      </c>
      <c r="I184" s="1396">
        <f t="shared" ref="I184:N184" si="87">I178-I180-I183</f>
        <v>-42.299999999999955</v>
      </c>
      <c r="J184" s="1396">
        <f t="shared" si="87"/>
        <v>32.780269999999746</v>
      </c>
      <c r="K184" s="1396">
        <f t="shared" si="87"/>
        <v>174.99325898999984</v>
      </c>
      <c r="L184" s="1396">
        <f t="shared" si="87"/>
        <v>262.66055601154926</v>
      </c>
      <c r="M184" s="1396">
        <f t="shared" si="87"/>
        <v>332.39172504448527</v>
      </c>
      <c r="N184" s="1396">
        <f t="shared" si="87"/>
        <v>398.39190985071775</v>
      </c>
      <c r="O184" s="1396">
        <f>O178-O180-O183</f>
        <v>454.45181034158691</v>
      </c>
      <c r="P184" s="1396">
        <f>P178-P180-P183</f>
        <v>503.02327212113971</v>
      </c>
      <c r="Q184" s="1396">
        <f>Q178-Q180-Q183</f>
        <v>547.74145701428483</v>
      </c>
      <c r="R184" s="1396">
        <f>R178-R180-R183</f>
        <v>583.39605324251556</v>
      </c>
      <c r="S184" s="1396">
        <f>S178-S180-S183</f>
        <v>609.01516414731918</v>
      </c>
    </row>
    <row r="185" spans="2:19">
      <c r="F185" s="795"/>
      <c r="G185" s="795"/>
      <c r="H185" s="795"/>
      <c r="I185" s="795"/>
      <c r="J185" s="795"/>
      <c r="K185" s="795"/>
      <c r="L185" s="795"/>
      <c r="M185" s="795"/>
      <c r="N185" s="795"/>
      <c r="O185" s="795"/>
      <c r="P185" s="795"/>
      <c r="Q185" s="795"/>
      <c r="R185" s="795"/>
      <c r="S185" s="795"/>
    </row>
    <row r="186" spans="2:19">
      <c r="B186" s="685" t="s">
        <v>374</v>
      </c>
      <c r="F186" s="796">
        <f>F209-F205</f>
        <v>141</v>
      </c>
      <c r="G186" s="934">
        <v>165.3</v>
      </c>
      <c r="H186" s="934">
        <v>156</v>
      </c>
      <c r="I186" s="934">
        <f>SUM('VOD-quarts'!S136:V136)</f>
        <v>6</v>
      </c>
      <c r="J186" s="796">
        <f t="shared" ref="J186:S186" si="88">J189</f>
        <v>9.1784755999999295</v>
      </c>
      <c r="K186" s="796">
        <f t="shared" si="88"/>
        <v>48.998112517199964</v>
      </c>
      <c r="L186" s="796">
        <f t="shared" si="88"/>
        <v>73.544955683233795</v>
      </c>
      <c r="M186" s="796">
        <f t="shared" si="88"/>
        <v>93.069683012455883</v>
      </c>
      <c r="N186" s="796">
        <f t="shared" si="88"/>
        <v>111.54973475820098</v>
      </c>
      <c r="O186" s="796">
        <f t="shared" si="88"/>
        <v>127.24650689564434</v>
      </c>
      <c r="P186" s="796">
        <f t="shared" si="88"/>
        <v>140.84651619391914</v>
      </c>
      <c r="Q186" s="796">
        <f t="shared" si="88"/>
        <v>153.36760796399977</v>
      </c>
      <c r="R186" s="796">
        <f t="shared" si="88"/>
        <v>163.35089490790438</v>
      </c>
      <c r="S186" s="796">
        <f t="shared" si="88"/>
        <v>170.52424596124939</v>
      </c>
    </row>
    <row r="187" spans="2:19">
      <c r="B187" s="685" t="s">
        <v>365</v>
      </c>
      <c r="F187" s="789">
        <f t="shared" ref="F187:N187" si="89">F186/F184</f>
        <v>0.39573393207970814</v>
      </c>
      <c r="G187" s="789">
        <f t="shared" si="89"/>
        <v>-0.21908548707753478</v>
      </c>
      <c r="H187" s="789">
        <f t="shared" si="89"/>
        <v>-0.18961954539929499</v>
      </c>
      <c r="I187" s="789">
        <f t="shared" si="89"/>
        <v>-0.14184397163120582</v>
      </c>
      <c r="J187" s="789">
        <f t="shared" si="89"/>
        <v>0.28000000000000003</v>
      </c>
      <c r="K187" s="789">
        <f t="shared" si="89"/>
        <v>0.28000000000000003</v>
      </c>
      <c r="L187" s="789">
        <f t="shared" si="89"/>
        <v>0.28000000000000003</v>
      </c>
      <c r="M187" s="789">
        <f t="shared" si="89"/>
        <v>0.28000000000000003</v>
      </c>
      <c r="N187" s="789">
        <f t="shared" si="89"/>
        <v>0.28000000000000003</v>
      </c>
      <c r="O187" s="789">
        <f>O186/O184</f>
        <v>0.28000000000000003</v>
      </c>
      <c r="P187" s="789">
        <f>P186/P184</f>
        <v>0.28000000000000003</v>
      </c>
      <c r="Q187" s="789">
        <f>Q186/Q184</f>
        <v>0.28000000000000003</v>
      </c>
      <c r="R187" s="789">
        <f>R186/R184</f>
        <v>0.28000000000000003</v>
      </c>
      <c r="S187" s="789">
        <f>S186/S184</f>
        <v>0.28000000000000003</v>
      </c>
    </row>
    <row r="188" spans="2:19">
      <c r="F188" s="789"/>
      <c r="G188" s="796"/>
      <c r="H188" s="796"/>
      <c r="I188" s="796"/>
      <c r="J188" s="796"/>
      <c r="K188" s="796"/>
      <c r="L188" s="796"/>
      <c r="M188" s="796"/>
      <c r="N188" s="796"/>
      <c r="O188" s="796"/>
      <c r="P188" s="796"/>
      <c r="Q188" s="796"/>
      <c r="R188" s="796"/>
      <c r="S188" s="796"/>
    </row>
    <row r="189" spans="2:19">
      <c r="B189" s="685" t="s">
        <v>1043</v>
      </c>
      <c r="F189" s="796">
        <f t="shared" ref="F189:N189" si="90">F190*F184</f>
        <v>99.763999999999996</v>
      </c>
      <c r="G189" s="796">
        <f t="shared" si="90"/>
        <v>-211.26000000000005</v>
      </c>
      <c r="H189" s="796">
        <f t="shared" si="90"/>
        <v>-230.35600000000002</v>
      </c>
      <c r="I189" s="796">
        <f t="shared" si="90"/>
        <v>-11.843999999999989</v>
      </c>
      <c r="J189" s="796">
        <f t="shared" si="90"/>
        <v>9.1784755999999295</v>
      </c>
      <c r="K189" s="796">
        <f t="shared" si="90"/>
        <v>48.998112517199964</v>
      </c>
      <c r="L189" s="796">
        <f t="shared" si="90"/>
        <v>73.544955683233795</v>
      </c>
      <c r="M189" s="796">
        <f t="shared" si="90"/>
        <v>93.069683012455883</v>
      </c>
      <c r="N189" s="796">
        <f t="shared" si="90"/>
        <v>111.54973475820098</v>
      </c>
      <c r="O189" s="796">
        <f>O190*O184</f>
        <v>127.24650689564434</v>
      </c>
      <c r="P189" s="796">
        <f>P190*P184</f>
        <v>140.84651619391914</v>
      </c>
      <c r="Q189" s="796">
        <f>Q190*Q184</f>
        <v>153.36760796399977</v>
      </c>
      <c r="R189" s="796">
        <f>R190*R184</f>
        <v>163.35089490790438</v>
      </c>
      <c r="S189" s="796">
        <f>S190*S184</f>
        <v>170.52424596124939</v>
      </c>
    </row>
    <row r="190" spans="2:19">
      <c r="B190" s="685" t="s">
        <v>1044</v>
      </c>
      <c r="F190" s="925">
        <v>0.28000000000000003</v>
      </c>
      <c r="G190" s="925">
        <v>0.28000000000000003</v>
      </c>
      <c r="H190" s="925">
        <v>0.28000000000000003</v>
      </c>
      <c r="I190" s="925">
        <v>0.28000000000000003</v>
      </c>
      <c r="J190" s="925">
        <v>0.28000000000000003</v>
      </c>
      <c r="K190" s="925">
        <v>0.28000000000000003</v>
      </c>
      <c r="L190" s="925">
        <v>0.28000000000000003</v>
      </c>
      <c r="M190" s="925">
        <v>0.28000000000000003</v>
      </c>
      <c r="N190" s="925">
        <v>0.28000000000000003</v>
      </c>
      <c r="O190" s="925">
        <v>0.28000000000000003</v>
      </c>
      <c r="P190" s="925">
        <v>0.28000000000000003</v>
      </c>
      <c r="Q190" s="925">
        <v>0.28000000000000003</v>
      </c>
      <c r="R190" s="925">
        <v>0.28000000000000003</v>
      </c>
      <c r="S190" s="925">
        <v>0.28000000000000003</v>
      </c>
    </row>
    <row r="192" spans="2:19">
      <c r="B192" s="685" t="s">
        <v>1045</v>
      </c>
      <c r="F192" s="796">
        <f t="shared" ref="F192:N192" si="91">F189-F186</f>
        <v>-41.236000000000004</v>
      </c>
      <c r="G192" s="796">
        <f t="shared" si="91"/>
        <v>-376.56000000000006</v>
      </c>
      <c r="H192" s="796">
        <f t="shared" si="91"/>
        <v>-386.35599999999999</v>
      </c>
      <c r="I192" s="796">
        <f t="shared" si="91"/>
        <v>-17.843999999999987</v>
      </c>
      <c r="J192" s="796">
        <f t="shared" si="91"/>
        <v>0</v>
      </c>
      <c r="K192" s="796">
        <f t="shared" si="91"/>
        <v>0</v>
      </c>
      <c r="L192" s="796">
        <f t="shared" si="91"/>
        <v>0</v>
      </c>
      <c r="M192" s="796">
        <f t="shared" si="91"/>
        <v>0</v>
      </c>
      <c r="N192" s="796">
        <f t="shared" si="91"/>
        <v>0</v>
      </c>
      <c r="O192" s="796">
        <f>O189-O186</f>
        <v>0</v>
      </c>
      <c r="P192" s="796">
        <f>P189-P186</f>
        <v>0</v>
      </c>
      <c r="Q192" s="796">
        <f>Q189-Q186</f>
        <v>0</v>
      </c>
      <c r="R192" s="796">
        <f>R189-R186</f>
        <v>0</v>
      </c>
      <c r="S192" s="796">
        <f>S189-S186</f>
        <v>0</v>
      </c>
    </row>
    <row r="193" spans="2:19">
      <c r="B193" s="685" t="s">
        <v>1046</v>
      </c>
      <c r="F193" s="796">
        <f>F192</f>
        <v>-41.236000000000004</v>
      </c>
      <c r="G193" s="796">
        <f t="shared" ref="G193:S193" si="92">F193+G192</f>
        <v>-417.79600000000005</v>
      </c>
      <c r="H193" s="796">
        <f t="shared" si="92"/>
        <v>-804.15200000000004</v>
      </c>
      <c r="I193" s="796">
        <f t="shared" si="92"/>
        <v>-821.99599999999998</v>
      </c>
      <c r="J193" s="796">
        <f t="shared" si="92"/>
        <v>-821.99599999999998</v>
      </c>
      <c r="K193" s="796">
        <f t="shared" si="92"/>
        <v>-821.99599999999998</v>
      </c>
      <c r="L193" s="796">
        <f t="shared" si="92"/>
        <v>-821.99599999999998</v>
      </c>
      <c r="M193" s="796">
        <f t="shared" si="92"/>
        <v>-821.99599999999998</v>
      </c>
      <c r="N193" s="796">
        <f t="shared" si="92"/>
        <v>-821.99599999999998</v>
      </c>
      <c r="O193" s="796">
        <f t="shared" si="92"/>
        <v>-821.99599999999998</v>
      </c>
      <c r="P193" s="796">
        <f t="shared" si="92"/>
        <v>-821.99599999999998</v>
      </c>
      <c r="Q193" s="796">
        <f t="shared" si="92"/>
        <v>-821.99599999999998</v>
      </c>
      <c r="R193" s="796">
        <f t="shared" si="92"/>
        <v>-821.99599999999998</v>
      </c>
      <c r="S193" s="796">
        <f t="shared" si="92"/>
        <v>-821.99599999999998</v>
      </c>
    </row>
    <row r="195" spans="2:19">
      <c r="B195" s="1079" t="s">
        <v>38</v>
      </c>
      <c r="C195" s="1079"/>
      <c r="D195" s="1079"/>
      <c r="E195" s="1079"/>
      <c r="F195" s="1081">
        <v>-1530</v>
      </c>
      <c r="G195" s="1081">
        <v>-873.6</v>
      </c>
      <c r="H195" s="1081">
        <v>-666.7</v>
      </c>
      <c r="I195" s="1081">
        <v>-36.299999999999997</v>
      </c>
      <c r="J195" s="1080">
        <f t="shared" ref="J195:S195" si="93">J184-J189</f>
        <v>23.601794399999818</v>
      </c>
      <c r="K195" s="1080">
        <f t="shared" si="93"/>
        <v>125.99514647279989</v>
      </c>
      <c r="L195" s="1080">
        <f t="shared" si="93"/>
        <v>189.11560032831545</v>
      </c>
      <c r="M195" s="1080">
        <f t="shared" si="93"/>
        <v>239.3220420320294</v>
      </c>
      <c r="N195" s="1080">
        <f t="shared" si="93"/>
        <v>286.84217509251675</v>
      </c>
      <c r="O195" s="1080">
        <f t="shared" si="93"/>
        <v>327.20530344594255</v>
      </c>
      <c r="P195" s="1080">
        <f t="shared" si="93"/>
        <v>362.1767559272206</v>
      </c>
      <c r="Q195" s="1080">
        <f t="shared" si="93"/>
        <v>394.37384905028506</v>
      </c>
      <c r="R195" s="1080">
        <f t="shared" si="93"/>
        <v>420.04515833461119</v>
      </c>
      <c r="S195" s="1080">
        <f t="shared" si="93"/>
        <v>438.49091818606979</v>
      </c>
    </row>
    <row r="196" spans="2:19">
      <c r="B196" s="685" t="s">
        <v>548</v>
      </c>
      <c r="F196" s="789">
        <f t="shared" ref="F196:N196" si="94">F195/F138</f>
        <v>-0.32470288624787774</v>
      </c>
      <c r="G196" s="789">
        <f t="shared" si="94"/>
        <v>-0.17727272727272728</v>
      </c>
      <c r="H196" s="789">
        <f t="shared" si="94"/>
        <v>-0.13187617446345565</v>
      </c>
      <c r="I196" s="789">
        <f t="shared" si="94"/>
        <v>-7.5198873052701358E-3</v>
      </c>
      <c r="J196" s="789">
        <f t="shared" si="94"/>
        <v>4.6365641114395617E-3</v>
      </c>
      <c r="K196" s="789">
        <f t="shared" si="94"/>
        <v>2.4083388802183948E-2</v>
      </c>
      <c r="L196" s="789">
        <f t="shared" si="94"/>
        <v>3.48847977223916E-2</v>
      </c>
      <c r="M196" s="789">
        <f t="shared" si="94"/>
        <v>4.2881870156229872E-2</v>
      </c>
      <c r="N196" s="789">
        <f t="shared" si="94"/>
        <v>5.008579216414593E-2</v>
      </c>
      <c r="O196" s="789">
        <f>O195/O138</f>
        <v>5.5809598154780198E-2</v>
      </c>
      <c r="P196" s="789">
        <f>P195/P138</f>
        <v>6.0444066604943676E-2</v>
      </c>
      <c r="Q196" s="789">
        <f>Q195/Q138</f>
        <v>6.4453487609055893E-2</v>
      </c>
      <c r="R196" s="789">
        <f>R195/R138</f>
        <v>6.7339025581011278E-2</v>
      </c>
      <c r="S196" s="789">
        <f>S195/S138</f>
        <v>6.9069912260751626E-2</v>
      </c>
    </row>
    <row r="198" spans="2:19">
      <c r="B198" s="685" t="s">
        <v>1047</v>
      </c>
      <c r="F198" s="910">
        <v>750</v>
      </c>
      <c r="G198" s="795">
        <f>F198</f>
        <v>750</v>
      </c>
      <c r="H198" s="795">
        <f t="shared" ref="H198:S198" si="95">G198</f>
        <v>750</v>
      </c>
      <c r="I198" s="795">
        <f t="shared" si="95"/>
        <v>750</v>
      </c>
      <c r="J198" s="795">
        <f t="shared" si="95"/>
        <v>750</v>
      </c>
      <c r="K198" s="795">
        <f t="shared" si="95"/>
        <v>750</v>
      </c>
      <c r="L198" s="795">
        <f t="shared" si="95"/>
        <v>750</v>
      </c>
      <c r="M198" s="795">
        <f t="shared" si="95"/>
        <v>750</v>
      </c>
      <c r="N198" s="795">
        <f t="shared" si="95"/>
        <v>750</v>
      </c>
      <c r="O198" s="795">
        <f t="shared" si="95"/>
        <v>750</v>
      </c>
      <c r="P198" s="795">
        <f t="shared" si="95"/>
        <v>750</v>
      </c>
      <c r="Q198" s="795">
        <f t="shared" si="95"/>
        <v>750</v>
      </c>
      <c r="R198" s="795">
        <f t="shared" si="95"/>
        <v>750</v>
      </c>
      <c r="S198" s="795">
        <f t="shared" si="95"/>
        <v>750</v>
      </c>
    </row>
    <row r="199" spans="2:19">
      <c r="B199" s="685" t="s">
        <v>1048</v>
      </c>
      <c r="F199" s="933">
        <v>5.5E-2</v>
      </c>
      <c r="G199" s="814">
        <f>F199</f>
        <v>5.5E-2</v>
      </c>
      <c r="H199" s="814">
        <f t="shared" ref="H199:S199" si="96">G199</f>
        <v>5.5E-2</v>
      </c>
      <c r="I199" s="814">
        <f t="shared" si="96"/>
        <v>5.5E-2</v>
      </c>
      <c r="J199" s="814">
        <f t="shared" si="96"/>
        <v>5.5E-2</v>
      </c>
      <c r="K199" s="814">
        <f t="shared" si="96"/>
        <v>5.5E-2</v>
      </c>
      <c r="L199" s="814">
        <f t="shared" si="96"/>
        <v>5.5E-2</v>
      </c>
      <c r="M199" s="814">
        <f t="shared" si="96"/>
        <v>5.5E-2</v>
      </c>
      <c r="N199" s="814">
        <f t="shared" si="96"/>
        <v>5.5E-2</v>
      </c>
      <c r="O199" s="814">
        <f t="shared" si="96"/>
        <v>5.5E-2</v>
      </c>
      <c r="P199" s="814">
        <f t="shared" si="96"/>
        <v>5.5E-2</v>
      </c>
      <c r="Q199" s="814">
        <f t="shared" si="96"/>
        <v>5.5E-2</v>
      </c>
      <c r="R199" s="814">
        <f t="shared" si="96"/>
        <v>5.5E-2</v>
      </c>
      <c r="S199" s="814">
        <f t="shared" si="96"/>
        <v>5.5E-2</v>
      </c>
    </row>
    <row r="200" spans="2:19">
      <c r="B200" s="685" t="s">
        <v>1048</v>
      </c>
      <c r="F200" s="795">
        <f>F199*F198</f>
        <v>41.25</v>
      </c>
      <c r="G200" s="795">
        <f t="shared" ref="G200:N200" si="97">G199*G198</f>
        <v>41.25</v>
      </c>
      <c r="H200" s="795">
        <f t="shared" si="97"/>
        <v>41.25</v>
      </c>
      <c r="I200" s="795">
        <f t="shared" si="97"/>
        <v>41.25</v>
      </c>
      <c r="J200" s="795">
        <f t="shared" si="97"/>
        <v>41.25</v>
      </c>
      <c r="K200" s="795">
        <f t="shared" si="97"/>
        <v>41.25</v>
      </c>
      <c r="L200" s="795">
        <f t="shared" si="97"/>
        <v>41.25</v>
      </c>
      <c r="M200" s="795">
        <f t="shared" si="97"/>
        <v>41.25</v>
      </c>
      <c r="N200" s="795">
        <f t="shared" si="97"/>
        <v>41.25</v>
      </c>
      <c r="O200" s="795">
        <f>O199*O198</f>
        <v>41.25</v>
      </c>
      <c r="P200" s="795">
        <f>P199*P198</f>
        <v>41.25</v>
      </c>
      <c r="Q200" s="795">
        <f>Q199*Q198</f>
        <v>41.25</v>
      </c>
      <c r="R200" s="795">
        <f>R199*R198</f>
        <v>41.25</v>
      </c>
      <c r="S200" s="795">
        <f>S199*S198</f>
        <v>41.25</v>
      </c>
    </row>
    <row r="202" spans="2:19">
      <c r="B202" s="685" t="s">
        <v>1049</v>
      </c>
      <c r="F202" s="933">
        <v>0</v>
      </c>
      <c r="G202" s="933">
        <v>0</v>
      </c>
      <c r="H202" s="933">
        <v>0</v>
      </c>
      <c r="I202" s="933">
        <v>0.25</v>
      </c>
      <c r="J202" s="933">
        <v>0.5</v>
      </c>
      <c r="K202" s="933">
        <v>0.35</v>
      </c>
      <c r="L202" s="933">
        <v>0.35</v>
      </c>
      <c r="M202" s="933">
        <v>0.35</v>
      </c>
      <c r="N202" s="933">
        <v>0.35</v>
      </c>
      <c r="O202" s="933">
        <v>0.35</v>
      </c>
      <c r="P202" s="933">
        <v>0.35</v>
      </c>
      <c r="Q202" s="933">
        <v>0.35</v>
      </c>
      <c r="R202" s="933">
        <v>0.35</v>
      </c>
      <c r="S202" s="933">
        <v>0.35</v>
      </c>
    </row>
    <row r="203" spans="2:19">
      <c r="B203" s="685" t="s">
        <v>1049</v>
      </c>
      <c r="F203" s="795">
        <f t="shared" ref="F203:N203" si="98">F202*F195</f>
        <v>0</v>
      </c>
      <c r="G203" s="910">
        <v>42.4</v>
      </c>
      <c r="H203" s="910">
        <v>41.3</v>
      </c>
      <c r="I203" s="910">
        <v>42.3</v>
      </c>
      <c r="J203" s="795">
        <f t="shared" si="98"/>
        <v>11.800897199999909</v>
      </c>
      <c r="K203" s="795">
        <f t="shared" si="98"/>
        <v>44.098301265479961</v>
      </c>
      <c r="L203" s="795">
        <f t="shared" si="98"/>
        <v>66.190460114910408</v>
      </c>
      <c r="M203" s="795">
        <f t="shared" si="98"/>
        <v>83.762714711210279</v>
      </c>
      <c r="N203" s="795">
        <f t="shared" si="98"/>
        <v>100.39476128238086</v>
      </c>
      <c r="O203" s="795">
        <f>O202*O195</f>
        <v>114.52185620607989</v>
      </c>
      <c r="P203" s="795">
        <f>P202*P195</f>
        <v>126.76186457452719</v>
      </c>
      <c r="Q203" s="795">
        <f>Q202*Q195</f>
        <v>138.03084716759977</v>
      </c>
      <c r="R203" s="795">
        <f>R202*R195</f>
        <v>147.01580541711391</v>
      </c>
      <c r="S203" s="795">
        <f>S202*S195</f>
        <v>153.47182136512441</v>
      </c>
    </row>
    <row r="205" spans="2:19">
      <c r="B205" s="685" t="s">
        <v>35</v>
      </c>
      <c r="E205" s="936">
        <v>42</v>
      </c>
      <c r="F205" s="936">
        <v>159</v>
      </c>
      <c r="G205" s="936">
        <v>168</v>
      </c>
      <c r="H205" s="936">
        <v>115</v>
      </c>
      <c r="I205" s="936">
        <f>-SUM('VOD-quarts'!S134:V134)</f>
        <v>119.4</v>
      </c>
      <c r="J205" s="796">
        <f t="shared" ref="J205:S205" si="99">J206*J138</f>
        <v>152.71088999999998</v>
      </c>
      <c r="K205" s="796">
        <f t="shared" si="99"/>
        <v>156.94860989999998</v>
      </c>
      <c r="L205" s="796">
        <f t="shared" si="99"/>
        <v>162.63439607699999</v>
      </c>
      <c r="M205" s="796">
        <f t="shared" si="99"/>
        <v>167.42882795931001</v>
      </c>
      <c r="N205" s="796">
        <f t="shared" si="99"/>
        <v>171.81050515430618</v>
      </c>
      <c r="O205" s="796">
        <f t="shared" si="99"/>
        <v>175.88657556993184</v>
      </c>
      <c r="P205" s="796">
        <f t="shared" si="99"/>
        <v>179.75796944357072</v>
      </c>
      <c r="Q205" s="796">
        <f t="shared" si="99"/>
        <v>183.56206794069951</v>
      </c>
      <c r="R205" s="796">
        <f t="shared" si="99"/>
        <v>187.13301300860746</v>
      </c>
      <c r="S205" s="796">
        <f t="shared" si="99"/>
        <v>190.4552520049624</v>
      </c>
    </row>
    <row r="206" spans="2:19">
      <c r="B206" s="685" t="s">
        <v>396</v>
      </c>
      <c r="F206" s="814">
        <f>F205/F138</f>
        <v>3.3743633276740237E-2</v>
      </c>
      <c r="G206" s="814">
        <f>G205/G138</f>
        <v>3.4090909090909088E-2</v>
      </c>
      <c r="H206" s="814">
        <f>H205/H138</f>
        <v>2.2747502719810107E-2</v>
      </c>
      <c r="I206" s="814">
        <f>I205/I138</f>
        <v>2.4734835929731525E-2</v>
      </c>
      <c r="J206" s="933">
        <v>0.03</v>
      </c>
      <c r="K206" s="933">
        <f t="shared" ref="K206:S206" si="100">J206</f>
        <v>0.03</v>
      </c>
      <c r="L206" s="933">
        <f t="shared" si="100"/>
        <v>0.03</v>
      </c>
      <c r="M206" s="933">
        <f t="shared" si="100"/>
        <v>0.03</v>
      </c>
      <c r="N206" s="933">
        <f t="shared" si="100"/>
        <v>0.03</v>
      </c>
      <c r="O206" s="933">
        <f t="shared" si="100"/>
        <v>0.03</v>
      </c>
      <c r="P206" s="933">
        <f t="shared" si="100"/>
        <v>0.03</v>
      </c>
      <c r="Q206" s="933">
        <f t="shared" si="100"/>
        <v>0.03</v>
      </c>
      <c r="R206" s="933">
        <f t="shared" si="100"/>
        <v>0.03</v>
      </c>
      <c r="S206" s="933">
        <f t="shared" si="100"/>
        <v>0.03</v>
      </c>
    </row>
    <row r="208" spans="2:19">
      <c r="B208" s="787" t="s">
        <v>1050</v>
      </c>
    </row>
    <row r="209" spans="2:19">
      <c r="B209" s="685" t="s">
        <v>1051</v>
      </c>
      <c r="F209" s="685">
        <v>300</v>
      </c>
      <c r="G209" s="796">
        <f t="shared" ref="G209:N209" si="101">G186+G205</f>
        <v>333.3</v>
      </c>
      <c r="H209" s="796">
        <f t="shared" si="101"/>
        <v>271</v>
      </c>
      <c r="I209" s="796">
        <f t="shared" si="101"/>
        <v>125.4</v>
      </c>
      <c r="J209" s="796">
        <f t="shared" si="101"/>
        <v>161.88936559999991</v>
      </c>
      <c r="K209" s="796">
        <f t="shared" si="101"/>
        <v>205.94672241719994</v>
      </c>
      <c r="L209" s="796">
        <f t="shared" si="101"/>
        <v>236.17935176023377</v>
      </c>
      <c r="M209" s="796">
        <f t="shared" si="101"/>
        <v>260.49851097176588</v>
      </c>
      <c r="N209" s="796">
        <f t="shared" si="101"/>
        <v>283.36023991250715</v>
      </c>
      <c r="O209" s="796">
        <f>O186+O205</f>
        <v>303.13308246557619</v>
      </c>
      <c r="P209" s="796">
        <f>P186+P205</f>
        <v>320.60448563748986</v>
      </c>
      <c r="Q209" s="796">
        <f>Q186+Q205</f>
        <v>336.92967590469925</v>
      </c>
      <c r="R209" s="796">
        <f>R186+R205</f>
        <v>350.48390791651184</v>
      </c>
      <c r="S209" s="796">
        <f>S186+S205</f>
        <v>360.9794979662118</v>
      </c>
    </row>
    <row r="210" spans="2:19">
      <c r="B210" s="685" t="s">
        <v>1052</v>
      </c>
      <c r="F210" s="789">
        <f t="shared" ref="F210:N210" si="102">F209/F138</f>
        <v>6.3667232597623094E-2</v>
      </c>
      <c r="G210" s="789">
        <f t="shared" si="102"/>
        <v>6.7633928571428567E-2</v>
      </c>
      <c r="H210" s="789">
        <f t="shared" si="102"/>
        <v>5.3604984670161213E-2</v>
      </c>
      <c r="I210" s="789">
        <f t="shared" si="102"/>
        <v>2.5977792509115017E-2</v>
      </c>
      <c r="J210" s="789">
        <f t="shared" si="102"/>
        <v>3.1803108265559828E-2</v>
      </c>
      <c r="K210" s="789">
        <f t="shared" si="102"/>
        <v>3.9365762311960421E-2</v>
      </c>
      <c r="L210" s="789">
        <f t="shared" si="102"/>
        <v>4.3566310225374508E-2</v>
      </c>
      <c r="M210" s="789">
        <f t="shared" si="102"/>
        <v>4.6676282838533839E-2</v>
      </c>
      <c r="N210" s="789">
        <f t="shared" si="102"/>
        <v>4.9477808063834526E-2</v>
      </c>
      <c r="O210" s="789">
        <f>O209/O138</f>
        <v>5.1703732615747858E-2</v>
      </c>
      <c r="P210" s="789">
        <f>P209/P138</f>
        <v>5.3506025901922542E-2</v>
      </c>
      <c r="Q210" s="789">
        <f>Q209/Q138</f>
        <v>5.5065245181299516E-2</v>
      </c>
      <c r="R210" s="789">
        <f>R209/R138</f>
        <v>5.6187398837059949E-2</v>
      </c>
      <c r="S210" s="789">
        <f>S209/S138</f>
        <v>5.6860521434736744E-2</v>
      </c>
    </row>
    <row r="212" spans="2:19">
      <c r="B212" s="685" t="s">
        <v>1053</v>
      </c>
      <c r="F212" s="936">
        <v>-750</v>
      </c>
      <c r="G212" s="934">
        <f>-181.3-1345.1-42-0.3+75.2+40.5-10.5</f>
        <v>-1463.4999999999998</v>
      </c>
      <c r="H212" s="910">
        <f>SUM('VOD-quarts'!O137:R137)</f>
        <v>92.900000000000034</v>
      </c>
      <c r="I212" s="910">
        <f>SUM('VOD-quarts'!S137:V137)</f>
        <v>-136.89999999999998</v>
      </c>
      <c r="J212" s="936">
        <v>0</v>
      </c>
      <c r="K212" s="936">
        <v>0</v>
      </c>
      <c r="L212" s="936">
        <v>0</v>
      </c>
      <c r="M212" s="936">
        <v>0</v>
      </c>
      <c r="N212" s="936">
        <v>0</v>
      </c>
      <c r="O212" s="936">
        <v>0</v>
      </c>
      <c r="P212" s="936">
        <v>0</v>
      </c>
      <c r="Q212" s="936">
        <v>0</v>
      </c>
      <c r="R212" s="936">
        <v>0</v>
      </c>
      <c r="S212" s="936">
        <v>0</v>
      </c>
    </row>
    <row r="213" spans="2:19">
      <c r="B213" s="817" t="s">
        <v>154</v>
      </c>
      <c r="C213" s="817"/>
      <c r="D213" s="817"/>
      <c r="E213" s="817"/>
      <c r="F213" s="937">
        <f t="shared" ref="F213:N213" si="103">F165-F180-F186-F205+F212</f>
        <v>-60</v>
      </c>
      <c r="G213" s="937">
        <f t="shared" si="103"/>
        <v>-842.19999999999982</v>
      </c>
      <c r="H213" s="937">
        <f t="shared" si="103"/>
        <v>677.60000000000014</v>
      </c>
      <c r="I213" s="937">
        <f t="shared" si="103"/>
        <v>689.39999999999986</v>
      </c>
      <c r="J213" s="937">
        <f t="shared" si="103"/>
        <v>745.82483439999953</v>
      </c>
      <c r="K213" s="937">
        <f t="shared" si="103"/>
        <v>809.81865287279982</v>
      </c>
      <c r="L213" s="937">
        <f t="shared" si="103"/>
        <v>888.40708080031527</v>
      </c>
      <c r="M213" s="937">
        <f t="shared" si="103"/>
        <v>951.71066934218925</v>
      </c>
      <c r="N213" s="937">
        <f t="shared" si="103"/>
        <v>1011.2335099777069</v>
      </c>
      <c r="O213" s="937">
        <f>O165-O180-O186-O205+O212</f>
        <v>1062.7907591956082</v>
      </c>
      <c r="P213" s="937">
        <f>P165-P180-P186-P205+P212</f>
        <v>1108.4170204245199</v>
      </c>
      <c r="Q213" s="937">
        <f>Q165-Q180-Q186-Q205+Q212</f>
        <v>1151.0960897928837</v>
      </c>
      <c r="R213" s="937">
        <f>R165-R180-R186-R205+R212</f>
        <v>1186.6343871163122</v>
      </c>
      <c r="S213" s="937">
        <f>S165-S180-S186-S205+S212</f>
        <v>1214.290808173226</v>
      </c>
    </row>
    <row r="214" spans="2:19">
      <c r="H214" s="796"/>
      <c r="I214" s="796"/>
      <c r="J214" s="796"/>
      <c r="K214" s="796"/>
      <c r="L214" s="796"/>
      <c r="M214" s="796"/>
      <c r="N214" s="796"/>
      <c r="O214" s="796"/>
      <c r="P214" s="796"/>
      <c r="Q214" s="796"/>
      <c r="R214" s="796"/>
      <c r="S214" s="796"/>
    </row>
    <row r="215" spans="2:19">
      <c r="B215" s="685" t="s">
        <v>271</v>
      </c>
      <c r="E215" s="910">
        <f>(9942+57.6)-(528.8)</f>
        <v>9470.8000000000011</v>
      </c>
      <c r="F215" s="910">
        <f>'VOD-quarts'!J144</f>
        <v>9486.5999999999985</v>
      </c>
      <c r="G215" s="910">
        <f>'VOD-quarts'!N144</f>
        <v>9658.7000000000007</v>
      </c>
      <c r="H215" s="910">
        <f>'VOD-quarts'!R144</f>
        <v>9158.7000000000007</v>
      </c>
      <c r="I215" s="910">
        <f>'VOD-quarts'!V144</f>
        <v>8889.8000000000011</v>
      </c>
      <c r="J215" s="795">
        <f t="shared" ref="J215:S215" si="104">I215-J213+J203+J200</f>
        <v>8197.0260628000015</v>
      </c>
      <c r="K215" s="795">
        <f t="shared" si="104"/>
        <v>7472.555711192681</v>
      </c>
      <c r="L215" s="795">
        <f t="shared" si="104"/>
        <v>6691.5890905072765</v>
      </c>
      <c r="M215" s="795">
        <f t="shared" si="104"/>
        <v>5864.891135876298</v>
      </c>
      <c r="N215" s="795">
        <f t="shared" si="104"/>
        <v>4995.3023871809728</v>
      </c>
      <c r="O215" s="795">
        <f t="shared" si="104"/>
        <v>4088.2834841914446</v>
      </c>
      <c r="P215" s="795">
        <f t="shared" si="104"/>
        <v>3147.8783283414518</v>
      </c>
      <c r="Q215" s="795">
        <f t="shared" si="104"/>
        <v>2176.0630857161677</v>
      </c>
      <c r="R215" s="795">
        <f t="shared" si="104"/>
        <v>1177.6945040169694</v>
      </c>
      <c r="S215" s="795">
        <f t="shared" si="104"/>
        <v>158.12551720886785</v>
      </c>
    </row>
    <row r="216" spans="2:19">
      <c r="B216" s="685" t="s">
        <v>41</v>
      </c>
      <c r="E216" s="938">
        <f t="shared" ref="E216:N216" si="105">E215/E165</f>
        <v>5.7398787878787889</v>
      </c>
      <c r="F216" s="938">
        <f t="shared" si="105"/>
        <v>5.6133727810650882</v>
      </c>
      <c r="G216" s="938">
        <f t="shared" si="105"/>
        <v>5.9798786527984156</v>
      </c>
      <c r="H216" s="938">
        <f t="shared" si="105"/>
        <v>5.8354252946798351</v>
      </c>
      <c r="I216" s="938">
        <f t="shared" si="105"/>
        <v>5.5346781222761807</v>
      </c>
      <c r="J216" s="938">
        <f t="shared" si="105"/>
        <v>5.035684046571177</v>
      </c>
      <c r="K216" s="938">
        <f t="shared" si="105"/>
        <v>4.5828652060769759</v>
      </c>
      <c r="L216" s="938">
        <f t="shared" si="105"/>
        <v>3.9712032382256179</v>
      </c>
      <c r="M216" s="938">
        <f t="shared" si="105"/>
        <v>3.4216003571062474</v>
      </c>
      <c r="N216" s="938">
        <f t="shared" si="105"/>
        <v>2.8800322302785992</v>
      </c>
      <c r="O216" s="938">
        <f>O215/O165</f>
        <v>2.348816716562065</v>
      </c>
      <c r="P216" s="938">
        <f>P215/P165</f>
        <v>1.8136671828499862</v>
      </c>
      <c r="Q216" s="938">
        <f>Q215/Q165</f>
        <v>1.2621321752965953</v>
      </c>
      <c r="R216" s="938">
        <f>R215/R165</f>
        <v>0.69262986249607805</v>
      </c>
      <c r="S216" s="938">
        <f>S215/S165</f>
        <v>9.5050351596369084E-2</v>
      </c>
    </row>
    <row r="218" spans="2:19">
      <c r="B218" s="817" t="s">
        <v>47</v>
      </c>
      <c r="C218" s="817"/>
      <c r="D218" s="817"/>
      <c r="E218" s="817"/>
      <c r="F218" s="818">
        <f t="shared" ref="F218:N218" si="106">F165-F205-F186</f>
        <v>1390</v>
      </c>
      <c r="G218" s="818">
        <f t="shared" si="106"/>
        <v>1281.9000000000001</v>
      </c>
      <c r="H218" s="818">
        <f t="shared" si="106"/>
        <v>1298.5</v>
      </c>
      <c r="I218" s="818">
        <f t="shared" si="106"/>
        <v>1480.7999999999997</v>
      </c>
      <c r="J218" s="818">
        <f>J165-J205-J186</f>
        <v>1465.8986343999995</v>
      </c>
      <c r="K218" s="818">
        <f t="shared" si="106"/>
        <v>1424.5956075827996</v>
      </c>
      <c r="L218" s="818">
        <f t="shared" si="106"/>
        <v>1448.8487591397663</v>
      </c>
      <c r="M218" s="818">
        <f t="shared" si="106"/>
        <v>1453.5798511302351</v>
      </c>
      <c r="N218" s="818">
        <f t="shared" si="106"/>
        <v>1451.1003451684292</v>
      </c>
      <c r="O218" s="818">
        <f>O165-O205-O186</f>
        <v>1437.4384382341811</v>
      </c>
      <c r="P218" s="818">
        <f>P165-P205-P186</f>
        <v>1415.0382817388784</v>
      </c>
      <c r="Q218" s="818">
        <f>Q165-Q205-Q186</f>
        <v>1387.1869644184926</v>
      </c>
      <c r="R218" s="818">
        <f>R165-R205-R186</f>
        <v>1349.8391185450248</v>
      </c>
      <c r="S218" s="818">
        <f>S165-S205-S186</f>
        <v>1302.6178959744987</v>
      </c>
    </row>
    <row r="220" spans="2:19">
      <c r="B220" s="685" t="s">
        <v>110</v>
      </c>
      <c r="F220" s="933">
        <v>0.12</v>
      </c>
    </row>
    <row r="221" spans="2:19">
      <c r="B221" s="685" t="s">
        <v>1054</v>
      </c>
      <c r="F221" s="795">
        <f>NPV(F220,K218:S218)</f>
        <v>7558.754645607266</v>
      </c>
    </row>
    <row r="222" spans="2:19">
      <c r="B222" s="685" t="s">
        <v>679</v>
      </c>
      <c r="F222" s="933">
        <v>0</v>
      </c>
    </row>
    <row r="223" spans="2:19">
      <c r="B223" s="685" t="s">
        <v>1055</v>
      </c>
      <c r="F223" s="790">
        <f>1/(F220-F222)</f>
        <v>8.3333333333333339</v>
      </c>
    </row>
    <row r="224" spans="2:19">
      <c r="B224" s="685" t="s">
        <v>1056</v>
      </c>
      <c r="F224" s="795">
        <f>F223*S218</f>
        <v>10855.149133120824</v>
      </c>
    </row>
    <row r="225" spans="2:19">
      <c r="B225" s="685" t="s">
        <v>1057</v>
      </c>
      <c r="F225" s="795">
        <f>F224/(1+F220)^9</f>
        <v>3914.4756000734719</v>
      </c>
    </row>
    <row r="226" spans="2:19">
      <c r="B226" s="817" t="s">
        <v>77</v>
      </c>
      <c r="C226" s="817"/>
      <c r="D226" s="817"/>
      <c r="E226" s="817"/>
      <c r="F226" s="818">
        <f>F221+F225</f>
        <v>11473.230245680737</v>
      </c>
    </row>
    <row r="227" spans="2:19">
      <c r="B227" s="685" t="s">
        <v>271</v>
      </c>
      <c r="F227" s="795">
        <f>J215</f>
        <v>8197.0260628000015</v>
      </c>
    </row>
    <row r="228" spans="2:19">
      <c r="B228" s="817" t="s">
        <v>79</v>
      </c>
      <c r="C228" s="817"/>
      <c r="D228" s="817"/>
      <c r="E228" s="817"/>
      <c r="F228" s="818">
        <f>F226-F227</f>
        <v>3276.204182880736</v>
      </c>
    </row>
    <row r="229" spans="2:19">
      <c r="F229" s="795"/>
    </row>
    <row r="230" spans="2:19">
      <c r="B230" s="685" t="s">
        <v>1058</v>
      </c>
      <c r="F230" s="795">
        <f>SOP!E17-SOP!F17</f>
        <v>3276.204182880736</v>
      </c>
    </row>
    <row r="231" spans="2:19">
      <c r="B231" s="685" t="s">
        <v>103</v>
      </c>
      <c r="F231" s="795">
        <f>F228-F230</f>
        <v>0</v>
      </c>
    </row>
    <row r="232" spans="2:19">
      <c r="B232" s="685" t="s">
        <v>1059</v>
      </c>
      <c r="F232" s="789">
        <f>SOP!C17</f>
        <v>0.45</v>
      </c>
    </row>
    <row r="233" spans="2:19">
      <c r="B233" s="685" t="s">
        <v>1060</v>
      </c>
      <c r="F233" s="795">
        <f>F231*F232</f>
        <v>0</v>
      </c>
    </row>
    <row r="234" spans="2:19">
      <c r="B234" s="939" t="s">
        <v>685</v>
      </c>
      <c r="C234" s="929"/>
      <c r="D234" s="929"/>
      <c r="E234" s="929"/>
      <c r="F234" s="940">
        <f>F233/SOP!G33</f>
        <v>0</v>
      </c>
    </row>
    <row r="238" spans="2:19">
      <c r="B238" s="941" t="s">
        <v>1021</v>
      </c>
      <c r="C238" s="942"/>
      <c r="D238" s="941">
        <v>2020</v>
      </c>
      <c r="E238" s="941">
        <v>2021</v>
      </c>
      <c r="F238" s="941">
        <v>2022</v>
      </c>
      <c r="G238" s="941">
        <f t="shared" ref="G238:S238" si="107">F238+1</f>
        <v>2023</v>
      </c>
      <c r="H238" s="941">
        <f t="shared" si="107"/>
        <v>2024</v>
      </c>
      <c r="I238" s="941">
        <f t="shared" si="107"/>
        <v>2025</v>
      </c>
      <c r="J238" s="941">
        <f t="shared" si="107"/>
        <v>2026</v>
      </c>
      <c r="K238" s="941">
        <f t="shared" si="107"/>
        <v>2027</v>
      </c>
      <c r="L238" s="941">
        <f t="shared" si="107"/>
        <v>2028</v>
      </c>
      <c r="M238" s="941">
        <f t="shared" si="107"/>
        <v>2029</v>
      </c>
      <c r="N238" s="941">
        <f t="shared" si="107"/>
        <v>2030</v>
      </c>
      <c r="O238" s="941">
        <f t="shared" si="107"/>
        <v>2031</v>
      </c>
      <c r="P238" s="941">
        <f t="shared" si="107"/>
        <v>2032</v>
      </c>
      <c r="Q238" s="941">
        <f t="shared" si="107"/>
        <v>2033</v>
      </c>
      <c r="R238" s="941">
        <f t="shared" si="107"/>
        <v>2034</v>
      </c>
      <c r="S238" s="941">
        <f t="shared" si="107"/>
        <v>2035</v>
      </c>
    </row>
    <row r="239" spans="2:19">
      <c r="B239" s="930" t="s">
        <v>1022</v>
      </c>
      <c r="C239" s="930"/>
      <c r="D239" s="930"/>
      <c r="E239" s="930"/>
      <c r="F239" s="930"/>
      <c r="G239" s="930"/>
      <c r="H239" s="930"/>
      <c r="I239" s="930"/>
      <c r="J239" s="930"/>
      <c r="K239" s="930"/>
      <c r="L239" s="930"/>
      <c r="M239" s="930"/>
      <c r="N239" s="930"/>
      <c r="O239" s="930"/>
      <c r="P239" s="930"/>
      <c r="Q239" s="930"/>
      <c r="R239" s="930"/>
      <c r="S239" s="930"/>
    </row>
    <row r="240" spans="2:19">
      <c r="B240" s="943" t="s">
        <v>1023</v>
      </c>
      <c r="C240" s="944"/>
      <c r="D240" s="926">
        <f t="shared" ref="D240:N240" si="108">D135</f>
        <v>1138.7960893854749</v>
      </c>
      <c r="E240" s="926">
        <f t="shared" si="108"/>
        <v>1354.0006780445976</v>
      </c>
      <c r="F240" s="926">
        <f t="shared" si="108"/>
        <v>1456.2955223803181</v>
      </c>
      <c r="G240" s="926">
        <f t="shared" si="108"/>
        <v>1508.7499064656981</v>
      </c>
      <c r="H240" s="926">
        <f t="shared" si="108"/>
        <v>1334.6936092000042</v>
      </c>
      <c r="I240" s="926">
        <f t="shared" si="108"/>
        <v>1334.6936092000042</v>
      </c>
      <c r="J240" s="926">
        <f t="shared" si="108"/>
        <v>1361.3874813840043</v>
      </c>
      <c r="K240" s="926">
        <f t="shared" si="108"/>
        <v>1320.5458569424841</v>
      </c>
      <c r="L240" s="926">
        <f t="shared" si="108"/>
        <v>1280.9294812342096</v>
      </c>
      <c r="M240" s="926">
        <f t="shared" si="108"/>
        <v>1242.5015967971833</v>
      </c>
      <c r="N240" s="926">
        <f t="shared" si="108"/>
        <v>1205.2265488932678</v>
      </c>
      <c r="O240" s="926">
        <f t="shared" ref="O240:S245" si="109">O135</f>
        <v>1169.0697524264697</v>
      </c>
      <c r="P240" s="926">
        <f t="shared" si="109"/>
        <v>1133.9976598536755</v>
      </c>
      <c r="Q240" s="926">
        <f t="shared" si="109"/>
        <v>1099.9777300580652</v>
      </c>
      <c r="R240" s="926">
        <f t="shared" si="109"/>
        <v>1066.9783981563232</v>
      </c>
      <c r="S240" s="926">
        <f t="shared" si="109"/>
        <v>1034.9690462116334</v>
      </c>
    </row>
    <row r="241" spans="2:19">
      <c r="B241" s="945" t="s">
        <v>1024</v>
      </c>
      <c r="C241" s="930"/>
      <c r="D241" s="946">
        <f t="shared" ref="D241:N241" si="110">D136</f>
        <v>2541.9</v>
      </c>
      <c r="E241" s="946">
        <f t="shared" si="110"/>
        <v>2859.6375000000003</v>
      </c>
      <c r="F241" s="946">
        <f t="shared" si="110"/>
        <v>3130.2955223803178</v>
      </c>
      <c r="G241" s="946">
        <f t="shared" si="110"/>
        <v>2900.1499064656978</v>
      </c>
      <c r="H241" s="946">
        <f t="shared" si="110"/>
        <v>2733.5936092000038</v>
      </c>
      <c r="I241" s="946">
        <f t="shared" si="110"/>
        <v>2815.6014174760039</v>
      </c>
      <c r="J241" s="946">
        <f t="shared" si="110"/>
        <v>2900.0694600002839</v>
      </c>
      <c r="K241" s="946">
        <f t="shared" si="110"/>
        <v>2987.0715438002926</v>
      </c>
      <c r="L241" s="946">
        <f t="shared" si="110"/>
        <v>3076.6836901143015</v>
      </c>
      <c r="M241" s="946">
        <f t="shared" si="110"/>
        <v>3168.9842008177307</v>
      </c>
      <c r="N241" s="946">
        <f t="shared" si="110"/>
        <v>3264.0537268422627</v>
      </c>
      <c r="O241" s="946">
        <f t="shared" si="109"/>
        <v>3361.9753386475309</v>
      </c>
      <c r="P241" s="946">
        <f t="shared" si="109"/>
        <v>3462.8345988069568</v>
      </c>
      <c r="Q241" s="946">
        <f t="shared" si="109"/>
        <v>3566.7196367711658</v>
      </c>
      <c r="R241" s="946">
        <f t="shared" si="109"/>
        <v>3673.7212258743007</v>
      </c>
      <c r="S241" s="946">
        <f t="shared" si="109"/>
        <v>3783.9328626505298</v>
      </c>
    </row>
    <row r="242" spans="2:19">
      <c r="B242" s="947" t="s">
        <v>1025</v>
      </c>
      <c r="C242" s="942"/>
      <c r="D242" s="942">
        <f t="shared" ref="D242:N242" si="111">D137</f>
        <v>0</v>
      </c>
      <c r="E242" s="942">
        <f t="shared" si="111"/>
        <v>0</v>
      </c>
      <c r="F242" s="948">
        <f t="shared" si="111"/>
        <v>125.40895523936396</v>
      </c>
      <c r="G242" s="948">
        <f t="shared" si="111"/>
        <v>519.10018706860387</v>
      </c>
      <c r="H242" s="948">
        <f t="shared" si="111"/>
        <v>987.21278159999179</v>
      </c>
      <c r="I242" s="948">
        <f t="shared" si="111"/>
        <v>1189.3498405599503</v>
      </c>
      <c r="J242" s="948">
        <f t="shared" si="111"/>
        <v>1376.4218794854605</v>
      </c>
      <c r="K242" s="948">
        <f t="shared" si="111"/>
        <v>1564.6204012659191</v>
      </c>
      <c r="L242" s="948">
        <f t="shared" si="111"/>
        <v>1735.5414156740394</v>
      </c>
      <c r="M242" s="948">
        <f t="shared" si="111"/>
        <v>1891.3550530635516</v>
      </c>
      <c r="N242" s="948">
        <f t="shared" si="111"/>
        <v>2050.6582651265262</v>
      </c>
      <c r="O242" s="948">
        <f t="shared" si="109"/>
        <v>2220.363658081932</v>
      </c>
      <c r="P242" s="948">
        <f t="shared" si="109"/>
        <v>2401.028376123953</v>
      </c>
      <c r="Q242" s="948">
        <f t="shared" si="109"/>
        <v>2593.2359217225612</v>
      </c>
      <c r="R242" s="948">
        <f t="shared" si="109"/>
        <v>2797.5973044379048</v>
      </c>
      <c r="S242" s="948">
        <f t="shared" si="109"/>
        <v>3014.7522370035294</v>
      </c>
    </row>
    <row r="243" spans="2:19">
      <c r="B243" s="945" t="s">
        <v>222</v>
      </c>
      <c r="C243" s="930"/>
      <c r="D243" s="946">
        <f t="shared" ref="D243:N243" si="112">D138</f>
        <v>3680.6960893854748</v>
      </c>
      <c r="E243" s="946">
        <f t="shared" si="112"/>
        <v>4213.6381780445981</v>
      </c>
      <c r="F243" s="946">
        <f t="shared" si="112"/>
        <v>4712</v>
      </c>
      <c r="G243" s="946">
        <f t="shared" si="112"/>
        <v>4928</v>
      </c>
      <c r="H243" s="946">
        <f t="shared" si="112"/>
        <v>5055.5</v>
      </c>
      <c r="I243" s="946">
        <f t="shared" si="112"/>
        <v>4827.2</v>
      </c>
      <c r="J243" s="946">
        <f t="shared" si="112"/>
        <v>5090.3629999999994</v>
      </c>
      <c r="K243" s="946">
        <f t="shared" si="112"/>
        <v>5231.6203299999997</v>
      </c>
      <c r="L243" s="946">
        <f t="shared" si="112"/>
        <v>5421.1465359000003</v>
      </c>
      <c r="M243" s="946">
        <f t="shared" si="112"/>
        <v>5580.9609319770007</v>
      </c>
      <c r="N243" s="946">
        <f t="shared" si="112"/>
        <v>5727.0168384768731</v>
      </c>
      <c r="O243" s="946">
        <f t="shared" si="109"/>
        <v>5862.8858523310619</v>
      </c>
      <c r="P243" s="946">
        <f t="shared" si="109"/>
        <v>5991.9323147856903</v>
      </c>
      <c r="Q243" s="946">
        <f t="shared" si="109"/>
        <v>6118.7355980233169</v>
      </c>
      <c r="R243" s="946">
        <f t="shared" si="109"/>
        <v>6237.7671002869156</v>
      </c>
      <c r="S243" s="946">
        <f t="shared" si="109"/>
        <v>6348.5084001654141</v>
      </c>
    </row>
    <row r="244" spans="2:19">
      <c r="B244" s="943" t="s">
        <v>989</v>
      </c>
      <c r="C244" s="944"/>
      <c r="D244" s="944"/>
      <c r="E244" s="949">
        <f t="shared" ref="E244:N244" si="113">E139</f>
        <v>0.14479383130708379</v>
      </c>
      <c r="F244" s="949">
        <f t="shared" si="113"/>
        <v>0.11827352062456242</v>
      </c>
      <c r="G244" s="949">
        <f t="shared" si="113"/>
        <v>4.5840407470288724E-2</v>
      </c>
      <c r="H244" s="949">
        <f t="shared" si="113"/>
        <v>2.5872564935064846E-2</v>
      </c>
      <c r="I244" s="949">
        <f t="shared" si="113"/>
        <v>-4.5158738008109989E-2</v>
      </c>
      <c r="J244" s="949">
        <f t="shared" si="113"/>
        <v>5.4516697050049689E-2</v>
      </c>
      <c r="K244" s="949">
        <f t="shared" si="113"/>
        <v>2.7749952213624196E-2</v>
      </c>
      <c r="L244" s="949">
        <f t="shared" si="113"/>
        <v>3.6227056618231446E-2</v>
      </c>
      <c r="M244" s="949">
        <f t="shared" si="113"/>
        <v>2.9479814835971396E-2</v>
      </c>
      <c r="N244" s="949">
        <f t="shared" si="113"/>
        <v>2.6170386834823089E-2</v>
      </c>
      <c r="O244" s="949">
        <f t="shared" si="109"/>
        <v>2.3724221123527123E-2</v>
      </c>
      <c r="P244" s="949">
        <f t="shared" si="109"/>
        <v>2.2010741076140761E-2</v>
      </c>
      <c r="Q244" s="949">
        <f t="shared" si="109"/>
        <v>2.1162335716764735E-2</v>
      </c>
      <c r="R244" s="949">
        <f t="shared" si="109"/>
        <v>1.9453611020886719E-2</v>
      </c>
      <c r="S244" s="949">
        <f t="shared" si="109"/>
        <v>1.7753355984291952E-2</v>
      </c>
    </row>
    <row r="245" spans="2:19">
      <c r="B245" s="945" t="s">
        <v>1026</v>
      </c>
      <c r="C245" s="930"/>
      <c r="D245" s="930"/>
      <c r="E245" s="950"/>
      <c r="F245" s="950">
        <f t="shared" ref="F245:N245" si="114">F140</f>
        <v>2.6614803743498294E-2</v>
      </c>
      <c r="G245" s="950">
        <f t="shared" si="114"/>
        <v>0.10533688860970046</v>
      </c>
      <c r="H245" s="950">
        <f t="shared" si="114"/>
        <v>0.19527500377806187</v>
      </c>
      <c r="I245" s="950">
        <f t="shared" si="114"/>
        <v>0.24638503491878322</v>
      </c>
      <c r="J245" s="950">
        <f t="shared" si="114"/>
        <v>0.27039758844024692</v>
      </c>
      <c r="K245" s="950">
        <f t="shared" si="114"/>
        <v>0.29906994440973111</v>
      </c>
      <c r="L245" s="950">
        <f t="shared" si="114"/>
        <v>0.32014287091870886</v>
      </c>
      <c r="M245" s="950">
        <f t="shared" si="114"/>
        <v>0.33889415749655816</v>
      </c>
      <c r="N245" s="950">
        <f t="shared" si="114"/>
        <v>0.35806744121113993</v>
      </c>
      <c r="O245" s="950">
        <f t="shared" si="109"/>
        <v>0.37871514370335618</v>
      </c>
      <c r="P245" s="950">
        <f t="shared" si="109"/>
        <v>0.40071019664210428</v>
      </c>
      <c r="Q245" s="950">
        <f t="shared" si="109"/>
        <v>0.42381892143865751</v>
      </c>
      <c r="R245" s="950">
        <f t="shared" si="109"/>
        <v>0.44849338865332516</v>
      </c>
      <c r="S245" s="950">
        <f t="shared" si="109"/>
        <v>0.47487567897444671</v>
      </c>
    </row>
    <row r="247" spans="2:19">
      <c r="B247" s="930" t="s">
        <v>1061</v>
      </c>
      <c r="C247" s="930"/>
      <c r="D247" s="930"/>
      <c r="E247" s="946">
        <f>E165</f>
        <v>1650</v>
      </c>
      <c r="F247" s="946">
        <f t="shared" ref="F247:N247" si="115">F165</f>
        <v>1690</v>
      </c>
      <c r="G247" s="946">
        <f t="shared" si="115"/>
        <v>1615.2</v>
      </c>
      <c r="H247" s="946">
        <f t="shared" si="115"/>
        <v>1569.5</v>
      </c>
      <c r="I247" s="946">
        <f t="shared" si="115"/>
        <v>1606.1999999999998</v>
      </c>
      <c r="J247" s="946">
        <f t="shared" si="115"/>
        <v>1627.7879999999996</v>
      </c>
      <c r="K247" s="946">
        <f t="shared" si="115"/>
        <v>1630.5423299999998</v>
      </c>
      <c r="L247" s="946">
        <f t="shared" si="115"/>
        <v>1685.0281109000002</v>
      </c>
      <c r="M247" s="946">
        <f t="shared" si="115"/>
        <v>1714.0783621020009</v>
      </c>
      <c r="N247" s="946">
        <f t="shared" si="115"/>
        <v>1734.4605850809362</v>
      </c>
      <c r="O247" s="946">
        <f t="shared" ref="O247:S248" si="116">O165</f>
        <v>1740.5715206997575</v>
      </c>
      <c r="P247" s="946">
        <f t="shared" si="116"/>
        <v>1735.6427673763683</v>
      </c>
      <c r="Q247" s="946">
        <f t="shared" si="116"/>
        <v>1724.1166403231919</v>
      </c>
      <c r="R247" s="946">
        <f t="shared" si="116"/>
        <v>1700.3230264615368</v>
      </c>
      <c r="S247" s="946">
        <f t="shared" si="116"/>
        <v>1663.5973939407104</v>
      </c>
    </row>
    <row r="248" spans="2:19">
      <c r="B248" s="743" t="s">
        <v>548</v>
      </c>
      <c r="C248" s="743"/>
      <c r="D248" s="743"/>
      <c r="E248" s="842">
        <f>E166</f>
        <v>0.39158559189951786</v>
      </c>
      <c r="F248" s="842">
        <f t="shared" ref="F248:N248" si="117">F166</f>
        <v>0.35865874363327677</v>
      </c>
      <c r="G248" s="842">
        <f t="shared" si="117"/>
        <v>0.32775974025974025</v>
      </c>
      <c r="H248" s="842">
        <f t="shared" si="117"/>
        <v>0.31045396103253881</v>
      </c>
      <c r="I248" s="842">
        <f t="shared" si="117"/>
        <v>0.33273947630096118</v>
      </c>
      <c r="J248" s="842">
        <f t="shared" si="117"/>
        <v>0.31977837336944337</v>
      </c>
      <c r="K248" s="842">
        <f t="shared" si="117"/>
        <v>0.31167061582238326</v>
      </c>
      <c r="L248" s="842">
        <f t="shared" si="117"/>
        <v>0.3108250440642733</v>
      </c>
      <c r="M248" s="842">
        <f t="shared" si="117"/>
        <v>0.30712961136870126</v>
      </c>
      <c r="N248" s="842">
        <f t="shared" si="117"/>
        <v>0.30285585567480611</v>
      </c>
      <c r="O248" s="842">
        <f t="shared" si="116"/>
        <v>0.29687965355963952</v>
      </c>
      <c r="P248" s="842">
        <f t="shared" si="116"/>
        <v>0.2896632799228217</v>
      </c>
      <c r="Q248" s="842">
        <f t="shared" si="116"/>
        <v>0.28177662079076843</v>
      </c>
      <c r="R248" s="842">
        <f t="shared" si="116"/>
        <v>0.27258520543085485</v>
      </c>
      <c r="S248" s="842">
        <f t="shared" si="116"/>
        <v>0.26204539540301536</v>
      </c>
    </row>
  </sheetData>
  <pageMargins left="0.7" right="0.7" top="0.75" bottom="0.75" header="0.3" footer="0.3"/>
  <pageSetup orientation="portrait" horizontalDpi="300" verticalDpi="300"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AEC11-5DC7-4B70-BCBC-D3D77A10FA05}">
  <sheetPr>
    <tabColor theme="9" tint="0.59999389629810485"/>
  </sheetPr>
  <dimension ref="A1:BU325"/>
  <sheetViews>
    <sheetView zoomScale="72" zoomScaleNormal="72" workbookViewId="0">
      <pane xSplit="2" ySplit="2" topLeftCell="Q18" activePane="bottomRight" state="frozen"/>
      <selection pane="topRight" activeCell="C1" sqref="C1"/>
      <selection pane="bottomLeft" activeCell="A3" sqref="A3"/>
      <selection pane="bottomRight" activeCell="X34" sqref="X34"/>
    </sheetView>
  </sheetViews>
  <sheetFormatPr defaultColWidth="9.140625" defaultRowHeight="16.5"/>
  <cols>
    <col min="1" max="1" width="3" style="115" customWidth="1"/>
    <col min="2" max="2" width="43.28515625" style="115" customWidth="1"/>
    <col min="3" max="4" width="8.5703125" style="115" customWidth="1"/>
    <col min="5" max="5" width="9" style="115" customWidth="1"/>
    <col min="6" max="8" width="8.5703125" style="115" customWidth="1"/>
    <col min="9" max="10" width="9" style="115" customWidth="1"/>
    <col min="11" max="16" width="9.7109375" style="115" customWidth="1"/>
    <col min="17" max="28" width="9.28515625" style="115" customWidth="1"/>
    <col min="29" max="31" width="8.5703125" style="115" customWidth="1"/>
    <col min="34" max="65" width="9.140625" style="115"/>
    <col min="66" max="66" width="7.5703125" style="115" customWidth="1"/>
    <col min="67" max="68" width="9" style="115" customWidth="1"/>
    <col min="69" max="69" width="9.140625" style="115"/>
    <col min="70" max="71" width="9" style="115" customWidth="1"/>
    <col min="72" max="72" width="9.140625" style="115"/>
    <col min="73" max="73" width="8.5703125" style="115" customWidth="1"/>
    <col min="74" max="16384" width="9.140625" style="115"/>
  </cols>
  <sheetData>
    <row r="1" spans="1:73">
      <c r="A1" s="763"/>
      <c r="B1" s="763"/>
      <c r="C1" s="763"/>
      <c r="D1" s="685"/>
      <c r="E1" s="763"/>
      <c r="F1" s="763"/>
      <c r="G1" s="763"/>
      <c r="H1" s="763"/>
      <c r="I1" s="763"/>
      <c r="J1" s="763"/>
      <c r="K1" s="763"/>
      <c r="L1" s="763"/>
      <c r="M1" s="763"/>
      <c r="N1" s="763"/>
      <c r="O1" s="763"/>
      <c r="P1" s="763"/>
      <c r="Q1" s="763"/>
      <c r="R1" s="763"/>
      <c r="S1" s="763"/>
      <c r="T1" s="763"/>
      <c r="U1" s="763"/>
      <c r="V1" s="763"/>
      <c r="W1" s="763"/>
      <c r="X1" s="763"/>
      <c r="Y1" s="763"/>
      <c r="Z1" s="763"/>
      <c r="AA1" s="1887"/>
      <c r="AB1" s="1887"/>
      <c r="AC1" s="763"/>
      <c r="AD1" s="763"/>
      <c r="AE1" s="763"/>
      <c r="AH1" s="763"/>
      <c r="AI1" s="763"/>
      <c r="AJ1" s="763"/>
      <c r="AK1" s="763"/>
      <c r="AL1" s="685"/>
      <c r="AM1" s="685"/>
      <c r="AN1" s="685"/>
      <c r="AO1" s="685"/>
      <c r="AP1" s="685"/>
      <c r="AQ1" s="685"/>
      <c r="AR1" s="685"/>
      <c r="AS1" s="685"/>
      <c r="AT1" s="1859"/>
      <c r="AU1" s="1859"/>
      <c r="AV1" s="1859"/>
      <c r="AW1" s="685"/>
      <c r="AX1" s="685"/>
      <c r="AY1" s="685"/>
      <c r="AZ1" s="685"/>
      <c r="BA1" s="685"/>
      <c r="BB1" s="685"/>
      <c r="BC1" s="685"/>
      <c r="BN1" s="763"/>
      <c r="BO1" s="1009" t="s">
        <v>686</v>
      </c>
      <c r="BP1" s="1853" t="s">
        <v>686</v>
      </c>
      <c r="BR1" s="1887"/>
      <c r="BS1" s="763"/>
      <c r="BU1" s="763"/>
    </row>
    <row r="2" spans="1:73" s="408" customFormat="1">
      <c r="A2" s="767"/>
      <c r="B2" s="804" t="s">
        <v>1062</v>
      </c>
      <c r="C2" s="805" t="s">
        <v>757</v>
      </c>
      <c r="D2" s="805" t="s">
        <v>758</v>
      </c>
      <c r="E2" s="805" t="s">
        <v>759</v>
      </c>
      <c r="F2" s="805" t="s">
        <v>760</v>
      </c>
      <c r="G2" s="805" t="s">
        <v>761</v>
      </c>
      <c r="H2" s="805" t="s">
        <v>762</v>
      </c>
      <c r="I2" s="805" t="s">
        <v>763</v>
      </c>
      <c r="J2" s="805" t="s">
        <v>764</v>
      </c>
      <c r="K2" s="805" t="s">
        <v>765</v>
      </c>
      <c r="L2" s="805" t="s">
        <v>766</v>
      </c>
      <c r="M2" s="805" t="s">
        <v>767</v>
      </c>
      <c r="N2" s="805" t="s">
        <v>768</v>
      </c>
      <c r="O2" s="805" t="s">
        <v>859</v>
      </c>
      <c r="P2" s="805" t="s">
        <v>860</v>
      </c>
      <c r="Q2" s="805" t="s">
        <v>861</v>
      </c>
      <c r="R2" s="805" t="s">
        <v>862</v>
      </c>
      <c r="S2" s="805" t="s">
        <v>863</v>
      </c>
      <c r="T2" s="805" t="s">
        <v>864</v>
      </c>
      <c r="U2" s="805" t="s">
        <v>1063</v>
      </c>
      <c r="V2" s="805" t="s">
        <v>1064</v>
      </c>
      <c r="W2" s="805" t="s">
        <v>8088</v>
      </c>
      <c r="X2" s="2047" t="s">
        <v>8107</v>
      </c>
      <c r="Y2" s="2047" t="s">
        <v>8108</v>
      </c>
      <c r="Z2" s="2047" t="s">
        <v>8109</v>
      </c>
      <c r="AA2" s="1854" t="s">
        <v>8070</v>
      </c>
      <c r="AB2" s="1854" t="s">
        <v>8071</v>
      </c>
      <c r="AC2" s="743"/>
      <c r="AD2" s="767"/>
      <c r="AE2" s="743"/>
      <c r="AH2" s="763"/>
      <c r="AI2" s="763"/>
      <c r="AJ2" s="763"/>
      <c r="AK2" s="903" t="str">
        <f t="shared" ref="AK2:AS2" si="0">O2</f>
        <v>Q1 24</v>
      </c>
      <c r="AL2" s="903" t="str">
        <f t="shared" si="0"/>
        <v>Q2 24</v>
      </c>
      <c r="AM2" s="903" t="str">
        <f t="shared" si="0"/>
        <v>Q3 24</v>
      </c>
      <c r="AN2" s="903" t="str">
        <f t="shared" si="0"/>
        <v>Q4 24</v>
      </c>
      <c r="AO2" s="903" t="str">
        <f t="shared" si="0"/>
        <v>Q1 25</v>
      </c>
      <c r="AP2" s="903" t="str">
        <f t="shared" si="0"/>
        <v>Q2 25</v>
      </c>
      <c r="AQ2" s="903" t="str">
        <f t="shared" si="0"/>
        <v>Q3 25</v>
      </c>
      <c r="AR2" s="903" t="str">
        <f t="shared" si="0"/>
        <v>Q4 25</v>
      </c>
      <c r="AS2" s="903" t="str">
        <f t="shared" si="0"/>
        <v>Q1 26</v>
      </c>
      <c r="AT2" s="1871" t="str">
        <f t="shared" ref="AT2" si="1">X2</f>
        <v>Q2 26</v>
      </c>
      <c r="AU2" s="1871" t="str">
        <f t="shared" ref="AU2" si="2">Y2</f>
        <v>Q3 26</v>
      </c>
      <c r="AV2" s="1871" t="str">
        <f t="shared" ref="AV2" si="3">Z2</f>
        <v>Q4 26</v>
      </c>
      <c r="AW2" s="743"/>
      <c r="AX2" s="743"/>
      <c r="AY2" s="743"/>
      <c r="AZ2" s="743"/>
      <c r="BA2" s="743"/>
      <c r="BB2" s="743"/>
      <c r="BC2" s="743"/>
      <c r="BN2" s="763"/>
      <c r="BO2" s="1010" t="s">
        <v>1065</v>
      </c>
      <c r="BP2" s="1854" t="s">
        <v>864</v>
      </c>
      <c r="BR2" s="1854" t="s">
        <v>1063</v>
      </c>
      <c r="BS2" s="805" t="s">
        <v>8072</v>
      </c>
      <c r="BU2" s="805" t="s">
        <v>8016</v>
      </c>
    </row>
    <row r="3" spans="1:73">
      <c r="A3" s="763"/>
      <c r="B3" s="793" t="s">
        <v>33</v>
      </c>
      <c r="C3" s="793">
        <v>896</v>
      </c>
      <c r="D3" s="794">
        <v>991.2</v>
      </c>
      <c r="E3" s="793">
        <v>1099</v>
      </c>
      <c r="F3" s="794">
        <v>1195.5999999999999</v>
      </c>
      <c r="G3" s="798">
        <v>1010.6</v>
      </c>
      <c r="H3" s="798">
        <v>1096.2</v>
      </c>
      <c r="I3" s="798">
        <v>1151.5</v>
      </c>
      <c r="J3" s="798">
        <v>1453.5</v>
      </c>
      <c r="K3" s="798">
        <v>1070.9000000000001</v>
      </c>
      <c r="L3" s="798">
        <v>1219.8</v>
      </c>
      <c r="M3" s="798">
        <v>1280.5</v>
      </c>
      <c r="N3" s="798">
        <v>1356.8</v>
      </c>
      <c r="O3" s="798">
        <v>1149</v>
      </c>
      <c r="P3" s="798">
        <v>1257.7</v>
      </c>
      <c r="Q3" s="798">
        <v>1304.5999999999999</v>
      </c>
      <c r="R3" s="798">
        <v>1344.2</v>
      </c>
      <c r="S3" s="798">
        <f t="shared" ref="S3:W4" si="4">S19</f>
        <v>1023.6999999999998</v>
      </c>
      <c r="T3" s="798">
        <f t="shared" si="4"/>
        <v>1210</v>
      </c>
      <c r="U3" s="798">
        <f t="shared" si="4"/>
        <v>1270.7</v>
      </c>
      <c r="V3" s="798">
        <f t="shared" si="4"/>
        <v>1322.8000000000002</v>
      </c>
      <c r="W3" s="798">
        <f t="shared" si="4"/>
        <v>1075</v>
      </c>
      <c r="X3" s="798">
        <f t="shared" ref="X3:Z3" si="5">X19</f>
        <v>1308</v>
      </c>
      <c r="Y3" s="798">
        <f t="shared" si="5"/>
        <v>1358</v>
      </c>
      <c r="Z3" s="798">
        <f t="shared" si="5"/>
        <v>1349.3629999999998</v>
      </c>
      <c r="AA3" s="1856">
        <f>VOD!J138</f>
        <v>5090.3629999999994</v>
      </c>
      <c r="AB3" s="1856">
        <f>VOD!K138</f>
        <v>5231.6203299999997</v>
      </c>
      <c r="AC3" s="685"/>
      <c r="AD3" s="763">
        <v>1190</v>
      </c>
      <c r="AE3" s="1613">
        <f>T3/AD3-1</f>
        <v>1.6806722689075571E-2</v>
      </c>
      <c r="AG3">
        <v>1207.5</v>
      </c>
      <c r="AH3" s="1851">
        <f>AG3/P3-1</f>
        <v>-3.9914128965572115E-2</v>
      </c>
      <c r="AI3" s="763"/>
      <c r="AJ3" s="763"/>
      <c r="AK3" s="750">
        <f t="shared" ref="AK3:AS5" si="6">O3/K3-1</f>
        <v>7.2929311793818119E-2</v>
      </c>
      <c r="AL3" s="750">
        <f t="shared" si="6"/>
        <v>3.1070667322512069E-2</v>
      </c>
      <c r="AM3" s="750">
        <f t="shared" si="6"/>
        <v>1.8820773135493907E-2</v>
      </c>
      <c r="AN3" s="750">
        <f t="shared" si="6"/>
        <v>-9.2865566037735325E-3</v>
      </c>
      <c r="AO3" s="750">
        <f t="shared" si="6"/>
        <v>-0.10905134899912983</v>
      </c>
      <c r="AP3" s="750">
        <f t="shared" si="6"/>
        <v>-3.7926373538999747E-2</v>
      </c>
      <c r="AQ3" s="750">
        <f t="shared" si="6"/>
        <v>-2.5984976237927282E-2</v>
      </c>
      <c r="AR3" s="750">
        <f t="shared" si="6"/>
        <v>-1.5920249962803057E-2</v>
      </c>
      <c r="AS3" s="750">
        <f t="shared" si="6"/>
        <v>5.0112337598906098E-2</v>
      </c>
      <c r="AT3" s="1872">
        <f t="shared" ref="AT3:AT5" si="7">X3/T3-1</f>
        <v>8.0991735537190079E-2</v>
      </c>
      <c r="AU3" s="1872">
        <f t="shared" ref="AU3:AU5" si="8">Y3/U3-1</f>
        <v>6.8702290076335881E-2</v>
      </c>
      <c r="AV3" s="1872">
        <f t="shared" ref="AV3:AV5" si="9">Z3/V3-1</f>
        <v>2.0080889023283754E-2</v>
      </c>
      <c r="AW3" s="685"/>
      <c r="AX3" s="685"/>
      <c r="AY3" s="685"/>
      <c r="AZ3" s="685"/>
      <c r="BA3" s="685"/>
      <c r="BB3" s="685"/>
      <c r="BC3" s="685"/>
      <c r="BN3" s="1008">
        <f>N3/BO3-1</f>
        <v>-6.1484132701091987E-2</v>
      </c>
      <c r="BO3" s="798">
        <v>1445.6867989935354</v>
      </c>
      <c r="BP3" s="1855">
        <v>1205</v>
      </c>
      <c r="BR3" s="1855">
        <v>1250</v>
      </c>
      <c r="BS3" s="819">
        <v>1294.6079999999999</v>
      </c>
      <c r="BU3" s="795">
        <f>VOD!I138</f>
        <v>4827.2</v>
      </c>
    </row>
    <row r="4" spans="1:73">
      <c r="A4" s="763"/>
      <c r="B4" s="749" t="s">
        <v>1066</v>
      </c>
      <c r="C4" s="795">
        <v>634</v>
      </c>
      <c r="D4" s="795">
        <v>700.2</v>
      </c>
      <c r="E4" s="796">
        <v>754.7</v>
      </c>
      <c r="F4" s="796">
        <v>752.4</v>
      </c>
      <c r="G4" s="795">
        <v>713</v>
      </c>
      <c r="H4" s="795">
        <v>747.5</v>
      </c>
      <c r="I4" s="795">
        <v>769.3</v>
      </c>
      <c r="J4" s="795">
        <v>963.2</v>
      </c>
      <c r="K4" s="795">
        <v>739.1</v>
      </c>
      <c r="L4" s="795">
        <v>793.6</v>
      </c>
      <c r="M4" s="795">
        <v>806.3</v>
      </c>
      <c r="N4" s="795">
        <v>820.7</v>
      </c>
      <c r="O4" s="795">
        <v>739.9</v>
      </c>
      <c r="P4" s="795">
        <v>799.4</v>
      </c>
      <c r="Q4" s="795">
        <v>852.4</v>
      </c>
      <c r="R4" s="795">
        <v>835.5</v>
      </c>
      <c r="S4" s="795">
        <f t="shared" si="4"/>
        <v>709.09999999999991</v>
      </c>
      <c r="T4" s="795">
        <f t="shared" si="4"/>
        <v>815.6</v>
      </c>
      <c r="U4" s="795">
        <f t="shared" si="4"/>
        <v>831.30000000000007</v>
      </c>
      <c r="V4" s="795">
        <f t="shared" si="4"/>
        <v>777.2</v>
      </c>
      <c r="W4" s="795">
        <f t="shared" si="4"/>
        <v>707.69999999999993</v>
      </c>
      <c r="X4" s="795">
        <f t="shared" ref="X4:Z4" si="10">X20</f>
        <v>868</v>
      </c>
      <c r="Y4" s="795">
        <f t="shared" si="10"/>
        <v>883</v>
      </c>
      <c r="Z4" s="795">
        <f t="shared" si="10"/>
        <v>820.58899999999983</v>
      </c>
      <c r="AA4" s="1859"/>
      <c r="AB4" s="1859"/>
      <c r="AC4" s="685"/>
      <c r="AD4" s="763"/>
      <c r="AE4" s="685"/>
      <c r="AH4" s="1852">
        <f>AG3/AD3-1</f>
        <v>1.4705882352941124E-2</v>
      </c>
      <c r="AI4" s="763"/>
      <c r="AJ4" s="763"/>
      <c r="AK4" s="750">
        <f t="shared" si="6"/>
        <v>1.0823975104856665E-3</v>
      </c>
      <c r="AL4" s="750">
        <f t="shared" si="6"/>
        <v>7.3084677419354982E-3</v>
      </c>
      <c r="AM4" s="750">
        <f t="shared" si="6"/>
        <v>5.7174748852784285E-2</v>
      </c>
      <c r="AN4" s="750">
        <f t="shared" si="6"/>
        <v>1.8033386133788243E-2</v>
      </c>
      <c r="AO4" s="750">
        <f t="shared" si="6"/>
        <v>-4.1627246925260208E-2</v>
      </c>
      <c r="AP4" s="750">
        <f t="shared" si="6"/>
        <v>2.0265198899174441E-2</v>
      </c>
      <c r="AQ4" s="750">
        <f t="shared" si="6"/>
        <v>-2.4753636790239231E-2</v>
      </c>
      <c r="AR4" s="750">
        <f t="shared" si="6"/>
        <v>-6.9778575703171697E-2</v>
      </c>
      <c r="AS4" s="750">
        <f t="shared" si="6"/>
        <v>-1.9743336623888608E-3</v>
      </c>
      <c r="AT4" s="1872">
        <f t="shared" si="7"/>
        <v>6.4247179990191139E-2</v>
      </c>
      <c r="AU4" s="1872">
        <f t="shared" si="8"/>
        <v>6.2191747864789981E-2</v>
      </c>
      <c r="AV4" s="1872">
        <f t="shared" si="9"/>
        <v>5.582732887287678E-2</v>
      </c>
      <c r="AW4" s="685"/>
      <c r="AX4" s="685"/>
      <c r="AY4" s="685"/>
      <c r="AZ4" s="685"/>
      <c r="BA4" s="685"/>
      <c r="BB4" s="685"/>
      <c r="BC4" s="685"/>
      <c r="BN4" s="763"/>
      <c r="BO4" s="763"/>
      <c r="BP4" s="1856"/>
      <c r="BR4" s="1856"/>
      <c r="BS4" s="795"/>
      <c r="BU4" s="685"/>
    </row>
    <row r="5" spans="1:73">
      <c r="A5" s="763"/>
      <c r="B5" s="797" t="s">
        <v>1067</v>
      </c>
      <c r="C5" s="798">
        <v>262</v>
      </c>
      <c r="D5" s="798">
        <v>291.10000000000002</v>
      </c>
      <c r="E5" s="794">
        <v>344.7</v>
      </c>
      <c r="F5" s="794">
        <v>443.2</v>
      </c>
      <c r="G5" s="798">
        <v>297</v>
      </c>
      <c r="H5" s="798">
        <v>348.7</v>
      </c>
      <c r="I5" s="798">
        <v>382.2</v>
      </c>
      <c r="J5" s="798">
        <v>490.3</v>
      </c>
      <c r="K5" s="798">
        <v>331.8</v>
      </c>
      <c r="L5" s="798">
        <v>426.2</v>
      </c>
      <c r="M5" s="798">
        <v>474.2</v>
      </c>
      <c r="N5" s="798">
        <v>536.1</v>
      </c>
      <c r="O5" s="798">
        <v>409.1</v>
      </c>
      <c r="P5" s="798">
        <v>458.3</v>
      </c>
      <c r="Q5" s="798">
        <v>452.2</v>
      </c>
      <c r="R5" s="798">
        <v>508.7</v>
      </c>
      <c r="S5" s="798">
        <f>S24</f>
        <v>314.59999999999997</v>
      </c>
      <c r="T5" s="798">
        <f>T24</f>
        <v>394.40000000000003</v>
      </c>
      <c r="U5" s="798">
        <f>U24</f>
        <v>439.40000000000003</v>
      </c>
      <c r="V5" s="798">
        <f>V24</f>
        <v>545.6</v>
      </c>
      <c r="W5" s="798">
        <f>W24</f>
        <v>367.3</v>
      </c>
      <c r="X5" s="798">
        <f t="shared" ref="X5:Z5" si="11">X24</f>
        <v>440</v>
      </c>
      <c r="Y5" s="798">
        <f t="shared" si="11"/>
        <v>475</v>
      </c>
      <c r="Z5" s="798">
        <f t="shared" si="11"/>
        <v>528.77399999999989</v>
      </c>
      <c r="AA5" s="1859"/>
      <c r="AB5" s="1859"/>
      <c r="AC5" s="685"/>
      <c r="AD5" s="763"/>
      <c r="AE5" s="685"/>
      <c r="AH5" s="763"/>
      <c r="AI5" s="763"/>
      <c r="AJ5" s="763"/>
      <c r="AK5" s="750">
        <f t="shared" si="6"/>
        <v>0.2329716696805304</v>
      </c>
      <c r="AL5" s="750">
        <f t="shared" si="6"/>
        <v>7.5316752698263878E-2</v>
      </c>
      <c r="AM5" s="750">
        <f t="shared" si="6"/>
        <v>-4.6393926613243375E-2</v>
      </c>
      <c r="AN5" s="750">
        <f t="shared" si="6"/>
        <v>-5.1109867562022071E-2</v>
      </c>
      <c r="AO5" s="750">
        <f t="shared" si="6"/>
        <v>-0.23099486678073833</v>
      </c>
      <c r="AP5" s="750">
        <f t="shared" si="6"/>
        <v>-0.13942832205978606</v>
      </c>
      <c r="AQ5" s="750">
        <f t="shared" si="6"/>
        <v>-2.8306059265811534E-2</v>
      </c>
      <c r="AR5" s="750">
        <f t="shared" si="6"/>
        <v>7.2537841556909788E-2</v>
      </c>
      <c r="AS5" s="750">
        <f t="shared" si="6"/>
        <v>0.16751430387794031</v>
      </c>
      <c r="AT5" s="1872">
        <f t="shared" si="7"/>
        <v>0.11561866125760645</v>
      </c>
      <c r="AU5" s="1872">
        <f t="shared" si="8"/>
        <v>8.1019572143832486E-2</v>
      </c>
      <c r="AV5" s="1872">
        <f t="shared" si="9"/>
        <v>-3.0839442815249529E-2</v>
      </c>
      <c r="AW5" s="685"/>
      <c r="AX5" s="685"/>
      <c r="AY5" s="685"/>
      <c r="AZ5" s="685"/>
      <c r="BA5" s="685"/>
      <c r="BB5" s="685"/>
      <c r="BC5" s="685"/>
      <c r="BN5" s="763"/>
      <c r="BO5" s="763"/>
      <c r="BP5" s="1856"/>
      <c r="BR5" s="1856"/>
      <c r="BS5" s="798"/>
      <c r="BU5" s="685"/>
    </row>
    <row r="6" spans="1:73">
      <c r="A6" s="763"/>
      <c r="B6" s="685" t="s">
        <v>1068</v>
      </c>
      <c r="C6" s="799"/>
      <c r="D6" s="799"/>
      <c r="E6" s="799"/>
      <c r="F6" s="799"/>
      <c r="G6" s="799">
        <f>G3/VOD!$F138</f>
        <v>0.21447368421052632</v>
      </c>
      <c r="H6" s="799">
        <f>H3/VOD!$F138</f>
        <v>0.23264006791171479</v>
      </c>
      <c r="I6" s="799">
        <f>I3/VOD!$F138</f>
        <v>0.2443760611205433</v>
      </c>
      <c r="J6" s="799">
        <f>J3/VOD!$F138</f>
        <v>0.30846774193548387</v>
      </c>
      <c r="K6" s="799">
        <f>K3/VOD!$G138</f>
        <v>0.21730925324675326</v>
      </c>
      <c r="L6" s="799">
        <f>L3/VOD!$G138</f>
        <v>0.24752435064935063</v>
      </c>
      <c r="M6" s="799">
        <f>M3/VOD!$G138</f>
        <v>0.2598417207792208</v>
      </c>
      <c r="N6" s="799">
        <f>N3/VOD!$G138</f>
        <v>0.27532467532467531</v>
      </c>
      <c r="O6" s="799">
        <f>O3/VOD!$H138</f>
        <v>0.22727722282662446</v>
      </c>
      <c r="P6" s="799">
        <f>P3/VOD!$H138</f>
        <v>0.24877855800613194</v>
      </c>
      <c r="Q6" s="799">
        <f>Q3/VOD!$H138</f>
        <v>0.25805558302838488</v>
      </c>
      <c r="R6" s="799">
        <f>R3/VOD!$H138</f>
        <v>0.26588863613885866</v>
      </c>
      <c r="S6" s="799">
        <f>S3/VOD!$I138</f>
        <v>0.21206910838581369</v>
      </c>
      <c r="T6" s="799">
        <f>T3/VOD!$I138</f>
        <v>0.25066291017567122</v>
      </c>
      <c r="U6" s="799">
        <f>U3/VOD!$I138</f>
        <v>0.26323748757043425</v>
      </c>
      <c r="V6" s="799">
        <f>V3/VOD!$I138</f>
        <v>0.27403049386808093</v>
      </c>
      <c r="W6" s="799">
        <f>W3/VOD!$J138</f>
        <v>0.21118336747300737</v>
      </c>
      <c r="X6" s="799">
        <f>X3/VOD!$J138</f>
        <v>0.25695613456250571</v>
      </c>
      <c r="Y6" s="799">
        <f>Y3/VOD!$J138</f>
        <v>0.26677861677055253</v>
      </c>
      <c r="Z6" s="799">
        <f>Z3/VOD!$J138</f>
        <v>0.2650818811939345</v>
      </c>
      <c r="AA6" s="1859"/>
      <c r="AB6" s="1859"/>
      <c r="AC6" s="685"/>
      <c r="AD6" s="763"/>
      <c r="AE6" s="685"/>
      <c r="AG6">
        <v>397.5</v>
      </c>
      <c r="AH6" s="1851">
        <f>AG6/P33-1</f>
        <v>9.8066298342541547E-2</v>
      </c>
      <c r="AI6" s="763"/>
      <c r="AJ6" s="763"/>
      <c r="AK6" s="750"/>
      <c r="AL6" s="750"/>
      <c r="AM6" s="750"/>
      <c r="AN6" s="750"/>
      <c r="AO6" s="750"/>
      <c r="AP6" s="750"/>
      <c r="AQ6" s="750"/>
      <c r="AR6" s="750"/>
      <c r="AS6" s="750"/>
      <c r="AT6" s="1859"/>
      <c r="AU6" s="1859"/>
      <c r="AV6" s="1859"/>
      <c r="AW6" s="685"/>
      <c r="AX6" s="685"/>
      <c r="AY6" s="685"/>
      <c r="AZ6" s="685"/>
      <c r="BA6" s="685"/>
      <c r="BB6" s="685"/>
      <c r="BC6" s="685"/>
      <c r="BN6" s="763"/>
      <c r="BO6" s="799">
        <v>0.28816412586458245</v>
      </c>
      <c r="BP6" s="1857"/>
      <c r="BR6" s="1857">
        <v>0.26222217560494659</v>
      </c>
      <c r="BS6" s="799">
        <v>0.26976575158866167</v>
      </c>
      <c r="BU6" s="685"/>
    </row>
    <row r="7" spans="1:73">
      <c r="A7" s="763"/>
      <c r="B7" s="793"/>
      <c r="C7" s="800"/>
      <c r="D7" s="800"/>
      <c r="E7" s="800"/>
      <c r="F7" s="800"/>
      <c r="G7" s="800"/>
      <c r="H7" s="800"/>
      <c r="I7" s="800"/>
      <c r="J7" s="800"/>
      <c r="K7" s="800"/>
      <c r="L7" s="800"/>
      <c r="M7" s="800"/>
      <c r="N7" s="800"/>
      <c r="O7" s="800"/>
      <c r="P7" s="800"/>
      <c r="Q7" s="800"/>
      <c r="R7" s="800"/>
      <c r="S7" s="800"/>
      <c r="T7" s="800"/>
      <c r="U7" s="800"/>
      <c r="V7" s="800"/>
      <c r="W7" s="800"/>
      <c r="X7" s="800"/>
      <c r="Y7" s="800"/>
      <c r="Z7" s="800"/>
      <c r="AA7" s="1859"/>
      <c r="AB7" s="1859"/>
      <c r="AC7" s="685"/>
      <c r="AD7" s="763"/>
      <c r="AE7" s="685"/>
      <c r="AH7" s="1852">
        <f>AG6/T33-1</f>
        <v>-1.2562814070351536E-3</v>
      </c>
      <c r="AI7" s="763"/>
      <c r="AJ7" s="763"/>
      <c r="AK7" s="763"/>
      <c r="AL7" s="685"/>
      <c r="AM7" s="685"/>
      <c r="AN7" s="685"/>
      <c r="AO7" s="685"/>
      <c r="AP7" s="685"/>
      <c r="AQ7" s="685"/>
      <c r="AR7" s="685"/>
      <c r="AS7" s="685"/>
      <c r="AT7" s="1859"/>
      <c r="AU7" s="1859"/>
      <c r="AV7" s="1859"/>
      <c r="AW7" s="685"/>
      <c r="AX7" s="685"/>
      <c r="AY7" s="685"/>
      <c r="AZ7" s="685"/>
      <c r="BA7" s="685"/>
      <c r="BB7" s="685"/>
      <c r="BC7" s="685"/>
      <c r="BN7" s="763"/>
      <c r="BO7" s="763"/>
      <c r="BP7" s="1857"/>
      <c r="BR7" s="1857"/>
      <c r="BS7" s="800"/>
      <c r="BU7" s="685"/>
    </row>
    <row r="8" spans="1:73">
      <c r="A8" s="763"/>
      <c r="B8" s="743" t="s">
        <v>1069</v>
      </c>
      <c r="C8" s="801"/>
      <c r="D8" s="801"/>
      <c r="E8" s="801"/>
      <c r="F8" s="801"/>
      <c r="G8" s="801"/>
      <c r="H8" s="801"/>
      <c r="I8" s="801"/>
      <c r="J8" s="801"/>
      <c r="K8" s="801"/>
      <c r="L8" s="801"/>
      <c r="M8" s="801"/>
      <c r="N8" s="801"/>
      <c r="O8" s="801"/>
      <c r="P8" s="801"/>
      <c r="Q8" s="801"/>
      <c r="R8" s="801"/>
      <c r="S8" s="801"/>
      <c r="T8" s="801"/>
      <c r="U8" s="801"/>
      <c r="V8" s="801"/>
      <c r="W8" s="801"/>
      <c r="X8" s="801"/>
      <c r="Y8" s="801"/>
      <c r="Z8" s="801"/>
      <c r="AA8" s="1859"/>
      <c r="AB8" s="1859"/>
      <c r="AC8" s="685"/>
      <c r="AD8" s="763"/>
      <c r="AE8" s="685"/>
      <c r="AH8" s="763"/>
      <c r="AI8" s="763"/>
      <c r="AJ8" s="763"/>
      <c r="AK8" s="763"/>
      <c r="AL8" s="685"/>
      <c r="AM8" s="685"/>
      <c r="AN8" s="685"/>
      <c r="AO8" s="685"/>
      <c r="AP8" s="685"/>
      <c r="AQ8" s="685"/>
      <c r="AR8" s="685"/>
      <c r="AS8" s="685"/>
      <c r="AT8" s="1859"/>
      <c r="AU8" s="1859"/>
      <c r="AV8" s="1859"/>
      <c r="AW8" s="685"/>
      <c r="AX8" s="685"/>
      <c r="AY8" s="685"/>
      <c r="AZ8" s="685"/>
      <c r="BA8" s="685"/>
      <c r="BB8" s="685"/>
      <c r="BC8" s="685"/>
      <c r="BN8" s="763"/>
      <c r="BO8" s="763"/>
      <c r="BP8" s="1858"/>
      <c r="BR8" s="1858"/>
      <c r="BS8" s="1836"/>
      <c r="BU8" s="685"/>
    </row>
    <row r="9" spans="1:73">
      <c r="A9" s="763"/>
      <c r="B9" s="797" t="s">
        <v>1066</v>
      </c>
      <c r="C9" s="800">
        <f t="shared" ref="C9:L9" si="12">C4/C$3</f>
        <v>0.7075892857142857</v>
      </c>
      <c r="D9" s="800">
        <f t="shared" si="12"/>
        <v>0.70641646489104115</v>
      </c>
      <c r="E9" s="800">
        <f t="shared" si="12"/>
        <v>0.68671519563239314</v>
      </c>
      <c r="F9" s="800">
        <f t="shared" si="12"/>
        <v>0.62930746068919374</v>
      </c>
      <c r="G9" s="800">
        <f t="shared" si="12"/>
        <v>0.70552147239263807</v>
      </c>
      <c r="H9" s="800">
        <f t="shared" si="12"/>
        <v>0.68190111293559563</v>
      </c>
      <c r="I9" s="800">
        <f t="shared" si="12"/>
        <v>0.66808510638297869</v>
      </c>
      <c r="J9" s="800">
        <f t="shared" si="12"/>
        <v>0.6626762985896113</v>
      </c>
      <c r="K9" s="800">
        <f t="shared" si="12"/>
        <v>0.69016714912690258</v>
      </c>
      <c r="L9" s="800">
        <f t="shared" si="12"/>
        <v>0.65059845876373179</v>
      </c>
      <c r="M9" s="800">
        <f t="shared" ref="M9:W9" si="13">M4/M$3</f>
        <v>0.6296759078484967</v>
      </c>
      <c r="N9" s="800">
        <f t="shared" si="13"/>
        <v>0.60487912735849059</v>
      </c>
      <c r="O9" s="800">
        <f t="shared" si="13"/>
        <v>0.64395126196692776</v>
      </c>
      <c r="P9" s="800">
        <f t="shared" si="13"/>
        <v>0.63560467520076325</v>
      </c>
      <c r="Q9" s="800">
        <f t="shared" si="13"/>
        <v>0.6533803464663499</v>
      </c>
      <c r="R9" s="800">
        <f t="shared" si="13"/>
        <v>0.62155929177205771</v>
      </c>
      <c r="S9" s="800">
        <f t="shared" si="13"/>
        <v>0.69268340334082257</v>
      </c>
      <c r="T9" s="800">
        <f t="shared" si="13"/>
        <v>0.67404958677685956</v>
      </c>
      <c r="U9" s="800">
        <f t="shared" si="13"/>
        <v>0.6542063429605729</v>
      </c>
      <c r="V9" s="800">
        <f t="shared" si="13"/>
        <v>0.58754157846991228</v>
      </c>
      <c r="W9" s="800">
        <f t="shared" si="13"/>
        <v>0.6583255813953488</v>
      </c>
      <c r="X9" s="800">
        <f t="shared" ref="X9:Z9" si="14">X4/X$3</f>
        <v>0.66360856269113155</v>
      </c>
      <c r="Y9" s="800">
        <f t="shared" si="14"/>
        <v>0.65022091310751107</v>
      </c>
      <c r="Z9" s="800">
        <f t="shared" si="14"/>
        <v>0.60813065127767685</v>
      </c>
      <c r="AA9" s="1859"/>
      <c r="AB9" s="1859"/>
      <c r="AC9" s="685"/>
      <c r="AD9" s="763"/>
      <c r="AE9" s="685"/>
      <c r="AH9" s="763"/>
      <c r="AI9" s="763"/>
      <c r="AJ9" s="763"/>
      <c r="AK9" s="763"/>
      <c r="AL9" s="685"/>
      <c r="AM9" s="685"/>
      <c r="AN9" s="685"/>
      <c r="AO9" s="685"/>
      <c r="AP9" s="685"/>
      <c r="AQ9" s="685"/>
      <c r="AR9" s="685"/>
      <c r="AS9" s="685"/>
      <c r="AT9" s="1859"/>
      <c r="AU9" s="1859"/>
      <c r="AV9" s="1859"/>
      <c r="AW9" s="685"/>
      <c r="AX9" s="685"/>
      <c r="AY9" s="685"/>
      <c r="AZ9" s="685"/>
      <c r="BA9" s="685"/>
      <c r="BB9" s="685"/>
      <c r="BC9" s="685"/>
      <c r="BN9" s="763"/>
      <c r="BO9" s="763"/>
      <c r="BP9" s="1857"/>
      <c r="BR9" s="1857"/>
      <c r="BS9" s="800"/>
      <c r="BU9" s="685"/>
    </row>
    <row r="10" spans="1:73">
      <c r="A10" s="763"/>
      <c r="B10" s="749" t="s">
        <v>1067</v>
      </c>
      <c r="C10" s="799">
        <f t="shared" ref="C10:L10" si="15">C5/C$3</f>
        <v>0.2924107142857143</v>
      </c>
      <c r="D10" s="799">
        <f t="shared" si="15"/>
        <v>0.29368442292171104</v>
      </c>
      <c r="E10" s="799">
        <f t="shared" si="15"/>
        <v>0.31364877161055504</v>
      </c>
      <c r="F10" s="799">
        <f t="shared" si="15"/>
        <v>0.37069253931080631</v>
      </c>
      <c r="G10" s="799">
        <f t="shared" si="15"/>
        <v>0.29388482089847617</v>
      </c>
      <c r="H10" s="799">
        <f t="shared" si="15"/>
        <v>0.31809888706440426</v>
      </c>
      <c r="I10" s="799">
        <f t="shared" si="15"/>
        <v>0.33191489361702126</v>
      </c>
      <c r="J10" s="799">
        <f t="shared" si="15"/>
        <v>0.3373237014103887</v>
      </c>
      <c r="K10" s="799">
        <f t="shared" si="15"/>
        <v>0.30983285087309737</v>
      </c>
      <c r="L10" s="799">
        <f t="shared" si="15"/>
        <v>0.34940154123626826</v>
      </c>
      <c r="M10" s="799">
        <f t="shared" ref="M10:W10" si="16">M5/M$3</f>
        <v>0.3703240921515033</v>
      </c>
      <c r="N10" s="799">
        <f t="shared" si="16"/>
        <v>0.39512087264150947</v>
      </c>
      <c r="O10" s="799">
        <f t="shared" si="16"/>
        <v>0.35604873803307224</v>
      </c>
      <c r="P10" s="799">
        <f t="shared" si="16"/>
        <v>0.3643953247992367</v>
      </c>
      <c r="Q10" s="799">
        <f t="shared" si="16"/>
        <v>0.34661965353365015</v>
      </c>
      <c r="R10" s="799">
        <f t="shared" si="16"/>
        <v>0.37844070822794224</v>
      </c>
      <c r="S10" s="799">
        <f t="shared" si="16"/>
        <v>0.30731659665917749</v>
      </c>
      <c r="T10" s="799">
        <f t="shared" si="16"/>
        <v>0.3259504132231405</v>
      </c>
      <c r="U10" s="799">
        <f t="shared" si="16"/>
        <v>0.3457936570394271</v>
      </c>
      <c r="V10" s="799">
        <f t="shared" si="16"/>
        <v>0.41245842153008766</v>
      </c>
      <c r="W10" s="799">
        <f t="shared" si="16"/>
        <v>0.3416744186046512</v>
      </c>
      <c r="X10" s="799">
        <f t="shared" ref="X10:Z10" si="17">X5/X$3</f>
        <v>0.3363914373088685</v>
      </c>
      <c r="Y10" s="799">
        <f t="shared" si="17"/>
        <v>0.34977908689248893</v>
      </c>
      <c r="Z10" s="799">
        <f t="shared" si="17"/>
        <v>0.39186934872232304</v>
      </c>
      <c r="AA10" s="1859"/>
      <c r="AB10" s="1859"/>
      <c r="AC10" s="685"/>
      <c r="AD10" s="763"/>
      <c r="AE10" s="685"/>
      <c r="AH10" s="763"/>
      <c r="AI10" s="763"/>
      <c r="AJ10" s="763"/>
      <c r="AK10" s="763"/>
      <c r="AL10" s="685"/>
      <c r="AM10" s="685"/>
      <c r="AN10" s="685"/>
      <c r="AO10" s="685"/>
      <c r="AP10" s="685"/>
      <c r="AQ10" s="685"/>
      <c r="AR10" s="685"/>
      <c r="AS10" s="685"/>
      <c r="AT10" s="1859"/>
      <c r="AU10" s="1859"/>
      <c r="AV10" s="1859"/>
      <c r="AW10" s="685"/>
      <c r="AX10" s="685"/>
      <c r="AY10" s="685"/>
      <c r="AZ10" s="685"/>
      <c r="BA10" s="685"/>
      <c r="BB10" s="685"/>
      <c r="BC10" s="685"/>
      <c r="BN10" s="763"/>
      <c r="BO10" s="763"/>
      <c r="BP10" s="1857"/>
      <c r="BR10" s="1857"/>
      <c r="BS10" s="799"/>
      <c r="BU10" s="685"/>
    </row>
    <row r="11" spans="1:73">
      <c r="A11" s="763"/>
      <c r="B11" s="793"/>
      <c r="C11" s="793"/>
      <c r="D11" s="793"/>
      <c r="E11" s="793"/>
      <c r="F11" s="793"/>
      <c r="G11" s="793"/>
      <c r="H11" s="793"/>
      <c r="I11" s="793"/>
      <c r="J11" s="793"/>
      <c r="K11" s="793"/>
      <c r="L11" s="793"/>
      <c r="M11" s="793"/>
      <c r="N11" s="793"/>
      <c r="O11" s="793"/>
      <c r="P11" s="793"/>
      <c r="Q11" s="793"/>
      <c r="R11" s="793"/>
      <c r="S11" s="793"/>
      <c r="T11" s="793"/>
      <c r="U11" s="793"/>
      <c r="V11" s="793"/>
      <c r="W11" s="793"/>
      <c r="X11" s="793"/>
      <c r="Y11" s="793"/>
      <c r="Z11" s="793"/>
      <c r="AA11" s="1859"/>
      <c r="AB11" s="1859"/>
      <c r="AC11" s="685"/>
      <c r="AD11" s="763"/>
      <c r="AE11" s="685"/>
      <c r="AH11" s="763"/>
      <c r="AI11" s="763"/>
      <c r="AJ11" s="763"/>
      <c r="AK11" s="763"/>
      <c r="AL11" s="685"/>
      <c r="AM11" s="685"/>
      <c r="AN11" s="685"/>
      <c r="AO11" s="685"/>
      <c r="AP11" s="685"/>
      <c r="AQ11" s="685"/>
      <c r="AR11" s="685"/>
      <c r="AS11" s="685"/>
      <c r="AT11" s="1859"/>
      <c r="AU11" s="1859"/>
      <c r="AV11" s="1859"/>
      <c r="AW11" s="685"/>
      <c r="AX11" s="685"/>
      <c r="AY11" s="685"/>
      <c r="AZ11" s="685"/>
      <c r="BA11" s="685"/>
      <c r="BB11" s="685"/>
      <c r="BC11" s="685"/>
      <c r="BN11" s="763"/>
      <c r="BO11" s="763"/>
      <c r="BP11" s="1859"/>
      <c r="BR11" s="1859"/>
      <c r="BS11" s="793"/>
      <c r="BU11" s="685"/>
    </row>
    <row r="12" spans="1:73">
      <c r="A12" s="763"/>
      <c r="B12" s="685" t="s">
        <v>34</v>
      </c>
      <c r="C12" s="685">
        <v>372</v>
      </c>
      <c r="D12" s="796">
        <v>406.4</v>
      </c>
      <c r="E12" s="796">
        <v>428.6</v>
      </c>
      <c r="F12" s="796">
        <v>478.5</v>
      </c>
      <c r="G12" s="796">
        <v>401.6</v>
      </c>
      <c r="H12" s="796">
        <v>373.3</v>
      </c>
      <c r="I12" s="796">
        <v>410.9</v>
      </c>
      <c r="J12" s="796">
        <v>504.4</v>
      </c>
      <c r="K12" s="796">
        <v>361</v>
      </c>
      <c r="L12" s="796">
        <v>373.9</v>
      </c>
      <c r="M12" s="796">
        <v>412.2</v>
      </c>
      <c r="N12" s="796">
        <v>468.1</v>
      </c>
      <c r="O12" s="796">
        <v>328.5</v>
      </c>
      <c r="P12" s="796">
        <v>362</v>
      </c>
      <c r="Q12" s="796">
        <v>427.1</v>
      </c>
      <c r="R12" s="796">
        <v>451.9</v>
      </c>
      <c r="S12" s="796">
        <f>S33</f>
        <v>345.1</v>
      </c>
      <c r="T12" s="796">
        <f>T33</f>
        <v>398</v>
      </c>
      <c r="U12" s="796">
        <f>U33</f>
        <v>466.7</v>
      </c>
      <c r="V12" s="796">
        <f>V33</f>
        <v>396.4</v>
      </c>
      <c r="W12" s="796">
        <f>W33</f>
        <v>323.3</v>
      </c>
      <c r="X12" s="796">
        <f t="shared" ref="X12:Z12" si="18">X33</f>
        <v>415</v>
      </c>
      <c r="Y12" s="796">
        <f t="shared" si="18"/>
        <v>485</v>
      </c>
      <c r="Z12" s="796">
        <f t="shared" si="18"/>
        <v>404.4879999999996</v>
      </c>
      <c r="AA12" s="1856">
        <f>VOD!J165</f>
        <v>1627.7879999999996</v>
      </c>
      <c r="AB12" s="1856">
        <f>VOD!K165</f>
        <v>1630.5423299999998</v>
      </c>
      <c r="AC12" s="685"/>
      <c r="AD12" s="763"/>
      <c r="AE12" s="685"/>
      <c r="AH12" s="763"/>
      <c r="AI12" s="750">
        <f t="shared" ref="AI12:AS12" si="19">M12/I12-1</f>
        <v>3.1637868094427368E-3</v>
      </c>
      <c r="AJ12" s="750">
        <f t="shared" si="19"/>
        <v>-7.1966693100713686E-2</v>
      </c>
      <c r="AK12" s="750">
        <f t="shared" si="19"/>
        <v>-9.0027700831024959E-2</v>
      </c>
      <c r="AL12" s="750">
        <f t="shared" si="19"/>
        <v>-3.1826691628777715E-2</v>
      </c>
      <c r="AM12" s="750">
        <f t="shared" si="19"/>
        <v>3.6147501213003475E-2</v>
      </c>
      <c r="AN12" s="750">
        <f t="shared" si="19"/>
        <v>-3.4607989745780943E-2</v>
      </c>
      <c r="AO12" s="750">
        <f t="shared" si="19"/>
        <v>5.0532724505327309E-2</v>
      </c>
      <c r="AP12" s="750">
        <f t="shared" si="19"/>
        <v>9.9447513812154664E-2</v>
      </c>
      <c r="AQ12" s="750">
        <f t="shared" si="19"/>
        <v>9.2718332943104498E-2</v>
      </c>
      <c r="AR12" s="750">
        <f t="shared" si="19"/>
        <v>-0.12281478203142293</v>
      </c>
      <c r="AS12" s="750">
        <f t="shared" si="19"/>
        <v>-6.3170095624456746E-2</v>
      </c>
      <c r="AT12" s="1859"/>
      <c r="AU12" s="1859"/>
      <c r="AV12" s="1859"/>
      <c r="AW12" s="685"/>
      <c r="AX12" s="685"/>
      <c r="AY12" s="685"/>
      <c r="AZ12" s="685"/>
      <c r="BA12" s="685"/>
      <c r="BB12" s="685"/>
      <c r="BC12" s="685"/>
      <c r="BN12" s="1008">
        <f>N12/BO12-1</f>
        <v>-0.12159879902420723</v>
      </c>
      <c r="BO12" s="796">
        <v>532.90000000000009</v>
      </c>
      <c r="BP12" s="1860">
        <v>395</v>
      </c>
      <c r="BR12" s="1860">
        <v>415</v>
      </c>
      <c r="BS12" s="820">
        <v>486.66799999999995</v>
      </c>
      <c r="BU12" s="795">
        <f>VOD!I165</f>
        <v>1606.1999999999998</v>
      </c>
    </row>
    <row r="13" spans="1:73">
      <c r="A13" s="763"/>
      <c r="B13" s="802" t="s">
        <v>1068</v>
      </c>
      <c r="C13" s="803"/>
      <c r="D13" s="803"/>
      <c r="E13" s="803"/>
      <c r="F13" s="803"/>
      <c r="G13" s="803">
        <f>G12/VOD!$F165</f>
        <v>0.23763313609467457</v>
      </c>
      <c r="H13" s="803">
        <f>H12/VOD!$F165</f>
        <v>0.22088757396449704</v>
      </c>
      <c r="I13" s="803">
        <f>I12/VOD!$F165</f>
        <v>0.24313609467455619</v>
      </c>
      <c r="J13" s="803">
        <f>J12/VOD!$F165</f>
        <v>0.29846153846153844</v>
      </c>
      <c r="K13" s="803">
        <f>K12/VOD!$G165</f>
        <v>0.2235017335314512</v>
      </c>
      <c r="L13" s="803">
        <f>L12/VOD!$G165</f>
        <v>0.23148836057454183</v>
      </c>
      <c r="M13" s="803">
        <f>M12/VOD!$G165</f>
        <v>0.2552005943536404</v>
      </c>
      <c r="N13" s="803">
        <f>N12/VOD!$G165</f>
        <v>0.28980931154036654</v>
      </c>
      <c r="O13" s="803">
        <f>O12/VOD!$H165</f>
        <v>0.20930232558139536</v>
      </c>
      <c r="P13" s="803">
        <f>P12/VOD!$H165</f>
        <v>0.23064670277158331</v>
      </c>
      <c r="Q13" s="803">
        <f>Q12/VOD!$H165</f>
        <v>0.27212488053520228</v>
      </c>
      <c r="R13" s="803">
        <f>R12/VOD!$H165</f>
        <v>0.28792609111181905</v>
      </c>
      <c r="S13" s="803">
        <f>S12/VOD!$I165</f>
        <v>0.21485493711866521</v>
      </c>
      <c r="T13" s="803">
        <f>T12/VOD!$I165</f>
        <v>0.24778981446893292</v>
      </c>
      <c r="U13" s="803">
        <f>U12/VOD!$I165</f>
        <v>0.29056157390113313</v>
      </c>
      <c r="V13" s="803">
        <f>V12/VOD!$I165</f>
        <v>0.24679367451126885</v>
      </c>
      <c r="W13" s="803">
        <f>W12/VOD!$J165</f>
        <v>0.19861308720791657</v>
      </c>
      <c r="X13" s="803">
        <f>X12/VOD!$J165</f>
        <v>0.25494720442711222</v>
      </c>
      <c r="Y13" s="803">
        <f>Y12/VOD!$J165</f>
        <v>0.29795034734252873</v>
      </c>
      <c r="Z13" s="803">
        <f>Z12/VOD!$J165</f>
        <v>0.24848936102244254</v>
      </c>
      <c r="AA13" s="1859"/>
      <c r="AB13" s="1859"/>
      <c r="AC13" s="685"/>
      <c r="AD13" s="763"/>
      <c r="AE13" s="685"/>
      <c r="AH13" s="763"/>
      <c r="AI13" s="763"/>
      <c r="AJ13" s="763"/>
      <c r="AK13" s="763"/>
      <c r="AL13" s="685"/>
      <c r="AM13" s="685"/>
      <c r="AN13" s="685"/>
      <c r="AO13" s="685"/>
      <c r="AP13" s="685"/>
      <c r="AQ13" s="685"/>
      <c r="AR13" s="685"/>
      <c r="AS13" s="685"/>
      <c r="AT13" s="1859"/>
      <c r="AU13" s="1859"/>
      <c r="AV13" s="1859"/>
      <c r="AW13" s="685"/>
      <c r="AX13" s="685"/>
      <c r="AY13" s="685"/>
      <c r="AZ13" s="685"/>
      <c r="BA13" s="685"/>
      <c r="BB13" s="685"/>
      <c r="BC13" s="685"/>
      <c r="BN13" s="763"/>
      <c r="BO13" s="803">
        <v>0.31720238095238101</v>
      </c>
      <c r="BP13" s="1858"/>
      <c r="BR13" s="1858"/>
      <c r="BS13" s="803">
        <v>0.28687131145415062</v>
      </c>
      <c r="BU13" s="685"/>
    </row>
    <row r="14" spans="1:73">
      <c r="A14" s="763"/>
      <c r="B14" s="685"/>
      <c r="C14" s="685"/>
      <c r="D14" s="685"/>
      <c r="E14" s="685"/>
      <c r="F14" s="685"/>
      <c r="G14" s="789"/>
      <c r="H14" s="789"/>
      <c r="I14" s="789"/>
      <c r="J14" s="789"/>
      <c r="K14" s="789"/>
      <c r="L14" s="789"/>
      <c r="M14" s="789"/>
      <c r="N14" s="789"/>
      <c r="O14" s="789"/>
      <c r="P14" s="789"/>
      <c r="Q14" s="789"/>
      <c r="R14" s="789"/>
      <c r="S14" s="789"/>
      <c r="T14" s="789"/>
      <c r="U14" s="789"/>
      <c r="V14" s="789"/>
      <c r="W14" s="789"/>
      <c r="X14" s="789"/>
      <c r="Y14" s="789"/>
      <c r="Z14" s="789"/>
      <c r="AA14" s="1887"/>
      <c r="AB14" s="1887"/>
      <c r="AC14" s="763"/>
      <c r="AD14" s="763"/>
      <c r="AE14" s="685"/>
      <c r="AH14" s="763"/>
      <c r="AI14" s="763"/>
      <c r="AJ14" s="763"/>
      <c r="AK14" s="763"/>
      <c r="AL14" s="685"/>
      <c r="AM14" s="685"/>
      <c r="AN14" s="685"/>
      <c r="AO14" s="685"/>
      <c r="AP14" s="685"/>
      <c r="AQ14" s="685"/>
      <c r="AR14" s="685"/>
      <c r="AS14" s="685"/>
      <c r="AT14" s="1859"/>
      <c r="AU14" s="1859"/>
      <c r="AV14" s="1859"/>
      <c r="AW14" s="685"/>
      <c r="AX14" s="685"/>
      <c r="AY14" s="685"/>
      <c r="AZ14" s="685"/>
      <c r="BA14" s="685"/>
      <c r="BB14" s="685"/>
      <c r="BC14" s="685"/>
      <c r="BN14" s="763"/>
      <c r="BO14" s="685"/>
      <c r="BP14" s="1861"/>
      <c r="BR14" s="1861"/>
      <c r="BS14" s="789"/>
      <c r="BU14" s="763"/>
    </row>
    <row r="15" spans="1:73">
      <c r="A15" s="763"/>
      <c r="B15" s="685"/>
      <c r="C15" s="685"/>
      <c r="D15" s="685"/>
      <c r="E15" s="685"/>
      <c r="F15" s="685"/>
      <c r="G15" s="685"/>
      <c r="H15" s="685"/>
      <c r="I15" s="685"/>
      <c r="J15" s="685"/>
      <c r="K15" s="685"/>
      <c r="L15" s="685"/>
      <c r="M15" s="685"/>
      <c r="N15" s="685"/>
      <c r="O15" s="685"/>
      <c r="P15" s="685"/>
      <c r="Q15" s="685"/>
      <c r="R15" s="685"/>
      <c r="S15" s="685"/>
      <c r="T15" s="685"/>
      <c r="U15" s="685"/>
      <c r="V15" s="685"/>
      <c r="W15" s="685"/>
      <c r="X15" s="685"/>
      <c r="Y15" s="685"/>
      <c r="Z15" s="685"/>
      <c r="AA15" s="1859"/>
      <c r="AB15" s="1859"/>
      <c r="AC15" s="685"/>
      <c r="AD15" s="685"/>
      <c r="AE15" s="685"/>
      <c r="AH15" s="763"/>
      <c r="AI15" s="763"/>
      <c r="AJ15" s="763"/>
      <c r="AK15" s="763"/>
      <c r="AL15" s="685"/>
      <c r="AM15" s="685"/>
      <c r="AN15" s="685"/>
      <c r="AO15" s="685"/>
      <c r="AP15" s="685"/>
      <c r="AQ15" s="685"/>
      <c r="AR15" s="685"/>
      <c r="AS15" s="685"/>
      <c r="AT15" s="1859"/>
      <c r="AU15" s="1859"/>
      <c r="AV15" s="1859"/>
      <c r="AW15" s="685"/>
      <c r="AX15" s="685"/>
      <c r="AY15" s="685"/>
      <c r="AZ15" s="685"/>
      <c r="BA15" s="685"/>
      <c r="BB15" s="685"/>
      <c r="BC15" s="685"/>
      <c r="BN15" s="763"/>
      <c r="BO15" s="685"/>
      <c r="BP15" s="1859"/>
      <c r="BR15" s="1859"/>
      <c r="BS15" s="685"/>
      <c r="BU15" s="685"/>
    </row>
    <row r="16" spans="1:73">
      <c r="A16" s="763"/>
      <c r="B16" s="685" t="s">
        <v>1070</v>
      </c>
      <c r="C16" s="685"/>
      <c r="D16" s="685"/>
      <c r="E16" s="685"/>
      <c r="F16" s="685"/>
      <c r="G16" s="685"/>
      <c r="H16" s="685"/>
      <c r="I16" s="685"/>
      <c r="J16" s="685">
        <v>25</v>
      </c>
      <c r="K16" s="685"/>
      <c r="L16" s="685"/>
      <c r="M16" s="685">
        <v>40</v>
      </c>
      <c r="N16" s="685"/>
      <c r="O16" s="685"/>
      <c r="P16" s="685">
        <v>50</v>
      </c>
      <c r="Q16" s="685"/>
      <c r="R16" s="685"/>
      <c r="S16" s="685"/>
      <c r="T16" s="685"/>
      <c r="U16" s="685"/>
      <c r="V16" s="685"/>
      <c r="W16" s="685"/>
      <c r="X16" s="685"/>
      <c r="Y16" s="685"/>
      <c r="Z16" s="685"/>
      <c r="AA16" s="1859"/>
      <c r="AB16" s="1859"/>
      <c r="AC16" s="685"/>
      <c r="AD16" s="685"/>
      <c r="AE16" s="685"/>
      <c r="AH16" s="763"/>
      <c r="AI16" s="763"/>
      <c r="AJ16" s="763"/>
      <c r="AK16" s="763"/>
      <c r="AL16" s="685"/>
      <c r="AM16" s="685"/>
      <c r="AN16" s="685"/>
      <c r="AO16" s="685"/>
      <c r="AP16" s="685"/>
      <c r="AQ16" s="685"/>
      <c r="AR16" s="685"/>
      <c r="AS16" s="685"/>
      <c r="AT16" s="1859"/>
      <c r="AU16" s="1859"/>
      <c r="AV16" s="1859"/>
      <c r="AW16" s="685"/>
      <c r="AX16" s="685"/>
      <c r="AY16" s="685"/>
      <c r="AZ16" s="685"/>
      <c r="BA16" s="685"/>
      <c r="BB16" s="685"/>
      <c r="BC16" s="685"/>
      <c r="BN16" s="763"/>
      <c r="BO16" s="685"/>
      <c r="BP16" s="1859"/>
      <c r="BR16" s="1859"/>
      <c r="BS16" s="685"/>
      <c r="BU16" s="685"/>
    </row>
    <row r="17" spans="1:73">
      <c r="A17" s="763"/>
      <c r="B17" s="685"/>
      <c r="C17" s="685"/>
      <c r="D17" s="685"/>
      <c r="E17" s="685"/>
      <c r="F17" s="685"/>
      <c r="G17" s="685"/>
      <c r="H17" s="685"/>
      <c r="I17" s="685"/>
      <c r="J17" s="685"/>
      <c r="K17" s="685"/>
      <c r="L17" s="685"/>
      <c r="M17" s="685"/>
      <c r="N17" s="685"/>
      <c r="O17" s="685"/>
      <c r="P17" s="685"/>
      <c r="Q17" s="685"/>
      <c r="R17" s="685"/>
      <c r="S17" s="685"/>
      <c r="T17" s="685"/>
      <c r="U17" s="685"/>
      <c r="V17" s="685"/>
      <c r="W17" s="685"/>
      <c r="X17" s="685"/>
      <c r="Y17" s="685"/>
      <c r="Z17" s="685"/>
      <c r="AA17" s="1859"/>
      <c r="AB17" s="1859"/>
      <c r="AC17" s="685"/>
      <c r="AD17" s="685"/>
      <c r="AE17" s="685"/>
      <c r="AH17" s="763"/>
      <c r="AI17" s="763"/>
      <c r="AJ17" s="763"/>
      <c r="AK17" s="763"/>
      <c r="AL17" s="685"/>
      <c r="AM17" s="685"/>
      <c r="AN17" s="685"/>
      <c r="AO17" s="685"/>
      <c r="AP17" s="685"/>
      <c r="AQ17" s="685"/>
      <c r="AR17" s="685"/>
      <c r="AS17" s="685"/>
      <c r="AT17" s="1859"/>
      <c r="AU17" s="1859"/>
      <c r="AV17" s="1859"/>
      <c r="AW17" s="685"/>
      <c r="AX17" s="685"/>
      <c r="AY17" s="685"/>
      <c r="AZ17" s="685"/>
      <c r="BA17" s="685"/>
      <c r="BB17" s="685"/>
      <c r="BC17" s="685"/>
      <c r="BN17" s="763"/>
      <c r="BO17" s="685"/>
      <c r="BP17" s="1859"/>
      <c r="BR17" s="1859"/>
      <c r="BS17" s="685"/>
      <c r="BU17" s="685"/>
    </row>
    <row r="18" spans="1:73" ht="18.75">
      <c r="A18" s="763"/>
      <c r="B18" s="1690" t="s">
        <v>1062</v>
      </c>
      <c r="C18" s="1692" t="s">
        <v>757</v>
      </c>
      <c r="D18" s="1692" t="s">
        <v>758</v>
      </c>
      <c r="E18" s="1692" t="s">
        <v>759</v>
      </c>
      <c r="F18" s="1692" t="s">
        <v>760</v>
      </c>
      <c r="G18" s="1692" t="str">
        <f t="shared" ref="G18:O18" si="20">G2</f>
        <v>Q1 22</v>
      </c>
      <c r="H18" s="1692" t="str">
        <f t="shared" si="20"/>
        <v>Q2 22</v>
      </c>
      <c r="I18" s="1692" t="str">
        <f t="shared" si="20"/>
        <v>Q3 22</v>
      </c>
      <c r="J18" s="1692" t="str">
        <f t="shared" si="20"/>
        <v>Q4 22</v>
      </c>
      <c r="K18" s="1692" t="str">
        <f t="shared" si="20"/>
        <v>Q1 23</v>
      </c>
      <c r="L18" s="1692" t="str">
        <f t="shared" si="20"/>
        <v>Q2 23</v>
      </c>
      <c r="M18" s="1692" t="str">
        <f t="shared" si="20"/>
        <v>Q3 23</v>
      </c>
      <c r="N18" s="1692" t="str">
        <f t="shared" si="20"/>
        <v>Q4 23</v>
      </c>
      <c r="O18" s="1692" t="str">
        <f t="shared" si="20"/>
        <v>Q1 24</v>
      </c>
      <c r="P18" s="1692" t="str">
        <f t="shared" ref="P18:Z18" si="21">P2</f>
        <v>Q2 24</v>
      </c>
      <c r="Q18" s="1692" t="str">
        <f t="shared" si="21"/>
        <v>Q3 24</v>
      </c>
      <c r="R18" s="1692" t="str">
        <f t="shared" si="21"/>
        <v>Q4 24</v>
      </c>
      <c r="S18" s="1692" t="str">
        <f t="shared" si="21"/>
        <v>Q1 25</v>
      </c>
      <c r="T18" s="1692" t="str">
        <f t="shared" si="21"/>
        <v>Q2 25</v>
      </c>
      <c r="U18" s="1692" t="str">
        <f t="shared" si="21"/>
        <v>Q3 25</v>
      </c>
      <c r="V18" s="1692" t="str">
        <f t="shared" si="21"/>
        <v>Q4 25</v>
      </c>
      <c r="W18" s="1692" t="str">
        <f t="shared" si="21"/>
        <v>Q1 26</v>
      </c>
      <c r="X18" s="1692" t="str">
        <f t="shared" si="21"/>
        <v>Q2 26</v>
      </c>
      <c r="Y18" s="1692" t="str">
        <f t="shared" si="21"/>
        <v>Q3 26</v>
      </c>
      <c r="Z18" s="1692" t="str">
        <f t="shared" si="21"/>
        <v>Q4 26</v>
      </c>
      <c r="AA18" s="1871" t="str">
        <f>AA2</f>
        <v>2026E</v>
      </c>
      <c r="AB18" s="1871" t="str">
        <f>AB2</f>
        <v>2027E</v>
      </c>
      <c r="AC18" s="685"/>
      <c r="AD18" s="685"/>
      <c r="AE18" s="685"/>
      <c r="AH18" s="766"/>
      <c r="AI18" s="766"/>
      <c r="AJ18" s="766"/>
      <c r="AK18" s="766"/>
      <c r="AL18" s="809"/>
      <c r="AM18" s="809"/>
      <c r="AN18" s="685"/>
      <c r="AO18" s="685"/>
      <c r="AP18" s="685"/>
      <c r="AQ18" s="685"/>
      <c r="AR18" s="685"/>
      <c r="AS18" s="685"/>
      <c r="AT18" s="1859"/>
      <c r="AU18" s="1859"/>
      <c r="AV18" s="1859"/>
      <c r="AW18" s="685"/>
      <c r="AX18" s="685"/>
      <c r="AY18" s="685"/>
      <c r="AZ18" s="685"/>
      <c r="BA18" s="685"/>
      <c r="BB18" s="685"/>
      <c r="BC18" s="685"/>
      <c r="BN18" s="765"/>
      <c r="BO18" s="805" t="s">
        <v>1065</v>
      </c>
      <c r="BP18" s="1862" t="s">
        <v>864</v>
      </c>
      <c r="BR18" s="1862" t="s">
        <v>1063</v>
      </c>
      <c r="BS18" s="1692" t="s">
        <v>1064</v>
      </c>
      <c r="BU18" s="685"/>
    </row>
    <row r="19" spans="1:73" ht="18.75">
      <c r="A19" s="763"/>
      <c r="B19" s="1713" t="s">
        <v>33</v>
      </c>
      <c r="C19" s="1714">
        <f t="shared" ref="C19:F20" si="22">C3</f>
        <v>896</v>
      </c>
      <c r="D19" s="1714">
        <f t="shared" si="22"/>
        <v>991.2</v>
      </c>
      <c r="E19" s="1714">
        <f t="shared" si="22"/>
        <v>1099</v>
      </c>
      <c r="F19" s="1714">
        <f t="shared" si="22"/>
        <v>1195.5999999999999</v>
      </c>
      <c r="G19" s="1714">
        <f t="shared" ref="G19:O19" si="23">G3</f>
        <v>1010.6</v>
      </c>
      <c r="H19" s="1714">
        <f t="shared" si="23"/>
        <v>1096.2</v>
      </c>
      <c r="I19" s="1714">
        <f t="shared" si="23"/>
        <v>1151.5</v>
      </c>
      <c r="J19" s="1714">
        <f t="shared" si="23"/>
        <v>1453.5</v>
      </c>
      <c r="K19" s="1714">
        <f t="shared" si="23"/>
        <v>1070.9000000000001</v>
      </c>
      <c r="L19" s="1714">
        <f t="shared" si="23"/>
        <v>1219.8</v>
      </c>
      <c r="M19" s="1714">
        <f t="shared" si="23"/>
        <v>1280.5</v>
      </c>
      <c r="N19" s="1714">
        <f t="shared" si="23"/>
        <v>1356.8</v>
      </c>
      <c r="O19" s="1714">
        <f t="shared" si="23"/>
        <v>1149</v>
      </c>
      <c r="P19" s="1714">
        <f t="shared" ref="P19:R20" si="24">P3</f>
        <v>1257.7</v>
      </c>
      <c r="Q19" s="1714">
        <f t="shared" si="24"/>
        <v>1304.5999999999999</v>
      </c>
      <c r="R19" s="1714">
        <f t="shared" si="24"/>
        <v>1344.2</v>
      </c>
      <c r="S19" s="1714">
        <f t="shared" ref="S19:Z19" si="25">S20+S24</f>
        <v>1023.6999999999998</v>
      </c>
      <c r="T19" s="1714">
        <f t="shared" si="25"/>
        <v>1210</v>
      </c>
      <c r="U19" s="1714">
        <f t="shared" si="25"/>
        <v>1270.7</v>
      </c>
      <c r="V19" s="1714">
        <f t="shared" si="25"/>
        <v>1322.8000000000002</v>
      </c>
      <c r="W19" s="1714">
        <f t="shared" si="25"/>
        <v>1075</v>
      </c>
      <c r="X19" s="2051">
        <f t="shared" si="25"/>
        <v>1308</v>
      </c>
      <c r="Y19" s="2051">
        <f t="shared" si="25"/>
        <v>1358</v>
      </c>
      <c r="Z19" s="2051">
        <f t="shared" si="25"/>
        <v>1349.3629999999998</v>
      </c>
      <c r="AA19" s="2052">
        <f>VOD!J138</f>
        <v>5090.3629999999994</v>
      </c>
      <c r="AB19" s="2052">
        <f>VOD!K138</f>
        <v>5231.6203299999997</v>
      </c>
      <c r="AC19" s="685"/>
      <c r="AD19" s="750"/>
      <c r="AE19" s="685"/>
      <c r="AH19" s="766"/>
      <c r="AI19" s="766"/>
      <c r="AJ19" s="766"/>
      <c r="AK19" s="750">
        <f t="shared" ref="AK19:AK27" si="26">O19/K19-1</f>
        <v>7.2929311793818119E-2</v>
      </c>
      <c r="AL19" s="750">
        <f t="shared" ref="AL19:AL27" si="27">P19/L19-1</f>
        <v>3.1070667322512069E-2</v>
      </c>
      <c r="AM19" s="750">
        <f t="shared" ref="AM19:AM27" si="28">Q19/M19-1</f>
        <v>1.8820773135493907E-2</v>
      </c>
      <c r="AN19" s="750">
        <f t="shared" ref="AN19:AN27" si="29">R19/N19-1</f>
        <v>-9.2865566037735325E-3</v>
      </c>
      <c r="AO19" s="750">
        <f t="shared" ref="AO19:AO27" si="30">S19/O19-1</f>
        <v>-0.10905134899912983</v>
      </c>
      <c r="AP19" s="750">
        <f t="shared" ref="AP19:AP27" si="31">T19/P19-1</f>
        <v>-3.7926373538999747E-2</v>
      </c>
      <c r="AQ19" s="750">
        <f t="shared" ref="AQ19:AQ27" si="32">U19/Q19-1</f>
        <v>-2.5984976237927282E-2</v>
      </c>
      <c r="AR19" s="750">
        <f t="shared" ref="AR19:AR27" si="33">V19/R19-1</f>
        <v>-1.5920249962803057E-2</v>
      </c>
      <c r="AS19" s="750">
        <f t="shared" ref="AS19:AS27" si="34">W19/S19-1</f>
        <v>5.0112337598906098E-2</v>
      </c>
      <c r="AT19" s="1872">
        <f t="shared" ref="AT19:AT27" si="35">X19/T19-1</f>
        <v>8.0991735537190079E-2</v>
      </c>
      <c r="AU19" s="1872">
        <f t="shared" ref="AU19:AU27" si="36">Y19/U19-1</f>
        <v>6.8702290076335881E-2</v>
      </c>
      <c r="AV19" s="1872">
        <f t="shared" ref="AV19:AV27" si="37">Z19/V19-1</f>
        <v>2.0080889023283754E-2</v>
      </c>
      <c r="AW19" s="685"/>
      <c r="AX19" s="685"/>
      <c r="AY19" s="685"/>
      <c r="AZ19" s="685"/>
      <c r="BA19" s="685"/>
      <c r="BB19" s="685"/>
      <c r="BC19" s="685"/>
      <c r="BN19" s="765"/>
      <c r="BO19" s="807">
        <v>1445.6867989935354</v>
      </c>
      <c r="BP19" s="1863">
        <v>1205</v>
      </c>
      <c r="BR19" s="1863">
        <v>1250</v>
      </c>
      <c r="BS19" s="1714">
        <v>1294.6079999999999</v>
      </c>
      <c r="BU19" s="795">
        <f>VOD!H138-O19-P19-Q19</f>
        <v>1344.2000000000003</v>
      </c>
    </row>
    <row r="20" spans="1:73" ht="18.75">
      <c r="A20" s="763"/>
      <c r="B20" s="1715" t="s">
        <v>1066</v>
      </c>
      <c r="C20" s="1704">
        <f t="shared" si="22"/>
        <v>634</v>
      </c>
      <c r="D20" s="1704">
        <f t="shared" si="22"/>
        <v>700.2</v>
      </c>
      <c r="E20" s="1704">
        <f t="shared" si="22"/>
        <v>754.7</v>
      </c>
      <c r="F20" s="1704">
        <f t="shared" si="22"/>
        <v>752.4</v>
      </c>
      <c r="G20" s="1704">
        <f t="shared" ref="G20:O20" si="38">G4</f>
        <v>713</v>
      </c>
      <c r="H20" s="1704">
        <f t="shared" si="38"/>
        <v>747.5</v>
      </c>
      <c r="I20" s="1704">
        <f t="shared" si="38"/>
        <v>769.3</v>
      </c>
      <c r="J20" s="1704">
        <f t="shared" si="38"/>
        <v>963.2</v>
      </c>
      <c r="K20" s="1980">
        <f t="shared" si="38"/>
        <v>739.1</v>
      </c>
      <c r="L20" s="1980">
        <f t="shared" si="38"/>
        <v>793.6</v>
      </c>
      <c r="M20" s="1980">
        <f t="shared" si="38"/>
        <v>806.3</v>
      </c>
      <c r="N20" s="1980">
        <f t="shared" si="38"/>
        <v>820.7</v>
      </c>
      <c r="O20" s="1980">
        <f t="shared" si="38"/>
        <v>739.9</v>
      </c>
      <c r="P20" s="1980">
        <f t="shared" si="24"/>
        <v>799.4</v>
      </c>
      <c r="Q20" s="1980">
        <f t="shared" si="24"/>
        <v>852.4</v>
      </c>
      <c r="R20" s="1980">
        <f t="shared" si="24"/>
        <v>835.5</v>
      </c>
      <c r="S20" s="1980">
        <f t="shared" ref="S20:X20" si="39">S21+S22+S23</f>
        <v>709.09999999999991</v>
      </c>
      <c r="T20" s="1980">
        <f t="shared" si="39"/>
        <v>815.6</v>
      </c>
      <c r="U20" s="1980">
        <f t="shared" si="39"/>
        <v>831.30000000000007</v>
      </c>
      <c r="V20" s="1980">
        <f t="shared" si="39"/>
        <v>777.2</v>
      </c>
      <c r="W20" s="1980">
        <f t="shared" si="39"/>
        <v>707.69999999999993</v>
      </c>
      <c r="X20" s="2053">
        <f t="shared" si="39"/>
        <v>868</v>
      </c>
      <c r="Y20" s="2053">
        <f t="shared" ref="Y20:Z20" si="40">Y21+Y22+Y23</f>
        <v>883</v>
      </c>
      <c r="Z20" s="2053">
        <f t="shared" si="40"/>
        <v>820.58899999999983</v>
      </c>
      <c r="AA20" s="1856">
        <f>VOD!J145</f>
        <v>3279.2889999999998</v>
      </c>
      <c r="AB20" s="1856">
        <f>VOD!K145</f>
        <v>3367.4441099999999</v>
      </c>
      <c r="AC20" s="685"/>
      <c r="AD20" s="750"/>
      <c r="AE20" s="766">
        <f t="shared" ref="AE20:AH27" si="41">Q20/M20-1</f>
        <v>5.7174748852784285E-2</v>
      </c>
      <c r="AF20" s="766">
        <f t="shared" si="41"/>
        <v>1.8033386133788243E-2</v>
      </c>
      <c r="AG20" s="766">
        <f t="shared" si="41"/>
        <v>-4.1627246925260208E-2</v>
      </c>
      <c r="AH20" s="766">
        <f t="shared" si="41"/>
        <v>2.0265198899174441E-2</v>
      </c>
      <c r="AI20" s="766"/>
      <c r="AJ20" s="766"/>
      <c r="AK20" s="750">
        <f t="shared" si="26"/>
        <v>1.0823975104856665E-3</v>
      </c>
      <c r="AL20" s="750">
        <f t="shared" si="27"/>
        <v>7.3084677419354982E-3</v>
      </c>
      <c r="AM20" s="750">
        <f t="shared" si="28"/>
        <v>5.7174748852784285E-2</v>
      </c>
      <c r="AN20" s="750">
        <f t="shared" si="29"/>
        <v>1.8033386133788243E-2</v>
      </c>
      <c r="AO20" s="750">
        <f t="shared" si="30"/>
        <v>-4.1627246925260208E-2</v>
      </c>
      <c r="AP20" s="750">
        <f t="shared" si="31"/>
        <v>2.0265198899174441E-2</v>
      </c>
      <c r="AQ20" s="750">
        <f t="shared" si="32"/>
        <v>-2.4753636790239231E-2</v>
      </c>
      <c r="AR20" s="750">
        <f t="shared" si="33"/>
        <v>-6.9778575703171697E-2</v>
      </c>
      <c r="AS20" s="750">
        <f t="shared" si="34"/>
        <v>-1.9743336623888608E-3</v>
      </c>
      <c r="AT20" s="1872">
        <f t="shared" si="35"/>
        <v>6.4247179990191139E-2</v>
      </c>
      <c r="AU20" s="1872">
        <f t="shared" si="36"/>
        <v>6.2191747864789981E-2</v>
      </c>
      <c r="AV20" s="1872">
        <f t="shared" si="37"/>
        <v>5.582732887287678E-2</v>
      </c>
      <c r="AW20" s="685"/>
      <c r="AX20" s="685"/>
      <c r="AY20" s="685"/>
      <c r="AZ20" s="685"/>
      <c r="BA20" s="685"/>
      <c r="BB20" s="685"/>
      <c r="BC20" s="685"/>
      <c r="BN20" s="1008">
        <f>N20/BO20-1</f>
        <v>-0.11402968648493395</v>
      </c>
      <c r="BO20" s="795">
        <v>926.32900615359495</v>
      </c>
      <c r="BP20" s="1864"/>
      <c r="BR20" s="1864"/>
      <c r="BS20" s="1704"/>
      <c r="BU20" s="685"/>
    </row>
    <row r="21" spans="1:73" ht="18.75">
      <c r="A21" s="763"/>
      <c r="B21" s="1702" t="s">
        <v>189</v>
      </c>
      <c r="C21" s="1705">
        <v>343</v>
      </c>
      <c r="D21" s="1705">
        <v>407.2</v>
      </c>
      <c r="E21" s="1705">
        <v>442.7</v>
      </c>
      <c r="F21" s="1705">
        <v>435.2</v>
      </c>
      <c r="G21" s="1705">
        <v>392</v>
      </c>
      <c r="H21" s="1705">
        <v>447.7</v>
      </c>
      <c r="I21" s="1705">
        <v>463.4</v>
      </c>
      <c r="J21" s="1705">
        <v>494.1</v>
      </c>
      <c r="K21" s="1981">
        <v>398.4</v>
      </c>
      <c r="L21" s="1981">
        <v>452.6</v>
      </c>
      <c r="M21" s="1981">
        <v>459.4</v>
      </c>
      <c r="N21" s="1981">
        <v>467.2</v>
      </c>
      <c r="O21" s="1981">
        <v>399.4</v>
      </c>
      <c r="P21" s="1981">
        <v>462.4</v>
      </c>
      <c r="Q21" s="1981">
        <v>483.1</v>
      </c>
      <c r="R21" s="1981">
        <v>475.6</v>
      </c>
      <c r="S21" s="1981">
        <v>353.7</v>
      </c>
      <c r="T21" s="1981">
        <v>455.2</v>
      </c>
      <c r="U21" s="1981">
        <v>428.2</v>
      </c>
      <c r="V21" s="1981">
        <v>423.2</v>
      </c>
      <c r="W21" s="1981">
        <v>309.89999999999998</v>
      </c>
      <c r="X21" s="2054">
        <v>495</v>
      </c>
      <c r="Y21" s="2054">
        <v>470</v>
      </c>
      <c r="Z21" s="2054">
        <f>AA21-W21-X21-Y21</f>
        <v>451.8119999999999</v>
      </c>
      <c r="AA21" s="1856">
        <f>VOD!J142</f>
        <v>1726.712</v>
      </c>
      <c r="AB21" s="1856">
        <f>VOD!K142</f>
        <v>1769.8797999999999</v>
      </c>
      <c r="AC21" s="685"/>
      <c r="AD21" s="685"/>
      <c r="AE21" s="766">
        <f t="shared" si="41"/>
        <v>5.1589029168480627E-2</v>
      </c>
      <c r="AF21" s="766">
        <f t="shared" si="41"/>
        <v>1.7979452054794676E-2</v>
      </c>
      <c r="AG21" s="766">
        <f t="shared" si="41"/>
        <v>-0.11442163244867298</v>
      </c>
      <c r="AH21" s="766">
        <f t="shared" si="41"/>
        <v>-1.557093425605538E-2</v>
      </c>
      <c r="AI21" s="766"/>
      <c r="AJ21" s="766"/>
      <c r="AK21" s="750">
        <f t="shared" si="26"/>
        <v>2.5100401606426015E-3</v>
      </c>
      <c r="AL21" s="750">
        <f t="shared" si="27"/>
        <v>2.1652673442333015E-2</v>
      </c>
      <c r="AM21" s="750">
        <f t="shared" si="28"/>
        <v>5.1589029168480627E-2</v>
      </c>
      <c r="AN21" s="750">
        <f t="shared" si="29"/>
        <v>1.7979452054794676E-2</v>
      </c>
      <c r="AO21" s="750">
        <f t="shared" si="30"/>
        <v>-0.11442163244867298</v>
      </c>
      <c r="AP21" s="750">
        <f t="shared" si="31"/>
        <v>-1.557093425605538E-2</v>
      </c>
      <c r="AQ21" s="750">
        <f t="shared" si="32"/>
        <v>-0.11364106810184238</v>
      </c>
      <c r="AR21" s="750">
        <f t="shared" si="33"/>
        <v>-0.11017661900756948</v>
      </c>
      <c r="AS21" s="750">
        <f t="shared" si="34"/>
        <v>-0.12383375742154368</v>
      </c>
      <c r="AT21" s="1872">
        <f t="shared" si="35"/>
        <v>8.7434094903339199E-2</v>
      </c>
      <c r="AU21" s="1872">
        <f t="shared" si="36"/>
        <v>9.7617935544138223E-2</v>
      </c>
      <c r="AV21" s="1872">
        <f t="shared" si="37"/>
        <v>6.7608695652173756E-2</v>
      </c>
      <c r="AW21" s="685" t="str">
        <f>B21</f>
        <v>Advertising</v>
      </c>
      <c r="AX21" s="685"/>
      <c r="AY21" s="685"/>
      <c r="AZ21" s="685"/>
      <c r="BA21" s="685"/>
      <c r="BB21" s="685"/>
      <c r="BC21" s="685"/>
      <c r="BN21" s="765"/>
      <c r="BO21" s="685"/>
      <c r="BP21" s="1864"/>
      <c r="BR21" s="1864"/>
      <c r="BS21" s="1705"/>
      <c r="BU21" s="685"/>
    </row>
    <row r="22" spans="1:73" ht="18.75">
      <c r="A22" s="763"/>
      <c r="B22" s="1701" t="s">
        <v>1071</v>
      </c>
      <c r="C22" s="1704">
        <v>269</v>
      </c>
      <c r="D22" s="1704">
        <v>269.2</v>
      </c>
      <c r="E22" s="1704">
        <v>278</v>
      </c>
      <c r="F22" s="1704">
        <v>296</v>
      </c>
      <c r="G22" s="1704">
        <v>310</v>
      </c>
      <c r="H22" s="1704">
        <v>296.60000000000002</v>
      </c>
      <c r="I22" s="1704">
        <v>296.3</v>
      </c>
      <c r="J22" s="1704">
        <v>457.6</v>
      </c>
      <c r="K22" s="1980">
        <v>326.10000000000002</v>
      </c>
      <c r="L22" s="1980">
        <v>324.8</v>
      </c>
      <c r="M22" s="1980">
        <v>329.9</v>
      </c>
      <c r="N22" s="1980">
        <v>328.5</v>
      </c>
      <c r="O22" s="1980">
        <v>326.5</v>
      </c>
      <c r="P22" s="1980">
        <v>320.60000000000002</v>
      </c>
      <c r="Q22" s="1980">
        <v>350.9</v>
      </c>
      <c r="R22" s="1980">
        <v>346.5</v>
      </c>
      <c r="S22" s="1980">
        <v>344.4</v>
      </c>
      <c r="T22" s="1980">
        <v>348</v>
      </c>
      <c r="U22" s="1980">
        <v>388</v>
      </c>
      <c r="V22" s="1980">
        <v>341</v>
      </c>
      <c r="W22" s="1980">
        <v>384.7</v>
      </c>
      <c r="X22" s="2053">
        <v>360</v>
      </c>
      <c r="Y22" s="2053">
        <v>400</v>
      </c>
      <c r="Z22" s="2053">
        <f>AA22-W22-X22-Y22</f>
        <v>354.87699999999995</v>
      </c>
      <c r="AA22" s="1856">
        <f>VOD!J143</f>
        <v>1499.577</v>
      </c>
      <c r="AB22" s="1856">
        <f>VOD!K143</f>
        <v>1544.56431</v>
      </c>
      <c r="AC22" s="685"/>
      <c r="AD22" s="685"/>
      <c r="AE22" s="766">
        <f t="shared" si="41"/>
        <v>6.3655653228251063E-2</v>
      </c>
      <c r="AF22" s="766">
        <f t="shared" si="41"/>
        <v>5.4794520547945202E-2</v>
      </c>
      <c r="AG22" s="766">
        <f t="shared" si="41"/>
        <v>5.4823889739663123E-2</v>
      </c>
      <c r="AH22" s="766">
        <f t="shared" si="41"/>
        <v>8.5464753587024322E-2</v>
      </c>
      <c r="AI22" s="766"/>
      <c r="AJ22" s="766"/>
      <c r="AK22" s="750">
        <f t="shared" si="26"/>
        <v>1.2266176019624098E-3</v>
      </c>
      <c r="AL22" s="750">
        <f t="shared" si="27"/>
        <v>-1.2931034482758563E-2</v>
      </c>
      <c r="AM22" s="750">
        <f t="shared" si="28"/>
        <v>6.3655653228251063E-2</v>
      </c>
      <c r="AN22" s="750">
        <f t="shared" si="29"/>
        <v>5.4794520547945202E-2</v>
      </c>
      <c r="AO22" s="750">
        <f t="shared" si="30"/>
        <v>5.4823889739663123E-2</v>
      </c>
      <c r="AP22" s="750">
        <f t="shared" si="31"/>
        <v>8.5464753587024322E-2</v>
      </c>
      <c r="AQ22" s="750">
        <f t="shared" si="32"/>
        <v>0.10572812767170148</v>
      </c>
      <c r="AR22" s="750">
        <f t="shared" si="33"/>
        <v>-1.5873015873015928E-2</v>
      </c>
      <c r="AS22" s="750">
        <f t="shared" si="34"/>
        <v>0.11701509872241589</v>
      </c>
      <c r="AT22" s="1872">
        <f t="shared" si="35"/>
        <v>3.4482758620689724E-2</v>
      </c>
      <c r="AU22" s="1872">
        <f t="shared" si="36"/>
        <v>3.0927835051546282E-2</v>
      </c>
      <c r="AV22" s="1872">
        <f t="shared" si="37"/>
        <v>4.069501466275649E-2</v>
      </c>
      <c r="AW22" s="685" t="str">
        <f t="shared" ref="AW22:AW23" si="42">B22</f>
        <v>Subscription &amp; Licensing</v>
      </c>
      <c r="AX22" s="685"/>
      <c r="AY22" s="685"/>
      <c r="AZ22" s="685"/>
      <c r="BA22" s="685"/>
      <c r="BB22" s="685"/>
      <c r="BC22" s="685"/>
      <c r="BN22" s="765"/>
      <c r="BO22" s="685"/>
      <c r="BP22" s="1864"/>
      <c r="BR22" s="1864"/>
      <c r="BS22" s="1704"/>
      <c r="BU22" s="685"/>
    </row>
    <row r="23" spans="1:73" ht="18.75">
      <c r="A23" s="763"/>
      <c r="B23" s="1702" t="s">
        <v>107</v>
      </c>
      <c r="C23" s="1705">
        <v>22</v>
      </c>
      <c r="D23" s="1705">
        <v>23.8</v>
      </c>
      <c r="E23" s="1705">
        <v>34</v>
      </c>
      <c r="F23" s="1705">
        <v>21.2</v>
      </c>
      <c r="G23" s="1705">
        <v>12</v>
      </c>
      <c r="H23" s="1705">
        <v>3.2</v>
      </c>
      <c r="I23" s="1705">
        <v>9.6</v>
      </c>
      <c r="J23" s="1705">
        <v>11.5</v>
      </c>
      <c r="K23" s="1981">
        <v>14.6</v>
      </c>
      <c r="L23" s="1981">
        <v>16.2</v>
      </c>
      <c r="M23" s="1981">
        <v>17</v>
      </c>
      <c r="N23" s="1981">
        <v>25</v>
      </c>
      <c r="O23" s="1981">
        <v>14</v>
      </c>
      <c r="P23" s="1981">
        <v>16.399999999999999</v>
      </c>
      <c r="Q23" s="1981">
        <v>18.399999999999999</v>
      </c>
      <c r="R23" s="1981">
        <v>13.4</v>
      </c>
      <c r="S23" s="1981">
        <v>11</v>
      </c>
      <c r="T23" s="1981">
        <v>12.4</v>
      </c>
      <c r="U23" s="1981">
        <v>15.1</v>
      </c>
      <c r="V23" s="1981">
        <v>13</v>
      </c>
      <c r="W23" s="1981">
        <v>13.1</v>
      </c>
      <c r="X23" s="2054">
        <v>13</v>
      </c>
      <c r="Y23" s="2054">
        <v>13</v>
      </c>
      <c r="Z23" s="2054">
        <f>AA23-W23-X23-Y23</f>
        <v>13.899999999999999</v>
      </c>
      <c r="AA23" s="1856">
        <f>VOD!J144</f>
        <v>53</v>
      </c>
      <c r="AB23" s="1856">
        <f>VOD!K144</f>
        <v>53</v>
      </c>
      <c r="AC23" s="685"/>
      <c r="AD23" s="685"/>
      <c r="AE23" s="766">
        <f t="shared" si="41"/>
        <v>8.2352941176470518E-2</v>
      </c>
      <c r="AF23" s="766">
        <f t="shared" si="41"/>
        <v>-0.46399999999999997</v>
      </c>
      <c r="AG23" s="766">
        <f t="shared" si="41"/>
        <v>-0.2142857142857143</v>
      </c>
      <c r="AH23" s="766">
        <f t="shared" si="41"/>
        <v>-0.24390243902439013</v>
      </c>
      <c r="AI23" s="766"/>
      <c r="AJ23" s="766"/>
      <c r="AK23" s="750">
        <f t="shared" si="26"/>
        <v>-4.1095890410958846E-2</v>
      </c>
      <c r="AL23" s="750">
        <f t="shared" si="27"/>
        <v>1.2345679012345734E-2</v>
      </c>
      <c r="AM23" s="750">
        <f t="shared" si="28"/>
        <v>8.2352941176470518E-2</v>
      </c>
      <c r="AN23" s="750">
        <f t="shared" si="29"/>
        <v>-0.46399999999999997</v>
      </c>
      <c r="AO23" s="750">
        <f t="shared" si="30"/>
        <v>-0.2142857142857143</v>
      </c>
      <c r="AP23" s="750">
        <f t="shared" si="31"/>
        <v>-0.24390243902439013</v>
      </c>
      <c r="AQ23" s="750">
        <f t="shared" si="32"/>
        <v>-0.17934782608695643</v>
      </c>
      <c r="AR23" s="750">
        <f t="shared" si="33"/>
        <v>-2.9850746268656692E-2</v>
      </c>
      <c r="AS23" s="750">
        <f t="shared" si="34"/>
        <v>0.19090909090909092</v>
      </c>
      <c r="AT23" s="1872">
        <f t="shared" si="35"/>
        <v>4.8387096774193505E-2</v>
      </c>
      <c r="AU23" s="1872">
        <f t="shared" si="36"/>
        <v>-0.13907284768211914</v>
      </c>
      <c r="AV23" s="1872">
        <f t="shared" si="37"/>
        <v>6.9230769230769207E-2</v>
      </c>
      <c r="AW23" s="685" t="str">
        <f t="shared" si="42"/>
        <v>Other</v>
      </c>
      <c r="AX23" s="685"/>
      <c r="AY23" s="685"/>
      <c r="AZ23" s="685"/>
      <c r="BA23" s="685"/>
      <c r="BB23" s="685"/>
      <c r="BC23" s="685"/>
      <c r="BN23" s="765"/>
      <c r="BO23" s="685"/>
      <c r="BP23" s="1864"/>
      <c r="BR23" s="1864"/>
      <c r="BS23" s="1705"/>
      <c r="BU23" s="685"/>
    </row>
    <row r="24" spans="1:73" ht="18.75">
      <c r="A24" s="763"/>
      <c r="B24" s="1715" t="s">
        <v>1067</v>
      </c>
      <c r="C24" s="1704">
        <f t="shared" ref="C24:O24" si="43">C5</f>
        <v>262</v>
      </c>
      <c r="D24" s="1704">
        <f t="shared" si="43"/>
        <v>291.10000000000002</v>
      </c>
      <c r="E24" s="1704">
        <f t="shared" si="43"/>
        <v>344.7</v>
      </c>
      <c r="F24" s="1704">
        <f t="shared" si="43"/>
        <v>443.2</v>
      </c>
      <c r="G24" s="1704">
        <f t="shared" si="43"/>
        <v>297</v>
      </c>
      <c r="H24" s="1704">
        <f t="shared" si="43"/>
        <v>348.7</v>
      </c>
      <c r="I24" s="1704">
        <f t="shared" si="43"/>
        <v>382.2</v>
      </c>
      <c r="J24" s="1704">
        <f t="shared" si="43"/>
        <v>490.3</v>
      </c>
      <c r="K24" s="1980">
        <f t="shared" si="43"/>
        <v>331.8</v>
      </c>
      <c r="L24" s="1980">
        <f t="shared" si="43"/>
        <v>426.2</v>
      </c>
      <c r="M24" s="1980">
        <f t="shared" si="43"/>
        <v>474.2</v>
      </c>
      <c r="N24" s="1980">
        <f t="shared" si="43"/>
        <v>536.1</v>
      </c>
      <c r="O24" s="1980">
        <f t="shared" si="43"/>
        <v>409.1</v>
      </c>
      <c r="P24" s="1980">
        <f>P5</f>
        <v>458.3</v>
      </c>
      <c r="Q24" s="1980">
        <f>Q5</f>
        <v>452.2</v>
      </c>
      <c r="R24" s="1980">
        <f>R5</f>
        <v>508.7</v>
      </c>
      <c r="S24" s="1980">
        <f t="shared" ref="S24:X24" si="44">S25+S26+S27</f>
        <v>314.59999999999997</v>
      </c>
      <c r="T24" s="1980">
        <f t="shared" si="44"/>
        <v>394.40000000000003</v>
      </c>
      <c r="U24" s="1980">
        <f t="shared" si="44"/>
        <v>439.40000000000003</v>
      </c>
      <c r="V24" s="1980">
        <f t="shared" si="44"/>
        <v>545.6</v>
      </c>
      <c r="W24" s="1980">
        <f t="shared" si="44"/>
        <v>367.3</v>
      </c>
      <c r="X24" s="2053">
        <f t="shared" si="44"/>
        <v>440</v>
      </c>
      <c r="Y24" s="2053">
        <f t="shared" ref="Y24:Z24" si="45">Y25+Y26+Y27</f>
        <v>475</v>
      </c>
      <c r="Z24" s="2053">
        <f t="shared" si="45"/>
        <v>528.77399999999989</v>
      </c>
      <c r="AA24" s="1856">
        <f>VOD!J150</f>
        <v>1811.0740000000001</v>
      </c>
      <c r="AB24" s="1856">
        <f>VOD!K150</f>
        <v>1864.1762200000001</v>
      </c>
      <c r="AC24" s="685"/>
      <c r="AD24" s="685"/>
      <c r="AE24" s="766">
        <f t="shared" si="41"/>
        <v>-4.6393926613243375E-2</v>
      </c>
      <c r="AF24" s="766">
        <f t="shared" si="41"/>
        <v>-5.1109867562022071E-2</v>
      </c>
      <c r="AG24" s="766">
        <f t="shared" si="41"/>
        <v>-0.23099486678073833</v>
      </c>
      <c r="AH24" s="766">
        <f t="shared" si="41"/>
        <v>-0.13942832205978606</v>
      </c>
      <c r="AI24" s="766"/>
      <c r="AJ24" s="766"/>
      <c r="AK24" s="750">
        <f t="shared" si="26"/>
        <v>0.2329716696805304</v>
      </c>
      <c r="AL24" s="750">
        <f t="shared" si="27"/>
        <v>7.5316752698263878E-2</v>
      </c>
      <c r="AM24" s="750">
        <f t="shared" si="28"/>
        <v>-4.6393926613243375E-2</v>
      </c>
      <c r="AN24" s="750">
        <f t="shared" si="29"/>
        <v>-5.1109867562022071E-2</v>
      </c>
      <c r="AO24" s="750">
        <f t="shared" si="30"/>
        <v>-0.23099486678073833</v>
      </c>
      <c r="AP24" s="750">
        <f t="shared" si="31"/>
        <v>-0.13942832205978606</v>
      </c>
      <c r="AQ24" s="750">
        <f t="shared" si="32"/>
        <v>-2.8306059265811534E-2</v>
      </c>
      <c r="AR24" s="750">
        <f t="shared" si="33"/>
        <v>7.2537841556909788E-2</v>
      </c>
      <c r="AS24" s="750">
        <f t="shared" si="34"/>
        <v>0.16751430387794031</v>
      </c>
      <c r="AT24" s="1872">
        <f t="shared" si="35"/>
        <v>0.11561866125760645</v>
      </c>
      <c r="AU24" s="1872">
        <f t="shared" si="36"/>
        <v>8.1019572143832486E-2</v>
      </c>
      <c r="AV24" s="1872">
        <f t="shared" si="37"/>
        <v>-3.0839442815249529E-2</v>
      </c>
      <c r="AW24" s="685"/>
      <c r="AX24" s="685"/>
      <c r="AY24" s="685"/>
      <c r="AZ24" s="685"/>
      <c r="BA24" s="685"/>
      <c r="BB24" s="685"/>
      <c r="BC24" s="685"/>
      <c r="BN24" s="1008">
        <f>N24/BO24-1</f>
        <v>3.2236364585019883E-2</v>
      </c>
      <c r="BO24" s="795">
        <v>519.35779283994043</v>
      </c>
      <c r="BP24" s="1864"/>
      <c r="BR24" s="1864">
        <v>0</v>
      </c>
      <c r="BS24" s="1704"/>
      <c r="BU24" s="685"/>
    </row>
    <row r="25" spans="1:73" ht="18.75">
      <c r="A25" s="763"/>
      <c r="B25" s="1702" t="s">
        <v>189</v>
      </c>
      <c r="C25" s="1705">
        <v>165</v>
      </c>
      <c r="D25" s="1705">
        <v>193</v>
      </c>
      <c r="E25" s="1705">
        <v>241</v>
      </c>
      <c r="F25" s="1705">
        <v>340.5</v>
      </c>
      <c r="G25" s="1705">
        <v>177</v>
      </c>
      <c r="H25" s="1705">
        <v>220.9</v>
      </c>
      <c r="I25" s="1705">
        <v>261.8</v>
      </c>
      <c r="J25" s="1705">
        <v>355.6</v>
      </c>
      <c r="K25" s="1981">
        <v>209</v>
      </c>
      <c r="L25" s="1981">
        <v>284.89999999999998</v>
      </c>
      <c r="M25" s="1981">
        <v>318</v>
      </c>
      <c r="N25" s="1981">
        <v>392.8</v>
      </c>
      <c r="O25" s="1981">
        <v>248.5</v>
      </c>
      <c r="P25" s="1981">
        <v>322.60000000000002</v>
      </c>
      <c r="Q25" s="1981">
        <v>316.10000000000002</v>
      </c>
      <c r="R25" s="1981">
        <v>377.4</v>
      </c>
      <c r="S25" s="1981">
        <v>209.4</v>
      </c>
      <c r="T25" s="1981">
        <v>287.10000000000002</v>
      </c>
      <c r="U25" s="1981">
        <v>327</v>
      </c>
      <c r="V25" s="1981">
        <v>433.1</v>
      </c>
      <c r="W25" s="1981">
        <v>235.7</v>
      </c>
      <c r="X25" s="2054">
        <v>320</v>
      </c>
      <c r="Y25" s="2054">
        <v>350</v>
      </c>
      <c r="Z25" s="2054">
        <f>AA25-W25-X25-Y25</f>
        <v>413.73</v>
      </c>
      <c r="AA25" s="1856">
        <f>VOD!J147</f>
        <v>1319.43</v>
      </c>
      <c r="AB25" s="1856">
        <f>VOD!K147</f>
        <v>1359.0129000000002</v>
      </c>
      <c r="AC25" s="685"/>
      <c r="AD25" s="685"/>
      <c r="AE25" s="766">
        <f t="shared" si="41"/>
        <v>-5.9748427672955406E-3</v>
      </c>
      <c r="AF25" s="766">
        <f t="shared" si="41"/>
        <v>-3.9205702647657881E-2</v>
      </c>
      <c r="AG25" s="766">
        <f t="shared" si="41"/>
        <v>-0.15734406438631787</v>
      </c>
      <c r="AH25" s="766">
        <f t="shared" si="41"/>
        <v>-0.11004339739615621</v>
      </c>
      <c r="AI25" s="766"/>
      <c r="AJ25" s="766"/>
      <c r="AK25" s="750">
        <f t="shared" si="26"/>
        <v>0.18899521531100483</v>
      </c>
      <c r="AL25" s="750">
        <f t="shared" si="27"/>
        <v>0.13232713232713245</v>
      </c>
      <c r="AM25" s="750">
        <f t="shared" si="28"/>
        <v>-5.9748427672955406E-3</v>
      </c>
      <c r="AN25" s="750">
        <f t="shared" si="29"/>
        <v>-3.9205702647657881E-2</v>
      </c>
      <c r="AO25" s="750">
        <f t="shared" si="30"/>
        <v>-0.15734406438631787</v>
      </c>
      <c r="AP25" s="750">
        <f t="shared" si="31"/>
        <v>-0.11004339739615621</v>
      </c>
      <c r="AQ25" s="750">
        <f t="shared" si="32"/>
        <v>3.4482758620689502E-2</v>
      </c>
      <c r="AR25" s="750">
        <f t="shared" si="33"/>
        <v>0.14758876523582409</v>
      </c>
      <c r="AS25" s="750">
        <f t="shared" si="34"/>
        <v>0.12559694364851959</v>
      </c>
      <c r="AT25" s="1872">
        <f t="shared" si="35"/>
        <v>0.11459421804249392</v>
      </c>
      <c r="AU25" s="1872">
        <f t="shared" si="36"/>
        <v>7.0336391437308965E-2</v>
      </c>
      <c r="AV25" s="1872">
        <f t="shared" si="37"/>
        <v>-4.4724082198106641E-2</v>
      </c>
      <c r="AW25" s="685" t="str">
        <f>B25</f>
        <v>Advertising</v>
      </c>
      <c r="AX25" s="685"/>
      <c r="AY25" s="685"/>
      <c r="AZ25" s="685"/>
      <c r="BA25" s="685"/>
      <c r="BB25" s="685"/>
      <c r="BC25" s="685"/>
      <c r="BN25" s="765"/>
      <c r="BO25" s="685"/>
      <c r="BP25" s="1865">
        <v>290</v>
      </c>
      <c r="BR25" s="1864"/>
      <c r="BS25" s="1705"/>
      <c r="BU25" s="685"/>
    </row>
    <row r="26" spans="1:73" ht="18.75">
      <c r="A26" s="763"/>
      <c r="B26" s="1701" t="s">
        <v>1071</v>
      </c>
      <c r="C26" s="1704">
        <v>87</v>
      </c>
      <c r="D26" s="1704">
        <v>91.8</v>
      </c>
      <c r="E26" s="1704">
        <v>90.6</v>
      </c>
      <c r="F26" s="1704">
        <v>91.6</v>
      </c>
      <c r="G26" s="1704">
        <v>97</v>
      </c>
      <c r="H26" s="1704">
        <v>100.8</v>
      </c>
      <c r="I26" s="1704">
        <v>103.2</v>
      </c>
      <c r="J26" s="1704">
        <v>110.3</v>
      </c>
      <c r="K26" s="1980">
        <v>110</v>
      </c>
      <c r="L26" s="1980">
        <v>128.5</v>
      </c>
      <c r="M26" s="1980">
        <v>143.30000000000001</v>
      </c>
      <c r="N26" s="1980">
        <v>122.3</v>
      </c>
      <c r="O26" s="1980">
        <v>146.9</v>
      </c>
      <c r="P26" s="1980">
        <v>124.1</v>
      </c>
      <c r="Q26" s="1980">
        <v>126.6</v>
      </c>
      <c r="R26" s="1980">
        <v>119.2</v>
      </c>
      <c r="S26" s="1980">
        <v>94</v>
      </c>
      <c r="T26" s="1980">
        <v>95</v>
      </c>
      <c r="U26" s="1980">
        <v>104.8</v>
      </c>
      <c r="V26" s="1980">
        <v>105</v>
      </c>
      <c r="W26" s="1980">
        <v>120.4</v>
      </c>
      <c r="X26" s="2053">
        <v>110</v>
      </c>
      <c r="Y26" s="2053">
        <v>115</v>
      </c>
      <c r="Z26" s="2053">
        <f>AA26-W26-X26-Y26</f>
        <v>105.24399999999991</v>
      </c>
      <c r="AA26" s="1856">
        <f>VOD!J148</f>
        <v>450.64399999999995</v>
      </c>
      <c r="AB26" s="1856">
        <f>VOD!K148</f>
        <v>464.16331999999994</v>
      </c>
      <c r="AC26" s="685"/>
      <c r="AD26" s="685"/>
      <c r="AE26" s="766">
        <f t="shared" si="41"/>
        <v>-0.11653872993719483</v>
      </c>
      <c r="AF26" s="766">
        <f t="shared" si="41"/>
        <v>-2.5347506132461062E-2</v>
      </c>
      <c r="AG26" s="766">
        <f t="shared" si="41"/>
        <v>-0.36010891763104158</v>
      </c>
      <c r="AH26" s="766">
        <f t="shared" si="41"/>
        <v>-0.23448831587429486</v>
      </c>
      <c r="AI26" s="766"/>
      <c r="AJ26" s="766"/>
      <c r="AK26" s="750">
        <f t="shared" si="26"/>
        <v>0.33545454545454545</v>
      </c>
      <c r="AL26" s="750">
        <f t="shared" si="27"/>
        <v>-3.424124513618676E-2</v>
      </c>
      <c r="AM26" s="750">
        <f t="shared" si="28"/>
        <v>-0.11653872993719483</v>
      </c>
      <c r="AN26" s="750">
        <f t="shared" si="29"/>
        <v>-2.5347506132461062E-2</v>
      </c>
      <c r="AO26" s="750">
        <f t="shared" si="30"/>
        <v>-0.36010891763104158</v>
      </c>
      <c r="AP26" s="750">
        <f t="shared" si="31"/>
        <v>-0.23448831587429486</v>
      </c>
      <c r="AQ26" s="750">
        <f t="shared" si="32"/>
        <v>-0.17219589257503953</v>
      </c>
      <c r="AR26" s="750">
        <f t="shared" si="33"/>
        <v>-0.11912751677852351</v>
      </c>
      <c r="AS26" s="750">
        <f t="shared" si="34"/>
        <v>0.2808510638297872</v>
      </c>
      <c r="AT26" s="1872">
        <f t="shared" si="35"/>
        <v>0.15789473684210531</v>
      </c>
      <c r="AU26" s="1872">
        <f t="shared" si="36"/>
        <v>9.7328244274809128E-2</v>
      </c>
      <c r="AV26" s="1872">
        <f t="shared" si="37"/>
        <v>2.3238095238087286E-3</v>
      </c>
      <c r="AW26" s="685" t="str">
        <f t="shared" ref="AW26:AW27" si="46">B26</f>
        <v>Subscription &amp; Licensing</v>
      </c>
      <c r="AX26" s="685"/>
      <c r="AY26" s="685"/>
      <c r="AZ26" s="685"/>
      <c r="BA26" s="685"/>
      <c r="BB26" s="685"/>
      <c r="BC26" s="685"/>
      <c r="BN26" s="765"/>
      <c r="BO26" s="685"/>
      <c r="BP26" s="1864"/>
      <c r="BR26" s="1864"/>
      <c r="BS26" s="1704"/>
      <c r="BU26" s="685"/>
    </row>
    <row r="27" spans="1:73" ht="18.75">
      <c r="A27" s="763"/>
      <c r="B27" s="1702" t="s">
        <v>107</v>
      </c>
      <c r="C27" s="1705">
        <v>10</v>
      </c>
      <c r="D27" s="1705">
        <v>6.3</v>
      </c>
      <c r="E27" s="1705">
        <v>13.1</v>
      </c>
      <c r="F27" s="1705">
        <v>11.1</v>
      </c>
      <c r="G27" s="1705">
        <v>17</v>
      </c>
      <c r="H27" s="1705">
        <v>27</v>
      </c>
      <c r="I27" s="1705">
        <v>17.2</v>
      </c>
      <c r="J27" s="1705">
        <v>24.4</v>
      </c>
      <c r="K27" s="1981">
        <v>12.8</v>
      </c>
      <c r="L27" s="1981">
        <v>12.8</v>
      </c>
      <c r="M27" s="1981">
        <v>12.9</v>
      </c>
      <c r="N27" s="1981">
        <v>21</v>
      </c>
      <c r="O27" s="1981">
        <v>13.7</v>
      </c>
      <c r="P27" s="1981">
        <v>11.6</v>
      </c>
      <c r="Q27" s="1981">
        <v>9.5</v>
      </c>
      <c r="R27" s="1981">
        <v>12.1</v>
      </c>
      <c r="S27" s="1981">
        <v>11.2</v>
      </c>
      <c r="T27" s="1981">
        <v>12.3</v>
      </c>
      <c r="U27" s="1981">
        <v>7.6</v>
      </c>
      <c r="V27" s="1981">
        <v>7.5</v>
      </c>
      <c r="W27" s="1981">
        <v>11.2</v>
      </c>
      <c r="X27" s="2054">
        <v>10</v>
      </c>
      <c r="Y27" s="2054">
        <v>10</v>
      </c>
      <c r="Z27" s="2054">
        <f>AA27-W27-X27-Y27</f>
        <v>9.8000000000000007</v>
      </c>
      <c r="AA27" s="1856">
        <f>VOD!J149</f>
        <v>41</v>
      </c>
      <c r="AB27" s="1856">
        <f>VOD!K149</f>
        <v>41</v>
      </c>
      <c r="AC27" s="685"/>
      <c r="AD27" s="685"/>
      <c r="AE27" s="766">
        <f t="shared" si="41"/>
        <v>-0.26356589147286824</v>
      </c>
      <c r="AF27" s="766">
        <f t="shared" si="41"/>
        <v>-0.42380952380952386</v>
      </c>
      <c r="AG27" s="766">
        <f t="shared" si="41"/>
        <v>-0.18248175182481752</v>
      </c>
      <c r="AH27" s="766">
        <f t="shared" si="41"/>
        <v>6.0344827586207073E-2</v>
      </c>
      <c r="AI27" s="766"/>
      <c r="AJ27" s="766"/>
      <c r="AK27" s="750">
        <f t="shared" si="26"/>
        <v>7.0312499999999778E-2</v>
      </c>
      <c r="AL27" s="750">
        <f t="shared" si="27"/>
        <v>-9.3750000000000111E-2</v>
      </c>
      <c r="AM27" s="750">
        <f t="shared" si="28"/>
        <v>-0.26356589147286824</v>
      </c>
      <c r="AN27" s="750">
        <f t="shared" si="29"/>
        <v>-0.42380952380952386</v>
      </c>
      <c r="AO27" s="750">
        <f t="shared" si="30"/>
        <v>-0.18248175182481752</v>
      </c>
      <c r="AP27" s="750">
        <f t="shared" si="31"/>
        <v>6.0344827586207073E-2</v>
      </c>
      <c r="AQ27" s="750">
        <f t="shared" si="32"/>
        <v>-0.20000000000000007</v>
      </c>
      <c r="AR27" s="750">
        <f t="shared" si="33"/>
        <v>-0.3801652892561983</v>
      </c>
      <c r="AS27" s="750">
        <f t="shared" si="34"/>
        <v>0</v>
      </c>
      <c r="AT27" s="1872">
        <f t="shared" si="35"/>
        <v>-0.18699186991869921</v>
      </c>
      <c r="AU27" s="1872">
        <f t="shared" si="36"/>
        <v>0.31578947368421062</v>
      </c>
      <c r="AV27" s="1872">
        <f t="shared" si="37"/>
        <v>0.30666666666666687</v>
      </c>
      <c r="AW27" s="685" t="str">
        <f t="shared" si="46"/>
        <v>Other</v>
      </c>
      <c r="AX27" s="685"/>
      <c r="AY27" s="685"/>
      <c r="AZ27" s="685"/>
      <c r="BA27" s="685"/>
      <c r="BB27" s="685"/>
      <c r="BC27" s="685"/>
      <c r="BN27" s="765"/>
      <c r="BO27" s="685"/>
      <c r="BP27" s="1864"/>
      <c r="BR27" s="1864"/>
      <c r="BS27" s="1705"/>
      <c r="BU27" s="685"/>
    </row>
    <row r="28" spans="1:73" ht="18.75">
      <c r="A28" s="763"/>
      <c r="B28" s="1715"/>
      <c r="C28" s="1704"/>
      <c r="D28" s="1704"/>
      <c r="E28" s="1704"/>
      <c r="F28" s="1704"/>
      <c r="G28" s="1704"/>
      <c r="H28" s="1704"/>
      <c r="I28" s="1704"/>
      <c r="J28" s="1704"/>
      <c r="K28" s="1704"/>
      <c r="L28" s="1704"/>
      <c r="M28" s="1704"/>
      <c r="N28" s="1696"/>
      <c r="O28" s="1696"/>
      <c r="P28" s="1704"/>
      <c r="Q28" s="1704"/>
      <c r="R28" s="1704"/>
      <c r="S28" s="1704"/>
      <c r="T28" s="1704"/>
      <c r="U28" s="1704"/>
      <c r="V28" s="1704"/>
      <c r="W28" s="1704"/>
      <c r="X28" s="1704"/>
      <c r="Y28" s="1704"/>
      <c r="Z28" s="1704"/>
      <c r="AA28" s="1859"/>
      <c r="AB28" s="1859"/>
      <c r="AC28" s="685"/>
      <c r="AD28" s="685"/>
      <c r="AE28" s="685"/>
      <c r="AH28" s="766"/>
      <c r="AI28" s="766"/>
      <c r="AJ28" s="766"/>
      <c r="AK28" s="766"/>
      <c r="AL28" s="809"/>
      <c r="AM28" s="809"/>
      <c r="AN28" s="685"/>
      <c r="AO28" s="685"/>
      <c r="AP28" s="685"/>
      <c r="AQ28" s="685"/>
      <c r="AR28" s="685"/>
      <c r="AS28" s="685"/>
      <c r="AT28" s="1859"/>
      <c r="AU28" s="1859"/>
      <c r="AV28" s="1859"/>
      <c r="AW28" s="685"/>
      <c r="AX28" s="685"/>
      <c r="AY28" s="685"/>
      <c r="AZ28" s="685"/>
      <c r="BA28" s="685"/>
      <c r="BB28" s="685"/>
      <c r="BC28" s="685"/>
      <c r="BN28" s="765"/>
      <c r="BO28" s="685"/>
      <c r="BP28" s="1864"/>
      <c r="BR28" s="1864"/>
      <c r="BS28" s="1704"/>
      <c r="BU28" s="685"/>
    </row>
    <row r="29" spans="1:73" ht="18.75">
      <c r="A29" s="763"/>
      <c r="B29" s="1706" t="s">
        <v>1069</v>
      </c>
      <c r="C29" s="1716"/>
      <c r="D29" s="1716"/>
      <c r="E29" s="1716"/>
      <c r="F29" s="1716"/>
      <c r="G29" s="1706"/>
      <c r="H29" s="1716"/>
      <c r="I29" s="1716"/>
      <c r="J29" s="1716"/>
      <c r="K29" s="1706"/>
      <c r="L29" s="1716"/>
      <c r="M29" s="1716"/>
      <c r="N29" s="1716"/>
      <c r="O29" s="1716"/>
      <c r="P29" s="1716"/>
      <c r="Q29" s="1716"/>
      <c r="R29" s="1716"/>
      <c r="S29" s="1716"/>
      <c r="T29" s="1716"/>
      <c r="U29" s="1716"/>
      <c r="V29" s="1716"/>
      <c r="W29" s="1716"/>
      <c r="X29" s="1716"/>
      <c r="Y29" s="1716"/>
      <c r="Z29" s="1716"/>
      <c r="AA29" s="1859"/>
      <c r="AB29" s="1859"/>
      <c r="AC29" s="685"/>
      <c r="AD29" s="685"/>
      <c r="AE29" s="685"/>
      <c r="AH29" s="766"/>
      <c r="AI29" s="766"/>
      <c r="AJ29" s="766"/>
      <c r="AK29" s="766"/>
      <c r="AL29" s="809"/>
      <c r="AM29" s="809"/>
      <c r="AN29" s="685"/>
      <c r="AO29" s="685"/>
      <c r="AP29" s="685"/>
      <c r="AQ29" s="685"/>
      <c r="AR29" s="685"/>
      <c r="AS29" s="685"/>
      <c r="AT29" s="1859"/>
      <c r="AU29" s="1859"/>
      <c r="AV29" s="1859"/>
      <c r="AW29" s="685"/>
      <c r="AX29" s="685"/>
      <c r="AY29" s="685"/>
      <c r="AZ29" s="685"/>
      <c r="BA29" s="685"/>
      <c r="BB29" s="685"/>
      <c r="BC29" s="685"/>
      <c r="BN29" s="765"/>
      <c r="BO29" s="803"/>
      <c r="BP29" s="1866"/>
      <c r="BR29" s="1866"/>
      <c r="BS29" s="1838"/>
      <c r="BU29" s="685"/>
    </row>
    <row r="30" spans="1:73" ht="18.75">
      <c r="A30" s="763"/>
      <c r="B30" s="1715" t="s">
        <v>1066</v>
      </c>
      <c r="C30" s="1717">
        <f t="shared" ref="C30:L30" si="47">C20/C$19</f>
        <v>0.7075892857142857</v>
      </c>
      <c r="D30" s="1717">
        <f t="shared" si="47"/>
        <v>0.70641646489104115</v>
      </c>
      <c r="E30" s="1717">
        <f t="shared" si="47"/>
        <v>0.68671519563239314</v>
      </c>
      <c r="F30" s="1717">
        <f t="shared" si="47"/>
        <v>0.62930746068919374</v>
      </c>
      <c r="G30" s="1717">
        <f t="shared" si="47"/>
        <v>0.70552147239263807</v>
      </c>
      <c r="H30" s="1717">
        <f t="shared" si="47"/>
        <v>0.68190111293559563</v>
      </c>
      <c r="I30" s="1717">
        <f t="shared" si="47"/>
        <v>0.66808510638297869</v>
      </c>
      <c r="J30" s="1717">
        <f t="shared" si="47"/>
        <v>0.6626762985896113</v>
      </c>
      <c r="K30" s="1717">
        <f t="shared" si="47"/>
        <v>0.69016714912690258</v>
      </c>
      <c r="L30" s="1717">
        <f t="shared" si="47"/>
        <v>0.65059845876373179</v>
      </c>
      <c r="M30" s="1717">
        <f t="shared" ref="M30:W30" si="48">M20/M$19</f>
        <v>0.6296759078484967</v>
      </c>
      <c r="N30" s="1717">
        <f t="shared" si="48"/>
        <v>0.60487912735849059</v>
      </c>
      <c r="O30" s="1717">
        <f t="shared" si="48"/>
        <v>0.64395126196692776</v>
      </c>
      <c r="P30" s="1717">
        <f t="shared" si="48"/>
        <v>0.63560467520076325</v>
      </c>
      <c r="Q30" s="1717">
        <f t="shared" si="48"/>
        <v>0.6533803464663499</v>
      </c>
      <c r="R30" s="1717">
        <f t="shared" si="48"/>
        <v>0.62155929177205771</v>
      </c>
      <c r="S30" s="1717">
        <f t="shared" si="48"/>
        <v>0.69268340334082257</v>
      </c>
      <c r="T30" s="1717">
        <f t="shared" si="48"/>
        <v>0.67404958677685956</v>
      </c>
      <c r="U30" s="1717">
        <f t="shared" si="48"/>
        <v>0.6542063429605729</v>
      </c>
      <c r="V30" s="1717">
        <f t="shared" si="48"/>
        <v>0.58754157846991228</v>
      </c>
      <c r="W30" s="1717">
        <f t="shared" si="48"/>
        <v>0.6583255813953488</v>
      </c>
      <c r="X30" s="1717">
        <f t="shared" ref="X30:Z30" si="49">X20/X$19</f>
        <v>0.66360856269113155</v>
      </c>
      <c r="Y30" s="1717">
        <f t="shared" si="49"/>
        <v>0.65022091310751107</v>
      </c>
      <c r="Z30" s="1717">
        <f t="shared" si="49"/>
        <v>0.60813065127767685</v>
      </c>
      <c r="AA30" s="1859"/>
      <c r="AB30" s="1859"/>
      <c r="AC30" s="685"/>
      <c r="AD30" s="685"/>
      <c r="AE30" s="685"/>
      <c r="AH30" s="766"/>
      <c r="AI30" s="766"/>
      <c r="AJ30" s="766"/>
      <c r="AK30" s="766"/>
      <c r="AL30" s="809"/>
      <c r="AM30" s="809"/>
      <c r="AN30" s="685"/>
      <c r="AO30" s="685"/>
      <c r="AP30" s="685"/>
      <c r="AQ30" s="685"/>
      <c r="AR30" s="685"/>
      <c r="AS30" s="685"/>
      <c r="AT30" s="1859"/>
      <c r="AU30" s="1859"/>
      <c r="AV30" s="1859"/>
      <c r="AW30" s="685"/>
      <c r="AX30" s="685"/>
      <c r="AY30" s="685"/>
      <c r="AZ30" s="685"/>
      <c r="BA30" s="685"/>
      <c r="BB30" s="685"/>
      <c r="BC30" s="685"/>
      <c r="BN30" s="765"/>
      <c r="BO30" s="809">
        <v>0.64075358978064323</v>
      </c>
      <c r="BP30" s="1867"/>
      <c r="BR30" s="1867"/>
      <c r="BS30" s="1717"/>
      <c r="BU30" s="685"/>
    </row>
    <row r="31" spans="1:73" ht="18.75">
      <c r="A31" s="763"/>
      <c r="B31" s="1700" t="s">
        <v>1067</v>
      </c>
      <c r="C31" s="1718">
        <f t="shared" ref="C31:L31" si="50">C24/C$19</f>
        <v>0.2924107142857143</v>
      </c>
      <c r="D31" s="1718">
        <f t="shared" si="50"/>
        <v>0.29368442292171104</v>
      </c>
      <c r="E31" s="1718">
        <f t="shared" si="50"/>
        <v>0.31364877161055504</v>
      </c>
      <c r="F31" s="1718">
        <f t="shared" si="50"/>
        <v>0.37069253931080631</v>
      </c>
      <c r="G31" s="1718">
        <f t="shared" si="50"/>
        <v>0.29388482089847617</v>
      </c>
      <c r="H31" s="1718">
        <f t="shared" si="50"/>
        <v>0.31809888706440426</v>
      </c>
      <c r="I31" s="1718">
        <f t="shared" si="50"/>
        <v>0.33191489361702126</v>
      </c>
      <c r="J31" s="1718">
        <f t="shared" si="50"/>
        <v>0.3373237014103887</v>
      </c>
      <c r="K31" s="1718">
        <f t="shared" si="50"/>
        <v>0.30983285087309737</v>
      </c>
      <c r="L31" s="1718">
        <f t="shared" si="50"/>
        <v>0.34940154123626826</v>
      </c>
      <c r="M31" s="1718">
        <f t="shared" ref="M31:W31" si="51">M24/M$19</f>
        <v>0.3703240921515033</v>
      </c>
      <c r="N31" s="1718">
        <f t="shared" si="51"/>
        <v>0.39512087264150947</v>
      </c>
      <c r="O31" s="1718">
        <f t="shared" si="51"/>
        <v>0.35604873803307224</v>
      </c>
      <c r="P31" s="1718">
        <f t="shared" si="51"/>
        <v>0.3643953247992367</v>
      </c>
      <c r="Q31" s="1718">
        <f t="shared" si="51"/>
        <v>0.34661965353365015</v>
      </c>
      <c r="R31" s="1718">
        <f t="shared" si="51"/>
        <v>0.37844070822794224</v>
      </c>
      <c r="S31" s="1718">
        <f t="shared" si="51"/>
        <v>0.30731659665917749</v>
      </c>
      <c r="T31" s="1718">
        <f t="shared" si="51"/>
        <v>0.3259504132231405</v>
      </c>
      <c r="U31" s="1718">
        <f t="shared" si="51"/>
        <v>0.3457936570394271</v>
      </c>
      <c r="V31" s="1718">
        <f t="shared" si="51"/>
        <v>0.41245842153008766</v>
      </c>
      <c r="W31" s="1718">
        <f t="shared" si="51"/>
        <v>0.3416744186046512</v>
      </c>
      <c r="X31" s="1718">
        <f t="shared" ref="X31:Z31" si="52">X24/X$19</f>
        <v>0.3363914373088685</v>
      </c>
      <c r="Y31" s="1718">
        <f t="shared" si="52"/>
        <v>0.34977908689248893</v>
      </c>
      <c r="Z31" s="1718">
        <f t="shared" si="52"/>
        <v>0.39186934872232304</v>
      </c>
      <c r="AA31" s="1859"/>
      <c r="AB31" s="1859"/>
      <c r="AC31" s="685"/>
      <c r="AD31" s="685"/>
      <c r="AE31" s="685"/>
      <c r="AH31" s="766"/>
      <c r="AI31" s="766"/>
      <c r="AJ31" s="766"/>
      <c r="AK31" s="766"/>
      <c r="AL31" s="809"/>
      <c r="AM31" s="809"/>
      <c r="AN31" s="685"/>
      <c r="AO31" s="685"/>
      <c r="AP31" s="685"/>
      <c r="AQ31" s="685"/>
      <c r="AR31" s="685"/>
      <c r="AS31" s="685"/>
      <c r="AT31" s="1859"/>
      <c r="AU31" s="1859"/>
      <c r="AV31" s="1859"/>
      <c r="AW31" s="685"/>
      <c r="AX31" s="685"/>
      <c r="AY31" s="685"/>
      <c r="AZ31" s="685"/>
      <c r="BA31" s="685"/>
      <c r="BB31" s="685"/>
      <c r="BC31" s="685"/>
      <c r="BN31" s="765"/>
      <c r="BO31" s="800">
        <v>0.35924641021935683</v>
      </c>
      <c r="BP31" s="1867"/>
      <c r="BR31" s="1867"/>
      <c r="BS31" s="1718"/>
      <c r="BU31" s="685"/>
    </row>
    <row r="32" spans="1:73" ht="18.75">
      <c r="A32" s="763"/>
      <c r="B32" s="1696"/>
      <c r="C32" s="1696"/>
      <c r="D32" s="1696"/>
      <c r="E32" s="1696"/>
      <c r="F32" s="1696"/>
      <c r="G32" s="1696"/>
      <c r="H32" s="1696"/>
      <c r="I32" s="1696"/>
      <c r="J32" s="1696"/>
      <c r="K32" s="1696"/>
      <c r="L32" s="1696"/>
      <c r="M32" s="1696"/>
      <c r="N32" s="1696"/>
      <c r="O32" s="1696"/>
      <c r="P32" s="1696"/>
      <c r="Q32" s="1696"/>
      <c r="R32" s="1696"/>
      <c r="S32" s="1696"/>
      <c r="T32" s="1696"/>
      <c r="U32" s="1696"/>
      <c r="V32" s="1696"/>
      <c r="W32" s="1696"/>
      <c r="X32" s="1696"/>
      <c r="Y32" s="1696"/>
      <c r="Z32" s="1696"/>
      <c r="AA32" s="1859"/>
      <c r="AB32" s="1859"/>
      <c r="AC32" s="685"/>
      <c r="AD32" s="685"/>
      <c r="AE32" s="685"/>
      <c r="AH32" s="766"/>
      <c r="AI32" s="766"/>
      <c r="AJ32" s="766"/>
      <c r="AK32" s="766"/>
      <c r="AL32" s="809"/>
      <c r="AM32" s="809"/>
      <c r="AN32" s="685"/>
      <c r="AO32" s="685"/>
      <c r="AP32" s="685"/>
      <c r="AQ32" s="685"/>
      <c r="AR32" s="685"/>
      <c r="AS32" s="685"/>
      <c r="AT32" s="1859"/>
      <c r="AU32" s="1859"/>
      <c r="AV32" s="1859"/>
      <c r="AW32" s="685"/>
      <c r="AX32" s="685"/>
      <c r="AY32" s="685"/>
      <c r="AZ32" s="685"/>
      <c r="BA32" s="685"/>
      <c r="BB32" s="685"/>
      <c r="BC32" s="685"/>
      <c r="BN32" s="765"/>
      <c r="BO32" s="685"/>
      <c r="BP32" s="1868"/>
      <c r="BR32" s="1868"/>
      <c r="BS32" s="1696"/>
      <c r="BU32" s="685"/>
    </row>
    <row r="33" spans="1:73" ht="18.75">
      <c r="A33" s="763"/>
      <c r="B33" s="1713" t="s">
        <v>34</v>
      </c>
      <c r="C33" s="1719">
        <v>372</v>
      </c>
      <c r="D33" s="1719">
        <f t="shared" ref="D33:O33" si="53">D12</f>
        <v>406.4</v>
      </c>
      <c r="E33" s="1719">
        <f t="shared" si="53"/>
        <v>428.6</v>
      </c>
      <c r="F33" s="1719">
        <f t="shared" si="53"/>
        <v>478.5</v>
      </c>
      <c r="G33" s="1719">
        <f t="shared" si="53"/>
        <v>401.6</v>
      </c>
      <c r="H33" s="1719">
        <f t="shared" si="53"/>
        <v>373.3</v>
      </c>
      <c r="I33" s="1719">
        <f t="shared" si="53"/>
        <v>410.9</v>
      </c>
      <c r="J33" s="1719">
        <f t="shared" si="53"/>
        <v>504.4</v>
      </c>
      <c r="K33" s="1719">
        <f t="shared" si="53"/>
        <v>361</v>
      </c>
      <c r="L33" s="1719">
        <f t="shared" si="53"/>
        <v>373.9</v>
      </c>
      <c r="M33" s="1719">
        <f t="shared" si="53"/>
        <v>412.2</v>
      </c>
      <c r="N33" s="1719">
        <f t="shared" si="53"/>
        <v>468.1</v>
      </c>
      <c r="O33" s="1719">
        <f t="shared" si="53"/>
        <v>328.5</v>
      </c>
      <c r="P33" s="1719">
        <f>P12</f>
        <v>362</v>
      </c>
      <c r="Q33" s="1719">
        <f>Q12</f>
        <v>427.1</v>
      </c>
      <c r="R33" s="1719">
        <f>R12</f>
        <v>451.9</v>
      </c>
      <c r="S33" s="1719">
        <v>345.1</v>
      </c>
      <c r="T33" s="1719">
        <v>398</v>
      </c>
      <c r="U33" s="1719">
        <v>466.7</v>
      </c>
      <c r="V33" s="1719">
        <v>396.4</v>
      </c>
      <c r="W33" s="1719">
        <v>323.3</v>
      </c>
      <c r="X33" s="2056">
        <v>415</v>
      </c>
      <c r="Y33" s="2056">
        <v>485</v>
      </c>
      <c r="Z33" s="2056">
        <f>AA33-W33-X33-Y33</f>
        <v>404.4879999999996</v>
      </c>
      <c r="AA33" s="2052">
        <f>VOD!J165</f>
        <v>1627.7879999999996</v>
      </c>
      <c r="AB33" s="2055">
        <f>AB34*AB19</f>
        <v>1726.4347089</v>
      </c>
      <c r="AC33" s="795"/>
      <c r="AD33" s="685">
        <v>395</v>
      </c>
      <c r="AE33" s="1613">
        <f>T33/AD33-1</f>
        <v>7.5949367088608E-3</v>
      </c>
      <c r="AH33" s="766"/>
      <c r="AI33" s="766"/>
      <c r="AJ33" s="766"/>
      <c r="AK33" s="750">
        <f t="shared" ref="AK33:AS33" si="54">O33/K33-1</f>
        <v>-9.0027700831024959E-2</v>
      </c>
      <c r="AL33" s="750">
        <f t="shared" si="54"/>
        <v>-3.1826691628777715E-2</v>
      </c>
      <c r="AM33" s="750">
        <f t="shared" si="54"/>
        <v>3.6147501213003475E-2</v>
      </c>
      <c r="AN33" s="750">
        <f t="shared" si="54"/>
        <v>-3.4607989745780943E-2</v>
      </c>
      <c r="AO33" s="750">
        <f t="shared" si="54"/>
        <v>5.0532724505327309E-2</v>
      </c>
      <c r="AP33" s="750">
        <f t="shared" si="54"/>
        <v>9.9447513812154664E-2</v>
      </c>
      <c r="AQ33" s="750">
        <f t="shared" si="54"/>
        <v>9.2718332943104498E-2</v>
      </c>
      <c r="AR33" s="750">
        <f t="shared" si="54"/>
        <v>-0.12281478203142293</v>
      </c>
      <c r="AS33" s="750">
        <f t="shared" si="54"/>
        <v>-6.3170095624456746E-2</v>
      </c>
      <c r="AT33" s="1872">
        <f t="shared" ref="AT33" si="55">X33/T33-1</f>
        <v>4.2713567839195887E-2</v>
      </c>
      <c r="AU33" s="1872">
        <f t="shared" ref="AU33" si="56">Y33/U33-1</f>
        <v>3.9211484893936221E-2</v>
      </c>
      <c r="AV33" s="1872">
        <f t="shared" ref="AV33" si="57">Z33/V33-1</f>
        <v>2.0403632694247387E-2</v>
      </c>
      <c r="AW33" s="685"/>
      <c r="AX33" s="685"/>
      <c r="AY33" s="685"/>
      <c r="AZ33" s="685"/>
      <c r="BA33" s="685"/>
      <c r="BB33" s="685"/>
      <c r="BC33" s="685"/>
      <c r="BN33" s="1008">
        <f>N33/BO33-1</f>
        <v>-0.12159879902420723</v>
      </c>
      <c r="BO33" s="810">
        <v>532.90000000000009</v>
      </c>
      <c r="BP33" s="1869">
        <v>395</v>
      </c>
      <c r="BR33" s="1869">
        <v>415</v>
      </c>
      <c r="BS33" s="1719">
        <v>486.66799999999995</v>
      </c>
      <c r="BU33" s="796">
        <f>BU34*BU19</f>
        <v>443.58600000000013</v>
      </c>
    </row>
    <row r="34" spans="1:73" ht="18.75">
      <c r="A34" s="763"/>
      <c r="B34" s="1720" t="s">
        <v>548</v>
      </c>
      <c r="C34" s="1721">
        <f t="shared" ref="C34:N34" si="58">C33/C19</f>
        <v>0.41517857142857145</v>
      </c>
      <c r="D34" s="1721">
        <f t="shared" si="58"/>
        <v>0.41000807102502013</v>
      </c>
      <c r="E34" s="1721">
        <f t="shared" si="58"/>
        <v>0.38999090081892634</v>
      </c>
      <c r="F34" s="1721">
        <f t="shared" si="58"/>
        <v>0.4002174640347943</v>
      </c>
      <c r="G34" s="1721">
        <f t="shared" si="58"/>
        <v>0.39738769048090244</v>
      </c>
      <c r="H34" s="1721">
        <f t="shared" si="58"/>
        <v>0.34054004743659916</v>
      </c>
      <c r="I34" s="1721">
        <f t="shared" si="58"/>
        <v>0.35683890577507599</v>
      </c>
      <c r="J34" s="1721">
        <f t="shared" si="58"/>
        <v>0.34702442380460957</v>
      </c>
      <c r="K34" s="1721">
        <f t="shared" si="58"/>
        <v>0.33709963582033803</v>
      </c>
      <c r="L34" s="1721">
        <f t="shared" si="58"/>
        <v>0.30652565994425313</v>
      </c>
      <c r="M34" s="1721">
        <f>M33/M19</f>
        <v>0.32190550566185083</v>
      </c>
      <c r="N34" s="1721">
        <f t="shared" si="58"/>
        <v>0.34500294811320759</v>
      </c>
      <c r="O34" s="1721">
        <f t="shared" ref="O34:Z34" si="59">O33/O19</f>
        <v>0.28590078328981722</v>
      </c>
      <c r="P34" s="1721">
        <f t="shared" si="59"/>
        <v>0.28782698576767113</v>
      </c>
      <c r="Q34" s="1721">
        <f t="shared" si="59"/>
        <v>0.32738003985896064</v>
      </c>
      <c r="R34" s="1721">
        <f t="shared" si="59"/>
        <v>0.33618509150424042</v>
      </c>
      <c r="S34" s="1721">
        <f t="shared" si="59"/>
        <v>0.33711048158640233</v>
      </c>
      <c r="T34" s="1721">
        <f t="shared" si="59"/>
        <v>0.32892561983471075</v>
      </c>
      <c r="U34" s="1721">
        <f t="shared" si="59"/>
        <v>0.3672778783347761</v>
      </c>
      <c r="V34" s="1721">
        <f t="shared" si="59"/>
        <v>0.2996673722407015</v>
      </c>
      <c r="W34" s="1721">
        <f t="shared" si="59"/>
        <v>0.30074418604651165</v>
      </c>
      <c r="X34" s="1721">
        <f t="shared" si="59"/>
        <v>0.31727828746177372</v>
      </c>
      <c r="Y34" s="1721">
        <f t="shared" si="59"/>
        <v>0.35714285714285715</v>
      </c>
      <c r="Z34" s="1721">
        <f t="shared" si="59"/>
        <v>0.29976218408241495</v>
      </c>
      <c r="AA34" s="1861">
        <v>0.33</v>
      </c>
      <c r="AB34" s="1861">
        <v>0.33</v>
      </c>
      <c r="AC34" s="685"/>
      <c r="AD34" s="685"/>
      <c r="AE34" s="685"/>
      <c r="AH34" s="766"/>
      <c r="AI34" s="766"/>
      <c r="AJ34" s="766"/>
      <c r="AK34" s="766"/>
      <c r="AL34" s="809"/>
      <c r="AM34" s="809"/>
      <c r="AN34" s="685"/>
      <c r="AO34" s="685"/>
      <c r="AP34" s="685"/>
      <c r="AQ34" s="685"/>
      <c r="AR34" s="685"/>
      <c r="AS34" s="685"/>
      <c r="AT34" s="1859"/>
      <c r="AU34" s="1859"/>
      <c r="AV34" s="1859"/>
      <c r="AW34" s="685"/>
      <c r="AX34" s="685"/>
      <c r="AY34" s="685"/>
      <c r="AZ34" s="685"/>
      <c r="BA34" s="685"/>
      <c r="BB34" s="685"/>
      <c r="BC34" s="685"/>
      <c r="BN34" s="765"/>
      <c r="BO34" s="811">
        <v>0.36861372765594647</v>
      </c>
      <c r="BP34" s="1870">
        <v>0.32780082987551867</v>
      </c>
      <c r="BR34" s="1870">
        <v>0.33200000000000002</v>
      </c>
      <c r="BS34" s="1721">
        <v>0.37591919716238426</v>
      </c>
      <c r="BU34" s="789">
        <v>0.33</v>
      </c>
    </row>
    <row r="35" spans="1:73">
      <c r="A35" s="763"/>
      <c r="B35" s="685"/>
      <c r="C35" s="685"/>
      <c r="D35" s="685"/>
      <c r="E35" s="685"/>
      <c r="F35" s="685"/>
      <c r="G35" s="685"/>
      <c r="H35" s="685"/>
      <c r="I35" s="685"/>
      <c r="J35" s="685"/>
      <c r="K35" s="685"/>
      <c r="L35" s="685"/>
      <c r="M35" s="685"/>
      <c r="N35" s="685"/>
      <c r="O35" s="685"/>
      <c r="P35" s="685"/>
      <c r="Q35" s="685"/>
      <c r="R35" s="685"/>
      <c r="S35" s="685"/>
      <c r="T35" s="685"/>
      <c r="U35" s="685"/>
      <c r="V35" s="685"/>
      <c r="W35" s="685"/>
      <c r="X35" s="685"/>
      <c r="Y35" s="685"/>
      <c r="Z35" s="685"/>
      <c r="AA35" s="1859"/>
      <c r="AB35" s="1859"/>
      <c r="AC35" s="763"/>
      <c r="AD35" s="685"/>
      <c r="AE35" s="763"/>
      <c r="AF35" s="115"/>
      <c r="AG35" s="115"/>
      <c r="AH35" s="766"/>
      <c r="AI35" s="766"/>
      <c r="AJ35" s="766"/>
      <c r="AK35" s="766"/>
      <c r="AL35" s="809"/>
      <c r="AM35" s="809"/>
      <c r="AN35" s="685"/>
      <c r="AO35" s="685"/>
      <c r="AP35" s="685"/>
      <c r="AQ35" s="685"/>
      <c r="AR35" s="685"/>
      <c r="AS35" s="685"/>
      <c r="AT35" s="1859"/>
      <c r="AU35" s="1859"/>
      <c r="AV35" s="1859"/>
      <c r="AW35" s="685"/>
      <c r="AX35" s="685"/>
      <c r="AY35" s="685"/>
      <c r="AZ35" s="685"/>
      <c r="BA35" s="685"/>
      <c r="BB35" s="685"/>
      <c r="BC35" s="685"/>
      <c r="BN35" s="765"/>
      <c r="BO35" s="685"/>
      <c r="BP35" s="1859"/>
      <c r="BR35" s="1859"/>
      <c r="BS35" s="685"/>
      <c r="BU35" s="685"/>
    </row>
    <row r="36" spans="1:73">
      <c r="A36" s="763"/>
      <c r="B36" s="685"/>
      <c r="C36" s="685"/>
      <c r="D36" s="685"/>
      <c r="E36" s="685"/>
      <c r="F36" s="685"/>
      <c r="G36" s="685"/>
      <c r="H36" s="685"/>
      <c r="I36" s="685"/>
      <c r="J36" s="685"/>
      <c r="K36" s="685"/>
      <c r="L36" s="685"/>
      <c r="M36" s="685"/>
      <c r="N36" s="685"/>
      <c r="O36" s="685"/>
      <c r="P36" s="685"/>
      <c r="Q36" s="685"/>
      <c r="R36" s="685"/>
      <c r="S36" s="685"/>
      <c r="T36" s="685"/>
      <c r="U36" s="685"/>
      <c r="V36" s="685"/>
      <c r="W36" s="685"/>
      <c r="X36" s="685"/>
      <c r="Y36" s="685"/>
      <c r="Z36" s="685"/>
      <c r="AA36" s="1859"/>
      <c r="AB36" s="1859"/>
      <c r="AC36" s="763"/>
      <c r="AD36" s="685"/>
      <c r="AE36" s="763"/>
      <c r="AF36" s="115"/>
      <c r="AG36" s="115"/>
      <c r="AH36" s="766"/>
      <c r="AI36" s="766"/>
      <c r="AJ36" s="766"/>
      <c r="AK36" s="766"/>
      <c r="AL36" s="809"/>
      <c r="AM36" s="809"/>
      <c r="AN36" s="685"/>
      <c r="AO36" s="685"/>
      <c r="AP36" s="685"/>
      <c r="AQ36" s="685"/>
      <c r="AR36" s="685"/>
      <c r="AS36" s="685"/>
      <c r="AT36" s="1859"/>
      <c r="AU36" s="1859"/>
      <c r="AV36" s="1859"/>
      <c r="AW36" s="685"/>
      <c r="AX36" s="685"/>
      <c r="AY36" s="685"/>
      <c r="AZ36" s="685"/>
      <c r="BA36" s="685"/>
      <c r="BB36" s="685"/>
      <c r="BC36" s="685"/>
      <c r="BN36" s="765"/>
      <c r="BO36" s="685"/>
      <c r="BP36" s="1859"/>
      <c r="BR36" s="1859"/>
      <c r="BS36" s="685"/>
      <c r="BU36" s="685"/>
    </row>
    <row r="37" spans="1:73">
      <c r="A37" s="763"/>
      <c r="B37" s="685"/>
      <c r="C37" s="903" t="str">
        <f t="shared" ref="C37:N37" si="60">C18</f>
        <v>Q1 21</v>
      </c>
      <c r="D37" s="903" t="str">
        <f t="shared" si="60"/>
        <v>Q2 21</v>
      </c>
      <c r="E37" s="903" t="str">
        <f t="shared" si="60"/>
        <v>Q3 21</v>
      </c>
      <c r="F37" s="903" t="str">
        <f t="shared" si="60"/>
        <v>Q4 21</v>
      </c>
      <c r="G37" s="903" t="str">
        <f t="shared" si="60"/>
        <v>Q1 22</v>
      </c>
      <c r="H37" s="903" t="str">
        <f t="shared" si="60"/>
        <v>Q2 22</v>
      </c>
      <c r="I37" s="903" t="str">
        <f t="shared" si="60"/>
        <v>Q3 22</v>
      </c>
      <c r="J37" s="903" t="str">
        <f t="shared" si="60"/>
        <v>Q4 22</v>
      </c>
      <c r="K37" s="903" t="str">
        <f t="shared" si="60"/>
        <v>Q1 23</v>
      </c>
      <c r="L37" s="903" t="str">
        <f t="shared" si="60"/>
        <v>Q2 23</v>
      </c>
      <c r="M37" s="903" t="str">
        <f t="shared" si="60"/>
        <v>Q3 23</v>
      </c>
      <c r="N37" s="903" t="str">
        <f t="shared" si="60"/>
        <v>Q4 23</v>
      </c>
      <c r="O37" s="903" t="str">
        <f t="shared" ref="O37:W37" si="61">O18</f>
        <v>Q1 24</v>
      </c>
      <c r="P37" s="903" t="str">
        <f t="shared" si="61"/>
        <v>Q2 24</v>
      </c>
      <c r="Q37" s="903" t="str">
        <f t="shared" si="61"/>
        <v>Q3 24</v>
      </c>
      <c r="R37" s="903" t="str">
        <f t="shared" si="61"/>
        <v>Q4 24</v>
      </c>
      <c r="S37" s="903" t="str">
        <f t="shared" si="61"/>
        <v>Q1 25</v>
      </c>
      <c r="T37" s="903" t="str">
        <f t="shared" si="61"/>
        <v>Q2 25</v>
      </c>
      <c r="U37" s="903" t="str">
        <f t="shared" si="61"/>
        <v>Q3 25</v>
      </c>
      <c r="V37" s="903" t="str">
        <f t="shared" si="61"/>
        <v>Q4 25</v>
      </c>
      <c r="W37" s="903" t="str">
        <f t="shared" si="61"/>
        <v>Q1 26</v>
      </c>
      <c r="X37" s="903" t="str">
        <f t="shared" ref="X37:Z37" si="62">X18</f>
        <v>Q2 26</v>
      </c>
      <c r="Y37" s="903" t="str">
        <f t="shared" si="62"/>
        <v>Q3 26</v>
      </c>
      <c r="Z37" s="903" t="str">
        <f t="shared" si="62"/>
        <v>Q4 26</v>
      </c>
      <c r="AA37" s="1859"/>
      <c r="AB37" s="1859"/>
      <c r="AC37" s="763"/>
      <c r="AD37" s="685"/>
      <c r="AE37" s="763"/>
      <c r="AF37" s="115"/>
      <c r="AG37" s="115"/>
      <c r="AH37" s="766"/>
      <c r="AI37" s="766"/>
      <c r="AJ37" s="766"/>
      <c r="AK37" s="766"/>
      <c r="AL37" s="809"/>
      <c r="AM37" s="809"/>
      <c r="AN37" s="685"/>
      <c r="AO37" s="685"/>
      <c r="AP37" s="685"/>
      <c r="AQ37" s="685"/>
      <c r="AR37" s="685"/>
      <c r="AS37" s="685"/>
      <c r="AT37" s="1859"/>
      <c r="AU37" s="1859"/>
      <c r="AV37" s="1859"/>
      <c r="AW37" s="685"/>
      <c r="AX37" s="685"/>
      <c r="AY37" s="685"/>
      <c r="AZ37" s="685"/>
      <c r="BA37" s="685"/>
      <c r="BB37" s="685"/>
      <c r="BC37" s="685"/>
      <c r="BN37" s="765"/>
      <c r="BO37" s="685"/>
      <c r="BP37" s="1871"/>
      <c r="BR37" s="1871"/>
      <c r="BS37" s="903"/>
      <c r="BU37" s="685"/>
    </row>
    <row r="38" spans="1:73">
      <c r="A38" s="685"/>
      <c r="B38" s="685" t="s">
        <v>189</v>
      </c>
      <c r="C38" s="795">
        <f t="shared" ref="C38:T38" si="63">C21+C25</f>
        <v>508</v>
      </c>
      <c r="D38" s="795">
        <f t="shared" si="63"/>
        <v>600.20000000000005</v>
      </c>
      <c r="E38" s="795">
        <f t="shared" si="63"/>
        <v>683.7</v>
      </c>
      <c r="F38" s="795">
        <f t="shared" si="63"/>
        <v>775.7</v>
      </c>
      <c r="G38" s="795">
        <f t="shared" si="63"/>
        <v>569</v>
      </c>
      <c r="H38" s="795">
        <f t="shared" si="63"/>
        <v>668.6</v>
      </c>
      <c r="I38" s="795">
        <f t="shared" si="63"/>
        <v>725.2</v>
      </c>
      <c r="J38" s="795">
        <f t="shared" si="63"/>
        <v>849.7</v>
      </c>
      <c r="K38" s="795">
        <f t="shared" si="63"/>
        <v>607.4</v>
      </c>
      <c r="L38" s="795">
        <f t="shared" si="63"/>
        <v>737.5</v>
      </c>
      <c r="M38" s="795">
        <f t="shared" si="63"/>
        <v>777.4</v>
      </c>
      <c r="N38" s="795">
        <f t="shared" si="63"/>
        <v>860</v>
      </c>
      <c r="O38" s="795">
        <f t="shared" si="63"/>
        <v>647.9</v>
      </c>
      <c r="P38" s="795">
        <f t="shared" si="63"/>
        <v>785</v>
      </c>
      <c r="Q38" s="795">
        <f t="shared" si="63"/>
        <v>799.2</v>
      </c>
      <c r="R38" s="795">
        <f t="shared" si="63"/>
        <v>853</v>
      </c>
      <c r="S38" s="795">
        <f t="shared" si="63"/>
        <v>563.1</v>
      </c>
      <c r="T38" s="795">
        <f t="shared" si="63"/>
        <v>742.3</v>
      </c>
      <c r="U38" s="795">
        <f t="shared" ref="U38:W40" si="64">U21+U25</f>
        <v>755.2</v>
      </c>
      <c r="V38" s="795">
        <f t="shared" si="64"/>
        <v>856.3</v>
      </c>
      <c r="W38" s="795">
        <f t="shared" si="64"/>
        <v>545.59999999999991</v>
      </c>
      <c r="X38" s="795">
        <f t="shared" ref="X38:Z38" si="65">X21+X25</f>
        <v>815</v>
      </c>
      <c r="Y38" s="795">
        <f t="shared" si="65"/>
        <v>820</v>
      </c>
      <c r="Z38" s="795">
        <f t="shared" si="65"/>
        <v>865.54199999999992</v>
      </c>
      <c r="AA38" s="1859"/>
      <c r="AB38" s="1859"/>
      <c r="AC38" s="685"/>
      <c r="AD38" s="685"/>
      <c r="AE38" s="685"/>
      <c r="AF38" s="115"/>
      <c r="AG38" s="115"/>
      <c r="AH38" s="685"/>
      <c r="AI38" s="685"/>
      <c r="AJ38" s="685"/>
      <c r="AK38" s="750">
        <f t="shared" ref="AK38:AS40" si="66">O38/K38-1</f>
        <v>6.6677642410273297E-2</v>
      </c>
      <c r="AL38" s="750">
        <f t="shared" si="66"/>
        <v>6.4406779661017044E-2</v>
      </c>
      <c r="AM38" s="750">
        <f t="shared" si="66"/>
        <v>2.8042191921790582E-2</v>
      </c>
      <c r="AN38" s="750">
        <f t="shared" si="66"/>
        <v>-8.1395348837208781E-3</v>
      </c>
      <c r="AO38" s="750">
        <f t="shared" si="66"/>
        <v>-0.13088439574008326</v>
      </c>
      <c r="AP38" s="750">
        <f t="shared" si="66"/>
        <v>-5.4394904458598736E-2</v>
      </c>
      <c r="AQ38" s="750">
        <f t="shared" si="66"/>
        <v>-5.5055055055055035E-2</v>
      </c>
      <c r="AR38" s="750">
        <f t="shared" si="66"/>
        <v>3.8686987104337156E-3</v>
      </c>
      <c r="AS38" s="750">
        <f t="shared" si="66"/>
        <v>-3.1077961285739808E-2</v>
      </c>
      <c r="AT38" s="1859"/>
      <c r="AU38" s="1859"/>
      <c r="AV38" s="1859"/>
      <c r="AW38" s="685"/>
      <c r="AX38" s="685"/>
      <c r="AY38" s="685"/>
      <c r="AZ38" s="685"/>
      <c r="BA38" s="685"/>
      <c r="BB38" s="685"/>
      <c r="BC38" s="685"/>
      <c r="BN38" s="685"/>
      <c r="BO38" s="685"/>
      <c r="BP38" s="1856"/>
      <c r="BR38" s="1856"/>
      <c r="BS38" s="795"/>
      <c r="BU38" s="685"/>
    </row>
    <row r="39" spans="1:73">
      <c r="A39" s="685"/>
      <c r="B39" s="685" t="s">
        <v>1071</v>
      </c>
      <c r="C39" s="795">
        <f t="shared" ref="C39:T39" si="67">C22+C26</f>
        <v>356</v>
      </c>
      <c r="D39" s="795">
        <f t="shared" si="67"/>
        <v>361</v>
      </c>
      <c r="E39" s="795">
        <f t="shared" si="67"/>
        <v>368.6</v>
      </c>
      <c r="F39" s="795">
        <f t="shared" si="67"/>
        <v>387.6</v>
      </c>
      <c r="G39" s="795">
        <f t="shared" si="67"/>
        <v>407</v>
      </c>
      <c r="H39" s="795">
        <f t="shared" si="67"/>
        <v>397.40000000000003</v>
      </c>
      <c r="I39" s="795">
        <f t="shared" si="67"/>
        <v>399.5</v>
      </c>
      <c r="J39" s="795">
        <f t="shared" si="67"/>
        <v>567.9</v>
      </c>
      <c r="K39" s="795">
        <f t="shared" si="67"/>
        <v>436.1</v>
      </c>
      <c r="L39" s="795">
        <f t="shared" si="67"/>
        <v>453.3</v>
      </c>
      <c r="M39" s="795">
        <f t="shared" si="67"/>
        <v>473.2</v>
      </c>
      <c r="N39" s="795">
        <f t="shared" si="67"/>
        <v>450.8</v>
      </c>
      <c r="O39" s="795">
        <f t="shared" si="67"/>
        <v>473.4</v>
      </c>
      <c r="P39" s="795">
        <f t="shared" si="67"/>
        <v>444.70000000000005</v>
      </c>
      <c r="Q39" s="795">
        <f t="shared" si="67"/>
        <v>477.5</v>
      </c>
      <c r="R39" s="795">
        <f t="shared" si="67"/>
        <v>465.7</v>
      </c>
      <c r="S39" s="795">
        <f t="shared" si="67"/>
        <v>438.4</v>
      </c>
      <c r="T39" s="795">
        <f t="shared" si="67"/>
        <v>443</v>
      </c>
      <c r="U39" s="795">
        <f t="shared" si="64"/>
        <v>492.8</v>
      </c>
      <c r="V39" s="795">
        <f t="shared" si="64"/>
        <v>446</v>
      </c>
      <c r="W39" s="795">
        <f t="shared" si="64"/>
        <v>505.1</v>
      </c>
      <c r="X39" s="795">
        <f t="shared" ref="X39:Z39" si="68">X22+X26</f>
        <v>470</v>
      </c>
      <c r="Y39" s="795">
        <f t="shared" si="68"/>
        <v>515</v>
      </c>
      <c r="Z39" s="795">
        <f t="shared" si="68"/>
        <v>460.12099999999987</v>
      </c>
      <c r="AA39" s="1859"/>
      <c r="AB39" s="1859"/>
      <c r="AC39" s="685"/>
      <c r="AD39" s="685"/>
      <c r="AE39" s="685"/>
      <c r="AF39" s="115"/>
      <c r="AG39" s="115"/>
      <c r="AH39" s="685"/>
      <c r="AI39" s="685"/>
      <c r="AJ39" s="685"/>
      <c r="AK39" s="750">
        <f t="shared" si="66"/>
        <v>8.5530841550103043E-2</v>
      </c>
      <c r="AL39" s="750">
        <f t="shared" si="66"/>
        <v>-1.897198323406124E-2</v>
      </c>
      <c r="AM39" s="750">
        <f t="shared" si="66"/>
        <v>9.0870667793745419E-3</v>
      </c>
      <c r="AN39" s="750">
        <f t="shared" si="66"/>
        <v>3.3052351375332689E-2</v>
      </c>
      <c r="AO39" s="750">
        <f t="shared" si="66"/>
        <v>-7.3933248838191856E-2</v>
      </c>
      <c r="AP39" s="750">
        <f t="shared" si="66"/>
        <v>-3.8228018889139292E-3</v>
      </c>
      <c r="AQ39" s="750">
        <f t="shared" si="66"/>
        <v>3.2041884816753852E-2</v>
      </c>
      <c r="AR39" s="750">
        <f t="shared" si="66"/>
        <v>-4.2301911101567558E-2</v>
      </c>
      <c r="AS39" s="750">
        <f t="shared" si="66"/>
        <v>0.15214416058394176</v>
      </c>
      <c r="AT39" s="1859"/>
      <c r="AU39" s="1859"/>
      <c r="AV39" s="1859"/>
      <c r="AW39" s="685"/>
      <c r="AX39" s="685"/>
      <c r="AY39" s="685"/>
      <c r="AZ39" s="685"/>
      <c r="BA39" s="685"/>
      <c r="BB39" s="685"/>
      <c r="BC39" s="685"/>
      <c r="BN39" s="685"/>
      <c r="BO39" s="685"/>
      <c r="BP39" s="1856"/>
      <c r="BR39" s="1856"/>
      <c r="BS39" s="795"/>
      <c r="BU39" s="685"/>
    </row>
    <row r="40" spans="1:73">
      <c r="A40" s="685"/>
      <c r="B40" s="685" t="s">
        <v>107</v>
      </c>
      <c r="C40" s="795">
        <f t="shared" ref="C40:T40" si="69">C23+C27</f>
        <v>32</v>
      </c>
      <c r="D40" s="795">
        <f t="shared" si="69"/>
        <v>30.1</v>
      </c>
      <c r="E40" s="795">
        <f t="shared" si="69"/>
        <v>47.1</v>
      </c>
      <c r="F40" s="795">
        <f t="shared" si="69"/>
        <v>32.299999999999997</v>
      </c>
      <c r="G40" s="795">
        <f t="shared" si="69"/>
        <v>29</v>
      </c>
      <c r="H40" s="795">
        <f t="shared" si="69"/>
        <v>30.2</v>
      </c>
      <c r="I40" s="795">
        <f t="shared" si="69"/>
        <v>26.799999999999997</v>
      </c>
      <c r="J40" s="795">
        <f t="shared" si="69"/>
        <v>35.9</v>
      </c>
      <c r="K40" s="795">
        <f t="shared" si="69"/>
        <v>27.4</v>
      </c>
      <c r="L40" s="795">
        <f t="shared" si="69"/>
        <v>29</v>
      </c>
      <c r="M40" s="795">
        <f t="shared" si="69"/>
        <v>29.9</v>
      </c>
      <c r="N40" s="795">
        <f t="shared" si="69"/>
        <v>46</v>
      </c>
      <c r="O40" s="795">
        <f t="shared" si="69"/>
        <v>27.7</v>
      </c>
      <c r="P40" s="795">
        <f t="shared" si="69"/>
        <v>28</v>
      </c>
      <c r="Q40" s="795">
        <f t="shared" si="69"/>
        <v>27.9</v>
      </c>
      <c r="R40" s="795">
        <f t="shared" si="69"/>
        <v>25.5</v>
      </c>
      <c r="S40" s="795">
        <f t="shared" si="69"/>
        <v>22.2</v>
      </c>
      <c r="T40" s="795">
        <f t="shared" si="69"/>
        <v>24.700000000000003</v>
      </c>
      <c r="U40" s="795">
        <f t="shared" si="64"/>
        <v>22.7</v>
      </c>
      <c r="V40" s="795">
        <f t="shared" si="64"/>
        <v>20.5</v>
      </c>
      <c r="W40" s="795">
        <f t="shared" si="64"/>
        <v>24.299999999999997</v>
      </c>
      <c r="X40" s="795">
        <f t="shared" ref="X40:Z40" si="70">X23+X27</f>
        <v>23</v>
      </c>
      <c r="Y40" s="795">
        <f t="shared" si="70"/>
        <v>23</v>
      </c>
      <c r="Z40" s="795">
        <f t="shared" si="70"/>
        <v>23.7</v>
      </c>
      <c r="AA40" s="1859"/>
      <c r="AB40" s="1859"/>
      <c r="AC40" s="685"/>
      <c r="AD40" s="685"/>
      <c r="AE40" s="685"/>
      <c r="AF40" s="115"/>
      <c r="AG40" s="115"/>
      <c r="AH40" s="685"/>
      <c r="AI40" s="685"/>
      <c r="AJ40" s="685"/>
      <c r="AK40" s="750">
        <f t="shared" si="66"/>
        <v>1.0948905109489093E-2</v>
      </c>
      <c r="AL40" s="750">
        <f t="shared" si="66"/>
        <v>-3.4482758620689613E-2</v>
      </c>
      <c r="AM40" s="750">
        <f t="shared" si="66"/>
        <v>-6.6889632107023367E-2</v>
      </c>
      <c r="AN40" s="750">
        <f t="shared" si="66"/>
        <v>-0.44565217391304346</v>
      </c>
      <c r="AO40" s="750">
        <f t="shared" si="66"/>
        <v>-0.19855595667870041</v>
      </c>
      <c r="AP40" s="750">
        <f t="shared" si="66"/>
        <v>-0.11785714285714277</v>
      </c>
      <c r="AQ40" s="750">
        <f t="shared" si="66"/>
        <v>-0.18637992831541217</v>
      </c>
      <c r="AR40" s="750">
        <f t="shared" si="66"/>
        <v>-0.19607843137254899</v>
      </c>
      <c r="AS40" s="750">
        <f t="shared" si="66"/>
        <v>9.4594594594594517E-2</v>
      </c>
      <c r="AT40" s="1859"/>
      <c r="AU40" s="1859"/>
      <c r="AV40" s="1859"/>
      <c r="AW40" s="685"/>
      <c r="AX40" s="685"/>
      <c r="AY40" s="685"/>
      <c r="AZ40" s="685"/>
      <c r="BA40" s="685"/>
      <c r="BB40" s="685"/>
      <c r="BC40" s="685"/>
      <c r="BN40" s="685"/>
      <c r="BO40" s="685"/>
      <c r="BP40" s="1856"/>
      <c r="BR40" s="1856"/>
      <c r="BS40" s="795"/>
      <c r="BU40" s="685"/>
    </row>
    <row r="41" spans="1:73">
      <c r="A41" s="685"/>
      <c r="B41" s="685"/>
      <c r="C41" s="685"/>
      <c r="D41" s="685"/>
      <c r="E41" s="685"/>
      <c r="F41" s="685"/>
      <c r="G41" s="685"/>
      <c r="H41" s="685"/>
      <c r="I41" s="685"/>
      <c r="J41" s="685"/>
      <c r="K41" s="685"/>
      <c r="L41" s="685"/>
      <c r="M41" s="685"/>
      <c r="N41" s="685"/>
      <c r="O41" s="685"/>
      <c r="P41" s="685"/>
      <c r="Q41" s="685"/>
      <c r="R41" s="685"/>
      <c r="S41" s="685"/>
      <c r="T41" s="685"/>
      <c r="U41" s="685"/>
      <c r="V41" s="685"/>
      <c r="W41" s="685"/>
      <c r="X41" s="685"/>
      <c r="Y41" s="685"/>
      <c r="Z41" s="685"/>
      <c r="AA41" s="1859"/>
      <c r="AB41" s="1859"/>
      <c r="AC41" s="685"/>
      <c r="AD41" s="685"/>
      <c r="AE41" s="685"/>
      <c r="AF41" s="115"/>
      <c r="AG41" s="115"/>
      <c r="AH41" s="685"/>
      <c r="AI41" s="685"/>
      <c r="AJ41" s="685"/>
      <c r="AK41" s="685"/>
      <c r="AL41" s="685"/>
      <c r="AM41" s="685"/>
      <c r="AN41" s="685"/>
      <c r="AO41" s="685"/>
      <c r="AP41" s="685"/>
      <c r="AQ41" s="685"/>
      <c r="AR41" s="685"/>
      <c r="AS41" s="685"/>
      <c r="AT41" s="1859"/>
      <c r="AU41" s="1859"/>
      <c r="AV41" s="1859"/>
      <c r="AW41" s="685"/>
      <c r="AX41" s="685"/>
      <c r="AY41" s="685"/>
      <c r="AZ41" s="685"/>
      <c r="BA41" s="685"/>
      <c r="BB41" s="685"/>
      <c r="BC41" s="685"/>
      <c r="BN41" s="685"/>
      <c r="BO41" s="685"/>
      <c r="BP41" s="1859"/>
      <c r="BR41" s="1859"/>
      <c r="BS41" s="685"/>
      <c r="BU41" s="685"/>
    </row>
    <row r="42" spans="1:73">
      <c r="A42" s="685"/>
      <c r="B42" s="685" t="str">
        <f>B38</f>
        <v>Advertising</v>
      </c>
      <c r="C42" s="685"/>
      <c r="D42" s="685"/>
      <c r="E42" s="685"/>
      <c r="F42" s="685"/>
      <c r="G42" s="750">
        <f t="shared" ref="G42:W44" si="71">G38/C38-1</f>
        <v>0.12007874015748032</v>
      </c>
      <c r="H42" s="750">
        <f t="shared" si="71"/>
        <v>0.11396201266244588</v>
      </c>
      <c r="I42" s="750">
        <f t="shared" si="71"/>
        <v>6.0699137048413121E-2</v>
      </c>
      <c r="J42" s="750">
        <f t="shared" si="71"/>
        <v>9.539770529844005E-2</v>
      </c>
      <c r="K42" s="750">
        <f t="shared" si="71"/>
        <v>6.7486818980667884E-2</v>
      </c>
      <c r="L42" s="750">
        <f t="shared" si="71"/>
        <v>0.10305115166018552</v>
      </c>
      <c r="M42" s="750">
        <f t="shared" si="71"/>
        <v>7.1980143408714836E-2</v>
      </c>
      <c r="N42" s="750">
        <f t="shared" si="71"/>
        <v>1.212192538543011E-2</v>
      </c>
      <c r="O42" s="750">
        <f>O38/K38-1</f>
        <v>6.6677642410273297E-2</v>
      </c>
      <c r="P42" s="750">
        <f t="shared" si="71"/>
        <v>6.4406779661017044E-2</v>
      </c>
      <c r="Q42" s="750">
        <f t="shared" si="71"/>
        <v>2.8042191921790582E-2</v>
      </c>
      <c r="R42" s="750">
        <f t="shared" si="71"/>
        <v>-8.1395348837208781E-3</v>
      </c>
      <c r="S42" s="750">
        <f t="shared" si="71"/>
        <v>-0.13088439574008326</v>
      </c>
      <c r="T42" s="750">
        <f t="shared" si="71"/>
        <v>-5.4394904458598736E-2</v>
      </c>
      <c r="U42" s="750">
        <f t="shared" si="71"/>
        <v>-5.5055055055055035E-2</v>
      </c>
      <c r="V42" s="750">
        <f t="shared" si="71"/>
        <v>3.8686987104337156E-3</v>
      </c>
      <c r="W42" s="750">
        <f t="shared" si="71"/>
        <v>-3.1077961285739808E-2</v>
      </c>
      <c r="X42" s="750">
        <f t="shared" ref="X42:X44" si="72">X38/T38-1</f>
        <v>9.7938838744443091E-2</v>
      </c>
      <c r="Y42" s="750">
        <f t="shared" ref="Y42:Y44" si="73">Y38/U38-1</f>
        <v>8.5805084745762539E-2</v>
      </c>
      <c r="Z42" s="750">
        <f t="shared" ref="Z42:Z44" si="74">Z38/V38-1</f>
        <v>1.079294639729067E-2</v>
      </c>
      <c r="AA42" s="1859"/>
      <c r="AB42" s="1859"/>
      <c r="AC42" s="685"/>
      <c r="AD42" s="685"/>
      <c r="AE42" s="685"/>
      <c r="AF42" s="115"/>
      <c r="AG42" s="115"/>
      <c r="AH42" s="685"/>
      <c r="AI42" s="685"/>
      <c r="AJ42" s="685"/>
      <c r="AK42" s="685"/>
      <c r="AL42" s="685"/>
      <c r="AM42" s="685"/>
      <c r="AN42" s="685"/>
      <c r="AO42" s="685"/>
      <c r="AP42" s="685"/>
      <c r="AQ42" s="685"/>
      <c r="AR42" s="685"/>
      <c r="AS42" s="685"/>
      <c r="AT42" s="1859"/>
      <c r="AU42" s="1859"/>
      <c r="AV42" s="1859"/>
      <c r="AW42" s="685"/>
      <c r="AX42" s="685"/>
      <c r="AY42" s="685"/>
      <c r="AZ42" s="685"/>
      <c r="BA42" s="685"/>
      <c r="BB42" s="685"/>
      <c r="BC42" s="685"/>
      <c r="BN42" s="685"/>
      <c r="BO42" s="685"/>
      <c r="BP42" s="1872"/>
      <c r="BR42" s="1872"/>
      <c r="BS42" s="750"/>
      <c r="BU42" s="685"/>
    </row>
    <row r="43" spans="1:73">
      <c r="A43" s="685"/>
      <c r="B43" s="685" t="str">
        <f>B39</f>
        <v>Subscription &amp; Licensing</v>
      </c>
      <c r="C43" s="685"/>
      <c r="D43" s="685"/>
      <c r="E43" s="685"/>
      <c r="F43" s="685"/>
      <c r="G43" s="750">
        <f t="shared" si="71"/>
        <v>0.14325842696629221</v>
      </c>
      <c r="H43" s="750">
        <f t="shared" si="71"/>
        <v>0.10083102493074803</v>
      </c>
      <c r="I43" s="750">
        <f t="shared" si="71"/>
        <v>8.3830710797612618E-2</v>
      </c>
      <c r="J43" s="750">
        <f t="shared" si="71"/>
        <v>0.46517027863777072</v>
      </c>
      <c r="K43" s="750">
        <f t="shared" si="71"/>
        <v>7.1498771498771596E-2</v>
      </c>
      <c r="L43" s="750">
        <f t="shared" si="71"/>
        <v>0.14066431806743829</v>
      </c>
      <c r="M43" s="750">
        <f t="shared" si="71"/>
        <v>0.18448060075093875</v>
      </c>
      <c r="N43" s="750">
        <f t="shared" si="71"/>
        <v>-0.20619827434407456</v>
      </c>
      <c r="O43" s="750">
        <f>O39/K39-1</f>
        <v>8.5530841550103043E-2</v>
      </c>
      <c r="P43" s="750">
        <f t="shared" si="71"/>
        <v>-1.897198323406124E-2</v>
      </c>
      <c r="Q43" s="750">
        <f t="shared" si="71"/>
        <v>9.0870667793745419E-3</v>
      </c>
      <c r="R43" s="750">
        <f t="shared" si="71"/>
        <v>3.3052351375332689E-2</v>
      </c>
      <c r="S43" s="750">
        <f t="shared" si="71"/>
        <v>-7.3933248838191856E-2</v>
      </c>
      <c r="T43" s="750">
        <f t="shared" si="71"/>
        <v>-3.8228018889139292E-3</v>
      </c>
      <c r="U43" s="750">
        <f t="shared" si="71"/>
        <v>3.2041884816753852E-2</v>
      </c>
      <c r="V43" s="750">
        <f t="shared" si="71"/>
        <v>-4.2301911101567558E-2</v>
      </c>
      <c r="W43" s="750">
        <f t="shared" si="71"/>
        <v>0.15214416058394176</v>
      </c>
      <c r="X43" s="750">
        <f t="shared" si="72"/>
        <v>6.0948081264108334E-2</v>
      </c>
      <c r="Y43" s="750">
        <f t="shared" si="73"/>
        <v>4.504870129870131E-2</v>
      </c>
      <c r="Z43" s="750">
        <f t="shared" si="74"/>
        <v>3.1661434977578118E-2</v>
      </c>
      <c r="AA43" s="1859"/>
      <c r="AB43" s="1859"/>
      <c r="AC43" s="685"/>
      <c r="AD43" s="685"/>
      <c r="AE43" s="685"/>
      <c r="AF43" s="115"/>
      <c r="AG43" s="115"/>
      <c r="AH43" s="685"/>
      <c r="AI43" s="685"/>
      <c r="AJ43" s="685"/>
      <c r="AK43" s="685"/>
      <c r="AL43" s="685"/>
      <c r="AM43" s="685"/>
      <c r="AN43" s="685"/>
      <c r="AO43" s="685"/>
      <c r="AP43" s="685"/>
      <c r="AQ43" s="685"/>
      <c r="AR43" s="685"/>
      <c r="AS43" s="685"/>
      <c r="AT43" s="1859"/>
      <c r="AU43" s="1859"/>
      <c r="AV43" s="1859"/>
      <c r="AW43" s="685"/>
      <c r="AX43" s="685"/>
      <c r="AY43" s="685"/>
      <c r="AZ43" s="685"/>
      <c r="BA43" s="685"/>
      <c r="BB43" s="685"/>
      <c r="BC43" s="685"/>
      <c r="BN43" s="685"/>
      <c r="BO43" s="685"/>
      <c r="BP43" s="1872"/>
      <c r="BR43" s="1872"/>
      <c r="BS43" s="750"/>
      <c r="BU43" s="685"/>
    </row>
    <row r="44" spans="1:73">
      <c r="A44" s="685"/>
      <c r="B44" s="685" t="str">
        <f>B40</f>
        <v>Other</v>
      </c>
      <c r="C44" s="685"/>
      <c r="D44" s="685"/>
      <c r="E44" s="685"/>
      <c r="F44" s="685"/>
      <c r="G44" s="750">
        <f t="shared" si="71"/>
        <v>-9.375E-2</v>
      </c>
      <c r="H44" s="750">
        <f t="shared" si="71"/>
        <v>3.3222591362125353E-3</v>
      </c>
      <c r="I44" s="750">
        <f t="shared" si="71"/>
        <v>-0.4309978768577496</v>
      </c>
      <c r="J44" s="750">
        <f t="shared" si="71"/>
        <v>0.11145510835913308</v>
      </c>
      <c r="K44" s="750">
        <f t="shared" si="71"/>
        <v>-5.5172413793103448E-2</v>
      </c>
      <c r="L44" s="750">
        <f t="shared" si="71"/>
        <v>-3.9735099337748325E-2</v>
      </c>
      <c r="M44" s="750">
        <f t="shared" si="71"/>
        <v>0.11567164179104483</v>
      </c>
      <c r="N44" s="750">
        <f t="shared" si="71"/>
        <v>0.28133704735376042</v>
      </c>
      <c r="O44" s="750">
        <f>O40/K40-1</f>
        <v>1.0948905109489093E-2</v>
      </c>
      <c r="P44" s="750">
        <f t="shared" si="71"/>
        <v>-3.4482758620689613E-2</v>
      </c>
      <c r="Q44" s="750">
        <f t="shared" si="71"/>
        <v>-6.6889632107023367E-2</v>
      </c>
      <c r="R44" s="750">
        <f t="shared" si="71"/>
        <v>-0.44565217391304346</v>
      </c>
      <c r="S44" s="750">
        <f t="shared" si="71"/>
        <v>-0.19855595667870041</v>
      </c>
      <c r="T44" s="750">
        <f t="shared" si="71"/>
        <v>-0.11785714285714277</v>
      </c>
      <c r="U44" s="750">
        <f t="shared" si="71"/>
        <v>-0.18637992831541217</v>
      </c>
      <c r="V44" s="750">
        <f t="shared" si="71"/>
        <v>-0.19607843137254899</v>
      </c>
      <c r="W44" s="750">
        <f t="shared" si="71"/>
        <v>9.4594594594594517E-2</v>
      </c>
      <c r="X44" s="750">
        <f t="shared" si="72"/>
        <v>-6.8825910931174183E-2</v>
      </c>
      <c r="Y44" s="750">
        <f t="shared" si="73"/>
        <v>1.3215859030837107E-2</v>
      </c>
      <c r="Z44" s="750">
        <f t="shared" si="74"/>
        <v>0.15609756097560967</v>
      </c>
      <c r="AA44" s="1859"/>
      <c r="AB44" s="1859"/>
      <c r="AC44" s="685"/>
      <c r="AD44" s="685"/>
      <c r="AE44" s="685"/>
      <c r="AF44" s="115"/>
      <c r="AG44" s="115"/>
      <c r="AH44" s="685"/>
      <c r="AI44" s="685"/>
      <c r="AJ44" s="685"/>
      <c r="AK44" s="685"/>
      <c r="AL44" s="685"/>
      <c r="AM44" s="685"/>
      <c r="AN44" s="685"/>
      <c r="AO44" s="685"/>
      <c r="AP44" s="685"/>
      <c r="AQ44" s="685"/>
      <c r="AR44" s="685"/>
      <c r="AS44" s="685"/>
      <c r="AT44" s="1859"/>
      <c r="AU44" s="1859"/>
      <c r="AV44" s="1859"/>
      <c r="AW44" s="685"/>
      <c r="AX44" s="685"/>
      <c r="AY44" s="685"/>
      <c r="AZ44" s="685"/>
      <c r="BA44" s="685"/>
      <c r="BB44" s="685"/>
      <c r="BC44" s="685"/>
      <c r="BN44" s="685"/>
      <c r="BO44" s="685"/>
      <c r="BP44" s="1872"/>
      <c r="BR44" s="1872"/>
      <c r="BS44" s="750"/>
      <c r="BU44" s="685"/>
    </row>
    <row r="45" spans="1:73">
      <c r="A45" s="763"/>
      <c r="B45" s="685" t="s">
        <v>1072</v>
      </c>
      <c r="C45" s="685"/>
      <c r="D45" s="685"/>
      <c r="E45" s="685"/>
      <c r="F45" s="685"/>
      <c r="G45" s="685"/>
      <c r="H45" s="685"/>
      <c r="I45" s="685"/>
      <c r="J45" s="685"/>
      <c r="K45" s="685"/>
      <c r="L45" s="685"/>
      <c r="M45" s="685"/>
      <c r="N45" s="685"/>
      <c r="O45" s="685"/>
      <c r="P45" s="685"/>
      <c r="Q45" s="685"/>
      <c r="R45" s="685"/>
      <c r="S45" s="1892">
        <v>-0.03</v>
      </c>
      <c r="T45" s="1892">
        <v>-0.01</v>
      </c>
      <c r="U45" s="1892"/>
      <c r="V45" s="685"/>
      <c r="W45" s="685"/>
      <c r="X45" s="685"/>
      <c r="Y45" s="685"/>
      <c r="Z45" s="685"/>
      <c r="AA45" s="1887"/>
      <c r="AB45" s="1887"/>
      <c r="AC45" s="763"/>
      <c r="AD45" s="685"/>
      <c r="AE45" s="763"/>
      <c r="AF45" s="115"/>
      <c r="AG45" s="115"/>
      <c r="AH45" s="766"/>
      <c r="AI45" s="766"/>
      <c r="AJ45" s="766"/>
      <c r="AK45" s="766"/>
      <c r="AL45" s="809"/>
      <c r="AM45" s="809"/>
      <c r="AN45" s="685"/>
      <c r="AO45" s="685"/>
      <c r="AP45" s="685"/>
      <c r="AQ45" s="685"/>
      <c r="AR45" s="685"/>
      <c r="AS45" s="685"/>
      <c r="AT45" s="1859"/>
      <c r="AU45" s="1859"/>
      <c r="AV45" s="1859"/>
      <c r="AW45" s="685"/>
      <c r="AX45" s="685"/>
      <c r="AY45" s="685"/>
      <c r="AZ45" s="685"/>
      <c r="BA45" s="685"/>
      <c r="BB45" s="685"/>
      <c r="BC45" s="685"/>
      <c r="BN45" s="765"/>
      <c r="BO45" s="685"/>
      <c r="BP45" s="1859"/>
      <c r="BR45" s="1859"/>
      <c r="BS45" s="685"/>
      <c r="BU45" s="763"/>
    </row>
    <row r="46" spans="1:73">
      <c r="A46" s="763"/>
      <c r="B46" s="685" t="s">
        <v>1073</v>
      </c>
      <c r="C46" s="685"/>
      <c r="D46" s="685"/>
      <c r="E46" s="685"/>
      <c r="F46" s="685"/>
      <c r="G46" s="685"/>
      <c r="H46" s="685"/>
      <c r="I46" s="685"/>
      <c r="J46" s="685"/>
      <c r="K46" s="685"/>
      <c r="L46" s="685"/>
      <c r="M46" s="685"/>
      <c r="N46" s="685"/>
      <c r="O46" s="685"/>
      <c r="P46" s="685"/>
      <c r="Q46" s="685"/>
      <c r="R46" s="685"/>
      <c r="S46" s="685"/>
      <c r="T46" s="1892">
        <v>0.02</v>
      </c>
      <c r="U46" s="1892"/>
      <c r="V46" s="685"/>
      <c r="W46" s="685"/>
      <c r="X46" s="685"/>
      <c r="Y46" s="685"/>
      <c r="Z46" s="685"/>
      <c r="AA46" s="1887"/>
      <c r="AB46" s="1887"/>
      <c r="AC46" s="763"/>
      <c r="AD46" s="685"/>
      <c r="AE46" s="763"/>
      <c r="AF46" s="115"/>
      <c r="AG46" s="115"/>
      <c r="AH46" s="766"/>
      <c r="AI46" s="766"/>
      <c r="AJ46" s="766"/>
      <c r="AK46" s="766"/>
      <c r="AL46" s="809"/>
      <c r="AM46" s="809"/>
      <c r="AN46" s="685"/>
      <c r="AO46" s="685"/>
      <c r="AP46" s="685"/>
      <c r="AQ46" s="685"/>
      <c r="AR46" s="685"/>
      <c r="AS46" s="685"/>
      <c r="AT46" s="1859"/>
      <c r="AU46" s="1859"/>
      <c r="AV46" s="1859"/>
      <c r="AW46" s="685"/>
      <c r="AX46" s="685"/>
      <c r="AY46" s="685"/>
      <c r="AZ46" s="685"/>
      <c r="BA46" s="685"/>
      <c r="BB46" s="685"/>
      <c r="BC46" s="685"/>
      <c r="BN46" s="765"/>
      <c r="BO46" s="685"/>
      <c r="BP46" s="1859"/>
      <c r="BR46" s="1859"/>
      <c r="BS46" s="685"/>
      <c r="BU46" s="763"/>
    </row>
    <row r="47" spans="1:73">
      <c r="A47" s="763"/>
      <c r="B47" s="685"/>
      <c r="C47" s="685"/>
      <c r="D47" s="685"/>
      <c r="E47" s="685"/>
      <c r="F47" s="685"/>
      <c r="G47" s="685"/>
      <c r="H47" s="685"/>
      <c r="I47" s="685"/>
      <c r="J47" s="685"/>
      <c r="K47" s="685"/>
      <c r="L47" s="685"/>
      <c r="M47" s="685"/>
      <c r="N47" s="685"/>
      <c r="O47" s="685"/>
      <c r="P47" s="685"/>
      <c r="Q47" s="685"/>
      <c r="R47" s="685"/>
      <c r="S47" s="685"/>
      <c r="T47" s="685"/>
      <c r="U47" s="685"/>
      <c r="V47" s="685"/>
      <c r="W47" s="685"/>
      <c r="X47" s="685"/>
      <c r="Y47" s="685"/>
      <c r="Z47" s="685"/>
      <c r="AA47" s="1887"/>
      <c r="AB47" s="1887"/>
      <c r="AC47" s="763"/>
      <c r="AD47" s="685"/>
      <c r="AE47" s="763"/>
      <c r="AF47" s="115"/>
      <c r="AG47" s="115"/>
      <c r="AH47" s="766"/>
      <c r="AI47" s="766"/>
      <c r="AJ47" s="766"/>
      <c r="AK47" s="766"/>
      <c r="AL47" s="809"/>
      <c r="AM47" s="809"/>
      <c r="AN47" s="685"/>
      <c r="AO47" s="685"/>
      <c r="AP47" s="685"/>
      <c r="AQ47" s="685"/>
      <c r="AR47" s="685"/>
      <c r="AS47" s="685"/>
      <c r="AT47" s="1859"/>
      <c r="AU47" s="1859"/>
      <c r="AV47" s="1859"/>
      <c r="AW47" s="685"/>
      <c r="AX47" s="685"/>
      <c r="AY47" s="685"/>
      <c r="AZ47" s="685"/>
      <c r="BA47" s="685"/>
      <c r="BB47" s="685"/>
      <c r="BC47" s="685"/>
      <c r="BN47" s="765"/>
      <c r="BO47" s="685"/>
      <c r="BP47" s="1859"/>
      <c r="BR47" s="1859"/>
      <c r="BS47" s="685"/>
      <c r="BU47" s="763"/>
    </row>
    <row r="48" spans="1:73">
      <c r="A48" s="763"/>
      <c r="B48" s="685"/>
      <c r="C48" s="685"/>
      <c r="D48" s="685"/>
      <c r="E48" s="685"/>
      <c r="F48" s="685"/>
      <c r="G48" s="685"/>
      <c r="H48" s="685"/>
      <c r="I48" s="685"/>
      <c r="J48" s="685"/>
      <c r="K48" s="915"/>
      <c r="L48" s="915"/>
      <c r="M48" s="915"/>
      <c r="N48" s="915"/>
      <c r="O48" s="915"/>
      <c r="P48" s="915"/>
      <c r="Q48" s="915"/>
      <c r="R48" s="915"/>
      <c r="S48" s="915"/>
      <c r="T48" s="915"/>
      <c r="U48" s="915"/>
      <c r="V48" s="915"/>
      <c r="W48" s="915"/>
      <c r="X48" s="915"/>
      <c r="Y48" s="915"/>
      <c r="Z48" s="915"/>
      <c r="AA48" s="1887"/>
      <c r="AB48" s="1887"/>
      <c r="AC48" s="763"/>
      <c r="AD48" s="685"/>
      <c r="AE48" s="763"/>
      <c r="AF48" s="115"/>
      <c r="AG48" s="115"/>
      <c r="AH48" s="766"/>
      <c r="AI48" s="766"/>
      <c r="AJ48" s="766"/>
      <c r="AK48" s="766"/>
      <c r="AL48" s="809"/>
      <c r="AM48" s="809"/>
      <c r="AN48" s="685"/>
      <c r="AO48" s="685"/>
      <c r="AP48" s="685"/>
      <c r="AQ48" s="685"/>
      <c r="AR48" s="685"/>
      <c r="AS48" s="685"/>
      <c r="AT48" s="1859"/>
      <c r="AU48" s="1859"/>
      <c r="AV48" s="1859"/>
      <c r="AW48" s="685"/>
      <c r="AX48" s="685"/>
      <c r="AY48" s="685"/>
      <c r="AZ48" s="685"/>
      <c r="BA48" s="685"/>
      <c r="BB48" s="685"/>
      <c r="BC48" s="685"/>
      <c r="BN48" s="765"/>
      <c r="BO48" s="685"/>
      <c r="BP48" s="1859"/>
      <c r="BR48" s="1859"/>
      <c r="BS48" s="685"/>
      <c r="BU48" s="763"/>
    </row>
    <row r="49" spans="1:73">
      <c r="A49" s="763"/>
      <c r="B49" s="685"/>
      <c r="C49" s="685"/>
      <c r="D49" s="685"/>
      <c r="E49" s="685"/>
      <c r="F49" s="685"/>
      <c r="G49" s="685"/>
      <c r="H49" s="685"/>
      <c r="I49" s="685"/>
      <c r="J49" s="685"/>
      <c r="K49" s="750"/>
      <c r="L49" s="750"/>
      <c r="M49" s="750"/>
      <c r="N49" s="750"/>
      <c r="O49" s="750"/>
      <c r="P49" s="750"/>
      <c r="Q49" s="750"/>
      <c r="R49" s="750"/>
      <c r="S49" s="750"/>
      <c r="T49" s="750"/>
      <c r="U49" s="750"/>
      <c r="V49" s="750"/>
      <c r="W49" s="750"/>
      <c r="X49" s="750"/>
      <c r="Y49" s="750"/>
      <c r="Z49" s="750"/>
      <c r="AA49" s="1887"/>
      <c r="AB49" s="1887"/>
      <c r="AC49" s="763"/>
      <c r="AD49" s="685"/>
      <c r="AE49" s="763"/>
      <c r="AF49" s="115"/>
      <c r="AG49" s="115"/>
      <c r="AH49" s="766"/>
      <c r="AI49" s="766"/>
      <c r="AJ49" s="766"/>
      <c r="AK49" s="766"/>
      <c r="AL49" s="809"/>
      <c r="AM49" s="809"/>
      <c r="AN49" s="685"/>
      <c r="AO49" s="685"/>
      <c r="AP49" s="685"/>
      <c r="AQ49" s="685"/>
      <c r="AR49" s="685"/>
      <c r="AS49" s="685"/>
      <c r="AT49" s="1859"/>
      <c r="AU49" s="1859"/>
      <c r="AV49" s="1859"/>
      <c r="AW49" s="685"/>
      <c r="AX49" s="685"/>
      <c r="AY49" s="685"/>
      <c r="AZ49" s="685"/>
      <c r="BA49" s="685"/>
      <c r="BB49" s="685"/>
      <c r="BC49" s="685"/>
      <c r="BN49" s="765"/>
      <c r="BO49" s="685"/>
      <c r="BP49" s="1859"/>
      <c r="BR49" s="1859"/>
      <c r="BS49" s="685"/>
      <c r="BU49" s="763"/>
    </row>
    <row r="50" spans="1:73">
      <c r="A50" s="763"/>
      <c r="B50" s="685"/>
      <c r="C50" s="685"/>
      <c r="D50" s="685"/>
      <c r="E50" s="685"/>
      <c r="F50" s="685"/>
      <c r="G50" s="685"/>
      <c r="H50" s="685"/>
      <c r="I50" s="685"/>
      <c r="J50" s="685"/>
      <c r="K50" s="685"/>
      <c r="L50" s="685"/>
      <c r="M50" s="685"/>
      <c r="N50" s="685"/>
      <c r="O50" s="685"/>
      <c r="P50" s="685"/>
      <c r="Q50" s="685"/>
      <c r="R50" s="685"/>
      <c r="S50" s="685"/>
      <c r="T50" s="685"/>
      <c r="U50" s="685"/>
      <c r="V50" s="685"/>
      <c r="W50" s="685"/>
      <c r="X50" s="685"/>
      <c r="Y50" s="685"/>
      <c r="Z50" s="685"/>
      <c r="AA50" s="1887"/>
      <c r="AB50" s="1887"/>
      <c r="AC50" s="763"/>
      <c r="AD50" s="685"/>
      <c r="AE50" s="763"/>
      <c r="AF50" s="115"/>
      <c r="AG50" s="115"/>
      <c r="AH50" s="766"/>
      <c r="AI50" s="766"/>
      <c r="AJ50" s="766"/>
      <c r="AK50" s="766"/>
      <c r="AL50" s="809"/>
      <c r="AM50" s="809"/>
      <c r="AN50" s="685"/>
      <c r="AO50" s="685"/>
      <c r="AP50" s="685"/>
      <c r="AQ50" s="685"/>
      <c r="AR50" s="685"/>
      <c r="AS50" s="685"/>
      <c r="AT50" s="1859"/>
      <c r="AU50" s="1859"/>
      <c r="AV50" s="1859"/>
      <c r="AW50" s="685"/>
      <c r="AX50" s="685"/>
      <c r="AY50" s="685"/>
      <c r="AZ50" s="685"/>
      <c r="BA50" s="685"/>
      <c r="BB50" s="685"/>
      <c r="BC50" s="685"/>
      <c r="BN50" s="765"/>
      <c r="BO50" s="685"/>
      <c r="BP50" s="1859"/>
      <c r="BR50" s="1859"/>
      <c r="BS50" s="685"/>
      <c r="BU50" s="763"/>
    </row>
    <row r="51" spans="1:73">
      <c r="A51" s="763"/>
      <c r="B51" s="685"/>
      <c r="C51" s="685"/>
      <c r="D51" s="685"/>
      <c r="E51" s="685"/>
      <c r="F51" s="685"/>
      <c r="G51" s="685"/>
      <c r="H51" s="685"/>
      <c r="I51" s="685"/>
      <c r="J51" s="685"/>
      <c r="K51" s="685"/>
      <c r="L51" s="685"/>
      <c r="M51" s="685"/>
      <c r="N51" s="685"/>
      <c r="O51" s="685"/>
      <c r="P51" s="685"/>
      <c r="Q51" s="685"/>
      <c r="R51" s="685"/>
      <c r="S51" s="685"/>
      <c r="T51" s="685"/>
      <c r="U51" s="685"/>
      <c r="V51" s="685"/>
      <c r="W51" s="685"/>
      <c r="X51" s="685"/>
      <c r="Y51" s="685"/>
      <c r="Z51" s="685"/>
      <c r="AA51" s="1887"/>
      <c r="AB51" s="1887"/>
      <c r="AC51" s="763"/>
      <c r="AD51" s="685"/>
      <c r="AE51" s="763"/>
      <c r="AF51" s="115"/>
      <c r="AG51" s="115"/>
      <c r="AH51" s="766"/>
      <c r="AI51" s="766"/>
      <c r="AJ51" s="766"/>
      <c r="AK51" s="766"/>
      <c r="AL51" s="809"/>
      <c r="AM51" s="809"/>
      <c r="AN51" s="685"/>
      <c r="AO51" s="685"/>
      <c r="AP51" s="685"/>
      <c r="AQ51" s="685"/>
      <c r="AR51" s="685"/>
      <c r="AS51" s="685"/>
      <c r="AT51" s="1859"/>
      <c r="AU51" s="1859"/>
      <c r="AV51" s="1859"/>
      <c r="AW51" s="685"/>
      <c r="AX51" s="685"/>
      <c r="AY51" s="685"/>
      <c r="AZ51" s="685"/>
      <c r="BA51" s="685"/>
      <c r="BB51" s="685"/>
      <c r="BC51" s="685"/>
      <c r="BN51" s="765"/>
      <c r="BO51" s="685"/>
      <c r="BP51" s="1859"/>
      <c r="BR51" s="1859"/>
      <c r="BS51" s="685"/>
      <c r="BU51" s="763"/>
    </row>
    <row r="52" spans="1:73">
      <c r="A52" s="763"/>
      <c r="B52" s="685"/>
      <c r="C52" s="685"/>
      <c r="D52" s="685"/>
      <c r="E52" s="685"/>
      <c r="F52" s="685"/>
      <c r="G52" s="685"/>
      <c r="H52" s="685"/>
      <c r="I52" s="685"/>
      <c r="J52" s="685"/>
      <c r="K52" s="685"/>
      <c r="L52" s="685"/>
      <c r="M52" s="685"/>
      <c r="N52" s="685"/>
      <c r="O52" s="685"/>
      <c r="P52" s="685"/>
      <c r="Q52" s="685"/>
      <c r="R52" s="685"/>
      <c r="S52" s="685"/>
      <c r="T52" s="685"/>
      <c r="U52" s="685"/>
      <c r="V52" s="685"/>
      <c r="W52" s="685"/>
      <c r="X52" s="685"/>
      <c r="Y52" s="685"/>
      <c r="Z52" s="685"/>
      <c r="AA52" s="1887"/>
      <c r="AB52" s="1887"/>
      <c r="AC52" s="763"/>
      <c r="AD52" s="685"/>
      <c r="AE52" s="763"/>
      <c r="AF52" s="115"/>
      <c r="AG52" s="115"/>
      <c r="AH52" s="766"/>
      <c r="AI52" s="766"/>
      <c r="AJ52" s="766"/>
      <c r="AK52" s="766"/>
      <c r="AL52" s="809"/>
      <c r="AM52" s="809"/>
      <c r="AN52" s="685"/>
      <c r="AO52" s="685"/>
      <c r="AP52" s="685"/>
      <c r="AQ52" s="685"/>
      <c r="AR52" s="685"/>
      <c r="AS52" s="685"/>
      <c r="AT52" s="1859"/>
      <c r="AU52" s="1859"/>
      <c r="AV52" s="1859"/>
      <c r="AW52" s="685"/>
      <c r="AX52" s="685"/>
      <c r="AY52" s="685"/>
      <c r="AZ52" s="685"/>
      <c r="BA52" s="685"/>
      <c r="BB52" s="685"/>
      <c r="BC52" s="685"/>
      <c r="BN52" s="765"/>
      <c r="BO52" s="685"/>
      <c r="BP52" s="1859"/>
      <c r="BR52" s="1859"/>
      <c r="BS52" s="685"/>
      <c r="BU52" s="763"/>
    </row>
    <row r="53" spans="1:73">
      <c r="A53" s="763"/>
      <c r="B53" s="685"/>
      <c r="C53" s="685"/>
      <c r="D53" s="685"/>
      <c r="E53" s="685"/>
      <c r="F53" s="685"/>
      <c r="G53" s="685"/>
      <c r="H53" s="685"/>
      <c r="I53" s="685"/>
      <c r="J53" s="685"/>
      <c r="K53" s="685"/>
      <c r="L53" s="685"/>
      <c r="M53" s="685"/>
      <c r="N53" s="685"/>
      <c r="O53" s="685"/>
      <c r="P53" s="685"/>
      <c r="Q53" s="685"/>
      <c r="R53" s="685"/>
      <c r="S53" s="685"/>
      <c r="T53" s="685"/>
      <c r="U53" s="685"/>
      <c r="V53" s="685"/>
      <c r="W53" s="685"/>
      <c r="X53" s="685"/>
      <c r="Y53" s="685"/>
      <c r="Z53" s="685"/>
      <c r="AA53" s="1887"/>
      <c r="AB53" s="1887"/>
      <c r="AC53" s="763"/>
      <c r="AD53" s="685"/>
      <c r="AE53" s="763"/>
      <c r="AF53" s="115"/>
      <c r="AG53" s="115"/>
      <c r="AH53" s="766"/>
      <c r="AI53" s="766"/>
      <c r="AJ53" s="766"/>
      <c r="AK53" s="766"/>
      <c r="AL53" s="809"/>
      <c r="AM53" s="809"/>
      <c r="AN53" s="685"/>
      <c r="AO53" s="685"/>
      <c r="AP53" s="685"/>
      <c r="AQ53" s="685"/>
      <c r="AR53" s="685"/>
      <c r="AS53" s="685"/>
      <c r="AT53" s="1859"/>
      <c r="AU53" s="1859"/>
      <c r="AV53" s="1859"/>
      <c r="AW53" s="685"/>
      <c r="AX53" s="685"/>
      <c r="AY53" s="685"/>
      <c r="AZ53" s="685"/>
      <c r="BA53" s="685"/>
      <c r="BB53" s="685"/>
      <c r="BC53" s="685"/>
      <c r="BN53" s="765"/>
      <c r="BO53" s="685"/>
      <c r="BP53" s="1859"/>
      <c r="BR53" s="1859"/>
      <c r="BS53" s="685"/>
      <c r="BU53" s="763"/>
    </row>
    <row r="54" spans="1:73">
      <c r="A54" s="763"/>
      <c r="B54" s="685" t="s">
        <v>1066</v>
      </c>
      <c r="C54" s="795">
        <f t="shared" ref="C54:U54" si="75">C4</f>
        <v>634</v>
      </c>
      <c r="D54" s="795">
        <f t="shared" si="75"/>
        <v>700.2</v>
      </c>
      <c r="E54" s="795">
        <f t="shared" si="75"/>
        <v>754.7</v>
      </c>
      <c r="F54" s="795">
        <f t="shared" si="75"/>
        <v>752.4</v>
      </c>
      <c r="G54" s="795">
        <f t="shared" si="75"/>
        <v>713</v>
      </c>
      <c r="H54" s="795">
        <f t="shared" si="75"/>
        <v>747.5</v>
      </c>
      <c r="I54" s="795">
        <f t="shared" si="75"/>
        <v>769.3</v>
      </c>
      <c r="J54" s="795">
        <f t="shared" si="75"/>
        <v>963.2</v>
      </c>
      <c r="K54" s="795">
        <f t="shared" si="75"/>
        <v>739.1</v>
      </c>
      <c r="L54" s="795">
        <f t="shared" si="75"/>
        <v>793.6</v>
      </c>
      <c r="M54" s="795">
        <f t="shared" si="75"/>
        <v>806.3</v>
      </c>
      <c r="N54" s="795">
        <f t="shared" si="75"/>
        <v>820.7</v>
      </c>
      <c r="O54" s="795">
        <f t="shared" si="75"/>
        <v>739.9</v>
      </c>
      <c r="P54" s="795">
        <f t="shared" si="75"/>
        <v>799.4</v>
      </c>
      <c r="Q54" s="795">
        <f t="shared" si="75"/>
        <v>852.4</v>
      </c>
      <c r="R54" s="795">
        <f t="shared" si="75"/>
        <v>835.5</v>
      </c>
      <c r="S54" s="795">
        <f t="shared" si="75"/>
        <v>709.09999999999991</v>
      </c>
      <c r="T54" s="795">
        <f t="shared" si="75"/>
        <v>815.6</v>
      </c>
      <c r="U54" s="795">
        <f t="shared" si="75"/>
        <v>831.30000000000007</v>
      </c>
      <c r="V54" s="795">
        <f>V4</f>
        <v>777.2</v>
      </c>
      <c r="W54" s="795">
        <f>W4</f>
        <v>707.69999999999993</v>
      </c>
      <c r="X54" s="795"/>
      <c r="Y54" s="795"/>
      <c r="Z54" s="795"/>
      <c r="AA54" s="1887"/>
      <c r="AB54" s="1887"/>
      <c r="AC54" s="763"/>
      <c r="AD54" s="685"/>
      <c r="AE54" s="763"/>
      <c r="AF54" s="115"/>
      <c r="AG54" s="115"/>
      <c r="AH54" s="766"/>
      <c r="AI54" s="766"/>
      <c r="AJ54" s="766"/>
      <c r="AK54" s="766"/>
      <c r="AL54" s="809"/>
      <c r="AM54" s="809"/>
      <c r="AN54" s="685"/>
      <c r="AO54" s="685"/>
      <c r="AP54" s="685"/>
      <c r="AQ54" s="685"/>
      <c r="AR54" s="685"/>
      <c r="AS54" s="685"/>
      <c r="AT54" s="1859"/>
      <c r="AU54" s="1859"/>
      <c r="AV54" s="1859"/>
      <c r="AW54" s="685"/>
      <c r="AX54" s="685"/>
      <c r="AY54" s="685"/>
      <c r="AZ54" s="685"/>
      <c r="BA54" s="685"/>
      <c r="BB54" s="685"/>
      <c r="BC54" s="685"/>
      <c r="BN54" s="765"/>
      <c r="BO54" s="685"/>
      <c r="BP54" s="1859"/>
      <c r="BR54" s="1859"/>
      <c r="BS54" s="685"/>
      <c r="BU54" s="763"/>
    </row>
    <row r="55" spans="1:73">
      <c r="A55" s="763"/>
      <c r="B55" s="685" t="s">
        <v>1067</v>
      </c>
      <c r="C55" s="795">
        <f t="shared" ref="C55:U55" si="76">C5</f>
        <v>262</v>
      </c>
      <c r="D55" s="795">
        <f t="shared" si="76"/>
        <v>291.10000000000002</v>
      </c>
      <c r="E55" s="795">
        <f t="shared" si="76"/>
        <v>344.7</v>
      </c>
      <c r="F55" s="795">
        <f t="shared" si="76"/>
        <v>443.2</v>
      </c>
      <c r="G55" s="795">
        <f t="shared" si="76"/>
        <v>297</v>
      </c>
      <c r="H55" s="795">
        <f t="shared" si="76"/>
        <v>348.7</v>
      </c>
      <c r="I55" s="795">
        <f t="shared" si="76"/>
        <v>382.2</v>
      </c>
      <c r="J55" s="795">
        <f t="shared" si="76"/>
        <v>490.3</v>
      </c>
      <c r="K55" s="795">
        <f t="shared" si="76"/>
        <v>331.8</v>
      </c>
      <c r="L55" s="795">
        <f t="shared" si="76"/>
        <v>426.2</v>
      </c>
      <c r="M55" s="795">
        <f t="shared" si="76"/>
        <v>474.2</v>
      </c>
      <c r="N55" s="795">
        <f t="shared" si="76"/>
        <v>536.1</v>
      </c>
      <c r="O55" s="795">
        <f t="shared" si="76"/>
        <v>409.1</v>
      </c>
      <c r="P55" s="795">
        <f t="shared" si="76"/>
        <v>458.3</v>
      </c>
      <c r="Q55" s="795">
        <f t="shared" si="76"/>
        <v>452.2</v>
      </c>
      <c r="R55" s="795">
        <f t="shared" si="76"/>
        <v>508.7</v>
      </c>
      <c r="S55" s="795">
        <f t="shared" si="76"/>
        <v>314.59999999999997</v>
      </c>
      <c r="T55" s="795">
        <f t="shared" si="76"/>
        <v>394.40000000000003</v>
      </c>
      <c r="U55" s="795">
        <f t="shared" si="76"/>
        <v>439.40000000000003</v>
      </c>
      <c r="V55" s="795">
        <f>V5</f>
        <v>545.6</v>
      </c>
      <c r="W55" s="795">
        <f>W5</f>
        <v>367.3</v>
      </c>
      <c r="X55" s="795"/>
      <c r="Y55" s="795"/>
      <c r="Z55" s="795"/>
      <c r="AA55" s="1887"/>
      <c r="AB55" s="1887"/>
      <c r="AC55" s="763"/>
      <c r="AD55" s="685"/>
      <c r="AE55" s="763"/>
      <c r="AF55" s="115"/>
      <c r="AG55" s="115"/>
      <c r="AH55" s="766"/>
      <c r="AI55" s="766"/>
      <c r="AJ55" s="766"/>
      <c r="AK55" s="766"/>
      <c r="AL55" s="809"/>
      <c r="AM55" s="809"/>
      <c r="AN55" s="685"/>
      <c r="AO55" s="685"/>
      <c r="AP55" s="685"/>
      <c r="AQ55" s="685"/>
      <c r="AR55" s="685"/>
      <c r="AS55" s="685"/>
      <c r="AT55" s="1859"/>
      <c r="AU55" s="1859"/>
      <c r="AV55" s="1859"/>
      <c r="AW55" s="685"/>
      <c r="AX55" s="685"/>
      <c r="AY55" s="685"/>
      <c r="AZ55" s="685"/>
      <c r="BA55" s="685"/>
      <c r="BB55" s="685"/>
      <c r="BC55" s="685"/>
      <c r="BN55" s="765"/>
      <c r="BO55" s="685"/>
      <c r="BP55" s="1859"/>
      <c r="BR55" s="1859"/>
      <c r="BS55" s="685"/>
      <c r="BU55" s="763"/>
    </row>
    <row r="56" spans="1:73">
      <c r="A56" s="763"/>
      <c r="B56" s="817" t="s">
        <v>85</v>
      </c>
      <c r="C56" s="818">
        <f>C54+C55</f>
        <v>896</v>
      </c>
      <c r="D56" s="818">
        <f t="shared" ref="D56:T56" si="77">D54+D55</f>
        <v>991.30000000000007</v>
      </c>
      <c r="E56" s="818">
        <f t="shared" si="77"/>
        <v>1099.4000000000001</v>
      </c>
      <c r="F56" s="818">
        <f t="shared" si="77"/>
        <v>1195.5999999999999</v>
      </c>
      <c r="G56" s="818">
        <f t="shared" si="77"/>
        <v>1010</v>
      </c>
      <c r="H56" s="818">
        <f t="shared" si="77"/>
        <v>1096.2</v>
      </c>
      <c r="I56" s="818">
        <f t="shared" si="77"/>
        <v>1151.5</v>
      </c>
      <c r="J56" s="818">
        <f t="shared" si="77"/>
        <v>1453.5</v>
      </c>
      <c r="K56" s="818">
        <f t="shared" si="77"/>
        <v>1070.9000000000001</v>
      </c>
      <c r="L56" s="818">
        <f t="shared" si="77"/>
        <v>1219.8</v>
      </c>
      <c r="M56" s="818">
        <f t="shared" si="77"/>
        <v>1280.5</v>
      </c>
      <c r="N56" s="818">
        <f t="shared" si="77"/>
        <v>1356.8000000000002</v>
      </c>
      <c r="O56" s="818">
        <f t="shared" si="77"/>
        <v>1149</v>
      </c>
      <c r="P56" s="818">
        <f t="shared" si="77"/>
        <v>1257.7</v>
      </c>
      <c r="Q56" s="818">
        <f t="shared" si="77"/>
        <v>1304.5999999999999</v>
      </c>
      <c r="R56" s="818">
        <f t="shared" si="77"/>
        <v>1344.2</v>
      </c>
      <c r="S56" s="818">
        <f t="shared" si="77"/>
        <v>1023.6999999999998</v>
      </c>
      <c r="T56" s="818">
        <f t="shared" si="77"/>
        <v>1210</v>
      </c>
      <c r="U56" s="818">
        <f>U54+U55</f>
        <v>1270.7</v>
      </c>
      <c r="V56" s="818">
        <f>V54+V55</f>
        <v>1322.8000000000002</v>
      </c>
      <c r="W56" s="818">
        <f>W54+W55</f>
        <v>1075</v>
      </c>
      <c r="X56" s="818"/>
      <c r="Y56" s="818"/>
      <c r="Z56" s="818"/>
      <c r="AA56" s="1887"/>
      <c r="AB56" s="1887"/>
      <c r="AC56" s="763"/>
      <c r="AD56" s="685"/>
      <c r="AE56" s="763"/>
      <c r="AF56" s="115"/>
      <c r="AG56" s="115"/>
      <c r="AH56" s="766"/>
      <c r="AI56" s="766"/>
      <c r="AJ56" s="766"/>
      <c r="AK56" s="766"/>
      <c r="AL56" s="809"/>
      <c r="AM56" s="809"/>
      <c r="AN56" s="685"/>
      <c r="AO56" s="685"/>
      <c r="AP56" s="685"/>
      <c r="AQ56" s="685"/>
      <c r="AR56" s="685"/>
      <c r="AS56" s="685"/>
      <c r="AT56" s="1859"/>
      <c r="AU56" s="1859"/>
      <c r="AV56" s="1859"/>
      <c r="AW56" s="685"/>
      <c r="AX56" s="685"/>
      <c r="AY56" s="685"/>
      <c r="AZ56" s="685"/>
      <c r="BA56" s="685"/>
      <c r="BB56" s="685"/>
      <c r="BC56" s="685"/>
      <c r="BN56" s="765"/>
      <c r="BO56" s="685"/>
      <c r="BP56" s="1859"/>
      <c r="BR56" s="1859"/>
      <c r="BS56" s="685"/>
      <c r="BU56" s="763"/>
    </row>
    <row r="57" spans="1:73">
      <c r="A57" s="763"/>
      <c r="B57" s="685"/>
      <c r="C57" s="685"/>
      <c r="D57" s="685"/>
      <c r="E57" s="685"/>
      <c r="F57" s="685"/>
      <c r="G57" s="685"/>
      <c r="H57" s="685"/>
      <c r="I57" s="685"/>
      <c r="J57" s="685"/>
      <c r="K57" s="685"/>
      <c r="L57" s="685"/>
      <c r="M57" s="685"/>
      <c r="N57" s="685"/>
      <c r="O57" s="685"/>
      <c r="P57" s="685"/>
      <c r="Q57" s="685"/>
      <c r="R57" s="685"/>
      <c r="S57" s="685"/>
      <c r="T57" s="685"/>
      <c r="U57" s="685"/>
      <c r="V57" s="685"/>
      <c r="W57" s="685"/>
      <c r="X57" s="685"/>
      <c r="Y57" s="685"/>
      <c r="Z57" s="685"/>
      <c r="AA57" s="1887"/>
      <c r="AB57" s="1887"/>
      <c r="AC57" s="763"/>
      <c r="AD57" s="685"/>
      <c r="AE57" s="763"/>
      <c r="AF57" s="115"/>
      <c r="AG57" s="115"/>
      <c r="AH57" s="766"/>
      <c r="AI57" s="766"/>
      <c r="AJ57" s="766"/>
      <c r="AK57" s="766"/>
      <c r="AL57" s="809"/>
      <c r="AM57" s="809"/>
      <c r="AN57" s="685"/>
      <c r="AO57" s="685"/>
      <c r="AP57" s="685"/>
      <c r="AQ57" s="685"/>
      <c r="AR57" s="685"/>
      <c r="AS57" s="685"/>
      <c r="AT57" s="1859"/>
      <c r="AU57" s="1859"/>
      <c r="AV57" s="1859"/>
      <c r="AW57" s="685"/>
      <c r="AX57" s="685"/>
      <c r="AY57" s="685"/>
      <c r="AZ57" s="685"/>
      <c r="BA57" s="685"/>
      <c r="BB57" s="685"/>
      <c r="BC57" s="685"/>
      <c r="BN57" s="765"/>
      <c r="BO57" s="685"/>
      <c r="BP57" s="1859"/>
      <c r="BR57" s="1859"/>
      <c r="BS57" s="685"/>
      <c r="BU57" s="763"/>
    </row>
    <row r="58" spans="1:73">
      <c r="A58" s="763"/>
      <c r="B58" s="685" t="s">
        <v>1066</v>
      </c>
      <c r="C58" s="685"/>
      <c r="D58" s="685"/>
      <c r="E58" s="685"/>
      <c r="F58" s="685"/>
      <c r="G58" s="750">
        <f t="shared" ref="G58:S58" si="78">G54/C54-1</f>
        <v>0.12460567823343838</v>
      </c>
      <c r="H58" s="750">
        <f t="shared" si="78"/>
        <v>6.7552127963439013E-2</v>
      </c>
      <c r="I58" s="750">
        <f t="shared" si="78"/>
        <v>1.9345435272293487E-2</v>
      </c>
      <c r="J58" s="750">
        <f t="shared" si="78"/>
        <v>0.28017012227538562</v>
      </c>
      <c r="K58" s="750">
        <f t="shared" si="78"/>
        <v>3.66058906030855E-2</v>
      </c>
      <c r="L58" s="750">
        <f t="shared" si="78"/>
        <v>6.1672240802675526E-2</v>
      </c>
      <c r="M58" s="750">
        <f t="shared" si="78"/>
        <v>4.8095671389575045E-2</v>
      </c>
      <c r="N58" s="750">
        <f t="shared" si="78"/>
        <v>-0.14794435215946844</v>
      </c>
      <c r="O58" s="750">
        <f t="shared" si="78"/>
        <v>1.0823975104856665E-3</v>
      </c>
      <c r="P58" s="750">
        <f t="shared" si="78"/>
        <v>7.3084677419354982E-3</v>
      </c>
      <c r="Q58" s="750">
        <f t="shared" si="78"/>
        <v>5.7174748852784285E-2</v>
      </c>
      <c r="R58" s="750">
        <f t="shared" si="78"/>
        <v>1.8033386133788243E-2</v>
      </c>
      <c r="S58" s="750">
        <f t="shared" si="78"/>
        <v>-4.1627246925260208E-2</v>
      </c>
      <c r="T58" s="750">
        <f t="shared" ref="T58:W60" si="79">T54/P54-1</f>
        <v>2.0265198899174441E-2</v>
      </c>
      <c r="U58" s="750">
        <f t="shared" si="79"/>
        <v>-2.4753636790239231E-2</v>
      </c>
      <c r="V58" s="750">
        <f t="shared" si="79"/>
        <v>-6.9778575703171697E-2</v>
      </c>
      <c r="W58" s="750">
        <f t="shared" si="79"/>
        <v>-1.9743336623888608E-3</v>
      </c>
      <c r="X58" s="750"/>
      <c r="Y58" s="750"/>
      <c r="Z58" s="750"/>
      <c r="AA58" s="1887"/>
      <c r="AB58" s="1887"/>
      <c r="AC58" s="763"/>
      <c r="AD58" s="685"/>
      <c r="AE58" s="763"/>
      <c r="AF58" s="115"/>
      <c r="AG58" s="115"/>
      <c r="AH58" s="766"/>
      <c r="AI58" s="766"/>
      <c r="AJ58" s="766"/>
      <c r="AK58" s="766"/>
      <c r="AL58" s="809"/>
      <c r="AM58" s="809"/>
      <c r="AN58" s="685"/>
      <c r="AO58" s="685"/>
      <c r="AP58" s="685"/>
      <c r="AQ58" s="685"/>
      <c r="AR58" s="685"/>
      <c r="AS58" s="685"/>
      <c r="AT58" s="1859"/>
      <c r="AU58" s="1859"/>
      <c r="AV58" s="1859"/>
      <c r="AW58" s="685"/>
      <c r="AX58" s="685"/>
      <c r="AY58" s="685"/>
      <c r="AZ58" s="685"/>
      <c r="BA58" s="685"/>
      <c r="BB58" s="685"/>
      <c r="BC58" s="685"/>
      <c r="BN58" s="765"/>
      <c r="BO58" s="685"/>
      <c r="BP58" s="1859"/>
      <c r="BR58" s="1859"/>
      <c r="BS58" s="685"/>
      <c r="BU58" s="763"/>
    </row>
    <row r="59" spans="1:73">
      <c r="A59" s="763"/>
      <c r="B59" s="685" t="s">
        <v>1067</v>
      </c>
      <c r="C59" s="685"/>
      <c r="D59" s="685"/>
      <c r="E59" s="685"/>
      <c r="F59" s="685"/>
      <c r="G59" s="750">
        <f t="shared" ref="G59:S60" si="80">G55/C55-1</f>
        <v>0.13358778625954204</v>
      </c>
      <c r="H59" s="750">
        <f t="shared" si="80"/>
        <v>0.19787014771556155</v>
      </c>
      <c r="I59" s="750">
        <f t="shared" si="80"/>
        <v>0.10879025239338547</v>
      </c>
      <c r="J59" s="750">
        <f t="shared" si="80"/>
        <v>0.10627256317689526</v>
      </c>
      <c r="K59" s="750">
        <f t="shared" si="80"/>
        <v>0.11717171717171726</v>
      </c>
      <c r="L59" s="750">
        <f t="shared" si="80"/>
        <v>0.22225408660739898</v>
      </c>
      <c r="M59" s="750">
        <f t="shared" si="80"/>
        <v>0.24071166928309795</v>
      </c>
      <c r="N59" s="750">
        <f t="shared" si="80"/>
        <v>9.3412196614317766E-2</v>
      </c>
      <c r="O59" s="750">
        <f t="shared" si="80"/>
        <v>0.2329716696805304</v>
      </c>
      <c r="P59" s="750">
        <f t="shared" si="80"/>
        <v>7.5316752698263878E-2</v>
      </c>
      <c r="Q59" s="750">
        <f t="shared" si="80"/>
        <v>-4.6393926613243375E-2</v>
      </c>
      <c r="R59" s="750">
        <f t="shared" si="80"/>
        <v>-5.1109867562022071E-2</v>
      </c>
      <c r="S59" s="750">
        <f t="shared" si="80"/>
        <v>-0.23099486678073833</v>
      </c>
      <c r="T59" s="750">
        <f t="shared" si="79"/>
        <v>-0.13942832205978606</v>
      </c>
      <c r="U59" s="750">
        <f t="shared" si="79"/>
        <v>-2.8306059265811534E-2</v>
      </c>
      <c r="V59" s="750">
        <f t="shared" si="79"/>
        <v>7.2537841556909788E-2</v>
      </c>
      <c r="W59" s="750">
        <f t="shared" si="79"/>
        <v>0.16751430387794031</v>
      </c>
      <c r="X59" s="750"/>
      <c r="Y59" s="750"/>
      <c r="Z59" s="750"/>
      <c r="AA59" s="1887"/>
      <c r="AB59" s="1887"/>
      <c r="AC59" s="763"/>
      <c r="AD59" s="685"/>
      <c r="AE59" s="763"/>
      <c r="AF59" s="115"/>
      <c r="AG59" s="115"/>
      <c r="AH59" s="766"/>
      <c r="AI59" s="766"/>
      <c r="AJ59" s="766"/>
      <c r="AK59" s="766"/>
      <c r="AL59" s="809"/>
      <c r="AM59" s="809"/>
      <c r="AN59" s="685"/>
      <c r="AO59" s="685"/>
      <c r="AP59" s="685"/>
      <c r="AQ59" s="685"/>
      <c r="AR59" s="685"/>
      <c r="AS59" s="685"/>
      <c r="AT59" s="1859"/>
      <c r="AU59" s="1859"/>
      <c r="AV59" s="1859"/>
      <c r="AW59" s="685"/>
      <c r="AX59" s="685"/>
      <c r="AY59" s="685"/>
      <c r="AZ59" s="685"/>
      <c r="BA59" s="685"/>
      <c r="BB59" s="685"/>
      <c r="BC59" s="685"/>
      <c r="BN59" s="765"/>
      <c r="BO59" s="685"/>
      <c r="BP59" s="1859"/>
      <c r="BR59" s="1859"/>
      <c r="BS59" s="685"/>
      <c r="BU59" s="763"/>
    </row>
    <row r="60" spans="1:73">
      <c r="A60" s="763"/>
      <c r="B60" s="817" t="s">
        <v>85</v>
      </c>
      <c r="C60" s="817"/>
      <c r="D60" s="817"/>
      <c r="E60" s="817"/>
      <c r="F60" s="817"/>
      <c r="G60" s="1904">
        <f t="shared" si="80"/>
        <v>0.12723214285714279</v>
      </c>
      <c r="H60" s="1904">
        <f t="shared" si="80"/>
        <v>0.10582063956420851</v>
      </c>
      <c r="I60" s="1904">
        <f t="shared" si="80"/>
        <v>4.7389485173731094E-2</v>
      </c>
      <c r="J60" s="1904">
        <f t="shared" si="80"/>
        <v>0.2157075945132152</v>
      </c>
      <c r="K60" s="1904">
        <f t="shared" si="80"/>
        <v>6.0297029702970351E-2</v>
      </c>
      <c r="L60" s="1904">
        <f t="shared" si="80"/>
        <v>0.11275314723590579</v>
      </c>
      <c r="M60" s="1904">
        <f t="shared" si="80"/>
        <v>0.11202778983934003</v>
      </c>
      <c r="N60" s="1904">
        <f t="shared" si="80"/>
        <v>-6.6529067767457706E-2</v>
      </c>
      <c r="O60" s="1904">
        <f t="shared" si="80"/>
        <v>7.2929311793818119E-2</v>
      </c>
      <c r="P60" s="1904">
        <f t="shared" si="80"/>
        <v>3.1070667322512069E-2</v>
      </c>
      <c r="Q60" s="1904">
        <f t="shared" si="80"/>
        <v>1.8820773135493907E-2</v>
      </c>
      <c r="R60" s="1904">
        <f t="shared" si="80"/>
        <v>-9.2865566037736436E-3</v>
      </c>
      <c r="S60" s="1904">
        <f t="shared" si="80"/>
        <v>-0.10905134899912983</v>
      </c>
      <c r="T60" s="1904">
        <f t="shared" si="79"/>
        <v>-3.7926373538999747E-2</v>
      </c>
      <c r="U60" s="1904">
        <f t="shared" si="79"/>
        <v>-2.5984976237927282E-2</v>
      </c>
      <c r="V60" s="1904">
        <f t="shared" si="79"/>
        <v>-1.5920249962803057E-2</v>
      </c>
      <c r="W60" s="1904">
        <f t="shared" si="79"/>
        <v>5.0112337598906098E-2</v>
      </c>
      <c r="X60" s="1904"/>
      <c r="Y60" s="1904"/>
      <c r="Z60" s="1904"/>
      <c r="AA60" s="1887"/>
      <c r="AB60" s="1887"/>
      <c r="AC60" s="763"/>
      <c r="AD60" s="685"/>
      <c r="AE60" s="763"/>
      <c r="AF60" s="115"/>
      <c r="AG60" s="115"/>
      <c r="AH60" s="766"/>
      <c r="AI60" s="766"/>
      <c r="AJ60" s="766"/>
      <c r="AK60" s="766"/>
      <c r="AL60" s="809"/>
      <c r="AM60" s="809"/>
      <c r="AN60" s="685"/>
      <c r="AO60" s="685"/>
      <c r="AP60" s="685"/>
      <c r="AQ60" s="685"/>
      <c r="AR60" s="685"/>
      <c r="AS60" s="685"/>
      <c r="AT60" s="1859"/>
      <c r="AU60" s="1859"/>
      <c r="AV60" s="1859"/>
      <c r="AW60" s="685"/>
      <c r="AX60" s="685"/>
      <c r="AY60" s="685"/>
      <c r="AZ60" s="685"/>
      <c r="BA60" s="685"/>
      <c r="BB60" s="685"/>
      <c r="BC60" s="685"/>
      <c r="BN60" s="765"/>
      <c r="BO60" s="685"/>
      <c r="BP60" s="1859"/>
      <c r="BR60" s="1859"/>
      <c r="BS60" s="685"/>
      <c r="BU60" s="763"/>
    </row>
    <row r="61" spans="1:73">
      <c r="A61" s="763"/>
      <c r="B61" s="685" t="s">
        <v>1074</v>
      </c>
      <c r="C61" s="685"/>
      <c r="D61" s="685"/>
      <c r="E61" s="685"/>
      <c r="F61" s="685"/>
      <c r="G61" s="685"/>
      <c r="H61" s="685"/>
      <c r="I61" s="685"/>
      <c r="J61" s="685"/>
      <c r="K61" s="685"/>
      <c r="L61" s="685"/>
      <c r="M61" s="685"/>
      <c r="N61" s="685"/>
      <c r="O61" s="685"/>
      <c r="P61" s="685"/>
      <c r="Q61" s="685"/>
      <c r="R61" s="685"/>
      <c r="S61" s="685"/>
      <c r="T61" s="1892">
        <f>T60+4%</f>
        <v>2.0736264610002539E-3</v>
      </c>
      <c r="U61" s="1892"/>
      <c r="V61" s="685"/>
      <c r="W61" s="1892">
        <v>0</v>
      </c>
      <c r="X61" s="1892"/>
      <c r="Y61" s="1892"/>
      <c r="Z61" s="1892"/>
      <c r="AA61" s="1887"/>
      <c r="AB61" s="1887"/>
      <c r="AC61" s="763"/>
      <c r="AD61" s="685"/>
      <c r="AE61" s="763"/>
      <c r="AF61" s="115"/>
      <c r="AG61" s="115"/>
      <c r="AH61" s="766"/>
      <c r="AI61" s="766"/>
      <c r="AJ61" s="766"/>
      <c r="AK61" s="766"/>
      <c r="AL61" s="809"/>
      <c r="AM61" s="809"/>
      <c r="AN61" s="685"/>
      <c r="AO61" s="685"/>
      <c r="AP61" s="685"/>
      <c r="AQ61" s="685"/>
      <c r="AR61" s="685"/>
      <c r="AS61" s="685"/>
      <c r="AT61" s="1859"/>
      <c r="AU61" s="1859"/>
      <c r="AV61" s="1859"/>
      <c r="AW61" s="685"/>
      <c r="AX61" s="685"/>
      <c r="AY61" s="685"/>
      <c r="AZ61" s="685"/>
      <c r="BA61" s="685"/>
      <c r="BB61" s="685"/>
      <c r="BC61" s="685"/>
      <c r="BN61" s="765"/>
      <c r="BO61" s="685"/>
      <c r="BP61" s="1859"/>
      <c r="BR61" s="1859"/>
      <c r="BS61" s="685"/>
      <c r="BU61" s="763"/>
    </row>
    <row r="62" spans="1:73">
      <c r="A62" s="763"/>
      <c r="B62" s="685" t="s">
        <v>1075</v>
      </c>
      <c r="C62" s="685"/>
      <c r="D62" s="685"/>
      <c r="E62" s="685"/>
      <c r="F62" s="685"/>
      <c r="G62" s="685"/>
      <c r="H62" s="685"/>
      <c r="I62" s="685"/>
      <c r="J62" s="685"/>
      <c r="K62" s="685"/>
      <c r="L62" s="685"/>
      <c r="M62" s="685"/>
      <c r="N62" s="685"/>
      <c r="O62" s="685"/>
      <c r="P62" s="685"/>
      <c r="Q62" s="685"/>
      <c r="R62" s="685"/>
      <c r="S62" s="1892">
        <v>-0.09</v>
      </c>
      <c r="T62" s="1892">
        <v>-0.04</v>
      </c>
      <c r="U62" s="1892">
        <f>U59-2%</f>
        <v>-4.8306059265811538E-2</v>
      </c>
      <c r="V62" s="685"/>
      <c r="W62" s="1892">
        <v>0.02</v>
      </c>
      <c r="X62" s="1892"/>
      <c r="Y62" s="1892"/>
      <c r="Z62" s="1892"/>
      <c r="AA62" s="1887"/>
      <c r="AB62" s="1887"/>
      <c r="AC62" s="763"/>
      <c r="AD62" s="685"/>
      <c r="AE62" s="763"/>
      <c r="AF62" s="115"/>
      <c r="AG62" s="115"/>
      <c r="AH62" s="766"/>
      <c r="AI62" s="766"/>
      <c r="AJ62" s="766"/>
      <c r="AK62" s="766"/>
      <c r="AL62" s="809"/>
      <c r="AM62" s="809"/>
      <c r="AN62" s="685"/>
      <c r="AO62" s="685"/>
      <c r="AP62" s="685"/>
      <c r="AQ62" s="685"/>
      <c r="AR62" s="685"/>
      <c r="AS62" s="685"/>
      <c r="AT62" s="1859"/>
      <c r="AU62" s="1859"/>
      <c r="AV62" s="1859"/>
      <c r="AW62" s="685"/>
      <c r="AX62" s="685"/>
      <c r="AY62" s="685"/>
      <c r="AZ62" s="685"/>
      <c r="BA62" s="685"/>
      <c r="BB62" s="685"/>
      <c r="BC62" s="685"/>
      <c r="BN62" s="765"/>
      <c r="BO62" s="685"/>
      <c r="BP62" s="1859"/>
      <c r="BR62" s="1859"/>
      <c r="BS62" s="685"/>
      <c r="BU62" s="763"/>
    </row>
    <row r="63" spans="1:73">
      <c r="A63" s="763"/>
      <c r="B63" s="685"/>
      <c r="C63" s="685"/>
      <c r="D63" s="685"/>
      <c r="E63" s="685"/>
      <c r="F63" s="685"/>
      <c r="G63" s="685"/>
      <c r="H63" s="685"/>
      <c r="I63" s="685"/>
      <c r="J63" s="685"/>
      <c r="K63" s="685"/>
      <c r="L63" s="685"/>
      <c r="M63" s="685"/>
      <c r="N63" s="685"/>
      <c r="O63" s="685"/>
      <c r="P63" s="685"/>
      <c r="Q63" s="685"/>
      <c r="R63" s="685"/>
      <c r="S63" s="685"/>
      <c r="T63" s="685"/>
      <c r="U63" s="685"/>
      <c r="V63" s="685"/>
      <c r="W63" s="685"/>
      <c r="X63" s="685"/>
      <c r="Y63" s="685"/>
      <c r="Z63" s="685"/>
      <c r="AA63" s="1887"/>
      <c r="AB63" s="1887"/>
      <c r="AC63" s="763"/>
      <c r="AD63" s="685"/>
      <c r="AE63" s="763"/>
      <c r="AF63" s="115"/>
      <c r="AG63" s="115"/>
      <c r="AH63" s="766"/>
      <c r="AI63" s="766"/>
      <c r="AJ63" s="766"/>
      <c r="AK63" s="766"/>
      <c r="AL63" s="809"/>
      <c r="AM63" s="809"/>
      <c r="AN63" s="685"/>
      <c r="AO63" s="685"/>
      <c r="AP63" s="685"/>
      <c r="AQ63" s="685"/>
      <c r="AR63" s="685"/>
      <c r="AS63" s="685"/>
      <c r="AT63" s="1859"/>
      <c r="AU63" s="1859"/>
      <c r="AV63" s="1859"/>
      <c r="AW63" s="685"/>
      <c r="AX63" s="685"/>
      <c r="AY63" s="685"/>
      <c r="AZ63" s="685"/>
      <c r="BA63" s="685"/>
      <c r="BB63" s="685"/>
      <c r="BC63" s="685"/>
      <c r="BN63" s="765"/>
      <c r="BO63" s="685"/>
      <c r="BP63" s="1859"/>
      <c r="BR63" s="1859"/>
      <c r="BS63" s="685"/>
      <c r="BU63" s="763"/>
    </row>
    <row r="64" spans="1:73">
      <c r="A64" s="763"/>
      <c r="B64" s="685" t="s">
        <v>1076</v>
      </c>
      <c r="C64" s="790">
        <v>20.346414062500006</v>
      </c>
      <c r="D64" s="790">
        <v>20.015915384615386</v>
      </c>
      <c r="E64" s="790">
        <v>20.040057575757579</v>
      </c>
      <c r="F64" s="790">
        <v>20.749160606060602</v>
      </c>
      <c r="G64" s="790">
        <v>20.501793749999983</v>
      </c>
      <c r="H64" s="790">
        <v>20.030058461538459</v>
      </c>
      <c r="I64" s="790">
        <v>20.23374545454546</v>
      </c>
      <c r="J64" s="790">
        <v>19.670035384615385</v>
      </c>
      <c r="K64" s="790">
        <v>18.651975384615387</v>
      </c>
      <c r="L64" s="790">
        <v>17.673632307692309</v>
      </c>
      <c r="M64" s="790">
        <v>17.07</v>
      </c>
      <c r="N64" s="1007">
        <v>17.55</v>
      </c>
      <c r="O64" s="1007">
        <f>Interims!BT199</f>
        <v>16.97</v>
      </c>
      <c r="P64" s="1007">
        <f>Interims!BU199</f>
        <v>17.25</v>
      </c>
      <c r="Q64" s="1007">
        <f>Interims!BV199</f>
        <v>18.920000000000002</v>
      </c>
      <c r="R64" s="1007">
        <f>Interims!BW199</f>
        <v>20.059999999999999</v>
      </c>
      <c r="S64" s="1007">
        <f>Interims!BY199</f>
        <v>20.43</v>
      </c>
      <c r="T64" s="1007">
        <f>Interims!BZ199</f>
        <v>19.489999999999998</v>
      </c>
      <c r="U64" s="1007">
        <f>Interims!CA199</f>
        <v>18.600000000000001</v>
      </c>
      <c r="V64" s="1007">
        <f>Interims!CB199</f>
        <v>18.3</v>
      </c>
      <c r="W64" s="1007">
        <f>Interims!CD199</f>
        <v>17.567</v>
      </c>
      <c r="X64" s="1007">
        <f>Interims!CE199</f>
        <v>17.399999999999999</v>
      </c>
      <c r="Y64" s="1007">
        <f>Interims!CF199</f>
        <v>17.3</v>
      </c>
      <c r="Z64" s="1007">
        <f>Interims!CG199</f>
        <v>17.192999999999994</v>
      </c>
      <c r="AA64" s="1887"/>
      <c r="AB64" s="1887"/>
      <c r="AC64" s="763"/>
      <c r="AD64" s="763"/>
      <c r="AE64" s="685"/>
      <c r="AF64" s="115"/>
      <c r="AG64" s="115"/>
      <c r="AH64" s="763"/>
      <c r="AI64" s="763"/>
      <c r="AJ64" s="763"/>
      <c r="AK64" s="763"/>
      <c r="AL64" s="685"/>
      <c r="AM64" s="685"/>
      <c r="AN64" s="685"/>
      <c r="AO64" s="685"/>
      <c r="AP64" s="685"/>
      <c r="AQ64" s="685"/>
      <c r="AR64" s="685"/>
      <c r="AS64" s="685"/>
      <c r="AT64" s="1859"/>
      <c r="AU64" s="1859"/>
      <c r="AV64" s="1859"/>
      <c r="AW64" s="685"/>
      <c r="AX64" s="685"/>
      <c r="AY64" s="685"/>
      <c r="AZ64" s="685"/>
      <c r="BA64" s="685"/>
      <c r="BB64" s="685"/>
      <c r="BC64" s="685"/>
      <c r="BN64" s="763"/>
      <c r="BO64" s="1007">
        <v>17.55</v>
      </c>
      <c r="BP64" s="1878">
        <v>19.489999999999998</v>
      </c>
      <c r="BR64" s="1878">
        <v>18.600000000000001</v>
      </c>
      <c r="BS64" s="1007"/>
      <c r="BU64" s="763"/>
    </row>
    <row r="65" spans="1:73">
      <c r="A65" s="763"/>
      <c r="B65" s="685"/>
      <c r="C65" s="790"/>
      <c r="D65" s="790"/>
      <c r="E65" s="790"/>
      <c r="F65" s="790"/>
      <c r="G65" s="790"/>
      <c r="H65" s="790"/>
      <c r="I65" s="790"/>
      <c r="J65" s="790"/>
      <c r="K65" s="790"/>
      <c r="L65" s="790"/>
      <c r="M65" s="790"/>
      <c r="N65" s="1007"/>
      <c r="O65" s="1007"/>
      <c r="P65" s="1007"/>
      <c r="Q65" s="1007"/>
      <c r="R65" s="1007"/>
      <c r="S65" s="1007"/>
      <c r="T65" s="1007"/>
      <c r="U65" s="1007"/>
      <c r="V65" s="1007"/>
      <c r="W65" s="1007"/>
      <c r="X65" s="1007"/>
      <c r="Y65" s="1007"/>
      <c r="Z65" s="1007"/>
      <c r="AA65" s="1887"/>
      <c r="AB65" s="1887"/>
      <c r="AC65" s="763"/>
      <c r="AD65" s="763"/>
      <c r="AE65" s="685"/>
      <c r="AF65" s="115"/>
      <c r="AG65" s="115"/>
      <c r="AH65" s="763"/>
      <c r="AI65" s="763"/>
      <c r="AJ65" s="763"/>
      <c r="AK65" s="763"/>
      <c r="AL65" s="685"/>
      <c r="AM65" s="685"/>
      <c r="AN65" s="685"/>
      <c r="AO65" s="685"/>
      <c r="AP65" s="685"/>
      <c r="AQ65" s="685"/>
      <c r="AR65" s="685"/>
      <c r="AS65" s="685"/>
      <c r="AT65" s="1859"/>
      <c r="AU65" s="1859"/>
      <c r="AV65" s="1859"/>
      <c r="AW65" s="685"/>
      <c r="AX65" s="685"/>
      <c r="AY65" s="685"/>
      <c r="AZ65" s="685"/>
      <c r="BA65" s="685"/>
      <c r="BB65" s="685"/>
      <c r="BC65" s="685"/>
      <c r="BN65" s="763"/>
      <c r="BO65" s="1007"/>
      <c r="BP65" s="1878"/>
      <c r="BR65" s="1878"/>
      <c r="BS65" s="1007"/>
      <c r="BU65" s="763"/>
    </row>
    <row r="66" spans="1:73">
      <c r="A66" s="763"/>
      <c r="B66" s="788" t="s">
        <v>1077</v>
      </c>
      <c r="C66" s="790"/>
      <c r="D66" s="790"/>
      <c r="E66" s="790"/>
      <c r="F66" s="790"/>
      <c r="G66" s="790"/>
      <c r="H66" s="790"/>
      <c r="I66" s="790"/>
      <c r="J66" s="790"/>
      <c r="K66" s="790"/>
      <c r="L66" s="790"/>
      <c r="M66" s="813"/>
      <c r="N66" s="813"/>
      <c r="O66" s="813"/>
      <c r="P66" s="790"/>
      <c r="Q66" s="790"/>
      <c r="R66" s="790"/>
      <c r="S66" s="790"/>
      <c r="T66" s="790"/>
      <c r="U66" s="790"/>
      <c r="V66" s="790"/>
      <c r="W66" s="790"/>
      <c r="X66" s="790"/>
      <c r="Y66" s="790"/>
      <c r="Z66" s="790"/>
      <c r="AA66" s="1887"/>
      <c r="AB66" s="1887"/>
      <c r="AC66" s="763"/>
      <c r="AD66" s="763"/>
      <c r="AE66" s="685"/>
      <c r="AF66" s="115"/>
      <c r="AG66" s="115"/>
      <c r="AH66" s="763"/>
      <c r="AI66" s="763"/>
      <c r="AJ66" s="763"/>
      <c r="AK66" s="763"/>
      <c r="AL66" s="685"/>
      <c r="AM66" s="685"/>
      <c r="AN66" s="685"/>
      <c r="AO66" s="685"/>
      <c r="AP66" s="685"/>
      <c r="AQ66" s="685"/>
      <c r="AR66" s="685"/>
      <c r="AS66" s="685"/>
      <c r="AT66" s="1859"/>
      <c r="AU66" s="1859"/>
      <c r="AV66" s="1859"/>
      <c r="AW66" s="685"/>
      <c r="AX66" s="685"/>
      <c r="AY66" s="685"/>
      <c r="AZ66" s="685"/>
      <c r="BA66" s="685"/>
      <c r="BB66" s="685"/>
      <c r="BC66" s="685"/>
      <c r="BN66" s="763"/>
      <c r="BO66" s="813"/>
      <c r="BP66" s="1879"/>
      <c r="BR66" s="1879"/>
      <c r="BS66" s="790"/>
      <c r="BU66" s="763"/>
    </row>
    <row r="67" spans="1:73">
      <c r="A67" s="763"/>
      <c r="B67" s="749" t="s">
        <v>85</v>
      </c>
      <c r="C67" s="790"/>
      <c r="D67" s="790"/>
      <c r="E67" s="790"/>
      <c r="F67" s="790"/>
      <c r="G67" s="796">
        <f t="shared" ref="G67:P70" si="81">G24*G$64/C$64</f>
        <v>299.26810321689788</v>
      </c>
      <c r="H67" s="796">
        <f t="shared" si="81"/>
        <v>348.94638847778435</v>
      </c>
      <c r="I67" s="796">
        <f t="shared" si="81"/>
        <v>385.89397677590904</v>
      </c>
      <c r="J67" s="796">
        <f t="shared" si="81"/>
        <v>464.80040962524305</v>
      </c>
      <c r="K67" s="796">
        <f t="shared" si="81"/>
        <v>301.86263251308878</v>
      </c>
      <c r="L67" s="796">
        <f t="shared" si="81"/>
        <v>376.05991535183512</v>
      </c>
      <c r="M67" s="796">
        <f t="shared" si="81"/>
        <v>400.05415795035464</v>
      </c>
      <c r="N67" s="796">
        <f t="shared" si="81"/>
        <v>478.31917004881223</v>
      </c>
      <c r="O67" s="796">
        <f t="shared" si="81"/>
        <v>372.2086726388394</v>
      </c>
      <c r="P67" s="796">
        <f t="shared" si="81"/>
        <v>447.31466980667682</v>
      </c>
      <c r="Q67" s="796">
        <f t="shared" ref="Q67:W70" si="82">Q24*Q$64/M$64</f>
        <v>501.20820152314002</v>
      </c>
      <c r="R67" s="796">
        <f t="shared" si="82"/>
        <v>581.45424501424498</v>
      </c>
      <c r="S67" s="796">
        <f t="shared" si="82"/>
        <v>378.74354743665288</v>
      </c>
      <c r="T67" s="796">
        <f t="shared" si="82"/>
        <v>445.61484057971012</v>
      </c>
      <c r="U67" s="796">
        <f t="shared" si="82"/>
        <v>431.9682875264271</v>
      </c>
      <c r="V67" s="796">
        <f t="shared" si="82"/>
        <v>497.73080757726831</v>
      </c>
      <c r="W67" s="796">
        <f t="shared" si="82"/>
        <v>315.82766030347534</v>
      </c>
      <c r="X67" s="796"/>
      <c r="Y67" s="796"/>
      <c r="Z67" s="796"/>
      <c r="AA67" s="1887"/>
      <c r="AB67" s="1887"/>
      <c r="AC67" s="763"/>
      <c r="AD67" s="763"/>
      <c r="AE67" s="685"/>
      <c r="AF67" s="115"/>
      <c r="AG67" s="115"/>
      <c r="AH67" s="763"/>
      <c r="AI67" s="763"/>
      <c r="AJ67" s="763"/>
      <c r="AK67" s="763"/>
      <c r="AL67" s="685"/>
      <c r="AM67" s="685"/>
      <c r="AN67" s="685"/>
      <c r="AO67" s="685"/>
      <c r="AP67" s="685"/>
      <c r="AQ67" s="685"/>
      <c r="AR67" s="685"/>
      <c r="AS67" s="685"/>
      <c r="AT67" s="1859"/>
      <c r="AU67" s="1859"/>
      <c r="AV67" s="1859"/>
      <c r="AW67" s="685"/>
      <c r="AX67" s="685"/>
      <c r="AY67" s="685"/>
      <c r="AZ67" s="685"/>
      <c r="BA67" s="685"/>
      <c r="BB67" s="685"/>
      <c r="BC67" s="685"/>
      <c r="BN67" s="1008">
        <f>N67/BO67-1</f>
        <v>3.2236364585019883E-2</v>
      </c>
      <c r="BO67" s="796">
        <v>463.38143710050974</v>
      </c>
      <c r="BP67" s="1880"/>
      <c r="BR67" s="1880">
        <v>0</v>
      </c>
      <c r="BS67" s="796"/>
      <c r="BU67" s="763"/>
    </row>
    <row r="68" spans="1:73">
      <c r="A68" s="763"/>
      <c r="B68" s="808" t="str">
        <f>B25</f>
        <v>Advertising</v>
      </c>
      <c r="C68" s="685"/>
      <c r="D68" s="685"/>
      <c r="E68" s="685"/>
      <c r="F68" s="685"/>
      <c r="G68" s="796">
        <f t="shared" si="81"/>
        <v>178.35169787673715</v>
      </c>
      <c r="H68" s="796">
        <f t="shared" si="81"/>
        <v>221.05608607611862</v>
      </c>
      <c r="I68" s="796">
        <f t="shared" si="81"/>
        <v>264.33030643624539</v>
      </c>
      <c r="J68" s="796">
        <f t="shared" si="81"/>
        <v>337.10590589993154</v>
      </c>
      <c r="K68" s="796">
        <f t="shared" si="81"/>
        <v>190.14252620625544</v>
      </c>
      <c r="L68" s="796">
        <f t="shared" si="81"/>
        <v>251.38308278680859</v>
      </c>
      <c r="M68" s="796">
        <f t="shared" si="81"/>
        <v>268.27756690892619</v>
      </c>
      <c r="N68" s="796">
        <f t="shared" si="81"/>
        <v>350.46403655134014</v>
      </c>
      <c r="O68" s="796">
        <f t="shared" si="81"/>
        <v>226.09106612259009</v>
      </c>
      <c r="P68" s="796">
        <f t="shared" si="81"/>
        <v>314.8673630365131</v>
      </c>
      <c r="Q68" s="796">
        <f t="shared" si="82"/>
        <v>350.35805506736972</v>
      </c>
      <c r="R68" s="796">
        <f t="shared" si="82"/>
        <v>431.37572649572644</v>
      </c>
      <c r="S68" s="796">
        <f t="shared" si="82"/>
        <v>252.09440188568064</v>
      </c>
      <c r="T68" s="796">
        <f t="shared" si="82"/>
        <v>324.3813913043478</v>
      </c>
      <c r="U68" s="796">
        <f t="shared" si="82"/>
        <v>321.46934460887951</v>
      </c>
      <c r="V68" s="796">
        <f t="shared" si="82"/>
        <v>395.10119641076773</v>
      </c>
      <c r="W68" s="796">
        <f t="shared" si="82"/>
        <v>202.66969652471857</v>
      </c>
      <c r="X68" s="796"/>
      <c r="Y68" s="796"/>
      <c r="Z68" s="796"/>
      <c r="AA68" s="1887"/>
      <c r="AB68" s="1887"/>
      <c r="AC68" s="763"/>
      <c r="AD68" s="763"/>
      <c r="AE68" s="685"/>
      <c r="AF68" s="115"/>
      <c r="AG68" s="115"/>
      <c r="AH68" s="763"/>
      <c r="AI68" s="763"/>
      <c r="AJ68" s="763"/>
      <c r="AK68" s="763"/>
      <c r="AL68" s="685"/>
      <c r="AM68" s="685"/>
      <c r="AN68" s="685"/>
      <c r="AO68" s="685"/>
      <c r="AP68" s="685"/>
      <c r="AQ68" s="685"/>
      <c r="AR68" s="685"/>
      <c r="AS68" s="685"/>
      <c r="AT68" s="1859"/>
      <c r="AU68" s="1859"/>
      <c r="AV68" s="1859"/>
      <c r="AW68" s="685"/>
      <c r="AX68" s="685"/>
      <c r="AY68" s="685"/>
      <c r="AZ68" s="685"/>
      <c r="BA68" s="685"/>
      <c r="BB68" s="685"/>
      <c r="BC68" s="685"/>
      <c r="BN68" s="763"/>
      <c r="BO68" s="796"/>
      <c r="BP68" s="1880">
        <v>327.65797101449272</v>
      </c>
      <c r="BR68" s="1880"/>
      <c r="BS68" s="796"/>
      <c r="BU68" s="763"/>
    </row>
    <row r="69" spans="1:73">
      <c r="A69" s="763"/>
      <c r="B69" s="808" t="str">
        <f>B26</f>
        <v>Subscription &amp; Licensing</v>
      </c>
      <c r="C69" s="685"/>
      <c r="D69" s="685"/>
      <c r="E69" s="685"/>
      <c r="F69" s="685"/>
      <c r="G69" s="796">
        <f t="shared" si="81"/>
        <v>97.740760983296624</v>
      </c>
      <c r="H69" s="796">
        <f t="shared" si="81"/>
        <v>100.87122442948282</v>
      </c>
      <c r="I69" s="796">
        <f t="shared" si="81"/>
        <v>104.19743171971169</v>
      </c>
      <c r="J69" s="796">
        <f t="shared" si="81"/>
        <v>104.56350230810587</v>
      </c>
      <c r="K69" s="796">
        <f t="shared" si="81"/>
        <v>100.07501379276601</v>
      </c>
      <c r="L69" s="796">
        <f t="shared" si="81"/>
        <v>113.38268212743034</v>
      </c>
      <c r="M69" s="796">
        <f t="shared" si="81"/>
        <v>120.89363313851925</v>
      </c>
      <c r="N69" s="796">
        <f t="shared" si="81"/>
        <v>109.11851239874976</v>
      </c>
      <c r="O69" s="796">
        <f t="shared" si="81"/>
        <v>133.65302862538624</v>
      </c>
      <c r="P69" s="796">
        <f t="shared" si="81"/>
        <v>121.12535571243419</v>
      </c>
      <c r="Q69" s="796">
        <f t="shared" si="82"/>
        <v>140.32056239015816</v>
      </c>
      <c r="R69" s="796">
        <f t="shared" si="82"/>
        <v>136.24797720797721</v>
      </c>
      <c r="S69" s="796">
        <f t="shared" si="82"/>
        <v>113.16558632881556</v>
      </c>
      <c r="T69" s="796">
        <f t="shared" si="82"/>
        <v>107.33623188405797</v>
      </c>
      <c r="U69" s="796">
        <f t="shared" si="82"/>
        <v>103.02748414376322</v>
      </c>
      <c r="V69" s="796">
        <f t="shared" si="82"/>
        <v>95.787637088733803</v>
      </c>
      <c r="W69" s="796">
        <f t="shared" si="82"/>
        <v>103.52749877630936</v>
      </c>
      <c r="X69" s="796"/>
      <c r="Y69" s="796"/>
      <c r="Z69" s="796"/>
      <c r="AA69" s="1887"/>
      <c r="AB69" s="1887"/>
      <c r="AC69" s="763"/>
      <c r="AD69" s="763"/>
      <c r="AE69" s="685"/>
      <c r="AF69" s="115"/>
      <c r="AG69" s="115"/>
      <c r="AH69" s="763"/>
      <c r="AI69" s="763"/>
      <c r="AJ69" s="763"/>
      <c r="AK69" s="763"/>
      <c r="AL69" s="685"/>
      <c r="AM69" s="685"/>
      <c r="AN69" s="685"/>
      <c r="AO69" s="685"/>
      <c r="AP69" s="685"/>
      <c r="AQ69" s="685"/>
      <c r="AR69" s="685"/>
      <c r="AS69" s="685"/>
      <c r="AT69" s="1859"/>
      <c r="AU69" s="1859"/>
      <c r="AV69" s="1859"/>
      <c r="AW69" s="685"/>
      <c r="AX69" s="685"/>
      <c r="AY69" s="685"/>
      <c r="AZ69" s="685"/>
      <c r="BA69" s="685"/>
      <c r="BB69" s="685"/>
      <c r="BC69" s="685"/>
      <c r="BN69" s="763"/>
      <c r="BO69" s="796"/>
      <c r="BP69" s="1880"/>
      <c r="BR69" s="1880"/>
      <c r="BS69" s="796"/>
      <c r="BU69" s="763"/>
    </row>
    <row r="70" spans="1:73">
      <c r="A70" s="763"/>
      <c r="B70" s="808" t="str">
        <f>B27</f>
        <v>Other</v>
      </c>
      <c r="C70" s="685"/>
      <c r="D70" s="685"/>
      <c r="E70" s="685"/>
      <c r="F70" s="685"/>
      <c r="G70" s="796">
        <f t="shared" si="81"/>
        <v>17.129824089856111</v>
      </c>
      <c r="H70" s="796">
        <f t="shared" si="81"/>
        <v>27.019077972182899</v>
      </c>
      <c r="I70" s="796">
        <f t="shared" si="81"/>
        <v>17.366238619951947</v>
      </c>
      <c r="J70" s="796">
        <f t="shared" si="81"/>
        <v>23.131001417205646</v>
      </c>
      <c r="K70" s="796">
        <f t="shared" si="81"/>
        <v>11.645092514067318</v>
      </c>
      <c r="L70" s="796">
        <f t="shared" si="81"/>
        <v>11.294150437596175</v>
      </c>
      <c r="M70" s="796">
        <f t="shared" si="81"/>
        <v>10.882957902909268</v>
      </c>
      <c r="N70" s="796">
        <f t="shared" si="81"/>
        <v>18.73662109872236</v>
      </c>
      <c r="O70" s="796">
        <f t="shared" si="81"/>
        <v>12.464577890863113</v>
      </c>
      <c r="P70" s="796">
        <f t="shared" si="81"/>
        <v>11.321951057729546</v>
      </c>
      <c r="Q70" s="796">
        <f t="shared" si="82"/>
        <v>10.529584065612186</v>
      </c>
      <c r="R70" s="796">
        <f t="shared" si="82"/>
        <v>13.830541310541308</v>
      </c>
      <c r="S70" s="796">
        <f t="shared" si="82"/>
        <v>13.483559222156746</v>
      </c>
      <c r="T70" s="796">
        <f t="shared" si="82"/>
        <v>13.897217391304348</v>
      </c>
      <c r="U70" s="796">
        <f t="shared" si="82"/>
        <v>7.471458773784355</v>
      </c>
      <c r="V70" s="796">
        <f t="shared" si="82"/>
        <v>6.8419740777667002</v>
      </c>
      <c r="W70" s="796">
        <f t="shared" si="82"/>
        <v>9.6304650024473801</v>
      </c>
      <c r="X70" s="796"/>
      <c r="Y70" s="796"/>
      <c r="Z70" s="796"/>
      <c r="AA70" s="1887"/>
      <c r="AB70" s="1887"/>
      <c r="AC70" s="763"/>
      <c r="AD70" s="763"/>
      <c r="AE70" s="685"/>
      <c r="AF70" s="115"/>
      <c r="AG70" s="115"/>
      <c r="AH70" s="763"/>
      <c r="AI70" s="763"/>
      <c r="AJ70" s="763"/>
      <c r="AK70" s="763"/>
      <c r="AL70" s="685"/>
      <c r="AM70" s="685"/>
      <c r="AN70" s="685"/>
      <c r="AO70" s="685"/>
      <c r="AP70" s="685"/>
      <c r="AQ70" s="685"/>
      <c r="AR70" s="685"/>
      <c r="AS70" s="685"/>
      <c r="AT70" s="1859"/>
      <c r="AU70" s="1859"/>
      <c r="AV70" s="1859"/>
      <c r="AW70" s="685"/>
      <c r="AX70" s="685"/>
      <c r="AY70" s="685"/>
      <c r="AZ70" s="685"/>
      <c r="BA70" s="685"/>
      <c r="BB70" s="685"/>
      <c r="BC70" s="685"/>
      <c r="BN70" s="763"/>
      <c r="BO70" s="796"/>
      <c r="BP70" s="1880"/>
      <c r="BR70" s="1880"/>
      <c r="BS70" s="796"/>
      <c r="BU70" s="763"/>
    </row>
    <row r="71" spans="1:73">
      <c r="A71" s="763"/>
      <c r="B71" s="685"/>
      <c r="C71" s="685"/>
      <c r="D71" s="685"/>
      <c r="E71" s="685"/>
      <c r="F71" s="685"/>
      <c r="G71" s="796"/>
      <c r="H71" s="796"/>
      <c r="I71" s="796"/>
      <c r="J71" s="796"/>
      <c r="K71" s="796"/>
      <c r="L71" s="796"/>
      <c r="M71" s="796"/>
      <c r="N71" s="796"/>
      <c r="O71" s="796"/>
      <c r="P71" s="796"/>
      <c r="Q71" s="796"/>
      <c r="R71" s="796"/>
      <c r="S71" s="796"/>
      <c r="T71" s="796"/>
      <c r="U71" s="796"/>
      <c r="V71" s="796"/>
      <c r="W71" s="796"/>
      <c r="X71" s="796"/>
      <c r="Y71" s="796"/>
      <c r="Z71" s="796"/>
      <c r="AA71" s="1880"/>
      <c r="AB71" s="1880"/>
      <c r="AC71" s="763"/>
      <c r="AD71" s="763"/>
      <c r="AE71" s="685"/>
      <c r="AF71" s="115"/>
      <c r="AG71" s="115"/>
      <c r="AH71" s="763"/>
      <c r="AI71" s="763"/>
      <c r="AJ71" s="763"/>
      <c r="AK71" s="763"/>
      <c r="AL71" s="685"/>
      <c r="AM71" s="685"/>
      <c r="AN71" s="685"/>
      <c r="AO71" s="685"/>
      <c r="AP71" s="685"/>
      <c r="AQ71" s="685"/>
      <c r="AR71" s="685"/>
      <c r="AS71" s="685"/>
      <c r="AT71" s="1859"/>
      <c r="AU71" s="1859"/>
      <c r="AV71" s="1859"/>
      <c r="AW71" s="685"/>
      <c r="AX71" s="685"/>
      <c r="AY71" s="685"/>
      <c r="AZ71" s="685"/>
      <c r="BA71" s="685"/>
      <c r="BB71" s="685"/>
      <c r="BC71" s="685"/>
      <c r="BN71" s="763"/>
      <c r="BO71" s="685"/>
      <c r="BP71" s="1880"/>
      <c r="BR71" s="1880"/>
      <c r="BS71" s="796"/>
      <c r="BU71" s="796"/>
    </row>
    <row r="72" spans="1:73">
      <c r="A72" s="763"/>
      <c r="B72" s="749" t="s">
        <v>8089</v>
      </c>
      <c r="C72" s="685"/>
      <c r="D72" s="685"/>
      <c r="E72" s="685"/>
      <c r="F72" s="685"/>
      <c r="G72" s="685"/>
      <c r="H72" s="685"/>
      <c r="I72" s="685"/>
      <c r="J72" s="685"/>
      <c r="K72" s="685"/>
      <c r="L72" s="685"/>
      <c r="M72" s="685"/>
      <c r="N72" s="685"/>
      <c r="O72" s="685"/>
      <c r="P72" s="685"/>
      <c r="Q72" s="685"/>
      <c r="R72" s="685"/>
      <c r="S72" s="685"/>
      <c r="T72" s="685"/>
      <c r="U72" s="685"/>
      <c r="V72" s="685"/>
      <c r="W72" s="685"/>
      <c r="X72" s="685"/>
      <c r="Y72" s="685"/>
      <c r="Z72" s="685"/>
      <c r="AA72" s="1887"/>
      <c r="AB72" s="1887"/>
      <c r="AC72" s="763"/>
      <c r="AD72" s="763"/>
      <c r="AE72" s="685"/>
      <c r="AF72" s="115"/>
      <c r="AG72" s="115"/>
      <c r="AH72" s="763"/>
      <c r="AI72" s="763"/>
      <c r="AJ72" s="763"/>
      <c r="AK72" s="763"/>
      <c r="AL72" s="685"/>
      <c r="AM72" s="685"/>
      <c r="AN72" s="685"/>
      <c r="AO72" s="685"/>
      <c r="AP72" s="685"/>
      <c r="AQ72" s="685"/>
      <c r="AR72" s="685"/>
      <c r="AS72" s="685"/>
      <c r="AT72" s="1859"/>
      <c r="AU72" s="1859"/>
      <c r="AV72" s="1859"/>
      <c r="AW72" s="685"/>
      <c r="AX72" s="685"/>
      <c r="AY72" s="685"/>
      <c r="AZ72" s="685"/>
      <c r="BA72" s="685"/>
      <c r="BB72" s="685"/>
      <c r="BC72" s="685"/>
      <c r="BN72" s="763"/>
      <c r="BO72" s="685"/>
      <c r="BP72" s="1859"/>
      <c r="BR72" s="1859"/>
      <c r="BS72" s="685"/>
      <c r="BU72" s="763"/>
    </row>
    <row r="73" spans="1:73">
      <c r="A73" s="763"/>
      <c r="B73" s="749" t="s">
        <v>85</v>
      </c>
      <c r="C73" s="685"/>
      <c r="D73" s="685"/>
      <c r="E73" s="685"/>
      <c r="F73" s="685"/>
      <c r="G73" s="814">
        <f t="shared" ref="G73:P76" si="83">G67/C24-1</f>
        <v>0.14224466876678576</v>
      </c>
      <c r="H73" s="814">
        <f t="shared" si="83"/>
        <v>0.19871655265470389</v>
      </c>
      <c r="I73" s="814">
        <f t="shared" si="83"/>
        <v>0.11950675014769097</v>
      </c>
      <c r="J73" s="814">
        <f t="shared" si="83"/>
        <v>4.8737386338544741E-2</v>
      </c>
      <c r="K73" s="814">
        <f t="shared" si="83"/>
        <v>1.6372500044069982E-2</v>
      </c>
      <c r="L73" s="814">
        <f t="shared" si="83"/>
        <v>7.8462619305520898E-2</v>
      </c>
      <c r="M73" s="814">
        <f t="shared" si="83"/>
        <v>4.6714175694282156E-2</v>
      </c>
      <c r="N73" s="814">
        <f t="shared" si="83"/>
        <v>-2.4435712729324433E-2</v>
      </c>
      <c r="O73" s="814">
        <f t="shared" si="83"/>
        <v>0.12178623459565818</v>
      </c>
      <c r="P73" s="814">
        <f t="shared" si="83"/>
        <v>4.9541693586759417E-2</v>
      </c>
      <c r="Q73" s="814">
        <f t="shared" ref="Q73:W76" si="84">Q67/M24-1</f>
        <v>5.6955296337283912E-2</v>
      </c>
      <c r="R73" s="814">
        <f t="shared" si="84"/>
        <v>8.4600345111443653E-2</v>
      </c>
      <c r="S73" s="814">
        <f t="shared" si="84"/>
        <v>-7.4203012865673768E-2</v>
      </c>
      <c r="T73" s="814">
        <f t="shared" si="84"/>
        <v>-2.7678724460593274E-2</v>
      </c>
      <c r="U73" s="814">
        <f t="shared" si="84"/>
        <v>-4.4740629087954176E-2</v>
      </c>
      <c r="V73" s="814">
        <f t="shared" si="84"/>
        <v>-2.1563185419169795E-2</v>
      </c>
      <c r="W73" s="814">
        <f t="shared" si="84"/>
        <v>3.9022895851092976E-3</v>
      </c>
      <c r="X73" s="814"/>
      <c r="Y73" s="814"/>
      <c r="Z73" s="814"/>
      <c r="AA73" s="1887"/>
      <c r="AB73" s="1887"/>
      <c r="AC73" s="763"/>
      <c r="AD73" s="763"/>
      <c r="AE73" s="685"/>
      <c r="AF73" s="115"/>
      <c r="AG73" s="115"/>
      <c r="AH73" s="763"/>
      <c r="AI73" s="763"/>
      <c r="AJ73" s="763"/>
      <c r="AK73" s="763"/>
      <c r="AL73" s="685"/>
      <c r="AM73" s="685"/>
      <c r="AN73" s="685"/>
      <c r="AO73" s="685"/>
      <c r="AP73" s="685"/>
      <c r="AQ73" s="685"/>
      <c r="AR73" s="685"/>
      <c r="AS73" s="685"/>
      <c r="AT73" s="1859"/>
      <c r="AU73" s="1859"/>
      <c r="AV73" s="1859"/>
      <c r="AW73" s="685"/>
      <c r="AX73" s="685"/>
      <c r="AY73" s="685"/>
      <c r="AZ73" s="685"/>
      <c r="BA73" s="685"/>
      <c r="BB73" s="685"/>
      <c r="BC73" s="685"/>
      <c r="BN73" s="763"/>
      <c r="BO73" s="814">
        <v>-5.4902229042403161E-2</v>
      </c>
      <c r="BP73" s="1873"/>
      <c r="BR73" s="1873"/>
      <c r="BS73" s="814"/>
      <c r="BU73" s="763"/>
    </row>
    <row r="74" spans="1:73">
      <c r="A74" s="763"/>
      <c r="B74" s="808" t="str">
        <f>B68</f>
        <v>Advertising</v>
      </c>
      <c r="C74" s="685"/>
      <c r="D74" s="685"/>
      <c r="E74" s="685"/>
      <c r="F74" s="685"/>
      <c r="G74" s="814">
        <f t="shared" si="83"/>
        <v>8.0919381071134167E-2</v>
      </c>
      <c r="H74" s="814">
        <f t="shared" si="83"/>
        <v>0.14536832163792024</v>
      </c>
      <c r="I74" s="814">
        <f t="shared" si="83"/>
        <v>9.6806250772802471E-2</v>
      </c>
      <c r="J74" s="814">
        <f t="shared" si="83"/>
        <v>-9.9679709253112092E-3</v>
      </c>
      <c r="K74" s="814">
        <f t="shared" si="83"/>
        <v>7.4251560487318846E-2</v>
      </c>
      <c r="L74" s="814">
        <f t="shared" si="83"/>
        <v>0.13799494244820543</v>
      </c>
      <c r="M74" s="814">
        <f t="shared" si="83"/>
        <v>2.4742425167785242E-2</v>
      </c>
      <c r="N74" s="814">
        <f t="shared" si="83"/>
        <v>-1.4443091812879283E-2</v>
      </c>
      <c r="O74" s="814">
        <f t="shared" si="83"/>
        <v>8.1775435993254098E-2</v>
      </c>
      <c r="P74" s="814">
        <f t="shared" si="83"/>
        <v>0.10518554944371061</v>
      </c>
      <c r="Q74" s="814">
        <f t="shared" si="84"/>
        <v>0.10175489014896133</v>
      </c>
      <c r="R74" s="814">
        <f t="shared" si="84"/>
        <v>9.8207043013560202E-2</v>
      </c>
      <c r="S74" s="814">
        <f t="shared" si="84"/>
        <v>1.4464393906159501E-2</v>
      </c>
      <c r="T74" s="814">
        <f t="shared" si="84"/>
        <v>5.5219817245746317E-3</v>
      </c>
      <c r="U74" s="814">
        <f t="shared" si="84"/>
        <v>1.6986221476999352E-2</v>
      </c>
      <c r="V74" s="814">
        <f t="shared" si="84"/>
        <v>4.6903011157307217E-2</v>
      </c>
      <c r="W74" s="814">
        <f t="shared" si="84"/>
        <v>-3.2140895297428029E-2</v>
      </c>
      <c r="X74" s="814"/>
      <c r="Y74" s="814"/>
      <c r="Z74" s="814"/>
      <c r="AA74" s="1887"/>
      <c r="AB74" s="1887"/>
      <c r="AC74" s="763"/>
      <c r="AD74" s="763"/>
      <c r="AE74" s="685"/>
      <c r="AF74" s="115"/>
      <c r="AG74" s="115"/>
      <c r="AH74" s="763"/>
      <c r="AI74" s="763"/>
      <c r="AJ74" s="763"/>
      <c r="AK74" s="763"/>
      <c r="AL74" s="685"/>
      <c r="AM74" s="685"/>
      <c r="AN74" s="685"/>
      <c r="AO74" s="685"/>
      <c r="AP74" s="685"/>
      <c r="AQ74" s="685"/>
      <c r="AR74" s="685"/>
      <c r="AS74" s="685"/>
      <c r="AT74" s="1859"/>
      <c r="AU74" s="1859"/>
      <c r="AV74" s="1859"/>
      <c r="AW74" s="685"/>
      <c r="AX74" s="685"/>
      <c r="AY74" s="685"/>
      <c r="AZ74" s="685"/>
      <c r="BA74" s="685"/>
      <c r="BB74" s="685"/>
      <c r="BC74" s="685"/>
      <c r="BN74" s="763"/>
      <c r="BO74" s="685"/>
      <c r="BP74" s="1873">
        <v>1.5678769418762117E-2</v>
      </c>
      <c r="BR74" s="1873"/>
      <c r="BS74" s="814"/>
      <c r="BU74" s="763"/>
    </row>
    <row r="75" spans="1:73">
      <c r="A75" s="763"/>
      <c r="B75" s="808" t="str">
        <f>B69</f>
        <v>Subscription &amp; Licensing</v>
      </c>
      <c r="C75" s="685"/>
      <c r="D75" s="685"/>
      <c r="E75" s="685"/>
      <c r="F75" s="685"/>
      <c r="G75" s="814">
        <f t="shared" si="83"/>
        <v>0.12345702279651283</v>
      </c>
      <c r="H75" s="814">
        <f t="shared" si="83"/>
        <v>9.8815080931185406E-2</v>
      </c>
      <c r="I75" s="814">
        <f t="shared" si="83"/>
        <v>0.15008202781138724</v>
      </c>
      <c r="J75" s="814">
        <f t="shared" si="83"/>
        <v>0.14152295096185452</v>
      </c>
      <c r="K75" s="814">
        <f t="shared" si="83"/>
        <v>3.1701173121299053E-2</v>
      </c>
      <c r="L75" s="814">
        <f t="shared" si="83"/>
        <v>0.12482819570863435</v>
      </c>
      <c r="M75" s="814">
        <f t="shared" si="83"/>
        <v>0.17144993351278348</v>
      </c>
      <c r="N75" s="814">
        <f t="shared" si="83"/>
        <v>-1.0711582966910549E-2</v>
      </c>
      <c r="O75" s="814">
        <f t="shared" si="83"/>
        <v>0.21502753295805666</v>
      </c>
      <c r="P75" s="814">
        <f t="shared" si="83"/>
        <v>-5.7390227918800107E-2</v>
      </c>
      <c r="Q75" s="814">
        <f t="shared" si="84"/>
        <v>-2.0791609280124579E-2</v>
      </c>
      <c r="R75" s="814">
        <f t="shared" si="84"/>
        <v>0.11404723800471972</v>
      </c>
      <c r="S75" s="814">
        <f t="shared" si="84"/>
        <v>-0.22964202635251496</v>
      </c>
      <c r="T75" s="814">
        <f t="shared" si="84"/>
        <v>-0.13508274066029036</v>
      </c>
      <c r="U75" s="814">
        <f t="shared" si="84"/>
        <v>-0.18619680771119096</v>
      </c>
      <c r="V75" s="814">
        <f t="shared" si="84"/>
        <v>-0.19641244053075668</v>
      </c>
      <c r="W75" s="814">
        <f t="shared" si="84"/>
        <v>0.10135636996073782</v>
      </c>
      <c r="X75" s="814"/>
      <c r="Y75" s="814"/>
      <c r="Z75" s="814"/>
      <c r="AA75" s="1887"/>
      <c r="AB75" s="1887"/>
      <c r="AC75" s="763"/>
      <c r="AD75" s="763"/>
      <c r="AE75" s="685"/>
      <c r="AF75" s="115"/>
      <c r="AG75" s="115"/>
      <c r="AH75" s="763"/>
      <c r="AI75" s="763"/>
      <c r="AJ75" s="763"/>
      <c r="AK75" s="763"/>
      <c r="AL75" s="685"/>
      <c r="AM75" s="685"/>
      <c r="AN75" s="685"/>
      <c r="AO75" s="685"/>
      <c r="AP75" s="685"/>
      <c r="AQ75" s="685"/>
      <c r="AR75" s="685"/>
      <c r="AS75" s="685"/>
      <c r="AT75" s="1859"/>
      <c r="AU75" s="1859"/>
      <c r="AV75" s="1859"/>
      <c r="AW75" s="685"/>
      <c r="AX75" s="685"/>
      <c r="AY75" s="685"/>
      <c r="AZ75" s="685"/>
      <c r="BA75" s="685"/>
      <c r="BB75" s="685"/>
      <c r="BC75" s="685"/>
      <c r="BN75" s="763"/>
      <c r="BO75" s="685"/>
      <c r="BP75" s="1873"/>
      <c r="BR75" s="1873"/>
      <c r="BS75" s="814"/>
      <c r="BU75" s="763"/>
    </row>
    <row r="76" spans="1:73">
      <c r="A76" s="763"/>
      <c r="B76" s="808" t="str">
        <f>B70</f>
        <v>Other</v>
      </c>
      <c r="C76" s="685"/>
      <c r="D76" s="685"/>
      <c r="E76" s="685"/>
      <c r="F76" s="685"/>
      <c r="G76" s="814">
        <f t="shared" si="83"/>
        <v>0.71298240898561116</v>
      </c>
      <c r="H76" s="814">
        <f t="shared" si="83"/>
        <v>3.2887425352671267</v>
      </c>
      <c r="I76" s="814">
        <f t="shared" si="83"/>
        <v>0.32566707022533947</v>
      </c>
      <c r="J76" s="814">
        <f t="shared" si="83"/>
        <v>1.0838740015500581</v>
      </c>
      <c r="K76" s="814">
        <f t="shared" si="83"/>
        <v>-0.31499455799604004</v>
      </c>
      <c r="L76" s="814">
        <f t="shared" si="83"/>
        <v>-0.58169813194088249</v>
      </c>
      <c r="M76" s="814">
        <f t="shared" si="83"/>
        <v>-0.36726988936574023</v>
      </c>
      <c r="N76" s="814">
        <f t="shared" si="83"/>
        <v>-0.23210569267531311</v>
      </c>
      <c r="O76" s="814">
        <f t="shared" si="83"/>
        <v>-2.6204852276319301E-2</v>
      </c>
      <c r="P76" s="814">
        <f t="shared" si="83"/>
        <v>-0.11547257361487928</v>
      </c>
      <c r="Q76" s="814">
        <f t="shared" si="84"/>
        <v>-0.18375317320835771</v>
      </c>
      <c r="R76" s="814">
        <f t="shared" si="84"/>
        <v>-0.34140279473612822</v>
      </c>
      <c r="S76" s="814">
        <f t="shared" si="84"/>
        <v>-1.5798596922865227E-2</v>
      </c>
      <c r="T76" s="814">
        <f t="shared" si="84"/>
        <v>0.19803598200899564</v>
      </c>
      <c r="U76" s="814">
        <f t="shared" si="84"/>
        <v>-0.21353065539112048</v>
      </c>
      <c r="V76" s="814">
        <f t="shared" si="84"/>
        <v>-0.43454759687878508</v>
      </c>
      <c r="W76" s="814">
        <f t="shared" si="84"/>
        <v>-0.14013705335291249</v>
      </c>
      <c r="X76" s="814"/>
      <c r="Y76" s="814"/>
      <c r="Z76" s="814"/>
      <c r="AA76" s="1887"/>
      <c r="AB76" s="1887"/>
      <c r="AC76" s="763"/>
      <c r="AD76" s="763"/>
      <c r="AE76" s="685"/>
      <c r="AF76" s="115"/>
      <c r="AG76" s="115"/>
      <c r="AH76" s="763"/>
      <c r="AI76" s="763"/>
      <c r="AJ76" s="763"/>
      <c r="AK76" s="763"/>
      <c r="AL76" s="685"/>
      <c r="AM76" s="685"/>
      <c r="AN76" s="685"/>
      <c r="AO76" s="685"/>
      <c r="AP76" s="685"/>
      <c r="AQ76" s="685"/>
      <c r="AR76" s="685"/>
      <c r="AS76" s="685"/>
      <c r="AT76" s="1859"/>
      <c r="AU76" s="1859"/>
      <c r="AV76" s="1859"/>
      <c r="AW76" s="685"/>
      <c r="AX76" s="685"/>
      <c r="AY76" s="685"/>
      <c r="AZ76" s="685"/>
      <c r="BA76" s="685"/>
      <c r="BB76" s="685"/>
      <c r="BC76" s="685"/>
      <c r="BN76" s="763"/>
      <c r="BO76" s="685"/>
      <c r="BP76" s="1873"/>
      <c r="BR76" s="1873"/>
      <c r="BS76" s="814"/>
      <c r="BU76" s="763"/>
    </row>
    <row r="77" spans="1:73">
      <c r="A77" s="763"/>
      <c r="B77" s="685"/>
      <c r="C77" s="685"/>
      <c r="D77" s="685"/>
      <c r="E77" s="685"/>
      <c r="F77" s="685"/>
      <c r="G77" s="685"/>
      <c r="H77" s="685"/>
      <c r="I77" s="685"/>
      <c r="J77" s="685"/>
      <c r="K77" s="685"/>
      <c r="L77" s="685"/>
      <c r="M77" s="685"/>
      <c r="N77" s="685"/>
      <c r="O77" s="685"/>
      <c r="P77" s="685"/>
      <c r="Q77" s="685"/>
      <c r="R77" s="685"/>
      <c r="S77" s="685"/>
      <c r="T77" s="685"/>
      <c r="U77" s="685"/>
      <c r="V77" s="685"/>
      <c r="W77" s="685"/>
      <c r="X77" s="685"/>
      <c r="Y77" s="685"/>
      <c r="Z77" s="685"/>
      <c r="AA77" s="1887"/>
      <c r="AB77" s="1887"/>
      <c r="AC77" s="763"/>
      <c r="AD77" s="763"/>
      <c r="AE77" s="685"/>
      <c r="AF77" s="115"/>
      <c r="AG77" s="115"/>
      <c r="AH77" s="763"/>
      <c r="AI77" s="763"/>
      <c r="AJ77" s="763"/>
      <c r="AK77" s="763"/>
      <c r="AL77" s="685"/>
      <c r="AM77" s="685"/>
      <c r="AN77" s="685"/>
      <c r="AO77" s="685"/>
      <c r="AP77" s="685"/>
      <c r="AQ77" s="685"/>
      <c r="AR77" s="685"/>
      <c r="AS77" s="685"/>
      <c r="AT77" s="1859"/>
      <c r="AU77" s="1859"/>
      <c r="AV77" s="1859"/>
      <c r="AW77" s="685"/>
      <c r="AX77" s="685"/>
      <c r="AY77" s="685"/>
      <c r="AZ77" s="685"/>
      <c r="BA77" s="685"/>
      <c r="BB77" s="685"/>
      <c r="BC77" s="685"/>
      <c r="BN77" s="763"/>
      <c r="BO77" s="685"/>
      <c r="BP77" s="1859"/>
      <c r="BR77" s="1859"/>
      <c r="BS77" s="685"/>
      <c r="BU77" s="763"/>
    </row>
    <row r="78" spans="1:73">
      <c r="A78" s="763"/>
      <c r="B78" s="788" t="s">
        <v>1078</v>
      </c>
      <c r="C78" s="685"/>
      <c r="D78" s="685"/>
      <c r="E78" s="685"/>
      <c r="F78" s="685"/>
      <c r="G78" s="685"/>
      <c r="H78" s="685"/>
      <c r="I78" s="685"/>
      <c r="J78" s="685"/>
      <c r="K78" s="685"/>
      <c r="L78" s="685"/>
      <c r="M78" s="685"/>
      <c r="N78" s="685"/>
      <c r="O78" s="685"/>
      <c r="P78" s="685"/>
      <c r="Q78" s="685"/>
      <c r="R78" s="685"/>
      <c r="S78" s="685"/>
      <c r="T78" s="685"/>
      <c r="U78" s="685"/>
      <c r="V78" s="685"/>
      <c r="W78" s="685"/>
      <c r="X78" s="685"/>
      <c r="Y78" s="685"/>
      <c r="Z78" s="685"/>
      <c r="AA78" s="1887"/>
      <c r="AB78" s="1887"/>
      <c r="AC78" s="763"/>
      <c r="AD78" s="763"/>
      <c r="AE78" s="685"/>
      <c r="AF78" s="115"/>
      <c r="AG78" s="115"/>
      <c r="AH78" s="763"/>
      <c r="AI78" s="763"/>
      <c r="AJ78" s="763"/>
      <c r="AK78" s="763"/>
      <c r="AL78" s="685"/>
      <c r="AM78" s="685"/>
      <c r="AN78" s="685"/>
      <c r="AO78" s="685"/>
      <c r="AP78" s="685"/>
      <c r="AQ78" s="685"/>
      <c r="AR78" s="685"/>
      <c r="AS78" s="685"/>
      <c r="AT78" s="1859"/>
      <c r="AU78" s="1859"/>
      <c r="AV78" s="1859"/>
      <c r="AW78" s="685"/>
      <c r="AX78" s="685"/>
      <c r="AY78" s="685"/>
      <c r="AZ78" s="685"/>
      <c r="BA78" s="685"/>
      <c r="BB78" s="685"/>
      <c r="BC78" s="685"/>
      <c r="BN78" s="763"/>
      <c r="BO78" s="685"/>
      <c r="BP78" s="1859"/>
      <c r="BR78" s="1859"/>
      <c r="BS78" s="685"/>
      <c r="BU78" s="763"/>
    </row>
    <row r="79" spans="1:73">
      <c r="A79" s="763"/>
      <c r="B79" s="749" t="str">
        <f>B73</f>
        <v>Total</v>
      </c>
      <c r="C79" s="685"/>
      <c r="D79" s="685"/>
      <c r="E79" s="685"/>
      <c r="F79" s="685"/>
      <c r="G79" s="795">
        <f t="shared" ref="G79:U79" si="85">G19-G24+G67</f>
        <v>1012.8681032168979</v>
      </c>
      <c r="H79" s="795">
        <f t="shared" si="85"/>
        <v>1096.4463884777842</v>
      </c>
      <c r="I79" s="795">
        <f t="shared" si="85"/>
        <v>1155.1939767759091</v>
      </c>
      <c r="J79" s="795">
        <f t="shared" si="85"/>
        <v>1428.000409625243</v>
      </c>
      <c r="K79" s="795">
        <f t="shared" si="85"/>
        <v>1040.9626325130889</v>
      </c>
      <c r="L79" s="795">
        <f t="shared" si="85"/>
        <v>1169.659915351835</v>
      </c>
      <c r="M79" s="795">
        <f t="shared" si="85"/>
        <v>1206.3541579503546</v>
      </c>
      <c r="N79" s="795">
        <f t="shared" si="85"/>
        <v>1299.0191700488122</v>
      </c>
      <c r="O79" s="795">
        <f t="shared" si="85"/>
        <v>1112.1086726388394</v>
      </c>
      <c r="P79" s="795">
        <f t="shared" si="85"/>
        <v>1246.714669806677</v>
      </c>
      <c r="Q79" s="795">
        <f t="shared" si="85"/>
        <v>1353.60820152314</v>
      </c>
      <c r="R79" s="795">
        <f t="shared" si="85"/>
        <v>1416.9542450142449</v>
      </c>
      <c r="S79" s="795">
        <f t="shared" si="85"/>
        <v>1087.8435474366529</v>
      </c>
      <c r="T79" s="795">
        <f t="shared" si="85"/>
        <v>1261.21484057971</v>
      </c>
      <c r="U79" s="795">
        <f t="shared" si="85"/>
        <v>1263.268287526427</v>
      </c>
      <c r="V79" s="795">
        <f>V19-V24+V67</f>
        <v>1274.9308075772685</v>
      </c>
      <c r="W79" s="795">
        <f>W19-W24+W67</f>
        <v>1023.5276603034754</v>
      </c>
      <c r="X79" s="795"/>
      <c r="Y79" s="795"/>
      <c r="Z79" s="795"/>
      <c r="AA79" s="1887"/>
      <c r="AB79" s="1887"/>
      <c r="AC79" s="763"/>
      <c r="AD79" s="763"/>
      <c r="AE79" s="685"/>
      <c r="AF79" s="115"/>
      <c r="AG79" s="115"/>
      <c r="AH79" s="763"/>
      <c r="AI79" s="763"/>
      <c r="AJ79" s="763"/>
      <c r="AK79" s="763"/>
      <c r="AL79" s="685"/>
      <c r="AM79" s="685"/>
      <c r="AN79" s="685"/>
      <c r="AO79" s="685"/>
      <c r="AP79" s="685"/>
      <c r="AQ79" s="685"/>
      <c r="AR79" s="685"/>
      <c r="AS79" s="685"/>
      <c r="AT79" s="1859"/>
      <c r="AU79" s="1859"/>
      <c r="AV79" s="1859"/>
      <c r="AW79" s="685"/>
      <c r="AX79" s="685"/>
      <c r="AY79" s="685"/>
      <c r="AZ79" s="685"/>
      <c r="BA79" s="685"/>
      <c r="BB79" s="685"/>
      <c r="BC79" s="685"/>
      <c r="BN79" s="1008">
        <f>N79/BO79-1</f>
        <v>-6.525911469221779E-2</v>
      </c>
      <c r="BO79" s="795">
        <v>1389.7104432541046</v>
      </c>
      <c r="BP79" s="1856"/>
      <c r="BR79" s="1856">
        <v>1250</v>
      </c>
      <c r="BS79" s="795">
        <v>1294.6079999999999</v>
      </c>
      <c r="BU79" s="763"/>
    </row>
    <row r="80" spans="1:73">
      <c r="A80" s="763"/>
      <c r="B80" s="1905" t="s">
        <v>8090</v>
      </c>
      <c r="C80" s="817"/>
      <c r="D80" s="817"/>
      <c r="E80" s="817"/>
      <c r="F80" s="817"/>
      <c r="G80" s="959">
        <f t="shared" ref="G80:U80" si="86">G79/C19-1</f>
        <v>0.13043315091171648</v>
      </c>
      <c r="H80" s="959">
        <f t="shared" si="86"/>
        <v>0.10618077933594039</v>
      </c>
      <c r="I80" s="959">
        <f t="shared" si="86"/>
        <v>5.1131916993547799E-2</v>
      </c>
      <c r="J80" s="959">
        <f t="shared" si="86"/>
        <v>0.19437973371131068</v>
      </c>
      <c r="K80" s="959">
        <f t="shared" si="86"/>
        <v>3.0044164370758963E-2</v>
      </c>
      <c r="L80" s="959">
        <f t="shared" si="86"/>
        <v>6.7013241517820621E-2</v>
      </c>
      <c r="M80" s="959">
        <f t="shared" si="86"/>
        <v>4.763713239283951E-2</v>
      </c>
      <c r="N80" s="959">
        <f t="shared" si="86"/>
        <v>-0.10628196075073126</v>
      </c>
      <c r="O80" s="959">
        <f t="shared" si="86"/>
        <v>3.8480411465906528E-2</v>
      </c>
      <c r="P80" s="959">
        <f t="shared" si="86"/>
        <v>2.206482194349646E-2</v>
      </c>
      <c r="Q80" s="959">
        <f t="shared" si="86"/>
        <v>5.7093480299211352E-2</v>
      </c>
      <c r="R80" s="959">
        <f t="shared" si="86"/>
        <v>4.4335381054130929E-2</v>
      </c>
      <c r="S80" s="959">
        <f t="shared" si="86"/>
        <v>-5.3225807278805104E-2</v>
      </c>
      <c r="T80" s="959">
        <f t="shared" si="86"/>
        <v>2.7946573743420355E-3</v>
      </c>
      <c r="U80" s="959">
        <f t="shared" si="86"/>
        <v>-3.1681521135653035E-2</v>
      </c>
      <c r="V80" s="959">
        <f>V79/R19-1</f>
        <v>-5.1531909256607333E-2</v>
      </c>
      <c r="W80" s="959">
        <f>W79/S19-1</f>
        <v>-1.6834980611935002E-4</v>
      </c>
      <c r="X80" s="959"/>
      <c r="Y80" s="959"/>
      <c r="Z80" s="959"/>
      <c r="AA80" s="1887"/>
      <c r="AB80" s="1887"/>
      <c r="AC80" s="763"/>
      <c r="AD80" s="763"/>
      <c r="AE80" s="685"/>
      <c r="AF80" s="115"/>
      <c r="AG80" s="115"/>
      <c r="AH80" s="763"/>
      <c r="AI80" s="763"/>
      <c r="AJ80" s="763"/>
      <c r="AK80" s="763"/>
      <c r="AL80" s="685"/>
      <c r="AM80" s="685"/>
      <c r="AN80" s="685"/>
      <c r="AO80" s="685"/>
      <c r="AP80" s="685"/>
      <c r="AQ80" s="685"/>
      <c r="AR80" s="685"/>
      <c r="AS80" s="685"/>
      <c r="AT80" s="1859"/>
      <c r="AU80" s="1859"/>
      <c r="AV80" s="1859"/>
      <c r="AW80" s="685"/>
      <c r="AX80" s="685"/>
      <c r="AY80" s="685"/>
      <c r="AZ80" s="685"/>
      <c r="BA80" s="685"/>
      <c r="BB80" s="685"/>
      <c r="BC80" s="685"/>
      <c r="BN80" s="763"/>
      <c r="BO80" s="814">
        <v>-4.3886863946264509E-2</v>
      </c>
      <c r="BP80" s="1873"/>
      <c r="BR80" s="1906">
        <v>-4.1851908630997969E-2</v>
      </c>
      <c r="BS80" s="959">
        <v>-3.6893319446510975E-2</v>
      </c>
      <c r="BU80" s="763"/>
    </row>
    <row r="81" spans="1:73">
      <c r="A81" s="763"/>
      <c r="B81" s="685"/>
      <c r="C81" s="685"/>
      <c r="D81" s="685"/>
      <c r="E81" s="685"/>
      <c r="F81" s="685"/>
      <c r="G81" s="685"/>
      <c r="H81" s="685"/>
      <c r="I81" s="685"/>
      <c r="J81" s="685"/>
      <c r="K81" s="685"/>
      <c r="L81" s="685"/>
      <c r="M81" s="685"/>
      <c r="N81" s="685"/>
      <c r="O81" s="685"/>
      <c r="P81" s="685"/>
      <c r="Q81" s="685"/>
      <c r="R81" s="814"/>
      <c r="S81" s="814"/>
      <c r="T81" s="814"/>
      <c r="U81" s="814"/>
      <c r="V81" s="814"/>
      <c r="W81" s="814"/>
      <c r="X81" s="814"/>
      <c r="Y81" s="814"/>
      <c r="Z81" s="814"/>
      <c r="AA81" s="1887"/>
      <c r="AB81" s="1887"/>
      <c r="AC81" s="763"/>
      <c r="AD81" s="685"/>
      <c r="AE81" s="763"/>
      <c r="AF81" s="115"/>
      <c r="AG81" s="115"/>
      <c r="AH81" s="766"/>
      <c r="AI81" s="766"/>
      <c r="AJ81" s="766"/>
      <c r="AK81" s="766"/>
      <c r="AL81" s="809"/>
      <c r="AM81" s="809"/>
      <c r="AN81" s="685"/>
      <c r="AO81" s="685"/>
      <c r="AP81" s="685"/>
      <c r="AQ81" s="685"/>
      <c r="AR81" s="685"/>
      <c r="AS81" s="685"/>
      <c r="AT81" s="1859"/>
      <c r="AU81" s="1859"/>
      <c r="AV81" s="1859"/>
      <c r="AW81" s="685"/>
      <c r="AX81" s="685"/>
      <c r="AY81" s="685"/>
      <c r="AZ81" s="685"/>
      <c r="BA81" s="685"/>
      <c r="BB81" s="685"/>
      <c r="BC81" s="685"/>
      <c r="BN81" s="765"/>
      <c r="BO81" s="685"/>
      <c r="BP81" s="1859"/>
      <c r="BR81" s="1859"/>
      <c r="BS81" s="685"/>
      <c r="BU81" s="763"/>
    </row>
    <row r="82" spans="1:73">
      <c r="A82" s="763"/>
      <c r="B82" s="685"/>
      <c r="C82" s="685"/>
      <c r="D82" s="685"/>
      <c r="E82" s="685"/>
      <c r="F82" s="685"/>
      <c r="G82" s="685"/>
      <c r="H82" s="685"/>
      <c r="I82" s="685"/>
      <c r="J82" s="685"/>
      <c r="K82" s="685"/>
      <c r="L82" s="685"/>
      <c r="M82" s="685"/>
      <c r="N82" s="685"/>
      <c r="O82" s="685"/>
      <c r="P82" s="685"/>
      <c r="Q82" s="685"/>
      <c r="R82" s="685"/>
      <c r="S82" s="685"/>
      <c r="T82" s="685"/>
      <c r="U82" s="685"/>
      <c r="V82" s="685"/>
      <c r="W82" s="685"/>
      <c r="X82" s="685"/>
      <c r="Y82" s="685"/>
      <c r="Z82" s="685"/>
      <c r="AA82" s="1887"/>
      <c r="AB82" s="1887"/>
      <c r="AC82" s="763"/>
      <c r="AD82" s="685"/>
      <c r="AE82" s="763"/>
      <c r="AF82" s="115"/>
      <c r="AG82" s="115"/>
      <c r="AH82" s="766"/>
      <c r="AI82" s="766"/>
      <c r="AJ82" s="766"/>
      <c r="AK82" s="766"/>
      <c r="AL82" s="809"/>
      <c r="AM82" s="809"/>
      <c r="AN82" s="685"/>
      <c r="AO82" s="685"/>
      <c r="AP82" s="685"/>
      <c r="AQ82" s="685"/>
      <c r="AR82" s="685"/>
      <c r="AS82" s="685"/>
      <c r="AT82" s="1859"/>
      <c r="AU82" s="1859"/>
      <c r="AV82" s="1859"/>
      <c r="AW82" s="685"/>
      <c r="AX82" s="685"/>
      <c r="AY82" s="685"/>
      <c r="AZ82" s="685"/>
      <c r="BA82" s="685"/>
      <c r="BB82" s="685"/>
      <c r="BC82" s="685"/>
      <c r="BN82" s="765"/>
      <c r="BO82" s="685"/>
      <c r="BP82" s="1859"/>
      <c r="BR82" s="1859"/>
      <c r="BS82" s="685"/>
      <c r="BU82" s="763"/>
    </row>
    <row r="83" spans="1:73">
      <c r="A83" s="763"/>
      <c r="B83" s="685"/>
      <c r="C83" s="685"/>
      <c r="D83" s="685"/>
      <c r="E83" s="685"/>
      <c r="F83" s="685"/>
      <c r="G83" s="685"/>
      <c r="H83" s="685"/>
      <c r="I83" s="685"/>
      <c r="J83" s="685"/>
      <c r="K83" s="685"/>
      <c r="L83" s="685"/>
      <c r="M83" s="685"/>
      <c r="N83" s="685"/>
      <c r="O83" s="685"/>
      <c r="P83" s="685"/>
      <c r="Q83" s="685"/>
      <c r="R83" s="685"/>
      <c r="S83" s="685"/>
      <c r="T83" s="685"/>
      <c r="U83" s="685"/>
      <c r="V83" s="685"/>
      <c r="W83" s="685"/>
      <c r="X83" s="685"/>
      <c r="Y83" s="685"/>
      <c r="Z83" s="685"/>
      <c r="AA83" s="1887"/>
      <c r="AB83" s="1887"/>
      <c r="AC83" s="763"/>
      <c r="AD83" s="685"/>
      <c r="AE83" s="763"/>
      <c r="AF83" s="115"/>
      <c r="AG83" s="115"/>
      <c r="AH83" s="766"/>
      <c r="AI83" s="766"/>
      <c r="AJ83" s="766"/>
      <c r="AK83" s="766"/>
      <c r="AL83" s="809"/>
      <c r="AM83" s="809"/>
      <c r="AN83" s="685"/>
      <c r="AO83" s="685"/>
      <c r="AP83" s="685"/>
      <c r="AQ83" s="685"/>
      <c r="AR83" s="685"/>
      <c r="AS83" s="685"/>
      <c r="AT83" s="1859"/>
      <c r="AU83" s="1859"/>
      <c r="AV83" s="1859"/>
      <c r="AW83" s="685"/>
      <c r="AX83" s="685"/>
      <c r="AY83" s="685"/>
      <c r="AZ83" s="685"/>
      <c r="BA83" s="685"/>
      <c r="BB83" s="685"/>
      <c r="BC83" s="685"/>
      <c r="BN83" s="765"/>
      <c r="BO83" s="685"/>
      <c r="BP83" s="1859"/>
      <c r="BR83" s="1859"/>
      <c r="BS83" s="685"/>
      <c r="BU83" s="763"/>
    </row>
    <row r="84" spans="1:73">
      <c r="A84" s="763"/>
      <c r="B84" s="685"/>
      <c r="C84" s="685"/>
      <c r="D84" s="685"/>
      <c r="E84" s="685"/>
      <c r="F84" s="685"/>
      <c r="G84" s="685"/>
      <c r="H84" s="685"/>
      <c r="I84" s="685"/>
      <c r="J84" s="685"/>
      <c r="K84" s="685"/>
      <c r="L84" s="685"/>
      <c r="M84" s="685"/>
      <c r="N84" s="685"/>
      <c r="O84" s="685"/>
      <c r="P84" s="685"/>
      <c r="Q84" s="685"/>
      <c r="R84" s="685"/>
      <c r="S84" s="685"/>
      <c r="T84" s="685"/>
      <c r="U84" s="685"/>
      <c r="V84" s="685"/>
      <c r="W84" s="685"/>
      <c r="X84" s="685"/>
      <c r="Y84" s="685"/>
      <c r="Z84" s="685"/>
      <c r="AA84" s="1887"/>
      <c r="AB84" s="1887"/>
      <c r="AC84" s="763"/>
      <c r="AD84" s="685"/>
      <c r="AE84" s="763"/>
      <c r="AF84" s="115"/>
      <c r="AG84" s="115"/>
      <c r="AH84" s="766"/>
      <c r="AI84" s="766"/>
      <c r="AJ84" s="766"/>
      <c r="AK84" s="766"/>
      <c r="AL84" s="809"/>
      <c r="AM84" s="809"/>
      <c r="AN84" s="685"/>
      <c r="AO84" s="685"/>
      <c r="AP84" s="685"/>
      <c r="AQ84" s="685"/>
      <c r="AR84" s="685"/>
      <c r="AS84" s="685"/>
      <c r="AT84" s="1859"/>
      <c r="AU84" s="1859"/>
      <c r="AV84" s="1859"/>
      <c r="AW84" s="685"/>
      <c r="AX84" s="685"/>
      <c r="AY84" s="685"/>
      <c r="AZ84" s="685"/>
      <c r="BA84" s="685"/>
      <c r="BB84" s="685"/>
      <c r="BC84" s="685"/>
      <c r="BN84" s="765"/>
      <c r="BO84" s="685"/>
      <c r="BP84" s="1859"/>
      <c r="BR84" s="1859"/>
      <c r="BS84" s="685"/>
      <c r="BU84" s="763"/>
    </row>
    <row r="85" spans="1:73">
      <c r="A85" s="763"/>
      <c r="B85" s="685"/>
      <c r="C85" s="685"/>
      <c r="D85" s="685"/>
      <c r="E85" s="685"/>
      <c r="F85" s="685"/>
      <c r="G85" s="685"/>
      <c r="H85" s="685"/>
      <c r="I85" s="685"/>
      <c r="J85" s="685"/>
      <c r="K85" s="685"/>
      <c r="L85" s="685"/>
      <c r="M85" s="685"/>
      <c r="N85" s="685"/>
      <c r="O85" s="685"/>
      <c r="P85" s="685"/>
      <c r="Q85" s="685"/>
      <c r="R85" s="685"/>
      <c r="S85" s="685"/>
      <c r="T85" s="685"/>
      <c r="U85" s="685"/>
      <c r="V85" s="685"/>
      <c r="W85" s="685"/>
      <c r="X85" s="685"/>
      <c r="Y85" s="685"/>
      <c r="Z85" s="685"/>
      <c r="AA85" s="1887"/>
      <c r="AB85" s="1887"/>
      <c r="AC85" s="763"/>
      <c r="AD85" s="685"/>
      <c r="AE85" s="763"/>
      <c r="AF85" s="115"/>
      <c r="AG85" s="115"/>
      <c r="AH85" s="766"/>
      <c r="AI85" s="766"/>
      <c r="AJ85" s="766"/>
      <c r="AK85" s="766"/>
      <c r="AL85" s="809"/>
      <c r="AM85" s="809"/>
      <c r="AN85" s="685"/>
      <c r="AO85" s="685"/>
      <c r="AP85" s="685"/>
      <c r="AQ85" s="685"/>
      <c r="AR85" s="685"/>
      <c r="AS85" s="685"/>
      <c r="AT85" s="1859"/>
      <c r="AU85" s="1859"/>
      <c r="AV85" s="1859"/>
      <c r="AW85" s="685"/>
      <c r="AX85" s="685"/>
      <c r="AY85" s="685"/>
      <c r="AZ85" s="685"/>
      <c r="BA85" s="685"/>
      <c r="BB85" s="685"/>
      <c r="BC85" s="685"/>
      <c r="BN85" s="765"/>
      <c r="BO85" s="685"/>
      <c r="BP85" s="1859"/>
      <c r="BR85" s="1859"/>
      <c r="BS85" s="685"/>
      <c r="BU85" s="763"/>
    </row>
    <row r="86" spans="1:73">
      <c r="A86" s="763"/>
      <c r="B86" s="685"/>
      <c r="C86" s="685"/>
      <c r="D86" s="685"/>
      <c r="E86" s="685"/>
      <c r="F86" s="685"/>
      <c r="G86" s="685"/>
      <c r="H86" s="685"/>
      <c r="I86" s="685"/>
      <c r="J86" s="685"/>
      <c r="K86" s="685"/>
      <c r="L86" s="685"/>
      <c r="M86" s="685"/>
      <c r="N86" s="685"/>
      <c r="O86" s="685"/>
      <c r="P86" s="685"/>
      <c r="Q86" s="685"/>
      <c r="R86" s="685"/>
      <c r="S86" s="685"/>
      <c r="T86" s="685"/>
      <c r="U86" s="685"/>
      <c r="V86" s="685"/>
      <c r="W86" s="685"/>
      <c r="X86" s="685"/>
      <c r="Y86" s="685"/>
      <c r="Z86" s="685"/>
      <c r="AA86" s="1887"/>
      <c r="AB86" s="1887"/>
      <c r="AC86" s="763"/>
      <c r="AD86" s="685"/>
      <c r="AE86" s="763"/>
      <c r="AF86" s="115"/>
      <c r="AG86" s="115"/>
      <c r="AH86" s="766"/>
      <c r="AI86" s="766"/>
      <c r="AJ86" s="766"/>
      <c r="AK86" s="766"/>
      <c r="AL86" s="809"/>
      <c r="AM86" s="809"/>
      <c r="AN86" s="685"/>
      <c r="AO86" s="685"/>
      <c r="AP86" s="685"/>
      <c r="AQ86" s="685"/>
      <c r="AR86" s="685"/>
      <c r="AS86" s="685"/>
      <c r="AT86" s="1859"/>
      <c r="AU86" s="1859"/>
      <c r="AV86" s="1859"/>
      <c r="AW86" s="685"/>
      <c r="AX86" s="685"/>
      <c r="AY86" s="685"/>
      <c r="AZ86" s="685"/>
      <c r="BA86" s="685"/>
      <c r="BB86" s="685"/>
      <c r="BC86" s="685"/>
      <c r="BN86" s="765"/>
      <c r="BO86" s="685"/>
      <c r="BP86" s="1859"/>
      <c r="BR86" s="1859"/>
      <c r="BS86" s="685"/>
      <c r="BU86" s="763"/>
    </row>
    <row r="87" spans="1:73">
      <c r="A87" s="763"/>
      <c r="B87" s="685"/>
      <c r="C87" s="685"/>
      <c r="D87" s="685"/>
      <c r="E87" s="685"/>
      <c r="F87" s="685"/>
      <c r="G87" s="685"/>
      <c r="H87" s="685"/>
      <c r="I87" s="685"/>
      <c r="J87" s="685"/>
      <c r="K87" s="685"/>
      <c r="L87" s="685"/>
      <c r="M87" s="685"/>
      <c r="N87" s="685"/>
      <c r="O87" s="685"/>
      <c r="P87" s="685"/>
      <c r="Q87" s="685"/>
      <c r="R87" s="685"/>
      <c r="S87" s="685"/>
      <c r="T87" s="685"/>
      <c r="U87" s="685"/>
      <c r="V87" s="685"/>
      <c r="W87" s="685"/>
      <c r="X87" s="685"/>
      <c r="Y87" s="685"/>
      <c r="Z87" s="685"/>
      <c r="AA87" s="1887"/>
      <c r="AB87" s="1887"/>
      <c r="AC87" s="763"/>
      <c r="AD87" s="685"/>
      <c r="AE87" s="763"/>
      <c r="AF87" s="115"/>
      <c r="AG87" s="115"/>
      <c r="AH87" s="766"/>
      <c r="AI87" s="766"/>
      <c r="AJ87" s="766"/>
      <c r="AK87" s="766"/>
      <c r="AL87" s="809"/>
      <c r="AM87" s="809"/>
      <c r="AN87" s="685"/>
      <c r="AO87" s="685"/>
      <c r="AP87" s="685"/>
      <c r="AQ87" s="685"/>
      <c r="AR87" s="685"/>
      <c r="AS87" s="685"/>
      <c r="AT87" s="1859"/>
      <c r="AU87" s="1859"/>
      <c r="AV87" s="1859"/>
      <c r="AW87" s="685"/>
      <c r="AX87" s="685"/>
      <c r="AY87" s="685"/>
      <c r="AZ87" s="685"/>
      <c r="BA87" s="685"/>
      <c r="BB87" s="685"/>
      <c r="BC87" s="685"/>
      <c r="BN87" s="765"/>
      <c r="BO87" s="685"/>
      <c r="BP87" s="1859"/>
      <c r="BR87" s="1859"/>
      <c r="BS87" s="685"/>
      <c r="BU87" s="763"/>
    </row>
    <row r="88" spans="1:73">
      <c r="A88" s="763"/>
      <c r="B88" s="685"/>
      <c r="C88" s="685"/>
      <c r="D88" s="685"/>
      <c r="E88" s="685"/>
      <c r="F88" s="685"/>
      <c r="G88" s="685"/>
      <c r="H88" s="685"/>
      <c r="I88" s="685"/>
      <c r="J88" s="685"/>
      <c r="K88" s="685"/>
      <c r="L88" s="685"/>
      <c r="M88" s="685"/>
      <c r="N88" s="685"/>
      <c r="O88" s="685"/>
      <c r="P88" s="685"/>
      <c r="Q88" s="685"/>
      <c r="R88" s="685"/>
      <c r="S88" s="685"/>
      <c r="T88" s="685"/>
      <c r="U88" s="685"/>
      <c r="V88" s="685"/>
      <c r="W88" s="685"/>
      <c r="X88" s="685"/>
      <c r="Y88" s="685"/>
      <c r="Z88" s="685"/>
      <c r="AA88" s="1887"/>
      <c r="AB88" s="1887"/>
      <c r="AC88" s="763"/>
      <c r="AD88" s="685"/>
      <c r="AE88" s="763"/>
      <c r="AF88" s="115"/>
      <c r="AG88" s="115"/>
      <c r="AH88" s="766"/>
      <c r="AI88" s="766"/>
      <c r="AJ88" s="766"/>
      <c r="AK88" s="766"/>
      <c r="AL88" s="809"/>
      <c r="AM88" s="809"/>
      <c r="AN88" s="685"/>
      <c r="AO88" s="685"/>
      <c r="AP88" s="685"/>
      <c r="AQ88" s="685"/>
      <c r="AR88" s="685"/>
      <c r="AS88" s="685"/>
      <c r="AT88" s="1859"/>
      <c r="AU88" s="1859"/>
      <c r="AV88" s="1859"/>
      <c r="AW88" s="685"/>
      <c r="AX88" s="685"/>
      <c r="AY88" s="685"/>
      <c r="AZ88" s="685"/>
      <c r="BA88" s="685"/>
      <c r="BB88" s="685"/>
      <c r="BC88" s="685"/>
      <c r="BN88" s="765"/>
      <c r="BO88" s="685"/>
      <c r="BP88" s="1859"/>
      <c r="BR88" s="1859"/>
      <c r="BS88" s="685"/>
      <c r="BU88" s="763"/>
    </row>
    <row r="89" spans="1:73">
      <c r="A89" s="763"/>
      <c r="B89" s="1531" t="s">
        <v>1079</v>
      </c>
      <c r="C89" s="759"/>
      <c r="D89" s="759"/>
      <c r="E89" s="759"/>
      <c r="F89" s="759"/>
      <c r="G89" s="759"/>
      <c r="H89" s="759"/>
      <c r="I89" s="759"/>
      <c r="J89" s="759"/>
      <c r="K89" s="759"/>
      <c r="L89" s="1478"/>
      <c r="M89" s="1478"/>
      <c r="N89" s="759"/>
      <c r="O89" s="759"/>
      <c r="P89" s="1478"/>
      <c r="Q89" s="1478"/>
      <c r="R89" s="1478"/>
      <c r="S89" s="1478"/>
      <c r="T89" s="1478"/>
      <c r="U89" s="1478"/>
      <c r="V89" s="1478"/>
      <c r="W89" s="1478"/>
      <c r="X89" s="1478"/>
      <c r="Y89" s="1478"/>
      <c r="Z89" s="1478"/>
      <c r="AA89" s="1859"/>
      <c r="AB89" s="1859"/>
      <c r="AC89" s="763"/>
      <c r="AD89" s="763"/>
      <c r="AE89" s="685"/>
      <c r="AF89" s="115"/>
      <c r="AG89" s="115"/>
      <c r="AH89" s="763"/>
      <c r="AI89" s="763"/>
      <c r="AJ89" s="763"/>
      <c r="AK89" s="763"/>
      <c r="AL89" s="685"/>
      <c r="AM89" s="685"/>
      <c r="AN89" s="685"/>
      <c r="AO89" s="685"/>
      <c r="AP89" s="685"/>
      <c r="AQ89" s="685"/>
      <c r="AR89" s="685"/>
      <c r="AS89" s="685"/>
      <c r="AT89" s="1859"/>
      <c r="AU89" s="1859"/>
      <c r="AV89" s="1859"/>
      <c r="AW89" s="685"/>
      <c r="AX89" s="685"/>
      <c r="AY89" s="685"/>
      <c r="AZ89" s="685"/>
      <c r="BA89" s="685"/>
      <c r="BB89" s="685"/>
      <c r="BC89" s="685"/>
      <c r="BN89" s="763"/>
      <c r="BO89" s="685"/>
      <c r="BP89" s="1881"/>
      <c r="BR89" s="1881"/>
      <c r="BS89" s="1478"/>
      <c r="BU89" s="685"/>
    </row>
    <row r="90" spans="1:73" ht="18.75">
      <c r="A90" s="763"/>
      <c r="B90" s="1690" t="s">
        <v>732</v>
      </c>
      <c r="C90" s="1691"/>
      <c r="D90" s="1691"/>
      <c r="E90" s="1691"/>
      <c r="F90" s="1691"/>
      <c r="G90" s="1692" t="str">
        <f t="shared" ref="G90:U90" si="87">G18</f>
        <v>Q1 22</v>
      </c>
      <c r="H90" s="1692" t="str">
        <f t="shared" si="87"/>
        <v>Q2 22</v>
      </c>
      <c r="I90" s="1692" t="str">
        <f t="shared" si="87"/>
        <v>Q3 22</v>
      </c>
      <c r="J90" s="1692" t="str">
        <f t="shared" si="87"/>
        <v>Q4 22</v>
      </c>
      <c r="K90" s="1692" t="str">
        <f t="shared" si="87"/>
        <v>Q1 23</v>
      </c>
      <c r="L90" s="1692" t="str">
        <f t="shared" si="87"/>
        <v>Q2 23</v>
      </c>
      <c r="M90" s="1692" t="str">
        <f t="shared" si="87"/>
        <v>Q3 23</v>
      </c>
      <c r="N90" s="1692" t="str">
        <f t="shared" si="87"/>
        <v>Q4 23</v>
      </c>
      <c r="O90" s="1692" t="str">
        <f t="shared" si="87"/>
        <v>Q1 24</v>
      </c>
      <c r="P90" s="1692" t="str">
        <f t="shared" si="87"/>
        <v>Q2 24</v>
      </c>
      <c r="Q90" s="1692" t="str">
        <f t="shared" si="87"/>
        <v>Q3 24</v>
      </c>
      <c r="R90" s="1692" t="str">
        <f t="shared" si="87"/>
        <v>Q4 24</v>
      </c>
      <c r="S90" s="1692" t="str">
        <f t="shared" si="87"/>
        <v>Q1 25</v>
      </c>
      <c r="T90" s="1692" t="str">
        <f t="shared" si="87"/>
        <v>Q2 25</v>
      </c>
      <c r="U90" s="1692" t="str">
        <f t="shared" si="87"/>
        <v>Q3 25</v>
      </c>
      <c r="V90" s="1692" t="str">
        <f>V18</f>
        <v>Q4 25</v>
      </c>
      <c r="W90" s="1692" t="str">
        <f>W18</f>
        <v>Q1 26</v>
      </c>
      <c r="X90" s="1692" t="str">
        <f t="shared" ref="X90:Z90" si="88">X18</f>
        <v>Q2 26</v>
      </c>
      <c r="Y90" s="1692" t="str">
        <f t="shared" si="88"/>
        <v>Q3 26</v>
      </c>
      <c r="Z90" s="1692" t="str">
        <f t="shared" si="88"/>
        <v>Q4 26</v>
      </c>
      <c r="AA90" s="1859"/>
      <c r="AB90" s="1859"/>
      <c r="AC90" s="763"/>
      <c r="AD90" s="763"/>
      <c r="AE90" s="685"/>
      <c r="AF90" s="115"/>
      <c r="AG90" s="115"/>
      <c r="AH90" s="763"/>
      <c r="AI90" s="763"/>
      <c r="AJ90" s="763"/>
      <c r="AK90" s="763"/>
      <c r="AL90" s="685"/>
      <c r="AM90" s="685"/>
      <c r="AN90" s="685"/>
      <c r="AO90" s="685"/>
      <c r="AP90" s="685"/>
      <c r="AQ90" s="685"/>
      <c r="AR90" s="685"/>
      <c r="AS90" s="685"/>
      <c r="AT90" s="1859"/>
      <c r="AU90" s="1859"/>
      <c r="AV90" s="1859"/>
      <c r="AW90" s="685"/>
      <c r="AX90" s="685"/>
      <c r="AY90" s="685"/>
      <c r="AZ90" s="685"/>
      <c r="BA90" s="685"/>
      <c r="BB90" s="685"/>
      <c r="BC90" s="685"/>
      <c r="BN90" s="763"/>
      <c r="BO90" s="805" t="s">
        <v>1065</v>
      </c>
      <c r="BP90" s="1862" t="s">
        <v>864</v>
      </c>
      <c r="BR90" s="1862" t="s">
        <v>1063</v>
      </c>
      <c r="BS90" s="1692" t="s">
        <v>1064</v>
      </c>
      <c r="BU90" s="685"/>
    </row>
    <row r="91" spans="1:73" ht="18.75">
      <c r="A91" s="763"/>
      <c r="B91" s="1693" t="s">
        <v>222</v>
      </c>
      <c r="C91" s="1694"/>
      <c r="D91" s="1694"/>
      <c r="E91" s="1694"/>
      <c r="F91" s="1694"/>
      <c r="G91" s="1695"/>
      <c r="H91" s="1695"/>
      <c r="I91" s="1695"/>
      <c r="J91" s="1695"/>
      <c r="K91" s="1695"/>
      <c r="L91" s="1695"/>
      <c r="M91" s="1695"/>
      <c r="N91" s="1695"/>
      <c r="O91" s="1695"/>
      <c r="P91" s="1695"/>
      <c r="Q91" s="1695"/>
      <c r="R91" s="1695"/>
      <c r="S91" s="1695"/>
      <c r="T91" s="1695"/>
      <c r="U91" s="1695"/>
      <c r="V91" s="1695"/>
      <c r="W91" s="1695"/>
      <c r="X91" s="1695"/>
      <c r="Y91" s="1695"/>
      <c r="Z91" s="1695"/>
      <c r="AA91" s="1859"/>
      <c r="AB91" s="1859"/>
      <c r="AC91" s="1012"/>
      <c r="AD91" s="763"/>
      <c r="AE91" s="685"/>
      <c r="AF91" s="115"/>
      <c r="AG91" s="115"/>
      <c r="AH91" s="763"/>
      <c r="AI91" s="763"/>
      <c r="AJ91" s="763"/>
      <c r="AK91" s="763"/>
      <c r="AL91" s="685"/>
      <c r="AM91" s="685"/>
      <c r="AN91" s="685"/>
      <c r="AO91" s="685"/>
      <c r="AP91" s="685"/>
      <c r="AQ91" s="685"/>
      <c r="AR91" s="685"/>
      <c r="AS91" s="685"/>
      <c r="AT91" s="1859"/>
      <c r="AU91" s="1859"/>
      <c r="AV91" s="1859"/>
      <c r="AW91" s="685"/>
      <c r="AX91" s="685"/>
      <c r="AY91" s="685"/>
      <c r="AZ91" s="685"/>
      <c r="BA91" s="685"/>
      <c r="BB91" s="685"/>
      <c r="BC91" s="685"/>
      <c r="BN91" s="763"/>
      <c r="BO91" s="815"/>
      <c r="BP91" s="1882"/>
      <c r="BR91" s="1882"/>
      <c r="BS91" s="1695"/>
      <c r="BU91" s="685"/>
    </row>
    <row r="92" spans="1:73" ht="18.75">
      <c r="A92" s="763"/>
      <c r="B92" s="1696" t="str">
        <f>B19</f>
        <v>Revenue</v>
      </c>
      <c r="C92" s="1696"/>
      <c r="D92" s="1696"/>
      <c r="E92" s="1696"/>
      <c r="F92" s="1696"/>
      <c r="G92" s="1697">
        <f t="shared" ref="G92:U92" si="89">G19/C19-1</f>
        <v>0.12790178571428568</v>
      </c>
      <c r="H92" s="1697">
        <f t="shared" si="89"/>
        <v>0.10593220338983045</v>
      </c>
      <c r="I92" s="1697">
        <f t="shared" si="89"/>
        <v>4.7770700636942776E-2</v>
      </c>
      <c r="J92" s="1697">
        <f t="shared" si="89"/>
        <v>0.2157075945132152</v>
      </c>
      <c r="K92" s="1697">
        <f t="shared" si="89"/>
        <v>5.9667524243024017E-2</v>
      </c>
      <c r="L92" s="1697">
        <f t="shared" si="89"/>
        <v>0.11275314723590579</v>
      </c>
      <c r="M92" s="1697">
        <f t="shared" si="89"/>
        <v>0.11202778983934003</v>
      </c>
      <c r="N92" s="1697">
        <f t="shared" si="89"/>
        <v>-6.6529067767457928E-2</v>
      </c>
      <c r="O92" s="1697">
        <f t="shared" si="89"/>
        <v>7.2929311793818119E-2</v>
      </c>
      <c r="P92" s="1697">
        <f t="shared" si="89"/>
        <v>3.1070667322512069E-2</v>
      </c>
      <c r="Q92" s="1697">
        <f t="shared" si="89"/>
        <v>1.8820773135493907E-2</v>
      </c>
      <c r="R92" s="1697">
        <f t="shared" si="89"/>
        <v>-9.2865566037735325E-3</v>
      </c>
      <c r="S92" s="1697">
        <f t="shared" si="89"/>
        <v>-0.10905134899912983</v>
      </c>
      <c r="T92" s="1697">
        <f t="shared" si="89"/>
        <v>-3.7926373538999747E-2</v>
      </c>
      <c r="U92" s="1697">
        <f t="shared" si="89"/>
        <v>-2.5984976237927282E-2</v>
      </c>
      <c r="V92" s="1697">
        <f>V19/R19-1</f>
        <v>-1.5920249962803057E-2</v>
      </c>
      <c r="W92" s="1697">
        <f>W19/S19-1</f>
        <v>5.0112337598906098E-2</v>
      </c>
      <c r="X92" s="1697">
        <f t="shared" ref="X92:Z92" si="90">X19/T19-1</f>
        <v>8.0991735537190079E-2</v>
      </c>
      <c r="Y92" s="1697">
        <f t="shared" si="90"/>
        <v>6.8702290076335881E-2</v>
      </c>
      <c r="Z92" s="1697">
        <f t="shared" si="90"/>
        <v>2.0080889023283754E-2</v>
      </c>
      <c r="AA92" s="2048"/>
      <c r="AB92" s="2048"/>
      <c r="AC92" s="1011"/>
      <c r="AD92" s="1011"/>
      <c r="AE92" s="685"/>
      <c r="AF92" s="115"/>
      <c r="AG92" s="115"/>
      <c r="AH92" s="763"/>
      <c r="AI92" s="763"/>
      <c r="AJ92" s="763"/>
      <c r="AK92" s="763"/>
      <c r="AL92" s="685"/>
      <c r="AM92" s="685"/>
      <c r="AN92" s="685"/>
      <c r="AO92" s="685"/>
      <c r="AP92" s="685"/>
      <c r="AQ92" s="685"/>
      <c r="AR92" s="685"/>
      <c r="AS92" s="685"/>
      <c r="AT92" s="1859"/>
      <c r="AU92" s="1859"/>
      <c r="AV92" s="1859"/>
      <c r="AW92" s="685"/>
      <c r="AX92" s="685"/>
      <c r="AY92" s="685"/>
      <c r="AZ92" s="685"/>
      <c r="BA92" s="685"/>
      <c r="BB92" s="685"/>
      <c r="BC92" s="685"/>
      <c r="BN92" s="763"/>
      <c r="BO92" s="814">
        <v>-5.3754392889333591E-3</v>
      </c>
      <c r="BP92" s="1883">
        <v>-4.1901884392144373E-2</v>
      </c>
      <c r="BR92" s="1883">
        <v>-4.1851908630997969E-2</v>
      </c>
      <c r="BS92" s="1697">
        <v>-3.6893319446510975E-2</v>
      </c>
      <c r="BU92" s="1379"/>
    </row>
    <row r="93" spans="1:73" ht="18.75">
      <c r="A93" s="763"/>
      <c r="B93" s="1694" t="s">
        <v>1080</v>
      </c>
      <c r="C93" s="1694"/>
      <c r="D93" s="1694"/>
      <c r="E93" s="1694"/>
      <c r="F93" s="1694"/>
      <c r="G93" s="1698">
        <f t="shared" ref="G93:T93" si="91">G80</f>
        <v>0.13043315091171648</v>
      </c>
      <c r="H93" s="1698">
        <f t="shared" si="91"/>
        <v>0.10618077933594039</v>
      </c>
      <c r="I93" s="1698">
        <f t="shared" si="91"/>
        <v>5.1131916993547799E-2</v>
      </c>
      <c r="J93" s="1698">
        <f t="shared" si="91"/>
        <v>0.19437973371131068</v>
      </c>
      <c r="K93" s="1698">
        <f t="shared" si="91"/>
        <v>3.0044164370758963E-2</v>
      </c>
      <c r="L93" s="1698">
        <f t="shared" si="91"/>
        <v>6.7013241517820621E-2</v>
      </c>
      <c r="M93" s="1698">
        <f t="shared" si="91"/>
        <v>4.763713239283951E-2</v>
      </c>
      <c r="N93" s="1698">
        <f t="shared" si="91"/>
        <v>-0.10628196075073126</v>
      </c>
      <c r="O93" s="1698">
        <f t="shared" si="91"/>
        <v>3.8480411465906528E-2</v>
      </c>
      <c r="P93" s="1698">
        <f t="shared" si="91"/>
        <v>2.206482194349646E-2</v>
      </c>
      <c r="Q93" s="1698">
        <f t="shared" si="91"/>
        <v>5.7093480299211352E-2</v>
      </c>
      <c r="R93" s="1698">
        <f t="shared" si="91"/>
        <v>4.4335381054130929E-2</v>
      </c>
      <c r="S93" s="1698">
        <f t="shared" si="91"/>
        <v>-5.3225807278805104E-2</v>
      </c>
      <c r="T93" s="1698">
        <f t="shared" si="91"/>
        <v>2.7946573743420355E-3</v>
      </c>
      <c r="U93" s="1698">
        <f>U80</f>
        <v>-3.1681521135653035E-2</v>
      </c>
      <c r="V93" s="1698">
        <f>V80</f>
        <v>-5.1531909256607333E-2</v>
      </c>
      <c r="W93" s="1698">
        <f>W80</f>
        <v>-1.6834980611935002E-4</v>
      </c>
      <c r="X93" s="1698"/>
      <c r="Y93" s="1698"/>
      <c r="Z93" s="1698"/>
      <c r="AA93" s="2049"/>
      <c r="AB93" s="2049"/>
      <c r="AC93" s="1008"/>
      <c r="AD93" s="685"/>
      <c r="AE93" s="685"/>
      <c r="AF93" s="115"/>
      <c r="AG93" s="115"/>
      <c r="AH93" s="763"/>
      <c r="AI93" s="763"/>
      <c r="AJ93" s="763"/>
      <c r="AK93" s="763"/>
      <c r="AL93" s="685"/>
      <c r="AM93" s="685"/>
      <c r="AN93" s="685"/>
      <c r="AO93" s="685"/>
      <c r="AP93" s="685"/>
      <c r="AQ93" s="685"/>
      <c r="AR93" s="685"/>
      <c r="AS93" s="685"/>
      <c r="AT93" s="1859"/>
      <c r="AU93" s="1859"/>
      <c r="AV93" s="1859"/>
      <c r="AW93" s="685"/>
      <c r="AX93" s="685"/>
      <c r="AY93" s="685"/>
      <c r="AZ93" s="685"/>
      <c r="BA93" s="685"/>
      <c r="BB93" s="685"/>
      <c r="BC93" s="685"/>
      <c r="BN93" s="763"/>
      <c r="BO93" s="685"/>
      <c r="BP93" s="1883"/>
      <c r="BR93" s="1883"/>
      <c r="BS93" s="1698"/>
      <c r="BU93" s="1457"/>
    </row>
    <row r="94" spans="1:73" ht="18.75">
      <c r="A94" s="763"/>
      <c r="B94" s="1699" t="s">
        <v>1066</v>
      </c>
      <c r="C94" s="1696"/>
      <c r="D94" s="1696"/>
      <c r="E94" s="1696"/>
      <c r="F94" s="1696"/>
      <c r="G94" s="1696"/>
      <c r="H94" s="1696"/>
      <c r="I94" s="1696"/>
      <c r="J94" s="1696"/>
      <c r="K94" s="1696"/>
      <c r="L94" s="1697"/>
      <c r="M94" s="1697"/>
      <c r="N94" s="1696"/>
      <c r="O94" s="1696"/>
      <c r="P94" s="1697"/>
      <c r="Q94" s="1697"/>
      <c r="R94" s="1697"/>
      <c r="S94" s="1697"/>
      <c r="T94" s="1697"/>
      <c r="U94" s="1697"/>
      <c r="V94" s="1697"/>
      <c r="W94" s="1697"/>
      <c r="X94" s="1697"/>
      <c r="Y94" s="1697"/>
      <c r="Z94" s="1697"/>
      <c r="AA94" s="1859"/>
      <c r="AB94" s="1859"/>
      <c r="AC94" s="768"/>
      <c r="AD94" s="763"/>
      <c r="AE94" s="685"/>
      <c r="AF94" s="115"/>
      <c r="AG94" s="115"/>
      <c r="AH94" s="763"/>
      <c r="AI94" s="763"/>
      <c r="AJ94" s="763"/>
      <c r="AK94" s="763"/>
      <c r="AL94" s="685"/>
      <c r="AM94" s="685"/>
      <c r="AN94" s="685"/>
      <c r="AO94" s="685"/>
      <c r="AP94" s="685"/>
      <c r="AQ94" s="685"/>
      <c r="AR94" s="685"/>
      <c r="AS94" s="685"/>
      <c r="AT94" s="1859"/>
      <c r="AU94" s="1859"/>
      <c r="AV94" s="1859"/>
      <c r="AW94" s="685"/>
      <c r="AX94" s="685"/>
      <c r="AY94" s="685"/>
      <c r="AZ94" s="685"/>
      <c r="BA94" s="685"/>
      <c r="BB94" s="685"/>
      <c r="BC94" s="685"/>
      <c r="BN94" s="763"/>
      <c r="BO94" s="685"/>
      <c r="BP94" s="1883"/>
      <c r="BR94" s="1883"/>
      <c r="BS94" s="1697"/>
      <c r="BU94" s="685"/>
    </row>
    <row r="95" spans="1:73" ht="18.75">
      <c r="A95" s="763"/>
      <c r="B95" s="1700" t="s">
        <v>1081</v>
      </c>
      <c r="C95" s="1694"/>
      <c r="D95" s="1694"/>
      <c r="E95" s="1694"/>
      <c r="F95" s="1694"/>
      <c r="G95" s="1698">
        <f t="shared" ref="G95:P97" si="92">G20/C20-1</f>
        <v>0.12460567823343838</v>
      </c>
      <c r="H95" s="1698">
        <f t="shared" si="92"/>
        <v>6.7552127963439013E-2</v>
      </c>
      <c r="I95" s="1698">
        <f t="shared" si="92"/>
        <v>1.9345435272293487E-2</v>
      </c>
      <c r="J95" s="1698">
        <f t="shared" si="92"/>
        <v>0.28017012227538562</v>
      </c>
      <c r="K95" s="1698">
        <f t="shared" si="92"/>
        <v>3.66058906030855E-2</v>
      </c>
      <c r="L95" s="1698">
        <f t="shared" si="92"/>
        <v>6.1672240802675526E-2</v>
      </c>
      <c r="M95" s="1698">
        <f t="shared" si="92"/>
        <v>4.8095671389575045E-2</v>
      </c>
      <c r="N95" s="1698">
        <f t="shared" si="92"/>
        <v>-0.14794435215946844</v>
      </c>
      <c r="O95" s="1698">
        <f t="shared" si="92"/>
        <v>1.0823975104856665E-3</v>
      </c>
      <c r="P95" s="1698">
        <f t="shared" si="92"/>
        <v>7.3084677419354982E-3</v>
      </c>
      <c r="Q95" s="1698">
        <f t="shared" ref="Q95:W97" si="93">Q20/M20-1</f>
        <v>5.7174748852784285E-2</v>
      </c>
      <c r="R95" s="1698">
        <f t="shared" si="93"/>
        <v>1.8033386133788243E-2</v>
      </c>
      <c r="S95" s="1698">
        <f t="shared" si="93"/>
        <v>-4.1627246925260208E-2</v>
      </c>
      <c r="T95" s="1698">
        <f t="shared" si="93"/>
        <v>2.0265198899174441E-2</v>
      </c>
      <c r="U95" s="1698">
        <f t="shared" si="93"/>
        <v>-2.4753636790239231E-2</v>
      </c>
      <c r="V95" s="1698">
        <f t="shared" si="93"/>
        <v>-6.9778575703171697E-2</v>
      </c>
      <c r="W95" s="1698">
        <f t="shared" si="93"/>
        <v>-1.9743336623888608E-3</v>
      </c>
      <c r="X95" s="1698">
        <f t="shared" ref="X95:X97" si="94">X20/T20-1</f>
        <v>6.4247179990191139E-2</v>
      </c>
      <c r="Y95" s="1698">
        <f t="shared" ref="Y95:Y97" si="95">Y20/U20-1</f>
        <v>6.2191747864789981E-2</v>
      </c>
      <c r="Z95" s="1698">
        <f t="shared" ref="Z95:Z97" si="96">Z20/V20-1</f>
        <v>5.582732887287678E-2</v>
      </c>
      <c r="AA95" s="1859"/>
      <c r="AB95" s="1859"/>
      <c r="AC95" s="763"/>
      <c r="AD95" s="763"/>
      <c r="AE95" s="685"/>
      <c r="AF95" s="115"/>
      <c r="AG95" s="115"/>
      <c r="AH95" s="763"/>
      <c r="AI95" s="763"/>
      <c r="AJ95" s="763"/>
      <c r="AK95" s="763"/>
      <c r="AL95" s="685"/>
      <c r="AM95" s="685"/>
      <c r="AN95" s="685"/>
      <c r="AO95" s="685"/>
      <c r="AP95" s="685"/>
      <c r="AQ95" s="685"/>
      <c r="AR95" s="685"/>
      <c r="AS95" s="685"/>
      <c r="AT95" s="1859"/>
      <c r="AU95" s="1859"/>
      <c r="AV95" s="1859"/>
      <c r="AW95" s="685"/>
      <c r="AX95" s="685"/>
      <c r="AY95" s="685"/>
      <c r="AZ95" s="685"/>
      <c r="BA95" s="685"/>
      <c r="BB95" s="685"/>
      <c r="BC95" s="685"/>
      <c r="BN95" s="763"/>
      <c r="BO95" s="685"/>
      <c r="BP95" s="1883"/>
      <c r="BR95" s="1883"/>
      <c r="BS95" s="1698"/>
      <c r="BU95" s="685"/>
    </row>
    <row r="96" spans="1:73" ht="18.75">
      <c r="A96" s="763"/>
      <c r="B96" s="1701" t="str">
        <f>B21</f>
        <v>Advertising</v>
      </c>
      <c r="C96" s="1696"/>
      <c r="D96" s="1696"/>
      <c r="E96" s="1696"/>
      <c r="F96" s="1696"/>
      <c r="G96" s="1697">
        <f t="shared" si="92"/>
        <v>0.14285714285714279</v>
      </c>
      <c r="H96" s="1697">
        <f t="shared" si="92"/>
        <v>9.9459724950884176E-2</v>
      </c>
      <c r="I96" s="1697">
        <f t="shared" si="92"/>
        <v>4.6758527219335821E-2</v>
      </c>
      <c r="J96" s="1697">
        <f t="shared" si="92"/>
        <v>0.13534007352941191</v>
      </c>
      <c r="K96" s="1697">
        <f t="shared" si="92"/>
        <v>1.6326530612244872E-2</v>
      </c>
      <c r="L96" s="1697">
        <f t="shared" si="92"/>
        <v>1.0944829126647404E-2</v>
      </c>
      <c r="M96" s="1697">
        <f t="shared" si="92"/>
        <v>-8.6318515321536227E-3</v>
      </c>
      <c r="N96" s="1697">
        <f t="shared" si="92"/>
        <v>-5.444242056263926E-2</v>
      </c>
      <c r="O96" s="1697">
        <f t="shared" si="92"/>
        <v>2.5100401606426015E-3</v>
      </c>
      <c r="P96" s="1697">
        <f t="shared" si="92"/>
        <v>2.1652673442333015E-2</v>
      </c>
      <c r="Q96" s="1697">
        <f t="shared" si="93"/>
        <v>5.1589029168480627E-2</v>
      </c>
      <c r="R96" s="1697">
        <f t="shared" si="93"/>
        <v>1.7979452054794676E-2</v>
      </c>
      <c r="S96" s="1697">
        <f t="shared" si="93"/>
        <v>-0.11442163244867298</v>
      </c>
      <c r="T96" s="1697">
        <f t="shared" si="93"/>
        <v>-1.557093425605538E-2</v>
      </c>
      <c r="U96" s="1697">
        <f t="shared" si="93"/>
        <v>-0.11364106810184238</v>
      </c>
      <c r="V96" s="1697">
        <f t="shared" si="93"/>
        <v>-0.11017661900756948</v>
      </c>
      <c r="W96" s="1697">
        <f t="shared" si="93"/>
        <v>-0.12383375742154368</v>
      </c>
      <c r="X96" s="1697">
        <f t="shared" si="94"/>
        <v>8.7434094903339199E-2</v>
      </c>
      <c r="Y96" s="1697">
        <f t="shared" si="95"/>
        <v>9.7617935544138223E-2</v>
      </c>
      <c r="Z96" s="1697">
        <f t="shared" si="96"/>
        <v>6.7608695652173756E-2</v>
      </c>
      <c r="AA96" s="1861"/>
      <c r="AB96" s="1861"/>
      <c r="AC96" s="792"/>
      <c r="AD96" s="763"/>
      <c r="AE96" s="685"/>
      <c r="AF96" s="115"/>
      <c r="AG96" s="115"/>
      <c r="AH96" s="763"/>
      <c r="AI96" s="763"/>
      <c r="AJ96" s="763"/>
      <c r="AK96" s="763"/>
      <c r="AL96" s="685"/>
      <c r="AM96" s="685"/>
      <c r="AN96" s="685"/>
      <c r="AO96" s="685"/>
      <c r="AP96" s="685"/>
      <c r="AQ96" s="685"/>
      <c r="AR96" s="685"/>
      <c r="AS96" s="685"/>
      <c r="AT96" s="1859"/>
      <c r="AU96" s="1859"/>
      <c r="AV96" s="1859"/>
      <c r="AW96" s="685"/>
      <c r="AX96" s="685"/>
      <c r="AY96" s="685"/>
      <c r="AZ96" s="685"/>
      <c r="BA96" s="685"/>
      <c r="BB96" s="685"/>
      <c r="BC96" s="685"/>
      <c r="BN96" s="763"/>
      <c r="BO96" s="685"/>
      <c r="BP96" s="1883"/>
      <c r="BR96" s="1883"/>
      <c r="BS96" s="1697"/>
      <c r="BU96" s="789"/>
    </row>
    <row r="97" spans="1:73" ht="18.75">
      <c r="A97" s="763"/>
      <c r="B97" s="1702" t="str">
        <f>B22</f>
        <v>Subscription &amp; Licensing</v>
      </c>
      <c r="C97" s="1694"/>
      <c r="D97" s="1694"/>
      <c r="E97" s="1694"/>
      <c r="F97" s="1694"/>
      <c r="G97" s="1698">
        <f t="shared" si="92"/>
        <v>0.15241635687732336</v>
      </c>
      <c r="H97" s="1698">
        <f t="shared" si="92"/>
        <v>0.10178306092124823</v>
      </c>
      <c r="I97" s="1698">
        <f t="shared" si="92"/>
        <v>6.5827338129496482E-2</v>
      </c>
      <c r="J97" s="1698">
        <f t="shared" si="92"/>
        <v>0.54594594594594592</v>
      </c>
      <c r="K97" s="1698">
        <f t="shared" si="92"/>
        <v>5.1935483870967802E-2</v>
      </c>
      <c r="L97" s="1698">
        <f t="shared" si="92"/>
        <v>9.5077545515846129E-2</v>
      </c>
      <c r="M97" s="1698">
        <f t="shared" si="92"/>
        <v>0.11339858251771839</v>
      </c>
      <c r="N97" s="1698">
        <f t="shared" si="92"/>
        <v>-0.28212412587412594</v>
      </c>
      <c r="O97" s="1698">
        <f t="shared" si="92"/>
        <v>1.2266176019624098E-3</v>
      </c>
      <c r="P97" s="1698">
        <f t="shared" si="92"/>
        <v>-1.2931034482758563E-2</v>
      </c>
      <c r="Q97" s="1698">
        <f t="shared" si="93"/>
        <v>6.3655653228251063E-2</v>
      </c>
      <c r="R97" s="1698">
        <f t="shared" si="93"/>
        <v>5.4794520547945202E-2</v>
      </c>
      <c r="S97" s="1698">
        <f t="shared" si="93"/>
        <v>5.4823889739663123E-2</v>
      </c>
      <c r="T97" s="1698">
        <f t="shared" si="93"/>
        <v>8.5464753587024322E-2</v>
      </c>
      <c r="U97" s="1698">
        <f t="shared" si="93"/>
        <v>0.10572812767170148</v>
      </c>
      <c r="V97" s="1698">
        <f t="shared" si="93"/>
        <v>-1.5873015873015928E-2</v>
      </c>
      <c r="W97" s="1698">
        <f t="shared" si="93"/>
        <v>0.11701509872241589</v>
      </c>
      <c r="X97" s="1698">
        <f t="shared" si="94"/>
        <v>3.4482758620689724E-2</v>
      </c>
      <c r="Y97" s="1698">
        <f t="shared" si="95"/>
        <v>3.0927835051546282E-2</v>
      </c>
      <c r="Z97" s="1698">
        <f t="shared" si="96"/>
        <v>4.069501466275649E-2</v>
      </c>
      <c r="AA97" s="1859"/>
      <c r="AB97" s="1859"/>
      <c r="AC97" s="763"/>
      <c r="AD97" s="763"/>
      <c r="AE97" s="685"/>
      <c r="AF97" s="115"/>
      <c r="AG97" s="115"/>
      <c r="AH97" s="763"/>
      <c r="AI97" s="763"/>
      <c r="AJ97" s="763"/>
      <c r="AK97" s="763"/>
      <c r="AL97" s="685"/>
      <c r="AM97" s="685"/>
      <c r="AN97" s="685"/>
      <c r="AO97" s="685"/>
      <c r="AP97" s="685"/>
      <c r="AQ97" s="685"/>
      <c r="AR97" s="685"/>
      <c r="AS97" s="685"/>
      <c r="AT97" s="1859"/>
      <c r="AU97" s="1859"/>
      <c r="AV97" s="1859"/>
      <c r="AW97" s="685"/>
      <c r="AX97" s="685"/>
      <c r="AY97" s="685"/>
      <c r="AZ97" s="685"/>
      <c r="BA97" s="685"/>
      <c r="BB97" s="685"/>
      <c r="BC97" s="685"/>
      <c r="BN97" s="763"/>
      <c r="BO97" s="685"/>
      <c r="BP97" s="1883"/>
      <c r="BR97" s="1883"/>
      <c r="BS97" s="1698"/>
      <c r="BU97" s="685"/>
    </row>
    <row r="98" spans="1:73" ht="18.75">
      <c r="A98" s="763"/>
      <c r="B98" s="1699" t="s">
        <v>1082</v>
      </c>
      <c r="C98" s="1696"/>
      <c r="D98" s="1696"/>
      <c r="E98" s="1696"/>
      <c r="F98" s="1696"/>
      <c r="G98" s="1696"/>
      <c r="H98" s="1696"/>
      <c r="I98" s="1696"/>
      <c r="J98" s="1696"/>
      <c r="K98" s="1696"/>
      <c r="L98" s="1696"/>
      <c r="M98" s="1696"/>
      <c r="N98" s="1696"/>
      <c r="O98" s="1696"/>
      <c r="P98" s="1696"/>
      <c r="Q98" s="1696"/>
      <c r="R98" s="1696"/>
      <c r="S98" s="1696"/>
      <c r="T98" s="1696"/>
      <c r="U98" s="1696"/>
      <c r="V98" s="1696"/>
      <c r="W98" s="1696"/>
      <c r="X98" s="1696"/>
      <c r="Y98" s="1696"/>
      <c r="Z98" s="1696"/>
      <c r="AA98" s="1859"/>
      <c r="AB98" s="1859"/>
      <c r="AC98" s="763"/>
      <c r="AD98" s="763"/>
      <c r="AE98" s="685"/>
      <c r="AF98" s="115"/>
      <c r="AG98" s="115"/>
      <c r="AH98" s="763"/>
      <c r="AI98" s="763"/>
      <c r="AJ98" s="763"/>
      <c r="AK98" s="763"/>
      <c r="AL98" s="685"/>
      <c r="AM98" s="685"/>
      <c r="AN98" s="685"/>
      <c r="AO98" s="685"/>
      <c r="AP98" s="685"/>
      <c r="AQ98" s="685"/>
      <c r="AR98" s="685"/>
      <c r="AS98" s="685"/>
      <c r="AT98" s="1859"/>
      <c r="AU98" s="1859"/>
      <c r="AV98" s="1859"/>
      <c r="AW98" s="685"/>
      <c r="AX98" s="685"/>
      <c r="AY98" s="685"/>
      <c r="AZ98" s="685"/>
      <c r="BA98" s="685"/>
      <c r="BB98" s="685"/>
      <c r="BC98" s="685"/>
      <c r="BN98" s="763"/>
      <c r="BO98" s="685"/>
      <c r="BP98" s="1868"/>
      <c r="BR98" s="1868"/>
      <c r="BS98" s="1696"/>
      <c r="BU98" s="685"/>
    </row>
    <row r="99" spans="1:73" ht="18.75">
      <c r="A99" s="763"/>
      <c r="B99" s="1700" t="s">
        <v>1083</v>
      </c>
      <c r="C99" s="1694"/>
      <c r="D99" s="1694"/>
      <c r="E99" s="1694"/>
      <c r="F99" s="1694"/>
      <c r="G99" s="1698">
        <f t="shared" ref="G99:P101" si="97">G24/C24-1</f>
        <v>0.13358778625954204</v>
      </c>
      <c r="H99" s="1698">
        <f t="shared" si="97"/>
        <v>0.19787014771556155</v>
      </c>
      <c r="I99" s="1698">
        <f t="shared" si="97"/>
        <v>0.10879025239338547</v>
      </c>
      <c r="J99" s="1698">
        <f t="shared" si="97"/>
        <v>0.10627256317689526</v>
      </c>
      <c r="K99" s="1698">
        <f t="shared" si="97"/>
        <v>0.11717171717171726</v>
      </c>
      <c r="L99" s="1698">
        <f t="shared" si="97"/>
        <v>0.22225408660739898</v>
      </c>
      <c r="M99" s="1698">
        <f t="shared" si="97"/>
        <v>0.24071166928309795</v>
      </c>
      <c r="N99" s="1698">
        <f t="shared" si="97"/>
        <v>9.3412196614317766E-2</v>
      </c>
      <c r="O99" s="1698">
        <f t="shared" si="97"/>
        <v>0.2329716696805304</v>
      </c>
      <c r="P99" s="1698">
        <f t="shared" si="97"/>
        <v>7.5316752698263878E-2</v>
      </c>
      <c r="Q99" s="1698">
        <f t="shared" ref="Q99:W101" si="98">Q24/M24-1</f>
        <v>-4.6393926613243375E-2</v>
      </c>
      <c r="R99" s="1698">
        <f t="shared" si="98"/>
        <v>-5.1109867562022071E-2</v>
      </c>
      <c r="S99" s="1698">
        <f t="shared" si="98"/>
        <v>-0.23099486678073833</v>
      </c>
      <c r="T99" s="1698">
        <f t="shared" si="98"/>
        <v>-0.13942832205978606</v>
      </c>
      <c r="U99" s="1698">
        <f t="shared" si="98"/>
        <v>-2.8306059265811534E-2</v>
      </c>
      <c r="V99" s="1698">
        <f t="shared" si="98"/>
        <v>7.2537841556909788E-2</v>
      </c>
      <c r="W99" s="1698">
        <f t="shared" si="98"/>
        <v>0.16751430387794031</v>
      </c>
      <c r="X99" s="1698">
        <f t="shared" ref="X99:X101" si="99">X24/T24-1</f>
        <v>0.11561866125760645</v>
      </c>
      <c r="Y99" s="1698">
        <f t="shared" ref="Y99:Y101" si="100">Y24/U24-1</f>
        <v>8.1019572143832486E-2</v>
      </c>
      <c r="Z99" s="1698">
        <f t="shared" ref="Z99:Z101" si="101">Z24/V24-1</f>
        <v>-3.0839442815249529E-2</v>
      </c>
      <c r="AA99" s="1859"/>
      <c r="AB99" s="1859"/>
      <c r="AC99" s="763"/>
      <c r="AD99" s="763"/>
      <c r="AE99" s="685"/>
      <c r="AF99" s="115"/>
      <c r="AG99" s="115"/>
      <c r="AH99" s="763"/>
      <c r="AI99" s="763"/>
      <c r="AJ99" s="763"/>
      <c r="AK99" s="763"/>
      <c r="AL99" s="685"/>
      <c r="AM99" s="685"/>
      <c r="AN99" s="685"/>
      <c r="AO99" s="685"/>
      <c r="AP99" s="685"/>
      <c r="AQ99" s="685"/>
      <c r="AR99" s="685"/>
      <c r="AS99" s="685"/>
      <c r="AT99" s="1859"/>
      <c r="AU99" s="1859"/>
      <c r="AV99" s="1859"/>
      <c r="AW99" s="685"/>
      <c r="AX99" s="685"/>
      <c r="AY99" s="685"/>
      <c r="AZ99" s="685"/>
      <c r="BA99" s="685"/>
      <c r="BB99" s="685"/>
      <c r="BC99" s="685"/>
      <c r="BN99" s="763"/>
      <c r="BO99" s="685"/>
      <c r="BP99" s="1883"/>
      <c r="BR99" s="1883"/>
      <c r="BS99" s="1698"/>
      <c r="BU99" s="685"/>
    </row>
    <row r="100" spans="1:73" ht="18.75">
      <c r="A100" s="763"/>
      <c r="B100" s="1701" t="str">
        <f>B25</f>
        <v>Advertising</v>
      </c>
      <c r="C100" s="1696"/>
      <c r="D100" s="1696"/>
      <c r="E100" s="1696"/>
      <c r="F100" s="1696"/>
      <c r="G100" s="1697">
        <f t="shared" si="97"/>
        <v>7.2727272727272751E-2</v>
      </c>
      <c r="H100" s="1697">
        <f t="shared" si="97"/>
        <v>0.14455958549222792</v>
      </c>
      <c r="I100" s="1697">
        <f t="shared" si="97"/>
        <v>8.6307053941908851E-2</v>
      </c>
      <c r="J100" s="1697">
        <f t="shared" si="97"/>
        <v>4.4346549192364249E-2</v>
      </c>
      <c r="K100" s="1697">
        <f t="shared" si="97"/>
        <v>0.18079096045197751</v>
      </c>
      <c r="L100" s="1697">
        <f t="shared" si="97"/>
        <v>0.28972385694884539</v>
      </c>
      <c r="M100" s="1697">
        <f t="shared" si="97"/>
        <v>0.21466768525592039</v>
      </c>
      <c r="N100" s="1697">
        <f t="shared" si="97"/>
        <v>0.10461192350956128</v>
      </c>
      <c r="O100" s="1697">
        <f t="shared" si="97"/>
        <v>0.18899521531100483</v>
      </c>
      <c r="P100" s="1697">
        <f t="shared" si="97"/>
        <v>0.13232713232713245</v>
      </c>
      <c r="Q100" s="1697">
        <f t="shared" si="98"/>
        <v>-5.9748427672955406E-3</v>
      </c>
      <c r="R100" s="1697">
        <f t="shared" si="98"/>
        <v>-3.9205702647657881E-2</v>
      </c>
      <c r="S100" s="1697">
        <f t="shared" si="98"/>
        <v>-0.15734406438631787</v>
      </c>
      <c r="T100" s="1697">
        <f t="shared" si="98"/>
        <v>-0.11004339739615621</v>
      </c>
      <c r="U100" s="1697">
        <f t="shared" si="98"/>
        <v>3.4482758620689502E-2</v>
      </c>
      <c r="V100" s="1697">
        <f t="shared" si="98"/>
        <v>0.14758876523582409</v>
      </c>
      <c r="W100" s="1697">
        <f t="shared" si="98"/>
        <v>0.12559694364851959</v>
      </c>
      <c r="X100" s="1697">
        <f t="shared" si="99"/>
        <v>0.11459421804249392</v>
      </c>
      <c r="Y100" s="1697">
        <f t="shared" si="100"/>
        <v>7.0336391437308965E-2</v>
      </c>
      <c r="Z100" s="1697">
        <f t="shared" si="101"/>
        <v>-4.4724082198106641E-2</v>
      </c>
      <c r="AA100" s="1859"/>
      <c r="AB100" s="1859"/>
      <c r="AC100" s="763"/>
      <c r="AD100" s="763"/>
      <c r="AE100" s="685"/>
      <c r="AF100" s="115"/>
      <c r="AG100" s="115"/>
      <c r="AH100" s="763"/>
      <c r="AI100" s="763"/>
      <c r="AJ100" s="763"/>
      <c r="AK100" s="763"/>
      <c r="AL100" s="685"/>
      <c r="AM100" s="685"/>
      <c r="AN100" s="685"/>
      <c r="AO100" s="685"/>
      <c r="AP100" s="685"/>
      <c r="AQ100" s="685"/>
      <c r="AR100" s="685"/>
      <c r="AS100" s="685"/>
      <c r="AT100" s="1859"/>
      <c r="AU100" s="1859"/>
      <c r="AV100" s="1859"/>
      <c r="AW100" s="685"/>
      <c r="AX100" s="685"/>
      <c r="AY100" s="685"/>
      <c r="AZ100" s="685"/>
      <c r="BA100" s="685"/>
      <c r="BB100" s="685"/>
      <c r="BC100" s="685"/>
      <c r="BN100" s="763"/>
      <c r="BO100" s="685"/>
      <c r="BP100" s="1883"/>
      <c r="BR100" s="1883"/>
      <c r="BS100" s="1697"/>
      <c r="BU100" s="685"/>
    </row>
    <row r="101" spans="1:73" ht="18.75">
      <c r="A101" s="763"/>
      <c r="B101" s="1702" t="str">
        <f>B26</f>
        <v>Subscription &amp; Licensing</v>
      </c>
      <c r="C101" s="1694"/>
      <c r="D101" s="1694"/>
      <c r="E101" s="1694"/>
      <c r="F101" s="1694"/>
      <c r="G101" s="1698">
        <f t="shared" si="97"/>
        <v>0.11494252873563227</v>
      </c>
      <c r="H101" s="1698">
        <f t="shared" si="97"/>
        <v>9.8039215686274606E-2</v>
      </c>
      <c r="I101" s="1698">
        <f t="shared" si="97"/>
        <v>0.13907284768211925</v>
      </c>
      <c r="J101" s="1698">
        <f t="shared" si="97"/>
        <v>0.20414847161572047</v>
      </c>
      <c r="K101" s="1698">
        <f t="shared" si="97"/>
        <v>0.134020618556701</v>
      </c>
      <c r="L101" s="1698">
        <f t="shared" si="97"/>
        <v>0.27480158730158744</v>
      </c>
      <c r="M101" s="1698">
        <f t="shared" si="97"/>
        <v>0.38856589147286824</v>
      </c>
      <c r="N101" s="1698">
        <f t="shared" si="97"/>
        <v>0.10879419764279241</v>
      </c>
      <c r="O101" s="1698">
        <f t="shared" si="97"/>
        <v>0.33545454545454545</v>
      </c>
      <c r="P101" s="1698">
        <f t="shared" si="97"/>
        <v>-3.424124513618676E-2</v>
      </c>
      <c r="Q101" s="1698">
        <f t="shared" si="98"/>
        <v>-0.11653872993719483</v>
      </c>
      <c r="R101" s="1698">
        <f t="shared" si="98"/>
        <v>-2.5347506132461062E-2</v>
      </c>
      <c r="S101" s="1698">
        <f t="shared" si="98"/>
        <v>-0.36010891763104158</v>
      </c>
      <c r="T101" s="1698">
        <f t="shared" si="98"/>
        <v>-0.23448831587429486</v>
      </c>
      <c r="U101" s="1698">
        <f t="shared" si="98"/>
        <v>-0.17219589257503953</v>
      </c>
      <c r="V101" s="1698">
        <f t="shared" si="98"/>
        <v>-0.11912751677852351</v>
      </c>
      <c r="W101" s="1698">
        <f t="shared" si="98"/>
        <v>0.2808510638297872</v>
      </c>
      <c r="X101" s="1698">
        <f t="shared" si="99"/>
        <v>0.15789473684210531</v>
      </c>
      <c r="Y101" s="1698">
        <f t="shared" si="100"/>
        <v>9.7328244274809128E-2</v>
      </c>
      <c r="Z101" s="1698">
        <f t="shared" si="101"/>
        <v>2.3238095238087286E-3</v>
      </c>
      <c r="AA101" s="1859"/>
      <c r="AB101" s="1859"/>
      <c r="AC101" s="763"/>
      <c r="AD101" s="763"/>
      <c r="AE101" s="685"/>
      <c r="AF101" s="115"/>
      <c r="AG101" s="115"/>
      <c r="AH101" s="763"/>
      <c r="AI101" s="763"/>
      <c r="AJ101" s="763"/>
      <c r="AK101" s="763"/>
      <c r="AL101" s="685"/>
      <c r="AM101" s="685"/>
      <c r="AN101" s="685"/>
      <c r="AO101" s="685"/>
      <c r="AP101" s="685"/>
      <c r="AQ101" s="685"/>
      <c r="AR101" s="685"/>
      <c r="AS101" s="685"/>
      <c r="AT101" s="1859"/>
      <c r="AU101" s="1859"/>
      <c r="AV101" s="1859"/>
      <c r="AW101" s="685"/>
      <c r="AX101" s="685"/>
      <c r="AY101" s="685"/>
      <c r="AZ101" s="685"/>
      <c r="BA101" s="685"/>
      <c r="BB101" s="685"/>
      <c r="BC101" s="685"/>
      <c r="BN101" s="763"/>
      <c r="BO101" s="685"/>
      <c r="BP101" s="1883"/>
      <c r="BR101" s="1883"/>
      <c r="BS101" s="1698"/>
      <c r="BU101" s="685"/>
    </row>
    <row r="102" spans="1:73" ht="18.75">
      <c r="A102" s="763"/>
      <c r="B102" s="1699" t="s">
        <v>1084</v>
      </c>
      <c r="C102" s="1696"/>
      <c r="D102" s="1696"/>
      <c r="E102" s="1696"/>
      <c r="F102" s="1696"/>
      <c r="G102" s="1696"/>
      <c r="H102" s="1696"/>
      <c r="I102" s="1696"/>
      <c r="J102" s="1696"/>
      <c r="K102" s="1696"/>
      <c r="L102" s="1696"/>
      <c r="M102" s="1696"/>
      <c r="N102" s="1696"/>
      <c r="O102" s="1696"/>
      <c r="P102" s="1696"/>
      <c r="Q102" s="1696"/>
      <c r="R102" s="1696"/>
      <c r="S102" s="1696"/>
      <c r="T102" s="1696"/>
      <c r="U102" s="1696"/>
      <c r="V102" s="1696"/>
      <c r="W102" s="1696"/>
      <c r="X102" s="1696"/>
      <c r="Y102" s="1696"/>
      <c r="Z102" s="1696"/>
      <c r="AA102" s="1859"/>
      <c r="AB102" s="1859"/>
      <c r="AC102" s="763"/>
      <c r="AD102" s="763"/>
      <c r="AE102" s="685"/>
      <c r="AF102" s="115"/>
      <c r="AG102" s="115"/>
      <c r="AH102" s="763"/>
      <c r="AI102" s="763"/>
      <c r="AJ102" s="763"/>
      <c r="AK102" s="763"/>
      <c r="AL102" s="685"/>
      <c r="AM102" s="685"/>
      <c r="AN102" s="685"/>
      <c r="AO102" s="685"/>
      <c r="AP102" s="685"/>
      <c r="AQ102" s="685"/>
      <c r="AR102" s="685"/>
      <c r="AS102" s="685"/>
      <c r="AT102" s="1859"/>
      <c r="AU102" s="1859"/>
      <c r="AV102" s="1859"/>
      <c r="AW102" s="685"/>
      <c r="AX102" s="685"/>
      <c r="AY102" s="685"/>
      <c r="AZ102" s="685"/>
      <c r="BA102" s="685"/>
      <c r="BB102" s="685"/>
      <c r="BC102" s="685"/>
      <c r="BN102" s="763"/>
      <c r="BO102" s="685"/>
      <c r="BP102" s="1868"/>
      <c r="BR102" s="1868"/>
      <c r="BS102" s="1696"/>
      <c r="BU102" s="685"/>
    </row>
    <row r="103" spans="1:73" ht="18.75">
      <c r="A103" s="763"/>
      <c r="B103" s="1700" t="s">
        <v>1083</v>
      </c>
      <c r="C103" s="1694"/>
      <c r="D103" s="1694"/>
      <c r="E103" s="1694"/>
      <c r="F103" s="1694"/>
      <c r="G103" s="1698">
        <f t="shared" ref="G103:T103" si="102">G73</f>
        <v>0.14224466876678576</v>
      </c>
      <c r="H103" s="1698">
        <f t="shared" si="102"/>
        <v>0.19871655265470389</v>
      </c>
      <c r="I103" s="1698">
        <f t="shared" si="102"/>
        <v>0.11950675014769097</v>
      </c>
      <c r="J103" s="1698">
        <f t="shared" si="102"/>
        <v>4.8737386338544741E-2</v>
      </c>
      <c r="K103" s="1698">
        <f t="shared" si="102"/>
        <v>1.6372500044069982E-2</v>
      </c>
      <c r="L103" s="1698">
        <f t="shared" si="102"/>
        <v>7.8462619305520898E-2</v>
      </c>
      <c r="M103" s="1698">
        <f t="shared" si="102"/>
        <v>4.6714175694282156E-2</v>
      </c>
      <c r="N103" s="1698">
        <f t="shared" si="102"/>
        <v>-2.4435712729324433E-2</v>
      </c>
      <c r="O103" s="1698">
        <f t="shared" si="102"/>
        <v>0.12178623459565818</v>
      </c>
      <c r="P103" s="1698">
        <f t="shared" si="102"/>
        <v>4.9541693586759417E-2</v>
      </c>
      <c r="Q103" s="1698">
        <f t="shared" si="102"/>
        <v>5.6955296337283912E-2</v>
      </c>
      <c r="R103" s="1698">
        <f t="shared" si="102"/>
        <v>8.4600345111443653E-2</v>
      </c>
      <c r="S103" s="1698">
        <f t="shared" si="102"/>
        <v>-7.4203012865673768E-2</v>
      </c>
      <c r="T103" s="1698">
        <f t="shared" si="102"/>
        <v>-2.7678724460593274E-2</v>
      </c>
      <c r="U103" s="1698">
        <f t="shared" ref="U103:W105" si="103">U73</f>
        <v>-4.4740629087954176E-2</v>
      </c>
      <c r="V103" s="1698">
        <f t="shared" si="103"/>
        <v>-2.1563185419169795E-2</v>
      </c>
      <c r="W103" s="1698">
        <f t="shared" si="103"/>
        <v>3.9022895851092976E-3</v>
      </c>
      <c r="X103" s="1698"/>
      <c r="Y103" s="1698"/>
      <c r="Z103" s="1698"/>
      <c r="AA103" s="1859"/>
      <c r="AB103" s="1859"/>
      <c r="AC103" s="763"/>
      <c r="AD103" s="763"/>
      <c r="AE103" s="685"/>
      <c r="AF103" s="115"/>
      <c r="AG103" s="115"/>
      <c r="AH103" s="763"/>
      <c r="AI103" s="763"/>
      <c r="AJ103" s="763"/>
      <c r="AK103" s="763"/>
      <c r="AL103" s="685"/>
      <c r="AM103" s="685"/>
      <c r="AN103" s="685"/>
      <c r="AO103" s="685"/>
      <c r="AP103" s="685"/>
      <c r="AQ103" s="685"/>
      <c r="AR103" s="685"/>
      <c r="AS103" s="685"/>
      <c r="AT103" s="1859"/>
      <c r="AU103" s="1859"/>
      <c r="AV103" s="1859"/>
      <c r="AW103" s="685"/>
      <c r="AX103" s="685"/>
      <c r="AY103" s="685"/>
      <c r="AZ103" s="685"/>
      <c r="BA103" s="685"/>
      <c r="BB103" s="685"/>
      <c r="BC103" s="685"/>
      <c r="BN103" s="763"/>
      <c r="BO103" s="685"/>
      <c r="BP103" s="1883"/>
      <c r="BR103" s="1883"/>
      <c r="BS103" s="1698"/>
      <c r="BU103" s="685"/>
    </row>
    <row r="104" spans="1:73" ht="18.75">
      <c r="A104" s="763"/>
      <c r="B104" s="1701" t="s">
        <v>189</v>
      </c>
      <c r="C104" s="1696"/>
      <c r="D104" s="1696"/>
      <c r="E104" s="1696"/>
      <c r="F104" s="1696"/>
      <c r="G104" s="1697">
        <f t="shared" ref="G104:T104" si="104">G74</f>
        <v>8.0919381071134167E-2</v>
      </c>
      <c r="H104" s="1697">
        <f t="shared" si="104"/>
        <v>0.14536832163792024</v>
      </c>
      <c r="I104" s="1697">
        <f t="shared" si="104"/>
        <v>9.6806250772802471E-2</v>
      </c>
      <c r="J104" s="1697">
        <f t="shared" si="104"/>
        <v>-9.9679709253112092E-3</v>
      </c>
      <c r="K104" s="1697">
        <f t="shared" si="104"/>
        <v>7.4251560487318846E-2</v>
      </c>
      <c r="L104" s="1697">
        <f t="shared" si="104"/>
        <v>0.13799494244820543</v>
      </c>
      <c r="M104" s="1697">
        <f t="shared" si="104"/>
        <v>2.4742425167785242E-2</v>
      </c>
      <c r="N104" s="1697">
        <f t="shared" si="104"/>
        <v>-1.4443091812879283E-2</v>
      </c>
      <c r="O104" s="1697">
        <f t="shared" si="104"/>
        <v>8.1775435993254098E-2</v>
      </c>
      <c r="P104" s="1697">
        <f t="shared" si="104"/>
        <v>0.10518554944371061</v>
      </c>
      <c r="Q104" s="1697">
        <f t="shared" si="104"/>
        <v>0.10175489014896133</v>
      </c>
      <c r="R104" s="1697">
        <f t="shared" si="104"/>
        <v>9.8207043013560202E-2</v>
      </c>
      <c r="S104" s="1697">
        <f t="shared" si="104"/>
        <v>1.4464393906159501E-2</v>
      </c>
      <c r="T104" s="1697">
        <f t="shared" si="104"/>
        <v>5.5219817245746317E-3</v>
      </c>
      <c r="U104" s="1697">
        <f t="shared" si="103"/>
        <v>1.6986221476999352E-2</v>
      </c>
      <c r="V104" s="1697">
        <f t="shared" si="103"/>
        <v>4.6903011157307217E-2</v>
      </c>
      <c r="W104" s="1697">
        <f t="shared" si="103"/>
        <v>-3.2140895297428029E-2</v>
      </c>
      <c r="X104" s="1697"/>
      <c r="Y104" s="1697"/>
      <c r="Z104" s="1697"/>
      <c r="AA104" s="1859"/>
      <c r="AB104" s="1859"/>
      <c r="AC104" s="763"/>
      <c r="AD104" s="763"/>
      <c r="AE104" s="685"/>
      <c r="AF104" s="115"/>
      <c r="AG104" s="115"/>
      <c r="AH104" s="763"/>
      <c r="AI104" s="763"/>
      <c r="AJ104" s="763"/>
      <c r="AK104" s="763"/>
      <c r="AL104" s="685"/>
      <c r="AM104" s="685"/>
      <c r="AN104" s="685"/>
      <c r="AO104" s="685"/>
      <c r="AP104" s="685"/>
      <c r="AQ104" s="685"/>
      <c r="AR104" s="685"/>
      <c r="AS104" s="685"/>
      <c r="AT104" s="1859"/>
      <c r="AU104" s="1859"/>
      <c r="AV104" s="1859"/>
      <c r="AW104" s="685"/>
      <c r="AX104" s="685"/>
      <c r="AY104" s="685"/>
      <c r="AZ104" s="685"/>
      <c r="BA104" s="685"/>
      <c r="BB104" s="685"/>
      <c r="BC104" s="685"/>
      <c r="BN104" s="763"/>
      <c r="BO104" s="685"/>
      <c r="BP104" s="1883">
        <v>1.5678769418762117E-2</v>
      </c>
      <c r="BR104" s="1883"/>
      <c r="BS104" s="1697"/>
      <c r="BU104" s="685"/>
    </row>
    <row r="105" spans="1:73" ht="18.75">
      <c r="A105" s="763"/>
      <c r="B105" s="1702" t="s">
        <v>1071</v>
      </c>
      <c r="C105" s="1694"/>
      <c r="D105" s="1694"/>
      <c r="E105" s="1694"/>
      <c r="F105" s="1694"/>
      <c r="G105" s="1698">
        <f t="shared" ref="G105:T105" si="105">G75</f>
        <v>0.12345702279651283</v>
      </c>
      <c r="H105" s="1698">
        <f t="shared" si="105"/>
        <v>9.8815080931185406E-2</v>
      </c>
      <c r="I105" s="1698">
        <f t="shared" si="105"/>
        <v>0.15008202781138724</v>
      </c>
      <c r="J105" s="1698">
        <f t="shared" si="105"/>
        <v>0.14152295096185452</v>
      </c>
      <c r="K105" s="1698">
        <f t="shared" si="105"/>
        <v>3.1701173121299053E-2</v>
      </c>
      <c r="L105" s="1698">
        <f t="shared" si="105"/>
        <v>0.12482819570863435</v>
      </c>
      <c r="M105" s="1698">
        <f t="shared" si="105"/>
        <v>0.17144993351278348</v>
      </c>
      <c r="N105" s="1698">
        <f t="shared" si="105"/>
        <v>-1.0711582966910549E-2</v>
      </c>
      <c r="O105" s="1698">
        <f t="shared" si="105"/>
        <v>0.21502753295805666</v>
      </c>
      <c r="P105" s="1698">
        <f t="shared" si="105"/>
        <v>-5.7390227918800107E-2</v>
      </c>
      <c r="Q105" s="1698">
        <f t="shared" si="105"/>
        <v>-2.0791609280124579E-2</v>
      </c>
      <c r="R105" s="1698">
        <f t="shared" si="105"/>
        <v>0.11404723800471972</v>
      </c>
      <c r="S105" s="1698">
        <f t="shared" si="105"/>
        <v>-0.22964202635251496</v>
      </c>
      <c r="T105" s="1698">
        <f t="shared" si="105"/>
        <v>-0.13508274066029036</v>
      </c>
      <c r="U105" s="1698">
        <f t="shared" si="103"/>
        <v>-0.18619680771119096</v>
      </c>
      <c r="V105" s="1698">
        <f t="shared" si="103"/>
        <v>-0.19641244053075668</v>
      </c>
      <c r="W105" s="1698">
        <f t="shared" si="103"/>
        <v>0.10135636996073782</v>
      </c>
      <c r="X105" s="1698"/>
      <c r="Y105" s="1698"/>
      <c r="Z105" s="1698"/>
      <c r="AA105" s="1859"/>
      <c r="AB105" s="1859"/>
      <c r="AC105" s="763"/>
      <c r="AD105" s="763"/>
      <c r="AE105" s="685"/>
      <c r="AF105" s="115"/>
      <c r="AG105" s="115"/>
      <c r="AH105" s="763"/>
      <c r="AI105" s="763"/>
      <c r="AJ105" s="763"/>
      <c r="AK105" s="763"/>
      <c r="AL105" s="685"/>
      <c r="AM105" s="685"/>
      <c r="AN105" s="685"/>
      <c r="AO105" s="685"/>
      <c r="AP105" s="685"/>
      <c r="AQ105" s="685"/>
      <c r="AR105" s="685"/>
      <c r="AS105" s="685"/>
      <c r="AT105" s="1859"/>
      <c r="AU105" s="1859"/>
      <c r="AV105" s="1859"/>
      <c r="AW105" s="685"/>
      <c r="AX105" s="685"/>
      <c r="AY105" s="685"/>
      <c r="AZ105" s="685"/>
      <c r="BA105" s="685"/>
      <c r="BB105" s="685"/>
      <c r="BC105" s="685"/>
      <c r="BN105" s="763"/>
      <c r="BO105" s="685"/>
      <c r="BP105" s="1883"/>
      <c r="BR105" s="1883"/>
      <c r="BS105" s="1698"/>
      <c r="BU105" s="685"/>
    </row>
    <row r="106" spans="1:73">
      <c r="A106" s="763"/>
      <c r="B106" s="788"/>
      <c r="C106" s="685"/>
      <c r="D106" s="685"/>
      <c r="E106" s="685"/>
      <c r="F106" s="685"/>
      <c r="G106" s="685"/>
      <c r="H106" s="685"/>
      <c r="I106" s="685"/>
      <c r="J106" s="685"/>
      <c r="K106" s="685"/>
      <c r="L106" s="814"/>
      <c r="M106" s="685"/>
      <c r="N106" s="685"/>
      <c r="O106" s="685"/>
      <c r="P106" s="814"/>
      <c r="Q106" s="814"/>
      <c r="R106" s="814"/>
      <c r="S106" s="814"/>
      <c r="T106" s="814"/>
      <c r="U106" s="814"/>
      <c r="V106" s="814"/>
      <c r="W106" s="814"/>
      <c r="X106" s="814"/>
      <c r="Y106" s="814"/>
      <c r="Z106" s="814"/>
      <c r="AA106" s="1859"/>
      <c r="AB106" s="1859"/>
      <c r="AC106" s="763"/>
      <c r="AD106" s="763"/>
      <c r="AE106" s="685"/>
      <c r="AF106" s="115"/>
      <c r="AG106" s="115"/>
      <c r="AH106" s="763"/>
      <c r="AI106" s="763"/>
      <c r="AJ106" s="763"/>
      <c r="AK106" s="763"/>
      <c r="AL106" s="685"/>
      <c r="AM106" s="685"/>
      <c r="AN106" s="685"/>
      <c r="AO106" s="685"/>
      <c r="AP106" s="685"/>
      <c r="AQ106" s="685"/>
      <c r="AR106" s="685"/>
      <c r="AS106" s="685"/>
      <c r="AT106" s="1859"/>
      <c r="AU106" s="1859"/>
      <c r="AV106" s="1859"/>
      <c r="AW106" s="685"/>
      <c r="AX106" s="685"/>
      <c r="AY106" s="685"/>
      <c r="AZ106" s="685"/>
      <c r="BA106" s="685"/>
      <c r="BB106" s="685"/>
      <c r="BC106" s="685"/>
      <c r="BN106" s="763"/>
      <c r="BO106" s="685"/>
      <c r="BP106" s="1873"/>
      <c r="BR106" s="1873"/>
      <c r="BS106" s="814"/>
      <c r="BU106" s="685"/>
    </row>
    <row r="107" spans="1:73">
      <c r="AA107" s="1884"/>
      <c r="AB107" s="1884"/>
      <c r="AF107" s="115"/>
      <c r="AG107" s="115"/>
      <c r="AT107" s="1884"/>
      <c r="AU107" s="1884"/>
      <c r="AV107" s="1884"/>
      <c r="BP107" s="1884"/>
      <c r="BR107" s="1884"/>
    </row>
    <row r="108" spans="1:73" ht="24" customHeight="1">
      <c r="A108" s="763"/>
      <c r="B108" s="685"/>
      <c r="C108" s="685"/>
      <c r="D108" s="685"/>
      <c r="E108" s="685"/>
      <c r="F108" s="685"/>
      <c r="G108" s="685"/>
      <c r="H108" s="685"/>
      <c r="I108" s="685"/>
      <c r="J108" s="685"/>
      <c r="K108" s="685"/>
      <c r="L108" s="685"/>
      <c r="M108" s="685"/>
      <c r="N108" s="685"/>
      <c r="O108" s="685"/>
      <c r="P108" s="685"/>
      <c r="Q108" s="685"/>
      <c r="R108" s="685"/>
      <c r="S108" s="685"/>
      <c r="T108" s="685"/>
      <c r="U108" s="685"/>
      <c r="V108" s="685"/>
      <c r="W108" s="685"/>
      <c r="X108" s="685"/>
      <c r="Y108" s="685"/>
      <c r="Z108" s="685"/>
      <c r="AA108" s="1861"/>
      <c r="AB108" s="1861"/>
      <c r="AC108" s="763"/>
      <c r="AD108" s="816"/>
      <c r="AE108" s="768"/>
      <c r="AF108" s="115"/>
      <c r="AG108" s="115"/>
      <c r="AH108" s="766"/>
      <c r="AI108" s="766"/>
      <c r="AJ108" s="766"/>
      <c r="AK108" s="766"/>
      <c r="AL108" s="809"/>
      <c r="AM108" s="809"/>
      <c r="AN108" s="685"/>
      <c r="AO108" s="685"/>
      <c r="AP108" s="685"/>
      <c r="AQ108" s="685"/>
      <c r="AR108" s="685"/>
      <c r="AS108" s="685"/>
      <c r="AT108" s="1859"/>
      <c r="AU108" s="1859"/>
      <c r="AV108" s="1859"/>
      <c r="AW108" s="685"/>
      <c r="AX108" s="685"/>
      <c r="AY108" s="685"/>
      <c r="AZ108" s="685"/>
      <c r="BA108" s="685"/>
      <c r="BB108" s="685"/>
      <c r="BC108" s="685"/>
      <c r="BN108" s="766"/>
      <c r="BO108" s="763"/>
      <c r="BP108" s="1859"/>
      <c r="BR108" s="1859"/>
      <c r="BS108" s="685"/>
      <c r="BU108" s="789"/>
    </row>
    <row r="109" spans="1:73">
      <c r="A109" s="763"/>
      <c r="B109" s="941"/>
      <c r="C109" s="1458" t="str">
        <f t="shared" ref="C109:U109" si="106">C2</f>
        <v>Q1 21</v>
      </c>
      <c r="D109" s="1458" t="str">
        <f t="shared" si="106"/>
        <v>Q2 21</v>
      </c>
      <c r="E109" s="1458" t="str">
        <f t="shared" si="106"/>
        <v>Q3 21</v>
      </c>
      <c r="F109" s="1458" t="str">
        <f t="shared" si="106"/>
        <v>Q4 21</v>
      </c>
      <c r="G109" s="1458" t="str">
        <f t="shared" si="106"/>
        <v>Q1 22</v>
      </c>
      <c r="H109" s="1458" t="str">
        <f t="shared" si="106"/>
        <v>Q2 22</v>
      </c>
      <c r="I109" s="1458" t="str">
        <f t="shared" si="106"/>
        <v>Q3 22</v>
      </c>
      <c r="J109" s="1458" t="str">
        <f t="shared" si="106"/>
        <v>Q4 22</v>
      </c>
      <c r="K109" s="1458" t="str">
        <f t="shared" si="106"/>
        <v>Q1 23</v>
      </c>
      <c r="L109" s="1458" t="str">
        <f t="shared" si="106"/>
        <v>Q2 23</v>
      </c>
      <c r="M109" s="1458" t="str">
        <f t="shared" si="106"/>
        <v>Q3 23</v>
      </c>
      <c r="N109" s="1458" t="str">
        <f t="shared" si="106"/>
        <v>Q4 23</v>
      </c>
      <c r="O109" s="1458" t="str">
        <f t="shared" si="106"/>
        <v>Q1 24</v>
      </c>
      <c r="P109" s="1458" t="str">
        <f t="shared" si="106"/>
        <v>Q2 24</v>
      </c>
      <c r="Q109" s="1458" t="str">
        <f t="shared" si="106"/>
        <v>Q3 24</v>
      </c>
      <c r="R109" s="1458" t="str">
        <f t="shared" si="106"/>
        <v>Q4 24</v>
      </c>
      <c r="S109" s="1458" t="str">
        <f t="shared" si="106"/>
        <v>Q1 25</v>
      </c>
      <c r="T109" s="1458" t="str">
        <f t="shared" si="106"/>
        <v>Q2 25</v>
      </c>
      <c r="U109" s="1458" t="str">
        <f t="shared" si="106"/>
        <v>Q3 25</v>
      </c>
      <c r="V109" s="1458" t="str">
        <f>V2</f>
        <v>Q4 25</v>
      </c>
      <c r="W109" s="1458" t="str">
        <f>W2</f>
        <v>Q1 26</v>
      </c>
      <c r="X109" s="1458" t="str">
        <f t="shared" ref="X109:Z109" si="107">X2</f>
        <v>Q2 26</v>
      </c>
      <c r="Y109" s="1458" t="str">
        <f t="shared" si="107"/>
        <v>Q3 26</v>
      </c>
      <c r="Z109" s="1458" t="str">
        <f t="shared" si="107"/>
        <v>Q4 26</v>
      </c>
      <c r="AA109" s="1859"/>
      <c r="AB109" s="1859"/>
      <c r="AC109" s="763"/>
      <c r="AD109" s="763"/>
      <c r="AE109" s="763"/>
      <c r="AF109" s="115"/>
      <c r="AG109" s="115"/>
      <c r="AH109" s="763"/>
      <c r="AI109" s="763"/>
      <c r="AJ109" s="763"/>
      <c r="AK109" s="763"/>
      <c r="AL109" s="685"/>
      <c r="AM109" s="685"/>
      <c r="AN109" s="685"/>
      <c r="AO109" s="685"/>
      <c r="AP109" s="685"/>
      <c r="AQ109" s="685"/>
      <c r="AR109" s="685"/>
      <c r="AS109" s="685"/>
      <c r="AT109" s="1859"/>
      <c r="AU109" s="1859"/>
      <c r="AV109" s="1859"/>
      <c r="AW109" s="685"/>
      <c r="AX109" s="685"/>
      <c r="AY109" s="685"/>
      <c r="AZ109" s="685"/>
      <c r="BA109" s="685"/>
      <c r="BB109" s="685"/>
      <c r="BC109" s="685"/>
      <c r="BN109" s="763"/>
      <c r="BO109" s="763"/>
      <c r="BP109" s="1885"/>
      <c r="BR109" s="1885"/>
      <c r="BS109" s="1840"/>
      <c r="BU109" s="685"/>
    </row>
    <row r="110" spans="1:73">
      <c r="A110" s="763"/>
      <c r="B110" s="947" t="s">
        <v>1085</v>
      </c>
      <c r="C110" s="1459">
        <f>Interims!ED8</f>
        <v>0.28074835869606485</v>
      </c>
      <c r="D110" s="1459">
        <f>Interims!EE8</f>
        <v>0.32092259256724387</v>
      </c>
      <c r="E110" s="1459">
        <f>Interims!EF8</f>
        <v>0.15834213812313913</v>
      </c>
      <c r="F110" s="1459">
        <f>Interims!EG8</f>
        <v>7.1679666872859427E-2</v>
      </c>
      <c r="G110" s="1459">
        <f t="shared" ref="G110:L110" si="108">G104</f>
        <v>8.0919381071134167E-2</v>
      </c>
      <c r="H110" s="1459">
        <f t="shared" si="108"/>
        <v>0.14536832163792024</v>
      </c>
      <c r="I110" s="1459">
        <f t="shared" si="108"/>
        <v>9.6806250772802471E-2</v>
      </c>
      <c r="J110" s="1459">
        <f t="shared" si="108"/>
        <v>-9.9679709253112092E-3</v>
      </c>
      <c r="K110" s="1459">
        <f t="shared" si="108"/>
        <v>7.4251560487318846E-2</v>
      </c>
      <c r="L110" s="1459">
        <f t="shared" si="108"/>
        <v>0.13799494244820543</v>
      </c>
      <c r="M110" s="1459">
        <f t="shared" ref="M110:W110" si="109">M104</f>
        <v>2.4742425167785242E-2</v>
      </c>
      <c r="N110" s="1459">
        <f t="shared" si="109"/>
        <v>-1.4443091812879283E-2</v>
      </c>
      <c r="O110" s="1459">
        <f t="shared" si="109"/>
        <v>8.1775435993254098E-2</v>
      </c>
      <c r="P110" s="1459">
        <f t="shared" si="109"/>
        <v>0.10518554944371061</v>
      </c>
      <c r="Q110" s="1459">
        <f t="shared" si="109"/>
        <v>0.10175489014896133</v>
      </c>
      <c r="R110" s="1459">
        <f t="shared" si="109"/>
        <v>9.8207043013560202E-2</v>
      </c>
      <c r="S110" s="1459">
        <f t="shared" si="109"/>
        <v>1.4464393906159501E-2</v>
      </c>
      <c r="T110" s="1459">
        <f t="shared" si="109"/>
        <v>5.5219817245746317E-3</v>
      </c>
      <c r="U110" s="1459">
        <f t="shared" si="109"/>
        <v>1.6986221476999352E-2</v>
      </c>
      <c r="V110" s="1459">
        <f t="shared" si="109"/>
        <v>4.6903011157307217E-2</v>
      </c>
      <c r="W110" s="1459">
        <f t="shared" si="109"/>
        <v>-3.2140895297428029E-2</v>
      </c>
      <c r="X110" s="1459">
        <f t="shared" ref="X110:Z110" si="110">X104</f>
        <v>0</v>
      </c>
      <c r="Y110" s="1459">
        <f t="shared" si="110"/>
        <v>0</v>
      </c>
      <c r="Z110" s="1459">
        <f t="shared" si="110"/>
        <v>0</v>
      </c>
      <c r="AA110" s="1859"/>
      <c r="AB110" s="1859"/>
      <c r="AC110" s="763"/>
      <c r="AD110" s="763"/>
      <c r="AE110" s="763"/>
      <c r="AF110" s="115"/>
      <c r="AG110" s="115"/>
      <c r="AH110" s="763"/>
      <c r="AI110" s="763"/>
      <c r="AJ110" s="763"/>
      <c r="AK110" s="763"/>
      <c r="AL110" s="685"/>
      <c r="AM110" s="685"/>
      <c r="AN110" s="685"/>
      <c r="AO110" s="685"/>
      <c r="AP110" s="685"/>
      <c r="AQ110" s="685"/>
      <c r="AR110" s="685"/>
      <c r="AS110" s="685"/>
      <c r="AT110" s="1859"/>
      <c r="AU110" s="1859"/>
      <c r="AV110" s="1859"/>
      <c r="AW110" s="685"/>
      <c r="AX110" s="685"/>
      <c r="AY110" s="685"/>
      <c r="AZ110" s="685"/>
      <c r="BA110" s="685"/>
      <c r="BB110" s="685"/>
      <c r="BC110" s="685"/>
      <c r="BN110" s="763"/>
      <c r="BO110" s="763"/>
      <c r="BP110" s="1886"/>
      <c r="BR110" s="1886"/>
      <c r="BS110" s="1460"/>
      <c r="BU110" s="685"/>
    </row>
    <row r="111" spans="1:73">
      <c r="A111" s="763"/>
      <c r="B111" s="943" t="s">
        <v>1086</v>
      </c>
      <c r="C111" s="1460"/>
      <c r="D111" s="1460"/>
      <c r="E111" s="1460"/>
      <c r="F111" s="1460"/>
      <c r="G111" s="814">
        <f t="shared" ref="G111:L111" si="111">G93</f>
        <v>0.13043315091171648</v>
      </c>
      <c r="H111" s="814">
        <f t="shared" si="111"/>
        <v>0.10618077933594039</v>
      </c>
      <c r="I111" s="814">
        <f t="shared" si="111"/>
        <v>5.1131916993547799E-2</v>
      </c>
      <c r="J111" s="814">
        <f t="shared" si="111"/>
        <v>0.19437973371131068</v>
      </c>
      <c r="K111" s="814">
        <f t="shared" si="111"/>
        <v>3.0044164370758963E-2</v>
      </c>
      <c r="L111" s="814">
        <f t="shared" si="111"/>
        <v>6.7013241517820621E-2</v>
      </c>
      <c r="M111" s="814">
        <f t="shared" ref="M111:W111" si="112">M93</f>
        <v>4.763713239283951E-2</v>
      </c>
      <c r="N111" s="814">
        <f t="shared" si="112"/>
        <v>-0.10628196075073126</v>
      </c>
      <c r="O111" s="814">
        <f t="shared" si="112"/>
        <v>3.8480411465906528E-2</v>
      </c>
      <c r="P111" s="814">
        <f t="shared" si="112"/>
        <v>2.206482194349646E-2</v>
      </c>
      <c r="Q111" s="814">
        <f t="shared" si="112"/>
        <v>5.7093480299211352E-2</v>
      </c>
      <c r="R111" s="814">
        <f t="shared" si="112"/>
        <v>4.4335381054130929E-2</v>
      </c>
      <c r="S111" s="814">
        <f t="shared" si="112"/>
        <v>-5.3225807278805104E-2</v>
      </c>
      <c r="T111" s="814">
        <f t="shared" si="112"/>
        <v>2.7946573743420355E-3</v>
      </c>
      <c r="U111" s="814">
        <f t="shared" si="112"/>
        <v>-3.1681521135653035E-2</v>
      </c>
      <c r="V111" s="814">
        <f t="shared" si="112"/>
        <v>-5.1531909256607333E-2</v>
      </c>
      <c r="W111" s="814">
        <f t="shared" si="112"/>
        <v>-1.6834980611935002E-4</v>
      </c>
      <c r="X111" s="814">
        <f t="shared" ref="X111:Z111" si="113">X93</f>
        <v>0</v>
      </c>
      <c r="Y111" s="814">
        <f t="shared" si="113"/>
        <v>0</v>
      </c>
      <c r="Z111" s="814">
        <f t="shared" si="113"/>
        <v>0</v>
      </c>
      <c r="AA111" s="1859"/>
      <c r="AB111" s="1859"/>
      <c r="AC111" s="763"/>
      <c r="AD111" s="763"/>
      <c r="AE111" s="763"/>
      <c r="AF111" s="115"/>
      <c r="AG111" s="115"/>
      <c r="AH111" s="763"/>
      <c r="AI111" s="763"/>
      <c r="AJ111" s="763"/>
      <c r="AK111" s="763"/>
      <c r="AL111" s="685"/>
      <c r="AM111" s="685"/>
      <c r="AN111" s="685"/>
      <c r="AO111" s="685"/>
      <c r="AP111" s="685"/>
      <c r="AQ111" s="685"/>
      <c r="AR111" s="685"/>
      <c r="AS111" s="685"/>
      <c r="AT111" s="1859"/>
      <c r="AU111" s="1859"/>
      <c r="AV111" s="1859"/>
      <c r="AW111" s="685"/>
      <c r="AX111" s="685"/>
      <c r="AY111" s="685"/>
      <c r="AZ111" s="685"/>
      <c r="BA111" s="685"/>
      <c r="BB111" s="685"/>
      <c r="BC111" s="685"/>
      <c r="BN111" s="763"/>
      <c r="BO111" s="763"/>
      <c r="BP111" s="1873"/>
      <c r="BR111" s="1873"/>
      <c r="BS111" s="814"/>
      <c r="BU111" s="685"/>
    </row>
    <row r="112" spans="1:73">
      <c r="A112" s="763"/>
      <c r="B112" s="685"/>
      <c r="C112" s="685"/>
      <c r="D112" s="685"/>
      <c r="E112" s="685"/>
      <c r="F112" s="685"/>
      <c r="G112" s="685"/>
      <c r="H112" s="685"/>
      <c r="I112" s="685"/>
      <c r="J112" s="685"/>
      <c r="K112" s="685"/>
      <c r="L112" s="685"/>
      <c r="M112" s="685"/>
      <c r="N112" s="685"/>
      <c r="O112" s="685"/>
      <c r="P112" s="685"/>
      <c r="Q112" s="685"/>
      <c r="R112" s="685"/>
      <c r="S112" s="685"/>
      <c r="T112" s="685"/>
      <c r="U112" s="685"/>
      <c r="V112" s="685"/>
      <c r="W112" s="685"/>
      <c r="X112" s="685"/>
      <c r="Y112" s="685"/>
      <c r="Z112" s="685"/>
      <c r="AA112" s="1887"/>
      <c r="AB112" s="1887"/>
      <c r="AC112" s="763"/>
      <c r="AD112" s="685"/>
      <c r="AE112" s="763"/>
      <c r="AF112" s="115"/>
      <c r="AG112" s="115"/>
      <c r="AH112" s="766"/>
      <c r="AI112" s="766"/>
      <c r="AJ112" s="766"/>
      <c r="AK112" s="766"/>
      <c r="AL112" s="809"/>
      <c r="AM112" s="809"/>
      <c r="AN112" s="685"/>
      <c r="AO112" s="685"/>
      <c r="AP112" s="685"/>
      <c r="AQ112" s="685"/>
      <c r="AR112" s="685"/>
      <c r="AS112" s="685"/>
      <c r="AT112" s="1859"/>
      <c r="AU112" s="1859"/>
      <c r="AV112" s="1859"/>
      <c r="AW112" s="685"/>
      <c r="AX112" s="685"/>
      <c r="AY112" s="685"/>
      <c r="AZ112" s="685"/>
      <c r="BA112" s="685"/>
      <c r="BB112" s="685"/>
      <c r="BC112" s="685"/>
      <c r="BN112" s="765"/>
      <c r="BO112" s="685"/>
      <c r="BP112" s="1859"/>
      <c r="BR112" s="1859"/>
      <c r="BS112" s="685"/>
      <c r="BU112" s="763"/>
    </row>
    <row r="113" spans="1:73">
      <c r="A113" s="763"/>
      <c r="B113" s="685"/>
      <c r="C113" s="685"/>
      <c r="D113" s="685"/>
      <c r="E113" s="685"/>
      <c r="F113" s="685"/>
      <c r="G113" s="685"/>
      <c r="H113" s="685"/>
      <c r="I113" s="685"/>
      <c r="J113" s="685"/>
      <c r="K113" s="685"/>
      <c r="L113" s="685"/>
      <c r="M113" s="685"/>
      <c r="N113" s="685"/>
      <c r="O113" s="685"/>
      <c r="P113" s="685"/>
      <c r="Q113" s="685"/>
      <c r="R113" s="685"/>
      <c r="S113" s="685"/>
      <c r="T113" s="685"/>
      <c r="U113" s="685"/>
      <c r="V113" s="685"/>
      <c r="W113" s="685"/>
      <c r="X113" s="685"/>
      <c r="Y113" s="685"/>
      <c r="Z113" s="685"/>
      <c r="AA113" s="1887"/>
      <c r="AB113" s="1887"/>
      <c r="AC113" s="763"/>
      <c r="AD113" s="685"/>
      <c r="AE113" s="763"/>
      <c r="AF113" s="115"/>
      <c r="AG113" s="115"/>
      <c r="AH113" s="766"/>
      <c r="AI113" s="766"/>
      <c r="AJ113" s="766"/>
      <c r="AK113" s="766"/>
      <c r="AL113" s="809"/>
      <c r="AM113" s="809"/>
      <c r="AN113" s="685"/>
      <c r="AO113" s="685"/>
      <c r="AP113" s="685"/>
      <c r="AQ113" s="685"/>
      <c r="AR113" s="685"/>
      <c r="AS113" s="685"/>
      <c r="AT113" s="1859"/>
      <c r="AU113" s="1859"/>
      <c r="AV113" s="1859"/>
      <c r="AW113" s="685"/>
      <c r="AX113" s="685"/>
      <c r="AY113" s="685"/>
      <c r="AZ113" s="685"/>
      <c r="BA113" s="685"/>
      <c r="BB113" s="685"/>
      <c r="BC113" s="685"/>
      <c r="BN113" s="765"/>
      <c r="BO113" s="685"/>
      <c r="BP113" s="1859"/>
      <c r="BR113" s="1859"/>
      <c r="BS113" s="685"/>
      <c r="BU113" s="763"/>
    </row>
    <row r="114" spans="1:73">
      <c r="A114" s="763"/>
      <c r="B114" s="685"/>
      <c r="C114" s="685"/>
      <c r="D114" s="685"/>
      <c r="E114" s="685"/>
      <c r="F114" s="685"/>
      <c r="G114" s="685"/>
      <c r="H114" s="685"/>
      <c r="I114" s="685"/>
      <c r="J114" s="685"/>
      <c r="K114" s="685"/>
      <c r="L114" s="685"/>
      <c r="M114" s="685"/>
      <c r="N114" s="685"/>
      <c r="O114" s="685"/>
      <c r="P114" s="685"/>
      <c r="Q114" s="685"/>
      <c r="R114" s="685"/>
      <c r="S114" s="685"/>
      <c r="T114" s="685"/>
      <c r="U114" s="685"/>
      <c r="V114" s="685"/>
      <c r="W114" s="685"/>
      <c r="X114" s="685"/>
      <c r="Y114" s="685"/>
      <c r="Z114" s="685"/>
      <c r="AA114" s="1887"/>
      <c r="AB114" s="1887"/>
      <c r="AC114" s="763"/>
      <c r="AD114" s="685"/>
      <c r="AE114" s="763"/>
      <c r="AF114" s="115"/>
      <c r="AG114" s="115"/>
      <c r="AH114" s="766"/>
      <c r="AI114" s="766"/>
      <c r="AJ114" s="766"/>
      <c r="AK114" s="766"/>
      <c r="AL114" s="809"/>
      <c r="AM114" s="809"/>
      <c r="AN114" s="685"/>
      <c r="AO114" s="685"/>
      <c r="AP114" s="685"/>
      <c r="AQ114" s="685"/>
      <c r="AR114" s="685"/>
      <c r="AS114" s="685"/>
      <c r="AT114" s="1859"/>
      <c r="AU114" s="1859"/>
      <c r="AV114" s="1859"/>
      <c r="AW114" s="685"/>
      <c r="AX114" s="685"/>
      <c r="AY114" s="685"/>
      <c r="AZ114" s="685"/>
      <c r="BA114" s="685"/>
      <c r="BB114" s="685"/>
      <c r="BC114" s="685"/>
      <c r="BN114" s="765"/>
      <c r="BO114" s="685"/>
      <c r="BP114" s="1859"/>
      <c r="BR114" s="1859"/>
      <c r="BS114" s="685"/>
      <c r="BU114" s="763"/>
    </row>
    <row r="115" spans="1:73">
      <c r="A115" s="763"/>
      <c r="B115" s="685"/>
      <c r="C115" s="685"/>
      <c r="D115" s="685"/>
      <c r="E115" s="685"/>
      <c r="F115" s="685"/>
      <c r="G115" s="685"/>
      <c r="H115" s="685"/>
      <c r="I115" s="685"/>
      <c r="J115" s="685"/>
      <c r="K115" s="685"/>
      <c r="L115" s="685"/>
      <c r="M115" s="685"/>
      <c r="N115" s="685"/>
      <c r="O115" s="685"/>
      <c r="P115" s="685"/>
      <c r="Q115" s="685"/>
      <c r="R115" s="685"/>
      <c r="S115" s="685"/>
      <c r="T115" s="685"/>
      <c r="U115" s="685"/>
      <c r="V115" s="685"/>
      <c r="W115" s="685"/>
      <c r="X115" s="685"/>
      <c r="Y115" s="685"/>
      <c r="Z115" s="685"/>
      <c r="AA115" s="1887"/>
      <c r="AB115" s="1887"/>
      <c r="AC115" s="763"/>
      <c r="AD115" s="685"/>
      <c r="AE115" s="763"/>
      <c r="AF115" s="115"/>
      <c r="AG115" s="115"/>
      <c r="AH115" s="766"/>
      <c r="AI115" s="766"/>
      <c r="AJ115" s="766"/>
      <c r="AK115" s="766"/>
      <c r="AL115" s="809"/>
      <c r="AM115" s="809"/>
      <c r="AN115" s="685"/>
      <c r="AO115" s="685"/>
      <c r="AP115" s="685"/>
      <c r="AQ115" s="685"/>
      <c r="AR115" s="685"/>
      <c r="AS115" s="685"/>
      <c r="AT115" s="1859"/>
      <c r="AU115" s="1859"/>
      <c r="AV115" s="1859"/>
      <c r="AW115" s="685"/>
      <c r="AX115" s="685"/>
      <c r="AY115" s="685"/>
      <c r="AZ115" s="685"/>
      <c r="BA115" s="685"/>
      <c r="BB115" s="685"/>
      <c r="BC115" s="685"/>
      <c r="BN115" s="765"/>
      <c r="BO115" s="685"/>
      <c r="BP115" s="1859"/>
      <c r="BR115" s="1859"/>
      <c r="BS115" s="685"/>
      <c r="BU115" s="763"/>
    </row>
    <row r="116" spans="1:73">
      <c r="A116" s="763"/>
      <c r="B116" s="685"/>
      <c r="C116" s="685"/>
      <c r="D116" s="685"/>
      <c r="E116" s="685"/>
      <c r="F116" s="685"/>
      <c r="G116" s="685"/>
      <c r="H116" s="685"/>
      <c r="I116" s="685"/>
      <c r="J116" s="685"/>
      <c r="K116" s="685"/>
      <c r="L116" s="685"/>
      <c r="M116" s="685"/>
      <c r="N116" s="685"/>
      <c r="O116" s="685"/>
      <c r="P116" s="685"/>
      <c r="Q116" s="685"/>
      <c r="R116" s="685"/>
      <c r="S116" s="685"/>
      <c r="T116" s="685"/>
      <c r="U116" s="685"/>
      <c r="V116" s="685"/>
      <c r="W116" s="685"/>
      <c r="X116" s="685"/>
      <c r="Y116" s="685"/>
      <c r="Z116" s="685"/>
      <c r="AA116" s="1887"/>
      <c r="AB116" s="1887"/>
      <c r="AC116" s="763"/>
      <c r="AD116" s="685"/>
      <c r="AE116" s="763"/>
      <c r="AF116" s="115"/>
      <c r="AG116" s="115"/>
      <c r="AH116" s="766"/>
      <c r="AI116" s="766"/>
      <c r="AJ116" s="766"/>
      <c r="AK116" s="766"/>
      <c r="AL116" s="809"/>
      <c r="AM116" s="809"/>
      <c r="AN116" s="685"/>
      <c r="AO116" s="685"/>
      <c r="AP116" s="685"/>
      <c r="AQ116" s="685"/>
      <c r="AR116" s="685"/>
      <c r="AS116" s="685"/>
      <c r="AT116" s="1859"/>
      <c r="AU116" s="1859"/>
      <c r="AV116" s="1859"/>
      <c r="AW116" s="685"/>
      <c r="AX116" s="685"/>
      <c r="AY116" s="685"/>
      <c r="AZ116" s="685"/>
      <c r="BA116" s="685"/>
      <c r="BB116" s="685"/>
      <c r="BC116" s="685"/>
      <c r="BN116" s="765"/>
      <c r="BO116" s="685"/>
      <c r="BP116" s="1859"/>
      <c r="BR116" s="1859"/>
      <c r="BS116" s="685"/>
      <c r="BU116" s="763"/>
    </row>
    <row r="117" spans="1:73">
      <c r="A117" s="763"/>
      <c r="B117" s="685"/>
      <c r="C117" s="685"/>
      <c r="D117" s="685"/>
      <c r="E117" s="685"/>
      <c r="F117" s="685"/>
      <c r="G117" s="685"/>
      <c r="H117" s="685"/>
      <c r="I117" s="685"/>
      <c r="J117" s="685"/>
      <c r="K117" s="685"/>
      <c r="L117" s="685"/>
      <c r="M117" s="685"/>
      <c r="N117" s="685"/>
      <c r="O117" s="685"/>
      <c r="P117" s="685"/>
      <c r="Q117" s="685"/>
      <c r="R117" s="685"/>
      <c r="S117" s="685"/>
      <c r="T117" s="685"/>
      <c r="U117" s="685"/>
      <c r="V117" s="685"/>
      <c r="W117" s="685"/>
      <c r="X117" s="685"/>
      <c r="Y117" s="685"/>
      <c r="Z117" s="685"/>
      <c r="AA117" s="1887"/>
      <c r="AB117" s="1887"/>
      <c r="AC117" s="763"/>
      <c r="AD117" s="685"/>
      <c r="AE117" s="763"/>
      <c r="AF117" s="115"/>
      <c r="AG117" s="115"/>
      <c r="AH117" s="766"/>
      <c r="AI117" s="766"/>
      <c r="AJ117" s="766"/>
      <c r="AK117" s="766"/>
      <c r="AL117" s="809"/>
      <c r="AM117" s="809"/>
      <c r="AN117" s="685"/>
      <c r="AO117" s="685"/>
      <c r="AP117" s="685"/>
      <c r="AQ117" s="685"/>
      <c r="AR117" s="685"/>
      <c r="AS117" s="685"/>
      <c r="AT117" s="1859"/>
      <c r="AU117" s="1859"/>
      <c r="AV117" s="1859"/>
      <c r="AW117" s="685"/>
      <c r="AX117" s="685"/>
      <c r="AY117" s="685"/>
      <c r="AZ117" s="685"/>
      <c r="BA117" s="685"/>
      <c r="BB117" s="685"/>
      <c r="BC117" s="685"/>
      <c r="BN117" s="765"/>
      <c r="BO117" s="685"/>
      <c r="BP117" s="1859"/>
      <c r="BR117" s="1859"/>
      <c r="BS117" s="685"/>
      <c r="BU117" s="763"/>
    </row>
    <row r="118" spans="1:73">
      <c r="A118" s="763"/>
      <c r="B118" s="685" t="s">
        <v>1087</v>
      </c>
      <c r="C118" s="685"/>
      <c r="D118" s="685"/>
      <c r="E118" s="685"/>
      <c r="F118" s="685"/>
      <c r="G118" s="814">
        <f t="shared" ref="G118:U118" si="114">G33/C33-1</f>
        <v>7.9569892473118298E-2</v>
      </c>
      <c r="H118" s="814">
        <f t="shared" si="114"/>
        <v>-8.1446850393700698E-2</v>
      </c>
      <c r="I118" s="814">
        <f t="shared" si="114"/>
        <v>-4.1297246850210079E-2</v>
      </c>
      <c r="J118" s="814">
        <f t="shared" si="114"/>
        <v>5.412748171368853E-2</v>
      </c>
      <c r="K118" s="814">
        <f t="shared" si="114"/>
        <v>-0.1010956175298805</v>
      </c>
      <c r="L118" s="814">
        <f t="shared" si="114"/>
        <v>1.6072863648539659E-3</v>
      </c>
      <c r="M118" s="814">
        <f t="shared" si="114"/>
        <v>3.1637868094427368E-3</v>
      </c>
      <c r="N118" s="814">
        <f t="shared" si="114"/>
        <v>-7.1966693100713686E-2</v>
      </c>
      <c r="O118" s="814">
        <f t="shared" si="114"/>
        <v>-9.0027700831024959E-2</v>
      </c>
      <c r="P118" s="814">
        <f t="shared" si="114"/>
        <v>-3.1826691628777715E-2</v>
      </c>
      <c r="Q118" s="814">
        <f t="shared" si="114"/>
        <v>3.6147501213003475E-2</v>
      </c>
      <c r="R118" s="814">
        <f t="shared" si="114"/>
        <v>-3.4607989745780943E-2</v>
      </c>
      <c r="S118" s="814">
        <f t="shared" si="114"/>
        <v>5.0532724505327309E-2</v>
      </c>
      <c r="T118" s="814">
        <f t="shared" si="114"/>
        <v>9.9447513812154664E-2</v>
      </c>
      <c r="U118" s="814">
        <f t="shared" si="114"/>
        <v>9.2718332943104498E-2</v>
      </c>
      <c r="V118" s="814">
        <f>V33/R33-1</f>
        <v>-0.12281478203142293</v>
      </c>
      <c r="W118" s="814">
        <f>W33/S33-1</f>
        <v>-6.3170095624456746E-2</v>
      </c>
      <c r="X118" s="814"/>
      <c r="Y118" s="814"/>
      <c r="Z118" s="814"/>
      <c r="AA118" s="1891"/>
      <c r="AB118" s="1891"/>
      <c r="AC118" s="763"/>
      <c r="AD118" s="685"/>
      <c r="AE118" s="763"/>
      <c r="AF118" s="115"/>
      <c r="AG118" s="115"/>
      <c r="AH118" s="766"/>
      <c r="AI118" s="766"/>
      <c r="AJ118" s="766"/>
      <c r="AK118" s="766"/>
      <c r="AL118" s="809"/>
      <c r="AM118" s="809"/>
      <c r="AN118" s="685"/>
      <c r="AO118" s="685"/>
      <c r="AP118" s="685"/>
      <c r="AQ118" s="685"/>
      <c r="AR118" s="685"/>
      <c r="AS118" s="685"/>
      <c r="AT118" s="1859"/>
      <c r="AU118" s="1859"/>
      <c r="AV118" s="1859"/>
      <c r="AW118" s="685"/>
      <c r="AX118" s="685"/>
      <c r="AY118" s="685"/>
      <c r="AZ118" s="685"/>
      <c r="BA118" s="685"/>
      <c r="BB118" s="685"/>
      <c r="BC118" s="685"/>
      <c r="BN118" s="765"/>
      <c r="BO118" s="812"/>
      <c r="BP118" s="1873">
        <v>9.1160220994475072E-2</v>
      </c>
      <c r="BR118" s="1873">
        <v>-2.8330601732615368E-2</v>
      </c>
      <c r="BS118" s="814">
        <v>7.6937375525558682E-2</v>
      </c>
      <c r="BU118" s="792"/>
    </row>
    <row r="119" spans="1:73">
      <c r="A119" s="763"/>
      <c r="B119" s="685" t="s">
        <v>1088</v>
      </c>
      <c r="C119" s="685"/>
      <c r="D119" s="685"/>
      <c r="E119" s="685"/>
      <c r="F119" s="685"/>
      <c r="G119" s="685"/>
      <c r="H119" s="685"/>
      <c r="I119" s="685"/>
      <c r="J119" s="685"/>
      <c r="K119" s="685"/>
      <c r="L119" s="685"/>
      <c r="M119" s="685"/>
      <c r="N119" s="685"/>
      <c r="O119" s="685"/>
      <c r="P119" s="685"/>
      <c r="Q119" s="1527">
        <v>7.0000000000000007E-2</v>
      </c>
      <c r="R119" s="1527">
        <v>0.02</v>
      </c>
      <c r="S119" s="1527">
        <v>0.1</v>
      </c>
      <c r="T119" s="1527">
        <v>0.14000000000000001</v>
      </c>
      <c r="U119" s="1527"/>
      <c r="V119" s="1527"/>
      <c r="W119" s="1527"/>
      <c r="X119" s="1527"/>
      <c r="Y119" s="1527"/>
      <c r="Z119" s="1527"/>
      <c r="AA119" s="1887"/>
      <c r="AB119" s="1887"/>
      <c r="AC119" s="763"/>
      <c r="AD119" s="685"/>
      <c r="AE119" s="763"/>
      <c r="AF119" s="115"/>
      <c r="AG119" s="115"/>
      <c r="AH119" s="766"/>
      <c r="AI119" s="766"/>
      <c r="AJ119" s="766"/>
      <c r="AK119" s="766"/>
      <c r="AL119" s="809"/>
      <c r="AM119" s="809"/>
      <c r="AN119" s="685"/>
      <c r="AO119" s="685"/>
      <c r="AP119" s="685"/>
      <c r="AQ119" s="685"/>
      <c r="AR119" s="685"/>
      <c r="AS119" s="685"/>
      <c r="AT119" s="1859"/>
      <c r="AU119" s="1859"/>
      <c r="AV119" s="1859"/>
      <c r="AW119" s="685"/>
      <c r="AX119" s="685"/>
      <c r="AY119" s="685"/>
      <c r="AZ119" s="685"/>
      <c r="BA119" s="685"/>
      <c r="BB119" s="685"/>
      <c r="BC119" s="685"/>
      <c r="BN119" s="765"/>
      <c r="BO119" s="685"/>
      <c r="BP119" s="1874"/>
      <c r="BR119" s="1874"/>
      <c r="BS119" s="1527"/>
      <c r="BU119" s="763"/>
    </row>
    <row r="120" spans="1:73">
      <c r="A120" s="763"/>
      <c r="B120" s="685" t="s">
        <v>8091</v>
      </c>
      <c r="C120" s="685"/>
      <c r="D120" s="685"/>
      <c r="E120" s="685"/>
      <c r="F120" s="685"/>
      <c r="G120" s="685"/>
      <c r="H120" s="685"/>
      <c r="I120" s="685"/>
      <c r="J120" s="685"/>
      <c r="K120" s="685"/>
      <c r="L120" s="685"/>
      <c r="M120" s="685"/>
      <c r="N120" s="685"/>
      <c r="O120" s="685"/>
      <c r="P120" s="685"/>
      <c r="Q120" s="685"/>
      <c r="R120" s="685"/>
      <c r="S120" s="685"/>
      <c r="T120" s="685"/>
      <c r="U120" s="1527">
        <v>0.13</v>
      </c>
      <c r="V120" s="1527">
        <v>0.05</v>
      </c>
      <c r="W120" s="789"/>
      <c r="X120" s="789"/>
      <c r="Y120" s="789"/>
      <c r="Z120" s="789"/>
      <c r="AA120" s="1887"/>
      <c r="AB120" s="1887"/>
      <c r="AC120" s="763"/>
      <c r="AD120" s="685"/>
      <c r="AE120" s="763"/>
      <c r="AF120" s="115"/>
      <c r="AG120" s="115"/>
      <c r="AH120" s="766"/>
      <c r="AI120" s="766"/>
      <c r="AJ120" s="766"/>
      <c r="AK120" s="766"/>
      <c r="AL120" s="809"/>
      <c r="AM120" s="809"/>
      <c r="AN120" s="685"/>
      <c r="AO120" s="685"/>
      <c r="AP120" s="685"/>
      <c r="AQ120" s="685"/>
      <c r="AR120" s="685"/>
      <c r="AS120" s="685"/>
      <c r="AT120" s="1859"/>
      <c r="AU120" s="1859"/>
      <c r="AV120" s="1859"/>
      <c r="AW120" s="685"/>
      <c r="AX120" s="685"/>
      <c r="AY120" s="685"/>
      <c r="AZ120" s="685"/>
      <c r="BA120" s="685"/>
      <c r="BB120" s="685"/>
      <c r="BC120" s="685"/>
      <c r="BN120" s="765"/>
      <c r="BO120" s="685"/>
      <c r="BP120" s="1859"/>
      <c r="BR120" s="1859"/>
      <c r="BS120" s="685"/>
      <c r="BU120" s="763"/>
    </row>
    <row r="121" spans="1:73">
      <c r="A121" s="763"/>
      <c r="B121" s="685"/>
      <c r="C121" s="685"/>
      <c r="D121" s="685"/>
      <c r="E121" s="685"/>
      <c r="F121" s="685"/>
      <c r="G121" s="685"/>
      <c r="H121" s="685"/>
      <c r="I121" s="685"/>
      <c r="J121" s="685"/>
      <c r="K121" s="685"/>
      <c r="L121" s="685"/>
      <c r="M121" s="685"/>
      <c r="N121" s="685"/>
      <c r="O121" s="685"/>
      <c r="P121" s="685"/>
      <c r="Q121" s="685"/>
      <c r="R121" s="685"/>
      <c r="S121" s="685"/>
      <c r="T121" s="685"/>
      <c r="U121" s="789"/>
      <c r="V121" s="789"/>
      <c r="W121" s="789"/>
      <c r="X121" s="789"/>
      <c r="Y121" s="789"/>
      <c r="Z121" s="789"/>
      <c r="AA121" s="1887"/>
      <c r="AB121" s="1887"/>
      <c r="AC121" s="763"/>
      <c r="AD121" s="685"/>
      <c r="AE121" s="763"/>
      <c r="AF121" s="115"/>
      <c r="AG121" s="115"/>
      <c r="AH121" s="766"/>
      <c r="AI121" s="766"/>
      <c r="AJ121" s="766"/>
      <c r="AK121" s="766"/>
      <c r="AL121" s="809"/>
      <c r="AM121" s="809"/>
      <c r="AN121" s="685"/>
      <c r="AO121" s="685"/>
      <c r="AP121" s="685"/>
      <c r="AQ121" s="685"/>
      <c r="AR121" s="685"/>
      <c r="AS121" s="685"/>
      <c r="AT121" s="1859"/>
      <c r="AU121" s="1859"/>
      <c r="AV121" s="1859"/>
      <c r="AW121" s="685"/>
      <c r="AX121" s="685"/>
      <c r="AY121" s="685"/>
      <c r="AZ121" s="685"/>
      <c r="BA121" s="685"/>
      <c r="BB121" s="685"/>
      <c r="BC121" s="685"/>
      <c r="BN121" s="765"/>
      <c r="BO121" s="685"/>
      <c r="BP121" s="1859"/>
      <c r="BR121" s="1859"/>
      <c r="BS121" s="685"/>
      <c r="BU121" s="763"/>
    </row>
    <row r="122" spans="1:73">
      <c r="A122" s="763"/>
      <c r="B122" s="685" t="s">
        <v>779</v>
      </c>
      <c r="C122" s="795">
        <f t="shared" ref="C122:U122" si="115">C19-C33</f>
        <v>524</v>
      </c>
      <c r="D122" s="795">
        <f t="shared" si="115"/>
        <v>584.80000000000007</v>
      </c>
      <c r="E122" s="795">
        <f t="shared" si="115"/>
        <v>670.4</v>
      </c>
      <c r="F122" s="795">
        <f t="shared" si="115"/>
        <v>717.09999999999991</v>
      </c>
      <c r="G122" s="795">
        <f t="shared" si="115"/>
        <v>609</v>
      </c>
      <c r="H122" s="795">
        <f t="shared" si="115"/>
        <v>722.90000000000009</v>
      </c>
      <c r="I122" s="795">
        <f t="shared" si="115"/>
        <v>740.6</v>
      </c>
      <c r="J122" s="795">
        <f t="shared" si="115"/>
        <v>949.1</v>
      </c>
      <c r="K122" s="795">
        <f t="shared" si="115"/>
        <v>709.90000000000009</v>
      </c>
      <c r="L122" s="795">
        <f t="shared" si="115"/>
        <v>845.9</v>
      </c>
      <c r="M122" s="795">
        <f t="shared" si="115"/>
        <v>868.3</v>
      </c>
      <c r="N122" s="795">
        <f t="shared" si="115"/>
        <v>888.69999999999993</v>
      </c>
      <c r="O122" s="795">
        <f t="shared" si="115"/>
        <v>820.5</v>
      </c>
      <c r="P122" s="795">
        <f t="shared" si="115"/>
        <v>895.7</v>
      </c>
      <c r="Q122" s="795">
        <f t="shared" si="115"/>
        <v>877.49999999999989</v>
      </c>
      <c r="R122" s="795">
        <f t="shared" si="115"/>
        <v>892.30000000000007</v>
      </c>
      <c r="S122" s="795">
        <f t="shared" si="115"/>
        <v>678.5999999999998</v>
      </c>
      <c r="T122" s="795">
        <f t="shared" si="115"/>
        <v>812</v>
      </c>
      <c r="U122" s="795">
        <f t="shared" si="115"/>
        <v>804</v>
      </c>
      <c r="V122" s="795">
        <f>V19-V33</f>
        <v>926.4000000000002</v>
      </c>
      <c r="W122" s="795">
        <f>W19-W33</f>
        <v>751.7</v>
      </c>
      <c r="X122" s="795"/>
      <c r="Y122" s="795"/>
      <c r="Z122" s="795"/>
      <c r="AA122" s="1887"/>
      <c r="AB122" s="1887"/>
      <c r="AC122" s="763"/>
      <c r="AD122" s="685"/>
      <c r="AE122" s="763"/>
      <c r="AF122" s="115"/>
      <c r="AG122" s="115"/>
      <c r="AH122" s="766"/>
      <c r="AI122" s="766"/>
      <c r="AJ122" s="766"/>
      <c r="AK122" s="766"/>
      <c r="AL122" s="809"/>
      <c r="AM122" s="809"/>
      <c r="AN122" s="685"/>
      <c r="AO122" s="685"/>
      <c r="AP122" s="685"/>
      <c r="AQ122" s="685"/>
      <c r="AR122" s="685"/>
      <c r="AS122" s="685"/>
      <c r="AT122" s="1859"/>
      <c r="AU122" s="1859"/>
      <c r="AV122" s="1859"/>
      <c r="AW122" s="685"/>
      <c r="AX122" s="685"/>
      <c r="AY122" s="685"/>
      <c r="AZ122" s="685"/>
      <c r="BA122" s="685"/>
      <c r="BB122" s="685"/>
      <c r="BC122" s="685"/>
      <c r="BN122" s="1008">
        <f>N122/BO122-1</f>
        <v>-2.6388198229963633E-2</v>
      </c>
      <c r="BO122" s="795">
        <v>912.78679899353529</v>
      </c>
      <c r="BP122" s="1856"/>
      <c r="BR122" s="1856"/>
      <c r="BS122" s="795">
        <v>807.94</v>
      </c>
      <c r="BU122" s="763"/>
    </row>
    <row r="123" spans="1:73">
      <c r="A123" s="763"/>
      <c r="B123" s="685" t="s">
        <v>732</v>
      </c>
      <c r="C123" s="795"/>
      <c r="D123" s="795"/>
      <c r="E123" s="795"/>
      <c r="F123" s="795"/>
      <c r="G123" s="795"/>
      <c r="H123" s="795"/>
      <c r="I123" s="795"/>
      <c r="J123" s="795"/>
      <c r="K123" s="795"/>
      <c r="L123" s="795"/>
      <c r="M123" s="795"/>
      <c r="N123" s="795"/>
      <c r="O123" s="814">
        <f t="shared" ref="O123:V123" si="116">O122/K122-1</f>
        <v>0.15579659106916455</v>
      </c>
      <c r="P123" s="814">
        <f t="shared" si="116"/>
        <v>5.8872207116680508E-2</v>
      </c>
      <c r="Q123" s="814">
        <f t="shared" si="116"/>
        <v>1.0595416330761109E-2</v>
      </c>
      <c r="R123" s="814">
        <f t="shared" si="116"/>
        <v>4.050860807921941E-3</v>
      </c>
      <c r="S123" s="814">
        <f t="shared" si="116"/>
        <v>-0.17294332723948835</v>
      </c>
      <c r="T123" s="814">
        <f t="shared" si="116"/>
        <v>-9.3446466450820664E-2</v>
      </c>
      <c r="U123" s="814">
        <f t="shared" si="116"/>
        <v>-8.3760683760683685E-2</v>
      </c>
      <c r="V123" s="814">
        <f t="shared" si="116"/>
        <v>3.8215846688333777E-2</v>
      </c>
      <c r="W123" s="814">
        <f>W122/S122-1</f>
        <v>0.10772178013557365</v>
      </c>
      <c r="X123" s="814"/>
      <c r="Y123" s="814"/>
      <c r="Z123" s="814"/>
      <c r="AA123" s="1887"/>
      <c r="AB123" s="1887"/>
      <c r="AC123" s="763"/>
      <c r="AD123" s="685"/>
      <c r="AE123" s="763"/>
      <c r="AF123" s="115"/>
      <c r="AG123" s="115"/>
      <c r="AH123" s="766"/>
      <c r="AI123" s="766"/>
      <c r="AJ123" s="766"/>
      <c r="AK123" s="766"/>
      <c r="AL123" s="809"/>
      <c r="AM123" s="809"/>
      <c r="AN123" s="685"/>
      <c r="AO123" s="685"/>
      <c r="AP123" s="685"/>
      <c r="AQ123" s="685"/>
      <c r="AR123" s="685"/>
      <c r="AS123" s="685"/>
      <c r="AT123" s="1859"/>
      <c r="AU123" s="1859"/>
      <c r="AV123" s="1859"/>
      <c r="AW123" s="685"/>
      <c r="AX123" s="685"/>
      <c r="AY123" s="685"/>
      <c r="AZ123" s="685"/>
      <c r="BA123" s="685"/>
      <c r="BB123" s="685"/>
      <c r="BC123" s="685"/>
      <c r="BN123" s="1008"/>
      <c r="BO123" s="795"/>
      <c r="BP123" s="1856"/>
      <c r="BR123" s="1856"/>
      <c r="BS123" s="795"/>
      <c r="BU123" s="763"/>
    </row>
    <row r="124" spans="1:73">
      <c r="A124" s="763"/>
      <c r="B124" s="685" t="s">
        <v>1088</v>
      </c>
      <c r="C124" s="795"/>
      <c r="D124" s="795"/>
      <c r="E124" s="795"/>
      <c r="F124" s="795"/>
      <c r="G124" s="795"/>
      <c r="H124" s="795"/>
      <c r="I124" s="795"/>
      <c r="J124" s="795"/>
      <c r="K124" s="795"/>
      <c r="L124" s="795"/>
      <c r="M124" s="795"/>
      <c r="N124" s="795"/>
      <c r="O124" s="795"/>
      <c r="P124" s="795"/>
      <c r="Q124" s="795"/>
      <c r="R124" s="795"/>
      <c r="S124" s="795"/>
      <c r="T124" s="795"/>
      <c r="U124" s="795"/>
      <c r="V124" s="795"/>
      <c r="W124" s="1527">
        <v>0.05</v>
      </c>
      <c r="X124" s="1527"/>
      <c r="Y124" s="1527"/>
      <c r="Z124" s="1527"/>
      <c r="AA124" s="1887"/>
      <c r="AB124" s="1887"/>
      <c r="AC124" s="763"/>
      <c r="AD124" s="685"/>
      <c r="AE124" s="763"/>
      <c r="AF124" s="115"/>
      <c r="AG124" s="115"/>
      <c r="AH124" s="766"/>
      <c r="AI124" s="766"/>
      <c r="AJ124" s="766"/>
      <c r="AK124" s="766"/>
      <c r="AL124" s="809"/>
      <c r="AM124" s="809"/>
      <c r="AN124" s="685"/>
      <c r="AO124" s="685"/>
      <c r="AP124" s="685"/>
      <c r="AQ124" s="685"/>
      <c r="AR124" s="685"/>
      <c r="AS124" s="685"/>
      <c r="AT124" s="1859"/>
      <c r="AU124" s="1859"/>
      <c r="AV124" s="1859"/>
      <c r="AW124" s="685"/>
      <c r="AX124" s="685"/>
      <c r="AY124" s="685"/>
      <c r="AZ124" s="685"/>
      <c r="BA124" s="685"/>
      <c r="BB124" s="685"/>
      <c r="BC124" s="685"/>
      <c r="BN124" s="1008"/>
      <c r="BO124" s="795"/>
      <c r="BP124" s="1856"/>
      <c r="BR124" s="1856"/>
      <c r="BS124" s="795"/>
      <c r="BU124" s="763"/>
    </row>
    <row r="125" spans="1:73">
      <c r="A125" s="763"/>
      <c r="B125" s="685"/>
      <c r="C125" s="795"/>
      <c r="D125" s="795"/>
      <c r="E125" s="795"/>
      <c r="F125" s="795"/>
      <c r="G125" s="795"/>
      <c r="H125" s="795"/>
      <c r="I125" s="795"/>
      <c r="J125" s="795"/>
      <c r="K125" s="795"/>
      <c r="L125" s="795"/>
      <c r="M125" s="795"/>
      <c r="N125" s="795"/>
      <c r="O125" s="795"/>
      <c r="P125" s="795"/>
      <c r="Q125" s="795"/>
      <c r="R125" s="795"/>
      <c r="S125" s="795"/>
      <c r="T125" s="795"/>
      <c r="U125" s="795"/>
      <c r="V125" s="795"/>
      <c r="W125" s="795">
        <f>S122*(1+W124)</f>
        <v>712.52999999999986</v>
      </c>
      <c r="X125" s="795"/>
      <c r="Y125" s="795"/>
      <c r="Z125" s="795"/>
      <c r="AA125" s="1887"/>
      <c r="AB125" s="1887"/>
      <c r="AC125" s="763"/>
      <c r="AD125" s="685"/>
      <c r="AE125" s="763"/>
      <c r="AF125" s="115"/>
      <c r="AG125" s="115"/>
      <c r="AH125" s="766"/>
      <c r="AI125" s="766"/>
      <c r="AJ125" s="766"/>
      <c r="AK125" s="766"/>
      <c r="AL125" s="809"/>
      <c r="AM125" s="809"/>
      <c r="AN125" s="685"/>
      <c r="AO125" s="685"/>
      <c r="AP125" s="685"/>
      <c r="AQ125" s="685"/>
      <c r="AR125" s="685"/>
      <c r="AS125" s="685"/>
      <c r="AT125" s="1859"/>
      <c r="AU125" s="1859"/>
      <c r="AV125" s="1859"/>
      <c r="AW125" s="685"/>
      <c r="AX125" s="685"/>
      <c r="AY125" s="685"/>
      <c r="AZ125" s="685"/>
      <c r="BA125" s="685"/>
      <c r="BB125" s="685"/>
      <c r="BC125" s="685"/>
      <c r="BN125" s="1008"/>
      <c r="BO125" s="795"/>
      <c r="BP125" s="1856"/>
      <c r="BR125" s="1856"/>
      <c r="BS125" s="795"/>
      <c r="BU125" s="763"/>
    </row>
    <row r="126" spans="1:73">
      <c r="A126" s="763"/>
      <c r="B126" s="685"/>
      <c r="C126" s="795"/>
      <c r="D126" s="795"/>
      <c r="E126" s="795"/>
      <c r="F126" s="795"/>
      <c r="G126" s="795"/>
      <c r="H126" s="795"/>
      <c r="I126" s="795"/>
      <c r="J126" s="795"/>
      <c r="K126" s="795"/>
      <c r="L126" s="795"/>
      <c r="M126" s="795"/>
      <c r="N126" s="795"/>
      <c r="O126" s="795"/>
      <c r="P126" s="795"/>
      <c r="Q126" s="795"/>
      <c r="R126" s="795"/>
      <c r="S126" s="795"/>
      <c r="T126" s="795"/>
      <c r="U126" s="795"/>
      <c r="V126" s="795"/>
      <c r="W126" s="795">
        <f>W79-W125</f>
        <v>310.99766030347553</v>
      </c>
      <c r="X126" s="795"/>
      <c r="Y126" s="795"/>
      <c r="Z126" s="795"/>
      <c r="AA126" s="1887"/>
      <c r="AB126" s="1887"/>
      <c r="AC126" s="763"/>
      <c r="AD126" s="685"/>
      <c r="AE126" s="763"/>
      <c r="AF126" s="115"/>
      <c r="AG126" s="115"/>
      <c r="AH126" s="766"/>
      <c r="AI126" s="766"/>
      <c r="AJ126" s="766"/>
      <c r="AK126" s="766"/>
      <c r="AL126" s="809"/>
      <c r="AM126" s="809"/>
      <c r="AN126" s="685"/>
      <c r="AO126" s="685"/>
      <c r="AP126" s="685"/>
      <c r="AQ126" s="685"/>
      <c r="AR126" s="685"/>
      <c r="AS126" s="685"/>
      <c r="AT126" s="1859"/>
      <c r="AU126" s="1859"/>
      <c r="AV126" s="1859"/>
      <c r="AW126" s="685"/>
      <c r="AX126" s="685"/>
      <c r="AY126" s="685"/>
      <c r="AZ126" s="685"/>
      <c r="BA126" s="685"/>
      <c r="BB126" s="685"/>
      <c r="BC126" s="685"/>
      <c r="BN126" s="1008"/>
      <c r="BO126" s="795"/>
      <c r="BP126" s="1856"/>
      <c r="BR126" s="1856"/>
      <c r="BS126" s="795"/>
      <c r="BU126" s="763"/>
    </row>
    <row r="127" spans="1:73">
      <c r="A127" s="763"/>
      <c r="B127" s="685"/>
      <c r="C127" s="795"/>
      <c r="D127" s="795"/>
      <c r="E127" s="795"/>
      <c r="F127" s="795"/>
      <c r="G127" s="795"/>
      <c r="H127" s="795"/>
      <c r="I127" s="795"/>
      <c r="J127" s="795"/>
      <c r="K127" s="795"/>
      <c r="L127" s="795"/>
      <c r="M127" s="795"/>
      <c r="N127" s="795"/>
      <c r="O127" s="795"/>
      <c r="P127" s="795"/>
      <c r="Q127" s="795"/>
      <c r="R127" s="795"/>
      <c r="S127" s="795"/>
      <c r="T127" s="795"/>
      <c r="U127" s="795"/>
      <c r="V127" s="795"/>
      <c r="W127" s="814">
        <f>W126/S33-1</f>
        <v>-9.8818718332438382E-2</v>
      </c>
      <c r="X127" s="814"/>
      <c r="Y127" s="814"/>
      <c r="Z127" s="814"/>
      <c r="AA127" s="1887"/>
      <c r="AB127" s="1887"/>
      <c r="AC127" s="763"/>
      <c r="AD127" s="685"/>
      <c r="AE127" s="763"/>
      <c r="AF127" s="115"/>
      <c r="AG127" s="115"/>
      <c r="AH127" s="766"/>
      <c r="AI127" s="766"/>
      <c r="AJ127" s="766"/>
      <c r="AK127" s="766"/>
      <c r="AL127" s="809"/>
      <c r="AM127" s="809"/>
      <c r="AN127" s="685"/>
      <c r="AO127" s="685"/>
      <c r="AP127" s="685"/>
      <c r="AQ127" s="685"/>
      <c r="AR127" s="685"/>
      <c r="AS127" s="685"/>
      <c r="AT127" s="1859"/>
      <c r="AU127" s="1859"/>
      <c r="AV127" s="1859"/>
      <c r="AW127" s="685"/>
      <c r="AX127" s="685"/>
      <c r="AY127" s="685"/>
      <c r="AZ127" s="685"/>
      <c r="BA127" s="685"/>
      <c r="BB127" s="685"/>
      <c r="BC127" s="685"/>
      <c r="BN127" s="1008"/>
      <c r="BO127" s="795"/>
      <c r="BP127" s="1856"/>
      <c r="BR127" s="1856"/>
      <c r="BS127" s="795"/>
      <c r="BU127" s="763"/>
    </row>
    <row r="128" spans="1:73">
      <c r="A128" s="763"/>
      <c r="B128" s="685"/>
      <c r="C128" s="795"/>
      <c r="D128" s="795"/>
      <c r="E128" s="795"/>
      <c r="F128" s="795"/>
      <c r="G128" s="795"/>
      <c r="H128" s="795"/>
      <c r="I128" s="795"/>
      <c r="J128" s="795"/>
      <c r="K128" s="795"/>
      <c r="L128" s="795"/>
      <c r="M128" s="795"/>
      <c r="N128" s="795"/>
      <c r="O128" s="795"/>
      <c r="P128" s="795"/>
      <c r="Q128" s="795"/>
      <c r="R128" s="795"/>
      <c r="S128" s="795"/>
      <c r="T128" s="795"/>
      <c r="U128" s="795"/>
      <c r="V128" s="795"/>
      <c r="W128" s="1527"/>
      <c r="X128" s="1527"/>
      <c r="Y128" s="1527"/>
      <c r="Z128" s="1527"/>
      <c r="AA128" s="1887"/>
      <c r="AB128" s="1887"/>
      <c r="AC128" s="763"/>
      <c r="AD128" s="685"/>
      <c r="AE128" s="763"/>
      <c r="AF128" s="115"/>
      <c r="AG128" s="115"/>
      <c r="AH128" s="766"/>
      <c r="AI128" s="766"/>
      <c r="AJ128" s="766"/>
      <c r="AK128" s="766"/>
      <c r="AL128" s="809"/>
      <c r="AM128" s="809"/>
      <c r="AN128" s="685"/>
      <c r="AO128" s="685"/>
      <c r="AP128" s="685"/>
      <c r="AQ128" s="685"/>
      <c r="AR128" s="685"/>
      <c r="AS128" s="685"/>
      <c r="AT128" s="1859"/>
      <c r="AU128" s="1859"/>
      <c r="AV128" s="1859"/>
      <c r="AW128" s="685"/>
      <c r="AX128" s="685"/>
      <c r="AY128" s="685"/>
      <c r="AZ128" s="685"/>
      <c r="BA128" s="685"/>
      <c r="BB128" s="685"/>
      <c r="BC128" s="685"/>
      <c r="BN128" s="1008"/>
      <c r="BO128" s="795"/>
      <c r="BP128" s="1856"/>
      <c r="BR128" s="1856"/>
      <c r="BS128" s="795"/>
      <c r="BU128" s="763"/>
    </row>
    <row r="129" spans="1:73">
      <c r="A129" s="763"/>
      <c r="B129" s="685" t="s">
        <v>1089</v>
      </c>
      <c r="C129" s="795"/>
      <c r="D129" s="795"/>
      <c r="E129" s="795"/>
      <c r="F129" s="795">
        <f t="shared" ref="F129:M129" si="117">SUM(C122:F122)</f>
        <v>2496.3000000000002</v>
      </c>
      <c r="G129" s="795">
        <f t="shared" si="117"/>
        <v>2581.3000000000002</v>
      </c>
      <c r="H129" s="795">
        <f t="shared" si="117"/>
        <v>2719.4</v>
      </c>
      <c r="I129" s="795">
        <f t="shared" si="117"/>
        <v>2789.6</v>
      </c>
      <c r="J129" s="795">
        <f t="shared" si="117"/>
        <v>3021.6</v>
      </c>
      <c r="K129" s="795">
        <f>SUM(H122:K122)</f>
        <v>3122.5</v>
      </c>
      <c r="L129" s="795">
        <f>SUM(I122:L122)</f>
        <v>3245.5000000000005</v>
      </c>
      <c r="M129" s="795">
        <f t="shared" si="117"/>
        <v>3373.2</v>
      </c>
      <c r="N129" s="795">
        <f>K122+L122+M122+N122</f>
        <v>3312.8</v>
      </c>
      <c r="O129" s="795">
        <f>L122+M122+N122+O122</f>
        <v>3423.3999999999996</v>
      </c>
      <c r="P129" s="795">
        <f t="shared" ref="P129:W129" si="118">SUM(M122:P122)</f>
        <v>3473.2</v>
      </c>
      <c r="Q129" s="795">
        <f t="shared" si="118"/>
        <v>3482.3999999999996</v>
      </c>
      <c r="R129" s="795">
        <f t="shared" si="118"/>
        <v>3486</v>
      </c>
      <c r="S129" s="795">
        <f t="shared" si="118"/>
        <v>3344.1</v>
      </c>
      <c r="T129" s="795">
        <f t="shared" si="118"/>
        <v>3260.3999999999996</v>
      </c>
      <c r="U129" s="795">
        <f t="shared" si="118"/>
        <v>3186.8999999999996</v>
      </c>
      <c r="V129" s="795">
        <f t="shared" si="118"/>
        <v>3221</v>
      </c>
      <c r="W129" s="795">
        <f t="shared" si="118"/>
        <v>3294.1000000000004</v>
      </c>
      <c r="X129" s="795"/>
      <c r="Y129" s="795"/>
      <c r="Z129" s="795"/>
      <c r="AA129" s="1887"/>
      <c r="AB129" s="1887"/>
      <c r="AC129" s="763"/>
      <c r="AD129" s="685"/>
      <c r="AE129" s="763"/>
      <c r="AF129" s="115"/>
      <c r="AG129" s="115"/>
      <c r="AH129" s="766"/>
      <c r="AI129" s="766"/>
      <c r="AJ129" s="766"/>
      <c r="AK129" s="766"/>
      <c r="AL129" s="809"/>
      <c r="AM129" s="809"/>
      <c r="AN129" s="685"/>
      <c r="AO129" s="685"/>
      <c r="AP129" s="685"/>
      <c r="AQ129" s="685"/>
      <c r="AR129" s="685"/>
      <c r="AS129" s="685"/>
      <c r="AT129" s="1859"/>
      <c r="AU129" s="1859"/>
      <c r="AV129" s="1859"/>
      <c r="AW129" s="685"/>
      <c r="AX129" s="685"/>
      <c r="AY129" s="685"/>
      <c r="AZ129" s="685"/>
      <c r="BA129" s="685"/>
      <c r="BB129" s="685"/>
      <c r="BC129" s="685"/>
      <c r="BN129" s="1008">
        <f>N129/BO129-1</f>
        <v>-7.2183446561029374E-3</v>
      </c>
      <c r="BO129" s="795">
        <v>3336.8867989935356</v>
      </c>
      <c r="BP129" s="1856"/>
      <c r="BR129" s="1856"/>
      <c r="BS129" s="795">
        <v>3102.54</v>
      </c>
      <c r="BU129" s="763"/>
    </row>
    <row r="130" spans="1:73">
      <c r="A130" s="763"/>
      <c r="B130" s="685"/>
      <c r="C130" s="685"/>
      <c r="D130" s="685"/>
      <c r="E130" s="685"/>
      <c r="F130" s="685"/>
      <c r="G130" s="685"/>
      <c r="H130" s="685"/>
      <c r="I130" s="685"/>
      <c r="J130" s="685"/>
      <c r="K130" s="685"/>
      <c r="L130" s="795">
        <f>L129-F129</f>
        <v>749.20000000000027</v>
      </c>
      <c r="M130" s="795">
        <f>M129-H129</f>
        <v>653.79999999999973</v>
      </c>
      <c r="N130" s="795">
        <f>N129-I129</f>
        <v>523.20000000000027</v>
      </c>
      <c r="O130" s="795">
        <f>O129-J129</f>
        <v>401.79999999999973</v>
      </c>
      <c r="P130" s="795">
        <f t="shared" ref="P130:W130" si="119">P129-J129</f>
        <v>451.59999999999991</v>
      </c>
      <c r="Q130" s="795">
        <f t="shared" si="119"/>
        <v>359.89999999999964</v>
      </c>
      <c r="R130" s="795">
        <f t="shared" si="119"/>
        <v>240.49999999999955</v>
      </c>
      <c r="S130" s="795">
        <f t="shared" si="119"/>
        <v>-29.099999999999909</v>
      </c>
      <c r="T130" s="795">
        <f t="shared" si="119"/>
        <v>-52.400000000000546</v>
      </c>
      <c r="U130" s="795">
        <f t="shared" si="119"/>
        <v>-236.5</v>
      </c>
      <c r="V130" s="795">
        <f t="shared" si="119"/>
        <v>-252.19999999999982</v>
      </c>
      <c r="W130" s="795">
        <f t="shared" si="119"/>
        <v>-188.29999999999927</v>
      </c>
      <c r="X130" s="795"/>
      <c r="Y130" s="795"/>
      <c r="Z130" s="795"/>
      <c r="AA130" s="1887"/>
      <c r="AB130" s="1887"/>
      <c r="AC130" s="763"/>
      <c r="AD130" s="685"/>
      <c r="AE130" s="763"/>
      <c r="AF130" s="115"/>
      <c r="AG130" s="115"/>
      <c r="AH130" s="766"/>
      <c r="AI130" s="766"/>
      <c r="AJ130" s="766"/>
      <c r="AK130" s="766"/>
      <c r="AL130" s="809"/>
      <c r="AM130" s="809"/>
      <c r="AN130" s="685"/>
      <c r="AO130" s="685"/>
      <c r="AP130" s="685"/>
      <c r="AQ130" s="685"/>
      <c r="AR130" s="685"/>
      <c r="AS130" s="685"/>
      <c r="AT130" s="1859"/>
      <c r="AU130" s="1859"/>
      <c r="AV130" s="1859"/>
      <c r="AW130" s="685"/>
      <c r="AX130" s="685"/>
      <c r="AY130" s="685"/>
      <c r="AZ130" s="685"/>
      <c r="BA130" s="685"/>
      <c r="BB130" s="685"/>
      <c r="BC130" s="685"/>
      <c r="BN130" s="1008">
        <f>N130/BO130-1</f>
        <v>-4.4011291772122485E-2</v>
      </c>
      <c r="BO130" s="795">
        <v>547.28679899353574</v>
      </c>
      <c r="BP130" s="1856"/>
      <c r="BR130" s="1856"/>
      <c r="BS130" s="795">
        <v>-370.65999999999985</v>
      </c>
      <c r="BU130" s="763"/>
    </row>
    <row r="131" spans="1:73">
      <c r="A131" s="763"/>
      <c r="B131" s="685"/>
      <c r="C131" s="685"/>
      <c r="D131" s="685"/>
      <c r="E131" s="685"/>
      <c r="F131" s="685"/>
      <c r="G131" s="685"/>
      <c r="H131" s="685"/>
      <c r="I131" s="685"/>
      <c r="J131" s="685"/>
      <c r="K131" s="685"/>
      <c r="L131" s="795"/>
      <c r="M131" s="795"/>
      <c r="N131" s="795"/>
      <c r="O131" s="795"/>
      <c r="P131" s="795"/>
      <c r="Q131" s="795"/>
      <c r="R131" s="795"/>
      <c r="S131" s="795"/>
      <c r="T131" s="795"/>
      <c r="U131" s="795"/>
      <c r="V131" s="795"/>
      <c r="W131" s="795"/>
      <c r="X131" s="795"/>
      <c r="Y131" s="795"/>
      <c r="Z131" s="795"/>
      <c r="AA131" s="1887"/>
      <c r="AB131" s="1887"/>
      <c r="AC131" s="763"/>
      <c r="AD131" s="685"/>
      <c r="AE131" s="763"/>
      <c r="AF131" s="115"/>
      <c r="AG131" s="115"/>
      <c r="AH131" s="766"/>
      <c r="AI131" s="766"/>
      <c r="AJ131" s="766"/>
      <c r="AK131" s="766"/>
      <c r="AL131" s="809"/>
      <c r="AM131" s="809"/>
      <c r="AN131" s="685"/>
      <c r="AO131" s="685"/>
      <c r="AP131" s="685"/>
      <c r="AQ131" s="685"/>
      <c r="AR131" s="685"/>
      <c r="AS131" s="685"/>
      <c r="AT131" s="1859"/>
      <c r="AU131" s="1859"/>
      <c r="AV131" s="1859"/>
      <c r="AW131" s="685"/>
      <c r="AX131" s="685"/>
      <c r="AY131" s="685"/>
      <c r="AZ131" s="685"/>
      <c r="BA131" s="685"/>
      <c r="BB131" s="685"/>
      <c r="BC131" s="685"/>
      <c r="BN131" s="765"/>
      <c r="BO131" s="795"/>
      <c r="BP131" s="1856"/>
      <c r="BR131" s="1856"/>
      <c r="BS131" s="795"/>
      <c r="BU131" s="763"/>
    </row>
    <row r="132" spans="1:73" ht="18.75">
      <c r="A132" s="763"/>
      <c r="B132" s="1690" t="str">
        <f>B18</f>
        <v>USD million</v>
      </c>
      <c r="C132" s="1690"/>
      <c r="D132" s="1690"/>
      <c r="E132" s="1690"/>
      <c r="F132" s="1690"/>
      <c r="G132" s="1692" t="str">
        <f t="shared" ref="G132:U132" si="120">G18</f>
        <v>Q1 22</v>
      </c>
      <c r="H132" s="1692" t="str">
        <f t="shared" si="120"/>
        <v>Q2 22</v>
      </c>
      <c r="I132" s="1692" t="str">
        <f t="shared" si="120"/>
        <v>Q3 22</v>
      </c>
      <c r="J132" s="1692" t="str">
        <f t="shared" si="120"/>
        <v>Q4 22</v>
      </c>
      <c r="K132" s="1692" t="str">
        <f t="shared" si="120"/>
        <v>Q1 23</v>
      </c>
      <c r="L132" s="1692" t="str">
        <f t="shared" si="120"/>
        <v>Q2 23</v>
      </c>
      <c r="M132" s="1692" t="str">
        <f t="shared" si="120"/>
        <v>Q3 23</v>
      </c>
      <c r="N132" s="1692" t="str">
        <f t="shared" si="120"/>
        <v>Q4 23</v>
      </c>
      <c r="O132" s="1692" t="str">
        <f t="shared" si="120"/>
        <v>Q1 24</v>
      </c>
      <c r="P132" s="1692" t="str">
        <f t="shared" si="120"/>
        <v>Q2 24</v>
      </c>
      <c r="Q132" s="1692" t="str">
        <f t="shared" si="120"/>
        <v>Q3 24</v>
      </c>
      <c r="R132" s="1692" t="str">
        <f t="shared" si="120"/>
        <v>Q4 24</v>
      </c>
      <c r="S132" s="1692" t="str">
        <f t="shared" si="120"/>
        <v>Q1 25</v>
      </c>
      <c r="T132" s="1692" t="str">
        <f t="shared" si="120"/>
        <v>Q2 25</v>
      </c>
      <c r="U132" s="1692" t="str">
        <f t="shared" si="120"/>
        <v>Q3 25</v>
      </c>
      <c r="V132" s="1692" t="str">
        <f>V18</f>
        <v>Q4 25</v>
      </c>
      <c r="W132" s="1692" t="str">
        <f>W18</f>
        <v>Q1 26</v>
      </c>
      <c r="X132" s="1692" t="str">
        <f t="shared" ref="X132:Z132" si="121">X18</f>
        <v>Q2 26</v>
      </c>
      <c r="Y132" s="1692" t="str">
        <f t="shared" si="121"/>
        <v>Q3 26</v>
      </c>
      <c r="Z132" s="1692" t="str">
        <f t="shared" si="121"/>
        <v>Q4 26</v>
      </c>
      <c r="AA132" s="1888" t="str">
        <f>AA18</f>
        <v>2026E</v>
      </c>
      <c r="AB132" s="1888" t="str">
        <f t="shared" ref="AB132" si="122">AB18</f>
        <v>2027E</v>
      </c>
      <c r="AC132" s="763"/>
      <c r="AD132" s="685"/>
      <c r="AE132" s="763"/>
      <c r="AF132" s="115"/>
      <c r="AG132" s="115">
        <v>50</v>
      </c>
      <c r="AH132" s="115">
        <v>300</v>
      </c>
      <c r="AI132" s="115">
        <f>AH132/AG132</f>
        <v>6</v>
      </c>
      <c r="AK132" s="115">
        <v>1000</v>
      </c>
      <c r="AL132" s="115">
        <f>AK132*AI132</f>
        <v>6000</v>
      </c>
      <c r="AO132" s="685"/>
      <c r="AP132" s="685"/>
      <c r="AQ132" s="685"/>
      <c r="AR132" s="685"/>
      <c r="AS132" s="685"/>
      <c r="AT132" s="1859"/>
      <c r="AU132" s="1859"/>
      <c r="AV132" s="1859"/>
      <c r="AW132" s="685"/>
      <c r="AX132" s="685"/>
      <c r="AY132" s="685"/>
      <c r="AZ132" s="685"/>
      <c r="BA132" s="685"/>
      <c r="BB132" s="685"/>
      <c r="BC132" s="685"/>
      <c r="BN132" s="765"/>
      <c r="BO132" s="805" t="s">
        <v>1065</v>
      </c>
      <c r="BP132" s="1862" t="s">
        <v>864</v>
      </c>
      <c r="BR132" s="1882"/>
      <c r="BS132" s="1837"/>
      <c r="BU132" s="763"/>
    </row>
    <row r="133" spans="1:73" ht="18.75">
      <c r="A133" s="763"/>
      <c r="B133" s="1694" t="s">
        <v>34</v>
      </c>
      <c r="C133" s="1694"/>
      <c r="D133" s="1694"/>
      <c r="E133" s="1694"/>
      <c r="F133" s="1694"/>
      <c r="G133" s="1703">
        <f t="shared" ref="G133:U133" si="123">G33</f>
        <v>401.6</v>
      </c>
      <c r="H133" s="1703">
        <f t="shared" si="123"/>
        <v>373.3</v>
      </c>
      <c r="I133" s="1703">
        <f t="shared" si="123"/>
        <v>410.9</v>
      </c>
      <c r="J133" s="1703">
        <f t="shared" si="123"/>
        <v>504.4</v>
      </c>
      <c r="K133" s="1703">
        <f t="shared" si="123"/>
        <v>361</v>
      </c>
      <c r="L133" s="1703">
        <f t="shared" si="123"/>
        <v>373.9</v>
      </c>
      <c r="M133" s="1703">
        <f t="shared" si="123"/>
        <v>412.2</v>
      </c>
      <c r="N133" s="1703">
        <f t="shared" si="123"/>
        <v>468.1</v>
      </c>
      <c r="O133" s="1703">
        <f t="shared" si="123"/>
        <v>328.5</v>
      </c>
      <c r="P133" s="1703">
        <f t="shared" si="123"/>
        <v>362</v>
      </c>
      <c r="Q133" s="1703">
        <f t="shared" si="123"/>
        <v>427.1</v>
      </c>
      <c r="R133" s="1703">
        <f t="shared" si="123"/>
        <v>451.9</v>
      </c>
      <c r="S133" s="1703">
        <f t="shared" si="123"/>
        <v>345.1</v>
      </c>
      <c r="T133" s="1703">
        <f t="shared" si="123"/>
        <v>398</v>
      </c>
      <c r="U133" s="1703">
        <f t="shared" si="123"/>
        <v>466.7</v>
      </c>
      <c r="V133" s="1703">
        <f>V33</f>
        <v>396.4</v>
      </c>
      <c r="W133" s="1703">
        <f>W33</f>
        <v>323.3</v>
      </c>
      <c r="X133" s="1703">
        <f t="shared" ref="X133:Z133" si="124">X33</f>
        <v>415</v>
      </c>
      <c r="Y133" s="1703">
        <f t="shared" si="124"/>
        <v>485</v>
      </c>
      <c r="Z133" s="1703">
        <f t="shared" si="124"/>
        <v>404.4879999999996</v>
      </c>
      <c r="AA133" s="2050">
        <f>VOD!J165</f>
        <v>1627.7879999999996</v>
      </c>
      <c r="AB133" s="2050">
        <f>VOD!K165</f>
        <v>1630.5423299999998</v>
      </c>
      <c r="AC133" s="763"/>
      <c r="AD133" s="796"/>
      <c r="AE133" s="796"/>
      <c r="AF133" s="115"/>
      <c r="AG133" s="115">
        <v>100</v>
      </c>
      <c r="AH133" s="115">
        <v>300</v>
      </c>
      <c r="AI133" s="115">
        <f>AH133/AG133</f>
        <v>3</v>
      </c>
      <c r="AK133" s="115">
        <f>AL132</f>
        <v>6000</v>
      </c>
      <c r="AL133" s="115">
        <f>AK133*AI133</f>
        <v>18000</v>
      </c>
      <c r="AO133" s="685"/>
      <c r="AP133" s="685"/>
      <c r="AQ133" s="685"/>
      <c r="AR133" s="685"/>
      <c r="AS133" s="685"/>
      <c r="AT133" s="1859"/>
      <c r="AU133" s="1859"/>
      <c r="AV133" s="1859"/>
      <c r="AW133" s="685"/>
      <c r="AX133" s="685"/>
      <c r="AY133" s="685"/>
      <c r="AZ133" s="685"/>
      <c r="BA133" s="685"/>
      <c r="BB133" s="685"/>
      <c r="BC133" s="685"/>
      <c r="BN133" s="1008">
        <f>N133/BO133-1</f>
        <v>-0.12159879902420723</v>
      </c>
      <c r="BO133" s="794">
        <v>532.90000000000009</v>
      </c>
      <c r="BP133" s="1875">
        <v>395</v>
      </c>
      <c r="BR133" s="1900"/>
      <c r="BS133" s="1703"/>
      <c r="BU133" s="763"/>
    </row>
    <row r="134" spans="1:73" ht="18.75">
      <c r="A134" s="763"/>
      <c r="B134" s="1696" t="s">
        <v>35</v>
      </c>
      <c r="C134" s="1696"/>
      <c r="D134" s="1696"/>
      <c r="E134" s="1696"/>
      <c r="F134" s="1696"/>
      <c r="G134" s="1704">
        <v>-26.4</v>
      </c>
      <c r="H134" s="1704">
        <f>-51.8-G134</f>
        <v>-25.4</v>
      </c>
      <c r="I134" s="1704">
        <f>-87.3-G134-H134</f>
        <v>-35.5</v>
      </c>
      <c r="J134" s="1704">
        <f>-159.1-G134-H134-I134</f>
        <v>-71.799999999999983</v>
      </c>
      <c r="K134" s="1704">
        <v>-51.8</v>
      </c>
      <c r="L134" s="1704">
        <f>-96.7-K134</f>
        <v>-44.900000000000006</v>
      </c>
      <c r="M134" s="1704">
        <f>-133.6-K134-L134</f>
        <v>-36.899999999999991</v>
      </c>
      <c r="N134" s="1704">
        <f>-168.4-K134-L134-M134</f>
        <v>-34.800000000000011</v>
      </c>
      <c r="O134" s="1704">
        <v>-40</v>
      </c>
      <c r="P134" s="1704">
        <f>-62.7-O134</f>
        <v>-22.700000000000003</v>
      </c>
      <c r="Q134" s="1704">
        <f>-84.4-O134-P134</f>
        <v>-21.700000000000003</v>
      </c>
      <c r="R134" s="1704">
        <f>-115.3-O134-P134-Q134</f>
        <v>-30.899999999999991</v>
      </c>
      <c r="S134" s="1704">
        <v>-34.6</v>
      </c>
      <c r="T134" s="1704">
        <f>-57.7-S134</f>
        <v>-23.1</v>
      </c>
      <c r="U134" s="1704">
        <f>-83-S134-T134</f>
        <v>-25.299999999999997</v>
      </c>
      <c r="V134" s="1704">
        <f>-119.4-S134-T134-U134</f>
        <v>-36.400000000000013</v>
      </c>
      <c r="W134" s="1704">
        <v>-34.299999999999997</v>
      </c>
      <c r="X134" s="1704">
        <v>-45</v>
      </c>
      <c r="Y134" s="1704">
        <v>-35</v>
      </c>
      <c r="Z134" s="1704">
        <f>AA134-W134-X134-Y134</f>
        <v>-38.410889999999981</v>
      </c>
      <c r="AA134" s="1890">
        <f>-VOD!J205</f>
        <v>-152.71088999999998</v>
      </c>
      <c r="AB134" s="1890">
        <f>-VOD!K205</f>
        <v>-156.94860989999998</v>
      </c>
      <c r="AC134" s="763"/>
      <c r="AD134" s="795"/>
      <c r="AE134" s="795"/>
      <c r="AF134" s="115"/>
      <c r="AG134" s="115">
        <v>150</v>
      </c>
      <c r="AH134" s="115">
        <v>300</v>
      </c>
      <c r="AI134" s="115">
        <f>AH134/AG134</f>
        <v>2</v>
      </c>
      <c r="AK134" s="115">
        <f>AL133</f>
        <v>18000</v>
      </c>
      <c r="AO134" s="685"/>
      <c r="AP134" s="685"/>
      <c r="AQ134" s="685"/>
      <c r="AR134" s="685"/>
      <c r="AS134" s="685"/>
      <c r="AT134" s="1859"/>
      <c r="AU134" s="1859"/>
      <c r="AV134" s="1859"/>
      <c r="AW134" s="685"/>
      <c r="AX134" s="685"/>
      <c r="AY134" s="685"/>
      <c r="AZ134" s="685"/>
      <c r="BA134" s="685"/>
      <c r="BB134" s="685"/>
      <c r="BC134" s="685"/>
      <c r="BN134" s="1008">
        <f>N134/BO134-1</f>
        <v>-0.17125173163869656</v>
      </c>
      <c r="BO134" s="796">
        <v>-41.991037964773767</v>
      </c>
      <c r="BP134" s="1865">
        <v>-35</v>
      </c>
      <c r="BR134" s="1864"/>
      <c r="BS134" s="1704"/>
      <c r="BU134" s="763"/>
    </row>
    <row r="135" spans="1:73" ht="18.75">
      <c r="A135" s="763"/>
      <c r="B135" s="1694" t="s">
        <v>1041</v>
      </c>
      <c r="C135" s="1694"/>
      <c r="D135" s="1694"/>
      <c r="E135" s="1694"/>
      <c r="F135" s="1694"/>
      <c r="G135" s="1705">
        <f>-114.8+0.5</f>
        <v>-114.3</v>
      </c>
      <c r="H135" s="1705">
        <f>-(239+3.3)-G135</f>
        <v>-128</v>
      </c>
      <c r="I135" s="1705">
        <f>(-377+6)-G135-H135</f>
        <v>-128.69999999999999</v>
      </c>
      <c r="J135" s="1705">
        <f>(-572+11)-G135-H135-I135</f>
        <v>-190</v>
      </c>
      <c r="K135" s="1705">
        <f>-(160.7-2.7+3.7)</f>
        <v>-161.69999999999999</v>
      </c>
      <c r="L135" s="1705">
        <f>-170.3+7.2-3.6-16.7</f>
        <v>-183.4</v>
      </c>
      <c r="M135" s="1705">
        <f>(-504+15.6)-K135-L135</f>
        <v>-143.29999999999998</v>
      </c>
      <c r="N135" s="1705">
        <f>(-680.4+19.8+6.9-60)-K135-L135-M135</f>
        <v>-225.30000000000004</v>
      </c>
      <c r="O135" s="1705">
        <f>-(179.1-4+4.6-1.7)</f>
        <v>-178</v>
      </c>
      <c r="P135" s="1705">
        <f>-180.1+6.1-4.7-6.2+11.4</f>
        <v>-173.49999999999997</v>
      </c>
      <c r="Q135" s="1705">
        <f>(-551.1+15.1-5.3+8.1)-O135-P135</f>
        <v>-181.69999999999996</v>
      </c>
      <c r="R135" s="1705">
        <f>(-725.6+21.2-9.4-47.3)-O135-P135-Q135</f>
        <v>-227.89999999999995</v>
      </c>
      <c r="S135" s="1705">
        <f>-(170.1-4.8)</f>
        <v>-165.29999999999998</v>
      </c>
      <c r="T135" s="1705">
        <f>-(171.1-8.1)</f>
        <v>-163</v>
      </c>
      <c r="U135" s="1705">
        <f>(-527.8+20.9+31.7+11.6)-S135-T135</f>
        <v>-135.29999999999995</v>
      </c>
      <c r="V135" s="1705">
        <f>(-712.6+26.4+31.7+7.5)-S135-T135-U135</f>
        <v>-183.40000000000009</v>
      </c>
      <c r="W135" s="1705">
        <f>-(186.9-4.7)</f>
        <v>-182.20000000000002</v>
      </c>
      <c r="X135" s="1705">
        <v>-180</v>
      </c>
      <c r="Y135" s="1705">
        <v>-180</v>
      </c>
      <c r="Z135" s="1705">
        <f>AA135-W135-X135-Y135</f>
        <v>-177.87380000000007</v>
      </c>
      <c r="AA135" s="1890">
        <f>-VOD!J180+VOD!J183</f>
        <v>-720.07380000000012</v>
      </c>
      <c r="AB135" s="1890">
        <f>-VOD!K180+VOD!K183</f>
        <v>-614.77695471000004</v>
      </c>
      <c r="AC135" s="763" t="s">
        <v>1090</v>
      </c>
      <c r="AD135" s="795"/>
      <c r="AE135" s="795"/>
      <c r="AF135" s="115"/>
      <c r="AG135" s="115"/>
      <c r="AI135" s="766"/>
      <c r="AJ135" s="766"/>
      <c r="AK135" s="766"/>
      <c r="AL135" s="809"/>
      <c r="AM135" s="809"/>
      <c r="AN135" s="685"/>
      <c r="AO135" s="685"/>
      <c r="AP135" s="685"/>
      <c r="AQ135" s="685"/>
      <c r="AR135" s="685"/>
      <c r="AS135" s="685"/>
      <c r="AT135" s="1859"/>
      <c r="AU135" s="1859"/>
      <c r="AV135" s="1859"/>
      <c r="AW135" s="685"/>
      <c r="AX135" s="685"/>
      <c r="AY135" s="685"/>
      <c r="AZ135" s="685"/>
      <c r="BA135" s="685"/>
      <c r="BB135" s="685"/>
      <c r="BC135" s="685"/>
      <c r="BN135" s="1008">
        <f>N135/BO135-1</f>
        <v>6.4744801512287564E-2</v>
      </c>
      <c r="BO135" s="798">
        <v>-211.6</v>
      </c>
      <c r="BP135" s="1865">
        <v>-170</v>
      </c>
      <c r="BR135" s="1864"/>
      <c r="BS135" s="1705"/>
      <c r="BU135" s="763"/>
    </row>
    <row r="136" spans="1:73" ht="18.75">
      <c r="A136" s="763"/>
      <c r="B136" s="1696" t="s">
        <v>114</v>
      </c>
      <c r="C136" s="1696"/>
      <c r="D136" s="1696"/>
      <c r="E136" s="1696"/>
      <c r="F136" s="1696"/>
      <c r="G136" s="1704">
        <v>-20</v>
      </c>
      <c r="H136" s="1704">
        <f>-19-G136</f>
        <v>1</v>
      </c>
      <c r="I136" s="1704">
        <f>-45-G136-H136</f>
        <v>-26</v>
      </c>
      <c r="J136" s="1704">
        <f>-131.5-G136-H136-I136</f>
        <v>-86.5</v>
      </c>
      <c r="K136" s="1704">
        <v>-41.3</v>
      </c>
      <c r="L136" s="1704">
        <f>-50.3-K136</f>
        <v>-9</v>
      </c>
      <c r="M136" s="1704">
        <f>-75.7-K136-L136</f>
        <v>-25.400000000000006</v>
      </c>
      <c r="N136" s="1704">
        <f>-41.1-K136-L136-M136</f>
        <v>34.6</v>
      </c>
      <c r="O136" s="1704">
        <v>14.8</v>
      </c>
      <c r="P136" s="1704">
        <v>6.9</v>
      </c>
      <c r="Q136" s="1704">
        <f>-41.1-O136-P136</f>
        <v>-62.800000000000004</v>
      </c>
      <c r="R136" s="1704">
        <f>156-O136-P136-Q136</f>
        <v>197.1</v>
      </c>
      <c r="S136" s="1704">
        <v>-8.3000000000000007</v>
      </c>
      <c r="T136" s="1704">
        <v>10.8</v>
      </c>
      <c r="U136" s="1704">
        <f>-31.4-S136-T136</f>
        <v>-33.9</v>
      </c>
      <c r="V136" s="1704">
        <f>6-S136-T136-U136</f>
        <v>37.4</v>
      </c>
      <c r="W136" s="1704">
        <v>59.7</v>
      </c>
      <c r="X136" s="1704">
        <v>-30</v>
      </c>
      <c r="Y136" s="1704">
        <v>-30</v>
      </c>
      <c r="Z136" s="1704">
        <f>AA136-W136-X136-Y136</f>
        <v>-8.8784755999999305</v>
      </c>
      <c r="AA136" s="1890">
        <f>-VOD!J186</f>
        <v>-9.1784755999999295</v>
      </c>
      <c r="AB136" s="1890">
        <f>-VOD!K186</f>
        <v>-48.998112517199964</v>
      </c>
      <c r="AC136" s="763" t="s">
        <v>1090</v>
      </c>
      <c r="AD136" s="685"/>
      <c r="AE136" s="763"/>
      <c r="AF136" s="115"/>
      <c r="AG136" s="115"/>
      <c r="AH136" s="766"/>
      <c r="AI136" s="766"/>
      <c r="AJ136" s="766"/>
      <c r="AK136" s="766"/>
      <c r="AL136" s="809"/>
      <c r="AM136" s="809"/>
      <c r="AN136" s="685"/>
      <c r="AO136" s="685"/>
      <c r="AP136" s="685"/>
      <c r="AQ136" s="685"/>
      <c r="AR136" s="685"/>
      <c r="AS136" s="685"/>
      <c r="AT136" s="1859"/>
      <c r="AU136" s="1859"/>
      <c r="AV136" s="1859"/>
      <c r="AW136" s="685"/>
      <c r="AX136" s="685"/>
      <c r="AY136" s="685"/>
      <c r="AZ136" s="685"/>
      <c r="BA136" s="685"/>
      <c r="BB136" s="685"/>
      <c r="BC136" s="685"/>
      <c r="BN136" s="1008">
        <f>N136/BO136-1</f>
        <v>-5.33798952813006</v>
      </c>
      <c r="BO136" s="795">
        <v>-7.9760450724081693</v>
      </c>
      <c r="BP136" s="1865">
        <v>-30</v>
      </c>
      <c r="BR136" s="1864"/>
      <c r="BS136" s="1704"/>
      <c r="BU136" s="763"/>
    </row>
    <row r="137" spans="1:73" ht="18.75">
      <c r="A137" s="763"/>
      <c r="B137" s="1694" t="s">
        <v>1091</v>
      </c>
      <c r="C137" s="1694"/>
      <c r="D137" s="1694"/>
      <c r="E137" s="1694"/>
      <c r="F137" s="1694"/>
      <c r="G137" s="1705">
        <f>56+11-158-93.5+5.5+4</f>
        <v>-175</v>
      </c>
      <c r="H137" s="1705">
        <f>(58+6-130+22+5-26)-G137</f>
        <v>110</v>
      </c>
      <c r="I137" s="1705">
        <f>(77-14-91-24-2-14)-G137-H137</f>
        <v>-3</v>
      </c>
      <c r="J137" s="1705">
        <f>(88.9-16+67-318-18-6)-G137-H137-I137</f>
        <v>-134.1</v>
      </c>
      <c r="K137" s="1705">
        <f>-131-61-12+144+8</f>
        <v>-52</v>
      </c>
      <c r="L137" s="1705">
        <f>-190-46-56+250+12-K137</f>
        <v>22</v>
      </c>
      <c r="M137" s="1705">
        <f>(-115.1-40.7-58.6+174.5+34-12.1)-K137-L137</f>
        <v>11.999999999999993</v>
      </c>
      <c r="N137" s="1705">
        <f>(-172.3-42+15.3+75.2+40.5-10.5)-K137-L137-M137</f>
        <v>-75.799999999999983</v>
      </c>
      <c r="O137" s="1705">
        <f>3.9-108.1-77.3+190.6+6.6+7.3</f>
        <v>22.999999999999993</v>
      </c>
      <c r="P137" s="1705">
        <f>49.3-54.7-344.2+263.9+20.2+12.2-O137</f>
        <v>-76.30000000000004</v>
      </c>
      <c r="Q137" s="1705">
        <f>(16.4-2.9-80+177.5+33.3-3.9)-O137-P137</f>
        <v>193.70000000000005</v>
      </c>
      <c r="R137" s="1705">
        <f>(70.5+18.9+48.2+6.9-65.2+13.6)-O137-P137-Q137</f>
        <v>-47.499999999999972</v>
      </c>
      <c r="S137" s="1705">
        <f>-29.1-35.2-72.3+159.5-2.3-0.1</f>
        <v>20.499999999999975</v>
      </c>
      <c r="T137" s="1705">
        <f>-103.6-18.6+5.7+246.8+2-0.2-S137</f>
        <v>111.60000000000005</v>
      </c>
      <c r="U137" s="1705">
        <f>(-96.5-62+7.5+161.7+9.8-13.6)-S137-T137</f>
        <v>-125.20000000000003</v>
      </c>
      <c r="V137" s="1705">
        <f>(-151.9-51+9.6+34+19.3+3.1)-S137-T137-U137</f>
        <v>-143.79999999999995</v>
      </c>
      <c r="W137" s="1705">
        <f>-160.7-87.7+103.1+302.9+3.5-5.6</f>
        <v>155.5</v>
      </c>
      <c r="X137" s="1705">
        <v>-50</v>
      </c>
      <c r="Y137" s="1705">
        <v>-50</v>
      </c>
      <c r="Z137" s="1705">
        <f>AA137-W137-X137-Y137</f>
        <v>-55.5</v>
      </c>
      <c r="AA137" s="1887">
        <f>VOD!J212</f>
        <v>0</v>
      </c>
      <c r="AB137" s="1887">
        <f>VOD!K212</f>
        <v>0</v>
      </c>
      <c r="AC137" s="763"/>
      <c r="AD137" s="685"/>
      <c r="AE137" s="763"/>
      <c r="AF137" s="115"/>
      <c r="AG137" s="115"/>
      <c r="AH137" s="766"/>
      <c r="AI137" s="766"/>
      <c r="AJ137" s="766"/>
      <c r="AK137" s="766"/>
      <c r="AL137" s="809"/>
      <c r="AM137" s="809"/>
      <c r="AN137" s="685"/>
      <c r="AO137" s="685"/>
      <c r="AP137" s="685"/>
      <c r="AQ137" s="685"/>
      <c r="AR137" s="685"/>
      <c r="AS137" s="685"/>
      <c r="AT137" s="1859"/>
      <c r="AU137" s="1859"/>
      <c r="AV137" s="1859"/>
      <c r="AW137" s="685"/>
      <c r="AX137" s="685"/>
      <c r="AY137" s="685"/>
      <c r="AZ137" s="685"/>
      <c r="BA137" s="685"/>
      <c r="BB137" s="685"/>
      <c r="BC137" s="685"/>
      <c r="BN137" s="1008"/>
      <c r="BO137" s="819">
        <v>0</v>
      </c>
      <c r="BP137" s="1865">
        <v>-80</v>
      </c>
      <c r="BR137" s="1864"/>
      <c r="BS137" s="1705"/>
      <c r="BU137" s="763"/>
    </row>
    <row r="138" spans="1:73" ht="18.75">
      <c r="A138" s="763"/>
      <c r="B138" s="1696" t="s">
        <v>1092</v>
      </c>
      <c r="C138" s="1696"/>
      <c r="D138" s="1696"/>
      <c r="E138" s="1696"/>
      <c r="F138" s="1696"/>
      <c r="G138" s="1704">
        <f>-14.7+12.6</f>
        <v>-2.0999999999999996</v>
      </c>
      <c r="H138" s="1704">
        <f>-32.6+9.6-G138</f>
        <v>-20.9</v>
      </c>
      <c r="I138" s="1704">
        <f>-34.4+9.8-G138-H138</f>
        <v>-1.6000000000000014</v>
      </c>
      <c r="J138" s="1704">
        <f>-43-G138-H138-I138</f>
        <v>-18.399999999999999</v>
      </c>
      <c r="K138" s="1704">
        <v>-20.6</v>
      </c>
      <c r="L138" s="1704">
        <f>-47-K138</f>
        <v>-26.4</v>
      </c>
      <c r="M138" s="1704">
        <f>-52.6+1.2-K138-L138</f>
        <v>-4.3999999999999986</v>
      </c>
      <c r="N138" s="1704">
        <f>-67.4-K138-L138-M138</f>
        <v>-16.000000000000007</v>
      </c>
      <c r="O138" s="1704">
        <f>8.7</f>
        <v>8.6999999999999993</v>
      </c>
      <c r="P138" s="1704">
        <f>8.7-O138</f>
        <v>0</v>
      </c>
      <c r="Q138" s="1704">
        <f>8.7-O138-P138</f>
        <v>0</v>
      </c>
      <c r="R138" s="1704">
        <f>8.7-O138-P138-Q138</f>
        <v>0</v>
      </c>
      <c r="S138" s="1704">
        <v>0</v>
      </c>
      <c r="T138" s="1704">
        <v>0</v>
      </c>
      <c r="U138" s="1704">
        <v>0</v>
      </c>
      <c r="V138" s="1704">
        <f>0-S138-T138-U138</f>
        <v>0</v>
      </c>
      <c r="W138" s="1704">
        <v>-0.1</v>
      </c>
      <c r="X138" s="1704">
        <v>0</v>
      </c>
      <c r="Y138" s="1704">
        <v>0</v>
      </c>
      <c r="Z138" s="1704">
        <v>0</v>
      </c>
      <c r="AA138" s="1887"/>
      <c r="AB138" s="1887"/>
      <c r="AC138" s="763"/>
      <c r="AD138" s="685"/>
      <c r="AE138" s="763"/>
      <c r="AF138" s="115"/>
      <c r="AG138" s="115"/>
      <c r="AH138" s="766"/>
      <c r="AI138" s="766"/>
      <c r="AJ138" s="766"/>
      <c r="AK138" s="766"/>
      <c r="AL138" s="809"/>
      <c r="AM138" s="809"/>
      <c r="AN138" s="685"/>
      <c r="AO138" s="685"/>
      <c r="AP138" s="685"/>
      <c r="AQ138" s="685"/>
      <c r="AR138" s="685"/>
      <c r="AS138" s="685"/>
      <c r="AT138" s="1859"/>
      <c r="AU138" s="1859"/>
      <c r="AV138" s="1859"/>
      <c r="AW138" s="685"/>
      <c r="AX138" s="685"/>
      <c r="AY138" s="685"/>
      <c r="AZ138" s="685"/>
      <c r="BA138" s="685"/>
      <c r="BB138" s="685"/>
      <c r="BC138" s="685"/>
      <c r="BN138" s="1008"/>
      <c r="BO138" s="834">
        <v>0</v>
      </c>
      <c r="BP138" s="1865">
        <v>0</v>
      </c>
      <c r="BR138" s="1864"/>
      <c r="BS138" s="1704"/>
      <c r="BU138" s="763"/>
    </row>
    <row r="139" spans="1:73" ht="18.75">
      <c r="A139" s="763"/>
      <c r="B139" s="1706" t="s">
        <v>1093</v>
      </c>
      <c r="C139" s="1706"/>
      <c r="D139" s="1706"/>
      <c r="E139" s="1706"/>
      <c r="F139" s="1706"/>
      <c r="G139" s="1707"/>
      <c r="H139" s="1707">
        <f t="shared" ref="H139:U139" si="125">-(H33+SUM(H134:H138)-H140)</f>
        <v>-82.299999999999272</v>
      </c>
      <c r="I139" s="1707">
        <f t="shared" si="125"/>
        <v>-347.19999999999857</v>
      </c>
      <c r="J139" s="1707">
        <f t="shared" si="125"/>
        <v>-115.29999999999893</v>
      </c>
      <c r="K139" s="1707">
        <f t="shared" si="125"/>
        <v>-222.20000000000215</v>
      </c>
      <c r="L139" s="1707">
        <f t="shared" si="125"/>
        <v>-178.39999999999887</v>
      </c>
      <c r="M139" s="1707">
        <f t="shared" si="125"/>
        <v>-243.70000000000181</v>
      </c>
      <c r="N139" s="1707">
        <f t="shared" si="125"/>
        <v>-58.599999999999284</v>
      </c>
      <c r="O139" s="1707">
        <f t="shared" si="125"/>
        <v>-140.39999999999964</v>
      </c>
      <c r="P139" s="1707">
        <f t="shared" si="125"/>
        <v>-17.499999999998522</v>
      </c>
      <c r="Q139" s="1707">
        <f t="shared" si="125"/>
        <v>-97.200000000002262</v>
      </c>
      <c r="R139" s="1707">
        <f t="shared" si="125"/>
        <v>-195.59999999999968</v>
      </c>
      <c r="S139" s="1707">
        <f t="shared" si="125"/>
        <v>-119.4</v>
      </c>
      <c r="T139" s="1707">
        <f t="shared" si="125"/>
        <v>-90.299999999998249</v>
      </c>
      <c r="U139" s="1707">
        <f t="shared" si="125"/>
        <v>-235.00000000000182</v>
      </c>
      <c r="V139" s="1707">
        <f>-(V33+SUM(V134:V138)-V140)</f>
        <v>4.6999999999997044</v>
      </c>
      <c r="W139" s="1707">
        <f>-(W33+SUM(W134:W138)-W140)</f>
        <v>-341.19999999999925</v>
      </c>
      <c r="X139" s="1705">
        <f>(W144-X144)-SUM(X133:X138)</f>
        <v>99.100000000000364</v>
      </c>
      <c r="Y139" s="1705">
        <f>(X144-Y144)-SUM(Y133:Y138)</f>
        <v>10</v>
      </c>
      <c r="Z139" s="1705">
        <f>(Y144-Z144)-SUM(Z133:Z138)</f>
        <v>179.14910279999896</v>
      </c>
      <c r="AA139" s="1887"/>
      <c r="AB139" s="1887"/>
      <c r="AC139" s="763"/>
      <c r="AD139" s="685"/>
      <c r="AE139" s="763"/>
      <c r="AF139" s="115"/>
      <c r="AG139" s="115"/>
      <c r="AH139" s="766"/>
      <c r="AI139" s="766"/>
      <c r="AJ139" s="766"/>
      <c r="AK139" s="766"/>
      <c r="AL139" s="809"/>
      <c r="AM139" s="809"/>
      <c r="AN139" s="685"/>
      <c r="AO139" s="685"/>
      <c r="AP139" s="685"/>
      <c r="AQ139" s="685"/>
      <c r="AR139" s="685"/>
      <c r="AS139" s="685"/>
      <c r="AT139" s="1859"/>
      <c r="AU139" s="1859"/>
      <c r="AV139" s="1859"/>
      <c r="AW139" s="685"/>
      <c r="AX139" s="685"/>
      <c r="AY139" s="685"/>
      <c r="AZ139" s="685"/>
      <c r="BA139" s="685"/>
      <c r="BB139" s="685"/>
      <c r="BC139" s="685"/>
      <c r="BN139" s="1008">
        <f>N139/BO139-1</f>
        <v>-0.56495916852262962</v>
      </c>
      <c r="BO139" s="1397">
        <v>-134.69999999999425</v>
      </c>
      <c r="BP139" s="1876">
        <v>-150</v>
      </c>
      <c r="BR139" s="1864"/>
      <c r="BS139" s="1705"/>
      <c r="BU139" s="763"/>
    </row>
    <row r="140" spans="1:73" ht="18.75">
      <c r="A140" s="763"/>
      <c r="B140" s="1708" t="s">
        <v>272</v>
      </c>
      <c r="C140" s="1708"/>
      <c r="D140" s="1708"/>
      <c r="E140" s="1708"/>
      <c r="F140" s="1708"/>
      <c r="G140" s="1709"/>
      <c r="H140" s="1709">
        <f t="shared" ref="H140:M140" si="126">-(H144-G144)</f>
        <v>227.70000000000073</v>
      </c>
      <c r="I140" s="1709">
        <f t="shared" si="126"/>
        <v>-131.09999999999854</v>
      </c>
      <c r="J140" s="1709">
        <f t="shared" si="126"/>
        <v>-111.69999999999891</v>
      </c>
      <c r="K140" s="1709">
        <f t="shared" si="126"/>
        <v>-188.60000000000218</v>
      </c>
      <c r="L140" s="1709">
        <f t="shared" si="126"/>
        <v>-46.199999999998909</v>
      </c>
      <c r="M140" s="1709">
        <f t="shared" si="126"/>
        <v>-29.500000000001819</v>
      </c>
      <c r="N140" s="1709">
        <f t="shared" ref="N140:W140" si="127">-(N144-M144)</f>
        <v>92.200000000000728</v>
      </c>
      <c r="O140" s="1709">
        <f t="shared" si="127"/>
        <v>16.600000000000364</v>
      </c>
      <c r="P140" s="1709">
        <f t="shared" si="127"/>
        <v>78.900000000001455</v>
      </c>
      <c r="Q140" s="1709">
        <f t="shared" si="127"/>
        <v>257.39999999999782</v>
      </c>
      <c r="R140" s="1709">
        <f t="shared" si="127"/>
        <v>147.10000000000036</v>
      </c>
      <c r="S140" s="1709">
        <f t="shared" si="127"/>
        <v>38</v>
      </c>
      <c r="T140" s="1709">
        <f t="shared" si="127"/>
        <v>244.00000000000182</v>
      </c>
      <c r="U140" s="1709">
        <f t="shared" si="127"/>
        <v>-88.000000000001819</v>
      </c>
      <c r="V140" s="1709">
        <f t="shared" si="127"/>
        <v>74.899999999999636</v>
      </c>
      <c r="W140" s="1709">
        <f t="shared" si="127"/>
        <v>-19.299999999999272</v>
      </c>
      <c r="X140" s="2057">
        <f>SUM(X133:X139)</f>
        <v>209.10000000000036</v>
      </c>
      <c r="Y140" s="2057">
        <f t="shared" ref="Y140:Z140" si="128">SUM(Y133:Y139)</f>
        <v>200</v>
      </c>
      <c r="Z140" s="2057">
        <f t="shared" si="128"/>
        <v>302.97393719999855</v>
      </c>
      <c r="AA140" s="1887"/>
      <c r="AB140" s="1887"/>
      <c r="AC140" s="763"/>
      <c r="AD140" s="685"/>
      <c r="AE140" s="763"/>
      <c r="AF140" s="115">
        <v>1</v>
      </c>
      <c r="AG140" s="115">
        <f>AF140+1</f>
        <v>2</v>
      </c>
      <c r="AH140" s="115">
        <f>AG140+1</f>
        <v>3</v>
      </c>
      <c r="AI140" s="115">
        <f>AH140+1</f>
        <v>4</v>
      </c>
      <c r="AJ140" s="115">
        <f>AI140+1</f>
        <v>5</v>
      </c>
      <c r="AK140" s="766"/>
      <c r="AL140" s="809"/>
      <c r="AM140" s="809"/>
      <c r="AN140" s="685"/>
      <c r="AO140" s="685"/>
      <c r="AP140" s="685"/>
      <c r="AQ140" s="685"/>
      <c r="AR140" s="685"/>
      <c r="AS140" s="685"/>
      <c r="AT140" s="1859"/>
      <c r="AU140" s="1859"/>
      <c r="AV140" s="1859"/>
      <c r="AW140" s="685"/>
      <c r="AX140" s="685"/>
      <c r="AY140" s="685"/>
      <c r="AZ140" s="685"/>
      <c r="BA140" s="685"/>
      <c r="BB140" s="685"/>
      <c r="BC140" s="685"/>
      <c r="BN140" s="1008">
        <f>N140/BO140-1</f>
        <v>-7.8089315043553107</v>
      </c>
      <c r="BO140" s="818">
        <v>-13.541037964771022</v>
      </c>
      <c r="BP140" s="1863">
        <v>-70</v>
      </c>
      <c r="BR140" s="1863"/>
      <c r="BS140" s="1709"/>
      <c r="BU140" s="763"/>
    </row>
    <row r="141" spans="1:73" ht="18.75">
      <c r="A141" s="763"/>
      <c r="B141" s="1694"/>
      <c r="C141" s="1694"/>
      <c r="D141" s="1694"/>
      <c r="E141" s="1694"/>
      <c r="F141" s="1694"/>
      <c r="G141" s="1694"/>
      <c r="H141" s="1694"/>
      <c r="I141" s="1694"/>
      <c r="J141" s="1694"/>
      <c r="K141" s="1694"/>
      <c r="L141" s="1694"/>
      <c r="M141" s="1694"/>
      <c r="N141" s="1694"/>
      <c r="O141" s="1694"/>
      <c r="P141" s="1694"/>
      <c r="Q141" s="1694"/>
      <c r="R141" s="1694"/>
      <c r="S141" s="1694"/>
      <c r="T141" s="1694"/>
      <c r="U141" s="1694"/>
      <c r="V141" s="1694"/>
      <c r="W141" s="1694"/>
      <c r="X141" s="1694"/>
      <c r="Y141" s="1694"/>
      <c r="Z141" s="1694"/>
      <c r="AA141" s="1887"/>
      <c r="AB141" s="1887"/>
      <c r="AC141" s="763"/>
      <c r="AD141" s="743" t="s">
        <v>1094</v>
      </c>
      <c r="AE141" s="408"/>
      <c r="AF141" s="767">
        <v>1000</v>
      </c>
      <c r="AG141" s="767">
        <v>1000</v>
      </c>
      <c r="AH141" s="767">
        <v>800</v>
      </c>
      <c r="AI141" s="767">
        <v>600</v>
      </c>
      <c r="AJ141" s="767">
        <v>500</v>
      </c>
      <c r="AK141" s="766"/>
      <c r="AL141" s="809"/>
      <c r="AM141" s="809"/>
      <c r="AN141" s="685"/>
      <c r="AO141" s="685"/>
      <c r="AP141" s="685"/>
      <c r="AQ141" s="685"/>
      <c r="AR141" s="685"/>
      <c r="AS141" s="685"/>
      <c r="AT141" s="1859"/>
      <c r="AU141" s="1859"/>
      <c r="AV141" s="1859"/>
      <c r="AW141" s="685"/>
      <c r="AX141" s="685"/>
      <c r="AY141" s="685"/>
      <c r="AZ141" s="685"/>
      <c r="BA141" s="685"/>
      <c r="BB141" s="685"/>
      <c r="BC141" s="685"/>
      <c r="BN141" s="1008"/>
      <c r="BO141" s="793"/>
      <c r="BP141" s="1868"/>
      <c r="BR141" s="1868"/>
      <c r="BS141" s="1694"/>
      <c r="BU141" s="763"/>
    </row>
    <row r="142" spans="1:73" ht="18.75">
      <c r="A142" s="763"/>
      <c r="B142" s="1696" t="s">
        <v>324</v>
      </c>
      <c r="C142" s="1710"/>
      <c r="D142" s="1710"/>
      <c r="E142" s="1710"/>
      <c r="F142" s="1710"/>
      <c r="G142" s="1704">
        <f>9942.7+57.6</f>
        <v>10000.300000000001</v>
      </c>
      <c r="H142" s="1704">
        <f>9839+89.2</f>
        <v>9928.2000000000007</v>
      </c>
      <c r="I142" s="1704">
        <f>9817+89</f>
        <v>9906</v>
      </c>
      <c r="J142" s="1704">
        <f>9911.4+113.8</f>
        <v>10025.199999999999</v>
      </c>
      <c r="K142" s="1704">
        <f>9600+439</f>
        <v>10039</v>
      </c>
      <c r="L142" s="1704">
        <f>9724.4+342.7</f>
        <v>10067.1</v>
      </c>
      <c r="M142" s="1704">
        <f>9804.7+229.1</f>
        <v>10033.800000000001</v>
      </c>
      <c r="N142" s="1704">
        <f>9571.1+308.5</f>
        <v>9879.6</v>
      </c>
      <c r="O142" s="1704">
        <f>9653.7+213</f>
        <v>9866.7000000000007</v>
      </c>
      <c r="P142" s="1704">
        <f>9601.9+201.4</f>
        <v>9803.2999999999993</v>
      </c>
      <c r="Q142" s="1704">
        <f>9414.2+194.5</f>
        <v>9608.7000000000007</v>
      </c>
      <c r="R142" s="1704">
        <f>9329.9+158.6</f>
        <v>9488.5</v>
      </c>
      <c r="S142" s="1704">
        <f>9310.2+155.9</f>
        <v>9466.1</v>
      </c>
      <c r="T142" s="1704">
        <f>9301.3+160.6</f>
        <v>9461.9</v>
      </c>
      <c r="U142" s="1704">
        <f>9268.7+159.8</f>
        <v>9428.5</v>
      </c>
      <c r="V142" s="1704">
        <f>9254.2+75.1</f>
        <v>9329.3000000000011</v>
      </c>
      <c r="W142" s="1704">
        <f>9244+76.1</f>
        <v>9320.1</v>
      </c>
      <c r="X142" s="1704">
        <f>X144+X143</f>
        <v>9100</v>
      </c>
      <c r="Y142" s="1704">
        <f t="shared" ref="Y142:Z142" si="129">Y144+Y143</f>
        <v>8900</v>
      </c>
      <c r="Z142" s="1704">
        <f t="shared" si="129"/>
        <v>8597.0260628000015</v>
      </c>
      <c r="AA142" s="1887"/>
      <c r="AB142" s="1887"/>
      <c r="AC142" s="763"/>
      <c r="AD142" s="685"/>
      <c r="AE142" s="763"/>
      <c r="AF142" s="220">
        <f>AF141/3</f>
        <v>333.33333333333331</v>
      </c>
      <c r="AG142" s="220">
        <f>AF142</f>
        <v>333.33333333333331</v>
      </c>
      <c r="AH142" s="220">
        <f>AG142</f>
        <v>333.33333333333331</v>
      </c>
      <c r="AI142" s="766"/>
      <c r="AJ142" s="766"/>
      <c r="AK142" s="766"/>
      <c r="AL142" s="809"/>
      <c r="AM142" s="809"/>
      <c r="AN142" s="685"/>
      <c r="AO142" s="685"/>
      <c r="AP142" s="685"/>
      <c r="AQ142" s="685"/>
      <c r="AR142" s="685"/>
      <c r="AS142" s="685"/>
      <c r="AT142" s="1859"/>
      <c r="AU142" s="1859"/>
      <c r="AV142" s="1859"/>
      <c r="AW142" s="685"/>
      <c r="AX142" s="685"/>
      <c r="AY142" s="685"/>
      <c r="AZ142" s="685"/>
      <c r="BA142" s="685"/>
      <c r="BB142" s="685"/>
      <c r="BC142" s="685"/>
      <c r="BN142" s="1008">
        <f>N142/BO142-1</f>
        <v>-1.5368055970818695E-2</v>
      </c>
      <c r="BO142" s="795">
        <v>10033.800000000001</v>
      </c>
      <c r="BP142" s="1864">
        <v>9536.1</v>
      </c>
      <c r="BR142" s="1864"/>
      <c r="BS142" s="1704"/>
      <c r="BU142" s="763"/>
    </row>
    <row r="143" spans="1:73" ht="18.75">
      <c r="A143" s="763"/>
      <c r="B143" s="1694" t="s">
        <v>549</v>
      </c>
      <c r="C143" s="1711"/>
      <c r="D143" s="1711"/>
      <c r="E143" s="1711"/>
      <c r="F143" s="1711"/>
      <c r="G143" s="1705">
        <v>528.79999999999995</v>
      </c>
      <c r="H143" s="1705">
        <v>684.4</v>
      </c>
      <c r="I143" s="1705">
        <v>531.1</v>
      </c>
      <c r="J143" s="1705">
        <v>538.6</v>
      </c>
      <c r="K143" s="1705">
        <v>363.8</v>
      </c>
      <c r="L143" s="1705">
        <v>345.7</v>
      </c>
      <c r="M143" s="1705">
        <v>282.89999999999998</v>
      </c>
      <c r="N143" s="1705">
        <v>220.9</v>
      </c>
      <c r="O143" s="1705">
        <v>224.6</v>
      </c>
      <c r="P143" s="1705">
        <v>240.1</v>
      </c>
      <c r="Q143" s="1705">
        <v>302.89999999999998</v>
      </c>
      <c r="R143" s="1705">
        <v>329.8</v>
      </c>
      <c r="S143" s="1705">
        <v>345.4</v>
      </c>
      <c r="T143" s="1705">
        <v>585.20000000000005</v>
      </c>
      <c r="U143" s="1705">
        <v>463.8</v>
      </c>
      <c r="V143" s="1705">
        <v>439.5</v>
      </c>
      <c r="W143" s="1705">
        <v>411</v>
      </c>
      <c r="X143" s="1705">
        <v>400</v>
      </c>
      <c r="Y143" s="1705">
        <v>400</v>
      </c>
      <c r="Z143" s="1705">
        <v>400</v>
      </c>
      <c r="AA143" s="1887"/>
      <c r="AB143" s="1887"/>
      <c r="AC143" s="763"/>
      <c r="AD143" s="685"/>
      <c r="AE143" s="763"/>
      <c r="AF143" s="115"/>
      <c r="AG143" s="220">
        <f>AG141/3</f>
        <v>333.33333333333331</v>
      </c>
      <c r="AH143" s="220">
        <f>AG143</f>
        <v>333.33333333333331</v>
      </c>
      <c r="AI143" s="220">
        <f>AH143</f>
        <v>333.33333333333331</v>
      </c>
      <c r="AJ143" s="220"/>
      <c r="AK143" s="766"/>
      <c r="AL143" s="809"/>
      <c r="AM143" s="809"/>
      <c r="AN143" s="685"/>
      <c r="AO143" s="685"/>
      <c r="AP143" s="685"/>
      <c r="AQ143" s="685"/>
      <c r="AR143" s="685"/>
      <c r="AS143" s="685"/>
      <c r="AT143" s="1859"/>
      <c r="AU143" s="1859"/>
      <c r="AV143" s="1859"/>
      <c r="AW143" s="685"/>
      <c r="AX143" s="685"/>
      <c r="AY143" s="685"/>
      <c r="AZ143" s="685"/>
      <c r="BA143" s="685"/>
      <c r="BB143" s="685"/>
      <c r="BC143" s="685"/>
      <c r="BN143" s="1008">
        <f>N143/BO143-1</f>
        <v>-0.17990476971354985</v>
      </c>
      <c r="BO143" s="798">
        <v>269.35896203522861</v>
      </c>
      <c r="BP143" s="1865">
        <v>580</v>
      </c>
      <c r="BR143" s="1864"/>
      <c r="BS143" s="1705"/>
      <c r="BU143" s="763"/>
    </row>
    <row r="144" spans="1:73" ht="18.75">
      <c r="A144" s="763"/>
      <c r="B144" s="1708" t="s">
        <v>271</v>
      </c>
      <c r="C144" s="1712"/>
      <c r="D144" s="1712"/>
      <c r="E144" s="1712"/>
      <c r="F144" s="1712"/>
      <c r="G144" s="1709">
        <f t="shared" ref="G144:L144" si="130">G142-G143</f>
        <v>9471.5000000000018</v>
      </c>
      <c r="H144" s="1709">
        <f t="shared" si="130"/>
        <v>9243.8000000000011</v>
      </c>
      <c r="I144" s="1709">
        <f t="shared" si="130"/>
        <v>9374.9</v>
      </c>
      <c r="J144" s="1709">
        <f t="shared" si="130"/>
        <v>9486.5999999999985</v>
      </c>
      <c r="K144" s="1709">
        <f t="shared" si="130"/>
        <v>9675.2000000000007</v>
      </c>
      <c r="L144" s="1709">
        <f t="shared" si="130"/>
        <v>9721.4</v>
      </c>
      <c r="M144" s="1709">
        <f t="shared" ref="M144:W144" si="131">M142-M143</f>
        <v>9750.9000000000015</v>
      </c>
      <c r="N144" s="1709">
        <f t="shared" si="131"/>
        <v>9658.7000000000007</v>
      </c>
      <c r="O144" s="1709">
        <f t="shared" si="131"/>
        <v>9642.1</v>
      </c>
      <c r="P144" s="1709">
        <f t="shared" si="131"/>
        <v>9563.1999999999989</v>
      </c>
      <c r="Q144" s="1709">
        <f t="shared" si="131"/>
        <v>9305.8000000000011</v>
      </c>
      <c r="R144" s="1709">
        <f t="shared" si="131"/>
        <v>9158.7000000000007</v>
      </c>
      <c r="S144" s="1709">
        <f t="shared" si="131"/>
        <v>9120.7000000000007</v>
      </c>
      <c r="T144" s="1709">
        <f t="shared" si="131"/>
        <v>8876.6999999999989</v>
      </c>
      <c r="U144" s="1709">
        <f t="shared" si="131"/>
        <v>8964.7000000000007</v>
      </c>
      <c r="V144" s="1709">
        <f t="shared" si="131"/>
        <v>8889.8000000000011</v>
      </c>
      <c r="W144" s="1709">
        <f t="shared" si="131"/>
        <v>8909.1</v>
      </c>
      <c r="X144" s="1709">
        <v>8700</v>
      </c>
      <c r="Y144" s="1709">
        <v>8500</v>
      </c>
      <c r="Z144" s="1709">
        <f>AA144</f>
        <v>8197.0260628000015</v>
      </c>
      <c r="AA144" s="2050">
        <f>VOD!J215</f>
        <v>8197.0260628000015</v>
      </c>
      <c r="AB144" s="2050">
        <f>VOD!K215</f>
        <v>7472.555711192681</v>
      </c>
      <c r="AC144" s="763"/>
      <c r="AD144" s="685"/>
      <c r="AE144" s="763"/>
      <c r="AF144" s="115"/>
      <c r="AG144" s="115"/>
      <c r="AH144" s="220">
        <f>AH141/3</f>
        <v>266.66666666666669</v>
      </c>
      <c r="AI144" s="220">
        <f>AH144</f>
        <v>266.66666666666669</v>
      </c>
      <c r="AJ144" s="220">
        <f>AI144</f>
        <v>266.66666666666669</v>
      </c>
      <c r="AK144" s="766"/>
      <c r="AL144" s="809"/>
      <c r="AM144" s="809"/>
      <c r="AN144" s="685"/>
      <c r="AO144" s="685"/>
      <c r="AP144" s="685"/>
      <c r="AQ144" s="685"/>
      <c r="AR144" s="685"/>
      <c r="AS144" s="685"/>
      <c r="AT144" s="1859"/>
      <c r="AU144" s="1859"/>
      <c r="AV144" s="1859"/>
      <c r="AW144" s="685"/>
      <c r="AX144" s="685"/>
      <c r="AY144" s="685"/>
      <c r="AZ144" s="685"/>
      <c r="BA144" s="685"/>
      <c r="BB144" s="685"/>
      <c r="BC144" s="685"/>
      <c r="BN144" s="1008">
        <f>N144/BO144-1</f>
        <v>-1.0829195194445251E-2</v>
      </c>
      <c r="BO144" s="818">
        <v>9764.4410379647725</v>
      </c>
      <c r="BP144" s="1863">
        <v>8956.1</v>
      </c>
      <c r="BR144" s="1863"/>
      <c r="BS144" s="1709"/>
      <c r="BU144" s="763"/>
    </row>
    <row r="145" spans="1:73" ht="18.75">
      <c r="A145" s="763"/>
      <c r="B145" s="1706" t="s">
        <v>41</v>
      </c>
      <c r="C145" s="1706"/>
      <c r="D145" s="1706"/>
      <c r="E145" s="1706"/>
      <c r="F145" s="1706"/>
      <c r="G145" s="1722">
        <f t="shared" ref="G145:W145" si="132">G144/(D33+E33+F33+G33)</f>
        <v>5.5224185178706797</v>
      </c>
      <c r="H145" s="1722">
        <f t="shared" si="132"/>
        <v>5.4957193816884669</v>
      </c>
      <c r="I145" s="1722">
        <f t="shared" si="132"/>
        <v>5.6329387730577416</v>
      </c>
      <c r="J145" s="1722">
        <f t="shared" si="132"/>
        <v>5.612708555200566</v>
      </c>
      <c r="K145" s="1722">
        <f t="shared" si="132"/>
        <v>5.8651794374393802</v>
      </c>
      <c r="L145" s="1722">
        <f t="shared" si="132"/>
        <v>5.8910435098775906</v>
      </c>
      <c r="M145" s="1722">
        <f t="shared" si="132"/>
        <v>5.9042688465031796</v>
      </c>
      <c r="N145" s="1722">
        <f t="shared" si="132"/>
        <v>5.9798786527984165</v>
      </c>
      <c r="O145" s="1722">
        <f t="shared" si="132"/>
        <v>6.0921842421179004</v>
      </c>
      <c r="P145" s="1722">
        <f t="shared" si="132"/>
        <v>6.0881079704609107</v>
      </c>
      <c r="Q145" s="1722">
        <f t="shared" si="132"/>
        <v>5.8685753925711053</v>
      </c>
      <c r="R145" s="1722">
        <f t="shared" si="132"/>
        <v>5.8354252946798351</v>
      </c>
      <c r="S145" s="1722">
        <f t="shared" si="132"/>
        <v>5.7503940482945595</v>
      </c>
      <c r="T145" s="1722">
        <f t="shared" si="132"/>
        <v>5.4723506565563156</v>
      </c>
      <c r="U145" s="1722">
        <f t="shared" si="132"/>
        <v>5.3948967924414761</v>
      </c>
      <c r="V145" s="1722">
        <f t="shared" si="132"/>
        <v>5.5346781222761807</v>
      </c>
      <c r="W145" s="1722">
        <f t="shared" si="132"/>
        <v>5.6230118656904828</v>
      </c>
      <c r="X145" s="1722">
        <f t="shared" ref="X145" si="133">X144/(U33+V33+W33+X33)</f>
        <v>5.4327463469464226</v>
      </c>
      <c r="Y145" s="1722">
        <f t="shared" ref="Y145" si="134">Y144/(V33+W33+X33+Y33)</f>
        <v>5.247885410878558</v>
      </c>
      <c r="Z145" s="1722">
        <f t="shared" ref="Z145" si="135">Z144/(W33+X33+Y33+Z33)</f>
        <v>5.035684046571177</v>
      </c>
      <c r="AA145" s="1887"/>
      <c r="AB145" s="1887"/>
      <c r="AC145" s="763"/>
      <c r="AI145" s="220">
        <f>AI141/3</f>
        <v>200</v>
      </c>
      <c r="AJ145" s="220">
        <f>AI145</f>
        <v>200</v>
      </c>
      <c r="AK145" s="766"/>
      <c r="AL145" s="809"/>
      <c r="AM145" s="809"/>
      <c r="AN145" s="685"/>
      <c r="AO145" s="685"/>
      <c r="AP145" s="685"/>
      <c r="AQ145" s="685"/>
      <c r="AR145" s="685"/>
      <c r="AS145" s="685"/>
      <c r="AT145" s="1859"/>
      <c r="AU145" s="1859"/>
      <c r="AV145" s="1859"/>
      <c r="AW145" s="685"/>
      <c r="AX145" s="685"/>
      <c r="AY145" s="685"/>
      <c r="AZ145" s="685"/>
      <c r="BA145" s="685"/>
      <c r="BB145" s="685"/>
      <c r="BC145" s="685"/>
      <c r="BN145" s="1008">
        <f>N145/BO145-1</f>
        <v>2.8855220451543095E-2</v>
      </c>
      <c r="BO145" s="1398">
        <v>5.8121672845028405</v>
      </c>
      <c r="BP145" s="1877">
        <v>5.5315298622691627</v>
      </c>
      <c r="BR145" s="1901"/>
      <c r="BS145" s="1839"/>
      <c r="BU145" s="763"/>
    </row>
    <row r="146" spans="1:73">
      <c r="A146" s="763"/>
      <c r="B146" s="685"/>
      <c r="C146" s="685"/>
      <c r="D146" s="685"/>
      <c r="E146" s="685"/>
      <c r="F146" s="685"/>
      <c r="G146" s="685"/>
      <c r="H146" s="685"/>
      <c r="I146" s="685"/>
      <c r="J146" s="790"/>
      <c r="K146" s="790"/>
      <c r="L146" s="790"/>
      <c r="M146" s="685"/>
      <c r="N146" s="685"/>
      <c r="O146" s="685"/>
      <c r="P146" s="790"/>
      <c r="Q146" s="790"/>
      <c r="R146" s="685"/>
      <c r="S146" s="685"/>
      <c r="T146" s="685"/>
      <c r="U146" s="685"/>
      <c r="V146" s="685"/>
      <c r="W146" s="685"/>
      <c r="X146" s="685"/>
      <c r="Y146" s="685"/>
      <c r="Z146" s="685"/>
      <c r="AA146" s="1887"/>
      <c r="AB146" s="1887"/>
      <c r="AC146" s="763"/>
      <c r="AD146" s="743"/>
      <c r="AE146" s="767"/>
      <c r="AF146" s="408"/>
      <c r="AG146" s="408"/>
      <c r="AH146" s="1454"/>
      <c r="AI146" s="1454"/>
      <c r="AJ146" s="1455">
        <f>AJ141/3</f>
        <v>166.66666666666666</v>
      </c>
      <c r="AK146" s="766"/>
      <c r="AL146" s="809"/>
      <c r="AM146" s="809"/>
      <c r="AN146" s="685"/>
      <c r="AO146" s="685"/>
      <c r="AP146" s="685"/>
      <c r="AQ146" s="685"/>
      <c r="AR146" s="685"/>
      <c r="AS146" s="685"/>
      <c r="AT146" s="1859"/>
      <c r="AU146" s="1859"/>
      <c r="AV146" s="1859"/>
      <c r="AW146" s="685"/>
      <c r="AX146" s="685"/>
      <c r="AY146" s="685"/>
      <c r="AZ146" s="685"/>
      <c r="BA146" s="685"/>
      <c r="BB146" s="685"/>
      <c r="BC146" s="685"/>
      <c r="BN146" s="765"/>
      <c r="BO146" s="685"/>
      <c r="BP146" s="1859"/>
      <c r="BR146" s="1859"/>
      <c r="BS146" s="685"/>
      <c r="BU146" s="763"/>
    </row>
    <row r="147" spans="1:73">
      <c r="A147" s="763"/>
      <c r="B147" s="685" t="s">
        <v>1038</v>
      </c>
      <c r="C147" s="685"/>
      <c r="D147" s="685"/>
      <c r="E147" s="685"/>
      <c r="F147" s="685"/>
      <c r="G147" s="685"/>
      <c r="H147" s="685">
        <v>-39.799999999999997</v>
      </c>
      <c r="I147" s="685"/>
      <c r="J147" s="790"/>
      <c r="K147" s="790">
        <f>-43.5-L147</f>
        <v>-27.5</v>
      </c>
      <c r="L147" s="790">
        <v>-16</v>
      </c>
      <c r="M147" s="790">
        <f>-66.3-K147-L147</f>
        <v>-22.799999999999997</v>
      </c>
      <c r="N147" s="795">
        <f>-87.8-K147-L147-M147</f>
        <v>-21.5</v>
      </c>
      <c r="O147" s="795">
        <v>-21</v>
      </c>
      <c r="P147" s="790">
        <v>-20.7</v>
      </c>
      <c r="Q147" s="790">
        <f>-69.5-O147-P147</f>
        <v>-27.8</v>
      </c>
      <c r="R147" s="915">
        <v>-17.2</v>
      </c>
      <c r="S147" s="915">
        <v>-6.9</v>
      </c>
      <c r="T147" s="790">
        <f>-9.9-S147</f>
        <v>-3</v>
      </c>
      <c r="U147" s="790">
        <f>-12.5-S147-T147</f>
        <v>-2.5999999999999996</v>
      </c>
      <c r="V147" s="790">
        <v>-2.2000000000000002</v>
      </c>
      <c r="W147" s="915">
        <v>-2.1</v>
      </c>
      <c r="X147" s="915"/>
      <c r="Y147" s="915"/>
      <c r="Z147" s="915"/>
      <c r="AA147" s="1887"/>
      <c r="AB147" s="1887"/>
      <c r="AC147" s="763"/>
      <c r="AD147" s="685" t="s">
        <v>1095</v>
      </c>
      <c r="AE147" s="763"/>
      <c r="AF147" s="220">
        <f>SUM(AF142:AF146)</f>
        <v>333.33333333333331</v>
      </c>
      <c r="AG147" s="220">
        <f>SUM(AG142:AG146)</f>
        <v>666.66666666666663</v>
      </c>
      <c r="AH147" s="220">
        <f>SUM(AH142:AH146)</f>
        <v>933.33333333333326</v>
      </c>
      <c r="AI147" s="220">
        <f>SUM(AI142:AI146)</f>
        <v>800</v>
      </c>
      <c r="AJ147" s="220">
        <f>SUM(AJ142:AJ146)</f>
        <v>633.33333333333337</v>
      </c>
      <c r="AK147" s="766"/>
      <c r="AL147" s="809"/>
      <c r="AM147" s="809"/>
      <c r="AN147" s="685"/>
      <c r="AO147" s="685"/>
      <c r="AP147" s="685"/>
      <c r="AQ147" s="685"/>
      <c r="AR147" s="685"/>
      <c r="AS147" s="685"/>
      <c r="AT147" s="1859"/>
      <c r="AU147" s="1859"/>
      <c r="AV147" s="1859"/>
      <c r="AW147" s="685"/>
      <c r="AX147" s="685"/>
      <c r="AY147" s="685"/>
      <c r="AZ147" s="685"/>
      <c r="BA147" s="685"/>
      <c r="BB147" s="685"/>
      <c r="BC147" s="685"/>
      <c r="BN147" s="1008">
        <f>N147/BO147-1</f>
        <v>-0.43294210734537786</v>
      </c>
      <c r="BO147" s="795">
        <v>-37.915000000000006</v>
      </c>
      <c r="BP147" s="1856"/>
      <c r="BR147" s="1856"/>
      <c r="BS147" s="795"/>
      <c r="BU147" s="763"/>
    </row>
    <row r="148" spans="1:73">
      <c r="A148" s="763"/>
      <c r="B148" s="685" t="s">
        <v>1096</v>
      </c>
      <c r="C148" s="685"/>
      <c r="D148" s="685"/>
      <c r="E148" s="685"/>
      <c r="F148" s="685"/>
      <c r="G148" s="685"/>
      <c r="H148" s="685"/>
      <c r="I148" s="685"/>
      <c r="J148" s="790"/>
      <c r="K148" s="795">
        <f>-4.3-0.2-0.8-5-0.9</f>
        <v>-11.200000000000001</v>
      </c>
      <c r="L148" s="795">
        <f>-14.1-0.2</f>
        <v>-14.299999999999999</v>
      </c>
      <c r="M148" s="1007">
        <f>-10.8+29.5</f>
        <v>18.7</v>
      </c>
      <c r="N148" s="1007">
        <f>-1009.5-28.6+1.4</f>
        <v>-1036.6999999999998</v>
      </c>
      <c r="O148" s="1007">
        <f>-1-6.6+1.2-1.4-11.6</f>
        <v>-19.399999999999999</v>
      </c>
      <c r="P148" s="795">
        <f>-5-5.9-9.4-1.3-4.3</f>
        <v>-25.900000000000002</v>
      </c>
      <c r="Q148" s="1007">
        <f>-4.2-7.9+160.5-1.4+9.6</f>
        <v>156.6</v>
      </c>
      <c r="R148" s="1007">
        <f>-900.2-53.4-0.6-142.5-1.4-6</f>
        <v>-1104.1000000000001</v>
      </c>
      <c r="S148" s="1007">
        <f>-2.9-0.2-14-1.4-2</f>
        <v>-20.5</v>
      </c>
      <c r="T148" s="1007">
        <f>-1.7+0.3-2.6-1.3-16.2</f>
        <v>-21.5</v>
      </c>
      <c r="U148" s="1878">
        <f>-25.2-12+0.3-1.3-25.2</f>
        <v>-63.400000000000006</v>
      </c>
      <c r="V148" s="1007">
        <f>-30-5.5+0.5-301.7-1.5-11.3</f>
        <v>-349.5</v>
      </c>
      <c r="W148" s="1007">
        <f>-12.4+0.7-8.2-0.5-7.1</f>
        <v>-27.5</v>
      </c>
      <c r="X148" s="1007"/>
      <c r="Y148" s="1007"/>
      <c r="Z148" s="1007"/>
      <c r="AA148" s="1887"/>
      <c r="AB148" s="1887"/>
      <c r="AC148" s="763"/>
      <c r="AD148" s="685"/>
      <c r="AE148" s="763"/>
      <c r="AF148" s="115"/>
      <c r="AG148" s="115"/>
      <c r="AH148" s="766"/>
      <c r="AI148" s="766"/>
      <c r="AJ148" s="766"/>
      <c r="AK148" s="766"/>
      <c r="AL148" s="809"/>
      <c r="AM148" s="809"/>
      <c r="AN148" s="685"/>
      <c r="AO148" s="685"/>
      <c r="AP148" s="685"/>
      <c r="AQ148" s="685"/>
      <c r="AR148" s="685"/>
      <c r="AS148" s="685"/>
      <c r="AT148" s="1859"/>
      <c r="AU148" s="1859"/>
      <c r="AV148" s="1859"/>
      <c r="AW148" s="685"/>
      <c r="AX148" s="685"/>
      <c r="AY148" s="685"/>
      <c r="AZ148" s="685"/>
      <c r="BA148" s="685"/>
      <c r="BB148" s="685"/>
      <c r="BC148" s="685"/>
      <c r="BN148" s="1008">
        <f>N148/BO148-1</f>
        <v>25.312182741116743</v>
      </c>
      <c r="BO148" s="1399">
        <v>-39.400000000000006</v>
      </c>
      <c r="BP148" s="1878"/>
      <c r="BR148" s="1878"/>
      <c r="BS148" s="1007"/>
      <c r="BU148" s="763"/>
    </row>
    <row r="149" spans="1:73">
      <c r="A149" s="763"/>
      <c r="B149" s="743" t="s">
        <v>552</v>
      </c>
      <c r="C149" s="743"/>
      <c r="D149" s="743"/>
      <c r="E149" s="743"/>
      <c r="F149" s="743"/>
      <c r="G149" s="743"/>
      <c r="H149" s="743"/>
      <c r="I149" s="743">
        <v>-135.1</v>
      </c>
      <c r="J149" s="858"/>
      <c r="K149" s="833">
        <v>-135.80000000000001</v>
      </c>
      <c r="L149" s="833">
        <v>-148.4</v>
      </c>
      <c r="M149" s="1400">
        <v>-145.19999999999999</v>
      </c>
      <c r="N149" s="1400">
        <v>-141.30000000000001</v>
      </c>
      <c r="O149" s="1400">
        <v>-153.80000000000001</v>
      </c>
      <c r="P149" s="833">
        <v>-134.69999999999999</v>
      </c>
      <c r="Q149" s="833">
        <v>-137.4</v>
      </c>
      <c r="R149" s="1400">
        <v>-125.7</v>
      </c>
      <c r="S149" s="1400">
        <v>-130.80000000000001</v>
      </c>
      <c r="T149" s="1400">
        <v>-132.30000000000001</v>
      </c>
      <c r="U149" s="1400">
        <v>-135.4</v>
      </c>
      <c r="V149" s="1400">
        <v>-133.4</v>
      </c>
      <c r="W149" s="1400">
        <v>-131.1</v>
      </c>
      <c r="X149" s="1007"/>
      <c r="Y149" s="1007"/>
      <c r="Z149" s="1007"/>
      <c r="AA149" s="1890">
        <f>VOD!J174</f>
        <v>559.93992999999989</v>
      </c>
      <c r="AB149" s="1887"/>
      <c r="AC149" s="763"/>
      <c r="AD149" s="685"/>
      <c r="AE149" s="763"/>
      <c r="AF149" s="115"/>
      <c r="AG149" s="115"/>
      <c r="AH149" s="766"/>
      <c r="AI149" s="766"/>
      <c r="AJ149" s="766"/>
      <c r="AK149" s="766"/>
      <c r="AL149" s="809"/>
      <c r="AM149" s="809"/>
      <c r="AN149" s="685"/>
      <c r="AO149" s="685"/>
      <c r="AP149" s="685"/>
      <c r="AQ149" s="685"/>
      <c r="AR149" s="685"/>
      <c r="AS149" s="685"/>
      <c r="AT149" s="1859"/>
      <c r="AU149" s="1859"/>
      <c r="AV149" s="1859"/>
      <c r="AW149" s="685"/>
      <c r="AX149" s="685"/>
      <c r="AY149" s="685"/>
      <c r="AZ149" s="685"/>
      <c r="BA149" s="685"/>
      <c r="BB149" s="685"/>
      <c r="BC149" s="685"/>
      <c r="BN149" s="1008">
        <f>N149/BO149-1</f>
        <v>-4.2306479854345991E-2</v>
      </c>
      <c r="BO149" s="833">
        <v>-147.54198188425659</v>
      </c>
      <c r="BP149" s="1878"/>
      <c r="BR149" s="1878"/>
      <c r="BS149" s="1007"/>
      <c r="BU149" s="763"/>
    </row>
    <row r="150" spans="1:73">
      <c r="A150" s="763"/>
      <c r="B150" s="685" t="s">
        <v>238</v>
      </c>
      <c r="C150" s="685"/>
      <c r="D150" s="685"/>
      <c r="E150" s="685"/>
      <c r="F150" s="685"/>
      <c r="G150" s="685"/>
      <c r="H150" s="685"/>
      <c r="I150" s="685"/>
      <c r="J150" s="790"/>
      <c r="K150" s="795">
        <f t="shared" ref="K150:U150" si="136">K33+K148+K149+K147</f>
        <v>186.5</v>
      </c>
      <c r="L150" s="795">
        <f t="shared" si="136"/>
        <v>195.19999999999996</v>
      </c>
      <c r="M150" s="795">
        <f t="shared" si="136"/>
        <v>262.89999999999998</v>
      </c>
      <c r="N150" s="795">
        <f t="shared" si="136"/>
        <v>-731.39999999999986</v>
      </c>
      <c r="O150" s="795">
        <f t="shared" si="136"/>
        <v>134.30000000000001</v>
      </c>
      <c r="P150" s="795">
        <f t="shared" si="136"/>
        <v>180.70000000000005</v>
      </c>
      <c r="Q150" s="795">
        <f t="shared" si="136"/>
        <v>418.50000000000006</v>
      </c>
      <c r="R150" s="795">
        <f t="shared" si="136"/>
        <v>-795.10000000000025</v>
      </c>
      <c r="S150" s="795">
        <f t="shared" si="136"/>
        <v>186.9</v>
      </c>
      <c r="T150" s="795">
        <f t="shared" si="136"/>
        <v>241.2</v>
      </c>
      <c r="U150" s="795">
        <f t="shared" si="136"/>
        <v>265.29999999999995</v>
      </c>
      <c r="V150" s="795">
        <f>V33+V148+V149+V147</f>
        <v>-88.700000000000031</v>
      </c>
      <c r="W150" s="795">
        <f>W33+W148+W149+W147</f>
        <v>162.60000000000002</v>
      </c>
      <c r="X150" s="795">
        <f t="shared" ref="X150:Z150" si="137">X33+X148+X149+X147</f>
        <v>415</v>
      </c>
      <c r="Y150" s="795">
        <f t="shared" si="137"/>
        <v>485</v>
      </c>
      <c r="Z150" s="795">
        <f t="shared" si="137"/>
        <v>404.4879999999996</v>
      </c>
      <c r="AA150" s="2050">
        <f>VOD!J178</f>
        <v>752.85406999999987</v>
      </c>
      <c r="AB150" s="1887"/>
      <c r="AC150" s="763"/>
      <c r="AD150" s="809"/>
      <c r="AE150" s="809"/>
      <c r="AF150" s="809">
        <f t="shared" ref="AF150:AK150" si="138">O150/K150-1</f>
        <v>-0.2798927613941018</v>
      </c>
      <c r="AG150" s="809">
        <f t="shared" si="138"/>
        <v>-7.4282786885245478E-2</v>
      </c>
      <c r="AH150" s="809">
        <f t="shared" si="138"/>
        <v>0.59186002282236627</v>
      </c>
      <c r="AI150" s="809">
        <f t="shared" si="138"/>
        <v>8.7093245829915844E-2</v>
      </c>
      <c r="AJ150" s="809">
        <f t="shared" si="138"/>
        <v>0.39166046165301549</v>
      </c>
      <c r="AK150" s="809">
        <f t="shared" si="138"/>
        <v>0.33480907581626962</v>
      </c>
      <c r="AL150" s="809">
        <f>U150/Q150-1</f>
        <v>-0.36606929510155339</v>
      </c>
      <c r="AM150" s="809"/>
      <c r="AN150" s="685"/>
      <c r="AO150" s="685"/>
      <c r="AP150" s="685"/>
      <c r="AQ150" s="685"/>
      <c r="AR150" s="685"/>
      <c r="AS150" s="685"/>
      <c r="AT150" s="1859"/>
      <c r="AU150" s="1859"/>
      <c r="AV150" s="1859"/>
      <c r="AW150" s="685"/>
      <c r="AX150" s="685"/>
      <c r="AY150" s="685"/>
      <c r="AZ150" s="685"/>
      <c r="BA150" s="685"/>
      <c r="BB150" s="685"/>
      <c r="BC150" s="685"/>
      <c r="BN150" s="1008">
        <f>N150/BO150-1</f>
        <v>-3.3743437019734204</v>
      </c>
      <c r="BO150" s="795">
        <v>308.04301811574351</v>
      </c>
      <c r="BP150" s="1856"/>
      <c r="BR150" s="1856"/>
      <c r="BS150" s="795"/>
      <c r="BU150" s="763"/>
    </row>
    <row r="151" spans="1:73">
      <c r="A151" s="763"/>
      <c r="B151" s="685" t="s">
        <v>1041</v>
      </c>
      <c r="C151" s="685"/>
      <c r="D151" s="685"/>
      <c r="E151" s="685"/>
      <c r="F151" s="685"/>
      <c r="G151" s="685"/>
      <c r="H151" s="685"/>
      <c r="I151" s="685"/>
      <c r="J151" s="790"/>
      <c r="K151" s="795">
        <f t="shared" ref="K151:P151" si="139">K135</f>
        <v>-161.69999999999999</v>
      </c>
      <c r="L151" s="795">
        <f t="shared" si="139"/>
        <v>-183.4</v>
      </c>
      <c r="M151" s="795">
        <f t="shared" si="139"/>
        <v>-143.29999999999998</v>
      </c>
      <c r="N151" s="795">
        <f t="shared" si="139"/>
        <v>-225.30000000000004</v>
      </c>
      <c r="O151" s="795">
        <f t="shared" si="139"/>
        <v>-178</v>
      </c>
      <c r="P151" s="795">
        <f t="shared" si="139"/>
        <v>-173.49999999999997</v>
      </c>
      <c r="Q151" s="795">
        <f t="shared" ref="Q151:W151" si="140">Q135</f>
        <v>-181.69999999999996</v>
      </c>
      <c r="R151" s="795">
        <f t="shared" si="140"/>
        <v>-227.89999999999995</v>
      </c>
      <c r="S151" s="795">
        <f t="shared" si="140"/>
        <v>-165.29999999999998</v>
      </c>
      <c r="T151" s="795">
        <f t="shared" si="140"/>
        <v>-163</v>
      </c>
      <c r="U151" s="1956">
        <f t="shared" si="140"/>
        <v>-135.29999999999995</v>
      </c>
      <c r="V151" s="1956">
        <f t="shared" si="140"/>
        <v>-183.40000000000009</v>
      </c>
      <c r="W151" s="795">
        <f t="shared" si="140"/>
        <v>-182.20000000000002</v>
      </c>
      <c r="X151" s="795"/>
      <c r="Y151" s="795"/>
      <c r="Z151" s="795"/>
      <c r="AA151" s="1890">
        <f>VOD!J180</f>
        <v>720.07380000000012</v>
      </c>
      <c r="AB151" s="1887"/>
      <c r="AC151" s="763"/>
      <c r="AD151" s="685"/>
      <c r="AE151" s="763"/>
      <c r="AF151" s="115"/>
      <c r="AG151" s="115"/>
      <c r="AH151" s="766"/>
      <c r="AI151" s="766"/>
      <c r="AJ151" s="766"/>
      <c r="AK151" s="766"/>
      <c r="AL151" s="809"/>
      <c r="AM151" s="809"/>
      <c r="AN151" s="685"/>
      <c r="AO151" s="685"/>
      <c r="AP151" s="685"/>
      <c r="AQ151" s="685"/>
      <c r="AR151" s="685"/>
      <c r="AS151" s="685"/>
      <c r="AT151" s="1859"/>
      <c r="AU151" s="1859"/>
      <c r="AV151" s="1859"/>
      <c r="AW151" s="685"/>
      <c r="AX151" s="685"/>
      <c r="AY151" s="685"/>
      <c r="AZ151" s="685"/>
      <c r="BA151" s="685"/>
      <c r="BB151" s="685"/>
      <c r="BC151" s="685"/>
      <c r="BN151" s="1008">
        <f>N151/BO151-1</f>
        <v>6.4744801512287564E-2</v>
      </c>
      <c r="BO151" s="833">
        <v>-211.6</v>
      </c>
      <c r="BP151" s="1856"/>
      <c r="BR151" s="1856"/>
      <c r="BS151" s="795"/>
      <c r="BU151" s="763"/>
    </row>
    <row r="152" spans="1:73">
      <c r="A152" s="763"/>
      <c r="B152" s="685" t="s">
        <v>1040</v>
      </c>
      <c r="C152" s="685"/>
      <c r="D152" s="685"/>
      <c r="E152" s="685"/>
      <c r="F152" s="685"/>
      <c r="G152" s="685"/>
      <c r="H152" s="685"/>
      <c r="I152" s="685"/>
      <c r="J152" s="790"/>
      <c r="K152" s="795">
        <v>13.5</v>
      </c>
      <c r="L152" s="795"/>
      <c r="M152" s="795"/>
      <c r="N152" s="795"/>
      <c r="O152" s="795">
        <v>-23.1</v>
      </c>
      <c r="P152" s="795"/>
      <c r="Q152" s="795">
        <f>5+3.6-0.8</f>
        <v>7.8</v>
      </c>
      <c r="R152" s="795">
        <v>16.2</v>
      </c>
      <c r="S152" s="795">
        <v>-1.6</v>
      </c>
      <c r="T152" s="795">
        <v>7.2</v>
      </c>
      <c r="U152" s="1956">
        <f>8+6+31.7</f>
        <v>45.7</v>
      </c>
      <c r="V152" s="1956">
        <v>0</v>
      </c>
      <c r="W152" s="795">
        <v>-6.8</v>
      </c>
      <c r="X152" s="795"/>
      <c r="Y152" s="795"/>
      <c r="Z152" s="795"/>
      <c r="AA152" s="1887"/>
      <c r="AB152" s="1887"/>
      <c r="AC152" s="763"/>
      <c r="AD152" s="685"/>
      <c r="AE152" s="763"/>
      <c r="AF152" s="115"/>
      <c r="AG152" s="115"/>
      <c r="AH152" s="766"/>
      <c r="AI152" s="766"/>
      <c r="AJ152" s="766"/>
      <c r="AK152" s="766"/>
      <c r="AL152" s="809"/>
      <c r="AM152" s="809"/>
      <c r="AN152" s="685"/>
      <c r="AO152" s="685"/>
      <c r="AP152" s="685"/>
      <c r="AQ152" s="685"/>
      <c r="AR152" s="685"/>
      <c r="AS152" s="685"/>
      <c r="AT152" s="1859"/>
      <c r="AU152" s="1859"/>
      <c r="AV152" s="1859"/>
      <c r="AW152" s="685"/>
      <c r="AX152" s="685"/>
      <c r="AY152" s="685"/>
      <c r="AZ152" s="685"/>
      <c r="BA152" s="685"/>
      <c r="BB152" s="685"/>
      <c r="BC152" s="685"/>
      <c r="BN152" s="1008"/>
      <c r="BO152" s="795"/>
      <c r="BP152" s="1856"/>
      <c r="BR152" s="1856"/>
      <c r="BS152" s="795"/>
      <c r="BU152" s="763"/>
    </row>
    <row r="153" spans="1:73">
      <c r="A153" s="763"/>
      <c r="B153" s="1395" t="s">
        <v>242</v>
      </c>
      <c r="C153" s="1395"/>
      <c r="D153" s="1395"/>
      <c r="E153" s="1395"/>
      <c r="F153" s="1395"/>
      <c r="G153" s="1395"/>
      <c r="H153" s="1395"/>
      <c r="I153" s="1395"/>
      <c r="J153" s="1401"/>
      <c r="K153" s="1396">
        <f t="shared" ref="K153:Z153" si="141">K150+K151+K152</f>
        <v>38.300000000000011</v>
      </c>
      <c r="L153" s="1396">
        <f t="shared" si="141"/>
        <v>11.799999999999955</v>
      </c>
      <c r="M153" s="1396">
        <f t="shared" si="141"/>
        <v>119.6</v>
      </c>
      <c r="N153" s="1396">
        <f t="shared" si="141"/>
        <v>-956.69999999999993</v>
      </c>
      <c r="O153" s="1396">
        <f t="shared" si="141"/>
        <v>-66.799999999999983</v>
      </c>
      <c r="P153" s="1396">
        <f t="shared" si="141"/>
        <v>7.2000000000000739</v>
      </c>
      <c r="Q153" s="1396">
        <f t="shared" si="141"/>
        <v>244.60000000000011</v>
      </c>
      <c r="R153" s="1396">
        <f t="shared" si="141"/>
        <v>-1006.8000000000002</v>
      </c>
      <c r="S153" s="1396">
        <f t="shared" si="141"/>
        <v>20.000000000000021</v>
      </c>
      <c r="T153" s="1396">
        <f t="shared" si="141"/>
        <v>85.399999999999991</v>
      </c>
      <c r="U153" s="1396">
        <f t="shared" si="141"/>
        <v>175.7</v>
      </c>
      <c r="V153" s="1396">
        <f t="shared" si="141"/>
        <v>-272.10000000000014</v>
      </c>
      <c r="W153" s="1396">
        <f t="shared" si="141"/>
        <v>-26.399999999999995</v>
      </c>
      <c r="X153" s="1396">
        <f t="shared" si="141"/>
        <v>415</v>
      </c>
      <c r="Y153" s="1396">
        <f t="shared" si="141"/>
        <v>485</v>
      </c>
      <c r="Z153" s="1396">
        <f t="shared" si="141"/>
        <v>404.4879999999996</v>
      </c>
      <c r="AA153" s="1887"/>
      <c r="AB153" s="1887"/>
      <c r="AC153" s="763"/>
      <c r="AD153" s="685"/>
      <c r="AE153" s="763"/>
      <c r="AF153" s="115"/>
      <c r="AG153" s="115"/>
      <c r="AH153" s="766"/>
      <c r="AI153" s="766"/>
      <c r="AJ153" s="766"/>
      <c r="AK153" s="766"/>
      <c r="AL153" s="809"/>
      <c r="AM153" s="809"/>
      <c r="AN153" s="685"/>
      <c r="AO153" s="685"/>
      <c r="AP153" s="685"/>
      <c r="AQ153" s="685"/>
      <c r="AR153" s="685"/>
      <c r="AS153" s="685"/>
      <c r="AT153" s="1859"/>
      <c r="AU153" s="1859"/>
      <c r="AV153" s="1859"/>
      <c r="AW153" s="685"/>
      <c r="AX153" s="685"/>
      <c r="AY153" s="685"/>
      <c r="AZ153" s="685"/>
      <c r="BA153" s="685"/>
      <c r="BB153" s="685"/>
      <c r="BC153" s="685"/>
      <c r="BN153" s="1008">
        <f>N153/BO153-1</f>
        <v>-10.919847166664175</v>
      </c>
      <c r="BO153" s="795">
        <v>96.443018115743513</v>
      </c>
      <c r="BP153" s="1856"/>
      <c r="BR153" s="1856"/>
      <c r="BS153" s="795"/>
      <c r="BU153" s="763"/>
    </row>
    <row r="154" spans="1:73">
      <c r="A154" s="763"/>
      <c r="B154" s="743" t="s">
        <v>114</v>
      </c>
      <c r="C154" s="743"/>
      <c r="D154" s="743"/>
      <c r="E154" s="743"/>
      <c r="F154" s="743"/>
      <c r="G154" s="743"/>
      <c r="H154" s="743"/>
      <c r="I154" s="743"/>
      <c r="J154" s="858"/>
      <c r="K154" s="833">
        <f t="shared" ref="K154:P154" si="142">K136</f>
        <v>-41.3</v>
      </c>
      <c r="L154" s="833">
        <f t="shared" si="142"/>
        <v>-9</v>
      </c>
      <c r="M154" s="833">
        <f t="shared" si="142"/>
        <v>-25.400000000000006</v>
      </c>
      <c r="N154" s="833">
        <f t="shared" si="142"/>
        <v>34.6</v>
      </c>
      <c r="O154" s="833">
        <f t="shared" si="142"/>
        <v>14.8</v>
      </c>
      <c r="P154" s="833">
        <f t="shared" si="142"/>
        <v>6.9</v>
      </c>
      <c r="Q154" s="833">
        <f t="shared" ref="Q154:W154" si="143">Q136</f>
        <v>-62.800000000000004</v>
      </c>
      <c r="R154" s="833">
        <f t="shared" si="143"/>
        <v>197.1</v>
      </c>
      <c r="S154" s="833">
        <f t="shared" si="143"/>
        <v>-8.3000000000000007</v>
      </c>
      <c r="T154" s="833">
        <f t="shared" si="143"/>
        <v>10.8</v>
      </c>
      <c r="U154" s="833">
        <f t="shared" si="143"/>
        <v>-33.9</v>
      </c>
      <c r="V154" s="833">
        <f t="shared" si="143"/>
        <v>37.4</v>
      </c>
      <c r="W154" s="833">
        <f t="shared" si="143"/>
        <v>59.7</v>
      </c>
      <c r="X154" s="795"/>
      <c r="Y154" s="795"/>
      <c r="Z154" s="795"/>
      <c r="AA154" s="1890">
        <f>VOD!J186</f>
        <v>9.1784755999999295</v>
      </c>
      <c r="AB154" s="1887"/>
      <c r="AC154" s="763"/>
      <c r="AD154" s="685"/>
      <c r="AE154" s="763"/>
      <c r="AF154" s="115"/>
      <c r="AG154" s="115"/>
      <c r="AH154" s="766"/>
      <c r="AI154" s="766"/>
      <c r="AJ154" s="766"/>
      <c r="AK154" s="766"/>
      <c r="AL154" s="809"/>
      <c r="AM154" s="809"/>
      <c r="AN154" s="685"/>
      <c r="AO154" s="685"/>
      <c r="AP154" s="685"/>
      <c r="AQ154" s="685"/>
      <c r="AR154" s="685"/>
      <c r="AS154" s="685"/>
      <c r="AT154" s="1859"/>
      <c r="AU154" s="1859"/>
      <c r="AV154" s="1859"/>
      <c r="AW154" s="685"/>
      <c r="AX154" s="685"/>
      <c r="AY154" s="685"/>
      <c r="AZ154" s="685"/>
      <c r="BA154" s="685"/>
      <c r="BB154" s="685"/>
      <c r="BC154" s="685"/>
      <c r="BN154" s="1008">
        <f>N154/BO154-1</f>
        <v>-5.33798952813006</v>
      </c>
      <c r="BO154" s="833">
        <v>-7.9760450724081693</v>
      </c>
      <c r="BP154" s="1856"/>
      <c r="BR154" s="1856"/>
      <c r="BS154" s="795"/>
      <c r="BU154" s="763"/>
    </row>
    <row r="155" spans="1:73">
      <c r="A155" s="763"/>
      <c r="B155" s="685" t="s">
        <v>38</v>
      </c>
      <c r="C155" s="685"/>
      <c r="D155" s="685"/>
      <c r="E155" s="685"/>
      <c r="F155" s="685"/>
      <c r="G155" s="685"/>
      <c r="H155" s="685"/>
      <c r="I155" s="685"/>
      <c r="J155" s="790"/>
      <c r="K155" s="795">
        <f t="shared" ref="K155:Z155" si="144">K153+K154</f>
        <v>-2.9999999999999858</v>
      </c>
      <c r="L155" s="795">
        <f t="shared" si="144"/>
        <v>2.7999999999999545</v>
      </c>
      <c r="M155" s="795">
        <f t="shared" si="144"/>
        <v>94.199999999999989</v>
      </c>
      <c r="N155" s="795">
        <f t="shared" si="144"/>
        <v>-922.09999999999991</v>
      </c>
      <c r="O155" s="795">
        <f t="shared" si="144"/>
        <v>-51.999999999999986</v>
      </c>
      <c r="P155" s="795">
        <f t="shared" si="144"/>
        <v>14.100000000000074</v>
      </c>
      <c r="Q155" s="795">
        <f t="shared" si="144"/>
        <v>181.8000000000001</v>
      </c>
      <c r="R155" s="795">
        <f t="shared" si="144"/>
        <v>-809.70000000000016</v>
      </c>
      <c r="S155" s="795">
        <f t="shared" si="144"/>
        <v>11.700000000000021</v>
      </c>
      <c r="T155" s="795">
        <f t="shared" si="144"/>
        <v>96.199999999999989</v>
      </c>
      <c r="U155" s="795">
        <f t="shared" si="144"/>
        <v>141.79999999999998</v>
      </c>
      <c r="V155" s="795">
        <f t="shared" si="144"/>
        <v>-234.70000000000013</v>
      </c>
      <c r="W155" s="795">
        <f t="shared" si="144"/>
        <v>33.300000000000011</v>
      </c>
      <c r="X155" s="795">
        <f t="shared" si="144"/>
        <v>415</v>
      </c>
      <c r="Y155" s="795">
        <f t="shared" si="144"/>
        <v>485</v>
      </c>
      <c r="Z155" s="795">
        <f t="shared" si="144"/>
        <v>404.4879999999996</v>
      </c>
      <c r="AA155" s="1887"/>
      <c r="AB155" s="1887"/>
      <c r="AC155" s="763"/>
      <c r="AD155" s="685"/>
      <c r="AE155" s="763"/>
      <c r="AF155" s="115"/>
      <c r="AG155" s="115"/>
      <c r="AH155" s="766"/>
      <c r="AI155" s="766"/>
      <c r="AJ155" s="766"/>
      <c r="AK155" s="766"/>
      <c r="AL155" s="809"/>
      <c r="AM155" s="809"/>
      <c r="AN155" s="685"/>
      <c r="AO155" s="685"/>
      <c r="AP155" s="685"/>
      <c r="AQ155" s="685"/>
      <c r="AR155" s="685"/>
      <c r="AS155" s="685"/>
      <c r="AT155" s="1859"/>
      <c r="AU155" s="1859"/>
      <c r="AV155" s="1859"/>
      <c r="AW155" s="685"/>
      <c r="AX155" s="685"/>
      <c r="AY155" s="685"/>
      <c r="AZ155" s="685"/>
      <c r="BA155" s="685"/>
      <c r="BB155" s="685"/>
      <c r="BC155" s="685"/>
      <c r="BN155" s="1008">
        <f>N155/BO155-1</f>
        <v>-11.423098793583808</v>
      </c>
      <c r="BO155" s="795">
        <v>88.466973043335344</v>
      </c>
      <c r="BP155" s="1856"/>
      <c r="BR155" s="1856"/>
      <c r="BS155" s="795"/>
      <c r="BU155" s="763"/>
    </row>
    <row r="156" spans="1:73">
      <c r="A156" s="763"/>
      <c r="B156" s="685"/>
      <c r="C156" s="685"/>
      <c r="D156" s="685"/>
      <c r="E156" s="685"/>
      <c r="F156" s="685"/>
      <c r="G156" s="685"/>
      <c r="H156" s="685"/>
      <c r="I156" s="685"/>
      <c r="J156" s="790"/>
      <c r="K156" s="790"/>
      <c r="L156" s="790"/>
      <c r="M156" s="685"/>
      <c r="N156" s="685"/>
      <c r="O156" s="685"/>
      <c r="P156" s="790"/>
      <c r="Q156" s="790"/>
      <c r="R156" s="790"/>
      <c r="S156" s="790"/>
      <c r="T156" s="790"/>
      <c r="U156" s="790"/>
      <c r="V156" s="790"/>
      <c r="W156" s="790"/>
      <c r="X156" s="790"/>
      <c r="Y156" s="790"/>
      <c r="Z156" s="790"/>
      <c r="AA156" s="1887"/>
      <c r="AB156" s="1887"/>
      <c r="AC156" s="763"/>
      <c r="AD156" s="685"/>
      <c r="AE156" s="763"/>
      <c r="AF156" s="115"/>
      <c r="AG156" s="115"/>
      <c r="AH156" s="766"/>
      <c r="AI156" s="766"/>
      <c r="AJ156" s="766"/>
      <c r="AK156" s="766"/>
      <c r="AL156" s="809"/>
      <c r="AM156" s="809"/>
      <c r="AN156" s="685"/>
      <c r="AO156" s="685"/>
      <c r="AP156" s="685"/>
      <c r="AQ156" s="685"/>
      <c r="AR156" s="685"/>
      <c r="AS156" s="685"/>
      <c r="AT156" s="1859"/>
      <c r="AU156" s="1859"/>
      <c r="AV156" s="1859"/>
      <c r="AW156" s="685"/>
      <c r="AX156" s="685"/>
      <c r="AY156" s="685"/>
      <c r="AZ156" s="685"/>
      <c r="BA156" s="685"/>
      <c r="BB156" s="685"/>
      <c r="BC156" s="685"/>
      <c r="BN156" s="765"/>
      <c r="BO156" s="685"/>
      <c r="BP156" s="1879"/>
      <c r="BR156" s="1879"/>
      <c r="BS156" s="790"/>
      <c r="BU156" s="763"/>
    </row>
    <row r="157" spans="1:73">
      <c r="A157" s="763"/>
      <c r="B157" s="763"/>
      <c r="C157" s="763"/>
      <c r="D157" s="763"/>
      <c r="E157" s="763"/>
      <c r="F157" s="763"/>
      <c r="G157" s="763"/>
      <c r="H157" s="763"/>
      <c r="I157" s="763"/>
      <c r="J157" s="763"/>
      <c r="K157" s="763"/>
      <c r="L157" s="763"/>
      <c r="M157" s="763"/>
      <c r="N157" s="763"/>
      <c r="O157" s="763"/>
      <c r="P157" s="763"/>
      <c r="Q157" s="763"/>
      <c r="R157" s="763"/>
      <c r="S157" s="763"/>
      <c r="T157" s="763"/>
      <c r="U157" s="763"/>
      <c r="V157" s="763"/>
      <c r="W157" s="763"/>
      <c r="X157" s="763"/>
      <c r="Y157" s="763"/>
      <c r="Z157" s="763"/>
      <c r="AA157" s="1887"/>
      <c r="AB157" s="1887"/>
      <c r="AC157" s="763"/>
      <c r="AD157" s="763"/>
      <c r="AE157" s="763"/>
      <c r="AF157" s="115"/>
      <c r="AG157" s="115"/>
      <c r="AH157" s="763"/>
      <c r="AI157" s="763"/>
      <c r="AJ157" s="763"/>
      <c r="AK157" s="763"/>
      <c r="AL157" s="685"/>
      <c r="AM157" s="685"/>
      <c r="AN157" s="685"/>
      <c r="AO157" s="685"/>
      <c r="AP157" s="685"/>
      <c r="AQ157" s="685"/>
      <c r="AR157" s="685"/>
      <c r="AS157" s="685"/>
      <c r="AT157" s="1859"/>
      <c r="AU157" s="1859"/>
      <c r="AV157" s="1859"/>
      <c r="AW157" s="685"/>
      <c r="AX157" s="685"/>
      <c r="AY157" s="685"/>
      <c r="AZ157" s="685"/>
      <c r="BA157" s="685"/>
      <c r="BB157" s="685"/>
      <c r="BC157" s="685"/>
      <c r="BN157" s="763"/>
      <c r="BO157" s="763"/>
      <c r="BP157" s="1887"/>
      <c r="BR157" s="1887"/>
      <c r="BS157" s="763"/>
      <c r="BU157" s="763"/>
    </row>
    <row r="158" spans="1:73">
      <c r="A158" s="763"/>
      <c r="B158" s="763"/>
      <c r="C158" s="763"/>
      <c r="D158" s="763"/>
      <c r="E158" s="763"/>
      <c r="F158" s="763"/>
      <c r="G158" s="763"/>
      <c r="H158" s="763"/>
      <c r="I158" s="763"/>
      <c r="J158" s="763"/>
      <c r="K158" s="763"/>
      <c r="L158" s="763"/>
      <c r="M158" s="763"/>
      <c r="N158" s="763"/>
      <c r="O158" s="763"/>
      <c r="P158" s="763"/>
      <c r="Q158" s="763"/>
      <c r="R158" s="763"/>
      <c r="S158" s="763"/>
      <c r="T158" s="763"/>
      <c r="U158" s="763"/>
      <c r="V158" s="763"/>
      <c r="W158" s="763"/>
      <c r="X158" s="763"/>
      <c r="Y158" s="763"/>
      <c r="Z158" s="763"/>
      <c r="AA158" s="1887"/>
      <c r="AB158" s="1887"/>
      <c r="AC158" s="763"/>
      <c r="AD158" s="763"/>
      <c r="AE158" s="763"/>
      <c r="AF158" s="115"/>
      <c r="AG158" s="115"/>
      <c r="AH158" s="763"/>
      <c r="AI158" s="763"/>
      <c r="AJ158" s="763"/>
      <c r="AK158" s="763"/>
      <c r="AL158" s="685"/>
      <c r="AM158" s="685"/>
      <c r="AN158" s="685"/>
      <c r="AO158" s="685"/>
      <c r="AP158" s="685"/>
      <c r="AQ158" s="685"/>
      <c r="AR158" s="685"/>
      <c r="AS158" s="685"/>
      <c r="AT158" s="1859"/>
      <c r="AU158" s="1859"/>
      <c r="AV158" s="1859"/>
      <c r="AW158" s="685"/>
      <c r="AX158" s="685"/>
      <c r="AY158" s="685"/>
      <c r="AZ158" s="685"/>
      <c r="BA158" s="685"/>
      <c r="BB158" s="685"/>
      <c r="BC158" s="685"/>
      <c r="BN158" s="763"/>
      <c r="BO158" s="763"/>
      <c r="BP158" s="1887"/>
      <c r="BR158" s="1887"/>
      <c r="BS158" s="763"/>
      <c r="BU158" s="763"/>
    </row>
    <row r="159" spans="1:73">
      <c r="A159" s="763"/>
      <c r="B159" s="685"/>
      <c r="C159" s="764" t="str">
        <f t="shared" ref="C159:T159" si="145">C109</f>
        <v>Q1 21</v>
      </c>
      <c r="D159" s="764" t="str">
        <f t="shared" si="145"/>
        <v>Q2 21</v>
      </c>
      <c r="E159" s="764" t="str">
        <f t="shared" si="145"/>
        <v>Q3 21</v>
      </c>
      <c r="F159" s="764" t="str">
        <f t="shared" si="145"/>
        <v>Q4 21</v>
      </c>
      <c r="G159" s="764" t="str">
        <f t="shared" si="145"/>
        <v>Q1 22</v>
      </c>
      <c r="H159" s="764" t="str">
        <f t="shared" si="145"/>
        <v>Q2 22</v>
      </c>
      <c r="I159" s="764" t="str">
        <f t="shared" si="145"/>
        <v>Q3 22</v>
      </c>
      <c r="J159" s="764" t="str">
        <f t="shared" si="145"/>
        <v>Q4 22</v>
      </c>
      <c r="K159" s="764" t="str">
        <f t="shared" si="145"/>
        <v>Q1 23</v>
      </c>
      <c r="L159" s="764" t="str">
        <f t="shared" si="145"/>
        <v>Q2 23</v>
      </c>
      <c r="M159" s="764" t="str">
        <f t="shared" si="145"/>
        <v>Q3 23</v>
      </c>
      <c r="N159" s="764" t="str">
        <f t="shared" si="145"/>
        <v>Q4 23</v>
      </c>
      <c r="O159" s="764" t="str">
        <f t="shared" si="145"/>
        <v>Q1 24</v>
      </c>
      <c r="P159" s="764" t="str">
        <f t="shared" si="145"/>
        <v>Q2 24</v>
      </c>
      <c r="Q159" s="764" t="str">
        <f t="shared" si="145"/>
        <v>Q3 24</v>
      </c>
      <c r="R159" s="764" t="str">
        <f t="shared" si="145"/>
        <v>Q4 24</v>
      </c>
      <c r="S159" s="764" t="str">
        <f t="shared" si="145"/>
        <v>Q1 25</v>
      </c>
      <c r="T159" s="764" t="str">
        <f t="shared" si="145"/>
        <v>Q2 25</v>
      </c>
      <c r="U159" s="764" t="str">
        <f>U109</f>
        <v>Q3 25</v>
      </c>
      <c r="V159" s="764" t="str">
        <f>V109</f>
        <v>Q4 25</v>
      </c>
      <c r="W159" s="764" t="str">
        <f>W109</f>
        <v>Q1 26</v>
      </c>
      <c r="X159" s="764" t="str">
        <f t="shared" ref="X159:Z159" si="146">X109</f>
        <v>Q2 26</v>
      </c>
      <c r="Y159" s="764" t="str">
        <f t="shared" si="146"/>
        <v>Q3 26</v>
      </c>
      <c r="Z159" s="764" t="str">
        <f t="shared" si="146"/>
        <v>Q4 26</v>
      </c>
      <c r="AA159" s="1887"/>
      <c r="AB159" s="1887"/>
      <c r="AC159" s="763"/>
      <c r="AD159" s="763"/>
      <c r="AE159" s="763"/>
      <c r="AF159" s="115"/>
      <c r="AG159" s="115"/>
      <c r="AH159" s="763"/>
      <c r="AI159" s="763"/>
      <c r="AJ159" s="763"/>
      <c r="AK159" s="763"/>
      <c r="AL159" s="685"/>
      <c r="AM159" s="685"/>
      <c r="AN159" s="685"/>
      <c r="AO159" s="685"/>
      <c r="AP159" s="685"/>
      <c r="AQ159" s="685"/>
      <c r="AR159" s="685"/>
      <c r="AS159" s="685"/>
      <c r="AT159" s="1859"/>
      <c r="AU159" s="1859"/>
      <c r="AV159" s="1859"/>
      <c r="AW159" s="685"/>
      <c r="AX159" s="685"/>
      <c r="AY159" s="685"/>
      <c r="AZ159" s="685"/>
      <c r="BA159" s="685"/>
      <c r="BB159" s="685"/>
      <c r="BC159" s="685"/>
      <c r="BN159" s="763"/>
      <c r="BO159" s="763"/>
      <c r="BP159" s="1888"/>
      <c r="BR159" s="1888"/>
      <c r="BS159" s="764"/>
      <c r="BU159" s="763"/>
    </row>
    <row r="160" spans="1:73">
      <c r="A160" s="763"/>
      <c r="B160" s="763" t="s">
        <v>540</v>
      </c>
      <c r="C160" s="768">
        <f t="shared" ref="C160:U160" si="147">C34</f>
        <v>0.41517857142857145</v>
      </c>
      <c r="D160" s="768">
        <f t="shared" si="147"/>
        <v>0.41000807102502013</v>
      </c>
      <c r="E160" s="768">
        <f t="shared" si="147"/>
        <v>0.38999090081892634</v>
      </c>
      <c r="F160" s="768">
        <f t="shared" si="147"/>
        <v>0.4002174640347943</v>
      </c>
      <c r="G160" s="768">
        <f t="shared" si="147"/>
        <v>0.39738769048090244</v>
      </c>
      <c r="H160" s="768">
        <f t="shared" si="147"/>
        <v>0.34054004743659916</v>
      </c>
      <c r="I160" s="768">
        <f t="shared" si="147"/>
        <v>0.35683890577507599</v>
      </c>
      <c r="J160" s="768">
        <f t="shared" si="147"/>
        <v>0.34702442380460957</v>
      </c>
      <c r="K160" s="768">
        <f t="shared" si="147"/>
        <v>0.33709963582033803</v>
      </c>
      <c r="L160" s="768">
        <f t="shared" si="147"/>
        <v>0.30652565994425313</v>
      </c>
      <c r="M160" s="768">
        <f t="shared" si="147"/>
        <v>0.32190550566185083</v>
      </c>
      <c r="N160" s="768">
        <f t="shared" si="147"/>
        <v>0.34500294811320759</v>
      </c>
      <c r="O160" s="768">
        <f t="shared" si="147"/>
        <v>0.28590078328981722</v>
      </c>
      <c r="P160" s="768">
        <f t="shared" si="147"/>
        <v>0.28782698576767113</v>
      </c>
      <c r="Q160" s="768">
        <f t="shared" si="147"/>
        <v>0.32738003985896064</v>
      </c>
      <c r="R160" s="768">
        <f t="shared" si="147"/>
        <v>0.33618509150424042</v>
      </c>
      <c r="S160" s="768">
        <f t="shared" si="147"/>
        <v>0.33711048158640233</v>
      </c>
      <c r="T160" s="768">
        <f t="shared" si="147"/>
        <v>0.32892561983471075</v>
      </c>
      <c r="U160" s="768">
        <f t="shared" si="147"/>
        <v>0.3672778783347761</v>
      </c>
      <c r="V160" s="768">
        <f>V34</f>
        <v>0.2996673722407015</v>
      </c>
      <c r="W160" s="768">
        <f>W34</f>
        <v>0.30074418604651165</v>
      </c>
      <c r="X160" s="768">
        <f t="shared" ref="X160:Z160" si="148">X34</f>
        <v>0.31727828746177372</v>
      </c>
      <c r="Y160" s="768">
        <f t="shared" si="148"/>
        <v>0.35714285714285715</v>
      </c>
      <c r="Z160" s="768">
        <f t="shared" si="148"/>
        <v>0.29976218408241495</v>
      </c>
      <c r="AA160" s="1887"/>
      <c r="AB160" s="1887"/>
      <c r="AC160" s="763"/>
      <c r="AD160" s="763"/>
      <c r="AE160" s="763"/>
      <c r="AF160" s="115"/>
      <c r="AG160" s="115"/>
      <c r="AH160" s="763"/>
      <c r="AI160" s="763"/>
      <c r="AJ160" s="763"/>
      <c r="AK160" s="763"/>
      <c r="AL160" s="685"/>
      <c r="AM160" s="685"/>
      <c r="AN160" s="685"/>
      <c r="AO160" s="685"/>
      <c r="AP160" s="685"/>
      <c r="AQ160" s="685"/>
      <c r="AR160" s="685"/>
      <c r="AS160" s="685"/>
      <c r="AT160" s="1859"/>
      <c r="AU160" s="1859"/>
      <c r="AV160" s="1859"/>
      <c r="AW160" s="685"/>
      <c r="AX160" s="685"/>
      <c r="AY160" s="685"/>
      <c r="AZ160" s="685"/>
      <c r="BA160" s="685"/>
      <c r="BB160" s="685"/>
      <c r="BC160" s="685"/>
      <c r="BN160" s="763"/>
      <c r="BO160" s="685"/>
      <c r="BP160" s="1889"/>
      <c r="BR160" s="1889"/>
      <c r="BS160" s="768"/>
      <c r="BU160" s="763"/>
    </row>
    <row r="161" spans="1:73">
      <c r="A161" s="763"/>
      <c r="B161" s="763" t="s">
        <v>1097</v>
      </c>
      <c r="C161" s="816">
        <f t="shared" ref="C161:U161" si="149">C33</f>
        <v>372</v>
      </c>
      <c r="D161" s="816">
        <f t="shared" si="149"/>
        <v>406.4</v>
      </c>
      <c r="E161" s="816">
        <f t="shared" si="149"/>
        <v>428.6</v>
      </c>
      <c r="F161" s="816">
        <f t="shared" si="149"/>
        <v>478.5</v>
      </c>
      <c r="G161" s="816">
        <f t="shared" si="149"/>
        <v>401.6</v>
      </c>
      <c r="H161" s="816">
        <f t="shared" si="149"/>
        <v>373.3</v>
      </c>
      <c r="I161" s="816">
        <f t="shared" si="149"/>
        <v>410.9</v>
      </c>
      <c r="J161" s="816">
        <f t="shared" si="149"/>
        <v>504.4</v>
      </c>
      <c r="K161" s="816">
        <f t="shared" si="149"/>
        <v>361</v>
      </c>
      <c r="L161" s="816">
        <f t="shared" si="149"/>
        <v>373.9</v>
      </c>
      <c r="M161" s="816">
        <f t="shared" si="149"/>
        <v>412.2</v>
      </c>
      <c r="N161" s="816">
        <f t="shared" si="149"/>
        <v>468.1</v>
      </c>
      <c r="O161" s="816">
        <f t="shared" si="149"/>
        <v>328.5</v>
      </c>
      <c r="P161" s="816">
        <f t="shared" si="149"/>
        <v>362</v>
      </c>
      <c r="Q161" s="816">
        <f t="shared" si="149"/>
        <v>427.1</v>
      </c>
      <c r="R161" s="816">
        <f t="shared" si="149"/>
        <v>451.9</v>
      </c>
      <c r="S161" s="816">
        <f t="shared" si="149"/>
        <v>345.1</v>
      </c>
      <c r="T161" s="816">
        <f t="shared" si="149"/>
        <v>398</v>
      </c>
      <c r="U161" s="816">
        <f t="shared" si="149"/>
        <v>466.7</v>
      </c>
      <c r="V161" s="816">
        <f>V33</f>
        <v>396.4</v>
      </c>
      <c r="W161" s="816">
        <f>W33</f>
        <v>323.3</v>
      </c>
      <c r="X161" s="816">
        <f t="shared" ref="X161:Z161" si="150">X33</f>
        <v>415</v>
      </c>
      <c r="Y161" s="816">
        <f t="shared" si="150"/>
        <v>485</v>
      </c>
      <c r="Z161" s="816">
        <f t="shared" si="150"/>
        <v>404.4879999999996</v>
      </c>
      <c r="AA161" s="2050"/>
      <c r="AB161" s="2050"/>
      <c r="AC161" s="763"/>
      <c r="AD161" s="763"/>
      <c r="AE161" s="763"/>
      <c r="AF161" s="115"/>
      <c r="AG161" s="115"/>
      <c r="AH161" s="763"/>
      <c r="AI161" s="763"/>
      <c r="AJ161" s="763"/>
      <c r="AK161" s="763"/>
      <c r="AL161" s="685"/>
      <c r="AM161" s="685"/>
      <c r="AN161" s="685"/>
      <c r="AO161" s="685"/>
      <c r="AP161" s="685"/>
      <c r="AQ161" s="685"/>
      <c r="AR161" s="685"/>
      <c r="AS161" s="685"/>
      <c r="AT161" s="1859"/>
      <c r="AU161" s="1859"/>
      <c r="AV161" s="1859"/>
      <c r="AW161" s="685"/>
      <c r="AX161" s="685"/>
      <c r="AY161" s="685"/>
      <c r="AZ161" s="685"/>
      <c r="BA161" s="685"/>
      <c r="BB161" s="685"/>
      <c r="BC161" s="685"/>
      <c r="BN161" s="763"/>
      <c r="BO161" s="795">
        <v>532.90000000000009</v>
      </c>
      <c r="BP161" s="1890"/>
      <c r="BR161" s="1890"/>
      <c r="BS161" s="816"/>
      <c r="BU161" s="995"/>
    </row>
    <row r="162" spans="1:73">
      <c r="A162" s="763"/>
      <c r="B162" s="763" t="s">
        <v>732</v>
      </c>
      <c r="C162" s="816"/>
      <c r="D162" s="816"/>
      <c r="E162" s="816"/>
      <c r="F162" s="816"/>
      <c r="G162" s="792">
        <f t="shared" ref="G162:L162" si="151">G161/C161-1</f>
        <v>7.9569892473118298E-2</v>
      </c>
      <c r="H162" s="792">
        <f t="shared" si="151"/>
        <v>-8.1446850393700698E-2</v>
      </c>
      <c r="I162" s="792">
        <f t="shared" si="151"/>
        <v>-4.1297246850210079E-2</v>
      </c>
      <c r="J162" s="792">
        <f t="shared" si="151"/>
        <v>5.412748171368853E-2</v>
      </c>
      <c r="K162" s="792">
        <f t="shared" si="151"/>
        <v>-0.1010956175298805</v>
      </c>
      <c r="L162" s="792">
        <f t="shared" si="151"/>
        <v>1.6072863648539659E-3</v>
      </c>
      <c r="M162" s="792">
        <f>M161/I161-1</f>
        <v>3.1637868094427368E-3</v>
      </c>
      <c r="N162" s="792">
        <f>N161/J161-1</f>
        <v>-7.1966693100713686E-2</v>
      </c>
      <c r="O162" s="792">
        <f>O161/K161-1</f>
        <v>-9.0027700831024959E-2</v>
      </c>
      <c r="P162" s="792">
        <f t="shared" ref="P162:W162" si="152">P161/L161-1</f>
        <v>-3.1826691628777715E-2</v>
      </c>
      <c r="Q162" s="792">
        <f t="shared" si="152"/>
        <v>3.6147501213003475E-2</v>
      </c>
      <c r="R162" s="792">
        <f t="shared" si="152"/>
        <v>-3.4607989745780943E-2</v>
      </c>
      <c r="S162" s="792">
        <f t="shared" si="152"/>
        <v>5.0532724505327309E-2</v>
      </c>
      <c r="T162" s="768">
        <f t="shared" si="152"/>
        <v>9.9447513812154664E-2</v>
      </c>
      <c r="U162" s="768">
        <f t="shared" si="152"/>
        <v>9.2718332943104498E-2</v>
      </c>
      <c r="V162" s="768">
        <f t="shared" si="152"/>
        <v>-0.12281478203142293</v>
      </c>
      <c r="W162" s="792">
        <f t="shared" si="152"/>
        <v>-6.3170095624456746E-2</v>
      </c>
      <c r="X162" s="792">
        <f t="shared" ref="X162" si="153">X161/T161-1</f>
        <v>4.2713567839195887E-2</v>
      </c>
      <c r="Y162" s="792">
        <f t="shared" ref="Y162" si="154">Y161/U161-1</f>
        <v>3.9211484893936221E-2</v>
      </c>
      <c r="Z162" s="792">
        <f t="shared" ref="Z162" si="155">Z161/V161-1</f>
        <v>2.0403632694247387E-2</v>
      </c>
      <c r="AA162" s="1887"/>
      <c r="AB162" s="1887"/>
      <c r="AC162" s="763"/>
      <c r="AD162" s="763"/>
      <c r="AE162" s="763"/>
      <c r="AF162" s="115"/>
      <c r="AG162" s="115"/>
      <c r="AH162" s="763"/>
      <c r="AI162" s="763"/>
      <c r="AJ162" s="763"/>
      <c r="AK162" s="763"/>
      <c r="AL162" s="685"/>
      <c r="AM162" s="685"/>
      <c r="AN162" s="685"/>
      <c r="AO162" s="685"/>
      <c r="AP162" s="685"/>
      <c r="AQ162" s="685"/>
      <c r="AR162" s="685"/>
      <c r="AS162" s="685"/>
      <c r="AT162" s="1859"/>
      <c r="AU162" s="1859"/>
      <c r="AV162" s="1859"/>
      <c r="AW162" s="685"/>
      <c r="AX162" s="685"/>
      <c r="AY162" s="685"/>
      <c r="AZ162" s="685"/>
      <c r="BA162" s="685"/>
      <c r="BB162" s="685"/>
      <c r="BC162" s="685"/>
      <c r="BN162" s="763"/>
      <c r="BO162" s="792">
        <v>5.6502775574940767E-2</v>
      </c>
      <c r="BP162" s="1891"/>
      <c r="BR162" s="1891"/>
      <c r="BS162" s="792"/>
      <c r="BU162" s="763"/>
    </row>
    <row r="163" spans="1:73">
      <c r="A163" s="763"/>
      <c r="B163" s="763"/>
      <c r="C163" s="763"/>
      <c r="D163" s="763"/>
      <c r="E163" s="763"/>
      <c r="F163" s="763"/>
      <c r="G163" s="763"/>
      <c r="H163" s="763"/>
      <c r="I163" s="763"/>
      <c r="J163" s="763"/>
      <c r="K163" s="763"/>
      <c r="L163" s="792">
        <f>(K161+L161)/(G161+H161)-1</f>
        <v>-5.1619563814685909E-2</v>
      </c>
      <c r="M163" s="792">
        <f>(K161+L161+M161)/(G161+H161+I161)-1</f>
        <v>-3.2636194973857502E-2</v>
      </c>
      <c r="N163" s="792">
        <f>(L161+M161+N161)/(H161+I161+J161)-1</f>
        <v>-2.6695638677634692E-2</v>
      </c>
      <c r="O163" s="792">
        <f>(M161+N161+O161)/(I161+J161+K161)-1</f>
        <v>-5.2887252213429492E-2</v>
      </c>
      <c r="P163" s="792">
        <f t="shared" ref="P163:W163" si="156">(O161+P161)/(K161+L161)-1</f>
        <v>-6.0416383181385203E-2</v>
      </c>
      <c r="Q163" s="792">
        <f t="shared" si="156"/>
        <v>3.8163083577154033E-3</v>
      </c>
      <c r="R163" s="792">
        <f t="shared" si="156"/>
        <v>-1.4767692831988422E-3</v>
      </c>
      <c r="S163" s="792">
        <f t="shared" si="156"/>
        <v>5.0213406979660036E-4</v>
      </c>
      <c r="T163" s="792">
        <f t="shared" si="156"/>
        <v>7.617668356263585E-2</v>
      </c>
      <c r="U163" s="792">
        <f t="shared" si="156"/>
        <v>9.5805347864655888E-2</v>
      </c>
      <c r="V163" s="792">
        <f t="shared" si="156"/>
        <v>-1.8088737201365279E-2</v>
      </c>
      <c r="W163" s="792">
        <f t="shared" si="156"/>
        <v>-9.6988707653701378E-2</v>
      </c>
      <c r="X163" s="792">
        <f t="shared" ref="X163" si="157">(W161+X161)/(S161+T161)-1</f>
        <v>-6.4594267258781812E-3</v>
      </c>
      <c r="Y163" s="792">
        <f t="shared" ref="Y163" si="158">(X161+Y161)/(T161+U161)-1</f>
        <v>4.0823406961951969E-2</v>
      </c>
      <c r="Z163" s="792">
        <f t="shared" ref="Z163" si="159">(Y161+Z161)/(U161+V161)-1</f>
        <v>3.0573514077163466E-2</v>
      </c>
      <c r="AA163" s="1887"/>
      <c r="AB163" s="1887"/>
      <c r="AC163" s="763"/>
      <c r="AD163" s="763"/>
      <c r="AE163" s="763"/>
      <c r="AF163" s="115"/>
      <c r="AG163" s="115"/>
      <c r="AH163" s="763"/>
      <c r="AI163" s="763"/>
      <c r="AJ163" s="763"/>
      <c r="AK163" s="763"/>
      <c r="AL163" s="685"/>
      <c r="AM163" s="685"/>
      <c r="AN163" s="685"/>
      <c r="AO163" s="685"/>
      <c r="AP163" s="685"/>
      <c r="AQ163" s="685"/>
      <c r="AR163" s="685"/>
      <c r="AS163" s="685"/>
      <c r="AT163" s="685"/>
      <c r="AU163" s="685"/>
      <c r="AV163" s="685"/>
      <c r="AW163" s="685"/>
      <c r="AX163" s="685"/>
      <c r="AY163" s="685"/>
      <c r="AZ163" s="685"/>
      <c r="BA163" s="685"/>
      <c r="BB163" s="685"/>
      <c r="BC163" s="685"/>
      <c r="BN163" s="763"/>
      <c r="BO163" s="763"/>
      <c r="BP163" s="1891"/>
      <c r="BR163" s="1891"/>
      <c r="BS163" s="792"/>
      <c r="BU163" s="763"/>
    </row>
    <row r="164" spans="1:73">
      <c r="A164" s="763"/>
      <c r="B164" s="763"/>
      <c r="C164" s="763"/>
      <c r="D164" s="763"/>
      <c r="E164" s="763"/>
      <c r="F164" s="763"/>
      <c r="G164" s="763"/>
      <c r="H164" s="763"/>
      <c r="I164" s="763"/>
      <c r="J164" s="763"/>
      <c r="K164" s="763"/>
      <c r="L164" s="763"/>
      <c r="M164" s="763"/>
      <c r="N164" s="763"/>
      <c r="O164" s="763"/>
      <c r="P164" s="763"/>
      <c r="Q164" s="763"/>
      <c r="R164" s="763"/>
      <c r="S164" s="763"/>
      <c r="T164" s="763"/>
      <c r="U164" s="763"/>
      <c r="V164" s="763"/>
      <c r="W164" s="763"/>
      <c r="X164" s="763"/>
      <c r="Y164" s="763"/>
      <c r="Z164" s="763"/>
      <c r="AA164" s="763"/>
      <c r="AB164" s="763"/>
      <c r="AC164" s="763"/>
      <c r="AD164" s="763"/>
      <c r="AE164" s="763"/>
      <c r="AF164" s="115"/>
      <c r="AG164" s="115"/>
      <c r="AH164" s="763"/>
      <c r="AI164" s="763"/>
      <c r="AJ164" s="763"/>
      <c r="AK164" s="763"/>
      <c r="AL164" s="685"/>
      <c r="AM164" s="685"/>
      <c r="AN164" s="685"/>
      <c r="AO164" s="685"/>
      <c r="AP164" s="685"/>
      <c r="AQ164" s="685"/>
      <c r="AR164" s="685"/>
      <c r="AS164" s="685"/>
      <c r="AT164" s="685"/>
      <c r="AU164" s="685"/>
      <c r="AV164" s="685"/>
      <c r="AW164" s="685"/>
      <c r="AX164" s="685"/>
      <c r="AY164" s="685"/>
      <c r="AZ164" s="685"/>
      <c r="BA164" s="685"/>
      <c r="BB164" s="685"/>
      <c r="BC164" s="685"/>
      <c r="BN164" s="763"/>
      <c r="BO164" s="763"/>
      <c r="BP164" s="763"/>
      <c r="BR164" s="1887"/>
      <c r="BS164" s="763"/>
      <c r="BU164" s="763"/>
    </row>
    <row r="165" spans="1:73">
      <c r="A165" s="763"/>
      <c r="B165" s="763"/>
      <c r="C165" s="763"/>
      <c r="D165" s="763"/>
      <c r="E165" s="763"/>
      <c r="F165" s="763"/>
      <c r="G165" s="763"/>
      <c r="H165" s="763"/>
      <c r="I165" s="763"/>
      <c r="J165" s="763"/>
      <c r="K165" s="763"/>
      <c r="L165" s="763"/>
      <c r="M165" s="763"/>
      <c r="N165" s="763"/>
      <c r="O165" s="763"/>
      <c r="P165" s="763"/>
      <c r="Q165" s="763"/>
      <c r="R165" s="763"/>
      <c r="S165" s="763"/>
      <c r="T165" s="763"/>
      <c r="U165" s="763"/>
      <c r="V165" s="763"/>
      <c r="W165" s="763"/>
      <c r="X165" s="763"/>
      <c r="Y165" s="763"/>
      <c r="Z165" s="763"/>
      <c r="AA165" s="763"/>
      <c r="AB165" s="763"/>
      <c r="AC165" s="763"/>
      <c r="AD165" s="763"/>
      <c r="AE165" s="763"/>
      <c r="AF165" s="115"/>
      <c r="AG165" s="115"/>
      <c r="AH165" s="763"/>
      <c r="AI165" s="763"/>
      <c r="AJ165" s="763"/>
      <c r="AK165" s="763"/>
      <c r="AL165" s="685"/>
      <c r="AM165" s="685"/>
      <c r="AN165" s="685"/>
      <c r="AO165" s="685"/>
      <c r="AP165" s="685"/>
      <c r="AQ165" s="685"/>
      <c r="AR165" s="685"/>
      <c r="AS165" s="685"/>
      <c r="AT165" s="685"/>
      <c r="AU165" s="685"/>
      <c r="AV165" s="685"/>
      <c r="AW165" s="685"/>
      <c r="AX165" s="685"/>
      <c r="AY165" s="685"/>
      <c r="AZ165" s="685"/>
      <c r="BA165" s="685"/>
      <c r="BB165" s="685"/>
      <c r="BC165" s="685"/>
      <c r="BN165" s="763"/>
      <c r="BO165" s="763"/>
      <c r="BP165" s="763"/>
      <c r="BR165" s="1887"/>
      <c r="BS165" s="763"/>
      <c r="BU165" s="763"/>
    </row>
    <row r="166" spans="1:73">
      <c r="A166" s="763"/>
      <c r="B166" s="763"/>
      <c r="C166" s="763"/>
      <c r="D166" s="763"/>
      <c r="E166" s="763"/>
      <c r="F166" s="763"/>
      <c r="G166" s="763"/>
      <c r="H166" s="763"/>
      <c r="I166" s="763"/>
      <c r="J166" s="763"/>
      <c r="K166" s="763"/>
      <c r="L166" s="763"/>
      <c r="M166" s="763"/>
      <c r="N166" s="763"/>
      <c r="O166" s="763"/>
      <c r="P166" s="763"/>
      <c r="Q166" s="763"/>
      <c r="R166" s="763"/>
      <c r="S166" s="763"/>
      <c r="T166" s="763"/>
      <c r="U166" s="763"/>
      <c r="V166" s="763"/>
      <c r="W166" s="763"/>
      <c r="X166" s="763"/>
      <c r="Y166" s="763"/>
      <c r="Z166" s="763"/>
      <c r="AA166" s="763"/>
      <c r="AB166" s="763"/>
      <c r="AC166" s="763"/>
      <c r="AD166" s="763"/>
      <c r="AE166" s="763"/>
      <c r="AF166" s="115"/>
      <c r="AG166" s="115"/>
      <c r="AH166" s="763"/>
      <c r="AI166" s="763"/>
      <c r="AJ166" s="763"/>
      <c r="AK166" s="763"/>
      <c r="AL166" s="685"/>
      <c r="AM166" s="685"/>
      <c r="AN166" s="685"/>
      <c r="AO166" s="685"/>
      <c r="AP166" s="685"/>
      <c r="AQ166" s="685"/>
      <c r="AR166" s="685"/>
      <c r="AS166" s="685"/>
      <c r="AT166" s="685"/>
      <c r="AU166" s="685"/>
      <c r="AV166" s="685"/>
      <c r="AW166" s="685"/>
      <c r="AX166" s="685"/>
      <c r="AY166" s="685"/>
      <c r="AZ166" s="685"/>
      <c r="BA166" s="685"/>
      <c r="BB166" s="685"/>
      <c r="BC166" s="685"/>
      <c r="BN166" s="763"/>
      <c r="BO166" s="763"/>
      <c r="BP166" s="763"/>
      <c r="BR166" s="1887"/>
      <c r="BS166" s="763"/>
      <c r="BU166" s="763"/>
    </row>
    <row r="167" spans="1:73">
      <c r="A167" s="763"/>
      <c r="B167" s="763"/>
      <c r="C167" s="763"/>
      <c r="D167" s="763"/>
      <c r="E167" s="763"/>
      <c r="F167" s="763"/>
      <c r="G167" s="763"/>
      <c r="H167" s="763"/>
      <c r="I167" s="763"/>
      <c r="J167" s="763"/>
      <c r="K167" s="763"/>
      <c r="L167" s="763"/>
      <c r="M167" s="763"/>
      <c r="N167" s="763"/>
      <c r="O167" s="763"/>
      <c r="P167" s="763"/>
      <c r="Q167" s="763"/>
      <c r="R167" s="763"/>
      <c r="S167" s="763"/>
      <c r="T167" s="763"/>
      <c r="U167" s="763"/>
      <c r="V167" s="763"/>
      <c r="W167" s="763"/>
      <c r="X167" s="763"/>
      <c r="Y167" s="763"/>
      <c r="Z167" s="763"/>
      <c r="AA167" s="763"/>
      <c r="AB167" s="763"/>
      <c r="AC167" s="763"/>
      <c r="AD167" s="763"/>
      <c r="AE167" s="763"/>
      <c r="AF167" s="115"/>
      <c r="AG167" s="115"/>
      <c r="AH167" s="763"/>
      <c r="AI167" s="763"/>
      <c r="AJ167" s="763"/>
      <c r="AK167" s="763"/>
      <c r="AL167" s="685"/>
      <c r="AM167" s="685"/>
      <c r="AN167" s="685"/>
      <c r="AO167" s="685"/>
      <c r="AP167" s="685"/>
      <c r="AQ167" s="685"/>
      <c r="AR167" s="685"/>
      <c r="AS167" s="685"/>
      <c r="AT167" s="685"/>
      <c r="AU167" s="685"/>
      <c r="AV167" s="685"/>
      <c r="AW167" s="685"/>
      <c r="AX167" s="685"/>
      <c r="AY167" s="685"/>
      <c r="AZ167" s="685"/>
      <c r="BA167" s="685"/>
      <c r="BB167" s="685"/>
      <c r="BC167" s="685"/>
      <c r="BN167" s="763"/>
      <c r="BO167" s="763"/>
      <c r="BP167" s="763"/>
      <c r="BR167" s="1887"/>
      <c r="BS167" s="763"/>
      <c r="BU167" s="763"/>
    </row>
    <row r="168" spans="1:73">
      <c r="A168" s="763"/>
      <c r="B168" s="763"/>
      <c r="C168" s="763"/>
      <c r="D168" s="763"/>
      <c r="E168" s="763"/>
      <c r="F168" s="763"/>
      <c r="G168" s="763"/>
      <c r="H168" s="763"/>
      <c r="I168" s="763"/>
      <c r="J168" s="763"/>
      <c r="K168" s="763"/>
      <c r="L168" s="763"/>
      <c r="M168" s="763"/>
      <c r="N168" s="763"/>
      <c r="O168" s="763"/>
      <c r="P168" s="763"/>
      <c r="Q168" s="763"/>
      <c r="R168" s="763"/>
      <c r="S168" s="763"/>
      <c r="T168" s="763"/>
      <c r="U168" s="763"/>
      <c r="V168" s="763"/>
      <c r="W168" s="763"/>
      <c r="X168" s="763"/>
      <c r="Y168" s="763"/>
      <c r="Z168" s="763"/>
      <c r="AA168" s="763"/>
      <c r="AB168" s="763"/>
      <c r="AC168" s="763"/>
      <c r="AD168" s="763"/>
      <c r="AE168" s="763"/>
      <c r="AF168" s="115"/>
      <c r="AG168" s="115"/>
      <c r="AH168" s="763"/>
      <c r="AI168" s="763"/>
      <c r="AJ168" s="763"/>
      <c r="AK168" s="763"/>
      <c r="AL168" s="685"/>
      <c r="AM168" s="685"/>
      <c r="AN168" s="685"/>
      <c r="AO168" s="685"/>
      <c r="AP168" s="685"/>
      <c r="AQ168" s="685"/>
      <c r="AR168" s="685"/>
      <c r="AS168" s="685"/>
      <c r="AT168" s="685"/>
      <c r="AU168" s="685"/>
      <c r="AV168" s="685"/>
      <c r="AW168" s="685"/>
      <c r="AX168" s="685"/>
      <c r="AY168" s="685"/>
      <c r="AZ168" s="685"/>
      <c r="BA168" s="685"/>
      <c r="BB168" s="685"/>
      <c r="BC168" s="685"/>
      <c r="BN168" s="763"/>
      <c r="BO168" s="763"/>
      <c r="BP168" s="763"/>
      <c r="BR168" s="1887"/>
      <c r="BS168" s="763"/>
      <c r="BU168" s="763"/>
    </row>
    <row r="169" spans="1:73">
      <c r="A169" s="763"/>
      <c r="B169" s="763"/>
      <c r="C169" s="763"/>
      <c r="D169" s="763"/>
      <c r="E169" s="763"/>
      <c r="F169" s="763"/>
      <c r="G169" s="763"/>
      <c r="H169" s="763"/>
      <c r="I169" s="763"/>
      <c r="J169" s="763"/>
      <c r="K169" s="763"/>
      <c r="L169" s="763"/>
      <c r="M169" s="763"/>
      <c r="N169" s="763"/>
      <c r="O169" s="763"/>
      <c r="P169" s="763"/>
      <c r="Q169" s="763"/>
      <c r="R169" s="763"/>
      <c r="S169" s="763"/>
      <c r="T169" s="763"/>
      <c r="U169" s="763"/>
      <c r="V169" s="763"/>
      <c r="W169" s="763"/>
      <c r="X169" s="763"/>
      <c r="Y169" s="763"/>
      <c r="Z169" s="763"/>
      <c r="AA169" s="763"/>
      <c r="AB169" s="763"/>
      <c r="AC169" s="763"/>
      <c r="AD169" s="763"/>
      <c r="AE169" s="763"/>
      <c r="AF169" s="115"/>
      <c r="AG169" s="115"/>
      <c r="AH169" s="763"/>
      <c r="AI169" s="763"/>
      <c r="AJ169" s="763"/>
      <c r="AK169" s="763"/>
      <c r="AL169" s="685"/>
      <c r="AM169" s="685"/>
      <c r="AN169" s="685"/>
      <c r="AO169" s="685"/>
      <c r="AP169" s="685"/>
      <c r="AQ169" s="685"/>
      <c r="AR169" s="685"/>
      <c r="AS169" s="685"/>
      <c r="AT169" s="685"/>
      <c r="AU169" s="685"/>
      <c r="AV169" s="685"/>
      <c r="AW169" s="685"/>
      <c r="AX169" s="685"/>
      <c r="AY169" s="685"/>
      <c r="AZ169" s="685"/>
      <c r="BA169" s="685"/>
      <c r="BB169" s="685"/>
      <c r="BC169" s="685"/>
      <c r="BN169" s="763"/>
      <c r="BO169" s="763"/>
      <c r="BP169" s="763"/>
      <c r="BR169" s="1887"/>
      <c r="BS169" s="763"/>
      <c r="BU169" s="763"/>
    </row>
    <row r="170" spans="1:73">
      <c r="A170" s="763"/>
      <c r="B170" s="763"/>
      <c r="C170" s="763"/>
      <c r="D170" s="763"/>
      <c r="E170" s="763"/>
      <c r="F170" s="763"/>
      <c r="G170" s="763"/>
      <c r="H170" s="763"/>
      <c r="I170" s="763"/>
      <c r="J170" s="763"/>
      <c r="K170" s="763"/>
      <c r="L170" s="763"/>
      <c r="M170" s="763"/>
      <c r="N170" s="763"/>
      <c r="O170" s="763"/>
      <c r="P170" s="763"/>
      <c r="Q170" s="763"/>
      <c r="R170" s="763"/>
      <c r="S170" s="763"/>
      <c r="T170" s="763"/>
      <c r="U170" s="763"/>
      <c r="V170" s="763"/>
      <c r="W170" s="763"/>
      <c r="X170" s="763"/>
      <c r="Y170" s="763"/>
      <c r="Z170" s="763"/>
      <c r="AA170" s="763"/>
      <c r="AB170" s="763"/>
      <c r="AC170" s="763"/>
      <c r="AD170" s="763"/>
      <c r="AE170" s="763"/>
      <c r="AF170" s="115"/>
      <c r="AG170" s="115"/>
      <c r="AH170" s="763"/>
      <c r="AI170" s="763"/>
      <c r="AJ170" s="763"/>
      <c r="AK170" s="763"/>
      <c r="AL170" s="685"/>
      <c r="AM170" s="685"/>
      <c r="AN170" s="685"/>
      <c r="AO170" s="685"/>
      <c r="AP170" s="685"/>
      <c r="AQ170" s="685"/>
      <c r="AR170" s="685"/>
      <c r="AS170" s="685"/>
      <c r="AT170" s="685"/>
      <c r="AU170" s="685"/>
      <c r="AV170" s="685"/>
      <c r="AW170" s="685"/>
      <c r="AX170" s="685"/>
      <c r="AY170" s="685"/>
      <c r="AZ170" s="685"/>
      <c r="BA170" s="685"/>
      <c r="BB170" s="685"/>
      <c r="BC170" s="685"/>
      <c r="BN170" s="763"/>
      <c r="BO170" s="763"/>
      <c r="BP170" s="763"/>
      <c r="BR170" s="1887"/>
      <c r="BS170" s="763"/>
      <c r="BU170" s="763"/>
    </row>
    <row r="171" spans="1:73">
      <c r="A171" s="763"/>
      <c r="B171" s="763"/>
      <c r="C171" s="763"/>
      <c r="D171" s="763"/>
      <c r="E171" s="763"/>
      <c r="F171" s="763"/>
      <c r="G171" s="763"/>
      <c r="H171" s="763"/>
      <c r="I171" s="763"/>
      <c r="J171" s="763"/>
      <c r="K171" s="763"/>
      <c r="L171" s="763"/>
      <c r="M171" s="763"/>
      <c r="N171" s="763"/>
      <c r="O171" s="763"/>
      <c r="P171" s="763"/>
      <c r="Q171" s="763"/>
      <c r="R171" s="763"/>
      <c r="S171" s="763"/>
      <c r="T171" s="763"/>
      <c r="U171" s="763"/>
      <c r="V171" s="763"/>
      <c r="W171" s="763"/>
      <c r="X171" s="763"/>
      <c r="Y171" s="763"/>
      <c r="Z171" s="763"/>
      <c r="AA171" s="763"/>
      <c r="AB171" s="763"/>
      <c r="AC171" s="763"/>
      <c r="AD171" s="763"/>
      <c r="AE171" s="763"/>
      <c r="AF171" s="115"/>
      <c r="AG171" s="115"/>
      <c r="AH171" s="763"/>
      <c r="AI171" s="763"/>
      <c r="AJ171" s="763"/>
      <c r="AK171" s="763"/>
      <c r="AL171" s="685"/>
      <c r="AM171" s="685"/>
      <c r="AN171" s="685"/>
      <c r="AO171" s="685"/>
      <c r="AP171" s="685"/>
      <c r="AQ171" s="685"/>
      <c r="AR171" s="685"/>
      <c r="AS171" s="685"/>
      <c r="AT171" s="685"/>
      <c r="AU171" s="685"/>
      <c r="AV171" s="685"/>
      <c r="AW171" s="685"/>
      <c r="AX171" s="685"/>
      <c r="AY171" s="685"/>
      <c r="AZ171" s="685"/>
      <c r="BA171" s="685"/>
      <c r="BB171" s="685"/>
      <c r="BC171" s="685"/>
      <c r="BN171" s="763"/>
      <c r="BO171" s="763"/>
      <c r="BP171" s="763"/>
      <c r="BR171" s="1887"/>
      <c r="BS171" s="763"/>
      <c r="BU171" s="763"/>
    </row>
    <row r="172" spans="1:73">
      <c r="A172" s="763"/>
      <c r="B172" s="763"/>
      <c r="C172" s="763"/>
      <c r="D172" s="763"/>
      <c r="E172" s="763"/>
      <c r="F172" s="763"/>
      <c r="G172" s="763"/>
      <c r="H172" s="763"/>
      <c r="I172" s="763"/>
      <c r="J172" s="763"/>
      <c r="K172" s="763"/>
      <c r="L172" s="763"/>
      <c r="M172" s="763"/>
      <c r="N172" s="763"/>
      <c r="O172" s="763"/>
      <c r="P172" s="763"/>
      <c r="Q172" s="763"/>
      <c r="R172" s="763"/>
      <c r="S172" s="763"/>
      <c r="T172" s="763"/>
      <c r="U172" s="763"/>
      <c r="V172" s="763"/>
      <c r="W172" s="763"/>
      <c r="X172" s="763"/>
      <c r="Y172" s="763"/>
      <c r="Z172" s="763"/>
      <c r="AA172" s="763"/>
      <c r="AB172" s="763"/>
      <c r="AC172" s="763"/>
      <c r="AD172" s="763"/>
      <c r="AE172" s="763"/>
      <c r="AF172" s="115"/>
      <c r="AG172" s="115"/>
      <c r="AH172" s="763"/>
      <c r="AI172" s="763"/>
      <c r="AJ172" s="763"/>
      <c r="AK172" s="763"/>
      <c r="AL172" s="685"/>
      <c r="AM172" s="685"/>
      <c r="AN172" s="685"/>
      <c r="AO172" s="685"/>
      <c r="AP172" s="685"/>
      <c r="AQ172" s="685"/>
      <c r="AR172" s="685"/>
      <c r="AS172" s="685"/>
      <c r="AT172" s="685"/>
      <c r="AU172" s="685"/>
      <c r="AV172" s="685"/>
      <c r="AW172" s="685"/>
      <c r="AX172" s="685"/>
      <c r="AY172" s="685"/>
      <c r="AZ172" s="685"/>
      <c r="BA172" s="685"/>
      <c r="BB172" s="685"/>
      <c r="BC172" s="685"/>
      <c r="BN172" s="763"/>
      <c r="BO172" s="763"/>
      <c r="BP172" s="763"/>
      <c r="BR172" s="1887"/>
      <c r="BS172" s="763"/>
      <c r="BU172" s="763"/>
    </row>
    <row r="173" spans="1:73">
      <c r="A173" s="763"/>
      <c r="B173" s="763"/>
      <c r="C173" s="763"/>
      <c r="D173" s="763"/>
      <c r="E173" s="763"/>
      <c r="F173" s="763"/>
      <c r="G173" s="763"/>
      <c r="H173" s="763"/>
      <c r="I173" s="763"/>
      <c r="J173" s="763"/>
      <c r="K173" s="763"/>
      <c r="L173" s="763"/>
      <c r="M173" s="763"/>
      <c r="N173" s="763"/>
      <c r="O173" s="763"/>
      <c r="P173" s="763"/>
      <c r="Q173" s="763"/>
      <c r="R173" s="763"/>
      <c r="S173" s="763"/>
      <c r="T173" s="763"/>
      <c r="U173" s="763"/>
      <c r="V173" s="763"/>
      <c r="W173" s="763"/>
      <c r="X173" s="763"/>
      <c r="Y173" s="763"/>
      <c r="Z173" s="763"/>
      <c r="AA173" s="763"/>
      <c r="AB173" s="763"/>
      <c r="AC173" s="763"/>
      <c r="AD173" s="763"/>
      <c r="AE173" s="763"/>
      <c r="AF173" s="115"/>
      <c r="AG173" s="115"/>
      <c r="AH173" s="763"/>
      <c r="AI173" s="763"/>
      <c r="AJ173" s="763"/>
      <c r="AK173" s="763"/>
      <c r="AL173" s="685"/>
      <c r="AM173" s="685"/>
      <c r="AN173" s="685"/>
      <c r="AO173" s="685"/>
      <c r="AP173" s="685"/>
      <c r="AQ173" s="685"/>
      <c r="AR173" s="685"/>
      <c r="AS173" s="685"/>
      <c r="AT173" s="685"/>
      <c r="AU173" s="685"/>
      <c r="AV173" s="685"/>
      <c r="AW173" s="685"/>
      <c r="AX173" s="685"/>
      <c r="AY173" s="685"/>
      <c r="AZ173" s="685"/>
      <c r="BA173" s="685"/>
      <c r="BB173" s="685"/>
      <c r="BC173" s="685"/>
      <c r="BN173" s="763"/>
      <c r="BO173" s="763"/>
      <c r="BP173" s="763"/>
      <c r="BR173" s="1887"/>
      <c r="BS173" s="763"/>
      <c r="BU173" s="763"/>
    </row>
    <row r="174" spans="1:73">
      <c r="A174" s="763"/>
      <c r="B174" s="763"/>
      <c r="C174" s="763"/>
      <c r="D174" s="763"/>
      <c r="E174" s="763"/>
      <c r="F174" s="763"/>
      <c r="G174" s="763"/>
      <c r="H174" s="763"/>
      <c r="I174" s="763"/>
      <c r="J174" s="763"/>
      <c r="K174" s="763"/>
      <c r="L174" s="763"/>
      <c r="M174" s="763"/>
      <c r="N174" s="763"/>
      <c r="O174" s="763"/>
      <c r="P174" s="763"/>
      <c r="Q174" s="763"/>
      <c r="R174" s="763"/>
      <c r="S174" s="763"/>
      <c r="T174" s="763"/>
      <c r="U174" s="763"/>
      <c r="V174" s="763"/>
      <c r="W174" s="763"/>
      <c r="X174" s="763"/>
      <c r="Y174" s="763"/>
      <c r="Z174" s="763"/>
      <c r="AA174" s="763"/>
      <c r="AB174" s="763"/>
      <c r="AC174" s="763"/>
      <c r="AD174" s="763"/>
      <c r="AE174" s="763"/>
      <c r="AF174" s="115"/>
      <c r="AG174" s="115"/>
      <c r="AH174" s="763"/>
      <c r="AI174" s="763"/>
      <c r="AJ174" s="763"/>
      <c r="AK174" s="763"/>
      <c r="AL174" s="685"/>
      <c r="AM174" s="685"/>
      <c r="AN174" s="685"/>
      <c r="AO174" s="685"/>
      <c r="AP174" s="685"/>
      <c r="AQ174" s="685"/>
      <c r="AR174" s="685"/>
      <c r="AS174" s="685"/>
      <c r="AT174" s="685"/>
      <c r="AU174" s="685"/>
      <c r="AV174" s="685"/>
      <c r="AW174" s="685"/>
      <c r="AX174" s="685"/>
      <c r="AY174" s="685"/>
      <c r="AZ174" s="685"/>
      <c r="BA174" s="685"/>
      <c r="BB174" s="685"/>
      <c r="BC174" s="685"/>
      <c r="BN174" s="763"/>
      <c r="BO174" s="763"/>
      <c r="BP174" s="763"/>
      <c r="BR174" s="1887"/>
      <c r="BS174" s="763"/>
      <c r="BU174" s="763"/>
    </row>
    <row r="175" spans="1:73">
      <c r="A175" s="685"/>
      <c r="B175" s="685"/>
      <c r="C175" s="685"/>
      <c r="D175" s="685"/>
      <c r="E175" s="685"/>
      <c r="F175" s="685"/>
      <c r="G175" s="685"/>
      <c r="H175" s="685"/>
      <c r="I175" s="685"/>
      <c r="J175" s="685"/>
      <c r="K175" s="685"/>
      <c r="L175" s="685"/>
      <c r="M175" s="685"/>
      <c r="N175" s="685"/>
      <c r="O175" s="685"/>
      <c r="P175" s="685"/>
      <c r="Q175" s="685"/>
      <c r="R175" s="685"/>
      <c r="S175" s="685"/>
      <c r="T175" s="685"/>
      <c r="U175" s="685"/>
      <c r="V175" s="685"/>
      <c r="W175" s="685"/>
      <c r="X175" s="685"/>
      <c r="Y175" s="685"/>
      <c r="Z175" s="685"/>
      <c r="AA175" s="685"/>
      <c r="AB175" s="685"/>
      <c r="AC175" s="685"/>
      <c r="AD175" s="685"/>
      <c r="AE175" s="685"/>
      <c r="AF175" s="115"/>
      <c r="AG175" s="115"/>
      <c r="AH175" s="685"/>
      <c r="AI175" s="685"/>
      <c r="AJ175" s="685"/>
      <c r="AK175" s="685"/>
      <c r="AL175" s="685"/>
      <c r="AM175" s="685"/>
      <c r="AN175" s="685"/>
      <c r="AO175" s="685"/>
      <c r="AP175" s="685"/>
      <c r="AQ175" s="685"/>
      <c r="AR175" s="685"/>
      <c r="AS175" s="685"/>
      <c r="AT175" s="685"/>
      <c r="AU175" s="685"/>
      <c r="AV175" s="685"/>
      <c r="AW175" s="685"/>
      <c r="AX175" s="685"/>
      <c r="AY175" s="685"/>
      <c r="AZ175" s="685"/>
      <c r="BA175" s="685"/>
      <c r="BB175" s="685"/>
      <c r="BC175" s="685"/>
      <c r="BN175" s="685"/>
      <c r="BO175" s="685"/>
      <c r="BP175" s="685"/>
      <c r="BR175" s="1859"/>
      <c r="BS175" s="685"/>
      <c r="BU175" s="685"/>
    </row>
    <row r="176" spans="1:73">
      <c r="A176" s="685"/>
      <c r="B176" s="685"/>
      <c r="C176" s="685"/>
      <c r="D176" s="685"/>
      <c r="E176" s="685"/>
      <c r="F176" s="685"/>
      <c r="G176" s="685"/>
      <c r="H176" s="685"/>
      <c r="I176" s="685"/>
      <c r="J176" s="685"/>
      <c r="K176" s="685"/>
      <c r="L176" s="685"/>
      <c r="M176" s="685"/>
      <c r="N176" s="685"/>
      <c r="O176" s="685"/>
      <c r="P176" s="685"/>
      <c r="Q176" s="685"/>
      <c r="R176" s="685"/>
      <c r="S176" s="685"/>
      <c r="T176" s="685"/>
      <c r="U176" s="685"/>
      <c r="V176" s="685"/>
      <c r="W176" s="685"/>
      <c r="X176" s="685"/>
      <c r="Y176" s="685"/>
      <c r="Z176" s="685"/>
      <c r="AA176" s="685"/>
      <c r="AB176" s="685"/>
      <c r="AC176" s="685"/>
      <c r="AD176" s="685"/>
      <c r="AE176" s="685"/>
      <c r="AF176" s="115"/>
      <c r="AG176" s="115"/>
      <c r="AH176" s="685"/>
      <c r="AI176" s="685"/>
      <c r="AJ176" s="685"/>
      <c r="AK176" s="685"/>
      <c r="AL176" s="685"/>
      <c r="AM176" s="685"/>
      <c r="AN176" s="685"/>
      <c r="AO176" s="685"/>
      <c r="AP176" s="685"/>
      <c r="AQ176" s="685"/>
      <c r="AR176" s="685"/>
      <c r="AS176" s="685"/>
      <c r="AT176" s="685"/>
      <c r="AU176" s="685"/>
      <c r="AV176" s="685"/>
      <c r="AW176" s="685"/>
      <c r="AX176" s="685"/>
      <c r="AY176" s="685"/>
      <c r="AZ176" s="685"/>
      <c r="BA176" s="685"/>
      <c r="BB176" s="685"/>
      <c r="BC176" s="685"/>
      <c r="BN176" s="685"/>
      <c r="BO176" s="685"/>
      <c r="BP176" s="685"/>
      <c r="BR176" s="1859"/>
      <c r="BS176" s="685"/>
      <c r="BU176" s="685"/>
    </row>
    <row r="177" spans="1:73">
      <c r="A177" s="685"/>
      <c r="B177" s="685"/>
      <c r="C177" s="685"/>
      <c r="D177" s="685"/>
      <c r="E177" s="685"/>
      <c r="F177" s="685"/>
      <c r="G177" s="685"/>
      <c r="H177" s="685"/>
      <c r="I177" s="685"/>
      <c r="J177" s="685"/>
      <c r="K177" s="685"/>
      <c r="L177" s="685"/>
      <c r="M177" s="685"/>
      <c r="N177" s="685"/>
      <c r="O177" s="685"/>
      <c r="P177" s="685"/>
      <c r="Q177" s="685"/>
      <c r="R177" s="685"/>
      <c r="S177" s="685"/>
      <c r="T177" s="685"/>
      <c r="U177" s="685"/>
      <c r="V177" s="685"/>
      <c r="W177" s="685"/>
      <c r="X177" s="685"/>
      <c r="Y177" s="685"/>
      <c r="Z177" s="685"/>
      <c r="AA177" s="685"/>
      <c r="AB177" s="685"/>
      <c r="AC177" s="685"/>
      <c r="AD177" s="685"/>
      <c r="AE177" s="685"/>
      <c r="AF177" s="115"/>
      <c r="AG177" s="115"/>
      <c r="AH177" s="685"/>
      <c r="AI177" s="685"/>
      <c r="AJ177" s="685"/>
      <c r="AK177" s="685"/>
      <c r="AL177" s="685"/>
      <c r="AM177" s="685"/>
      <c r="AN177" s="685"/>
      <c r="AO177" s="685"/>
      <c r="AP177" s="685"/>
      <c r="AQ177" s="685"/>
      <c r="AR177" s="685"/>
      <c r="AS177" s="685"/>
      <c r="AT177" s="685"/>
      <c r="AU177" s="685"/>
      <c r="AV177" s="685"/>
      <c r="AW177" s="685"/>
      <c r="AX177" s="685"/>
      <c r="AY177" s="685"/>
      <c r="AZ177" s="685"/>
      <c r="BA177" s="685"/>
      <c r="BB177" s="685"/>
      <c r="BC177" s="685"/>
      <c r="BN177" s="685"/>
      <c r="BO177" s="685"/>
      <c r="BP177" s="685"/>
      <c r="BR177" s="1859"/>
      <c r="BS177" s="685"/>
      <c r="BU177" s="685"/>
    </row>
    <row r="178" spans="1:73">
      <c r="A178" s="685"/>
      <c r="B178" s="685"/>
      <c r="C178" s="685"/>
      <c r="D178" s="685"/>
      <c r="E178" s="685"/>
      <c r="F178" s="685"/>
      <c r="G178" s="685"/>
      <c r="H178" s="685"/>
      <c r="I178" s="685"/>
      <c r="J178" s="685"/>
      <c r="K178" s="685"/>
      <c r="L178" s="685"/>
      <c r="M178" s="685"/>
      <c r="N178" s="685"/>
      <c r="O178" s="685"/>
      <c r="P178" s="685"/>
      <c r="Q178" s="685"/>
      <c r="R178" s="685"/>
      <c r="S178" s="685"/>
      <c r="T178" s="685"/>
      <c r="U178" s="685"/>
      <c r="V178" s="685"/>
      <c r="W178" s="685"/>
      <c r="X178" s="685"/>
      <c r="Y178" s="685"/>
      <c r="Z178" s="685"/>
      <c r="AA178" s="685"/>
      <c r="AB178" s="685"/>
      <c r="AC178" s="685"/>
      <c r="AD178" s="685"/>
      <c r="AE178" s="685"/>
      <c r="AF178" s="115"/>
      <c r="AG178" s="115"/>
      <c r="AH178" s="685"/>
      <c r="AI178" s="685"/>
      <c r="AJ178" s="685"/>
      <c r="AK178" s="685"/>
      <c r="AL178" s="685"/>
      <c r="AM178" s="685"/>
      <c r="AN178" s="685"/>
      <c r="AO178" s="685"/>
      <c r="AP178" s="685"/>
      <c r="AQ178" s="685"/>
      <c r="AR178" s="685"/>
      <c r="AS178" s="685"/>
      <c r="AT178" s="685"/>
      <c r="AU178" s="685"/>
      <c r="AV178" s="685"/>
      <c r="AW178" s="685"/>
      <c r="AX178" s="685"/>
      <c r="AY178" s="685"/>
      <c r="AZ178" s="685"/>
      <c r="BA178" s="685"/>
      <c r="BB178" s="685"/>
      <c r="BC178" s="685"/>
      <c r="BN178" s="685"/>
      <c r="BO178" s="685"/>
      <c r="BP178" s="685"/>
      <c r="BR178" s="1859"/>
      <c r="BS178" s="685"/>
      <c r="BU178" s="685"/>
    </row>
    <row r="179" spans="1:73">
      <c r="A179" s="685"/>
      <c r="B179" s="685"/>
      <c r="C179" s="685"/>
      <c r="D179" s="685"/>
      <c r="E179" s="685"/>
      <c r="F179" s="685"/>
      <c r="G179" s="685"/>
      <c r="H179" s="685"/>
      <c r="I179" s="685"/>
      <c r="J179" s="685"/>
      <c r="K179" s="685"/>
      <c r="L179" s="685"/>
      <c r="M179" s="685"/>
      <c r="N179" s="685"/>
      <c r="O179" s="685"/>
      <c r="P179" s="685"/>
      <c r="Q179" s="685"/>
      <c r="R179" s="685"/>
      <c r="S179" s="685"/>
      <c r="T179" s="685"/>
      <c r="U179" s="685"/>
      <c r="V179" s="685"/>
      <c r="W179" s="685"/>
      <c r="X179" s="685"/>
      <c r="Y179" s="685"/>
      <c r="Z179" s="685"/>
      <c r="AA179" s="685"/>
      <c r="AB179" s="685"/>
      <c r="AC179" s="685"/>
      <c r="AD179" s="685"/>
      <c r="AE179" s="685"/>
      <c r="AF179" s="115"/>
      <c r="AG179" s="115"/>
      <c r="AH179" s="685"/>
      <c r="AI179" s="685"/>
      <c r="AJ179" s="685"/>
      <c r="AK179" s="685"/>
      <c r="AL179" s="685"/>
      <c r="AM179" s="685"/>
      <c r="AN179" s="685"/>
      <c r="AO179" s="685"/>
      <c r="AP179" s="685"/>
      <c r="AQ179" s="685"/>
      <c r="AR179" s="685"/>
      <c r="AS179" s="685"/>
      <c r="AT179" s="685"/>
      <c r="AU179" s="685"/>
      <c r="AV179" s="685"/>
      <c r="AW179" s="685"/>
      <c r="AX179" s="685"/>
      <c r="AY179" s="685"/>
      <c r="AZ179" s="685"/>
      <c r="BA179" s="685"/>
      <c r="BB179" s="685"/>
      <c r="BC179" s="685"/>
      <c r="BN179" s="685"/>
      <c r="BO179" s="685"/>
      <c r="BP179" s="685"/>
      <c r="BR179" s="1859"/>
      <c r="BS179" s="685"/>
      <c r="BU179" s="685"/>
    </row>
    <row r="180" spans="1:73">
      <c r="A180" s="685"/>
      <c r="B180" s="685"/>
      <c r="C180" s="685"/>
      <c r="D180" s="685"/>
      <c r="E180" s="685"/>
      <c r="F180" s="685"/>
      <c r="G180" s="685"/>
      <c r="H180" s="685"/>
      <c r="I180" s="685"/>
      <c r="J180" s="685"/>
      <c r="K180" s="685"/>
      <c r="L180" s="685"/>
      <c r="M180" s="685"/>
      <c r="N180" s="685"/>
      <c r="O180" s="685"/>
      <c r="P180" s="685"/>
      <c r="Q180" s="685"/>
      <c r="R180" s="685"/>
      <c r="S180" s="685"/>
      <c r="T180" s="685"/>
      <c r="U180" s="685"/>
      <c r="V180" s="685"/>
      <c r="W180" s="685"/>
      <c r="X180" s="685"/>
      <c r="Y180" s="685"/>
      <c r="Z180" s="685"/>
      <c r="AA180" s="685"/>
      <c r="AB180" s="685"/>
      <c r="AC180" s="685"/>
      <c r="AD180" s="685"/>
      <c r="AE180" s="685"/>
      <c r="AF180" s="115"/>
      <c r="AG180" s="115"/>
      <c r="AH180" s="685"/>
      <c r="AI180" s="685"/>
      <c r="AJ180" s="685"/>
      <c r="AK180" s="685"/>
      <c r="AL180" s="685"/>
      <c r="AM180" s="685"/>
      <c r="AN180" s="685"/>
      <c r="AO180" s="685"/>
      <c r="AP180" s="685"/>
      <c r="AQ180" s="685"/>
      <c r="AR180" s="685"/>
      <c r="AS180" s="685"/>
      <c r="AT180" s="685"/>
      <c r="AU180" s="685"/>
      <c r="AV180" s="685"/>
      <c r="AW180" s="685"/>
      <c r="AX180" s="685"/>
      <c r="AY180" s="685"/>
      <c r="AZ180" s="685"/>
      <c r="BA180" s="685"/>
      <c r="BB180" s="685"/>
      <c r="BC180" s="685"/>
      <c r="BN180" s="685"/>
      <c r="BO180" s="685"/>
      <c r="BP180" s="685"/>
      <c r="BR180" s="1859"/>
      <c r="BS180" s="685"/>
      <c r="BU180" s="685"/>
    </row>
    <row r="181" spans="1:73">
      <c r="A181" s="685"/>
      <c r="B181" s="685"/>
      <c r="C181" s="685"/>
      <c r="D181" s="685"/>
      <c r="E181" s="685"/>
      <c r="F181" s="685"/>
      <c r="G181" s="685"/>
      <c r="H181" s="685"/>
      <c r="I181" s="685"/>
      <c r="J181" s="685"/>
      <c r="K181" s="685"/>
      <c r="L181" s="685"/>
      <c r="M181" s="685"/>
      <c r="N181" s="685"/>
      <c r="O181" s="685"/>
      <c r="P181" s="685"/>
      <c r="Q181" s="685"/>
      <c r="R181" s="685"/>
      <c r="S181" s="685"/>
      <c r="T181" s="685"/>
      <c r="U181" s="685"/>
      <c r="V181" s="685"/>
      <c r="W181" s="685"/>
      <c r="X181" s="685"/>
      <c r="Y181" s="685"/>
      <c r="Z181" s="685"/>
      <c r="AA181" s="685"/>
      <c r="AB181" s="685"/>
      <c r="AC181" s="685"/>
      <c r="AD181" s="685"/>
      <c r="AE181" s="685"/>
      <c r="AF181" s="115"/>
      <c r="AG181" s="115"/>
      <c r="AH181" s="685"/>
      <c r="AI181" s="685"/>
      <c r="AJ181" s="685"/>
      <c r="AK181" s="685"/>
      <c r="AL181" s="685"/>
      <c r="AM181" s="685"/>
      <c r="AN181" s="685"/>
      <c r="AO181" s="685"/>
      <c r="AP181" s="685"/>
      <c r="AQ181" s="685"/>
      <c r="AR181" s="685"/>
      <c r="AS181" s="685"/>
      <c r="AT181" s="685"/>
      <c r="AU181" s="685"/>
      <c r="AV181" s="685"/>
      <c r="AW181" s="685"/>
      <c r="AX181" s="685"/>
      <c r="AY181" s="685"/>
      <c r="AZ181" s="685"/>
      <c r="BA181" s="685"/>
      <c r="BB181" s="685"/>
      <c r="BC181" s="685"/>
      <c r="BN181" s="685"/>
      <c r="BO181" s="685"/>
      <c r="BP181" s="685"/>
      <c r="BR181" s="1859"/>
      <c r="BS181" s="685"/>
      <c r="BU181" s="685"/>
    </row>
    <row r="182" spans="1:73">
      <c r="A182" s="685"/>
      <c r="B182" s="685"/>
      <c r="C182" s="685"/>
      <c r="D182" s="685"/>
      <c r="E182" s="685"/>
      <c r="F182" s="685"/>
      <c r="G182" s="685"/>
      <c r="H182" s="685"/>
      <c r="I182" s="685"/>
      <c r="J182" s="685"/>
      <c r="K182" s="685"/>
      <c r="L182" s="685"/>
      <c r="M182" s="685"/>
      <c r="N182" s="685"/>
      <c r="O182" s="685"/>
      <c r="P182" s="685"/>
      <c r="Q182" s="685"/>
      <c r="R182" s="685"/>
      <c r="S182" s="685"/>
      <c r="T182" s="685"/>
      <c r="U182" s="685"/>
      <c r="V182" s="685"/>
      <c r="W182" s="685"/>
      <c r="X182" s="685"/>
      <c r="Y182" s="685"/>
      <c r="Z182" s="685"/>
      <c r="AA182" s="685"/>
      <c r="AB182" s="685"/>
      <c r="AC182" s="685"/>
      <c r="AD182" s="685"/>
      <c r="AE182" s="685"/>
      <c r="AF182" s="115"/>
      <c r="AG182" s="115"/>
      <c r="AH182" s="685"/>
      <c r="AI182" s="685"/>
      <c r="AJ182" s="685"/>
      <c r="AK182" s="685"/>
      <c r="AL182" s="685"/>
      <c r="AM182" s="685"/>
      <c r="AN182" s="685"/>
      <c r="AO182" s="685"/>
      <c r="AP182" s="685"/>
      <c r="AQ182" s="685"/>
      <c r="AR182" s="685"/>
      <c r="AS182" s="685"/>
      <c r="AT182" s="685"/>
      <c r="AU182" s="685"/>
      <c r="AV182" s="685"/>
      <c r="AW182" s="685"/>
      <c r="AX182" s="685"/>
      <c r="AY182" s="685"/>
      <c r="AZ182" s="685"/>
      <c r="BA182" s="685"/>
      <c r="BB182" s="685"/>
      <c r="BC182" s="685"/>
      <c r="BN182" s="685"/>
      <c r="BO182" s="685"/>
      <c r="BP182" s="685"/>
      <c r="BR182" s="1859"/>
      <c r="BS182" s="685"/>
      <c r="BU182" s="685"/>
    </row>
    <row r="183" spans="1:73">
      <c r="A183" s="685"/>
      <c r="B183" s="685"/>
      <c r="C183" s="685"/>
      <c r="D183" s="685"/>
      <c r="E183" s="685"/>
      <c r="F183" s="685"/>
      <c r="G183" s="685"/>
      <c r="H183" s="685"/>
      <c r="I183" s="685"/>
      <c r="J183" s="685"/>
      <c r="K183" s="685"/>
      <c r="L183" s="685"/>
      <c r="M183" s="685"/>
      <c r="N183" s="685"/>
      <c r="O183" s="685"/>
      <c r="P183" s="685"/>
      <c r="Q183" s="685"/>
      <c r="R183" s="685"/>
      <c r="S183" s="685"/>
      <c r="T183" s="685"/>
      <c r="U183" s="685"/>
      <c r="V183" s="685"/>
      <c r="W183" s="685"/>
      <c r="X183" s="685"/>
      <c r="Y183" s="685"/>
      <c r="Z183" s="685"/>
      <c r="AA183" s="685"/>
      <c r="AB183" s="685"/>
      <c r="AC183" s="685"/>
      <c r="AD183" s="685"/>
      <c r="AE183" s="685"/>
      <c r="AF183" s="115"/>
      <c r="AG183" s="115"/>
      <c r="AH183" s="685"/>
      <c r="AI183" s="685"/>
      <c r="AJ183" s="685"/>
      <c r="AK183" s="685"/>
      <c r="AL183" s="685"/>
      <c r="AM183" s="685"/>
      <c r="AN183" s="685"/>
      <c r="AO183" s="685"/>
      <c r="AP183" s="685"/>
      <c r="AQ183" s="685"/>
      <c r="AR183" s="685"/>
      <c r="AS183" s="685"/>
      <c r="AT183" s="685"/>
      <c r="AU183" s="685"/>
      <c r="AV183" s="685"/>
      <c r="AW183" s="685"/>
      <c r="AX183" s="685"/>
      <c r="AY183" s="685"/>
      <c r="AZ183" s="685"/>
      <c r="BA183" s="685"/>
      <c r="BB183" s="685"/>
      <c r="BC183" s="685"/>
      <c r="BN183" s="685"/>
      <c r="BO183" s="685"/>
      <c r="BP183" s="685"/>
      <c r="BR183" s="1859"/>
      <c r="BS183" s="685"/>
      <c r="BU183" s="685"/>
    </row>
    <row r="184" spans="1:73">
      <c r="A184" s="685"/>
      <c r="B184" s="685"/>
      <c r="C184" s="685"/>
      <c r="D184" s="685"/>
      <c r="E184" s="685"/>
      <c r="F184" s="685"/>
      <c r="G184" s="685"/>
      <c r="H184" s="685"/>
      <c r="I184" s="685"/>
      <c r="J184" s="685"/>
      <c r="K184" s="685"/>
      <c r="L184" s="685"/>
      <c r="M184" s="685"/>
      <c r="N184" s="685"/>
      <c r="O184" s="685"/>
      <c r="P184" s="685"/>
      <c r="Q184" s="685"/>
      <c r="R184" s="685"/>
      <c r="S184" s="685"/>
      <c r="T184" s="685"/>
      <c r="U184" s="685"/>
      <c r="V184" s="685"/>
      <c r="W184" s="685"/>
      <c r="X184" s="685"/>
      <c r="Y184" s="685"/>
      <c r="Z184" s="685"/>
      <c r="AA184" s="685"/>
      <c r="AB184" s="685"/>
      <c r="AC184" s="685"/>
      <c r="AD184" s="685"/>
      <c r="AE184" s="685"/>
      <c r="AF184" s="115"/>
      <c r="AG184" s="115"/>
      <c r="AH184" s="685"/>
      <c r="AI184" s="685"/>
      <c r="AJ184" s="685"/>
      <c r="AK184" s="685"/>
      <c r="AL184" s="685"/>
      <c r="AM184" s="685"/>
      <c r="AN184" s="685"/>
      <c r="AO184" s="685"/>
      <c r="AP184" s="685"/>
      <c r="AQ184" s="685"/>
      <c r="AR184" s="685"/>
      <c r="AS184" s="685"/>
      <c r="AT184" s="685"/>
      <c r="AU184" s="685"/>
      <c r="AV184" s="685"/>
      <c r="AW184" s="685"/>
      <c r="AX184" s="685"/>
      <c r="AY184" s="685"/>
      <c r="AZ184" s="685"/>
      <c r="BA184" s="685"/>
      <c r="BB184" s="685"/>
      <c r="BC184" s="685"/>
      <c r="BN184" s="685"/>
      <c r="BO184" s="685"/>
      <c r="BP184" s="685"/>
      <c r="BR184" s="1859"/>
      <c r="BS184" s="685"/>
      <c r="BU184" s="685"/>
    </row>
    <row r="185" spans="1:73">
      <c r="A185" s="685"/>
      <c r="B185" s="685"/>
      <c r="C185" s="685"/>
      <c r="D185" s="685"/>
      <c r="E185" s="685"/>
      <c r="F185" s="685"/>
      <c r="G185" s="685"/>
      <c r="H185" s="685"/>
      <c r="I185" s="685"/>
      <c r="J185" s="685"/>
      <c r="K185" s="685"/>
      <c r="L185" s="685"/>
      <c r="M185" s="685"/>
      <c r="N185" s="685"/>
      <c r="O185" s="685"/>
      <c r="P185" s="685"/>
      <c r="Q185" s="685"/>
      <c r="R185" s="685"/>
      <c r="S185" s="685"/>
      <c r="T185" s="685"/>
      <c r="U185" s="685"/>
      <c r="V185" s="685"/>
      <c r="W185" s="685"/>
      <c r="X185" s="685"/>
      <c r="Y185" s="685"/>
      <c r="Z185" s="685"/>
      <c r="AA185" s="685"/>
      <c r="AB185" s="685"/>
      <c r="AC185" s="685"/>
      <c r="AD185" s="685"/>
      <c r="AE185" s="685"/>
      <c r="AF185" s="115"/>
      <c r="AG185" s="115"/>
      <c r="AH185" s="685"/>
      <c r="AI185" s="685"/>
      <c r="AJ185" s="685"/>
      <c r="AK185" s="685"/>
      <c r="AL185" s="685"/>
      <c r="AM185" s="685"/>
      <c r="AN185" s="685"/>
      <c r="AO185" s="685"/>
      <c r="AP185" s="685"/>
      <c r="AQ185" s="685"/>
      <c r="AR185" s="685"/>
      <c r="AS185" s="685"/>
      <c r="AT185" s="685"/>
      <c r="AU185" s="685"/>
      <c r="AV185" s="685"/>
      <c r="AW185" s="685"/>
      <c r="AX185" s="685"/>
      <c r="AY185" s="685"/>
      <c r="AZ185" s="685"/>
      <c r="BA185" s="685"/>
      <c r="BB185" s="685"/>
      <c r="BC185" s="685"/>
      <c r="BN185" s="685"/>
      <c r="BO185" s="685"/>
      <c r="BP185" s="685"/>
      <c r="BR185" s="1859"/>
      <c r="BS185" s="685"/>
      <c r="BU185" s="685"/>
    </row>
    <row r="186" spans="1:73">
      <c r="A186" s="685"/>
      <c r="B186" s="685"/>
      <c r="C186" s="685"/>
      <c r="D186" s="685"/>
      <c r="E186" s="685"/>
      <c r="F186" s="685"/>
      <c r="G186" s="685"/>
      <c r="H186" s="685"/>
      <c r="I186" s="685"/>
      <c r="J186" s="685"/>
      <c r="K186" s="685"/>
      <c r="L186" s="685"/>
      <c r="M186" s="685"/>
      <c r="N186" s="685"/>
      <c r="O186" s="685"/>
      <c r="P186" s="685"/>
      <c r="Q186" s="685"/>
      <c r="R186" s="685"/>
      <c r="S186" s="685"/>
      <c r="T186" s="685"/>
      <c r="U186" s="685"/>
      <c r="V186" s="685"/>
      <c r="W186" s="685"/>
      <c r="X186" s="685"/>
      <c r="Y186" s="685"/>
      <c r="Z186" s="685"/>
      <c r="AA186" s="685"/>
      <c r="AB186" s="685"/>
      <c r="AC186" s="685"/>
      <c r="AD186" s="685"/>
      <c r="AE186" s="685"/>
      <c r="AF186" s="115"/>
      <c r="AG186" s="115"/>
      <c r="AH186" s="685"/>
      <c r="AI186" s="685"/>
      <c r="AJ186" s="685"/>
      <c r="AK186" s="685"/>
      <c r="AL186" s="685"/>
      <c r="AM186" s="685"/>
      <c r="AN186" s="685"/>
      <c r="AO186" s="685"/>
      <c r="AP186" s="685"/>
      <c r="AQ186" s="685"/>
      <c r="AR186" s="685"/>
      <c r="AS186" s="685"/>
      <c r="AT186" s="685"/>
      <c r="AU186" s="685"/>
      <c r="AV186" s="685"/>
      <c r="AW186" s="685"/>
      <c r="AX186" s="685"/>
      <c r="AY186" s="685"/>
      <c r="AZ186" s="685"/>
      <c r="BA186" s="685"/>
      <c r="BB186" s="685"/>
      <c r="BC186" s="685"/>
      <c r="BN186" s="685"/>
      <c r="BO186" s="685"/>
      <c r="BP186" s="685"/>
      <c r="BR186" s="1859"/>
      <c r="BS186" s="685"/>
      <c r="BU186" s="685"/>
    </row>
    <row r="187" spans="1:73">
      <c r="A187" s="685"/>
      <c r="B187" s="685"/>
      <c r="C187" s="685"/>
      <c r="D187" s="685"/>
      <c r="E187" s="685"/>
      <c r="F187" s="685"/>
      <c r="G187" s="685"/>
      <c r="H187" s="685"/>
      <c r="I187" s="685"/>
      <c r="J187" s="685"/>
      <c r="K187" s="685"/>
      <c r="L187" s="685"/>
      <c r="M187" s="685"/>
      <c r="N187" s="685"/>
      <c r="O187" s="685"/>
      <c r="P187" s="685"/>
      <c r="Q187" s="685"/>
      <c r="R187" s="685"/>
      <c r="S187" s="685"/>
      <c r="T187" s="685"/>
      <c r="U187" s="685"/>
      <c r="V187" s="685"/>
      <c r="W187" s="685"/>
      <c r="X187" s="685"/>
      <c r="Y187" s="685"/>
      <c r="Z187" s="685"/>
      <c r="AA187" s="685"/>
      <c r="AB187" s="685"/>
      <c r="AC187" s="685"/>
      <c r="AD187" s="685"/>
      <c r="AE187" s="685"/>
      <c r="AF187" s="115"/>
      <c r="AG187" s="115"/>
      <c r="AH187" s="685"/>
      <c r="AI187" s="685"/>
      <c r="AJ187" s="685"/>
      <c r="AK187" s="685"/>
      <c r="AL187" s="685"/>
      <c r="AM187" s="685"/>
      <c r="AN187" s="685"/>
      <c r="AO187" s="685"/>
      <c r="AP187" s="685"/>
      <c r="AQ187" s="685"/>
      <c r="AR187" s="685"/>
      <c r="AS187" s="685"/>
      <c r="AT187" s="685"/>
      <c r="AU187" s="685"/>
      <c r="AV187" s="685"/>
      <c r="AW187" s="685"/>
      <c r="AX187" s="685"/>
      <c r="AY187" s="685"/>
      <c r="AZ187" s="685"/>
      <c r="BA187" s="685"/>
      <c r="BB187" s="685"/>
      <c r="BC187" s="685"/>
      <c r="BN187" s="685"/>
      <c r="BO187" s="685"/>
      <c r="BP187" s="685"/>
      <c r="BR187" s="1859"/>
      <c r="BS187" s="685"/>
      <c r="BU187" s="685"/>
    </row>
    <row r="188" spans="1:73">
      <c r="A188" s="685"/>
      <c r="B188" s="685"/>
      <c r="C188" s="685"/>
      <c r="D188" s="685"/>
      <c r="E188" s="685"/>
      <c r="F188" s="685"/>
      <c r="G188" s="685"/>
      <c r="H188" s="685"/>
      <c r="I188" s="685"/>
      <c r="J188" s="685"/>
      <c r="K188" s="685"/>
      <c r="L188" s="685"/>
      <c r="M188" s="685"/>
      <c r="N188" s="685"/>
      <c r="O188" s="685"/>
      <c r="P188" s="685"/>
      <c r="Q188" s="685"/>
      <c r="R188" s="685"/>
      <c r="S188" s="685"/>
      <c r="T188" s="685"/>
      <c r="U188" s="685"/>
      <c r="V188" s="685"/>
      <c r="W188" s="685"/>
      <c r="X188" s="685"/>
      <c r="Y188" s="685"/>
      <c r="Z188" s="685"/>
      <c r="AA188" s="685"/>
      <c r="AB188" s="685"/>
      <c r="AC188" s="685"/>
      <c r="AD188" s="685"/>
      <c r="AE188" s="685"/>
      <c r="AF188" s="115"/>
      <c r="AG188" s="115"/>
      <c r="AH188" s="685"/>
      <c r="AI188" s="685"/>
      <c r="AJ188" s="685"/>
      <c r="AK188" s="685"/>
      <c r="AL188" s="685"/>
      <c r="AM188" s="685"/>
      <c r="AN188" s="685"/>
      <c r="AO188" s="685"/>
      <c r="AP188" s="685"/>
      <c r="AQ188" s="685"/>
      <c r="AR188" s="685"/>
      <c r="AS188" s="685"/>
      <c r="AT188" s="685"/>
      <c r="AU188" s="685"/>
      <c r="AV188" s="685"/>
      <c r="AW188" s="685"/>
      <c r="AX188" s="685"/>
      <c r="AY188" s="685"/>
      <c r="AZ188" s="685"/>
      <c r="BA188" s="685"/>
      <c r="BB188" s="685"/>
      <c r="BC188" s="685"/>
      <c r="BN188" s="685"/>
      <c r="BO188" s="685"/>
      <c r="BP188" s="685"/>
      <c r="BR188" s="1859"/>
      <c r="BS188" s="685"/>
      <c r="BU188" s="685"/>
    </row>
    <row r="189" spans="1:73">
      <c r="A189" s="685"/>
      <c r="B189" s="685"/>
      <c r="C189" s="685"/>
      <c r="D189" s="685"/>
      <c r="E189" s="685"/>
      <c r="F189" s="685"/>
      <c r="G189" s="685"/>
      <c r="H189" s="685"/>
      <c r="I189" s="685"/>
      <c r="J189" s="685"/>
      <c r="K189" s="685"/>
      <c r="L189" s="685"/>
      <c r="M189" s="685"/>
      <c r="N189" s="685"/>
      <c r="O189" s="685"/>
      <c r="P189" s="685"/>
      <c r="Q189" s="685"/>
      <c r="R189" s="685"/>
      <c r="S189" s="685"/>
      <c r="T189" s="685"/>
      <c r="U189" s="685"/>
      <c r="V189" s="685"/>
      <c r="W189" s="685"/>
      <c r="X189" s="685"/>
      <c r="Y189" s="685"/>
      <c r="Z189" s="685"/>
      <c r="AA189" s="685"/>
      <c r="AB189" s="685"/>
      <c r="AC189" s="685"/>
      <c r="AD189" s="685"/>
      <c r="AE189" s="685"/>
      <c r="AF189" s="115"/>
      <c r="AG189" s="115"/>
      <c r="AH189" s="685"/>
      <c r="AI189" s="685"/>
      <c r="AJ189" s="685"/>
      <c r="AK189" s="685"/>
      <c r="AL189" s="685"/>
      <c r="AM189" s="685"/>
      <c r="AN189" s="685"/>
      <c r="AO189" s="685"/>
      <c r="AP189" s="685"/>
      <c r="AQ189" s="685"/>
      <c r="AR189" s="685"/>
      <c r="AS189" s="685"/>
      <c r="AT189" s="685"/>
      <c r="AU189" s="685"/>
      <c r="AV189" s="685"/>
      <c r="AW189" s="685"/>
      <c r="AX189" s="685"/>
      <c r="AY189" s="685"/>
      <c r="AZ189" s="685"/>
      <c r="BA189" s="685"/>
      <c r="BB189" s="685"/>
      <c r="BC189" s="685"/>
      <c r="BN189" s="685"/>
      <c r="BO189" s="685"/>
      <c r="BP189" s="685"/>
      <c r="BR189" s="685"/>
      <c r="BS189" s="685"/>
      <c r="BU189" s="685"/>
    </row>
    <row r="190" spans="1:73">
      <c r="A190" s="685"/>
      <c r="B190" s="685"/>
      <c r="C190" s="685"/>
      <c r="D190" s="685"/>
      <c r="E190" s="685"/>
      <c r="F190" s="685"/>
      <c r="G190" s="685"/>
      <c r="H190" s="685"/>
      <c r="I190" s="685"/>
      <c r="J190" s="685"/>
      <c r="K190" s="685"/>
      <c r="L190" s="685"/>
      <c r="M190" s="685"/>
      <c r="N190" s="685"/>
      <c r="O190" s="685"/>
      <c r="P190" s="685"/>
      <c r="Q190" s="685"/>
      <c r="R190" s="685"/>
      <c r="S190" s="685"/>
      <c r="T190" s="685"/>
      <c r="U190" s="685"/>
      <c r="V190" s="685"/>
      <c r="W190" s="685"/>
      <c r="X190" s="685"/>
      <c r="Y190" s="685"/>
      <c r="Z190" s="685"/>
      <c r="AA190" s="685"/>
      <c r="AB190" s="685"/>
      <c r="AC190" s="685"/>
      <c r="AD190" s="685"/>
      <c r="AE190" s="685"/>
      <c r="AF190" s="115"/>
      <c r="AG190" s="115"/>
      <c r="AH190" s="685"/>
      <c r="AI190" s="685"/>
      <c r="AJ190" s="685"/>
      <c r="AK190" s="685"/>
      <c r="AL190" s="685"/>
      <c r="AM190" s="685"/>
      <c r="AN190" s="685"/>
      <c r="AO190" s="685"/>
      <c r="AP190" s="685"/>
      <c r="AQ190" s="685"/>
      <c r="AR190" s="685"/>
      <c r="AS190" s="685"/>
      <c r="AT190" s="685"/>
      <c r="AU190" s="685"/>
      <c r="AV190" s="685"/>
      <c r="AW190" s="685"/>
      <c r="AX190" s="685"/>
      <c r="AY190" s="685"/>
      <c r="AZ190" s="685"/>
      <c r="BA190" s="685"/>
      <c r="BB190" s="685"/>
      <c r="BC190" s="685"/>
      <c r="BN190" s="685"/>
      <c r="BO190" s="685"/>
      <c r="BP190" s="685"/>
      <c r="BR190" s="685"/>
      <c r="BS190" s="685"/>
      <c r="BU190" s="685"/>
    </row>
    <row r="191" spans="1:73">
      <c r="A191" s="685"/>
      <c r="B191" s="685"/>
      <c r="C191" s="685"/>
      <c r="D191" s="685"/>
      <c r="E191" s="685"/>
      <c r="F191" s="685"/>
      <c r="G191" s="685"/>
      <c r="H191" s="685"/>
      <c r="I191" s="685"/>
      <c r="J191" s="685"/>
      <c r="K191" s="685"/>
      <c r="L191" s="685"/>
      <c r="M191" s="685"/>
      <c r="N191" s="685"/>
      <c r="O191" s="685"/>
      <c r="P191" s="685"/>
      <c r="Q191" s="685"/>
      <c r="R191" s="685"/>
      <c r="S191" s="685"/>
      <c r="T191" s="685"/>
      <c r="U191" s="685"/>
      <c r="V191" s="685"/>
      <c r="W191" s="685"/>
      <c r="X191" s="685"/>
      <c r="Y191" s="685"/>
      <c r="Z191" s="685"/>
      <c r="AA191" s="685"/>
      <c r="AB191" s="685"/>
      <c r="AC191" s="685"/>
      <c r="AD191" s="685"/>
      <c r="AE191" s="685"/>
      <c r="AF191" s="115"/>
      <c r="AG191" s="115"/>
      <c r="AH191" s="685"/>
      <c r="AI191" s="685"/>
      <c r="AJ191" s="685"/>
      <c r="AK191" s="685"/>
      <c r="AL191" s="685"/>
      <c r="AM191" s="685"/>
      <c r="AN191" s="685"/>
      <c r="AO191" s="685"/>
      <c r="AP191" s="685"/>
      <c r="AQ191" s="685"/>
      <c r="AR191" s="685"/>
      <c r="AS191" s="685"/>
      <c r="AT191" s="685"/>
      <c r="AU191" s="685"/>
      <c r="AV191" s="685"/>
      <c r="AW191" s="685"/>
      <c r="AX191" s="685"/>
      <c r="AY191" s="685"/>
      <c r="AZ191" s="685"/>
      <c r="BA191" s="685"/>
      <c r="BB191" s="685"/>
      <c r="BC191" s="685"/>
      <c r="BN191" s="685"/>
      <c r="BO191" s="685"/>
      <c r="BP191" s="685"/>
      <c r="BR191" s="685"/>
      <c r="BS191" s="685"/>
      <c r="BU191" s="685"/>
    </row>
    <row r="192" spans="1:73">
      <c r="A192" s="685"/>
      <c r="B192" s="685"/>
      <c r="C192" s="685"/>
      <c r="D192" s="685"/>
      <c r="E192" s="685"/>
      <c r="F192" s="685"/>
      <c r="G192" s="685"/>
      <c r="H192" s="795"/>
      <c r="I192" s="795"/>
      <c r="J192" s="795"/>
      <c r="K192" s="795"/>
      <c r="L192" s="795"/>
      <c r="M192" s="795"/>
      <c r="N192" s="795"/>
      <c r="O192" s="795"/>
      <c r="P192" s="795"/>
      <c r="Q192" s="795"/>
      <c r="R192" s="795"/>
      <c r="S192" s="795"/>
      <c r="T192" s="795"/>
      <c r="U192" s="795"/>
      <c r="V192" s="795"/>
      <c r="W192" s="795"/>
      <c r="X192" s="795"/>
      <c r="Y192" s="795"/>
      <c r="Z192" s="795"/>
      <c r="AA192" s="685"/>
      <c r="AB192" s="685"/>
      <c r="AC192" s="685"/>
      <c r="AD192" s="685"/>
      <c r="AE192" s="685"/>
      <c r="AF192" s="115"/>
      <c r="AG192" s="115"/>
      <c r="AH192" s="685"/>
      <c r="AI192" s="685"/>
      <c r="AJ192" s="685"/>
      <c r="AK192" s="685"/>
      <c r="AL192" s="685"/>
      <c r="AM192" s="685"/>
      <c r="AN192" s="685"/>
      <c r="AO192" s="685"/>
      <c r="AP192" s="685"/>
      <c r="AQ192" s="685"/>
      <c r="AR192" s="685"/>
      <c r="AS192" s="685"/>
      <c r="AT192" s="685"/>
      <c r="AU192" s="685"/>
      <c r="AV192" s="685"/>
      <c r="AW192" s="685"/>
      <c r="AX192" s="685"/>
      <c r="AY192" s="685"/>
      <c r="AZ192" s="685"/>
      <c r="BA192" s="685"/>
      <c r="BB192" s="685"/>
      <c r="BC192" s="685"/>
      <c r="BN192" s="685"/>
      <c r="BO192" s="685"/>
      <c r="BP192" s="795"/>
      <c r="BR192" s="795"/>
      <c r="BS192" s="795"/>
      <c r="BU192" s="685"/>
    </row>
    <row r="193" spans="1:73">
      <c r="A193" s="685"/>
      <c r="B193" s="685"/>
      <c r="C193" s="685"/>
      <c r="D193" s="685"/>
      <c r="E193" s="685"/>
      <c r="F193" s="685"/>
      <c r="G193" s="685"/>
      <c r="H193" s="685"/>
      <c r="I193" s="685"/>
      <c r="J193" s="685"/>
      <c r="K193" s="685"/>
      <c r="L193" s="685"/>
      <c r="M193" s="685"/>
      <c r="N193" s="685"/>
      <c r="O193" s="685"/>
      <c r="P193" s="685"/>
      <c r="Q193" s="685"/>
      <c r="R193" s="685"/>
      <c r="S193" s="685"/>
      <c r="T193" s="685"/>
      <c r="U193" s="685"/>
      <c r="V193" s="685"/>
      <c r="W193" s="685"/>
      <c r="X193" s="685"/>
      <c r="Y193" s="685"/>
      <c r="Z193" s="685"/>
      <c r="AA193" s="685"/>
      <c r="AB193" s="685"/>
      <c r="AC193" s="685"/>
      <c r="AD193" s="685"/>
      <c r="AE193" s="685"/>
      <c r="AF193" s="115"/>
      <c r="AG193" s="115"/>
      <c r="AH193" s="685"/>
      <c r="AI193" s="685"/>
      <c r="AJ193" s="685"/>
      <c r="AK193" s="685"/>
      <c r="AL193" s="685"/>
      <c r="AM193" s="685"/>
      <c r="AN193" s="685"/>
      <c r="AO193" s="685"/>
      <c r="AP193" s="685"/>
      <c r="AQ193" s="685"/>
      <c r="AR193" s="685"/>
      <c r="AS193" s="685"/>
      <c r="AT193" s="685"/>
      <c r="AU193" s="685"/>
      <c r="AV193" s="685"/>
      <c r="AW193" s="685"/>
      <c r="AX193" s="685"/>
      <c r="AY193" s="685"/>
      <c r="AZ193" s="685"/>
      <c r="BA193" s="685"/>
      <c r="BB193" s="685"/>
      <c r="BC193" s="685"/>
      <c r="BN193" s="685"/>
      <c r="BO193" s="685"/>
      <c r="BP193" s="685"/>
      <c r="BR193" s="685"/>
      <c r="BS193" s="685"/>
      <c r="BU193" s="685"/>
    </row>
    <row r="194" spans="1:73">
      <c r="A194" s="685"/>
      <c r="B194" s="685"/>
      <c r="C194" s="685"/>
      <c r="D194" s="685"/>
      <c r="E194" s="685"/>
      <c r="F194" s="685"/>
      <c r="G194" s="685"/>
      <c r="H194" s="685"/>
      <c r="I194" s="685"/>
      <c r="J194" s="685"/>
      <c r="K194" s="685"/>
      <c r="L194" s="685"/>
      <c r="M194" s="685"/>
      <c r="N194" s="685"/>
      <c r="O194" s="685"/>
      <c r="P194" s="685"/>
      <c r="Q194" s="685"/>
      <c r="R194" s="685"/>
      <c r="S194" s="685"/>
      <c r="T194" s="685"/>
      <c r="U194" s="685"/>
      <c r="V194" s="685"/>
      <c r="W194" s="685"/>
      <c r="X194" s="685"/>
      <c r="Y194" s="685"/>
      <c r="Z194" s="685"/>
      <c r="AA194" s="685"/>
      <c r="AB194" s="685"/>
      <c r="AC194" s="685"/>
      <c r="AD194" s="685"/>
      <c r="AE194" s="685"/>
      <c r="AF194" s="115"/>
      <c r="AG194" s="115"/>
      <c r="AH194" s="685"/>
      <c r="AI194" s="685"/>
      <c r="AJ194" s="685"/>
      <c r="AK194" s="685"/>
      <c r="AL194" s="685"/>
      <c r="AM194" s="685"/>
      <c r="AN194" s="685"/>
      <c r="AO194" s="685"/>
      <c r="AP194" s="685"/>
      <c r="AQ194" s="685"/>
      <c r="AR194" s="685"/>
      <c r="AS194" s="685"/>
      <c r="AT194" s="685"/>
      <c r="AU194" s="685"/>
      <c r="AV194" s="685"/>
      <c r="AW194" s="685"/>
      <c r="AX194" s="685"/>
      <c r="AY194" s="685"/>
      <c r="AZ194" s="685"/>
      <c r="BA194" s="685"/>
      <c r="BB194" s="685"/>
      <c r="BC194" s="685"/>
      <c r="BN194" s="685"/>
      <c r="BO194" s="685"/>
      <c r="BP194" s="685"/>
      <c r="BR194" s="685"/>
      <c r="BS194" s="685"/>
      <c r="BU194" s="685"/>
    </row>
    <row r="195" spans="1:73">
      <c r="A195" s="685"/>
      <c r="B195" s="685"/>
      <c r="C195" s="685"/>
      <c r="D195" s="685"/>
      <c r="E195" s="685"/>
      <c r="F195" s="685"/>
      <c r="G195" s="685"/>
      <c r="H195" s="685"/>
      <c r="I195" s="685"/>
      <c r="J195" s="685"/>
      <c r="K195" s="685"/>
      <c r="L195" s="685"/>
      <c r="M195" s="685"/>
      <c r="N195" s="685"/>
      <c r="O195" s="685"/>
      <c r="P195" s="685"/>
      <c r="Q195" s="685"/>
      <c r="R195" s="685"/>
      <c r="S195" s="685"/>
      <c r="T195" s="685"/>
      <c r="U195" s="685"/>
      <c r="V195" s="685"/>
      <c r="W195" s="685"/>
      <c r="X195" s="685"/>
      <c r="Y195" s="685"/>
      <c r="Z195" s="685"/>
      <c r="AA195" s="685"/>
      <c r="AB195" s="685"/>
      <c r="AC195" s="685"/>
      <c r="AD195" s="685"/>
      <c r="AE195" s="685"/>
      <c r="AF195" s="115"/>
      <c r="AG195" s="115"/>
      <c r="AH195" s="685"/>
      <c r="AI195" s="685"/>
      <c r="AJ195" s="685"/>
      <c r="AK195" s="685"/>
      <c r="AL195" s="685"/>
      <c r="AM195" s="685"/>
      <c r="AN195" s="685"/>
      <c r="AO195" s="685"/>
      <c r="AP195" s="685"/>
      <c r="AQ195" s="685"/>
      <c r="AR195" s="685"/>
      <c r="AS195" s="685"/>
      <c r="AT195" s="685"/>
      <c r="AU195" s="685"/>
      <c r="AV195" s="685"/>
      <c r="AW195" s="685"/>
      <c r="AX195" s="685"/>
      <c r="AY195" s="685"/>
      <c r="AZ195" s="685"/>
      <c r="BA195" s="685"/>
      <c r="BB195" s="685"/>
      <c r="BC195" s="685"/>
      <c r="BN195" s="685"/>
      <c r="BO195" s="685"/>
      <c r="BP195" s="685"/>
      <c r="BR195" s="685"/>
      <c r="BS195" s="685"/>
      <c r="BU195" s="685"/>
    </row>
    <row r="203" spans="1:73">
      <c r="A203" s="685"/>
      <c r="B203" s="685"/>
      <c r="C203" s="685"/>
      <c r="D203" s="685"/>
      <c r="E203" s="685"/>
      <c r="F203" s="685"/>
      <c r="G203" s="685"/>
      <c r="H203" s="685"/>
      <c r="I203" s="685"/>
      <c r="J203" s="685"/>
      <c r="K203" s="685"/>
      <c r="L203" s="685"/>
      <c r="M203" s="685"/>
      <c r="N203" s="685"/>
      <c r="O203" s="685"/>
      <c r="P203" s="685"/>
      <c r="Q203" s="685"/>
      <c r="R203" s="685"/>
      <c r="S203" s="685"/>
      <c r="T203" s="685"/>
      <c r="U203" s="685"/>
      <c r="V203" s="685"/>
      <c r="W203" s="685"/>
      <c r="X203" s="685"/>
      <c r="Y203" s="685"/>
      <c r="Z203" s="685"/>
      <c r="AA203" s="685"/>
      <c r="AB203" s="685"/>
      <c r="AC203" s="685"/>
      <c r="AD203" s="685"/>
      <c r="AE203" s="685"/>
      <c r="AF203" s="115"/>
      <c r="AG203" s="115"/>
      <c r="AH203" s="685"/>
      <c r="AI203" s="685"/>
      <c r="AJ203" s="685"/>
      <c r="AK203" s="685"/>
      <c r="AL203" s="685"/>
      <c r="AM203" s="685"/>
      <c r="AN203" s="685"/>
      <c r="AO203" s="685"/>
      <c r="AP203" s="685"/>
      <c r="AQ203" s="685"/>
      <c r="AR203" s="685"/>
      <c r="AS203" s="685"/>
      <c r="AT203" s="685"/>
      <c r="AU203" s="685"/>
      <c r="AV203" s="685"/>
      <c r="AW203" s="685"/>
      <c r="AX203" s="685"/>
      <c r="AY203" s="685"/>
      <c r="AZ203" s="685"/>
      <c r="BA203" s="685"/>
      <c r="BB203" s="685"/>
      <c r="BC203" s="685"/>
      <c r="BN203" s="685"/>
      <c r="BO203" s="685"/>
      <c r="BP203" s="685"/>
      <c r="BR203" s="685"/>
      <c r="BS203" s="685"/>
      <c r="BU203" s="685"/>
    </row>
    <row r="204" spans="1:73">
      <c r="A204" s="685"/>
      <c r="B204" s="685"/>
      <c r="C204" s="685"/>
      <c r="D204" s="685"/>
      <c r="E204" s="685"/>
      <c r="F204" s="685"/>
      <c r="G204" s="685"/>
      <c r="H204" s="685"/>
      <c r="I204" s="685"/>
      <c r="J204" s="685"/>
      <c r="K204" s="685"/>
      <c r="L204" s="685"/>
      <c r="M204" s="685"/>
      <c r="N204" s="685"/>
      <c r="O204" s="685"/>
      <c r="P204" s="685"/>
      <c r="Q204" s="685"/>
      <c r="R204" s="685"/>
      <c r="S204" s="685"/>
      <c r="T204" s="685"/>
      <c r="U204" s="685"/>
      <c r="V204" s="685"/>
      <c r="W204" s="685"/>
      <c r="X204" s="685"/>
      <c r="Y204" s="685"/>
      <c r="Z204" s="685"/>
      <c r="AA204" s="685"/>
      <c r="AB204" s="685"/>
      <c r="AC204" s="685"/>
      <c r="AD204" s="685"/>
      <c r="AE204" s="685"/>
      <c r="AF204" s="115"/>
      <c r="AG204" s="115"/>
      <c r="AH204" s="685"/>
      <c r="AI204" s="685"/>
      <c r="AJ204" s="685"/>
      <c r="AK204" s="685"/>
      <c r="AL204" s="685"/>
      <c r="AM204" s="685"/>
      <c r="AN204" s="685"/>
      <c r="AO204" s="685"/>
      <c r="AP204" s="685"/>
      <c r="AQ204" s="685"/>
      <c r="AR204" s="685"/>
      <c r="AS204" s="685"/>
      <c r="AT204" s="685"/>
      <c r="AU204" s="685"/>
      <c r="AV204" s="685"/>
      <c r="AW204" s="685"/>
      <c r="AX204" s="685"/>
      <c r="AY204" s="685"/>
      <c r="AZ204" s="685"/>
      <c r="BA204" s="685"/>
      <c r="BB204" s="685"/>
      <c r="BC204" s="685"/>
      <c r="BN204" s="685"/>
      <c r="BO204" s="685"/>
      <c r="BP204" s="685"/>
      <c r="BR204" s="685"/>
      <c r="BS204" s="685"/>
      <c r="BU204" s="685"/>
    </row>
    <row r="205" spans="1:73">
      <c r="A205" s="685"/>
      <c r="B205" s="685"/>
      <c r="C205" s="685"/>
      <c r="D205" s="685"/>
      <c r="E205" s="685"/>
      <c r="F205" s="685"/>
      <c r="G205" s="685"/>
      <c r="H205" s="685"/>
      <c r="I205" s="685"/>
      <c r="J205" s="685"/>
      <c r="K205" s="685"/>
      <c r="L205" s="685"/>
      <c r="M205" s="685"/>
      <c r="N205" s="685"/>
      <c r="O205" s="685"/>
      <c r="P205" s="685"/>
      <c r="Q205" s="685"/>
      <c r="R205" s="685"/>
      <c r="S205" s="685"/>
      <c r="T205" s="685"/>
      <c r="U205" s="685"/>
      <c r="V205" s="685"/>
      <c r="W205" s="685"/>
      <c r="X205" s="685"/>
      <c r="Y205" s="685"/>
      <c r="Z205" s="685"/>
      <c r="AA205" s="685"/>
      <c r="AB205" s="685"/>
      <c r="AC205" s="685"/>
      <c r="AD205" s="685"/>
      <c r="AE205" s="685"/>
      <c r="AF205" s="115"/>
      <c r="AG205" s="115"/>
      <c r="AH205" s="685"/>
      <c r="AI205" s="685"/>
      <c r="AJ205" s="685"/>
      <c r="AK205" s="685"/>
      <c r="AL205" s="685"/>
      <c r="AM205" s="685"/>
      <c r="AN205" s="685"/>
      <c r="AO205" s="685"/>
      <c r="AP205" s="685"/>
      <c r="AQ205" s="685"/>
      <c r="AR205" s="685"/>
      <c r="AS205" s="685"/>
      <c r="AT205" s="685"/>
      <c r="AU205" s="685"/>
      <c r="AV205" s="685"/>
      <c r="AW205" s="685"/>
      <c r="AX205" s="685"/>
      <c r="AY205" s="685"/>
      <c r="AZ205" s="685"/>
      <c r="BA205" s="685"/>
      <c r="BB205" s="685"/>
      <c r="BC205" s="685"/>
      <c r="BN205" s="685"/>
      <c r="BO205" s="685"/>
      <c r="BP205" s="685"/>
      <c r="BR205" s="685"/>
      <c r="BS205" s="685"/>
      <c r="BU205" s="685"/>
    </row>
    <row r="206" spans="1:73">
      <c r="A206" s="685"/>
      <c r="B206" s="685"/>
      <c r="C206" s="685"/>
      <c r="D206" s="685"/>
      <c r="E206" s="685"/>
      <c r="F206" s="685"/>
      <c r="G206" s="685"/>
      <c r="H206" s="685"/>
      <c r="I206" s="685"/>
      <c r="J206" s="685"/>
      <c r="K206" s="685"/>
      <c r="L206" s="685"/>
      <c r="M206" s="685"/>
      <c r="N206" s="685"/>
      <c r="O206" s="685"/>
      <c r="P206" s="685"/>
      <c r="Q206" s="685"/>
      <c r="R206" s="685"/>
      <c r="S206" s="685"/>
      <c r="T206" s="685"/>
      <c r="U206" s="685"/>
      <c r="V206" s="685"/>
      <c r="W206" s="685"/>
      <c r="X206" s="685"/>
      <c r="Y206" s="685"/>
      <c r="Z206" s="685"/>
      <c r="AA206" s="685"/>
      <c r="AB206" s="685"/>
      <c r="AC206" s="685"/>
      <c r="AD206" s="685"/>
      <c r="AE206" s="685"/>
      <c r="AF206" s="115"/>
      <c r="AG206" s="115"/>
      <c r="AH206" s="685"/>
      <c r="AI206" s="685"/>
      <c r="AJ206" s="685"/>
      <c r="AK206" s="685"/>
      <c r="AL206" s="685"/>
      <c r="AM206" s="685"/>
      <c r="AN206" s="685"/>
      <c r="AO206" s="685"/>
      <c r="AP206" s="685"/>
      <c r="AQ206" s="685"/>
      <c r="AR206" s="685"/>
      <c r="AS206" s="685"/>
      <c r="AT206" s="685"/>
      <c r="AU206" s="685"/>
      <c r="AV206" s="685"/>
      <c r="AW206" s="685"/>
      <c r="AX206" s="685"/>
      <c r="AY206" s="685"/>
      <c r="AZ206" s="685"/>
      <c r="BA206" s="685"/>
      <c r="BB206" s="685"/>
      <c r="BC206" s="685"/>
      <c r="BN206" s="685"/>
      <c r="BO206" s="685"/>
      <c r="BP206" s="685"/>
      <c r="BR206" s="685"/>
      <c r="BS206" s="685"/>
      <c r="BU206" s="685"/>
    </row>
    <row r="207" spans="1:73">
      <c r="A207" s="685"/>
      <c r="B207" s="685"/>
      <c r="C207" s="685"/>
      <c r="D207" s="685"/>
      <c r="E207" s="685"/>
      <c r="F207" s="685"/>
      <c r="G207" s="685"/>
      <c r="H207" s="685"/>
      <c r="I207" s="685"/>
      <c r="J207" s="685"/>
      <c r="K207" s="685"/>
      <c r="L207" s="685"/>
      <c r="M207" s="685"/>
      <c r="N207" s="685"/>
      <c r="O207" s="685"/>
      <c r="P207" s="685"/>
      <c r="Q207" s="685"/>
      <c r="R207" s="685"/>
      <c r="S207" s="685"/>
      <c r="T207" s="685"/>
      <c r="U207" s="685"/>
      <c r="V207" s="685"/>
      <c r="W207" s="685"/>
      <c r="X207" s="685"/>
      <c r="Y207" s="685"/>
      <c r="Z207" s="685"/>
      <c r="AA207" s="685"/>
      <c r="AB207" s="685"/>
      <c r="AC207" s="685"/>
      <c r="AD207" s="685"/>
      <c r="AE207" s="685"/>
      <c r="AF207" s="115"/>
      <c r="AG207" s="115"/>
      <c r="AH207" s="685"/>
      <c r="AI207" s="685"/>
      <c r="AJ207" s="685"/>
      <c r="AK207" s="685"/>
      <c r="AL207" s="685"/>
      <c r="AM207" s="685"/>
      <c r="AN207" s="685"/>
      <c r="AO207" s="685"/>
      <c r="AP207" s="685"/>
      <c r="AQ207" s="685"/>
      <c r="AR207" s="685"/>
      <c r="AS207" s="685"/>
      <c r="AT207" s="685"/>
      <c r="AU207" s="685"/>
      <c r="AV207" s="685"/>
      <c r="AW207" s="685"/>
      <c r="AX207" s="685"/>
      <c r="AY207" s="685"/>
      <c r="AZ207" s="685"/>
      <c r="BA207" s="685"/>
      <c r="BB207" s="685"/>
      <c r="BC207" s="685"/>
      <c r="BN207" s="685"/>
      <c r="BO207" s="685"/>
      <c r="BP207" s="685"/>
      <c r="BR207" s="685"/>
      <c r="BS207" s="685"/>
      <c r="BU207" s="685"/>
    </row>
    <row r="208" spans="1:73">
      <c r="A208" s="685"/>
      <c r="B208" s="685"/>
      <c r="C208" s="685"/>
      <c r="D208" s="685"/>
      <c r="E208" s="685"/>
      <c r="F208" s="685"/>
      <c r="G208" s="685"/>
      <c r="H208" s="685"/>
      <c r="I208" s="685"/>
      <c r="J208" s="685"/>
      <c r="K208" s="685"/>
      <c r="L208" s="685"/>
      <c r="M208" s="685"/>
      <c r="N208" s="685"/>
      <c r="O208" s="685"/>
      <c r="P208" s="685"/>
      <c r="Q208" s="685"/>
      <c r="R208" s="685"/>
      <c r="S208" s="685"/>
      <c r="T208" s="685"/>
      <c r="U208" s="685"/>
      <c r="V208" s="685"/>
      <c r="W208" s="685"/>
      <c r="X208" s="685"/>
      <c r="Y208" s="685"/>
      <c r="Z208" s="685"/>
      <c r="AA208" s="685"/>
      <c r="AB208" s="685"/>
      <c r="AC208" s="685"/>
      <c r="AD208" s="685"/>
      <c r="AE208" s="685"/>
      <c r="AF208" s="115"/>
      <c r="AG208" s="115"/>
      <c r="AH208" s="685"/>
      <c r="AI208" s="685"/>
      <c r="AJ208" s="685"/>
      <c r="AK208" s="685"/>
      <c r="AL208" s="685"/>
      <c r="AM208" s="685"/>
      <c r="AN208" s="685"/>
      <c r="AO208" s="685"/>
      <c r="AP208" s="685"/>
      <c r="AQ208" s="685"/>
      <c r="AR208" s="685"/>
      <c r="AS208" s="685"/>
      <c r="AT208" s="685"/>
      <c r="AU208" s="685"/>
      <c r="AV208" s="685"/>
      <c r="AW208" s="685"/>
      <c r="AX208" s="685"/>
      <c r="AY208" s="685"/>
      <c r="AZ208" s="685"/>
      <c r="BA208" s="685"/>
      <c r="BB208" s="685"/>
      <c r="BC208" s="685"/>
      <c r="BN208" s="685"/>
      <c r="BO208" s="685"/>
      <c r="BP208" s="685"/>
      <c r="BR208" s="685"/>
      <c r="BS208" s="685"/>
      <c r="BU208" s="685"/>
    </row>
    <row r="209" spans="1:73">
      <c r="A209" s="685"/>
      <c r="B209" s="685"/>
      <c r="C209" s="685"/>
      <c r="D209" s="685"/>
      <c r="E209" s="685"/>
      <c r="F209" s="685"/>
      <c r="G209" s="685"/>
      <c r="H209" s="685"/>
      <c r="I209" s="685"/>
      <c r="J209" s="685"/>
      <c r="K209" s="685"/>
      <c r="L209" s="685"/>
      <c r="M209" s="685"/>
      <c r="N209" s="685"/>
      <c r="O209" s="685"/>
      <c r="P209" s="685"/>
      <c r="Q209" s="685"/>
      <c r="R209" s="685"/>
      <c r="S209" s="685"/>
      <c r="T209" s="685"/>
      <c r="U209" s="685"/>
      <c r="V209" s="685"/>
      <c r="W209" s="685"/>
      <c r="X209" s="685"/>
      <c r="Y209" s="685"/>
      <c r="Z209" s="685"/>
      <c r="AA209" s="685"/>
      <c r="AB209" s="685"/>
      <c r="AC209" s="685"/>
      <c r="AD209" s="685"/>
      <c r="AE209" s="685"/>
      <c r="AF209" s="115"/>
      <c r="AG209" s="115"/>
      <c r="AH209" s="685"/>
      <c r="AI209" s="685"/>
      <c r="AJ209" s="685"/>
      <c r="AK209" s="685"/>
      <c r="AL209" s="685"/>
      <c r="AM209" s="685"/>
      <c r="AN209" s="685"/>
      <c r="AO209" s="685"/>
      <c r="AP209" s="685"/>
      <c r="AQ209" s="685"/>
      <c r="AR209" s="685"/>
      <c r="AS209" s="685"/>
      <c r="AT209" s="685"/>
      <c r="AU209" s="685"/>
      <c r="AV209" s="685"/>
      <c r="AW209" s="685"/>
      <c r="AX209" s="685"/>
      <c r="AY209" s="685"/>
      <c r="AZ209" s="685"/>
      <c r="BA209" s="685"/>
      <c r="BB209" s="685"/>
      <c r="BC209" s="685"/>
      <c r="BN209" s="685"/>
      <c r="BO209" s="685"/>
      <c r="BP209" s="685"/>
      <c r="BR209" s="685"/>
      <c r="BS209" s="685"/>
      <c r="BU209" s="685"/>
    </row>
    <row r="210" spans="1:73">
      <c r="A210" s="685"/>
      <c r="B210" s="685"/>
      <c r="C210" s="685"/>
      <c r="D210" s="685"/>
      <c r="E210" s="685"/>
      <c r="F210" s="685"/>
      <c r="G210" s="685"/>
      <c r="H210" s="685"/>
      <c r="I210" s="685"/>
      <c r="J210" s="685"/>
      <c r="K210" s="685"/>
      <c r="L210" s="685"/>
      <c r="M210" s="685"/>
      <c r="N210" s="685"/>
      <c r="O210" s="685"/>
      <c r="P210" s="685"/>
      <c r="Q210" s="685"/>
      <c r="R210" s="685"/>
      <c r="S210" s="685"/>
      <c r="T210" s="685"/>
      <c r="U210" s="685"/>
      <c r="V210" s="685"/>
      <c r="W210" s="685"/>
      <c r="X210" s="685"/>
      <c r="Y210" s="685"/>
      <c r="Z210" s="685"/>
      <c r="AA210" s="685"/>
      <c r="AB210" s="685"/>
      <c r="AC210" s="685"/>
      <c r="AD210" s="685"/>
      <c r="AE210" s="685"/>
      <c r="AF210" s="115"/>
      <c r="AG210" s="115"/>
      <c r="AH210" s="685"/>
      <c r="AI210" s="685"/>
      <c r="AJ210" s="685"/>
      <c r="AK210" s="685"/>
      <c r="AL210" s="685"/>
      <c r="AM210" s="685"/>
      <c r="AN210" s="685"/>
      <c r="AO210" s="685"/>
      <c r="AP210" s="685"/>
      <c r="AQ210" s="685"/>
      <c r="AR210" s="685"/>
      <c r="AS210" s="685"/>
      <c r="AT210" s="685"/>
      <c r="AU210" s="685"/>
      <c r="AV210" s="685"/>
      <c r="AW210" s="685"/>
      <c r="AX210" s="685"/>
      <c r="AY210" s="685"/>
      <c r="AZ210" s="685"/>
      <c r="BA210" s="685"/>
      <c r="BB210" s="685"/>
      <c r="BC210" s="685"/>
      <c r="BN210" s="685"/>
      <c r="BO210" s="685"/>
      <c r="BP210" s="685"/>
      <c r="BR210" s="685"/>
      <c r="BS210" s="685"/>
      <c r="BU210" s="685"/>
    </row>
    <row r="211" spans="1:73">
      <c r="A211" s="685"/>
      <c r="B211" s="685"/>
      <c r="C211" s="685"/>
      <c r="D211" s="685"/>
      <c r="E211" s="685"/>
      <c r="F211" s="685"/>
      <c r="G211" s="685"/>
      <c r="H211" s="685"/>
      <c r="I211" s="685"/>
      <c r="J211" s="685"/>
      <c r="K211" s="685"/>
      <c r="L211" s="685"/>
      <c r="M211" s="685"/>
      <c r="N211" s="685"/>
      <c r="O211" s="685"/>
      <c r="P211" s="685"/>
      <c r="Q211" s="685"/>
      <c r="R211" s="685"/>
      <c r="S211" s="685"/>
      <c r="T211" s="685"/>
      <c r="U211" s="685"/>
      <c r="V211" s="685"/>
      <c r="W211" s="685"/>
      <c r="X211" s="685"/>
      <c r="Y211" s="685"/>
      <c r="Z211" s="685"/>
      <c r="AA211" s="685"/>
      <c r="AB211" s="685"/>
      <c r="AC211" s="685"/>
      <c r="AD211" s="685"/>
      <c r="AE211" s="685"/>
      <c r="AF211" s="115"/>
      <c r="AG211" s="115"/>
      <c r="AH211" s="685"/>
      <c r="AI211" s="685"/>
      <c r="AJ211" s="685"/>
      <c r="AK211" s="685"/>
      <c r="AL211" s="685"/>
      <c r="AM211" s="685"/>
      <c r="AN211" s="685"/>
      <c r="AO211" s="685"/>
      <c r="AP211" s="685"/>
      <c r="AQ211" s="685"/>
      <c r="AR211" s="685"/>
      <c r="AS211" s="685"/>
      <c r="AT211" s="685"/>
      <c r="AU211" s="685"/>
      <c r="AV211" s="685"/>
      <c r="AW211" s="685"/>
      <c r="AX211" s="685"/>
      <c r="AY211" s="685"/>
      <c r="AZ211" s="685"/>
      <c r="BA211" s="685"/>
      <c r="BB211" s="685"/>
      <c r="BC211" s="685"/>
      <c r="BN211" s="685"/>
      <c r="BO211" s="685"/>
      <c r="BP211" s="685"/>
      <c r="BR211" s="685"/>
      <c r="BS211" s="685"/>
      <c r="BU211" s="685"/>
    </row>
    <row r="212" spans="1:73">
      <c r="A212" s="685"/>
      <c r="B212" s="685"/>
      <c r="C212" s="685"/>
      <c r="D212" s="685"/>
      <c r="E212" s="685"/>
      <c r="F212" s="685"/>
      <c r="G212" s="685"/>
      <c r="H212" s="685"/>
      <c r="I212" s="685"/>
      <c r="J212" s="685"/>
      <c r="K212" s="685"/>
      <c r="L212" s="685"/>
      <c r="M212" s="685"/>
      <c r="N212" s="685"/>
      <c r="O212" s="685"/>
      <c r="P212" s="685"/>
      <c r="Q212" s="685"/>
      <c r="R212" s="685"/>
      <c r="S212" s="685"/>
      <c r="T212" s="685"/>
      <c r="U212" s="685"/>
      <c r="V212" s="685"/>
      <c r="W212" s="685"/>
      <c r="X212" s="685"/>
      <c r="Y212" s="685"/>
      <c r="Z212" s="685"/>
      <c r="AA212" s="685"/>
      <c r="AB212" s="685"/>
      <c r="AC212" s="685"/>
      <c r="AD212" s="685"/>
      <c r="AE212" s="685"/>
      <c r="AF212" s="115"/>
      <c r="AG212" s="115"/>
      <c r="AH212" s="685"/>
      <c r="AI212" s="685"/>
      <c r="AJ212" s="685"/>
      <c r="AK212" s="685"/>
      <c r="AL212" s="685"/>
      <c r="AM212" s="685"/>
      <c r="AN212" s="685"/>
      <c r="AO212" s="685"/>
      <c r="AP212" s="685"/>
      <c r="AQ212" s="685"/>
      <c r="AR212" s="685"/>
      <c r="AS212" s="685"/>
      <c r="AT212" s="685"/>
      <c r="AU212" s="685"/>
      <c r="AV212" s="685"/>
      <c r="AW212" s="685"/>
      <c r="AX212" s="685"/>
      <c r="AY212" s="685"/>
      <c r="AZ212" s="685"/>
      <c r="BA212" s="685"/>
      <c r="BB212" s="685"/>
      <c r="BC212" s="685"/>
      <c r="BN212" s="685"/>
      <c r="BO212" s="685"/>
      <c r="BP212" s="685"/>
      <c r="BR212" s="685"/>
      <c r="BS212" s="685"/>
      <c r="BU212" s="685"/>
    </row>
    <row r="213" spans="1:73">
      <c r="A213" s="685"/>
      <c r="B213" s="685"/>
      <c r="C213" s="685"/>
      <c r="D213" s="685"/>
      <c r="E213" s="685"/>
      <c r="F213" s="685"/>
      <c r="G213" s="685"/>
      <c r="H213" s="685"/>
      <c r="I213" s="685"/>
      <c r="J213" s="685"/>
      <c r="K213" s="685"/>
      <c r="L213" s="685"/>
      <c r="M213" s="685"/>
      <c r="N213" s="685"/>
      <c r="O213" s="685"/>
      <c r="P213" s="685"/>
      <c r="Q213" s="685"/>
      <c r="R213" s="685"/>
      <c r="S213" s="685"/>
      <c r="T213" s="685"/>
      <c r="U213" s="685"/>
      <c r="V213" s="685"/>
      <c r="W213" s="685"/>
      <c r="X213" s="685"/>
      <c r="Y213" s="685"/>
      <c r="Z213" s="685"/>
      <c r="AA213" s="685"/>
      <c r="AB213" s="685"/>
      <c r="AC213" s="685"/>
      <c r="AD213" s="685"/>
      <c r="AE213" s="685"/>
      <c r="AF213" s="115"/>
      <c r="AG213" s="115"/>
      <c r="AH213" s="685"/>
      <c r="AI213" s="685"/>
      <c r="AJ213" s="685"/>
      <c r="AK213" s="685"/>
      <c r="AL213" s="685"/>
      <c r="AM213" s="685"/>
      <c r="AN213" s="685"/>
      <c r="AO213" s="685"/>
      <c r="AP213" s="685"/>
      <c r="AQ213" s="685"/>
      <c r="AR213" s="685"/>
      <c r="AS213" s="685"/>
      <c r="AT213" s="685"/>
      <c r="AU213" s="685"/>
      <c r="AV213" s="685"/>
      <c r="AW213" s="685"/>
      <c r="AX213" s="685"/>
      <c r="AY213" s="685"/>
      <c r="AZ213" s="685"/>
      <c r="BA213" s="685"/>
      <c r="BB213" s="685"/>
      <c r="BC213" s="685"/>
      <c r="BN213" s="685"/>
      <c r="BO213" s="685"/>
      <c r="BP213" s="685"/>
      <c r="BR213" s="685"/>
      <c r="BS213" s="685"/>
      <c r="BU213" s="685"/>
    </row>
    <row r="214" spans="1:73">
      <c r="A214" s="685"/>
      <c r="B214" s="685"/>
      <c r="C214" s="685"/>
      <c r="D214" s="685"/>
      <c r="E214" s="685"/>
      <c r="F214" s="685"/>
      <c r="G214" s="685"/>
      <c r="H214" s="685"/>
      <c r="I214" s="685"/>
      <c r="J214" s="685"/>
      <c r="K214" s="685"/>
      <c r="L214" s="685"/>
      <c r="M214" s="685"/>
      <c r="N214" s="685"/>
      <c r="O214" s="685"/>
      <c r="P214" s="685"/>
      <c r="Q214" s="685"/>
      <c r="R214" s="685"/>
      <c r="S214" s="685"/>
      <c r="T214" s="685"/>
      <c r="U214" s="685"/>
      <c r="V214" s="685"/>
      <c r="W214" s="685"/>
      <c r="X214" s="685"/>
      <c r="Y214" s="685"/>
      <c r="Z214" s="685"/>
      <c r="AA214" s="685"/>
      <c r="AB214" s="685"/>
      <c r="AC214" s="685"/>
      <c r="AD214" s="685"/>
      <c r="AE214" s="685"/>
      <c r="AF214" s="115"/>
      <c r="AG214" s="115"/>
      <c r="AH214" s="685"/>
      <c r="AI214" s="685"/>
      <c r="AJ214" s="685"/>
      <c r="AK214" s="685"/>
      <c r="AL214" s="685"/>
      <c r="AM214" s="685"/>
      <c r="AN214" s="685"/>
      <c r="AO214" s="685"/>
      <c r="AP214" s="685"/>
      <c r="AQ214" s="685"/>
      <c r="AR214" s="685"/>
      <c r="AS214" s="685"/>
      <c r="AT214" s="685"/>
      <c r="AU214" s="685"/>
      <c r="AV214" s="685"/>
      <c r="AW214" s="685"/>
      <c r="AX214" s="685"/>
      <c r="AY214" s="685"/>
      <c r="AZ214" s="685"/>
      <c r="BA214" s="685"/>
      <c r="BB214" s="685"/>
      <c r="BC214" s="685"/>
      <c r="BN214" s="685"/>
      <c r="BO214" s="685"/>
      <c r="BP214" s="685"/>
      <c r="BR214" s="685"/>
      <c r="BS214" s="685"/>
      <c r="BU214" s="685"/>
    </row>
    <row r="215" spans="1:73">
      <c r="A215" s="685"/>
      <c r="B215" s="685"/>
      <c r="C215" s="685"/>
      <c r="D215" s="685"/>
      <c r="E215" s="685"/>
      <c r="F215" s="685"/>
      <c r="G215" s="685"/>
      <c r="H215" s="685"/>
      <c r="I215" s="685"/>
      <c r="J215" s="685"/>
      <c r="K215" s="685"/>
      <c r="L215" s="685"/>
      <c r="M215" s="685"/>
      <c r="N215" s="685"/>
      <c r="O215" s="685"/>
      <c r="P215" s="685"/>
      <c r="Q215" s="685"/>
      <c r="R215" s="685"/>
      <c r="S215" s="685"/>
      <c r="T215" s="685"/>
      <c r="U215" s="685"/>
      <c r="V215" s="685"/>
      <c r="W215" s="685"/>
      <c r="X215" s="685"/>
      <c r="Y215" s="685"/>
      <c r="Z215" s="685"/>
      <c r="AA215" s="685"/>
      <c r="AB215" s="685"/>
      <c r="AC215" s="685"/>
      <c r="AD215" s="685"/>
      <c r="AE215" s="685"/>
      <c r="AF215" s="115"/>
      <c r="AG215" s="115"/>
      <c r="AH215" s="685"/>
      <c r="AI215" s="685"/>
      <c r="AJ215" s="685"/>
      <c r="AK215" s="685"/>
      <c r="AL215" s="685"/>
      <c r="AM215" s="685"/>
      <c r="AN215" s="685"/>
      <c r="AO215" s="685"/>
      <c r="AP215" s="685"/>
      <c r="AQ215" s="685"/>
      <c r="AR215" s="685"/>
      <c r="AS215" s="685"/>
      <c r="AT215" s="685"/>
      <c r="AU215" s="685"/>
      <c r="AV215" s="685"/>
      <c r="AW215" s="685"/>
      <c r="AX215" s="685"/>
      <c r="AY215" s="685"/>
      <c r="AZ215" s="685"/>
      <c r="BA215" s="685"/>
      <c r="BB215" s="685"/>
      <c r="BC215" s="685"/>
      <c r="BN215" s="685"/>
      <c r="BO215" s="685"/>
      <c r="BP215" s="685"/>
      <c r="BR215" s="685"/>
      <c r="BS215" s="685"/>
      <c r="BU215" s="685"/>
    </row>
    <row r="216" spans="1:73">
      <c r="A216" s="685"/>
      <c r="B216" s="685"/>
      <c r="C216" s="685"/>
      <c r="D216" s="685"/>
      <c r="E216" s="685"/>
      <c r="F216" s="685"/>
      <c r="G216" s="685"/>
      <c r="H216" s="685"/>
      <c r="I216" s="685"/>
      <c r="J216" s="685"/>
      <c r="K216" s="685"/>
      <c r="L216" s="685"/>
      <c r="M216" s="685"/>
      <c r="N216" s="685"/>
      <c r="O216" s="685"/>
      <c r="P216" s="685"/>
      <c r="Q216" s="685"/>
      <c r="R216" s="685"/>
      <c r="S216" s="685"/>
      <c r="T216" s="685"/>
      <c r="U216" s="685"/>
      <c r="V216" s="685"/>
      <c r="W216" s="685"/>
      <c r="X216" s="685"/>
      <c r="Y216" s="685"/>
      <c r="Z216" s="685"/>
      <c r="AA216" s="685"/>
      <c r="AB216" s="685"/>
      <c r="AC216" s="685"/>
      <c r="AD216" s="685"/>
      <c r="AE216" s="685"/>
      <c r="AF216" s="115"/>
      <c r="AG216" s="115"/>
      <c r="AH216" s="685"/>
      <c r="AI216" s="685"/>
      <c r="AJ216" s="685"/>
      <c r="AK216" s="685"/>
      <c r="AL216" s="685"/>
      <c r="AM216" s="685"/>
      <c r="AN216" s="685"/>
      <c r="AO216" s="685"/>
      <c r="AP216" s="685"/>
      <c r="AQ216" s="685"/>
      <c r="AR216" s="685"/>
      <c r="AS216" s="685"/>
      <c r="AT216" s="685"/>
      <c r="AU216" s="685"/>
      <c r="AV216" s="685"/>
      <c r="AW216" s="685"/>
      <c r="AX216" s="685"/>
      <c r="AY216" s="685"/>
      <c r="AZ216" s="685"/>
      <c r="BA216" s="685"/>
      <c r="BB216" s="685"/>
      <c r="BC216" s="685"/>
      <c r="BN216" s="685"/>
      <c r="BO216" s="685"/>
      <c r="BP216" s="685"/>
      <c r="BR216" s="685"/>
      <c r="BS216" s="685"/>
      <c r="BU216" s="685"/>
    </row>
    <row r="217" spans="1:73">
      <c r="A217" s="685"/>
      <c r="B217" s="685"/>
      <c r="C217" s="685"/>
      <c r="D217" s="685"/>
      <c r="E217" s="685"/>
      <c r="F217" s="685"/>
      <c r="G217" s="685"/>
      <c r="H217" s="685"/>
      <c r="I217" s="685"/>
      <c r="J217" s="685"/>
      <c r="K217" s="685"/>
      <c r="L217" s="685"/>
      <c r="M217" s="685"/>
      <c r="N217" s="685"/>
      <c r="O217" s="685"/>
      <c r="P217" s="685"/>
      <c r="Q217" s="685"/>
      <c r="R217" s="685"/>
      <c r="S217" s="685"/>
      <c r="T217" s="685"/>
      <c r="U217" s="685"/>
      <c r="V217" s="685"/>
      <c r="W217" s="685"/>
      <c r="X217" s="685"/>
      <c r="Y217" s="685"/>
      <c r="Z217" s="685"/>
      <c r="AA217" s="685"/>
      <c r="AB217" s="685"/>
      <c r="AC217" s="685"/>
      <c r="AD217" s="685"/>
      <c r="AE217" s="685"/>
      <c r="AF217" s="115"/>
      <c r="AG217" s="115"/>
      <c r="AH217" s="685"/>
      <c r="AI217" s="685"/>
      <c r="AJ217" s="685"/>
      <c r="AK217" s="685"/>
      <c r="AL217" s="685"/>
      <c r="AM217" s="685"/>
      <c r="AN217" s="685"/>
      <c r="AO217" s="685"/>
      <c r="AP217" s="685"/>
      <c r="AQ217" s="685"/>
      <c r="AR217" s="685"/>
      <c r="AS217" s="685"/>
      <c r="AT217" s="685"/>
      <c r="AU217" s="685"/>
      <c r="AV217" s="685"/>
      <c r="AW217" s="685"/>
      <c r="AX217" s="685"/>
      <c r="AY217" s="685"/>
      <c r="AZ217" s="685"/>
      <c r="BA217" s="685"/>
      <c r="BB217" s="685"/>
      <c r="BC217" s="685"/>
      <c r="BN217" s="685"/>
      <c r="BO217" s="685"/>
      <c r="BP217" s="685"/>
      <c r="BR217" s="685"/>
      <c r="BS217" s="685"/>
      <c r="BU217" s="685"/>
    </row>
    <row r="218" spans="1:73">
      <c r="A218" s="685"/>
      <c r="B218" s="685"/>
      <c r="C218" s="685"/>
      <c r="D218" s="685"/>
      <c r="E218" s="685"/>
      <c r="F218" s="685"/>
      <c r="G218" s="685"/>
      <c r="H218" s="685"/>
      <c r="I218" s="685"/>
      <c r="J218" s="685"/>
      <c r="K218" s="685"/>
      <c r="L218" s="685"/>
      <c r="M218" s="685"/>
      <c r="N218" s="685"/>
      <c r="O218" s="685"/>
      <c r="P218" s="685"/>
      <c r="Q218" s="685"/>
      <c r="R218" s="685"/>
      <c r="S218" s="685"/>
      <c r="T218" s="685"/>
      <c r="U218" s="685"/>
      <c r="V218" s="685"/>
      <c r="W218" s="685"/>
      <c r="X218" s="685"/>
      <c r="Y218" s="685"/>
      <c r="Z218" s="685"/>
      <c r="AA218" s="685"/>
      <c r="AB218" s="685"/>
      <c r="AC218" s="685"/>
      <c r="AD218" s="685"/>
      <c r="AE218" s="685"/>
      <c r="AF218" s="115"/>
      <c r="AG218" s="115"/>
      <c r="AH218" s="685"/>
      <c r="AI218" s="685"/>
      <c r="AJ218" s="685"/>
      <c r="AK218" s="685"/>
      <c r="AL218" s="685"/>
      <c r="AM218" s="685"/>
      <c r="AN218" s="685"/>
      <c r="AO218" s="685"/>
      <c r="AP218" s="685"/>
      <c r="AQ218" s="685"/>
      <c r="AR218" s="685"/>
      <c r="AS218" s="685"/>
      <c r="AT218" s="685"/>
      <c r="AU218" s="685"/>
      <c r="AV218" s="685"/>
      <c r="AW218" s="685"/>
      <c r="AX218" s="685"/>
      <c r="AY218" s="685"/>
      <c r="AZ218" s="685"/>
      <c r="BA218" s="685"/>
      <c r="BB218" s="685"/>
      <c r="BC218" s="685"/>
      <c r="BN218" s="685"/>
      <c r="BO218" s="685"/>
      <c r="BP218" s="685"/>
      <c r="BR218" s="685"/>
      <c r="BS218" s="685"/>
      <c r="BU218" s="685"/>
    </row>
    <row r="219" spans="1:73">
      <c r="A219" s="685"/>
      <c r="B219" s="685"/>
      <c r="C219" s="685"/>
      <c r="D219" s="685"/>
      <c r="E219" s="685"/>
      <c r="F219" s="685"/>
      <c r="G219" s="685"/>
      <c r="H219" s="685"/>
      <c r="I219" s="685"/>
      <c r="J219" s="685"/>
      <c r="K219" s="685"/>
      <c r="L219" s="685"/>
      <c r="M219" s="685"/>
      <c r="N219" s="685"/>
      <c r="O219" s="685"/>
      <c r="P219" s="685"/>
      <c r="Q219" s="685"/>
      <c r="R219" s="685"/>
      <c r="S219" s="685"/>
      <c r="T219" s="685"/>
      <c r="U219" s="685"/>
      <c r="V219" s="685"/>
      <c r="W219" s="685"/>
      <c r="X219" s="685"/>
      <c r="Y219" s="685"/>
      <c r="Z219" s="685"/>
      <c r="AA219" s="685"/>
      <c r="AB219" s="685"/>
      <c r="AC219" s="685"/>
      <c r="AD219" s="685"/>
      <c r="AE219" s="685"/>
      <c r="AF219" s="115"/>
      <c r="AG219" s="115"/>
      <c r="AH219" s="685"/>
      <c r="AI219" s="685"/>
      <c r="AJ219" s="685"/>
      <c r="AK219" s="685"/>
      <c r="AL219" s="685"/>
      <c r="AM219" s="685"/>
      <c r="AN219" s="685"/>
      <c r="AO219" s="685"/>
      <c r="AP219" s="685"/>
      <c r="AQ219" s="685"/>
      <c r="AR219" s="685"/>
      <c r="AS219" s="685"/>
      <c r="AT219" s="685"/>
      <c r="AU219" s="685"/>
      <c r="AV219" s="685"/>
      <c r="AW219" s="685"/>
      <c r="AX219" s="685"/>
      <c r="AY219" s="685"/>
      <c r="AZ219" s="685"/>
      <c r="BA219" s="685"/>
      <c r="BB219" s="685"/>
      <c r="BC219" s="685"/>
      <c r="BN219" s="685"/>
      <c r="BO219" s="685"/>
      <c r="BP219" s="685"/>
      <c r="BR219" s="685"/>
      <c r="BS219" s="685"/>
      <c r="BU219" s="685"/>
    </row>
    <row r="220" spans="1:73">
      <c r="A220" s="685"/>
      <c r="B220" s="685"/>
      <c r="C220" s="685"/>
      <c r="D220" s="685"/>
      <c r="E220" s="685"/>
      <c r="F220" s="685"/>
      <c r="G220" s="685"/>
      <c r="H220" s="685"/>
      <c r="I220" s="685"/>
      <c r="J220" s="685"/>
      <c r="K220" s="685"/>
      <c r="L220" s="685"/>
      <c r="M220" s="685"/>
      <c r="N220" s="685"/>
      <c r="O220" s="685"/>
      <c r="P220" s="685"/>
      <c r="Q220" s="685"/>
      <c r="R220" s="685"/>
      <c r="S220" s="685"/>
      <c r="T220" s="685"/>
      <c r="U220" s="685"/>
      <c r="V220" s="685"/>
      <c r="W220" s="685"/>
      <c r="X220" s="685"/>
      <c r="Y220" s="685"/>
      <c r="Z220" s="685"/>
      <c r="AA220" s="685"/>
      <c r="AB220" s="685"/>
      <c r="AC220" s="685"/>
      <c r="AD220" s="685"/>
      <c r="AE220" s="685"/>
      <c r="AF220" s="115"/>
      <c r="AG220" s="115"/>
      <c r="AH220" s="685"/>
      <c r="AI220" s="685"/>
      <c r="AJ220" s="685"/>
      <c r="AK220" s="685"/>
      <c r="AL220" s="685"/>
      <c r="AM220" s="685"/>
      <c r="AN220" s="685"/>
      <c r="AO220" s="685"/>
      <c r="AP220" s="685"/>
      <c r="AQ220" s="685"/>
      <c r="AR220" s="685"/>
      <c r="AS220" s="685"/>
      <c r="AT220" s="685"/>
      <c r="AU220" s="685"/>
      <c r="AV220" s="685"/>
      <c r="AW220" s="685"/>
      <c r="AX220" s="685"/>
      <c r="AY220" s="685"/>
      <c r="AZ220" s="685"/>
      <c r="BA220" s="685"/>
      <c r="BB220" s="685"/>
      <c r="BC220" s="685"/>
      <c r="BN220" s="685"/>
      <c r="BO220" s="685"/>
      <c r="BP220" s="685"/>
      <c r="BR220" s="685"/>
      <c r="BS220" s="685"/>
      <c r="BU220" s="685"/>
    </row>
    <row r="221" spans="1:73">
      <c r="A221" s="685"/>
      <c r="B221" s="685"/>
      <c r="C221" s="685"/>
      <c r="D221" s="685"/>
      <c r="E221" s="685"/>
      <c r="F221" s="685"/>
      <c r="G221" s="685"/>
      <c r="H221" s="685"/>
      <c r="I221" s="685"/>
      <c r="J221" s="685"/>
      <c r="K221" s="685"/>
      <c r="L221" s="685"/>
      <c r="M221" s="685"/>
      <c r="N221" s="685"/>
      <c r="O221" s="685"/>
      <c r="P221" s="685"/>
      <c r="Q221" s="685"/>
      <c r="R221" s="685"/>
      <c r="S221" s="685"/>
      <c r="T221" s="685"/>
      <c r="U221" s="685"/>
      <c r="V221" s="685"/>
      <c r="W221" s="685"/>
      <c r="X221" s="685"/>
      <c r="Y221" s="685"/>
      <c r="Z221" s="685"/>
      <c r="AA221" s="685"/>
      <c r="AB221" s="685"/>
      <c r="AC221" s="685"/>
      <c r="AD221" s="685"/>
      <c r="AE221" s="685"/>
      <c r="AF221" s="115"/>
      <c r="AG221" s="115"/>
      <c r="AH221" s="685"/>
      <c r="AI221" s="685"/>
      <c r="AJ221" s="685"/>
      <c r="AK221" s="685"/>
      <c r="AL221" s="685"/>
      <c r="AM221" s="685"/>
      <c r="AN221" s="685"/>
      <c r="AO221" s="685"/>
      <c r="AP221" s="685"/>
      <c r="AQ221" s="685"/>
      <c r="AR221" s="685"/>
      <c r="AS221" s="685"/>
      <c r="AT221" s="685"/>
      <c r="AU221" s="685"/>
      <c r="AV221" s="685"/>
      <c r="AW221" s="685"/>
      <c r="AX221" s="685"/>
      <c r="AY221" s="685"/>
      <c r="AZ221" s="685"/>
      <c r="BA221" s="685"/>
      <c r="BB221" s="685"/>
      <c r="BC221" s="685"/>
      <c r="BN221" s="685"/>
      <c r="BO221" s="685"/>
      <c r="BP221" s="685"/>
      <c r="BR221" s="685"/>
      <c r="BS221" s="685"/>
      <c r="BU221" s="685"/>
    </row>
    <row r="222" spans="1:73">
      <c r="A222" s="685"/>
      <c r="B222" s="685"/>
      <c r="C222" s="685"/>
      <c r="D222" s="685"/>
      <c r="E222" s="685"/>
      <c r="F222" s="685"/>
      <c r="G222" s="685"/>
      <c r="H222" s="685"/>
      <c r="I222" s="685"/>
      <c r="J222" s="685"/>
      <c r="K222" s="685"/>
      <c r="L222" s="685"/>
      <c r="M222" s="685"/>
      <c r="N222" s="685"/>
      <c r="O222" s="685"/>
      <c r="P222" s="685"/>
      <c r="Q222" s="685"/>
      <c r="R222" s="685"/>
      <c r="S222" s="685"/>
      <c r="T222" s="685"/>
      <c r="U222" s="685"/>
      <c r="V222" s="685"/>
      <c r="W222" s="685"/>
      <c r="X222" s="685"/>
      <c r="Y222" s="685"/>
      <c r="Z222" s="685"/>
      <c r="AA222" s="685"/>
      <c r="AB222" s="685"/>
      <c r="AC222" s="685"/>
      <c r="AD222" s="685"/>
      <c r="AE222" s="685"/>
      <c r="AF222" s="115"/>
      <c r="AG222" s="115"/>
      <c r="AH222" s="685"/>
      <c r="AI222" s="685"/>
      <c r="AJ222" s="685"/>
      <c r="AK222" s="685"/>
      <c r="AL222" s="685"/>
      <c r="AM222" s="685"/>
      <c r="AN222" s="685"/>
      <c r="AO222" s="685"/>
      <c r="AP222" s="685"/>
      <c r="AQ222" s="685"/>
      <c r="AR222" s="685"/>
      <c r="AS222" s="685"/>
      <c r="AT222" s="685"/>
      <c r="AU222" s="685"/>
      <c r="AV222" s="685"/>
      <c r="AW222" s="685"/>
      <c r="AX222" s="685"/>
      <c r="AY222" s="685"/>
      <c r="AZ222" s="685"/>
      <c r="BA222" s="685"/>
      <c r="BB222" s="685"/>
      <c r="BC222" s="685"/>
      <c r="BN222" s="685"/>
      <c r="BO222" s="685"/>
      <c r="BP222" s="685"/>
      <c r="BR222" s="685"/>
      <c r="BS222" s="685"/>
      <c r="BU222" s="685"/>
    </row>
    <row r="223" spans="1:73">
      <c r="A223" s="685"/>
      <c r="B223" s="685"/>
      <c r="C223" s="685"/>
      <c r="D223" s="685"/>
      <c r="E223" s="685"/>
      <c r="F223" s="685"/>
      <c r="G223" s="685"/>
      <c r="H223" s="685"/>
      <c r="I223" s="685"/>
      <c r="J223" s="685"/>
      <c r="K223" s="685"/>
      <c r="L223" s="685"/>
      <c r="M223" s="685"/>
      <c r="N223" s="685"/>
      <c r="O223" s="685"/>
      <c r="P223" s="685"/>
      <c r="Q223" s="685"/>
      <c r="R223" s="685"/>
      <c r="S223" s="685"/>
      <c r="T223" s="685"/>
      <c r="U223" s="685"/>
      <c r="V223" s="685"/>
      <c r="W223" s="685"/>
      <c r="X223" s="685"/>
      <c r="Y223" s="685"/>
      <c r="Z223" s="685"/>
      <c r="AA223" s="685"/>
      <c r="AB223" s="685"/>
      <c r="AC223" s="685"/>
      <c r="AD223" s="685"/>
      <c r="AE223" s="685"/>
      <c r="AF223" s="115"/>
      <c r="AG223" s="115"/>
      <c r="AH223" s="685"/>
      <c r="AI223" s="685"/>
      <c r="AJ223" s="685"/>
      <c r="AK223" s="685"/>
      <c r="AL223" s="685"/>
      <c r="AM223" s="685"/>
      <c r="AN223" s="685"/>
      <c r="AO223" s="685"/>
      <c r="AP223" s="685"/>
      <c r="AQ223" s="685"/>
      <c r="AR223" s="685"/>
      <c r="AS223" s="685"/>
      <c r="AT223" s="685"/>
      <c r="AU223" s="685"/>
      <c r="AV223" s="685"/>
      <c r="AW223" s="685"/>
      <c r="AX223" s="685"/>
      <c r="AY223" s="685"/>
      <c r="AZ223" s="685"/>
      <c r="BA223" s="685"/>
      <c r="BB223" s="685"/>
      <c r="BC223" s="685"/>
      <c r="BN223" s="685"/>
      <c r="BO223" s="685"/>
      <c r="BP223" s="685"/>
      <c r="BR223" s="685"/>
      <c r="BS223" s="685"/>
      <c r="BU223" s="685"/>
    </row>
    <row r="224" spans="1:73">
      <c r="A224" s="685"/>
      <c r="B224" s="685"/>
      <c r="C224" s="685"/>
      <c r="D224" s="685"/>
      <c r="E224" s="685"/>
      <c r="F224" s="685"/>
      <c r="G224" s="685"/>
      <c r="H224" s="685"/>
      <c r="I224" s="685"/>
      <c r="J224" s="685"/>
      <c r="K224" s="685"/>
      <c r="L224" s="685"/>
      <c r="M224" s="685"/>
      <c r="N224" s="685"/>
      <c r="O224" s="685"/>
      <c r="P224" s="685"/>
      <c r="Q224" s="685"/>
      <c r="R224" s="685"/>
      <c r="S224" s="685"/>
      <c r="T224" s="685"/>
      <c r="U224" s="685"/>
      <c r="V224" s="685"/>
      <c r="W224" s="685"/>
      <c r="X224" s="685"/>
      <c r="Y224" s="685"/>
      <c r="Z224" s="685"/>
      <c r="AA224" s="685"/>
      <c r="AB224" s="685"/>
      <c r="AC224" s="685"/>
      <c r="AD224" s="685"/>
      <c r="AE224" s="685"/>
      <c r="AF224" s="115"/>
      <c r="AG224" s="115"/>
      <c r="AH224" s="685"/>
      <c r="AI224" s="685"/>
      <c r="AJ224" s="685"/>
      <c r="AK224" s="685"/>
      <c r="AL224" s="685"/>
      <c r="AM224" s="685"/>
      <c r="AN224" s="685"/>
      <c r="AO224" s="685"/>
      <c r="AP224" s="685"/>
      <c r="AQ224" s="685"/>
      <c r="AR224" s="685"/>
      <c r="AS224" s="685"/>
      <c r="AT224" s="685"/>
      <c r="AU224" s="685"/>
      <c r="AV224" s="685"/>
      <c r="AW224" s="685"/>
      <c r="AX224" s="685"/>
      <c r="AY224" s="685"/>
      <c r="AZ224" s="685"/>
      <c r="BA224" s="685"/>
      <c r="BB224" s="685"/>
      <c r="BC224" s="685"/>
      <c r="BN224" s="685"/>
      <c r="BO224" s="685"/>
      <c r="BP224" s="685"/>
      <c r="BR224" s="685"/>
      <c r="BS224" s="685"/>
      <c r="BU224" s="685"/>
    </row>
    <row r="225" spans="1:73">
      <c r="A225" s="685"/>
      <c r="B225" s="685"/>
      <c r="C225" s="685"/>
      <c r="D225" s="685"/>
      <c r="E225" s="685"/>
      <c r="F225" s="685"/>
      <c r="G225" s="685"/>
      <c r="H225" s="685"/>
      <c r="I225" s="685"/>
      <c r="J225" s="685"/>
      <c r="K225" s="685"/>
      <c r="L225" s="685"/>
      <c r="M225" s="685"/>
      <c r="N225" s="685"/>
      <c r="O225" s="685"/>
      <c r="P225" s="685"/>
      <c r="Q225" s="685"/>
      <c r="R225" s="685"/>
      <c r="S225" s="685"/>
      <c r="T225" s="685"/>
      <c r="U225" s="685"/>
      <c r="V225" s="685"/>
      <c r="W225" s="685"/>
      <c r="X225" s="685"/>
      <c r="Y225" s="685"/>
      <c r="Z225" s="685"/>
      <c r="AA225" s="685"/>
      <c r="AB225" s="685"/>
      <c r="AC225" s="685"/>
      <c r="AD225" s="685"/>
      <c r="AE225" s="685"/>
      <c r="AF225" s="115"/>
      <c r="AG225" s="115"/>
      <c r="AH225" s="685"/>
      <c r="AI225" s="685"/>
      <c r="AJ225" s="685"/>
      <c r="AK225" s="685"/>
      <c r="AL225" s="685"/>
      <c r="AM225" s="685"/>
      <c r="AN225" s="685"/>
      <c r="AO225" s="685"/>
      <c r="AP225" s="685"/>
      <c r="AQ225" s="685"/>
      <c r="AR225" s="685"/>
      <c r="AS225" s="685"/>
      <c r="AT225" s="685"/>
      <c r="AU225" s="685"/>
      <c r="AV225" s="685"/>
      <c r="AW225" s="685"/>
      <c r="AX225" s="685"/>
      <c r="AY225" s="685"/>
      <c r="AZ225" s="685"/>
      <c r="BA225" s="685"/>
      <c r="BB225" s="685"/>
      <c r="BC225" s="685"/>
      <c r="BN225" s="685"/>
      <c r="BO225" s="685"/>
      <c r="BP225" s="685"/>
      <c r="BR225" s="685"/>
      <c r="BS225" s="685"/>
      <c r="BU225" s="685"/>
    </row>
    <row r="226" spans="1:73">
      <c r="A226" s="685"/>
      <c r="B226" s="685"/>
      <c r="C226" s="685"/>
      <c r="D226" s="685"/>
      <c r="E226" s="685"/>
      <c r="F226" s="685"/>
      <c r="G226" s="685"/>
      <c r="H226" s="685"/>
      <c r="I226" s="685"/>
      <c r="J226" s="685"/>
      <c r="K226" s="685"/>
      <c r="L226" s="685"/>
      <c r="M226" s="685"/>
      <c r="N226" s="685"/>
      <c r="O226" s="685"/>
      <c r="P226" s="685"/>
      <c r="Q226" s="685"/>
      <c r="R226" s="685"/>
      <c r="S226" s="685"/>
      <c r="T226" s="685"/>
      <c r="U226" s="685"/>
      <c r="V226" s="685"/>
      <c r="W226" s="685"/>
      <c r="X226" s="685"/>
      <c r="Y226" s="685"/>
      <c r="Z226" s="685"/>
      <c r="AA226" s="685"/>
      <c r="AB226" s="685"/>
      <c r="AC226" s="685"/>
      <c r="AD226" s="685"/>
      <c r="AE226" s="685"/>
      <c r="AF226" s="115"/>
      <c r="AG226" s="115"/>
      <c r="AH226" s="685"/>
      <c r="AI226" s="685"/>
      <c r="AJ226" s="685"/>
      <c r="AK226" s="685"/>
      <c r="AL226" s="685"/>
      <c r="AM226" s="685"/>
      <c r="AN226" s="685"/>
      <c r="AO226" s="685"/>
      <c r="AP226" s="685"/>
      <c r="AQ226" s="685"/>
      <c r="AR226" s="685"/>
      <c r="AS226" s="685"/>
      <c r="AT226" s="685"/>
      <c r="AU226" s="685"/>
      <c r="AV226" s="685"/>
      <c r="AW226" s="685"/>
      <c r="AX226" s="685"/>
      <c r="AY226" s="685"/>
      <c r="AZ226" s="685"/>
      <c r="BA226" s="685"/>
      <c r="BB226" s="685"/>
      <c r="BC226" s="685"/>
      <c r="BN226" s="685"/>
      <c r="BO226" s="685"/>
      <c r="BP226" s="685"/>
      <c r="BR226" s="685"/>
      <c r="BS226" s="685"/>
      <c r="BU226" s="685"/>
    </row>
    <row r="227" spans="1:73">
      <c r="A227" s="685"/>
      <c r="B227" s="685"/>
      <c r="C227" s="685"/>
      <c r="D227" s="685"/>
      <c r="E227" s="685"/>
      <c r="F227" s="685"/>
      <c r="G227" s="685"/>
      <c r="H227" s="685"/>
      <c r="I227" s="685"/>
      <c r="J227" s="685"/>
      <c r="K227" s="685"/>
      <c r="L227" s="685"/>
      <c r="M227" s="685"/>
      <c r="N227" s="685"/>
      <c r="O227" s="685"/>
      <c r="P227" s="685"/>
      <c r="Q227" s="685"/>
      <c r="R227" s="685"/>
      <c r="S227" s="685"/>
      <c r="T227" s="685"/>
      <c r="U227" s="685"/>
      <c r="V227" s="685"/>
      <c r="W227" s="685"/>
      <c r="X227" s="685"/>
      <c r="Y227" s="685"/>
      <c r="Z227" s="685"/>
      <c r="AA227" s="685"/>
      <c r="AB227" s="685"/>
      <c r="AC227" s="685"/>
      <c r="AD227" s="685"/>
      <c r="AE227" s="685"/>
      <c r="AF227" s="115"/>
      <c r="AG227" s="115"/>
      <c r="AH227" s="685"/>
      <c r="AI227" s="685"/>
      <c r="AJ227" s="685"/>
      <c r="AK227" s="685"/>
      <c r="AL227" s="685"/>
      <c r="AM227" s="685"/>
      <c r="AN227" s="685"/>
      <c r="AO227" s="685"/>
      <c r="AP227" s="685"/>
      <c r="AQ227" s="685"/>
      <c r="AR227" s="685"/>
      <c r="AS227" s="685"/>
      <c r="AT227" s="685"/>
      <c r="AU227" s="685"/>
      <c r="AV227" s="685"/>
      <c r="AW227" s="685"/>
      <c r="AX227" s="685"/>
      <c r="AY227" s="685"/>
      <c r="AZ227" s="685"/>
      <c r="BA227" s="685"/>
      <c r="BB227" s="685"/>
      <c r="BC227" s="685"/>
      <c r="BN227" s="685"/>
      <c r="BO227" s="685"/>
      <c r="BP227" s="685"/>
      <c r="BR227" s="685"/>
      <c r="BS227" s="685"/>
      <c r="BU227" s="685"/>
    </row>
    <row r="228" spans="1:73">
      <c r="A228" s="685"/>
      <c r="B228" s="685"/>
      <c r="C228" s="685"/>
      <c r="D228" s="685"/>
      <c r="E228" s="685"/>
      <c r="F228" s="685"/>
      <c r="G228" s="685"/>
      <c r="H228" s="685"/>
      <c r="I228" s="685"/>
      <c r="J228" s="685"/>
      <c r="K228" s="685"/>
      <c r="L228" s="685"/>
      <c r="M228" s="685"/>
      <c r="N228" s="685"/>
      <c r="O228" s="685"/>
      <c r="P228" s="685"/>
      <c r="Q228" s="685"/>
      <c r="R228" s="685"/>
      <c r="S228" s="685"/>
      <c r="T228" s="685"/>
      <c r="U228" s="685"/>
      <c r="V228" s="685"/>
      <c r="W228" s="685"/>
      <c r="X228" s="685"/>
      <c r="Y228" s="685"/>
      <c r="Z228" s="685"/>
      <c r="AA228" s="685"/>
      <c r="AB228" s="685"/>
      <c r="AC228" s="685"/>
      <c r="AD228" s="685"/>
      <c r="AE228" s="685"/>
      <c r="AF228" s="115"/>
      <c r="AG228" s="115"/>
      <c r="AH228" s="685"/>
      <c r="AI228" s="685"/>
      <c r="AJ228" s="685"/>
      <c r="AK228" s="685"/>
      <c r="AL228" s="685"/>
      <c r="AM228" s="685"/>
      <c r="AN228" s="685"/>
      <c r="AO228" s="685"/>
      <c r="AP228" s="685"/>
      <c r="AQ228" s="685"/>
      <c r="AR228" s="685"/>
      <c r="AS228" s="685"/>
      <c r="AT228" s="685"/>
      <c r="AU228" s="685"/>
      <c r="AV228" s="685"/>
      <c r="AW228" s="685"/>
      <c r="AX228" s="685"/>
      <c r="AY228" s="685"/>
      <c r="AZ228" s="685"/>
      <c r="BA228" s="685"/>
      <c r="BB228" s="685"/>
      <c r="BC228" s="685"/>
      <c r="BN228" s="685"/>
      <c r="BO228" s="685"/>
      <c r="BP228" s="685"/>
      <c r="BR228" s="685"/>
      <c r="BS228" s="685"/>
      <c r="BU228" s="685"/>
    </row>
    <row r="229" spans="1:73">
      <c r="A229" s="685"/>
      <c r="B229" s="685"/>
      <c r="C229" s="685"/>
      <c r="D229" s="685"/>
      <c r="E229" s="685"/>
      <c r="F229" s="685"/>
      <c r="G229" s="685"/>
      <c r="H229" s="685"/>
      <c r="I229" s="685"/>
      <c r="J229" s="685"/>
      <c r="K229" s="685"/>
      <c r="L229" s="685"/>
      <c r="M229" s="685"/>
      <c r="N229" s="685"/>
      <c r="O229" s="685"/>
      <c r="P229" s="685"/>
      <c r="Q229" s="685"/>
      <c r="R229" s="685"/>
      <c r="S229" s="685"/>
      <c r="T229" s="685"/>
      <c r="U229" s="685"/>
      <c r="V229" s="685"/>
      <c r="W229" s="685"/>
      <c r="X229" s="685"/>
      <c r="Y229" s="685"/>
      <c r="Z229" s="685"/>
      <c r="AA229" s="685"/>
      <c r="AB229" s="685"/>
      <c r="AC229" s="685"/>
      <c r="AD229" s="685"/>
      <c r="AE229" s="685"/>
      <c r="AF229" s="115"/>
      <c r="AG229" s="115"/>
      <c r="AH229" s="685"/>
      <c r="AI229" s="685"/>
      <c r="AJ229" s="685"/>
      <c r="AK229" s="685"/>
      <c r="AL229" s="685"/>
      <c r="AM229" s="685"/>
      <c r="AN229" s="685"/>
      <c r="AO229" s="685"/>
      <c r="AP229" s="685"/>
      <c r="AQ229" s="685"/>
      <c r="AR229" s="685"/>
      <c r="AS229" s="685"/>
      <c r="AT229" s="685"/>
      <c r="AU229" s="685"/>
      <c r="AV229" s="685"/>
      <c r="AW229" s="685"/>
      <c r="AX229" s="685"/>
      <c r="AY229" s="685"/>
      <c r="AZ229" s="685"/>
      <c r="BA229" s="685"/>
      <c r="BB229" s="685"/>
      <c r="BC229" s="685"/>
      <c r="BN229" s="685"/>
      <c r="BO229" s="685"/>
      <c r="BP229" s="685"/>
      <c r="BR229" s="685"/>
      <c r="BS229" s="685"/>
      <c r="BU229" s="685"/>
    </row>
    <row r="230" spans="1:73">
      <c r="A230" s="685"/>
      <c r="B230" s="685"/>
      <c r="C230" s="685"/>
      <c r="D230" s="685"/>
      <c r="E230" s="685"/>
      <c r="F230" s="685"/>
      <c r="G230" s="685"/>
      <c r="H230" s="685"/>
      <c r="I230" s="685"/>
      <c r="J230" s="685"/>
      <c r="K230" s="685"/>
      <c r="L230" s="685"/>
      <c r="M230" s="685"/>
      <c r="N230" s="685"/>
      <c r="O230" s="685"/>
      <c r="P230" s="685"/>
      <c r="Q230" s="685"/>
      <c r="R230" s="685"/>
      <c r="S230" s="685"/>
      <c r="T230" s="685"/>
      <c r="U230" s="685"/>
      <c r="V230" s="685"/>
      <c r="W230" s="685"/>
      <c r="X230" s="685"/>
      <c r="Y230" s="685"/>
      <c r="Z230" s="685"/>
      <c r="AA230" s="685"/>
      <c r="AB230" s="685"/>
      <c r="AC230" s="685"/>
      <c r="AD230" s="685"/>
      <c r="AE230" s="685"/>
      <c r="AF230" s="115"/>
      <c r="AG230" s="115"/>
      <c r="AH230" s="685"/>
      <c r="AI230" s="685"/>
      <c r="AJ230" s="685"/>
      <c r="AK230" s="685"/>
      <c r="AL230" s="685"/>
      <c r="AM230" s="685"/>
      <c r="AN230" s="685"/>
      <c r="AO230" s="685"/>
      <c r="AP230" s="685"/>
      <c r="AQ230" s="685"/>
      <c r="AR230" s="685"/>
      <c r="AS230" s="685"/>
      <c r="AT230" s="685"/>
      <c r="AU230" s="685"/>
      <c r="AV230" s="685"/>
      <c r="AW230" s="685"/>
      <c r="AX230" s="685"/>
      <c r="AY230" s="685"/>
      <c r="AZ230" s="685"/>
      <c r="BA230" s="685"/>
      <c r="BB230" s="685"/>
      <c r="BC230" s="685"/>
      <c r="BN230" s="685"/>
      <c r="BO230" s="685"/>
      <c r="BP230" s="685"/>
      <c r="BR230" s="685"/>
      <c r="BS230" s="685"/>
      <c r="BU230" s="685"/>
    </row>
    <row r="231" spans="1:73">
      <c r="A231" s="685"/>
      <c r="B231" s="685"/>
      <c r="C231" s="685"/>
      <c r="D231" s="685"/>
      <c r="E231" s="685"/>
      <c r="F231" s="685"/>
      <c r="G231" s="685"/>
      <c r="H231" s="685"/>
      <c r="I231" s="685"/>
      <c r="J231" s="685"/>
      <c r="K231" s="685"/>
      <c r="L231" s="685"/>
      <c r="M231" s="685"/>
      <c r="N231" s="685"/>
      <c r="O231" s="685"/>
      <c r="P231" s="685"/>
      <c r="Q231" s="685"/>
      <c r="R231" s="685"/>
      <c r="S231" s="685"/>
      <c r="T231" s="685"/>
      <c r="U231" s="685"/>
      <c r="V231" s="685"/>
      <c r="W231" s="685"/>
      <c r="X231" s="685"/>
      <c r="Y231" s="685"/>
      <c r="Z231" s="685"/>
      <c r="AA231" s="685"/>
      <c r="AB231" s="685"/>
      <c r="AC231" s="685"/>
      <c r="AD231" s="685"/>
      <c r="AE231" s="685"/>
      <c r="AF231" s="115"/>
      <c r="AG231" s="115"/>
      <c r="AH231" s="685"/>
      <c r="AI231" s="685"/>
      <c r="AJ231" s="685"/>
      <c r="AK231" s="685"/>
      <c r="AL231" s="685"/>
      <c r="AM231" s="685"/>
      <c r="AN231" s="685"/>
      <c r="AO231" s="685"/>
      <c r="AP231" s="685"/>
      <c r="AQ231" s="685"/>
      <c r="AR231" s="685"/>
      <c r="AS231" s="685"/>
      <c r="AT231" s="685"/>
      <c r="AU231" s="685"/>
      <c r="AV231" s="685"/>
      <c r="AW231" s="685"/>
      <c r="AX231" s="685"/>
      <c r="AY231" s="685"/>
      <c r="AZ231" s="685"/>
      <c r="BA231" s="685"/>
      <c r="BB231" s="685"/>
      <c r="BC231" s="685"/>
      <c r="BN231" s="685"/>
      <c r="BO231" s="685"/>
      <c r="BP231" s="685"/>
      <c r="BR231" s="685"/>
      <c r="BS231" s="685"/>
      <c r="BU231" s="685"/>
    </row>
    <row r="232" spans="1:73">
      <c r="A232" s="685"/>
      <c r="B232" s="685"/>
      <c r="C232" s="685"/>
      <c r="D232" s="685"/>
      <c r="E232" s="685"/>
      <c r="F232" s="685"/>
      <c r="G232" s="685"/>
      <c r="H232" s="685"/>
      <c r="I232" s="685"/>
      <c r="J232" s="685"/>
      <c r="K232" s="685"/>
      <c r="L232" s="685"/>
      <c r="M232" s="685"/>
      <c r="N232" s="685"/>
      <c r="O232" s="685"/>
      <c r="P232" s="685"/>
      <c r="Q232" s="685"/>
      <c r="R232" s="685"/>
      <c r="S232" s="685"/>
      <c r="T232" s="685"/>
      <c r="U232" s="685"/>
      <c r="V232" s="685"/>
      <c r="W232" s="685"/>
      <c r="X232" s="685"/>
      <c r="Y232" s="685"/>
      <c r="Z232" s="685"/>
      <c r="AA232" s="685"/>
      <c r="AB232" s="685"/>
      <c r="AC232" s="685"/>
      <c r="AD232" s="685"/>
      <c r="AE232" s="685"/>
      <c r="AF232" s="115"/>
      <c r="AG232" s="115"/>
      <c r="AH232" s="685"/>
      <c r="AI232" s="685"/>
      <c r="AJ232" s="685"/>
      <c r="AK232" s="685"/>
      <c r="AL232" s="685"/>
      <c r="AM232" s="685"/>
      <c r="AN232" s="685"/>
      <c r="AO232" s="685"/>
      <c r="AP232" s="685"/>
      <c r="AQ232" s="685"/>
      <c r="AR232" s="685"/>
      <c r="AS232" s="685"/>
      <c r="AT232" s="685"/>
      <c r="AU232" s="685"/>
      <c r="AV232" s="685"/>
      <c r="AW232" s="685"/>
      <c r="AX232" s="685"/>
      <c r="AY232" s="685"/>
      <c r="AZ232" s="685"/>
      <c r="BA232" s="685"/>
      <c r="BB232" s="685"/>
      <c r="BC232" s="685"/>
      <c r="BN232" s="685"/>
      <c r="BO232" s="685"/>
      <c r="BP232" s="685"/>
      <c r="BR232" s="685"/>
      <c r="BS232" s="685"/>
      <c r="BU232" s="685"/>
    </row>
    <row r="233" spans="1:73">
      <c r="A233" s="685"/>
      <c r="B233" s="685"/>
      <c r="C233" s="685"/>
      <c r="D233" s="685"/>
      <c r="E233" s="685"/>
      <c r="F233" s="685"/>
      <c r="G233" s="685"/>
      <c r="H233" s="685"/>
      <c r="I233" s="685"/>
      <c r="J233" s="685"/>
      <c r="K233" s="685"/>
      <c r="L233" s="685"/>
      <c r="M233" s="685"/>
      <c r="N233" s="685"/>
      <c r="O233" s="685"/>
      <c r="P233" s="685"/>
      <c r="Q233" s="685"/>
      <c r="R233" s="685"/>
      <c r="S233" s="685"/>
      <c r="T233" s="685"/>
      <c r="U233" s="685"/>
      <c r="V233" s="685"/>
      <c r="W233" s="685"/>
      <c r="X233" s="685"/>
      <c r="Y233" s="685"/>
      <c r="Z233" s="685"/>
      <c r="AA233" s="685"/>
      <c r="AB233" s="685"/>
      <c r="AC233" s="685"/>
      <c r="AD233" s="685"/>
      <c r="AE233" s="685"/>
      <c r="AF233" s="115"/>
      <c r="AG233" s="115"/>
      <c r="AH233" s="685"/>
      <c r="AI233" s="685"/>
      <c r="AJ233" s="685"/>
      <c r="AK233" s="685"/>
      <c r="AL233" s="685"/>
      <c r="AM233" s="685"/>
      <c r="AN233" s="685"/>
      <c r="AO233" s="685"/>
      <c r="AP233" s="685"/>
      <c r="AQ233" s="685"/>
      <c r="AR233" s="685"/>
      <c r="AS233" s="685"/>
      <c r="AT233" s="685"/>
      <c r="AU233" s="685"/>
      <c r="AV233" s="685"/>
      <c r="AW233" s="685"/>
      <c r="AX233" s="685"/>
      <c r="AY233" s="685"/>
      <c r="AZ233" s="685"/>
      <c r="BA233" s="685"/>
      <c r="BB233" s="685"/>
      <c r="BC233" s="685"/>
      <c r="BN233" s="685"/>
      <c r="BO233" s="685"/>
      <c r="BP233" s="685"/>
      <c r="BR233" s="685"/>
      <c r="BS233" s="685"/>
      <c r="BU233" s="685"/>
    </row>
    <row r="234" spans="1:73">
      <c r="A234" s="685"/>
      <c r="B234" s="685"/>
      <c r="C234" s="685"/>
      <c r="D234" s="685"/>
      <c r="E234" s="685"/>
      <c r="F234" s="685"/>
      <c r="G234" s="685"/>
      <c r="H234" s="685"/>
      <c r="I234" s="685"/>
      <c r="J234" s="685"/>
      <c r="K234" s="685"/>
      <c r="L234" s="685"/>
      <c r="M234" s="685"/>
      <c r="N234" s="685"/>
      <c r="O234" s="685"/>
      <c r="P234" s="685"/>
      <c r="Q234" s="685"/>
      <c r="R234" s="685"/>
      <c r="S234" s="685"/>
      <c r="T234" s="685"/>
      <c r="U234" s="685"/>
      <c r="V234" s="685"/>
      <c r="W234" s="685"/>
      <c r="X234" s="685"/>
      <c r="Y234" s="685"/>
      <c r="Z234" s="685"/>
      <c r="AA234" s="685"/>
      <c r="AB234" s="685"/>
      <c r="AC234" s="685"/>
      <c r="AD234" s="685"/>
      <c r="AE234" s="685"/>
      <c r="AF234" s="115"/>
      <c r="AG234" s="115"/>
      <c r="AH234" s="685"/>
      <c r="AI234" s="685"/>
      <c r="AJ234" s="685"/>
      <c r="AK234" s="685"/>
      <c r="AL234" s="685"/>
      <c r="AM234" s="685"/>
      <c r="AN234" s="685"/>
      <c r="AO234" s="685"/>
      <c r="AP234" s="685"/>
      <c r="AQ234" s="685"/>
      <c r="AR234" s="685"/>
      <c r="AS234" s="685"/>
      <c r="AT234" s="685"/>
      <c r="AU234" s="685"/>
      <c r="AV234" s="685"/>
      <c r="AW234" s="685"/>
      <c r="AX234" s="685"/>
      <c r="AY234" s="685"/>
      <c r="AZ234" s="685"/>
      <c r="BA234" s="685"/>
      <c r="BB234" s="685"/>
      <c r="BC234" s="685"/>
      <c r="BN234" s="685"/>
      <c r="BO234" s="685"/>
      <c r="BP234" s="685"/>
      <c r="BR234" s="685"/>
      <c r="BS234" s="685"/>
      <c r="BU234" s="685"/>
    </row>
    <row r="235" spans="1:73">
      <c r="A235" s="685"/>
      <c r="B235" s="685"/>
      <c r="C235" s="685"/>
      <c r="D235" s="685"/>
      <c r="E235" s="685"/>
      <c r="F235" s="685"/>
      <c r="G235" s="685"/>
      <c r="H235" s="685"/>
      <c r="I235" s="685"/>
      <c r="J235" s="685"/>
      <c r="K235" s="685"/>
      <c r="L235" s="685"/>
      <c r="M235" s="685"/>
      <c r="N235" s="685"/>
      <c r="O235" s="685"/>
      <c r="P235" s="685"/>
      <c r="Q235" s="685"/>
      <c r="R235" s="685"/>
      <c r="S235" s="685"/>
      <c r="T235" s="685"/>
      <c r="U235" s="685"/>
      <c r="V235" s="685"/>
      <c r="W235" s="685"/>
      <c r="X235" s="685"/>
      <c r="Y235" s="685"/>
      <c r="Z235" s="685"/>
      <c r="AA235" s="685"/>
      <c r="AB235" s="685"/>
      <c r="AC235" s="685"/>
      <c r="AD235" s="685"/>
      <c r="AE235" s="685"/>
      <c r="AF235" s="115"/>
      <c r="AG235" s="115"/>
      <c r="AH235" s="685"/>
      <c r="AI235" s="685"/>
      <c r="AJ235" s="685"/>
      <c r="AK235" s="685"/>
      <c r="AL235" s="685"/>
      <c r="AM235" s="685"/>
      <c r="AN235" s="685"/>
      <c r="AO235" s="685"/>
      <c r="AP235" s="685"/>
      <c r="AQ235" s="685"/>
      <c r="AR235" s="685"/>
      <c r="AS235" s="685"/>
      <c r="AT235" s="685"/>
      <c r="AU235" s="685"/>
      <c r="AV235" s="685"/>
      <c r="AW235" s="685"/>
      <c r="AX235" s="685"/>
      <c r="AY235" s="685"/>
      <c r="AZ235" s="685"/>
      <c r="BA235" s="685"/>
      <c r="BB235" s="685"/>
      <c r="BC235" s="685"/>
      <c r="BN235" s="685"/>
      <c r="BO235" s="685"/>
      <c r="BP235" s="685"/>
      <c r="BR235" s="685"/>
      <c r="BS235" s="685"/>
      <c r="BU235" s="685"/>
    </row>
    <row r="236" spans="1:73">
      <c r="A236" s="685"/>
      <c r="B236" s="685"/>
      <c r="C236" s="685"/>
      <c r="D236" s="685"/>
      <c r="E236" s="685"/>
      <c r="F236" s="685"/>
      <c r="G236" s="685"/>
      <c r="H236" s="685"/>
      <c r="I236" s="685"/>
      <c r="J236" s="685"/>
      <c r="K236" s="685"/>
      <c r="L236" s="685"/>
      <c r="M236" s="685"/>
      <c r="N236" s="685"/>
      <c r="O236" s="685"/>
      <c r="P236" s="685"/>
      <c r="Q236" s="685"/>
      <c r="R236" s="685"/>
      <c r="S236" s="685"/>
      <c r="T236" s="685"/>
      <c r="U236" s="685"/>
      <c r="V236" s="685"/>
      <c r="W236" s="685"/>
      <c r="X236" s="685"/>
      <c r="Y236" s="685"/>
      <c r="Z236" s="685"/>
      <c r="AA236" s="685"/>
      <c r="AB236" s="685"/>
      <c r="AC236" s="685"/>
      <c r="AD236" s="685"/>
      <c r="AE236" s="685"/>
      <c r="AF236" s="115"/>
      <c r="AG236" s="115"/>
      <c r="AH236" s="685"/>
      <c r="AI236" s="685"/>
      <c r="AJ236" s="685"/>
      <c r="AK236" s="685"/>
      <c r="AL236" s="685"/>
      <c r="AM236" s="685"/>
      <c r="AN236" s="685"/>
      <c r="AO236" s="685"/>
      <c r="AP236" s="685"/>
      <c r="AQ236" s="685"/>
      <c r="AR236" s="685"/>
      <c r="AS236" s="685"/>
      <c r="AT236" s="685"/>
      <c r="AU236" s="685"/>
      <c r="AV236" s="685"/>
      <c r="AW236" s="685"/>
      <c r="AX236" s="685"/>
      <c r="AY236" s="685"/>
      <c r="AZ236" s="685"/>
      <c r="BA236" s="685"/>
      <c r="BB236" s="685"/>
      <c r="BC236" s="685"/>
      <c r="BN236" s="685"/>
      <c r="BO236" s="685"/>
      <c r="BP236" s="685"/>
      <c r="BR236" s="685"/>
      <c r="BS236" s="685"/>
      <c r="BU236" s="685"/>
    </row>
    <row r="237" spans="1:73">
      <c r="A237" s="685"/>
      <c r="B237" s="685"/>
      <c r="C237" s="685"/>
      <c r="D237" s="685"/>
      <c r="E237" s="685"/>
      <c r="F237" s="685"/>
      <c r="G237" s="685"/>
      <c r="H237" s="685"/>
      <c r="I237" s="685"/>
      <c r="J237" s="685"/>
      <c r="K237" s="685"/>
      <c r="L237" s="685"/>
      <c r="M237" s="685"/>
      <c r="N237" s="685"/>
      <c r="O237" s="685"/>
      <c r="P237" s="685"/>
      <c r="Q237" s="685"/>
      <c r="R237" s="685"/>
      <c r="S237" s="685"/>
      <c r="T237" s="685"/>
      <c r="U237" s="685"/>
      <c r="V237" s="685"/>
      <c r="W237" s="685"/>
      <c r="X237" s="685"/>
      <c r="Y237" s="685"/>
      <c r="Z237" s="685"/>
      <c r="AA237" s="685"/>
      <c r="AB237" s="685"/>
      <c r="AC237" s="685"/>
      <c r="AD237" s="685"/>
      <c r="AE237" s="685"/>
      <c r="AF237" s="115"/>
      <c r="AG237" s="115"/>
      <c r="AH237" s="685"/>
      <c r="AI237" s="685"/>
      <c r="AJ237" s="685"/>
      <c r="AK237" s="685"/>
      <c r="AL237" s="685"/>
      <c r="AM237" s="685"/>
      <c r="AN237" s="685"/>
      <c r="AO237" s="685"/>
      <c r="AP237" s="685"/>
      <c r="AQ237" s="685"/>
      <c r="AR237" s="685"/>
      <c r="AS237" s="685"/>
      <c r="AT237" s="685"/>
      <c r="AU237" s="685"/>
      <c r="AV237" s="685"/>
      <c r="AW237" s="685"/>
      <c r="AX237" s="685"/>
      <c r="AY237" s="685"/>
      <c r="AZ237" s="685"/>
      <c r="BA237" s="685"/>
      <c r="BB237" s="685"/>
      <c r="BC237" s="685"/>
      <c r="BN237" s="685"/>
      <c r="BO237" s="685"/>
      <c r="BP237" s="685"/>
      <c r="BR237" s="685"/>
      <c r="BS237" s="685"/>
      <c r="BU237" s="685"/>
    </row>
    <row r="238" spans="1:73">
      <c r="A238" s="685"/>
      <c r="B238" s="685"/>
      <c r="C238" s="685"/>
      <c r="D238" s="685"/>
      <c r="E238" s="685"/>
      <c r="F238" s="685"/>
      <c r="G238" s="685"/>
      <c r="H238" s="685"/>
      <c r="I238" s="685"/>
      <c r="J238" s="685"/>
      <c r="K238" s="685"/>
      <c r="L238" s="685"/>
      <c r="M238" s="685"/>
      <c r="N238" s="685"/>
      <c r="O238" s="685"/>
      <c r="P238" s="685"/>
      <c r="Q238" s="685"/>
      <c r="R238" s="685"/>
      <c r="S238" s="685"/>
      <c r="T238" s="685"/>
      <c r="U238" s="685"/>
      <c r="V238" s="685"/>
      <c r="W238" s="685"/>
      <c r="X238" s="685"/>
      <c r="Y238" s="685"/>
      <c r="Z238" s="685"/>
      <c r="AA238" s="685"/>
      <c r="AB238" s="685"/>
      <c r="AC238" s="685"/>
      <c r="AD238" s="685"/>
      <c r="AE238" s="685"/>
      <c r="AF238" s="115"/>
      <c r="AG238" s="115"/>
      <c r="AH238" s="685"/>
      <c r="AI238" s="685"/>
      <c r="AJ238" s="685"/>
      <c r="AK238" s="685"/>
      <c r="AL238" s="685"/>
      <c r="AM238" s="685"/>
      <c r="AN238" s="685"/>
      <c r="AO238" s="685"/>
      <c r="AP238" s="685"/>
      <c r="AQ238" s="685"/>
      <c r="AR238" s="685"/>
      <c r="AS238" s="685"/>
      <c r="AT238" s="685"/>
      <c r="AU238" s="685"/>
      <c r="AV238" s="685"/>
      <c r="AW238" s="685"/>
      <c r="AX238" s="685"/>
      <c r="AY238" s="685"/>
      <c r="AZ238" s="685"/>
      <c r="BA238" s="685"/>
      <c r="BB238" s="685"/>
      <c r="BC238" s="685"/>
      <c r="BN238" s="685"/>
      <c r="BO238" s="685"/>
      <c r="BP238" s="685"/>
      <c r="BR238" s="685"/>
      <c r="BS238" s="685"/>
      <c r="BU238" s="685"/>
    </row>
    <row r="239" spans="1:73">
      <c r="A239" s="685"/>
      <c r="B239" s="685"/>
      <c r="C239" s="685"/>
      <c r="D239" s="685"/>
      <c r="E239" s="685"/>
      <c r="F239" s="685"/>
      <c r="G239" s="685"/>
      <c r="H239" s="685"/>
      <c r="I239" s="685"/>
      <c r="J239" s="685"/>
      <c r="K239" s="685"/>
      <c r="L239" s="685"/>
      <c r="M239" s="685"/>
      <c r="N239" s="685"/>
      <c r="O239" s="685"/>
      <c r="P239" s="685"/>
      <c r="Q239" s="685"/>
      <c r="R239" s="685"/>
      <c r="S239" s="685"/>
      <c r="T239" s="685"/>
      <c r="U239" s="685"/>
      <c r="V239" s="685"/>
      <c r="W239" s="685"/>
      <c r="X239" s="685"/>
      <c r="Y239" s="685"/>
      <c r="Z239" s="685"/>
      <c r="AA239" s="685"/>
      <c r="AB239" s="685"/>
      <c r="AC239" s="685"/>
      <c r="AD239" s="685"/>
      <c r="AE239" s="685"/>
      <c r="AF239" s="115"/>
      <c r="AG239" s="115"/>
      <c r="AH239" s="685"/>
      <c r="AI239" s="685"/>
      <c r="AJ239" s="685"/>
      <c r="AK239" s="685"/>
      <c r="AL239" s="685"/>
      <c r="AM239" s="685"/>
      <c r="AN239" s="685"/>
      <c r="AO239" s="685"/>
      <c r="AP239" s="685"/>
      <c r="AQ239" s="685"/>
      <c r="AR239" s="685"/>
      <c r="AS239" s="685"/>
      <c r="AT239" s="685"/>
      <c r="AU239" s="685"/>
      <c r="AV239" s="685"/>
      <c r="AW239" s="685"/>
      <c r="AX239" s="685"/>
      <c r="AY239" s="685"/>
      <c r="AZ239" s="685"/>
      <c r="BA239" s="685"/>
      <c r="BB239" s="685"/>
      <c r="BC239" s="685"/>
      <c r="BN239" s="685"/>
      <c r="BO239" s="685"/>
      <c r="BP239" s="685"/>
      <c r="BR239" s="685"/>
      <c r="BS239" s="685"/>
      <c r="BU239" s="685"/>
    </row>
    <row r="240" spans="1:73">
      <c r="A240" s="685"/>
      <c r="B240" s="685"/>
      <c r="C240" s="685"/>
      <c r="D240" s="685"/>
      <c r="E240" s="685"/>
      <c r="F240" s="685"/>
      <c r="G240" s="685"/>
      <c r="H240" s="685"/>
      <c r="I240" s="685"/>
      <c r="J240" s="685"/>
      <c r="K240" s="685"/>
      <c r="L240" s="685"/>
      <c r="M240" s="685"/>
      <c r="N240" s="685"/>
      <c r="O240" s="685"/>
      <c r="P240" s="685"/>
      <c r="Q240" s="685"/>
      <c r="R240" s="685"/>
      <c r="S240" s="685"/>
      <c r="T240" s="685"/>
      <c r="U240" s="685"/>
      <c r="V240" s="685"/>
      <c r="W240" s="685"/>
      <c r="X240" s="685"/>
      <c r="Y240" s="685"/>
      <c r="Z240" s="685"/>
      <c r="AA240" s="685"/>
      <c r="AB240" s="685"/>
      <c r="AC240" s="685"/>
      <c r="AD240" s="685"/>
      <c r="AE240" s="685"/>
      <c r="AF240" s="115"/>
      <c r="AG240" s="115"/>
      <c r="AH240" s="685"/>
      <c r="AI240" s="685"/>
      <c r="AJ240" s="685"/>
      <c r="AK240" s="685"/>
      <c r="AL240" s="685"/>
      <c r="AM240" s="685"/>
      <c r="AN240" s="685"/>
      <c r="AO240" s="685"/>
      <c r="AP240" s="685"/>
      <c r="AQ240" s="685"/>
      <c r="AR240" s="685"/>
      <c r="AS240" s="685"/>
      <c r="AT240" s="685"/>
      <c r="AU240" s="685"/>
      <c r="AV240" s="685"/>
      <c r="AW240" s="685"/>
      <c r="AX240" s="685"/>
      <c r="AY240" s="685"/>
      <c r="AZ240" s="685"/>
      <c r="BA240" s="685"/>
      <c r="BB240" s="685"/>
      <c r="BC240" s="685"/>
      <c r="BN240" s="685"/>
      <c r="BO240" s="685"/>
      <c r="BP240" s="685"/>
      <c r="BR240" s="685"/>
      <c r="BS240" s="685"/>
      <c r="BU240" s="685"/>
    </row>
    <row r="241" spans="1:73">
      <c r="A241" s="685"/>
      <c r="B241" s="685"/>
      <c r="C241" s="685"/>
      <c r="D241" s="685"/>
      <c r="E241" s="685"/>
      <c r="F241" s="685"/>
      <c r="G241" s="685"/>
      <c r="H241" s="685"/>
      <c r="I241" s="685"/>
      <c r="J241" s="685"/>
      <c r="K241" s="685"/>
      <c r="L241" s="685"/>
      <c r="M241" s="685"/>
      <c r="N241" s="685"/>
      <c r="O241" s="685"/>
      <c r="P241" s="685"/>
      <c r="Q241" s="685"/>
      <c r="R241" s="685"/>
      <c r="S241" s="685"/>
      <c r="T241" s="685"/>
      <c r="U241" s="685"/>
      <c r="V241" s="685"/>
      <c r="W241" s="685"/>
      <c r="X241" s="685"/>
      <c r="Y241" s="685"/>
      <c r="Z241" s="685"/>
      <c r="AA241" s="685"/>
      <c r="AB241" s="685"/>
      <c r="AC241" s="685"/>
      <c r="AD241" s="685"/>
      <c r="AE241" s="685"/>
      <c r="AF241" s="115"/>
      <c r="AG241" s="115"/>
      <c r="AH241" s="685"/>
      <c r="AI241" s="685"/>
      <c r="AJ241" s="685"/>
      <c r="AK241" s="685"/>
      <c r="AL241" s="685"/>
      <c r="AM241" s="685"/>
      <c r="AN241" s="685"/>
      <c r="AO241" s="685"/>
      <c r="AP241" s="685"/>
      <c r="AQ241" s="685"/>
      <c r="AR241" s="685"/>
      <c r="AS241" s="685"/>
      <c r="AT241" s="685"/>
      <c r="AU241" s="685"/>
      <c r="AV241" s="685"/>
      <c r="AW241" s="685"/>
      <c r="AX241" s="685"/>
      <c r="AY241" s="685"/>
      <c r="AZ241" s="685"/>
      <c r="BA241" s="685"/>
      <c r="BB241" s="685"/>
      <c r="BC241" s="685"/>
      <c r="BN241" s="685"/>
      <c r="BO241" s="685"/>
      <c r="BP241" s="685"/>
      <c r="BR241" s="685"/>
      <c r="BS241" s="685"/>
      <c r="BU241" s="685"/>
    </row>
    <row r="242" spans="1:73">
      <c r="A242" s="685"/>
      <c r="B242" s="685"/>
      <c r="C242" s="685"/>
      <c r="D242" s="685"/>
      <c r="E242" s="685"/>
      <c r="F242" s="685"/>
      <c r="G242" s="685"/>
      <c r="H242" s="685"/>
      <c r="I242" s="685"/>
      <c r="J242" s="685"/>
      <c r="K242" s="685"/>
      <c r="L242" s="685"/>
      <c r="M242" s="685"/>
      <c r="N242" s="685"/>
      <c r="O242" s="685"/>
      <c r="P242" s="685"/>
      <c r="Q242" s="685"/>
      <c r="R242" s="685"/>
      <c r="S242" s="685"/>
      <c r="T242" s="685"/>
      <c r="U242" s="685"/>
      <c r="V242" s="685"/>
      <c r="W242" s="685"/>
      <c r="X242" s="685"/>
      <c r="Y242" s="685"/>
      <c r="Z242" s="685"/>
      <c r="AA242" s="685"/>
      <c r="AB242" s="685"/>
      <c r="AC242" s="685"/>
      <c r="AD242" s="685"/>
      <c r="AE242" s="685"/>
      <c r="AF242" s="115"/>
      <c r="AG242" s="115"/>
      <c r="AH242" s="685"/>
      <c r="AI242" s="685"/>
      <c r="AJ242" s="685"/>
      <c r="AK242" s="685"/>
      <c r="AL242" s="685"/>
      <c r="AM242" s="685"/>
      <c r="AN242" s="685"/>
      <c r="AO242" s="685"/>
      <c r="AP242" s="685"/>
      <c r="AQ242" s="685"/>
      <c r="AR242" s="685"/>
      <c r="AS242" s="685"/>
      <c r="AT242" s="685"/>
      <c r="AU242" s="685"/>
      <c r="AV242" s="685"/>
      <c r="AW242" s="685"/>
      <c r="AX242" s="685"/>
      <c r="AY242" s="685"/>
      <c r="AZ242" s="685"/>
      <c r="BA242" s="685"/>
      <c r="BB242" s="685"/>
      <c r="BC242" s="685"/>
      <c r="BN242" s="685"/>
      <c r="BO242" s="685"/>
      <c r="BP242" s="685"/>
      <c r="BR242" s="685"/>
      <c r="BS242" s="685"/>
      <c r="BU242" s="685"/>
    </row>
    <row r="243" spans="1:73">
      <c r="A243" s="685"/>
      <c r="B243" s="685"/>
      <c r="C243" s="685"/>
      <c r="D243" s="685"/>
      <c r="E243" s="685"/>
      <c r="F243" s="685"/>
      <c r="G243" s="685"/>
      <c r="H243" s="685"/>
      <c r="I243" s="685"/>
      <c r="J243" s="685"/>
      <c r="K243" s="685"/>
      <c r="L243" s="685"/>
      <c r="M243" s="685"/>
      <c r="N243" s="685"/>
      <c r="O243" s="685"/>
      <c r="P243" s="685"/>
      <c r="Q243" s="685"/>
      <c r="R243" s="685"/>
      <c r="S243" s="685"/>
      <c r="T243" s="685"/>
      <c r="U243" s="685"/>
      <c r="V243" s="685"/>
      <c r="W243" s="685"/>
      <c r="X243" s="685"/>
      <c r="Y243" s="685"/>
      <c r="Z243" s="685"/>
      <c r="AA243" s="685"/>
      <c r="AB243" s="685"/>
      <c r="AC243" s="685"/>
      <c r="AD243" s="685"/>
      <c r="AE243" s="685"/>
      <c r="AF243" s="115"/>
      <c r="AG243" s="115"/>
      <c r="AH243" s="685"/>
      <c r="AI243" s="685"/>
      <c r="AJ243" s="685"/>
      <c r="AK243" s="685"/>
      <c r="AL243" s="685"/>
      <c r="AM243" s="685"/>
      <c r="AN243" s="685"/>
      <c r="AO243" s="685"/>
      <c r="AP243" s="685"/>
      <c r="AQ243" s="685"/>
      <c r="AR243" s="685"/>
      <c r="AS243" s="685"/>
      <c r="AT243" s="685"/>
      <c r="AU243" s="685"/>
      <c r="AV243" s="685"/>
      <c r="AW243" s="685"/>
      <c r="AX243" s="685"/>
      <c r="AY243" s="685"/>
      <c r="AZ243" s="685"/>
      <c r="BA243" s="685"/>
      <c r="BB243" s="685"/>
      <c r="BC243" s="685"/>
      <c r="BN243" s="685"/>
      <c r="BO243" s="685"/>
      <c r="BP243" s="685"/>
      <c r="BR243" s="685"/>
      <c r="BS243" s="685"/>
      <c r="BU243" s="685"/>
    </row>
    <row r="244" spans="1:73">
      <c r="A244" s="685"/>
      <c r="B244" s="685"/>
      <c r="C244" s="685"/>
      <c r="D244" s="685"/>
      <c r="E244" s="685"/>
      <c r="F244" s="685"/>
      <c r="G244" s="685"/>
      <c r="H244" s="685"/>
      <c r="I244" s="685"/>
      <c r="J244" s="685"/>
      <c r="K244" s="685"/>
      <c r="L244" s="685"/>
      <c r="M244" s="685"/>
      <c r="N244" s="685"/>
      <c r="O244" s="685"/>
      <c r="P244" s="685"/>
      <c r="Q244" s="685"/>
      <c r="R244" s="685"/>
      <c r="S244" s="685"/>
      <c r="T244" s="685"/>
      <c r="U244" s="685"/>
      <c r="V244" s="685"/>
      <c r="W244" s="685"/>
      <c r="X244" s="685"/>
      <c r="Y244" s="685"/>
      <c r="Z244" s="685"/>
      <c r="AA244" s="685"/>
      <c r="AB244" s="685"/>
      <c r="AC244" s="685"/>
      <c r="AD244" s="685"/>
      <c r="AE244" s="685"/>
      <c r="AF244" s="115"/>
      <c r="AG244" s="115"/>
      <c r="AH244" s="685"/>
      <c r="AI244" s="685"/>
      <c r="AJ244" s="685"/>
      <c r="AK244" s="685"/>
      <c r="AL244" s="685"/>
      <c r="AM244" s="685"/>
      <c r="AN244" s="685"/>
      <c r="AO244" s="685"/>
      <c r="AP244" s="685"/>
      <c r="AQ244" s="685"/>
      <c r="AR244" s="685"/>
      <c r="AS244" s="685"/>
      <c r="AT244" s="685"/>
      <c r="AU244" s="685"/>
      <c r="AV244" s="685"/>
      <c r="AW244" s="685"/>
      <c r="AX244" s="685"/>
      <c r="AY244" s="685"/>
      <c r="AZ244" s="685"/>
      <c r="BA244" s="685"/>
      <c r="BB244" s="685"/>
      <c r="BC244" s="685"/>
      <c r="BN244" s="685"/>
      <c r="BO244" s="685"/>
      <c r="BP244" s="685"/>
      <c r="BR244" s="685"/>
      <c r="BS244" s="685"/>
      <c r="BU244" s="685"/>
    </row>
    <row r="245" spans="1:73">
      <c r="A245" s="685"/>
      <c r="B245" s="685"/>
      <c r="C245" s="685"/>
      <c r="D245" s="685"/>
      <c r="E245" s="685"/>
      <c r="F245" s="685"/>
      <c r="G245" s="685"/>
      <c r="H245" s="685"/>
      <c r="I245" s="685"/>
      <c r="J245" s="685"/>
      <c r="K245" s="685"/>
      <c r="L245" s="685"/>
      <c r="M245" s="685"/>
      <c r="N245" s="685"/>
      <c r="O245" s="685"/>
      <c r="P245" s="685"/>
      <c r="Q245" s="685"/>
      <c r="R245" s="685"/>
      <c r="S245" s="685"/>
      <c r="T245" s="685"/>
      <c r="U245" s="685"/>
      <c r="V245" s="685"/>
      <c r="W245" s="685"/>
      <c r="X245" s="685"/>
      <c r="Y245" s="685"/>
      <c r="Z245" s="685"/>
      <c r="AA245" s="685"/>
      <c r="AB245" s="685"/>
      <c r="AC245" s="685"/>
      <c r="AD245" s="685"/>
      <c r="AE245" s="685"/>
      <c r="AF245" s="115"/>
      <c r="AG245" s="115"/>
      <c r="AH245" s="685"/>
      <c r="AI245" s="685"/>
      <c r="AJ245" s="685"/>
      <c r="AK245" s="685"/>
      <c r="AL245" s="685"/>
      <c r="AM245" s="685"/>
      <c r="AN245" s="685"/>
      <c r="AO245" s="685"/>
      <c r="AP245" s="685"/>
      <c r="AQ245" s="685"/>
      <c r="AR245" s="685"/>
      <c r="AS245" s="685"/>
      <c r="AT245" s="685"/>
      <c r="AU245" s="685"/>
      <c r="AV245" s="685"/>
      <c r="AW245" s="685"/>
      <c r="AX245" s="685"/>
      <c r="AY245" s="685"/>
      <c r="AZ245" s="685"/>
      <c r="BA245" s="685"/>
      <c r="BB245" s="685"/>
      <c r="BC245" s="685"/>
      <c r="BN245" s="685"/>
      <c r="BO245" s="685"/>
      <c r="BP245" s="685"/>
      <c r="BR245" s="685"/>
      <c r="BS245" s="685"/>
      <c r="BU245" s="685"/>
    </row>
    <row r="246" spans="1:73">
      <c r="A246" s="685"/>
      <c r="B246" s="685"/>
      <c r="C246" s="685"/>
      <c r="D246" s="685"/>
      <c r="E246" s="685"/>
      <c r="F246" s="685"/>
      <c r="G246" s="685"/>
      <c r="H246" s="685"/>
      <c r="I246" s="685"/>
      <c r="J246" s="685"/>
      <c r="K246" s="685"/>
      <c r="L246" s="685"/>
      <c r="M246" s="685"/>
      <c r="N246" s="685"/>
      <c r="O246" s="685"/>
      <c r="P246" s="685"/>
      <c r="Q246" s="685"/>
      <c r="R246" s="685"/>
      <c r="S246" s="685"/>
      <c r="T246" s="685"/>
      <c r="U246" s="685"/>
      <c r="V246" s="685"/>
      <c r="W246" s="685"/>
      <c r="X246" s="685"/>
      <c r="Y246" s="685"/>
      <c r="Z246" s="685"/>
      <c r="AA246" s="685"/>
      <c r="AB246" s="685"/>
      <c r="AC246" s="685"/>
      <c r="AD246" s="685"/>
      <c r="AE246" s="685"/>
      <c r="AF246" s="115"/>
      <c r="AG246" s="115"/>
      <c r="AH246" s="685"/>
      <c r="AI246" s="685"/>
      <c r="AJ246" s="685"/>
      <c r="AK246" s="685"/>
      <c r="AL246" s="685"/>
      <c r="AM246" s="685"/>
      <c r="AN246" s="685"/>
      <c r="AO246" s="685"/>
      <c r="AP246" s="685"/>
      <c r="AQ246" s="685"/>
      <c r="AR246" s="685"/>
      <c r="AS246" s="685"/>
      <c r="AT246" s="685"/>
      <c r="AU246" s="685"/>
      <c r="AV246" s="685"/>
      <c r="AW246" s="685"/>
      <c r="AX246" s="685"/>
      <c r="AY246" s="685"/>
      <c r="AZ246" s="685"/>
      <c r="BA246" s="685"/>
      <c r="BB246" s="685"/>
      <c r="BC246" s="685"/>
      <c r="BN246" s="685"/>
      <c r="BO246" s="685"/>
      <c r="BP246" s="685"/>
      <c r="BR246" s="685"/>
      <c r="BS246" s="685"/>
      <c r="BU246" s="685"/>
    </row>
    <row r="247" spans="1:73">
      <c r="A247" s="685"/>
      <c r="B247" s="685"/>
      <c r="C247" s="685"/>
      <c r="D247" s="685"/>
      <c r="E247" s="685"/>
      <c r="F247" s="685"/>
      <c r="G247" s="685"/>
      <c r="H247" s="685"/>
      <c r="I247" s="685"/>
      <c r="J247" s="685"/>
      <c r="K247" s="685"/>
      <c r="L247" s="685"/>
      <c r="M247" s="685"/>
      <c r="N247" s="685"/>
      <c r="O247" s="685"/>
      <c r="P247" s="685"/>
      <c r="Q247" s="685"/>
      <c r="R247" s="685"/>
      <c r="S247" s="685"/>
      <c r="T247" s="685"/>
      <c r="U247" s="685"/>
      <c r="V247" s="685"/>
      <c r="W247" s="685"/>
      <c r="X247" s="685"/>
      <c r="Y247" s="685"/>
      <c r="Z247" s="685"/>
      <c r="AA247" s="685"/>
      <c r="AB247" s="685"/>
      <c r="AC247" s="685"/>
      <c r="AD247" s="685"/>
      <c r="AE247" s="685"/>
      <c r="AF247" s="115"/>
      <c r="AG247" s="115"/>
      <c r="AH247" s="685"/>
      <c r="AI247" s="685"/>
      <c r="AJ247" s="685"/>
      <c r="AK247" s="685"/>
      <c r="AL247" s="685"/>
      <c r="AM247" s="685"/>
      <c r="AN247" s="685"/>
      <c r="AO247" s="685"/>
      <c r="AP247" s="685"/>
      <c r="AQ247" s="685"/>
      <c r="AR247" s="685"/>
      <c r="AS247" s="685"/>
      <c r="AT247" s="685"/>
      <c r="AU247" s="685"/>
      <c r="AV247" s="685"/>
      <c r="AW247" s="685"/>
      <c r="AX247" s="685"/>
      <c r="AY247" s="685"/>
      <c r="AZ247" s="685"/>
      <c r="BA247" s="685"/>
      <c r="BB247" s="685"/>
      <c r="BC247" s="685"/>
      <c r="BN247" s="685"/>
      <c r="BO247" s="685"/>
      <c r="BP247" s="685"/>
      <c r="BR247" s="685"/>
      <c r="BS247" s="685"/>
      <c r="BU247" s="685"/>
    </row>
    <row r="248" spans="1:73">
      <c r="A248" s="685"/>
      <c r="B248" s="685"/>
      <c r="C248" s="685"/>
      <c r="D248" s="685"/>
      <c r="E248" s="685"/>
      <c r="F248" s="685"/>
      <c r="G248" s="685"/>
      <c r="H248" s="685"/>
      <c r="I248" s="685"/>
      <c r="J248" s="685"/>
      <c r="K248" s="685"/>
      <c r="L248" s="685"/>
      <c r="M248" s="685"/>
      <c r="N248" s="685"/>
      <c r="O248" s="685"/>
      <c r="P248" s="685"/>
      <c r="Q248" s="685"/>
      <c r="R248" s="685"/>
      <c r="S248" s="685"/>
      <c r="T248" s="685"/>
      <c r="U248" s="685"/>
      <c r="V248" s="685"/>
      <c r="W248" s="685"/>
      <c r="X248" s="685"/>
      <c r="Y248" s="685"/>
      <c r="Z248" s="685"/>
      <c r="AA248" s="685"/>
      <c r="AB248" s="685"/>
      <c r="AC248" s="685"/>
      <c r="AD248" s="685"/>
      <c r="AE248" s="685"/>
      <c r="AF248" s="115"/>
      <c r="AG248" s="115"/>
      <c r="AH248" s="685"/>
      <c r="AI248" s="685"/>
      <c r="AJ248" s="685"/>
      <c r="AK248" s="685"/>
      <c r="AL248" s="685"/>
      <c r="AM248" s="685"/>
      <c r="AN248" s="685"/>
      <c r="AO248" s="685"/>
      <c r="AP248" s="685"/>
      <c r="AQ248" s="685"/>
      <c r="AR248" s="685"/>
      <c r="AS248" s="685"/>
      <c r="AT248" s="685"/>
      <c r="AU248" s="685"/>
      <c r="AV248" s="685"/>
      <c r="AW248" s="685"/>
      <c r="AX248" s="685"/>
      <c r="AY248" s="685"/>
      <c r="AZ248" s="685"/>
      <c r="BA248" s="685"/>
      <c r="BB248" s="685"/>
      <c r="BC248" s="685"/>
      <c r="BN248" s="685"/>
      <c r="BO248" s="685"/>
      <c r="BP248" s="685"/>
      <c r="BR248" s="685"/>
      <c r="BS248" s="685"/>
      <c r="BU248" s="685"/>
    </row>
    <row r="249" spans="1:73">
      <c r="A249" s="685"/>
      <c r="B249" s="685"/>
      <c r="C249" s="685"/>
      <c r="D249" s="685"/>
      <c r="E249" s="685"/>
      <c r="F249" s="685"/>
      <c r="G249" s="685"/>
      <c r="H249" s="685"/>
      <c r="I249" s="685"/>
      <c r="J249" s="685"/>
      <c r="K249" s="685"/>
      <c r="L249" s="685"/>
      <c r="M249" s="685"/>
      <c r="N249" s="685"/>
      <c r="O249" s="685"/>
      <c r="P249" s="685"/>
      <c r="Q249" s="685"/>
      <c r="R249" s="685"/>
      <c r="S249" s="685"/>
      <c r="T249" s="685"/>
      <c r="U249" s="685"/>
      <c r="V249" s="685"/>
      <c r="W249" s="685"/>
      <c r="X249" s="685"/>
      <c r="Y249" s="685"/>
      <c r="Z249" s="685"/>
      <c r="AA249" s="685"/>
      <c r="AB249" s="685"/>
      <c r="AC249" s="685"/>
      <c r="AD249" s="685"/>
      <c r="AE249" s="685"/>
      <c r="AF249" s="115"/>
      <c r="AG249" s="115"/>
      <c r="AH249" s="685"/>
      <c r="AI249" s="685"/>
      <c r="AJ249" s="685"/>
      <c r="AK249" s="685"/>
      <c r="AL249" s="685"/>
      <c r="AM249" s="685"/>
      <c r="AN249" s="685"/>
      <c r="AO249" s="685"/>
      <c r="AP249" s="685"/>
      <c r="AQ249" s="685"/>
      <c r="AR249" s="685"/>
      <c r="AS249" s="685"/>
      <c r="AT249" s="685"/>
      <c r="AU249" s="685"/>
      <c r="AV249" s="685"/>
      <c r="AW249" s="685"/>
      <c r="AX249" s="685"/>
      <c r="AY249" s="685"/>
      <c r="AZ249" s="685"/>
      <c r="BA249" s="685"/>
      <c r="BB249" s="685"/>
      <c r="BC249" s="685"/>
      <c r="BN249" s="685"/>
      <c r="BO249" s="685"/>
      <c r="BP249" s="685"/>
      <c r="BR249" s="685"/>
      <c r="BS249" s="685"/>
      <c r="BU249" s="685"/>
    </row>
    <row r="250" spans="1:73">
      <c r="A250" s="685"/>
      <c r="B250" s="685"/>
      <c r="C250" s="685"/>
      <c r="D250" s="685"/>
      <c r="E250" s="685"/>
      <c r="F250" s="685"/>
      <c r="G250" s="685"/>
      <c r="H250" s="685"/>
      <c r="I250" s="685"/>
      <c r="J250" s="685"/>
      <c r="K250" s="685"/>
      <c r="L250" s="685"/>
      <c r="M250" s="685"/>
      <c r="N250" s="685"/>
      <c r="O250" s="685"/>
      <c r="P250" s="685"/>
      <c r="Q250" s="685"/>
      <c r="R250" s="685"/>
      <c r="S250" s="685"/>
      <c r="T250" s="685"/>
      <c r="U250" s="685"/>
      <c r="V250" s="685"/>
      <c r="W250" s="685"/>
      <c r="X250" s="685"/>
      <c r="Y250" s="685"/>
      <c r="Z250" s="685"/>
      <c r="AA250" s="685"/>
      <c r="AB250" s="685"/>
      <c r="AC250" s="685"/>
      <c r="AD250" s="685"/>
      <c r="AE250" s="685"/>
      <c r="AF250" s="115"/>
      <c r="AG250" s="115"/>
      <c r="AH250" s="685"/>
      <c r="AI250" s="685"/>
      <c r="AJ250" s="685"/>
      <c r="AK250" s="685"/>
      <c r="AL250" s="685"/>
      <c r="AM250" s="685"/>
      <c r="AN250" s="685"/>
      <c r="AO250" s="685"/>
      <c r="AP250" s="685"/>
      <c r="AQ250" s="685"/>
      <c r="AR250" s="685"/>
      <c r="AS250" s="685"/>
      <c r="AT250" s="685"/>
      <c r="AU250" s="685"/>
      <c r="AV250" s="685"/>
      <c r="AW250" s="685"/>
      <c r="AX250" s="685"/>
      <c r="AY250" s="685"/>
      <c r="AZ250" s="685"/>
      <c r="BA250" s="685"/>
      <c r="BB250" s="685"/>
      <c r="BC250" s="685"/>
      <c r="BN250" s="685"/>
      <c r="BO250" s="685"/>
      <c r="BP250" s="685"/>
      <c r="BR250" s="685"/>
      <c r="BS250" s="685"/>
      <c r="BU250" s="685"/>
    </row>
    <row r="251" spans="1:73">
      <c r="A251" s="685"/>
      <c r="B251" s="685"/>
      <c r="C251" s="685"/>
      <c r="D251" s="685"/>
      <c r="E251" s="685"/>
      <c r="F251" s="685"/>
      <c r="G251" s="685"/>
      <c r="H251" s="685"/>
      <c r="I251" s="685"/>
      <c r="J251" s="685"/>
      <c r="K251" s="685"/>
      <c r="L251" s="685"/>
      <c r="M251" s="685"/>
      <c r="N251" s="685"/>
      <c r="O251" s="685"/>
      <c r="P251" s="685"/>
      <c r="Q251" s="685"/>
      <c r="R251" s="685"/>
      <c r="S251" s="685"/>
      <c r="T251" s="685"/>
      <c r="U251" s="685"/>
      <c r="V251" s="685"/>
      <c r="W251" s="685"/>
      <c r="X251" s="685"/>
      <c r="Y251" s="685"/>
      <c r="Z251" s="685"/>
      <c r="AA251" s="685"/>
      <c r="AB251" s="685"/>
      <c r="AC251" s="685"/>
      <c r="AD251" s="685"/>
      <c r="AE251" s="685"/>
      <c r="AF251" s="115"/>
      <c r="AG251" s="115"/>
      <c r="AH251" s="685"/>
      <c r="AI251" s="685"/>
      <c r="AJ251" s="685"/>
      <c r="AK251" s="685"/>
      <c r="AL251" s="685"/>
      <c r="AM251" s="685"/>
      <c r="AN251" s="685"/>
      <c r="AO251" s="685"/>
      <c r="AP251" s="685"/>
      <c r="AQ251" s="685"/>
      <c r="AR251" s="685"/>
      <c r="AS251" s="685"/>
      <c r="AT251" s="685"/>
      <c r="AU251" s="685"/>
      <c r="AV251" s="685"/>
      <c r="AW251" s="685"/>
      <c r="AX251" s="685"/>
      <c r="AY251" s="685"/>
      <c r="AZ251" s="685"/>
      <c r="BA251" s="685"/>
      <c r="BB251" s="685"/>
      <c r="BC251" s="685"/>
      <c r="BN251" s="685"/>
      <c r="BO251" s="685"/>
      <c r="BP251" s="685"/>
      <c r="BR251" s="685"/>
      <c r="BS251" s="685"/>
      <c r="BU251" s="685"/>
    </row>
    <row r="252" spans="1:73">
      <c r="A252" s="685"/>
      <c r="B252" s="685"/>
      <c r="C252" s="685"/>
      <c r="D252" s="685"/>
      <c r="E252" s="685"/>
      <c r="F252" s="685"/>
      <c r="G252" s="685"/>
      <c r="H252" s="685"/>
      <c r="I252" s="685"/>
      <c r="J252" s="685"/>
      <c r="K252" s="685"/>
      <c r="L252" s="685"/>
      <c r="M252" s="685"/>
      <c r="N252" s="685"/>
      <c r="O252" s="685"/>
      <c r="P252" s="685"/>
      <c r="Q252" s="685"/>
      <c r="R252" s="685"/>
      <c r="S252" s="685"/>
      <c r="T252" s="685"/>
      <c r="U252" s="685"/>
      <c r="V252" s="685"/>
      <c r="W252" s="685"/>
      <c r="X252" s="685"/>
      <c r="Y252" s="685"/>
      <c r="Z252" s="685"/>
      <c r="AA252" s="685"/>
      <c r="AB252" s="685"/>
      <c r="AC252" s="685"/>
      <c r="AD252" s="685"/>
      <c r="AE252" s="685"/>
      <c r="AF252" s="115"/>
      <c r="AG252" s="115"/>
      <c r="AH252" s="685"/>
      <c r="AI252" s="685"/>
      <c r="AJ252" s="685"/>
      <c r="AK252" s="685"/>
      <c r="AL252" s="685"/>
      <c r="AM252" s="685"/>
      <c r="AN252" s="685"/>
      <c r="AO252" s="685"/>
      <c r="AP252" s="685"/>
      <c r="AQ252" s="685"/>
      <c r="AR252" s="685"/>
      <c r="AS252" s="685"/>
      <c r="AT252" s="685"/>
      <c r="AU252" s="685"/>
      <c r="AV252" s="685"/>
      <c r="AW252" s="685"/>
      <c r="AX252" s="685"/>
      <c r="AY252" s="685"/>
      <c r="AZ252" s="685"/>
      <c r="BA252" s="685"/>
      <c r="BB252" s="685"/>
      <c r="BC252" s="685"/>
      <c r="BN252" s="685"/>
      <c r="BO252" s="685"/>
      <c r="BP252" s="685"/>
      <c r="BR252" s="685"/>
      <c r="BS252" s="685"/>
      <c r="BU252" s="685"/>
    </row>
    <row r="253" spans="1:73">
      <c r="A253" s="685"/>
      <c r="B253" s="685"/>
      <c r="C253" s="685"/>
      <c r="D253" s="685"/>
      <c r="E253" s="685"/>
      <c r="F253" s="685"/>
      <c r="G253" s="685"/>
      <c r="H253" s="685"/>
      <c r="I253" s="685"/>
      <c r="J253" s="685"/>
      <c r="K253" s="685"/>
      <c r="L253" s="685"/>
      <c r="M253" s="685"/>
      <c r="N253" s="685"/>
      <c r="O253" s="685"/>
      <c r="P253" s="685"/>
      <c r="Q253" s="685"/>
      <c r="R253" s="685"/>
      <c r="S253" s="685"/>
      <c r="T253" s="685"/>
      <c r="U253" s="685"/>
      <c r="V253" s="685"/>
      <c r="W253" s="685"/>
      <c r="X253" s="685"/>
      <c r="Y253" s="685"/>
      <c r="Z253" s="685"/>
      <c r="AA253" s="685"/>
      <c r="AB253" s="685"/>
      <c r="AC253" s="685"/>
      <c r="AD253" s="685"/>
      <c r="AE253" s="685"/>
      <c r="AF253" s="115"/>
      <c r="AG253" s="115"/>
      <c r="AH253" s="685"/>
      <c r="AI253" s="685"/>
      <c r="AJ253" s="685"/>
      <c r="AK253" s="685"/>
      <c r="AL253" s="685"/>
      <c r="AM253" s="685"/>
      <c r="AN253" s="685"/>
      <c r="AO253" s="685"/>
      <c r="AP253" s="685"/>
      <c r="AQ253" s="685"/>
      <c r="AR253" s="685"/>
      <c r="AS253" s="685"/>
      <c r="AT253" s="685"/>
      <c r="AU253" s="685"/>
      <c r="AV253" s="685"/>
      <c r="AW253" s="685"/>
      <c r="AX253" s="685"/>
      <c r="AY253" s="685"/>
      <c r="AZ253" s="685"/>
      <c r="BA253" s="685"/>
      <c r="BB253" s="685"/>
      <c r="BC253" s="685"/>
      <c r="BN253" s="685"/>
      <c r="BO253" s="685"/>
      <c r="BP253" s="685"/>
      <c r="BR253" s="685"/>
      <c r="BS253" s="685"/>
      <c r="BU253" s="685"/>
    </row>
    <row r="254" spans="1:73">
      <c r="A254" s="685"/>
      <c r="B254" s="685"/>
      <c r="C254" s="685"/>
      <c r="D254" s="685"/>
      <c r="E254" s="685"/>
      <c r="F254" s="685"/>
      <c r="G254" s="685"/>
      <c r="H254" s="685"/>
      <c r="I254" s="685"/>
      <c r="J254" s="685"/>
      <c r="K254" s="685"/>
      <c r="L254" s="685"/>
      <c r="M254" s="685"/>
      <c r="N254" s="685"/>
      <c r="O254" s="685"/>
      <c r="P254" s="685"/>
      <c r="Q254" s="685"/>
      <c r="R254" s="685"/>
      <c r="S254" s="685"/>
      <c r="T254" s="685"/>
      <c r="U254" s="685"/>
      <c r="V254" s="685"/>
      <c r="W254" s="685"/>
      <c r="X254" s="685"/>
      <c r="Y254" s="685"/>
      <c r="Z254" s="685"/>
      <c r="AA254" s="685"/>
      <c r="AB254" s="685"/>
      <c r="AC254" s="685"/>
      <c r="AD254" s="685"/>
      <c r="AE254" s="685"/>
      <c r="AF254" s="115"/>
      <c r="AG254" s="115"/>
      <c r="AH254" s="685"/>
      <c r="AI254" s="685"/>
      <c r="AJ254" s="685"/>
      <c r="AK254" s="685"/>
      <c r="AL254" s="685"/>
      <c r="AM254" s="685"/>
      <c r="AN254" s="685"/>
      <c r="AO254" s="685"/>
      <c r="AP254" s="685"/>
      <c r="AQ254" s="685"/>
      <c r="AR254" s="685"/>
      <c r="AS254" s="685"/>
      <c r="AT254" s="685"/>
      <c r="AU254" s="685"/>
      <c r="AV254" s="685"/>
      <c r="AW254" s="685"/>
      <c r="AX254" s="685"/>
      <c r="AY254" s="685"/>
      <c r="AZ254" s="685"/>
      <c r="BA254" s="685"/>
      <c r="BB254" s="685"/>
      <c r="BC254" s="685"/>
      <c r="BN254" s="685"/>
      <c r="BO254" s="685"/>
      <c r="BP254" s="685"/>
      <c r="BR254" s="685"/>
      <c r="BS254" s="685"/>
      <c r="BU254" s="685"/>
    </row>
    <row r="255" spans="1:73">
      <c r="A255" s="685"/>
      <c r="B255" s="685"/>
      <c r="C255" s="685"/>
      <c r="D255" s="685"/>
      <c r="E255" s="685"/>
      <c r="F255" s="685"/>
      <c r="G255" s="685"/>
      <c r="H255" s="685"/>
      <c r="I255" s="685"/>
      <c r="J255" s="685"/>
      <c r="K255" s="685"/>
      <c r="L255" s="685"/>
      <c r="M255" s="685"/>
      <c r="N255" s="685"/>
      <c r="O255" s="685"/>
      <c r="P255" s="685"/>
      <c r="Q255" s="685"/>
      <c r="R255" s="685"/>
      <c r="S255" s="685"/>
      <c r="T255" s="685"/>
      <c r="U255" s="685"/>
      <c r="V255" s="685"/>
      <c r="W255" s="685"/>
      <c r="X255" s="685"/>
      <c r="Y255" s="685"/>
      <c r="Z255" s="685"/>
      <c r="AA255" s="685"/>
      <c r="AB255" s="685"/>
      <c r="AC255" s="685"/>
      <c r="AD255" s="685"/>
      <c r="AE255" s="685"/>
      <c r="AF255" s="115"/>
      <c r="AG255" s="115"/>
      <c r="AH255" s="685"/>
      <c r="AI255" s="685"/>
      <c r="AJ255" s="685"/>
      <c r="AK255" s="685"/>
      <c r="AL255" s="685"/>
      <c r="AM255" s="685"/>
      <c r="AN255" s="685"/>
      <c r="AO255" s="685"/>
      <c r="AP255" s="685"/>
      <c r="AQ255" s="685"/>
      <c r="AR255" s="685"/>
      <c r="AS255" s="685"/>
      <c r="AT255" s="685"/>
      <c r="AU255" s="685"/>
      <c r="AV255" s="685"/>
      <c r="AW255" s="685"/>
      <c r="AX255" s="685"/>
      <c r="AY255" s="685"/>
      <c r="AZ255" s="685"/>
      <c r="BA255" s="685"/>
      <c r="BB255" s="685"/>
      <c r="BC255" s="685"/>
      <c r="BN255" s="685"/>
      <c r="BO255" s="685"/>
      <c r="BP255" s="685"/>
      <c r="BR255" s="685"/>
      <c r="BS255" s="685"/>
      <c r="BU255" s="685"/>
    </row>
    <row r="256" spans="1:73">
      <c r="A256" s="685"/>
      <c r="B256" s="685"/>
      <c r="C256" s="685"/>
      <c r="D256" s="685"/>
      <c r="E256" s="685"/>
      <c r="F256" s="685"/>
      <c r="G256" s="685"/>
      <c r="H256" s="685"/>
      <c r="I256" s="685"/>
      <c r="J256" s="685"/>
      <c r="K256" s="685"/>
      <c r="L256" s="685"/>
      <c r="M256" s="685"/>
      <c r="N256" s="685"/>
      <c r="O256" s="685"/>
      <c r="P256" s="685"/>
      <c r="Q256" s="685"/>
      <c r="R256" s="685"/>
      <c r="S256" s="685"/>
      <c r="T256" s="685"/>
      <c r="U256" s="685"/>
      <c r="V256" s="685"/>
      <c r="W256" s="685"/>
      <c r="X256" s="685"/>
      <c r="Y256" s="685"/>
      <c r="Z256" s="685"/>
      <c r="AA256" s="685"/>
      <c r="AB256" s="685"/>
      <c r="AC256" s="685"/>
      <c r="AD256" s="685"/>
      <c r="AE256" s="685"/>
      <c r="AF256" s="115"/>
      <c r="AG256" s="115"/>
      <c r="AH256" s="685"/>
      <c r="AI256" s="685"/>
      <c r="AJ256" s="685"/>
      <c r="AK256" s="685"/>
      <c r="AL256" s="685"/>
      <c r="AM256" s="685"/>
      <c r="AN256" s="685"/>
      <c r="AO256" s="685"/>
      <c r="AP256" s="685"/>
      <c r="AQ256" s="685"/>
      <c r="AR256" s="685"/>
      <c r="AS256" s="685"/>
      <c r="AT256" s="685"/>
      <c r="AU256" s="685"/>
      <c r="AV256" s="685"/>
      <c r="AW256" s="685"/>
      <c r="AX256" s="685"/>
      <c r="AY256" s="685"/>
      <c r="AZ256" s="685"/>
      <c r="BA256" s="685"/>
      <c r="BB256" s="685"/>
      <c r="BC256" s="685"/>
      <c r="BN256" s="685"/>
      <c r="BO256" s="685"/>
      <c r="BP256" s="685"/>
      <c r="BR256" s="685"/>
      <c r="BS256" s="685"/>
      <c r="BU256" s="685"/>
    </row>
    <row r="257" spans="1:73">
      <c r="A257" s="685"/>
      <c r="B257" s="685"/>
      <c r="C257" s="685"/>
      <c r="D257" s="685"/>
      <c r="E257" s="685"/>
      <c r="F257" s="685"/>
      <c r="G257" s="685"/>
      <c r="H257" s="685"/>
      <c r="I257" s="685"/>
      <c r="J257" s="685"/>
      <c r="K257" s="685"/>
      <c r="L257" s="685"/>
      <c r="M257" s="685"/>
      <c r="N257" s="685"/>
      <c r="O257" s="685"/>
      <c r="P257" s="685"/>
      <c r="Q257" s="685"/>
      <c r="R257" s="685"/>
      <c r="S257" s="685"/>
      <c r="T257" s="685"/>
      <c r="U257" s="685"/>
      <c r="V257" s="685"/>
      <c r="W257" s="685"/>
      <c r="X257" s="685"/>
      <c r="Y257" s="685"/>
      <c r="Z257" s="685"/>
      <c r="AA257" s="685"/>
      <c r="AB257" s="685"/>
      <c r="AC257" s="685"/>
      <c r="AD257" s="685"/>
      <c r="AE257" s="685"/>
      <c r="AF257" s="115"/>
      <c r="AG257" s="115"/>
      <c r="AH257" s="685"/>
      <c r="AI257" s="685"/>
      <c r="AJ257" s="685"/>
      <c r="AK257" s="685"/>
      <c r="AL257" s="685"/>
      <c r="AM257" s="685"/>
      <c r="AN257" s="685"/>
      <c r="AO257" s="685"/>
      <c r="AP257" s="685"/>
      <c r="AQ257" s="685"/>
      <c r="AR257" s="685"/>
      <c r="AS257" s="685"/>
      <c r="AT257" s="685"/>
      <c r="AU257" s="685"/>
      <c r="AV257" s="685"/>
      <c r="AW257" s="685"/>
      <c r="AX257" s="685"/>
      <c r="AY257" s="685"/>
      <c r="AZ257" s="685"/>
      <c r="BA257" s="685"/>
      <c r="BB257" s="685"/>
      <c r="BC257" s="685"/>
      <c r="BN257" s="685"/>
      <c r="BO257" s="685"/>
      <c r="BP257" s="685"/>
      <c r="BR257" s="685"/>
      <c r="BS257" s="685"/>
      <c r="BU257" s="685"/>
    </row>
    <row r="258" spans="1:73">
      <c r="A258" s="685"/>
      <c r="B258" s="685"/>
      <c r="C258" s="685"/>
      <c r="D258" s="685"/>
      <c r="E258" s="685"/>
      <c r="F258" s="685"/>
      <c r="G258" s="685"/>
      <c r="H258" s="685"/>
      <c r="I258" s="685"/>
      <c r="J258" s="685"/>
      <c r="K258" s="685"/>
      <c r="L258" s="685"/>
      <c r="M258" s="685"/>
      <c r="N258" s="685"/>
      <c r="O258" s="685"/>
      <c r="P258" s="685"/>
      <c r="Q258" s="685"/>
      <c r="R258" s="685"/>
      <c r="S258" s="685"/>
      <c r="T258" s="685"/>
      <c r="U258" s="685"/>
      <c r="V258" s="685"/>
      <c r="W258" s="685"/>
      <c r="X258" s="685"/>
      <c r="Y258" s="685"/>
      <c r="Z258" s="685"/>
      <c r="AA258" s="685"/>
      <c r="AB258" s="685"/>
      <c r="AC258" s="685"/>
      <c r="AD258" s="685"/>
      <c r="AE258" s="685"/>
      <c r="AF258" s="115"/>
      <c r="AG258" s="115"/>
      <c r="AH258" s="685"/>
      <c r="AI258" s="685"/>
      <c r="AJ258" s="685"/>
      <c r="AK258" s="685"/>
      <c r="AL258" s="685"/>
      <c r="AM258" s="685"/>
      <c r="AN258" s="685"/>
      <c r="AO258" s="685"/>
      <c r="AP258" s="685"/>
      <c r="AQ258" s="685"/>
      <c r="AR258" s="685"/>
      <c r="AS258" s="685"/>
      <c r="AT258" s="685"/>
      <c r="AU258" s="685"/>
      <c r="AV258" s="685"/>
      <c r="AW258" s="685"/>
      <c r="AX258" s="685"/>
      <c r="AY258" s="685"/>
      <c r="AZ258" s="685"/>
      <c r="BA258" s="685"/>
      <c r="BB258" s="685"/>
      <c r="BC258" s="685"/>
      <c r="BN258" s="685"/>
      <c r="BO258" s="685"/>
      <c r="BP258" s="685"/>
      <c r="BR258" s="685"/>
      <c r="BS258" s="685"/>
      <c r="BU258" s="685"/>
    </row>
    <row r="259" spans="1:73">
      <c r="A259" s="685"/>
      <c r="B259" s="685"/>
      <c r="C259" s="685"/>
      <c r="D259" s="685"/>
      <c r="E259" s="685"/>
      <c r="F259" s="685"/>
      <c r="G259" s="685"/>
      <c r="H259" s="685"/>
      <c r="I259" s="685"/>
      <c r="J259" s="685"/>
      <c r="K259" s="685"/>
      <c r="L259" s="685"/>
      <c r="M259" s="685"/>
      <c r="N259" s="685"/>
      <c r="O259" s="685"/>
      <c r="P259" s="685"/>
      <c r="Q259" s="685"/>
      <c r="R259" s="685"/>
      <c r="S259" s="685"/>
      <c r="T259" s="685"/>
      <c r="U259" s="685"/>
      <c r="V259" s="685"/>
      <c r="W259" s="685"/>
      <c r="X259" s="685"/>
      <c r="Y259" s="685"/>
      <c r="Z259" s="685"/>
      <c r="AA259" s="685"/>
      <c r="AB259" s="685"/>
      <c r="AC259" s="685"/>
      <c r="AD259" s="685"/>
      <c r="AE259" s="685"/>
      <c r="AF259" s="115"/>
      <c r="AG259" s="115"/>
      <c r="AH259" s="685"/>
      <c r="AI259" s="685"/>
      <c r="AJ259" s="685"/>
      <c r="AK259" s="685"/>
      <c r="AL259" s="685"/>
      <c r="AM259" s="685"/>
      <c r="AN259" s="685"/>
      <c r="AO259" s="685"/>
      <c r="AP259" s="685"/>
      <c r="AQ259" s="685"/>
      <c r="AR259" s="685"/>
      <c r="AS259" s="685"/>
      <c r="AT259" s="685"/>
      <c r="AU259" s="685"/>
      <c r="AV259" s="685"/>
      <c r="AW259" s="685"/>
      <c r="AX259" s="685"/>
      <c r="AY259" s="685"/>
      <c r="AZ259" s="685"/>
      <c r="BA259" s="685"/>
      <c r="BB259" s="685"/>
      <c r="BC259" s="685"/>
      <c r="BN259" s="685"/>
      <c r="BO259" s="685"/>
      <c r="BP259" s="685"/>
      <c r="BR259" s="685"/>
      <c r="BS259" s="685"/>
      <c r="BU259" s="685"/>
    </row>
    <row r="260" spans="1:73">
      <c r="A260" s="685"/>
      <c r="B260" s="685"/>
      <c r="C260" s="685"/>
      <c r="D260" s="685"/>
      <c r="E260" s="685"/>
      <c r="F260" s="685"/>
      <c r="G260" s="685"/>
      <c r="H260" s="685"/>
      <c r="I260" s="685"/>
      <c r="J260" s="685"/>
      <c r="K260" s="685"/>
      <c r="L260" s="685"/>
      <c r="M260" s="685"/>
      <c r="N260" s="685"/>
      <c r="O260" s="685"/>
      <c r="P260" s="685"/>
      <c r="Q260" s="685"/>
      <c r="R260" s="685"/>
      <c r="S260" s="685"/>
      <c r="T260" s="685"/>
      <c r="U260" s="685"/>
      <c r="V260" s="685"/>
      <c r="W260" s="685"/>
      <c r="X260" s="685"/>
      <c r="Y260" s="685"/>
      <c r="Z260" s="685"/>
      <c r="AA260" s="685"/>
      <c r="AB260" s="685"/>
      <c r="AC260" s="685"/>
      <c r="AD260" s="685"/>
      <c r="AE260" s="685"/>
      <c r="AF260" s="115"/>
      <c r="AG260" s="115"/>
      <c r="AH260" s="685"/>
      <c r="AI260" s="685"/>
      <c r="AJ260" s="685"/>
      <c r="AK260" s="685"/>
      <c r="AL260" s="685"/>
      <c r="AM260" s="685"/>
      <c r="AN260" s="685"/>
      <c r="AO260" s="685"/>
      <c r="AP260" s="685"/>
      <c r="AQ260" s="685"/>
      <c r="AR260" s="685"/>
      <c r="AS260" s="685"/>
      <c r="AT260" s="685"/>
      <c r="AU260" s="685"/>
      <c r="AV260" s="685"/>
      <c r="AW260" s="685"/>
      <c r="AX260" s="685"/>
      <c r="AY260" s="685"/>
      <c r="AZ260" s="685"/>
      <c r="BA260" s="685"/>
      <c r="BB260" s="685"/>
      <c r="BC260" s="685"/>
      <c r="BN260" s="685"/>
      <c r="BO260" s="685"/>
      <c r="BP260" s="685"/>
      <c r="BR260" s="685"/>
      <c r="BS260" s="685"/>
      <c r="BU260" s="685"/>
    </row>
    <row r="261" spans="1:73">
      <c r="A261" s="685"/>
      <c r="B261" s="685"/>
      <c r="C261" s="685"/>
      <c r="D261" s="685"/>
      <c r="E261" s="685"/>
      <c r="F261" s="685"/>
      <c r="G261" s="685"/>
      <c r="H261" s="685"/>
      <c r="I261" s="685"/>
      <c r="J261" s="685"/>
      <c r="K261" s="685"/>
      <c r="L261" s="685"/>
      <c r="M261" s="685"/>
      <c r="N261" s="685"/>
      <c r="O261" s="685"/>
      <c r="P261" s="685"/>
      <c r="Q261" s="685"/>
      <c r="R261" s="685"/>
      <c r="S261" s="685"/>
      <c r="T261" s="685"/>
      <c r="U261" s="685"/>
      <c r="V261" s="685"/>
      <c r="W261" s="685"/>
      <c r="X261" s="685"/>
      <c r="Y261" s="685"/>
      <c r="Z261" s="685"/>
      <c r="AA261" s="685"/>
      <c r="AB261" s="685"/>
      <c r="AC261" s="685"/>
      <c r="AD261" s="685"/>
      <c r="AE261" s="685"/>
      <c r="AF261" s="115"/>
      <c r="AG261" s="115"/>
      <c r="AH261" s="685"/>
      <c r="AI261" s="685"/>
      <c r="AJ261" s="685"/>
      <c r="AK261" s="685"/>
      <c r="AL261" s="685"/>
      <c r="AM261" s="685"/>
      <c r="AN261" s="685"/>
      <c r="AO261" s="685"/>
      <c r="AP261" s="685"/>
      <c r="AQ261" s="685"/>
      <c r="AR261" s="685"/>
      <c r="AS261" s="685"/>
      <c r="AT261" s="685"/>
      <c r="AU261" s="685"/>
      <c r="AV261" s="685"/>
      <c r="AW261" s="685"/>
      <c r="AX261" s="685"/>
      <c r="AY261" s="685"/>
      <c r="AZ261" s="685"/>
      <c r="BA261" s="685"/>
      <c r="BB261" s="685"/>
      <c r="BC261" s="685"/>
      <c r="BN261" s="685"/>
      <c r="BO261" s="685"/>
      <c r="BP261" s="685"/>
      <c r="BR261" s="685"/>
      <c r="BS261" s="685"/>
      <c r="BU261" s="685"/>
    </row>
    <row r="262" spans="1:73">
      <c r="A262" s="685"/>
      <c r="B262" s="685"/>
      <c r="C262" s="685"/>
      <c r="D262" s="685"/>
      <c r="E262" s="685"/>
      <c r="F262" s="685"/>
      <c r="G262" s="685"/>
      <c r="H262" s="685"/>
      <c r="I262" s="685"/>
      <c r="J262" s="685"/>
      <c r="K262" s="685"/>
      <c r="L262" s="685"/>
      <c r="M262" s="685"/>
      <c r="N262" s="685"/>
      <c r="O262" s="685"/>
      <c r="P262" s="685"/>
      <c r="Q262" s="685"/>
      <c r="R262" s="685"/>
      <c r="S262" s="685"/>
      <c r="T262" s="685"/>
      <c r="U262" s="685"/>
      <c r="V262" s="685"/>
      <c r="W262" s="685"/>
      <c r="X262" s="685"/>
      <c r="Y262" s="685"/>
      <c r="Z262" s="685"/>
      <c r="AA262" s="685"/>
      <c r="AB262" s="685"/>
      <c r="AC262" s="685"/>
      <c r="AD262" s="685"/>
      <c r="AE262" s="685"/>
      <c r="AF262" s="115"/>
      <c r="AG262" s="115"/>
      <c r="AH262" s="685"/>
      <c r="AI262" s="685"/>
      <c r="AJ262" s="685"/>
      <c r="AK262" s="685"/>
      <c r="AL262" s="685"/>
      <c r="AM262" s="685"/>
      <c r="AN262" s="685"/>
      <c r="AO262" s="685"/>
      <c r="AP262" s="685"/>
      <c r="AQ262" s="685"/>
      <c r="AR262" s="685"/>
      <c r="AS262" s="685"/>
      <c r="AT262" s="685"/>
      <c r="AU262" s="685"/>
      <c r="AV262" s="685"/>
      <c r="AW262" s="685"/>
      <c r="AX262" s="685"/>
      <c r="AY262" s="685"/>
      <c r="AZ262" s="685"/>
      <c r="BA262" s="685"/>
      <c r="BB262" s="685"/>
      <c r="BC262" s="685"/>
      <c r="BN262" s="685"/>
      <c r="BO262" s="685"/>
      <c r="BP262" s="685"/>
      <c r="BR262" s="685"/>
      <c r="BS262" s="685"/>
      <c r="BU262" s="685"/>
    </row>
    <row r="263" spans="1:73">
      <c r="A263" s="685"/>
      <c r="B263" s="685"/>
      <c r="C263" s="685"/>
      <c r="D263" s="685"/>
      <c r="E263" s="685"/>
      <c r="F263" s="685"/>
      <c r="G263" s="685"/>
      <c r="H263" s="685"/>
      <c r="I263" s="685"/>
      <c r="J263" s="685"/>
      <c r="K263" s="685"/>
      <c r="L263" s="685"/>
      <c r="M263" s="685"/>
      <c r="N263" s="685"/>
      <c r="O263" s="685"/>
      <c r="P263" s="685"/>
      <c r="Q263" s="685"/>
      <c r="R263" s="685"/>
      <c r="S263" s="685"/>
      <c r="T263" s="685"/>
      <c r="U263" s="685"/>
      <c r="V263" s="685"/>
      <c r="W263" s="685"/>
      <c r="X263" s="685"/>
      <c r="Y263" s="685"/>
      <c r="Z263" s="685"/>
      <c r="AA263" s="685"/>
      <c r="AB263" s="685"/>
      <c r="AC263" s="685"/>
      <c r="AD263" s="685"/>
      <c r="AE263" s="685"/>
      <c r="AF263" s="115"/>
      <c r="AG263" s="115"/>
      <c r="AH263" s="685"/>
      <c r="AI263" s="685"/>
      <c r="AJ263" s="685"/>
      <c r="AK263" s="685"/>
      <c r="AL263" s="685"/>
      <c r="AM263" s="685"/>
      <c r="AN263" s="685"/>
      <c r="AO263" s="685"/>
      <c r="AP263" s="685"/>
      <c r="AQ263" s="685"/>
      <c r="AR263" s="685"/>
      <c r="AS263" s="685"/>
      <c r="AT263" s="685"/>
      <c r="AU263" s="685"/>
      <c r="AV263" s="685"/>
      <c r="AW263" s="685"/>
      <c r="AX263" s="685"/>
      <c r="AY263" s="685"/>
      <c r="AZ263" s="685"/>
      <c r="BA263" s="685"/>
      <c r="BB263" s="685"/>
      <c r="BC263" s="685"/>
      <c r="BN263" s="685"/>
      <c r="BO263" s="685"/>
      <c r="BP263" s="685"/>
      <c r="BR263" s="685"/>
      <c r="BS263" s="685"/>
      <c r="BU263" s="685"/>
    </row>
    <row r="264" spans="1:73">
      <c r="A264" s="685"/>
      <c r="B264" s="685"/>
      <c r="C264" s="685"/>
      <c r="D264" s="685"/>
      <c r="E264" s="685"/>
      <c r="F264" s="685"/>
      <c r="G264" s="685"/>
      <c r="H264" s="685"/>
      <c r="I264" s="685"/>
      <c r="J264" s="685"/>
      <c r="K264" s="685"/>
      <c r="L264" s="685"/>
      <c r="M264" s="685"/>
      <c r="N264" s="685"/>
      <c r="O264" s="685"/>
      <c r="P264" s="685"/>
      <c r="Q264" s="685"/>
      <c r="R264" s="685"/>
      <c r="S264" s="685"/>
      <c r="T264" s="685"/>
      <c r="U264" s="685"/>
      <c r="V264" s="685"/>
      <c r="W264" s="685"/>
      <c r="X264" s="685"/>
      <c r="Y264" s="685"/>
      <c r="Z264" s="685"/>
      <c r="AA264" s="685"/>
      <c r="AB264" s="685"/>
      <c r="AC264" s="685"/>
      <c r="AD264" s="685"/>
      <c r="AE264" s="685"/>
      <c r="AF264" s="115"/>
      <c r="AG264" s="115"/>
      <c r="AH264" s="685"/>
      <c r="AI264" s="685"/>
      <c r="AJ264" s="685"/>
      <c r="AK264" s="685"/>
      <c r="AL264" s="685"/>
      <c r="AM264" s="685"/>
      <c r="AN264" s="685"/>
      <c r="AO264" s="685"/>
      <c r="AP264" s="685"/>
      <c r="AQ264" s="685"/>
      <c r="AR264" s="685"/>
      <c r="AS264" s="685"/>
      <c r="AT264" s="685"/>
      <c r="AU264" s="685"/>
      <c r="AV264" s="685"/>
      <c r="AW264" s="685"/>
      <c r="AX264" s="685"/>
      <c r="AY264" s="685"/>
      <c r="AZ264" s="685"/>
      <c r="BA264" s="685"/>
      <c r="BB264" s="685"/>
      <c r="BC264" s="685"/>
      <c r="BN264" s="685"/>
      <c r="BO264" s="685"/>
      <c r="BP264" s="685"/>
      <c r="BR264" s="685"/>
      <c r="BS264" s="685"/>
      <c r="BU264" s="685"/>
    </row>
    <row r="265" spans="1:73">
      <c r="A265" s="685"/>
      <c r="B265" s="685"/>
      <c r="C265" s="685"/>
      <c r="D265" s="685"/>
      <c r="E265" s="685"/>
      <c r="F265" s="685"/>
      <c r="G265" s="685"/>
      <c r="H265" s="685"/>
      <c r="I265" s="685"/>
      <c r="J265" s="685"/>
      <c r="K265" s="685"/>
      <c r="L265" s="685"/>
      <c r="M265" s="685"/>
      <c r="N265" s="685"/>
      <c r="O265" s="685"/>
      <c r="P265" s="685"/>
      <c r="Q265" s="685"/>
      <c r="R265" s="685"/>
      <c r="S265" s="685"/>
      <c r="T265" s="685"/>
      <c r="U265" s="685"/>
      <c r="V265" s="685"/>
      <c r="W265" s="685"/>
      <c r="X265" s="685"/>
      <c r="Y265" s="685"/>
      <c r="Z265" s="685"/>
      <c r="AA265" s="685"/>
      <c r="AB265" s="685"/>
      <c r="AC265" s="685"/>
      <c r="AD265" s="685"/>
      <c r="AE265" s="685"/>
      <c r="AF265" s="115"/>
      <c r="AG265" s="115"/>
      <c r="AH265" s="685"/>
      <c r="AI265" s="685"/>
      <c r="AJ265" s="685"/>
      <c r="AK265" s="685"/>
      <c r="AL265" s="685"/>
      <c r="AM265" s="685"/>
      <c r="AN265" s="685"/>
      <c r="AO265" s="685"/>
      <c r="AP265" s="685"/>
      <c r="AQ265" s="685"/>
      <c r="AR265" s="685"/>
      <c r="AS265" s="685"/>
      <c r="AT265" s="685"/>
      <c r="AU265" s="685"/>
      <c r="AV265" s="685"/>
      <c r="AW265" s="685"/>
      <c r="AX265" s="685"/>
      <c r="AY265" s="685"/>
      <c r="AZ265" s="685"/>
      <c r="BA265" s="685"/>
      <c r="BB265" s="685"/>
      <c r="BC265" s="685"/>
      <c r="BN265" s="685"/>
      <c r="BO265" s="685"/>
      <c r="BP265" s="685"/>
      <c r="BR265" s="685"/>
      <c r="BS265" s="685"/>
      <c r="BU265" s="685"/>
    </row>
    <row r="266" spans="1:73">
      <c r="A266" s="685"/>
      <c r="B266" s="685"/>
      <c r="C266" s="685"/>
      <c r="D266" s="685"/>
      <c r="E266" s="685"/>
      <c r="F266" s="685"/>
      <c r="G266" s="685"/>
      <c r="H266" s="685"/>
      <c r="I266" s="685"/>
      <c r="J266" s="685"/>
      <c r="K266" s="685"/>
      <c r="L266" s="685"/>
      <c r="M266" s="685"/>
      <c r="N266" s="685"/>
      <c r="O266" s="685"/>
      <c r="P266" s="685"/>
      <c r="Q266" s="685"/>
      <c r="R266" s="685"/>
      <c r="S266" s="685"/>
      <c r="T266" s="685"/>
      <c r="U266" s="685"/>
      <c r="V266" s="685"/>
      <c r="W266" s="685"/>
      <c r="X266" s="685"/>
      <c r="Y266" s="685"/>
      <c r="Z266" s="685"/>
      <c r="AA266" s="685"/>
      <c r="AB266" s="685"/>
      <c r="AC266" s="685"/>
      <c r="AD266" s="685"/>
      <c r="AE266" s="685"/>
      <c r="AF266" s="115"/>
      <c r="AG266" s="115"/>
      <c r="AH266" s="685"/>
      <c r="AI266" s="685"/>
      <c r="AJ266" s="685"/>
      <c r="AK266" s="685"/>
      <c r="AL266" s="685"/>
      <c r="AM266" s="685"/>
      <c r="AN266" s="685"/>
      <c r="AO266" s="685"/>
      <c r="AP266" s="685"/>
      <c r="AQ266" s="685"/>
      <c r="AR266" s="685"/>
      <c r="AS266" s="685"/>
      <c r="AT266" s="685"/>
      <c r="AU266" s="685"/>
      <c r="AV266" s="685"/>
      <c r="AW266" s="685"/>
      <c r="AX266" s="685"/>
      <c r="AY266" s="685"/>
      <c r="AZ266" s="685"/>
      <c r="BA266" s="685"/>
      <c r="BB266" s="685"/>
      <c r="BC266" s="685"/>
      <c r="BN266" s="685"/>
      <c r="BO266" s="685"/>
      <c r="BP266" s="685"/>
      <c r="BR266" s="685"/>
      <c r="BS266" s="685"/>
      <c r="BU266" s="685"/>
    </row>
    <row r="267" spans="1:73">
      <c r="A267" s="685"/>
      <c r="B267" s="685"/>
      <c r="C267" s="685"/>
      <c r="D267" s="685"/>
      <c r="E267" s="685"/>
      <c r="F267" s="685"/>
      <c r="G267" s="685"/>
      <c r="H267" s="685"/>
      <c r="I267" s="685"/>
      <c r="J267" s="685"/>
      <c r="K267" s="685"/>
      <c r="L267" s="685"/>
      <c r="M267" s="685"/>
      <c r="N267" s="685"/>
      <c r="O267" s="685"/>
      <c r="P267" s="685"/>
      <c r="Q267" s="685"/>
      <c r="R267" s="685"/>
      <c r="S267" s="685"/>
      <c r="T267" s="685"/>
      <c r="U267" s="685"/>
      <c r="V267" s="685"/>
      <c r="W267" s="685"/>
      <c r="X267" s="685"/>
      <c r="Y267" s="685"/>
      <c r="Z267" s="685"/>
      <c r="AA267" s="685"/>
      <c r="AB267" s="685"/>
      <c r="AC267" s="685"/>
      <c r="AD267" s="685"/>
      <c r="AE267" s="685"/>
      <c r="AF267" s="115"/>
      <c r="AG267" s="115"/>
      <c r="AH267" s="685"/>
      <c r="AI267" s="685"/>
      <c r="AJ267" s="685"/>
      <c r="AK267" s="685"/>
      <c r="AL267" s="685"/>
      <c r="AM267" s="685"/>
      <c r="AN267" s="685"/>
      <c r="AO267" s="685"/>
      <c r="AP267" s="685"/>
      <c r="AQ267" s="685"/>
      <c r="AR267" s="685"/>
      <c r="AS267" s="685"/>
      <c r="AT267" s="685"/>
      <c r="AU267" s="685"/>
      <c r="AV267" s="685"/>
      <c r="AW267" s="685"/>
      <c r="AX267" s="685"/>
      <c r="AY267" s="685"/>
      <c r="AZ267" s="685"/>
      <c r="BA267" s="685"/>
      <c r="BB267" s="685"/>
      <c r="BC267" s="685"/>
      <c r="BN267" s="685"/>
      <c r="BO267" s="685"/>
      <c r="BP267" s="685"/>
      <c r="BR267" s="685"/>
      <c r="BS267" s="685"/>
      <c r="BU267" s="685"/>
    </row>
    <row r="268" spans="1:73">
      <c r="A268" s="685"/>
      <c r="B268" s="685"/>
      <c r="C268" s="685"/>
      <c r="D268" s="685"/>
      <c r="E268" s="685"/>
      <c r="F268" s="685"/>
      <c r="G268" s="685"/>
      <c r="H268" s="685"/>
      <c r="I268" s="685"/>
      <c r="J268" s="685"/>
      <c r="K268" s="685"/>
      <c r="L268" s="685"/>
      <c r="M268" s="685"/>
      <c r="N268" s="685"/>
      <c r="O268" s="685"/>
      <c r="P268" s="685"/>
      <c r="Q268" s="685"/>
      <c r="R268" s="685"/>
      <c r="S268" s="685"/>
      <c r="T268" s="685"/>
      <c r="U268" s="685"/>
      <c r="V268" s="685"/>
      <c r="W268" s="685"/>
      <c r="X268" s="685"/>
      <c r="Y268" s="685"/>
      <c r="Z268" s="685"/>
      <c r="AA268" s="685"/>
      <c r="AB268" s="685"/>
      <c r="AC268" s="685"/>
      <c r="AD268" s="685"/>
      <c r="AE268" s="685"/>
      <c r="AF268" s="115"/>
      <c r="AG268" s="115"/>
      <c r="AH268" s="685"/>
      <c r="AI268" s="685"/>
      <c r="AJ268" s="685"/>
      <c r="AK268" s="685"/>
      <c r="AL268" s="685"/>
      <c r="AM268" s="685"/>
      <c r="AN268" s="685"/>
      <c r="AO268" s="685"/>
      <c r="AP268" s="685"/>
      <c r="AQ268" s="685"/>
      <c r="AR268" s="685"/>
      <c r="AS268" s="685"/>
      <c r="AT268" s="685"/>
      <c r="AU268" s="685"/>
      <c r="AV268" s="685"/>
      <c r="AW268" s="685"/>
      <c r="AX268" s="685"/>
      <c r="AY268" s="685"/>
      <c r="AZ268" s="685"/>
      <c r="BA268" s="685"/>
      <c r="BB268" s="685"/>
      <c r="BC268" s="685"/>
      <c r="BN268" s="685"/>
      <c r="BO268" s="685"/>
      <c r="BP268" s="685"/>
      <c r="BR268" s="685"/>
      <c r="BS268" s="685"/>
      <c r="BU268" s="685"/>
    </row>
    <row r="269" spans="1:73">
      <c r="A269" s="685"/>
      <c r="B269" s="685"/>
      <c r="C269" s="685"/>
      <c r="D269" s="685"/>
      <c r="E269" s="685"/>
      <c r="F269" s="685"/>
      <c r="G269" s="685"/>
      <c r="H269" s="685"/>
      <c r="I269" s="685"/>
      <c r="J269" s="685"/>
      <c r="K269" s="685"/>
      <c r="L269" s="685"/>
      <c r="M269" s="685"/>
      <c r="N269" s="685"/>
      <c r="O269" s="685"/>
      <c r="P269" s="685"/>
      <c r="Q269" s="685"/>
      <c r="R269" s="685"/>
      <c r="S269" s="685"/>
      <c r="T269" s="685"/>
      <c r="U269" s="685"/>
      <c r="V269" s="685"/>
      <c r="W269" s="685"/>
      <c r="X269" s="685"/>
      <c r="Y269" s="685"/>
      <c r="Z269" s="685"/>
      <c r="AA269" s="685"/>
      <c r="AB269" s="685"/>
      <c r="AC269" s="685"/>
      <c r="AD269" s="685"/>
      <c r="AE269" s="685"/>
      <c r="AF269" s="115"/>
      <c r="AG269" s="115"/>
      <c r="AH269" s="685"/>
      <c r="AI269" s="685"/>
      <c r="AJ269" s="685"/>
      <c r="AK269" s="685"/>
      <c r="AL269" s="685"/>
      <c r="AM269" s="685"/>
      <c r="AN269" s="685"/>
      <c r="AO269" s="685"/>
      <c r="AP269" s="685"/>
      <c r="AQ269" s="685"/>
      <c r="AR269" s="685"/>
      <c r="AS269" s="685"/>
      <c r="AT269" s="685"/>
      <c r="AU269" s="685"/>
      <c r="AV269" s="685"/>
      <c r="AW269" s="685"/>
      <c r="AX269" s="685"/>
      <c r="AY269" s="685"/>
      <c r="AZ269" s="685"/>
      <c r="BA269" s="685"/>
      <c r="BB269" s="685"/>
      <c r="BC269" s="685"/>
      <c r="BN269" s="685"/>
      <c r="BO269" s="685"/>
      <c r="BP269" s="685"/>
      <c r="BR269" s="685"/>
      <c r="BS269" s="685"/>
      <c r="BU269" s="685"/>
    </row>
    <row r="270" spans="1:73">
      <c r="A270" s="685"/>
      <c r="B270" s="685"/>
      <c r="C270" s="685"/>
      <c r="D270" s="685"/>
      <c r="E270" s="685"/>
      <c r="F270" s="685"/>
      <c r="G270" s="685"/>
      <c r="H270" s="685"/>
      <c r="I270" s="685"/>
      <c r="J270" s="685"/>
      <c r="K270" s="685"/>
      <c r="L270" s="685"/>
      <c r="M270" s="685"/>
      <c r="N270" s="685"/>
      <c r="O270" s="685"/>
      <c r="P270" s="685"/>
      <c r="Q270" s="685"/>
      <c r="R270" s="685"/>
      <c r="S270" s="685"/>
      <c r="T270" s="685"/>
      <c r="U270" s="685"/>
      <c r="V270" s="685"/>
      <c r="W270" s="685"/>
      <c r="X270" s="685"/>
      <c r="Y270" s="685"/>
      <c r="Z270" s="685"/>
      <c r="AA270" s="685"/>
      <c r="AB270" s="685"/>
      <c r="AC270" s="685"/>
      <c r="AD270" s="685"/>
      <c r="AE270" s="685"/>
      <c r="AF270" s="115"/>
      <c r="AG270" s="115"/>
      <c r="AH270" s="685"/>
      <c r="AI270" s="685"/>
      <c r="AJ270" s="685"/>
      <c r="AK270" s="685"/>
      <c r="AL270" s="685"/>
      <c r="AM270" s="685"/>
      <c r="AN270" s="685"/>
      <c r="AO270" s="685"/>
      <c r="AP270" s="685"/>
      <c r="AQ270" s="685"/>
      <c r="AR270" s="685"/>
      <c r="AS270" s="685"/>
      <c r="AT270" s="685"/>
      <c r="AU270" s="685"/>
      <c r="AV270" s="685"/>
      <c r="AW270" s="685"/>
      <c r="AX270" s="685"/>
      <c r="AY270" s="685"/>
      <c r="AZ270" s="685"/>
      <c r="BA270" s="685"/>
      <c r="BB270" s="685"/>
      <c r="BC270" s="685"/>
      <c r="BN270" s="685"/>
      <c r="BO270" s="685"/>
      <c r="BP270" s="685"/>
      <c r="BR270" s="685"/>
      <c r="BS270" s="685"/>
      <c r="BU270" s="685"/>
    </row>
    <row r="271" spans="1:73">
      <c r="A271" s="685"/>
      <c r="B271" s="685"/>
      <c r="C271" s="685"/>
      <c r="D271" s="685"/>
      <c r="E271" s="685"/>
      <c r="F271" s="685"/>
      <c r="G271" s="685"/>
      <c r="H271" s="685"/>
      <c r="I271" s="685"/>
      <c r="J271" s="685"/>
      <c r="K271" s="685"/>
      <c r="L271" s="685"/>
      <c r="M271" s="685"/>
      <c r="N271" s="685"/>
      <c r="O271" s="685"/>
      <c r="P271" s="685"/>
      <c r="Q271" s="685"/>
      <c r="R271" s="685"/>
      <c r="S271" s="685"/>
      <c r="T271" s="685"/>
      <c r="U271" s="685"/>
      <c r="V271" s="685"/>
      <c r="W271" s="685"/>
      <c r="X271" s="685"/>
      <c r="Y271" s="685"/>
      <c r="Z271" s="685"/>
      <c r="AA271" s="685"/>
      <c r="AB271" s="685"/>
      <c r="AC271" s="685"/>
      <c r="AD271" s="685"/>
      <c r="AE271" s="685"/>
      <c r="AF271" s="115"/>
      <c r="AG271" s="115"/>
      <c r="AH271" s="685"/>
      <c r="AI271" s="685"/>
      <c r="AJ271" s="685"/>
      <c r="AK271" s="685"/>
      <c r="AL271" s="685"/>
      <c r="AM271" s="685"/>
      <c r="AN271" s="685"/>
      <c r="AO271" s="685"/>
      <c r="AP271" s="685"/>
      <c r="AQ271" s="685"/>
      <c r="AR271" s="685"/>
      <c r="AS271" s="685"/>
      <c r="AT271" s="685"/>
      <c r="AU271" s="685"/>
      <c r="AV271" s="685"/>
      <c r="AW271" s="685"/>
      <c r="AX271" s="685"/>
      <c r="AY271" s="685"/>
      <c r="AZ271" s="685"/>
      <c r="BA271" s="685"/>
      <c r="BB271" s="685"/>
      <c r="BC271" s="685"/>
      <c r="BN271" s="685"/>
      <c r="BO271" s="685"/>
      <c r="BP271" s="685"/>
      <c r="BR271" s="685"/>
      <c r="BS271" s="685"/>
      <c r="BU271" s="685"/>
    </row>
    <row r="272" spans="1:73">
      <c r="A272" s="685"/>
      <c r="B272" s="685"/>
      <c r="C272" s="685"/>
      <c r="D272" s="685"/>
      <c r="E272" s="685"/>
      <c r="F272" s="685"/>
      <c r="G272" s="685"/>
      <c r="H272" s="685"/>
      <c r="I272" s="685"/>
      <c r="J272" s="685"/>
      <c r="K272" s="685"/>
      <c r="L272" s="685"/>
      <c r="M272" s="685"/>
      <c r="N272" s="685"/>
      <c r="O272" s="685"/>
      <c r="P272" s="685"/>
      <c r="Q272" s="685"/>
      <c r="R272" s="685"/>
      <c r="S272" s="685"/>
      <c r="T272" s="685"/>
      <c r="U272" s="685"/>
      <c r="V272" s="685"/>
      <c r="W272" s="685"/>
      <c r="X272" s="685"/>
      <c r="Y272" s="685"/>
      <c r="Z272" s="685"/>
      <c r="AA272" s="685"/>
      <c r="AB272" s="685"/>
      <c r="AC272" s="685"/>
      <c r="AD272" s="685"/>
      <c r="AE272" s="685"/>
      <c r="AF272" s="115"/>
      <c r="AG272" s="115"/>
      <c r="AH272" s="685"/>
      <c r="AI272" s="685"/>
      <c r="AJ272" s="685"/>
      <c r="AK272" s="685"/>
      <c r="AL272" s="685"/>
      <c r="AM272" s="685"/>
      <c r="AN272" s="685"/>
      <c r="AO272" s="685"/>
      <c r="AP272" s="685"/>
      <c r="AQ272" s="685"/>
      <c r="AR272" s="685"/>
      <c r="AS272" s="685"/>
      <c r="AT272" s="685"/>
      <c r="AU272" s="685"/>
      <c r="AV272" s="685"/>
      <c r="AW272" s="685"/>
      <c r="AX272" s="685"/>
      <c r="AY272" s="685"/>
      <c r="AZ272" s="685"/>
      <c r="BA272" s="685"/>
      <c r="BB272" s="685"/>
      <c r="BC272" s="685"/>
      <c r="BN272" s="685"/>
      <c r="BO272" s="685"/>
      <c r="BP272" s="685"/>
      <c r="BR272" s="685"/>
      <c r="BS272" s="685"/>
      <c r="BU272" s="685"/>
    </row>
    <row r="273" spans="1:73">
      <c r="A273" s="685"/>
      <c r="B273" s="685"/>
      <c r="C273" s="685"/>
      <c r="D273" s="685"/>
      <c r="E273" s="685"/>
      <c r="F273" s="685"/>
      <c r="G273" s="685"/>
      <c r="H273" s="685"/>
      <c r="I273" s="685"/>
      <c r="J273" s="685"/>
      <c r="K273" s="685"/>
      <c r="L273" s="685"/>
      <c r="M273" s="685"/>
      <c r="N273" s="685"/>
      <c r="O273" s="685"/>
      <c r="P273" s="685"/>
      <c r="Q273" s="685"/>
      <c r="R273" s="685"/>
      <c r="S273" s="685"/>
      <c r="T273" s="685"/>
      <c r="U273" s="685"/>
      <c r="V273" s="685"/>
      <c r="W273" s="685"/>
      <c r="X273" s="685"/>
      <c r="Y273" s="685"/>
      <c r="Z273" s="685"/>
      <c r="AA273" s="685"/>
      <c r="AB273" s="685"/>
      <c r="AC273" s="685"/>
      <c r="AD273" s="685"/>
      <c r="AE273" s="685"/>
      <c r="AF273" s="115"/>
      <c r="AG273" s="115"/>
      <c r="AH273" s="685"/>
      <c r="AI273" s="685"/>
      <c r="AJ273" s="685"/>
      <c r="AK273" s="685"/>
      <c r="AL273" s="685"/>
      <c r="AM273" s="685"/>
      <c r="AN273" s="685"/>
      <c r="AO273" s="685"/>
      <c r="AP273" s="685"/>
      <c r="AQ273" s="685"/>
      <c r="AR273" s="685"/>
      <c r="AS273" s="685"/>
      <c r="AT273" s="685"/>
      <c r="AU273" s="685"/>
      <c r="AV273" s="685"/>
      <c r="AW273" s="685"/>
      <c r="AX273" s="685"/>
      <c r="AY273" s="685"/>
      <c r="AZ273" s="685"/>
      <c r="BA273" s="685"/>
      <c r="BB273" s="685"/>
      <c r="BC273" s="685"/>
      <c r="BN273" s="685"/>
      <c r="BO273" s="685"/>
      <c r="BP273" s="685"/>
      <c r="BR273" s="685"/>
      <c r="BS273" s="685"/>
      <c r="BU273" s="685"/>
    </row>
    <row r="274" spans="1:73">
      <c r="A274" s="685"/>
      <c r="B274" s="685"/>
      <c r="C274" s="685"/>
      <c r="D274" s="685"/>
      <c r="E274" s="685"/>
      <c r="F274" s="685"/>
      <c r="G274" s="685"/>
      <c r="H274" s="685"/>
      <c r="I274" s="685"/>
      <c r="J274" s="685"/>
      <c r="K274" s="685"/>
      <c r="L274" s="685"/>
      <c r="M274" s="685"/>
      <c r="N274" s="685"/>
      <c r="O274" s="685"/>
      <c r="P274" s="685"/>
      <c r="Q274" s="685"/>
      <c r="R274" s="685"/>
      <c r="S274" s="685"/>
      <c r="T274" s="685"/>
      <c r="U274" s="685"/>
      <c r="V274" s="685"/>
      <c r="W274" s="685"/>
      <c r="X274" s="685"/>
      <c r="Y274" s="685"/>
      <c r="Z274" s="685"/>
      <c r="AA274" s="685"/>
      <c r="AB274" s="685"/>
      <c r="AC274" s="685"/>
      <c r="AD274" s="685"/>
      <c r="AE274" s="685"/>
      <c r="AF274" s="115"/>
      <c r="AG274" s="115"/>
      <c r="AH274" s="685"/>
      <c r="AI274" s="685"/>
      <c r="AJ274" s="685"/>
      <c r="AK274" s="685"/>
      <c r="AL274" s="685"/>
      <c r="AM274" s="685"/>
      <c r="AN274" s="685"/>
      <c r="AO274" s="685"/>
      <c r="AP274" s="685"/>
      <c r="AQ274" s="685"/>
      <c r="AR274" s="685"/>
      <c r="AS274" s="685"/>
      <c r="AT274" s="685"/>
      <c r="AU274" s="685"/>
      <c r="AV274" s="685"/>
      <c r="AW274" s="685"/>
      <c r="AX274" s="685"/>
      <c r="AY274" s="685"/>
      <c r="AZ274" s="685"/>
      <c r="BA274" s="685"/>
      <c r="BB274" s="685"/>
      <c r="BC274" s="685"/>
      <c r="BN274" s="685"/>
      <c r="BO274" s="685"/>
      <c r="BP274" s="685"/>
      <c r="BR274" s="685"/>
      <c r="BS274" s="685"/>
      <c r="BU274" s="685"/>
    </row>
    <row r="275" spans="1:73">
      <c r="A275" s="685"/>
      <c r="B275" s="685"/>
      <c r="C275" s="685"/>
      <c r="D275" s="685"/>
      <c r="E275" s="685"/>
      <c r="F275" s="685"/>
      <c r="G275" s="685"/>
      <c r="H275" s="685"/>
      <c r="I275" s="685"/>
      <c r="J275" s="685"/>
      <c r="K275" s="685"/>
      <c r="L275" s="685"/>
      <c r="M275" s="685"/>
      <c r="N275" s="685"/>
      <c r="O275" s="685"/>
      <c r="P275" s="685"/>
      <c r="Q275" s="685"/>
      <c r="R275" s="685"/>
      <c r="S275" s="685"/>
      <c r="T275" s="685"/>
      <c r="U275" s="685"/>
      <c r="V275" s="685"/>
      <c r="W275" s="685"/>
      <c r="X275" s="685"/>
      <c r="Y275" s="685"/>
      <c r="Z275" s="685"/>
      <c r="AA275" s="685"/>
      <c r="AB275" s="685"/>
      <c r="AC275" s="685"/>
      <c r="AD275" s="685"/>
      <c r="AE275" s="685"/>
      <c r="AF275" s="115"/>
      <c r="AG275" s="115"/>
      <c r="AH275" s="685"/>
      <c r="AI275" s="685"/>
      <c r="AJ275" s="685"/>
      <c r="AK275" s="685"/>
      <c r="AL275" s="685"/>
      <c r="AM275" s="685"/>
      <c r="AN275" s="685"/>
      <c r="AO275" s="685"/>
      <c r="AP275" s="685"/>
      <c r="AQ275" s="685"/>
      <c r="AR275" s="685"/>
      <c r="AS275" s="685"/>
      <c r="AT275" s="685"/>
      <c r="AU275" s="685"/>
      <c r="AV275" s="685"/>
      <c r="AW275" s="685"/>
      <c r="AX275" s="685"/>
      <c r="AY275" s="685"/>
      <c r="AZ275" s="685"/>
      <c r="BA275" s="685"/>
      <c r="BB275" s="685"/>
      <c r="BC275" s="685"/>
      <c r="BN275" s="685"/>
      <c r="BO275" s="685"/>
      <c r="BP275" s="685"/>
      <c r="BR275" s="685"/>
      <c r="BS275" s="685"/>
      <c r="BU275" s="685"/>
    </row>
    <row r="276" spans="1:73">
      <c r="A276" s="685"/>
      <c r="B276" s="685"/>
      <c r="C276" s="685"/>
      <c r="D276" s="685"/>
      <c r="E276" s="685"/>
      <c r="F276" s="685"/>
      <c r="G276" s="685"/>
      <c r="H276" s="685"/>
      <c r="I276" s="685"/>
      <c r="J276" s="685"/>
      <c r="K276" s="685"/>
      <c r="L276" s="685"/>
      <c r="M276" s="685"/>
      <c r="N276" s="685"/>
      <c r="O276" s="685"/>
      <c r="P276" s="685"/>
      <c r="Q276" s="685"/>
      <c r="R276" s="685"/>
      <c r="S276" s="685"/>
      <c r="T276" s="685"/>
      <c r="U276" s="685"/>
      <c r="V276" s="685"/>
      <c r="W276" s="685"/>
      <c r="X276" s="685"/>
      <c r="Y276" s="685"/>
      <c r="Z276" s="685"/>
      <c r="AA276" s="685"/>
      <c r="AB276" s="685"/>
      <c r="AC276" s="685"/>
      <c r="AD276" s="685"/>
      <c r="AE276" s="685"/>
      <c r="AF276" s="115"/>
      <c r="AG276" s="115"/>
      <c r="AH276" s="685"/>
      <c r="AI276" s="685"/>
      <c r="AJ276" s="685"/>
      <c r="AK276" s="685"/>
      <c r="AL276" s="685"/>
      <c r="AM276" s="685"/>
      <c r="AN276" s="685"/>
      <c r="AO276" s="685"/>
      <c r="AP276" s="685"/>
      <c r="AQ276" s="685"/>
      <c r="AR276" s="685"/>
      <c r="AS276" s="685"/>
      <c r="AT276" s="685"/>
      <c r="AU276" s="685"/>
      <c r="AV276" s="685"/>
      <c r="AW276" s="685"/>
      <c r="AX276" s="685"/>
      <c r="AY276" s="685"/>
      <c r="AZ276" s="685"/>
      <c r="BA276" s="685"/>
      <c r="BB276" s="685"/>
      <c r="BC276" s="685"/>
      <c r="BN276" s="685"/>
      <c r="BO276" s="685"/>
      <c r="BP276" s="685"/>
      <c r="BR276" s="685"/>
      <c r="BS276" s="685"/>
      <c r="BU276" s="685"/>
    </row>
    <row r="277" spans="1:73">
      <c r="A277" s="685"/>
      <c r="B277" s="685"/>
      <c r="C277" s="685"/>
      <c r="D277" s="685"/>
      <c r="E277" s="685"/>
      <c r="F277" s="685"/>
      <c r="G277" s="685"/>
      <c r="H277" s="685"/>
      <c r="I277" s="685"/>
      <c r="J277" s="685"/>
      <c r="K277" s="685"/>
      <c r="L277" s="685"/>
      <c r="M277" s="685"/>
      <c r="N277" s="685"/>
      <c r="O277" s="685"/>
      <c r="P277" s="685"/>
      <c r="Q277" s="685"/>
      <c r="R277" s="685"/>
      <c r="S277" s="685"/>
      <c r="T277" s="685"/>
      <c r="U277" s="685"/>
      <c r="V277" s="685"/>
      <c r="W277" s="685"/>
      <c r="X277" s="685"/>
      <c r="Y277" s="685"/>
      <c r="Z277" s="685"/>
      <c r="AA277" s="685"/>
      <c r="AB277" s="685"/>
      <c r="AC277" s="685"/>
      <c r="AD277" s="685"/>
      <c r="AE277" s="685"/>
      <c r="AF277" s="115"/>
      <c r="AG277" s="115"/>
      <c r="AH277" s="685"/>
      <c r="AI277" s="685"/>
      <c r="AJ277" s="685"/>
      <c r="AK277" s="685"/>
      <c r="AL277" s="685"/>
      <c r="AM277" s="685"/>
      <c r="AN277" s="685"/>
      <c r="AO277" s="685"/>
      <c r="AP277" s="685"/>
      <c r="AQ277" s="685"/>
      <c r="AR277" s="685"/>
      <c r="AS277" s="685"/>
      <c r="AT277" s="685"/>
      <c r="AU277" s="685"/>
      <c r="AV277" s="685"/>
      <c r="AW277" s="685"/>
      <c r="AX277" s="685"/>
      <c r="AY277" s="685"/>
      <c r="AZ277" s="685"/>
      <c r="BA277" s="685"/>
      <c r="BB277" s="685"/>
      <c r="BC277" s="685"/>
      <c r="BN277" s="685"/>
      <c r="BO277" s="685"/>
      <c r="BP277" s="685"/>
      <c r="BR277" s="685"/>
      <c r="BS277" s="685"/>
      <c r="BU277" s="685"/>
    </row>
    <row r="278" spans="1:73">
      <c r="A278" s="685"/>
      <c r="B278" s="685"/>
      <c r="C278" s="685"/>
      <c r="D278" s="685"/>
      <c r="E278" s="685"/>
      <c r="F278" s="685"/>
      <c r="G278" s="685"/>
      <c r="H278" s="685"/>
      <c r="I278" s="685"/>
      <c r="J278" s="685"/>
      <c r="K278" s="685"/>
      <c r="L278" s="685"/>
      <c r="M278" s="685"/>
      <c r="N278" s="685"/>
      <c r="O278" s="685"/>
      <c r="P278" s="685"/>
      <c r="Q278" s="685"/>
      <c r="R278" s="685"/>
      <c r="S278" s="685"/>
      <c r="T278" s="685"/>
      <c r="U278" s="685"/>
      <c r="V278" s="685"/>
      <c r="W278" s="685"/>
      <c r="X278" s="685"/>
      <c r="Y278" s="685"/>
      <c r="Z278" s="685"/>
      <c r="AA278" s="685"/>
      <c r="AB278" s="685"/>
      <c r="AC278" s="685"/>
      <c r="AD278" s="685"/>
      <c r="AE278" s="685"/>
      <c r="AF278" s="115"/>
      <c r="AG278" s="115"/>
      <c r="AH278" s="685"/>
      <c r="AI278" s="685"/>
      <c r="AJ278" s="685"/>
      <c r="AK278" s="685"/>
      <c r="AL278" s="685"/>
      <c r="AM278" s="685"/>
      <c r="AN278" s="685"/>
      <c r="AO278" s="685"/>
      <c r="AP278" s="685"/>
      <c r="AQ278" s="685"/>
      <c r="AR278" s="685"/>
      <c r="AS278" s="685"/>
      <c r="AT278" s="685"/>
      <c r="AU278" s="685"/>
      <c r="AV278" s="685"/>
      <c r="AW278" s="685"/>
      <c r="AX278" s="685"/>
      <c r="AY278" s="685"/>
      <c r="AZ278" s="685"/>
      <c r="BA278" s="685"/>
      <c r="BB278" s="685"/>
      <c r="BC278" s="685"/>
      <c r="BN278" s="685"/>
      <c r="BO278" s="685"/>
      <c r="BP278" s="685"/>
      <c r="BR278" s="685"/>
      <c r="BS278" s="685"/>
      <c r="BU278" s="685"/>
    </row>
    <row r="279" spans="1:73">
      <c r="A279" s="685"/>
      <c r="B279" s="685"/>
      <c r="C279" s="685"/>
      <c r="D279" s="685"/>
      <c r="E279" s="685"/>
      <c r="F279" s="685"/>
      <c r="G279" s="685"/>
      <c r="H279" s="685"/>
      <c r="I279" s="685"/>
      <c r="J279" s="685"/>
      <c r="K279" s="685"/>
      <c r="L279" s="685"/>
      <c r="M279" s="685"/>
      <c r="N279" s="685"/>
      <c r="O279" s="685"/>
      <c r="P279" s="685"/>
      <c r="Q279" s="685"/>
      <c r="R279" s="685"/>
      <c r="S279" s="685"/>
      <c r="T279" s="685"/>
      <c r="U279" s="685"/>
      <c r="V279" s="685"/>
      <c r="W279" s="685"/>
      <c r="X279" s="685"/>
      <c r="Y279" s="685"/>
      <c r="Z279" s="685"/>
      <c r="AA279" s="685"/>
      <c r="AB279" s="685"/>
      <c r="AC279" s="685"/>
      <c r="AD279" s="685"/>
      <c r="AE279" s="685"/>
      <c r="AF279" s="115"/>
      <c r="AG279" s="115"/>
      <c r="AH279" s="685"/>
      <c r="AI279" s="685"/>
      <c r="AJ279" s="685"/>
      <c r="AK279" s="685"/>
      <c r="AL279" s="685"/>
      <c r="AM279" s="685"/>
      <c r="AN279" s="685"/>
      <c r="AO279" s="685"/>
      <c r="AP279" s="685"/>
      <c r="AQ279" s="685"/>
      <c r="AR279" s="685"/>
      <c r="AS279" s="685"/>
      <c r="AT279" s="685"/>
      <c r="AU279" s="685"/>
      <c r="AV279" s="685"/>
      <c r="AW279" s="685"/>
      <c r="AX279" s="685"/>
      <c r="AY279" s="685"/>
      <c r="AZ279" s="685"/>
      <c r="BA279" s="685"/>
      <c r="BB279" s="685"/>
      <c r="BC279" s="685"/>
      <c r="BN279" s="685"/>
      <c r="BO279" s="685"/>
      <c r="BP279" s="685"/>
      <c r="BR279" s="685"/>
      <c r="BS279" s="685"/>
      <c r="BU279" s="685"/>
    </row>
    <row r="280" spans="1:73">
      <c r="A280" s="685"/>
      <c r="B280" s="685"/>
      <c r="C280" s="685"/>
      <c r="D280" s="685"/>
      <c r="E280" s="685"/>
      <c r="F280" s="685"/>
      <c r="G280" s="685"/>
      <c r="H280" s="685"/>
      <c r="I280" s="685"/>
      <c r="J280" s="685"/>
      <c r="K280" s="685"/>
      <c r="L280" s="685"/>
      <c r="M280" s="685"/>
      <c r="N280" s="685"/>
      <c r="O280" s="685"/>
      <c r="P280" s="685"/>
      <c r="Q280" s="685"/>
      <c r="R280" s="685"/>
      <c r="S280" s="685"/>
      <c r="T280" s="685"/>
      <c r="U280" s="685"/>
      <c r="V280" s="685"/>
      <c r="W280" s="685"/>
      <c r="X280" s="685"/>
      <c r="Y280" s="685"/>
      <c r="Z280" s="685"/>
      <c r="AA280" s="685"/>
      <c r="AB280" s="685"/>
      <c r="AC280" s="685"/>
      <c r="AD280" s="685"/>
      <c r="AE280" s="685"/>
      <c r="AF280" s="115"/>
      <c r="AG280" s="115"/>
      <c r="AH280" s="685"/>
      <c r="AI280" s="685"/>
      <c r="AJ280" s="685"/>
      <c r="AK280" s="685"/>
      <c r="AL280" s="685"/>
      <c r="AM280" s="685"/>
      <c r="AN280" s="685"/>
      <c r="AO280" s="685"/>
      <c r="AP280" s="685"/>
      <c r="AQ280" s="685"/>
      <c r="AR280" s="685"/>
      <c r="AS280" s="685"/>
      <c r="AT280" s="685"/>
      <c r="AU280" s="685"/>
      <c r="AV280" s="685"/>
      <c r="AW280" s="685"/>
      <c r="AX280" s="685"/>
      <c r="AY280" s="685"/>
      <c r="AZ280" s="685"/>
      <c r="BA280" s="685"/>
      <c r="BB280" s="685"/>
      <c r="BC280" s="685"/>
      <c r="BN280" s="685"/>
      <c r="BO280" s="685"/>
      <c r="BP280" s="685"/>
      <c r="BR280" s="685"/>
      <c r="BS280" s="685"/>
      <c r="BU280" s="685"/>
    </row>
    <row r="281" spans="1:73">
      <c r="A281" s="685"/>
      <c r="B281" s="685"/>
      <c r="C281" s="685"/>
      <c r="D281" s="685"/>
      <c r="E281" s="685"/>
      <c r="F281" s="685"/>
      <c r="G281" s="685"/>
      <c r="H281" s="685"/>
      <c r="I281" s="685"/>
      <c r="J281" s="685"/>
      <c r="K281" s="685"/>
      <c r="L281" s="685"/>
      <c r="M281" s="685"/>
      <c r="N281" s="685"/>
      <c r="O281" s="685"/>
      <c r="P281" s="685"/>
      <c r="Q281" s="685"/>
      <c r="R281" s="685"/>
      <c r="S281" s="685"/>
      <c r="T281" s="685"/>
      <c r="U281" s="685"/>
      <c r="V281" s="685"/>
      <c r="W281" s="685"/>
      <c r="X281" s="685"/>
      <c r="Y281" s="685"/>
      <c r="Z281" s="685"/>
      <c r="AA281" s="685"/>
      <c r="AB281" s="685"/>
      <c r="AC281" s="685"/>
      <c r="AD281" s="685"/>
      <c r="AE281" s="685"/>
      <c r="AF281" s="115"/>
      <c r="AG281" s="115"/>
      <c r="AH281" s="685"/>
      <c r="AI281" s="685"/>
      <c r="AJ281" s="685"/>
      <c r="AK281" s="685"/>
      <c r="AL281" s="685"/>
      <c r="AM281" s="685"/>
      <c r="AN281" s="685"/>
      <c r="AO281" s="685"/>
      <c r="AP281" s="685"/>
      <c r="AQ281" s="685"/>
      <c r="AR281" s="685"/>
      <c r="AS281" s="685"/>
      <c r="AT281" s="685"/>
      <c r="AU281" s="685"/>
      <c r="AV281" s="685"/>
      <c r="AW281" s="685"/>
      <c r="AX281" s="685"/>
      <c r="AY281" s="685"/>
      <c r="AZ281" s="685"/>
      <c r="BA281" s="685"/>
      <c r="BB281" s="685"/>
      <c r="BC281" s="685"/>
      <c r="BN281" s="685"/>
      <c r="BO281" s="685"/>
      <c r="BP281" s="685"/>
      <c r="BR281" s="685"/>
      <c r="BS281" s="685"/>
      <c r="BU281" s="685"/>
    </row>
    <row r="282" spans="1:73">
      <c r="A282" s="685"/>
      <c r="B282" s="685"/>
      <c r="C282" s="685"/>
      <c r="D282" s="685"/>
      <c r="E282" s="685"/>
      <c r="F282" s="685"/>
      <c r="G282" s="685"/>
      <c r="H282" s="685"/>
      <c r="I282" s="685"/>
      <c r="J282" s="685"/>
      <c r="K282" s="685"/>
      <c r="L282" s="685"/>
      <c r="M282" s="685"/>
      <c r="N282" s="685"/>
      <c r="O282" s="685"/>
      <c r="P282" s="685"/>
      <c r="Q282" s="685"/>
      <c r="R282" s="685"/>
      <c r="S282" s="685"/>
      <c r="T282" s="685"/>
      <c r="U282" s="685"/>
      <c r="V282" s="685"/>
      <c r="W282" s="685"/>
      <c r="X282" s="685"/>
      <c r="Y282" s="685"/>
      <c r="Z282" s="685"/>
      <c r="AA282" s="685"/>
      <c r="AB282" s="685"/>
      <c r="AC282" s="685"/>
      <c r="AD282" s="685"/>
      <c r="AE282" s="685"/>
      <c r="AF282" s="115"/>
      <c r="AG282" s="115"/>
      <c r="AH282" s="685"/>
      <c r="AI282" s="685"/>
      <c r="AJ282" s="685"/>
      <c r="AK282" s="685"/>
      <c r="AL282" s="685"/>
      <c r="AM282" s="685"/>
      <c r="AN282" s="685"/>
      <c r="AO282" s="685"/>
      <c r="AP282" s="685"/>
      <c r="AQ282" s="685"/>
      <c r="AR282" s="685"/>
      <c r="AS282" s="685"/>
      <c r="AT282" s="685"/>
      <c r="AU282" s="685"/>
      <c r="AV282" s="685"/>
      <c r="AW282" s="685"/>
      <c r="AX282" s="685"/>
      <c r="AY282" s="685"/>
      <c r="AZ282" s="685"/>
      <c r="BA282" s="685"/>
      <c r="BB282" s="685"/>
      <c r="BC282" s="685"/>
      <c r="BN282" s="685"/>
      <c r="BO282" s="685"/>
      <c r="BP282" s="685"/>
      <c r="BR282" s="685"/>
      <c r="BS282" s="685"/>
      <c r="BU282" s="685"/>
    </row>
    <row r="283" spans="1:73">
      <c r="A283" s="685"/>
      <c r="B283" s="685"/>
      <c r="C283" s="685"/>
      <c r="D283" s="685"/>
      <c r="E283" s="685"/>
      <c r="F283" s="685"/>
      <c r="G283" s="685"/>
      <c r="H283" s="685"/>
      <c r="I283" s="685"/>
      <c r="J283" s="685"/>
      <c r="K283" s="685"/>
      <c r="L283" s="685"/>
      <c r="M283" s="685"/>
      <c r="N283" s="685"/>
      <c r="O283" s="685"/>
      <c r="P283" s="685"/>
      <c r="Q283" s="685"/>
      <c r="R283" s="685"/>
      <c r="S283" s="685"/>
      <c r="T283" s="685"/>
      <c r="U283" s="685"/>
      <c r="V283" s="685"/>
      <c r="W283" s="685"/>
      <c r="X283" s="685"/>
      <c r="Y283" s="685"/>
      <c r="Z283" s="685"/>
      <c r="AA283" s="685"/>
      <c r="AB283" s="685"/>
      <c r="AC283" s="685"/>
      <c r="AD283" s="685"/>
      <c r="AE283" s="685"/>
      <c r="AF283" s="115"/>
      <c r="AG283" s="115"/>
      <c r="AH283" s="685"/>
      <c r="AI283" s="685"/>
      <c r="AJ283" s="685"/>
      <c r="AK283" s="685"/>
      <c r="AL283" s="685"/>
      <c r="AM283" s="685"/>
      <c r="AN283" s="685"/>
      <c r="AO283" s="685"/>
      <c r="AP283" s="685"/>
      <c r="AQ283" s="685"/>
      <c r="AR283" s="685"/>
      <c r="AS283" s="685"/>
      <c r="AT283" s="685"/>
      <c r="AU283" s="685"/>
      <c r="AV283" s="685"/>
      <c r="AW283" s="685"/>
      <c r="AX283" s="685"/>
      <c r="AY283" s="685"/>
      <c r="AZ283" s="685"/>
      <c r="BA283" s="685"/>
      <c r="BB283" s="685"/>
      <c r="BC283" s="685"/>
      <c r="BN283" s="685"/>
      <c r="BO283" s="685"/>
      <c r="BP283" s="685"/>
      <c r="BR283" s="685"/>
      <c r="BS283" s="685"/>
      <c r="BU283" s="685"/>
    </row>
    <row r="284" spans="1:73">
      <c r="A284" s="685"/>
      <c r="B284" s="685"/>
      <c r="C284" s="685"/>
      <c r="D284" s="685"/>
      <c r="E284" s="685"/>
      <c r="F284" s="685"/>
      <c r="G284" s="685"/>
      <c r="H284" s="685"/>
      <c r="I284" s="685"/>
      <c r="J284" s="685"/>
      <c r="K284" s="685"/>
      <c r="L284" s="685"/>
      <c r="M284" s="685"/>
      <c r="N284" s="685"/>
      <c r="O284" s="685"/>
      <c r="P284" s="685"/>
      <c r="Q284" s="685"/>
      <c r="R284" s="685"/>
      <c r="S284" s="685"/>
      <c r="T284" s="685"/>
      <c r="U284" s="685"/>
      <c r="V284" s="685"/>
      <c r="W284" s="685"/>
      <c r="X284" s="685"/>
      <c r="Y284" s="685"/>
      <c r="Z284" s="685"/>
      <c r="AA284" s="685"/>
      <c r="AB284" s="685"/>
      <c r="AC284" s="685"/>
      <c r="AD284" s="685"/>
      <c r="AE284" s="685"/>
      <c r="AF284" s="115"/>
      <c r="AG284" s="115"/>
      <c r="AH284" s="685"/>
      <c r="AI284" s="685"/>
      <c r="AJ284" s="685"/>
      <c r="AK284" s="685"/>
      <c r="AL284" s="685"/>
      <c r="AM284" s="685"/>
      <c r="AN284" s="685"/>
      <c r="AO284" s="685"/>
      <c r="AP284" s="685"/>
      <c r="AQ284" s="685"/>
      <c r="AR284" s="685"/>
      <c r="AS284" s="685"/>
      <c r="AT284" s="685"/>
      <c r="AU284" s="685"/>
      <c r="AV284" s="685"/>
      <c r="AW284" s="685"/>
      <c r="AX284" s="685"/>
      <c r="AY284" s="685"/>
      <c r="AZ284" s="685"/>
      <c r="BA284" s="685"/>
      <c r="BB284" s="685"/>
      <c r="BC284" s="685"/>
      <c r="BN284" s="685"/>
      <c r="BO284" s="685"/>
      <c r="BP284" s="685"/>
      <c r="BR284" s="685"/>
      <c r="BS284" s="685"/>
      <c r="BU284" s="685"/>
    </row>
    <row r="285" spans="1:73">
      <c r="A285" s="685"/>
      <c r="B285" s="685"/>
      <c r="C285" s="685"/>
      <c r="D285" s="685"/>
      <c r="E285" s="685"/>
      <c r="F285" s="685"/>
      <c r="G285" s="685"/>
      <c r="H285" s="685"/>
      <c r="I285" s="685"/>
      <c r="J285" s="685"/>
      <c r="K285" s="685"/>
      <c r="L285" s="685"/>
      <c r="M285" s="685"/>
      <c r="N285" s="685"/>
      <c r="O285" s="685"/>
      <c r="P285" s="685"/>
      <c r="Q285" s="685"/>
      <c r="R285" s="685"/>
      <c r="S285" s="685"/>
      <c r="T285" s="685"/>
      <c r="U285" s="685"/>
      <c r="V285" s="685"/>
      <c r="W285" s="685"/>
      <c r="X285" s="685"/>
      <c r="Y285" s="685"/>
      <c r="Z285" s="685"/>
      <c r="AA285" s="685"/>
      <c r="AB285" s="685"/>
      <c r="AC285" s="685"/>
      <c r="AD285" s="685"/>
      <c r="AE285" s="685"/>
      <c r="AF285" s="115"/>
      <c r="AG285" s="115"/>
      <c r="AH285" s="685"/>
      <c r="AI285" s="685"/>
      <c r="AJ285" s="685"/>
      <c r="AK285" s="685"/>
      <c r="AL285" s="685"/>
      <c r="AM285" s="685"/>
      <c r="AN285" s="685"/>
      <c r="AO285" s="685"/>
      <c r="AP285" s="685"/>
      <c r="AQ285" s="685"/>
      <c r="AR285" s="685"/>
      <c r="AS285" s="685"/>
      <c r="AT285" s="685"/>
      <c r="AU285" s="685"/>
      <c r="AV285" s="685"/>
      <c r="AW285" s="685"/>
      <c r="AX285" s="685"/>
      <c r="AY285" s="685"/>
      <c r="AZ285" s="685"/>
      <c r="BA285" s="685"/>
      <c r="BB285" s="685"/>
      <c r="BC285" s="685"/>
      <c r="BN285" s="685"/>
      <c r="BO285" s="685"/>
      <c r="BP285" s="685"/>
      <c r="BR285" s="685"/>
      <c r="BS285" s="685"/>
      <c r="BU285" s="685"/>
    </row>
    <row r="286" spans="1:73">
      <c r="A286" s="685"/>
      <c r="B286" s="685"/>
      <c r="C286" s="685"/>
      <c r="D286" s="685"/>
      <c r="E286" s="685"/>
      <c r="F286" s="685"/>
      <c r="G286" s="685"/>
      <c r="H286" s="685"/>
      <c r="I286" s="685"/>
      <c r="J286" s="685"/>
      <c r="K286" s="685"/>
      <c r="L286" s="685"/>
      <c r="M286" s="685"/>
      <c r="N286" s="685"/>
      <c r="O286" s="685"/>
      <c r="P286" s="685"/>
      <c r="Q286" s="685"/>
      <c r="R286" s="685"/>
      <c r="S286" s="685"/>
      <c r="T286" s="685"/>
      <c r="U286" s="685"/>
      <c r="V286" s="685"/>
      <c r="W286" s="685"/>
      <c r="X286" s="685"/>
      <c r="Y286" s="685"/>
      <c r="Z286" s="685"/>
      <c r="AA286" s="685"/>
      <c r="AB286" s="685"/>
      <c r="AC286" s="685"/>
      <c r="AD286" s="685"/>
      <c r="AE286" s="685"/>
      <c r="AF286" s="115"/>
      <c r="AG286" s="115"/>
      <c r="AH286" s="685"/>
      <c r="AI286" s="685"/>
      <c r="AJ286" s="685"/>
      <c r="AK286" s="685"/>
      <c r="AL286" s="685"/>
      <c r="AM286" s="685"/>
      <c r="AN286" s="685"/>
      <c r="AO286" s="685"/>
      <c r="AP286" s="685"/>
      <c r="AQ286" s="685"/>
      <c r="AR286" s="685"/>
      <c r="AS286" s="685"/>
      <c r="AT286" s="685"/>
      <c r="AU286" s="685"/>
      <c r="AV286" s="685"/>
      <c r="AW286" s="685"/>
      <c r="AX286" s="685"/>
      <c r="AY286" s="685"/>
      <c r="AZ286" s="685"/>
      <c r="BA286" s="685"/>
      <c r="BB286" s="685"/>
      <c r="BC286" s="685"/>
      <c r="BN286" s="685"/>
      <c r="BO286" s="685"/>
      <c r="BP286" s="685"/>
      <c r="BR286" s="685"/>
      <c r="BS286" s="685"/>
      <c r="BU286" s="685"/>
    </row>
    <row r="287" spans="1:73">
      <c r="A287" s="685"/>
      <c r="B287" s="685"/>
      <c r="C287" s="685"/>
      <c r="D287" s="685"/>
      <c r="E287" s="685"/>
      <c r="F287" s="685"/>
      <c r="G287" s="685"/>
      <c r="H287" s="685"/>
      <c r="I287" s="685"/>
      <c r="J287" s="685"/>
      <c r="K287" s="685"/>
      <c r="L287" s="685"/>
      <c r="M287" s="685"/>
      <c r="N287" s="685"/>
      <c r="O287" s="685"/>
      <c r="P287" s="685"/>
      <c r="Q287" s="685"/>
      <c r="R287" s="685"/>
      <c r="S287" s="685"/>
      <c r="T287" s="685"/>
      <c r="U287" s="685"/>
      <c r="V287" s="685"/>
      <c r="W287" s="685"/>
      <c r="X287" s="685"/>
      <c r="Y287" s="685"/>
      <c r="Z287" s="685"/>
      <c r="AA287" s="685"/>
      <c r="AB287" s="685"/>
      <c r="AC287" s="685"/>
      <c r="AD287" s="685"/>
      <c r="AE287" s="685"/>
      <c r="AF287" s="115"/>
      <c r="AG287" s="115"/>
      <c r="AH287" s="685"/>
      <c r="AI287" s="685"/>
      <c r="AJ287" s="685"/>
      <c r="AK287" s="685"/>
      <c r="AL287" s="685"/>
      <c r="AM287" s="685"/>
      <c r="AN287" s="685"/>
      <c r="AO287" s="685"/>
      <c r="AP287" s="685"/>
      <c r="AQ287" s="685"/>
      <c r="AR287" s="685"/>
      <c r="AS287" s="685"/>
      <c r="AT287" s="685"/>
      <c r="AU287" s="685"/>
      <c r="AV287" s="685"/>
      <c r="AW287" s="685"/>
      <c r="AX287" s="685"/>
      <c r="AY287" s="685"/>
      <c r="AZ287" s="685"/>
      <c r="BA287" s="685"/>
      <c r="BB287" s="685"/>
      <c r="BC287" s="685"/>
      <c r="BN287" s="685"/>
      <c r="BO287" s="685"/>
      <c r="BP287" s="685"/>
      <c r="BR287" s="685"/>
      <c r="BS287" s="685"/>
      <c r="BU287" s="685"/>
    </row>
    <row r="288" spans="1:73">
      <c r="A288" s="685"/>
      <c r="B288" s="685"/>
      <c r="C288" s="685"/>
      <c r="D288" s="685"/>
      <c r="E288" s="685"/>
      <c r="F288" s="685"/>
      <c r="G288" s="685"/>
      <c r="H288" s="685"/>
      <c r="I288" s="685"/>
      <c r="J288" s="685"/>
      <c r="K288" s="685"/>
      <c r="L288" s="685"/>
      <c r="M288" s="685"/>
      <c r="N288" s="685"/>
      <c r="O288" s="685"/>
      <c r="P288" s="685"/>
      <c r="Q288" s="685"/>
      <c r="R288" s="685"/>
      <c r="S288" s="685"/>
      <c r="T288" s="685"/>
      <c r="U288" s="685"/>
      <c r="V288" s="685"/>
      <c r="W288" s="685"/>
      <c r="X288" s="685"/>
      <c r="Y288" s="685"/>
      <c r="Z288" s="685"/>
      <c r="AA288" s="685"/>
      <c r="AB288" s="685"/>
      <c r="AC288" s="685"/>
      <c r="AD288" s="685"/>
      <c r="AE288" s="685"/>
      <c r="AF288" s="115"/>
      <c r="AG288" s="115"/>
      <c r="AH288" s="685"/>
      <c r="AI288" s="685"/>
      <c r="AJ288" s="685"/>
      <c r="AK288" s="685"/>
      <c r="AL288" s="685"/>
      <c r="AM288" s="685"/>
      <c r="AN288" s="685"/>
      <c r="AO288" s="685"/>
      <c r="AP288" s="685"/>
      <c r="AQ288" s="685"/>
      <c r="AR288" s="685"/>
      <c r="AS288" s="685"/>
      <c r="AT288" s="685"/>
      <c r="AU288" s="685"/>
      <c r="AV288" s="685"/>
      <c r="AW288" s="685"/>
      <c r="AX288" s="685"/>
      <c r="AY288" s="685"/>
      <c r="AZ288" s="685"/>
      <c r="BA288" s="685"/>
      <c r="BB288" s="685"/>
      <c r="BC288" s="685"/>
      <c r="BN288" s="685"/>
      <c r="BO288" s="685"/>
      <c r="BP288" s="685"/>
      <c r="BR288" s="685"/>
      <c r="BS288" s="685"/>
      <c r="BU288" s="685"/>
    </row>
    <row r="289" spans="1:73">
      <c r="A289" s="685"/>
      <c r="B289" s="685"/>
      <c r="C289" s="685"/>
      <c r="D289" s="685"/>
      <c r="E289" s="685"/>
      <c r="F289" s="685"/>
      <c r="G289" s="685"/>
      <c r="H289" s="685"/>
      <c r="I289" s="685"/>
      <c r="J289" s="685"/>
      <c r="K289" s="685"/>
      <c r="L289" s="685"/>
      <c r="M289" s="685"/>
      <c r="N289" s="685"/>
      <c r="O289" s="685"/>
      <c r="P289" s="685"/>
      <c r="Q289" s="685"/>
      <c r="R289" s="685"/>
      <c r="S289" s="685"/>
      <c r="T289" s="685"/>
      <c r="U289" s="685"/>
      <c r="V289" s="685"/>
      <c r="W289" s="685"/>
      <c r="X289" s="685"/>
      <c r="Y289" s="685"/>
      <c r="Z289" s="685"/>
      <c r="AA289" s="685"/>
      <c r="AB289" s="685"/>
      <c r="AC289" s="685"/>
      <c r="AD289" s="685"/>
      <c r="AE289" s="685"/>
      <c r="AF289" s="115"/>
      <c r="AG289" s="115"/>
      <c r="AH289" s="685"/>
      <c r="AI289" s="685"/>
      <c r="AJ289" s="685"/>
      <c r="AK289" s="685"/>
      <c r="AL289" s="685"/>
      <c r="AM289" s="685"/>
      <c r="AN289" s="685"/>
      <c r="AO289" s="685"/>
      <c r="AP289" s="685"/>
      <c r="AQ289" s="685"/>
      <c r="AR289" s="685"/>
      <c r="AS289" s="685"/>
      <c r="AT289" s="685"/>
      <c r="AU289" s="685"/>
      <c r="AV289" s="685"/>
      <c r="AW289" s="685"/>
      <c r="AX289" s="685"/>
      <c r="AY289" s="685"/>
      <c r="AZ289" s="685"/>
      <c r="BA289" s="685"/>
      <c r="BB289" s="685"/>
      <c r="BC289" s="685"/>
      <c r="BN289" s="685"/>
      <c r="BO289" s="685"/>
      <c r="BP289" s="685"/>
      <c r="BR289" s="685"/>
      <c r="BS289" s="685"/>
      <c r="BU289" s="685"/>
    </row>
    <row r="290" spans="1:73">
      <c r="A290" s="685"/>
      <c r="B290" s="685"/>
      <c r="C290" s="685"/>
      <c r="D290" s="685"/>
      <c r="E290" s="685"/>
      <c r="F290" s="685"/>
      <c r="G290" s="685"/>
      <c r="H290" s="685"/>
      <c r="I290" s="685"/>
      <c r="J290" s="685"/>
      <c r="K290" s="685"/>
      <c r="L290" s="685"/>
      <c r="M290" s="685"/>
      <c r="N290" s="685"/>
      <c r="O290" s="685"/>
      <c r="P290" s="685"/>
      <c r="Q290" s="685"/>
      <c r="R290" s="685"/>
      <c r="S290" s="685"/>
      <c r="T290" s="685"/>
      <c r="U290" s="685"/>
      <c r="V290" s="685"/>
      <c r="W290" s="685"/>
      <c r="X290" s="685"/>
      <c r="Y290" s="685"/>
      <c r="Z290" s="685"/>
      <c r="AA290" s="685"/>
      <c r="AB290" s="685"/>
      <c r="AC290" s="685"/>
      <c r="AD290" s="685"/>
      <c r="AE290" s="685"/>
      <c r="AF290" s="115"/>
      <c r="AG290" s="115"/>
      <c r="AH290" s="685"/>
      <c r="AI290" s="685"/>
      <c r="AJ290" s="685"/>
      <c r="AK290" s="685"/>
      <c r="AL290" s="685"/>
      <c r="AM290" s="685"/>
      <c r="AN290" s="685"/>
      <c r="AO290" s="685"/>
      <c r="AP290" s="685"/>
      <c r="AQ290" s="685"/>
      <c r="AR290" s="685"/>
      <c r="AS290" s="685"/>
      <c r="AT290" s="685"/>
      <c r="AU290" s="685"/>
      <c r="AV290" s="685"/>
      <c r="AW290" s="685"/>
      <c r="AX290" s="685"/>
      <c r="AY290" s="685"/>
      <c r="AZ290" s="685"/>
      <c r="BA290" s="685"/>
      <c r="BB290" s="685"/>
      <c r="BC290" s="685"/>
      <c r="BN290" s="685"/>
      <c r="BO290" s="685"/>
      <c r="BP290" s="685"/>
      <c r="BR290" s="685"/>
      <c r="BS290" s="685"/>
      <c r="BU290" s="685"/>
    </row>
    <row r="291" spans="1:73">
      <c r="A291" s="685"/>
      <c r="B291" s="685"/>
      <c r="C291" s="685"/>
      <c r="D291" s="685"/>
      <c r="E291" s="685"/>
      <c r="F291" s="685"/>
      <c r="G291" s="685"/>
      <c r="H291" s="685"/>
      <c r="I291" s="685"/>
      <c r="J291" s="685"/>
      <c r="K291" s="685"/>
      <c r="L291" s="685"/>
      <c r="M291" s="685"/>
      <c r="N291" s="685"/>
      <c r="O291" s="685"/>
      <c r="P291" s="685"/>
      <c r="Q291" s="685"/>
      <c r="R291" s="685"/>
      <c r="S291" s="685"/>
      <c r="T291" s="685"/>
      <c r="U291" s="685"/>
      <c r="V291" s="685"/>
      <c r="W291" s="685"/>
      <c r="X291" s="685"/>
      <c r="Y291" s="685"/>
      <c r="Z291" s="685"/>
      <c r="AA291" s="685"/>
      <c r="AB291" s="685"/>
      <c r="AC291" s="685"/>
      <c r="AD291" s="685"/>
      <c r="AE291" s="685"/>
      <c r="AF291" s="115"/>
      <c r="AG291" s="115"/>
      <c r="AH291" s="685"/>
      <c r="AI291" s="685"/>
      <c r="AJ291" s="685"/>
      <c r="AK291" s="685"/>
      <c r="AL291" s="685"/>
      <c r="AM291" s="685"/>
      <c r="AN291" s="685"/>
      <c r="AO291" s="685"/>
      <c r="AP291" s="685"/>
      <c r="AQ291" s="685"/>
      <c r="AR291" s="685"/>
      <c r="AS291" s="685"/>
      <c r="AT291" s="685"/>
      <c r="AU291" s="685"/>
      <c r="AV291" s="685"/>
      <c r="AW291" s="685"/>
      <c r="AX291" s="685"/>
      <c r="AY291" s="685"/>
      <c r="AZ291" s="685"/>
      <c r="BA291" s="685"/>
      <c r="BB291" s="685"/>
      <c r="BC291" s="685"/>
      <c r="BN291" s="685"/>
      <c r="BO291" s="685"/>
      <c r="BP291" s="685"/>
      <c r="BR291" s="685"/>
      <c r="BS291" s="685"/>
      <c r="BU291" s="685"/>
    </row>
    <row r="292" spans="1:73">
      <c r="A292" s="685"/>
      <c r="B292" s="685"/>
      <c r="C292" s="685"/>
      <c r="D292" s="685"/>
      <c r="E292" s="685"/>
      <c r="F292" s="685"/>
      <c r="G292" s="685"/>
      <c r="H292" s="685"/>
      <c r="I292" s="685"/>
      <c r="J292" s="685"/>
      <c r="K292" s="685"/>
      <c r="L292" s="685"/>
      <c r="M292" s="685"/>
      <c r="N292" s="685"/>
      <c r="O292" s="685"/>
      <c r="P292" s="685"/>
      <c r="Q292" s="685"/>
      <c r="R292" s="685"/>
      <c r="S292" s="685"/>
      <c r="T292" s="685"/>
      <c r="U292" s="685"/>
      <c r="V292" s="685"/>
      <c r="W292" s="685"/>
      <c r="X292" s="685"/>
      <c r="Y292" s="685"/>
      <c r="Z292" s="685"/>
      <c r="AA292" s="685"/>
      <c r="AB292" s="685"/>
      <c r="AC292" s="685"/>
      <c r="AD292" s="685"/>
      <c r="AE292" s="685"/>
      <c r="AF292" s="115"/>
      <c r="AG292" s="115"/>
      <c r="AH292" s="685"/>
      <c r="AI292" s="685"/>
      <c r="AJ292" s="685"/>
      <c r="AK292" s="685"/>
      <c r="AL292" s="685"/>
      <c r="AM292" s="685"/>
      <c r="AN292" s="685"/>
      <c r="AO292" s="685"/>
      <c r="AP292" s="685"/>
      <c r="AQ292" s="685"/>
      <c r="AR292" s="685"/>
      <c r="AS292" s="685"/>
      <c r="AT292" s="685"/>
      <c r="AU292" s="685"/>
      <c r="AV292" s="685"/>
      <c r="AW292" s="685"/>
      <c r="AX292" s="685"/>
      <c r="AY292" s="685"/>
      <c r="AZ292" s="685"/>
      <c r="BA292" s="685"/>
      <c r="BB292" s="685"/>
      <c r="BC292" s="685"/>
      <c r="BN292" s="685"/>
      <c r="BO292" s="685"/>
      <c r="BP292" s="685"/>
      <c r="BR292" s="685"/>
      <c r="BS292" s="685"/>
      <c r="BU292" s="685"/>
    </row>
    <row r="293" spans="1:73">
      <c r="A293" s="685"/>
      <c r="B293" s="685"/>
      <c r="C293" s="685"/>
      <c r="D293" s="685"/>
      <c r="E293" s="685"/>
      <c r="F293" s="685"/>
      <c r="G293" s="685"/>
      <c r="H293" s="685"/>
      <c r="I293" s="685"/>
      <c r="J293" s="685"/>
      <c r="K293" s="685"/>
      <c r="L293" s="685"/>
      <c r="M293" s="685"/>
      <c r="N293" s="685"/>
      <c r="O293" s="685"/>
      <c r="P293" s="685"/>
      <c r="Q293" s="685"/>
      <c r="R293" s="685"/>
      <c r="S293" s="685"/>
      <c r="T293" s="685"/>
      <c r="U293" s="685"/>
      <c r="V293" s="685"/>
      <c r="W293" s="685"/>
      <c r="X293" s="685"/>
      <c r="Y293" s="685"/>
      <c r="Z293" s="685"/>
      <c r="AA293" s="685"/>
      <c r="AB293" s="685"/>
      <c r="AC293" s="685"/>
      <c r="AD293" s="685"/>
      <c r="AE293" s="685"/>
      <c r="AF293" s="115"/>
      <c r="AG293" s="115"/>
      <c r="AH293" s="685"/>
      <c r="AI293" s="685"/>
      <c r="AJ293" s="685"/>
      <c r="AK293" s="685"/>
      <c r="AL293" s="685"/>
      <c r="AM293" s="685"/>
      <c r="AN293" s="685"/>
      <c r="AO293" s="685"/>
      <c r="AP293" s="685"/>
      <c r="AQ293" s="685"/>
      <c r="AR293" s="685"/>
      <c r="AS293" s="685"/>
      <c r="AT293" s="685"/>
      <c r="AU293" s="685"/>
      <c r="AV293" s="685"/>
      <c r="AW293" s="685"/>
      <c r="AX293" s="685"/>
      <c r="AY293" s="685"/>
      <c r="AZ293" s="685"/>
      <c r="BA293" s="685"/>
      <c r="BB293" s="685"/>
      <c r="BC293" s="685"/>
      <c r="BN293" s="685"/>
      <c r="BO293" s="685"/>
      <c r="BP293" s="685"/>
      <c r="BR293" s="685"/>
      <c r="BS293" s="685"/>
      <c r="BU293" s="685"/>
    </row>
    <row r="294" spans="1:73">
      <c r="A294" s="685"/>
      <c r="B294" s="685"/>
      <c r="C294" s="685"/>
      <c r="D294" s="685"/>
      <c r="E294" s="685"/>
      <c r="F294" s="685"/>
      <c r="G294" s="685"/>
      <c r="H294" s="685"/>
      <c r="I294" s="685"/>
      <c r="J294" s="685"/>
      <c r="K294" s="685"/>
      <c r="L294" s="685"/>
      <c r="M294" s="685"/>
      <c r="N294" s="685"/>
      <c r="O294" s="685"/>
      <c r="P294" s="685"/>
      <c r="Q294" s="685"/>
      <c r="R294" s="685"/>
      <c r="S294" s="685"/>
      <c r="T294" s="685"/>
      <c r="U294" s="685"/>
      <c r="V294" s="685"/>
      <c r="W294" s="685"/>
      <c r="X294" s="685"/>
      <c r="Y294" s="685"/>
      <c r="Z294" s="685"/>
      <c r="AA294" s="685"/>
      <c r="AB294" s="685"/>
      <c r="AC294" s="685"/>
      <c r="AD294" s="685"/>
      <c r="AE294" s="685"/>
      <c r="AF294" s="115"/>
      <c r="AG294" s="115"/>
      <c r="AH294" s="685"/>
      <c r="AI294" s="685"/>
      <c r="AJ294" s="685"/>
      <c r="AK294" s="685"/>
      <c r="AL294" s="685"/>
      <c r="AM294" s="685"/>
      <c r="AN294" s="685"/>
      <c r="AO294" s="685"/>
      <c r="AP294" s="685"/>
      <c r="AQ294" s="685"/>
      <c r="AR294" s="685"/>
      <c r="AS294" s="685"/>
      <c r="AT294" s="685"/>
      <c r="AU294" s="685"/>
      <c r="AV294" s="685"/>
      <c r="AW294" s="685"/>
      <c r="AX294" s="685"/>
      <c r="AY294" s="685"/>
      <c r="AZ294" s="685"/>
      <c r="BA294" s="685"/>
      <c r="BB294" s="685"/>
      <c r="BC294" s="685"/>
      <c r="BN294" s="685"/>
      <c r="BO294" s="685"/>
      <c r="BP294" s="685"/>
      <c r="BR294" s="685"/>
      <c r="BS294" s="685"/>
      <c r="BU294" s="685"/>
    </row>
    <row r="295" spans="1:73">
      <c r="A295" s="685"/>
      <c r="B295" s="685"/>
      <c r="C295" s="685"/>
      <c r="D295" s="685"/>
      <c r="E295" s="685"/>
      <c r="F295" s="685"/>
      <c r="G295" s="685"/>
      <c r="H295" s="685"/>
      <c r="I295" s="685"/>
      <c r="J295" s="685"/>
      <c r="K295" s="685"/>
      <c r="L295" s="685"/>
      <c r="M295" s="685"/>
      <c r="N295" s="685"/>
      <c r="O295" s="685"/>
      <c r="P295" s="685"/>
      <c r="Q295" s="685"/>
      <c r="R295" s="685"/>
      <c r="S295" s="685"/>
      <c r="T295" s="685"/>
      <c r="U295" s="685"/>
      <c r="V295" s="685"/>
      <c r="W295" s="685"/>
      <c r="X295" s="685"/>
      <c r="Y295" s="685"/>
      <c r="Z295" s="685"/>
      <c r="AA295" s="685"/>
      <c r="AB295" s="685"/>
      <c r="AC295" s="685"/>
      <c r="AD295" s="685"/>
      <c r="AE295" s="685"/>
      <c r="AF295" s="115"/>
      <c r="AG295" s="115"/>
      <c r="AH295" s="685"/>
      <c r="AI295" s="685"/>
      <c r="AJ295" s="685"/>
      <c r="AK295" s="685"/>
      <c r="AL295" s="685"/>
      <c r="AM295" s="685"/>
      <c r="AN295" s="685"/>
      <c r="AO295" s="685"/>
      <c r="AP295" s="685"/>
      <c r="AQ295" s="685"/>
      <c r="AR295" s="685"/>
      <c r="AS295" s="685"/>
      <c r="AT295" s="685"/>
      <c r="AU295" s="685"/>
      <c r="AV295" s="685"/>
      <c r="AW295" s="685"/>
      <c r="AX295" s="685"/>
      <c r="AY295" s="685"/>
      <c r="AZ295" s="685"/>
      <c r="BA295" s="685"/>
      <c r="BB295" s="685"/>
      <c r="BC295" s="685"/>
      <c r="BN295" s="685"/>
      <c r="BO295" s="685"/>
      <c r="BP295" s="685"/>
      <c r="BR295" s="685"/>
      <c r="BS295" s="685"/>
      <c r="BU295" s="685"/>
    </row>
    <row r="296" spans="1:73">
      <c r="A296" s="685"/>
      <c r="B296" s="685"/>
      <c r="C296" s="685"/>
      <c r="D296" s="685"/>
      <c r="E296" s="685"/>
      <c r="F296" s="685"/>
      <c r="G296" s="685"/>
      <c r="H296" s="685"/>
      <c r="I296" s="685"/>
      <c r="J296" s="685"/>
      <c r="K296" s="685"/>
      <c r="L296" s="685"/>
      <c r="M296" s="685"/>
      <c r="N296" s="685"/>
      <c r="O296" s="685"/>
      <c r="P296" s="685"/>
      <c r="Q296" s="685"/>
      <c r="R296" s="685"/>
      <c r="S296" s="685"/>
      <c r="T296" s="685"/>
      <c r="U296" s="685"/>
      <c r="V296" s="685"/>
      <c r="W296" s="685"/>
      <c r="X296" s="685"/>
      <c r="Y296" s="685"/>
      <c r="Z296" s="685"/>
      <c r="AA296" s="685"/>
      <c r="AB296" s="685"/>
      <c r="AC296" s="685"/>
      <c r="AD296" s="685"/>
      <c r="AE296" s="685"/>
      <c r="AF296" s="115"/>
      <c r="AG296" s="115"/>
      <c r="AH296" s="685"/>
      <c r="AI296" s="685"/>
      <c r="AJ296" s="685"/>
      <c r="AK296" s="685"/>
      <c r="AL296" s="685"/>
      <c r="AM296" s="685"/>
      <c r="AN296" s="685"/>
      <c r="AO296" s="685"/>
      <c r="AP296" s="685"/>
      <c r="AQ296" s="685"/>
      <c r="AR296" s="685"/>
      <c r="AS296" s="685"/>
      <c r="AT296" s="685"/>
      <c r="AU296" s="685"/>
      <c r="AV296" s="685"/>
      <c r="AW296" s="685"/>
      <c r="AX296" s="685"/>
      <c r="AY296" s="685"/>
      <c r="AZ296" s="685"/>
      <c r="BA296" s="685"/>
      <c r="BB296" s="685"/>
      <c r="BC296" s="685"/>
      <c r="BN296" s="685"/>
      <c r="BO296" s="685"/>
      <c r="BP296" s="685"/>
      <c r="BR296" s="685"/>
      <c r="BS296" s="685"/>
      <c r="BU296" s="685"/>
    </row>
    <row r="297" spans="1:73">
      <c r="A297" s="685"/>
      <c r="B297" s="685"/>
      <c r="C297" s="685"/>
      <c r="D297" s="685"/>
      <c r="E297" s="685"/>
      <c r="F297" s="685"/>
      <c r="G297" s="685"/>
      <c r="H297" s="685"/>
      <c r="I297" s="685"/>
      <c r="J297" s="685"/>
      <c r="K297" s="685"/>
      <c r="L297" s="685"/>
      <c r="M297" s="685"/>
      <c r="N297" s="685"/>
      <c r="O297" s="685"/>
      <c r="P297" s="685"/>
      <c r="Q297" s="685"/>
      <c r="R297" s="685"/>
      <c r="S297" s="685"/>
      <c r="T297" s="685"/>
      <c r="U297" s="685"/>
      <c r="V297" s="685"/>
      <c r="W297" s="685"/>
      <c r="X297" s="685"/>
      <c r="Y297" s="685"/>
      <c r="Z297" s="685"/>
      <c r="AA297" s="685"/>
      <c r="AB297" s="685"/>
      <c r="AC297" s="685"/>
      <c r="AD297" s="685"/>
      <c r="AE297" s="685"/>
      <c r="AF297" s="115"/>
      <c r="AG297" s="115"/>
      <c r="AH297" s="685"/>
      <c r="AI297" s="685"/>
      <c r="AJ297" s="685"/>
      <c r="AK297" s="685"/>
      <c r="AL297" s="685"/>
      <c r="AM297" s="685"/>
      <c r="AN297" s="685"/>
      <c r="AO297" s="685"/>
      <c r="AP297" s="685"/>
      <c r="AQ297" s="685"/>
      <c r="AR297" s="685"/>
      <c r="AS297" s="685"/>
      <c r="AT297" s="685"/>
      <c r="AU297" s="685"/>
      <c r="AV297" s="685"/>
      <c r="AW297" s="685"/>
      <c r="AX297" s="685"/>
      <c r="AY297" s="685"/>
      <c r="AZ297" s="685"/>
      <c r="BA297" s="685"/>
      <c r="BB297" s="685"/>
      <c r="BC297" s="685"/>
      <c r="BN297" s="685"/>
      <c r="BO297" s="685"/>
      <c r="BP297" s="685"/>
      <c r="BR297" s="685"/>
      <c r="BS297" s="685"/>
      <c r="BU297" s="685"/>
    </row>
    <row r="298" spans="1:73">
      <c r="A298" s="685"/>
      <c r="B298" s="685"/>
      <c r="C298" s="685"/>
      <c r="D298" s="685"/>
      <c r="E298" s="685"/>
      <c r="F298" s="685"/>
      <c r="G298" s="685"/>
      <c r="H298" s="685"/>
      <c r="I298" s="685"/>
      <c r="J298" s="685"/>
      <c r="K298" s="685"/>
      <c r="L298" s="685"/>
      <c r="M298" s="685"/>
      <c r="N298" s="685"/>
      <c r="O298" s="685"/>
      <c r="P298" s="685"/>
      <c r="Q298" s="685"/>
      <c r="R298" s="685"/>
      <c r="S298" s="685"/>
      <c r="T298" s="685"/>
      <c r="U298" s="685"/>
      <c r="V298" s="685"/>
      <c r="W298" s="685"/>
      <c r="X298" s="685"/>
      <c r="Y298" s="685"/>
      <c r="Z298" s="685"/>
      <c r="AA298" s="685"/>
      <c r="AB298" s="685"/>
      <c r="AC298" s="685"/>
      <c r="AD298" s="685"/>
      <c r="AE298" s="685"/>
      <c r="AF298" s="115"/>
      <c r="AG298" s="115"/>
      <c r="AH298" s="685"/>
      <c r="AI298" s="685"/>
      <c r="AJ298" s="685"/>
      <c r="AK298" s="685"/>
      <c r="AL298" s="685"/>
      <c r="AM298" s="685"/>
      <c r="AN298" s="685"/>
      <c r="AO298" s="685"/>
      <c r="AP298" s="685"/>
      <c r="AQ298" s="685"/>
      <c r="AR298" s="685"/>
      <c r="AS298" s="685"/>
      <c r="AT298" s="685"/>
      <c r="AU298" s="685"/>
      <c r="AV298" s="685"/>
      <c r="AW298" s="685"/>
      <c r="AX298" s="685"/>
      <c r="AY298" s="685"/>
      <c r="AZ298" s="685"/>
      <c r="BA298" s="685"/>
      <c r="BB298" s="685"/>
      <c r="BC298" s="685"/>
      <c r="BN298" s="685"/>
      <c r="BO298" s="685"/>
      <c r="BP298" s="685"/>
      <c r="BR298" s="685"/>
      <c r="BS298" s="685"/>
      <c r="BU298" s="685"/>
    </row>
    <row r="299" spans="1:73">
      <c r="A299" s="685"/>
      <c r="B299" s="685"/>
      <c r="C299" s="685"/>
      <c r="D299" s="685"/>
      <c r="E299" s="685"/>
      <c r="F299" s="685"/>
      <c r="G299" s="685"/>
      <c r="H299" s="685"/>
      <c r="I299" s="685"/>
      <c r="J299" s="685"/>
      <c r="K299" s="685"/>
      <c r="L299" s="685"/>
      <c r="M299" s="685"/>
      <c r="N299" s="685"/>
      <c r="O299" s="685"/>
      <c r="P299" s="685"/>
      <c r="Q299" s="685"/>
      <c r="R299" s="685"/>
      <c r="S299" s="685"/>
      <c r="T299" s="685"/>
      <c r="U299" s="685"/>
      <c r="V299" s="685"/>
      <c r="W299" s="685"/>
      <c r="X299" s="685"/>
      <c r="Y299" s="685"/>
      <c r="Z299" s="685"/>
      <c r="AA299" s="685"/>
      <c r="AB299" s="685"/>
      <c r="AC299" s="685"/>
      <c r="AD299" s="685"/>
      <c r="AE299" s="685"/>
      <c r="AF299" s="115"/>
      <c r="AG299" s="115"/>
      <c r="AH299" s="685"/>
      <c r="AI299" s="685"/>
      <c r="AJ299" s="685"/>
      <c r="AK299" s="685"/>
      <c r="AL299" s="685"/>
      <c r="AM299" s="685"/>
      <c r="AN299" s="685"/>
      <c r="AO299" s="685"/>
      <c r="AP299" s="685"/>
      <c r="AQ299" s="685"/>
      <c r="AR299" s="685"/>
      <c r="AS299" s="685"/>
      <c r="AT299" s="685"/>
      <c r="AU299" s="685"/>
      <c r="AV299" s="685"/>
      <c r="AW299" s="685"/>
      <c r="AX299" s="685"/>
      <c r="AY299" s="685"/>
      <c r="AZ299" s="685"/>
      <c r="BA299" s="685"/>
      <c r="BB299" s="685"/>
      <c r="BC299" s="685"/>
      <c r="BN299" s="685"/>
      <c r="BO299" s="685"/>
      <c r="BP299" s="685"/>
      <c r="BR299" s="685"/>
      <c r="BS299" s="685"/>
      <c r="BU299" s="685"/>
    </row>
    <row r="300" spans="1:73">
      <c r="A300" s="685"/>
      <c r="B300" s="685"/>
      <c r="C300" s="685"/>
      <c r="D300" s="685"/>
      <c r="E300" s="685"/>
      <c r="F300" s="685"/>
      <c r="G300" s="685"/>
      <c r="H300" s="685"/>
      <c r="I300" s="685"/>
      <c r="J300" s="685"/>
      <c r="K300" s="685"/>
      <c r="L300" s="685"/>
      <c r="M300" s="685"/>
      <c r="N300" s="685"/>
      <c r="O300" s="685"/>
      <c r="P300" s="685"/>
      <c r="Q300" s="685"/>
      <c r="R300" s="685"/>
      <c r="S300" s="685"/>
      <c r="T300" s="685"/>
      <c r="U300" s="685"/>
      <c r="V300" s="685"/>
      <c r="W300" s="685"/>
      <c r="X300" s="685"/>
      <c r="Y300" s="685"/>
      <c r="Z300" s="685"/>
      <c r="AA300" s="685"/>
      <c r="AB300" s="685"/>
      <c r="AC300" s="685"/>
      <c r="AD300" s="685"/>
      <c r="AE300" s="685"/>
      <c r="AF300" s="115"/>
      <c r="AG300" s="115"/>
      <c r="AH300" s="685"/>
      <c r="AI300" s="685"/>
      <c r="AJ300" s="685"/>
      <c r="AK300" s="685"/>
      <c r="AL300" s="685"/>
      <c r="AM300" s="685"/>
      <c r="AN300" s="685"/>
      <c r="AO300" s="685"/>
      <c r="AP300" s="685"/>
      <c r="AQ300" s="685"/>
      <c r="AR300" s="685"/>
      <c r="AS300" s="685"/>
      <c r="AT300" s="685"/>
      <c r="AU300" s="685"/>
      <c r="AV300" s="685"/>
      <c r="AW300" s="685"/>
      <c r="AX300" s="685"/>
      <c r="AY300" s="685"/>
      <c r="AZ300" s="685"/>
      <c r="BA300" s="685"/>
      <c r="BB300" s="685"/>
      <c r="BC300" s="685"/>
      <c r="BN300" s="685"/>
      <c r="BO300" s="685"/>
      <c r="BP300" s="685"/>
      <c r="BR300" s="685"/>
      <c r="BS300" s="685"/>
      <c r="BU300" s="685"/>
    </row>
    <row r="301" spans="1:73">
      <c r="A301" s="685"/>
      <c r="B301" s="685"/>
      <c r="C301" s="685"/>
      <c r="D301" s="685"/>
      <c r="E301" s="685"/>
      <c r="F301" s="685"/>
      <c r="G301" s="685"/>
      <c r="H301" s="685"/>
      <c r="I301" s="685"/>
      <c r="J301" s="685"/>
      <c r="K301" s="685"/>
      <c r="L301" s="685"/>
      <c r="M301" s="685"/>
      <c r="N301" s="685"/>
      <c r="O301" s="685"/>
      <c r="P301" s="685"/>
      <c r="Q301" s="685"/>
      <c r="R301" s="685"/>
      <c r="S301" s="685"/>
      <c r="T301" s="685"/>
      <c r="U301" s="685"/>
      <c r="V301" s="685"/>
      <c r="W301" s="685"/>
      <c r="X301" s="685"/>
      <c r="Y301" s="685"/>
      <c r="Z301" s="685"/>
      <c r="AA301" s="685"/>
      <c r="AB301" s="685"/>
      <c r="AC301" s="685"/>
      <c r="AD301" s="685"/>
      <c r="AE301" s="685"/>
      <c r="AF301" s="115"/>
      <c r="AG301" s="115"/>
      <c r="AH301" s="685"/>
      <c r="AI301" s="685"/>
      <c r="AJ301" s="685"/>
      <c r="AK301" s="685"/>
      <c r="AL301" s="685"/>
      <c r="AM301" s="685"/>
      <c r="AN301" s="685"/>
      <c r="AO301" s="685"/>
      <c r="AP301" s="685"/>
      <c r="AQ301" s="685"/>
      <c r="AR301" s="685"/>
      <c r="AS301" s="685"/>
      <c r="AT301" s="685"/>
      <c r="AU301" s="685"/>
      <c r="AV301" s="685"/>
      <c r="AW301" s="685"/>
      <c r="AX301" s="685"/>
      <c r="AY301" s="685"/>
      <c r="AZ301" s="685"/>
      <c r="BA301" s="685"/>
      <c r="BB301" s="685"/>
      <c r="BC301" s="685"/>
      <c r="BN301" s="685"/>
      <c r="BO301" s="685"/>
      <c r="BP301" s="685"/>
      <c r="BR301" s="685"/>
      <c r="BS301" s="685"/>
      <c r="BU301" s="685"/>
    </row>
    <row r="302" spans="1:73">
      <c r="A302" s="685"/>
      <c r="B302" s="685"/>
      <c r="C302" s="685"/>
      <c r="D302" s="685"/>
      <c r="E302" s="685"/>
      <c r="F302" s="685"/>
      <c r="G302" s="685"/>
      <c r="H302" s="685"/>
      <c r="I302" s="685"/>
      <c r="J302" s="685"/>
      <c r="K302" s="685"/>
      <c r="L302" s="685"/>
      <c r="M302" s="685"/>
      <c r="N302" s="685"/>
      <c r="O302" s="685"/>
      <c r="P302" s="685"/>
      <c r="Q302" s="685"/>
      <c r="R302" s="685"/>
      <c r="S302" s="685"/>
      <c r="T302" s="685"/>
      <c r="U302" s="685"/>
      <c r="V302" s="685"/>
      <c r="W302" s="685"/>
      <c r="X302" s="685"/>
      <c r="Y302" s="685"/>
      <c r="Z302" s="685"/>
      <c r="AA302" s="685"/>
      <c r="AB302" s="685"/>
      <c r="AC302" s="685"/>
      <c r="AD302" s="685"/>
      <c r="AE302" s="685"/>
      <c r="AF302" s="115"/>
      <c r="AG302" s="115"/>
      <c r="AH302" s="685"/>
      <c r="AI302" s="685"/>
      <c r="AJ302" s="685"/>
      <c r="AK302" s="685"/>
      <c r="AL302" s="685"/>
      <c r="AM302" s="685"/>
      <c r="AN302" s="685"/>
      <c r="AO302" s="685"/>
      <c r="AP302" s="685"/>
      <c r="AQ302" s="685"/>
      <c r="AR302" s="685"/>
      <c r="AS302" s="685"/>
      <c r="AT302" s="685"/>
      <c r="AU302" s="685"/>
      <c r="AV302" s="685"/>
      <c r="AW302" s="685"/>
      <c r="AX302" s="685"/>
      <c r="AY302" s="685"/>
      <c r="AZ302" s="685"/>
      <c r="BA302" s="685"/>
      <c r="BB302" s="685"/>
      <c r="BC302" s="685"/>
      <c r="BN302" s="685"/>
      <c r="BO302" s="685"/>
      <c r="BP302" s="685"/>
      <c r="BR302" s="685"/>
      <c r="BS302" s="685"/>
      <c r="BU302" s="685"/>
    </row>
    <row r="303" spans="1:73">
      <c r="A303" s="685"/>
      <c r="B303" s="685"/>
      <c r="C303" s="685"/>
      <c r="D303" s="685"/>
      <c r="E303" s="685"/>
      <c r="F303" s="685"/>
      <c r="G303" s="685"/>
      <c r="H303" s="685"/>
      <c r="I303" s="685"/>
      <c r="J303" s="685"/>
      <c r="K303" s="685"/>
      <c r="L303" s="685"/>
      <c r="M303" s="685"/>
      <c r="N303" s="685"/>
      <c r="O303" s="685"/>
      <c r="P303" s="685"/>
      <c r="Q303" s="685"/>
      <c r="R303" s="685"/>
      <c r="S303" s="685"/>
      <c r="T303" s="685"/>
      <c r="U303" s="685"/>
      <c r="V303" s="685"/>
      <c r="W303" s="685"/>
      <c r="X303" s="685"/>
      <c r="Y303" s="685"/>
      <c r="Z303" s="685"/>
      <c r="AA303" s="685"/>
      <c r="AB303" s="685"/>
      <c r="AC303" s="685"/>
      <c r="AD303" s="685"/>
      <c r="AE303" s="685"/>
      <c r="AF303" s="115"/>
      <c r="AG303" s="115"/>
      <c r="AH303" s="685"/>
      <c r="AI303" s="685"/>
      <c r="AJ303" s="685"/>
      <c r="AK303" s="685"/>
      <c r="AL303" s="685"/>
      <c r="AM303" s="685"/>
      <c r="AN303" s="685"/>
      <c r="AO303" s="685"/>
      <c r="AP303" s="685"/>
      <c r="AQ303" s="685"/>
      <c r="AR303" s="685"/>
      <c r="AS303" s="685"/>
      <c r="AT303" s="685"/>
      <c r="AU303" s="685"/>
      <c r="AV303" s="685"/>
      <c r="AW303" s="685"/>
      <c r="AX303" s="685"/>
      <c r="AY303" s="685"/>
      <c r="AZ303" s="685"/>
      <c r="BA303" s="685"/>
      <c r="BB303" s="685"/>
      <c r="BC303" s="685"/>
      <c r="BN303" s="685"/>
      <c r="BO303" s="685"/>
      <c r="BP303" s="685"/>
      <c r="BR303" s="685"/>
      <c r="BS303" s="685"/>
      <c r="BU303" s="685"/>
    </row>
    <row r="304" spans="1:73">
      <c r="A304" s="685"/>
      <c r="B304" s="685"/>
      <c r="C304" s="685"/>
      <c r="D304" s="685"/>
      <c r="E304" s="685"/>
      <c r="F304" s="685"/>
      <c r="G304" s="685"/>
      <c r="H304" s="685"/>
      <c r="I304" s="685"/>
      <c r="J304" s="685"/>
      <c r="K304" s="685"/>
      <c r="L304" s="685"/>
      <c r="M304" s="685"/>
      <c r="N304" s="685"/>
      <c r="O304" s="685"/>
      <c r="P304" s="685"/>
      <c r="Q304" s="685"/>
      <c r="R304" s="685"/>
      <c r="S304" s="685"/>
      <c r="T304" s="685"/>
      <c r="U304" s="685"/>
      <c r="V304" s="685"/>
      <c r="W304" s="685"/>
      <c r="X304" s="685"/>
      <c r="Y304" s="685"/>
      <c r="Z304" s="685"/>
      <c r="AA304" s="685"/>
      <c r="AB304" s="685"/>
      <c r="AC304" s="685"/>
      <c r="AD304" s="685"/>
      <c r="AE304" s="685"/>
      <c r="AF304" s="115"/>
      <c r="AG304" s="115"/>
      <c r="AH304" s="685"/>
      <c r="AI304" s="685"/>
      <c r="AJ304" s="685"/>
      <c r="AK304" s="685"/>
      <c r="AL304" s="685"/>
      <c r="AM304" s="685"/>
      <c r="AN304" s="685"/>
      <c r="AO304" s="685"/>
      <c r="AP304" s="685"/>
      <c r="AQ304" s="685"/>
      <c r="AR304" s="685"/>
      <c r="AS304" s="685"/>
      <c r="AT304" s="685"/>
      <c r="AU304" s="685"/>
      <c r="AV304" s="685"/>
      <c r="AW304" s="685"/>
      <c r="AX304" s="685"/>
      <c r="AY304" s="685"/>
      <c r="AZ304" s="685"/>
      <c r="BA304" s="685"/>
      <c r="BB304" s="685"/>
      <c r="BC304" s="685"/>
      <c r="BN304" s="685"/>
      <c r="BO304" s="685"/>
      <c r="BP304" s="685"/>
      <c r="BR304" s="685"/>
      <c r="BS304" s="685"/>
      <c r="BU304" s="685"/>
    </row>
    <row r="305" spans="1:73">
      <c r="A305" s="685"/>
      <c r="B305" s="685"/>
      <c r="C305" s="685"/>
      <c r="D305" s="685"/>
      <c r="E305" s="685"/>
      <c r="F305" s="685"/>
      <c r="G305" s="685"/>
      <c r="H305" s="685"/>
      <c r="I305" s="685"/>
      <c r="J305" s="685"/>
      <c r="K305" s="685"/>
      <c r="L305" s="685"/>
      <c r="M305" s="685"/>
      <c r="N305" s="685"/>
      <c r="O305" s="685"/>
      <c r="P305" s="685"/>
      <c r="Q305" s="685"/>
      <c r="R305" s="685"/>
      <c r="S305" s="685"/>
      <c r="T305" s="685"/>
      <c r="U305" s="685"/>
      <c r="V305" s="685"/>
      <c r="W305" s="685"/>
      <c r="X305" s="685"/>
      <c r="Y305" s="685"/>
      <c r="Z305" s="685"/>
      <c r="AA305" s="685"/>
      <c r="AB305" s="685"/>
      <c r="AC305" s="685"/>
      <c r="AD305" s="685"/>
      <c r="AE305" s="685"/>
      <c r="AF305" s="115"/>
      <c r="AG305" s="115"/>
      <c r="AH305" s="685"/>
      <c r="AI305" s="685"/>
      <c r="AJ305" s="685"/>
      <c r="AK305" s="685"/>
      <c r="AL305" s="685"/>
      <c r="AM305" s="685"/>
      <c r="AN305" s="685"/>
      <c r="AO305" s="685"/>
      <c r="AP305" s="685"/>
      <c r="AQ305" s="685"/>
      <c r="AR305" s="685"/>
      <c r="AS305" s="685"/>
      <c r="AT305" s="685"/>
      <c r="AU305" s="685"/>
      <c r="AV305" s="685"/>
      <c r="AW305" s="685"/>
      <c r="AX305" s="685"/>
      <c r="AY305" s="685"/>
      <c r="AZ305" s="685"/>
      <c r="BA305" s="685"/>
      <c r="BB305" s="685"/>
      <c r="BC305" s="685"/>
      <c r="BN305" s="685"/>
      <c r="BO305" s="685"/>
      <c r="BP305" s="685"/>
      <c r="BR305" s="685"/>
      <c r="BS305" s="685"/>
      <c r="BU305" s="685"/>
    </row>
    <row r="306" spans="1:73">
      <c r="A306" s="685"/>
      <c r="B306" s="685"/>
      <c r="C306" s="685"/>
      <c r="D306" s="685"/>
      <c r="E306" s="685"/>
      <c r="F306" s="685"/>
      <c r="G306" s="685"/>
      <c r="H306" s="685"/>
      <c r="I306" s="685"/>
      <c r="J306" s="685"/>
      <c r="K306" s="685"/>
      <c r="L306" s="685"/>
      <c r="M306" s="685"/>
      <c r="N306" s="685"/>
      <c r="O306" s="685"/>
      <c r="P306" s="685"/>
      <c r="Q306" s="685"/>
      <c r="R306" s="685"/>
      <c r="S306" s="685"/>
      <c r="T306" s="685"/>
      <c r="U306" s="685"/>
      <c r="V306" s="685"/>
      <c r="W306" s="685"/>
      <c r="X306" s="685"/>
      <c r="Y306" s="685"/>
      <c r="Z306" s="685"/>
      <c r="AA306" s="685"/>
      <c r="AB306" s="685"/>
      <c r="AC306" s="685"/>
      <c r="AD306" s="685"/>
      <c r="AE306" s="685"/>
      <c r="AF306" s="115"/>
      <c r="AG306" s="115"/>
      <c r="AH306" s="685"/>
      <c r="AI306" s="685"/>
      <c r="AJ306" s="685"/>
      <c r="AK306" s="685"/>
      <c r="AL306" s="685"/>
      <c r="AM306" s="685"/>
      <c r="AN306" s="685"/>
      <c r="AO306" s="685"/>
      <c r="AP306" s="685"/>
      <c r="AQ306" s="685"/>
      <c r="AR306" s="685"/>
      <c r="AS306" s="685"/>
      <c r="AT306" s="685"/>
      <c r="AU306" s="685"/>
      <c r="AV306" s="685"/>
      <c r="AW306" s="685"/>
      <c r="AX306" s="685"/>
      <c r="AY306" s="685"/>
      <c r="AZ306" s="685"/>
      <c r="BA306" s="685"/>
      <c r="BB306" s="685"/>
      <c r="BC306" s="685"/>
      <c r="BN306" s="685"/>
      <c r="BO306" s="685"/>
      <c r="BP306" s="685"/>
      <c r="BR306" s="685"/>
      <c r="BS306" s="685"/>
      <c r="BU306" s="685"/>
    </row>
    <row r="307" spans="1:73">
      <c r="A307" s="685"/>
      <c r="B307" s="685"/>
      <c r="C307" s="685"/>
      <c r="D307" s="685"/>
      <c r="E307" s="685"/>
      <c r="F307" s="685"/>
      <c r="G307" s="685"/>
      <c r="H307" s="685"/>
      <c r="I307" s="685"/>
      <c r="J307" s="685"/>
      <c r="K307" s="685"/>
      <c r="L307" s="685"/>
      <c r="M307" s="685"/>
      <c r="N307" s="685"/>
      <c r="O307" s="685"/>
      <c r="P307" s="685"/>
      <c r="Q307" s="685"/>
      <c r="R307" s="685"/>
      <c r="S307" s="685"/>
      <c r="T307" s="685"/>
      <c r="U307" s="685"/>
      <c r="V307" s="685"/>
      <c r="W307" s="685"/>
      <c r="X307" s="685"/>
      <c r="Y307" s="685"/>
      <c r="Z307" s="685"/>
      <c r="AA307" s="685"/>
      <c r="AB307" s="685"/>
      <c r="AC307" s="685"/>
      <c r="AD307" s="685"/>
      <c r="AE307" s="685"/>
      <c r="AF307" s="115"/>
      <c r="AG307" s="115"/>
      <c r="AH307" s="685"/>
      <c r="AI307" s="685"/>
      <c r="AJ307" s="685"/>
      <c r="AK307" s="685"/>
      <c r="AL307" s="685"/>
      <c r="AM307" s="685"/>
      <c r="AN307" s="685"/>
      <c r="AO307" s="685"/>
      <c r="AP307" s="685"/>
      <c r="AQ307" s="685"/>
      <c r="AR307" s="685"/>
      <c r="AS307" s="685"/>
      <c r="AT307" s="685"/>
      <c r="AU307" s="685"/>
      <c r="AV307" s="685"/>
      <c r="AW307" s="685"/>
      <c r="AX307" s="685"/>
      <c r="AY307" s="685"/>
      <c r="AZ307" s="685"/>
      <c r="BA307" s="685"/>
      <c r="BB307" s="685"/>
      <c r="BC307" s="685"/>
      <c r="BN307" s="685"/>
      <c r="BO307" s="685"/>
      <c r="BP307" s="685"/>
      <c r="BR307" s="685"/>
      <c r="BS307" s="685"/>
      <c r="BU307" s="685"/>
    </row>
    <row r="308" spans="1:73">
      <c r="A308" s="685"/>
      <c r="B308" s="685"/>
      <c r="C308" s="685"/>
      <c r="D308" s="685"/>
      <c r="E308" s="685"/>
      <c r="F308" s="685"/>
      <c r="G308" s="685"/>
      <c r="H308" s="685"/>
      <c r="I308" s="685"/>
      <c r="J308" s="685"/>
      <c r="K308" s="685"/>
      <c r="L308" s="685"/>
      <c r="M308" s="685"/>
      <c r="N308" s="685"/>
      <c r="O308" s="685"/>
      <c r="P308" s="685"/>
      <c r="Q308" s="685"/>
      <c r="R308" s="685"/>
      <c r="S308" s="685"/>
      <c r="T308" s="685"/>
      <c r="U308" s="685"/>
      <c r="V308" s="685"/>
      <c r="W308" s="685"/>
      <c r="X308" s="685"/>
      <c r="Y308" s="685"/>
      <c r="Z308" s="685"/>
      <c r="AA308" s="685"/>
      <c r="AB308" s="685"/>
      <c r="AC308" s="685"/>
      <c r="AD308" s="685"/>
      <c r="AE308" s="685"/>
      <c r="AF308" s="115"/>
      <c r="AG308" s="115"/>
      <c r="AH308" s="685"/>
      <c r="AI308" s="685"/>
      <c r="AJ308" s="685"/>
      <c r="AK308" s="685"/>
      <c r="AL308" s="685"/>
      <c r="AM308" s="685"/>
      <c r="AN308" s="685"/>
      <c r="AO308" s="685"/>
      <c r="AP308" s="685"/>
      <c r="AQ308" s="685"/>
      <c r="AR308" s="685"/>
      <c r="AS308" s="685"/>
      <c r="AT308" s="685"/>
      <c r="AU308" s="685"/>
      <c r="AV308" s="685"/>
      <c r="AW308" s="685"/>
      <c r="AX308" s="685"/>
      <c r="AY308" s="685"/>
      <c r="AZ308" s="685"/>
      <c r="BA308" s="685"/>
      <c r="BB308" s="685"/>
      <c r="BC308" s="685"/>
      <c r="BN308" s="685"/>
      <c r="BO308" s="685"/>
      <c r="BP308" s="685"/>
      <c r="BR308" s="685"/>
      <c r="BS308" s="685"/>
      <c r="BU308" s="685"/>
    </row>
    <row r="309" spans="1:73">
      <c r="A309" s="685"/>
      <c r="B309" s="685"/>
      <c r="C309" s="685"/>
      <c r="D309" s="685"/>
      <c r="E309" s="685"/>
      <c r="F309" s="685"/>
      <c r="G309" s="685"/>
      <c r="H309" s="685"/>
      <c r="I309" s="685"/>
      <c r="J309" s="685"/>
      <c r="K309" s="685"/>
      <c r="L309" s="685"/>
      <c r="M309" s="685"/>
      <c r="N309" s="685"/>
      <c r="O309" s="685"/>
      <c r="P309" s="685"/>
      <c r="Q309" s="685"/>
      <c r="R309" s="685"/>
      <c r="S309" s="685"/>
      <c r="T309" s="685"/>
      <c r="U309" s="685"/>
      <c r="V309" s="685"/>
      <c r="W309" s="685"/>
      <c r="X309" s="685"/>
      <c r="Y309" s="685"/>
      <c r="Z309" s="685"/>
      <c r="AA309" s="685"/>
      <c r="AB309" s="685"/>
      <c r="AC309" s="685"/>
      <c r="AD309" s="685"/>
      <c r="AE309" s="685"/>
      <c r="AF309" s="115"/>
      <c r="AG309" s="115"/>
      <c r="AH309" s="685"/>
      <c r="AI309" s="685"/>
      <c r="AJ309" s="685"/>
      <c r="AK309" s="685"/>
      <c r="AL309" s="685"/>
      <c r="AM309" s="685"/>
      <c r="AN309" s="685"/>
      <c r="AO309" s="685"/>
      <c r="AP309" s="685"/>
      <c r="AQ309" s="685"/>
      <c r="AR309" s="685"/>
      <c r="AS309" s="685"/>
      <c r="AT309" s="685"/>
      <c r="AU309" s="685"/>
      <c r="AV309" s="685"/>
      <c r="AW309" s="685"/>
      <c r="AX309" s="685"/>
      <c r="AY309" s="685"/>
      <c r="AZ309" s="685"/>
      <c r="BA309" s="685"/>
      <c r="BB309" s="685"/>
      <c r="BC309" s="685"/>
      <c r="BN309" s="685"/>
      <c r="BO309" s="685"/>
      <c r="BP309" s="685"/>
      <c r="BR309" s="685"/>
      <c r="BS309" s="685"/>
      <c r="BU309" s="685"/>
    </row>
    <row r="310" spans="1:73">
      <c r="A310" s="685"/>
      <c r="B310" s="685"/>
      <c r="C310" s="685"/>
      <c r="D310" s="685"/>
      <c r="E310" s="685"/>
      <c r="F310" s="685"/>
      <c r="G310" s="685"/>
      <c r="H310" s="685"/>
      <c r="I310" s="685"/>
      <c r="J310" s="685"/>
      <c r="K310" s="685"/>
      <c r="L310" s="685"/>
      <c r="M310" s="685"/>
      <c r="N310" s="685"/>
      <c r="O310" s="685"/>
      <c r="P310" s="685"/>
      <c r="Q310" s="685"/>
      <c r="R310" s="685"/>
      <c r="S310" s="685"/>
      <c r="T310" s="685"/>
      <c r="U310" s="685"/>
      <c r="V310" s="685"/>
      <c r="W310" s="685"/>
      <c r="X310" s="685"/>
      <c r="Y310" s="685"/>
      <c r="Z310" s="685"/>
      <c r="AA310" s="685"/>
      <c r="AB310" s="685"/>
      <c r="AC310" s="685"/>
      <c r="AD310" s="685"/>
      <c r="AE310" s="685"/>
      <c r="AF310" s="115"/>
      <c r="AG310" s="115"/>
      <c r="AH310" s="685"/>
      <c r="AI310" s="685"/>
      <c r="AJ310" s="685"/>
      <c r="AK310" s="685"/>
      <c r="AL310" s="685"/>
      <c r="AM310" s="685"/>
      <c r="AN310" s="685"/>
      <c r="AO310" s="685"/>
      <c r="AP310" s="685"/>
      <c r="AQ310" s="685"/>
      <c r="AR310" s="685"/>
      <c r="AS310" s="685"/>
      <c r="AT310" s="685"/>
      <c r="AU310" s="685"/>
      <c r="AV310" s="685"/>
      <c r="AW310" s="685"/>
      <c r="AX310" s="685"/>
      <c r="AY310" s="685"/>
      <c r="AZ310" s="685"/>
      <c r="BA310" s="685"/>
      <c r="BB310" s="685"/>
      <c r="BC310" s="685"/>
      <c r="BN310" s="685"/>
      <c r="BO310" s="685"/>
      <c r="BP310" s="685"/>
      <c r="BR310" s="685"/>
      <c r="BS310" s="685"/>
      <c r="BU310" s="685"/>
    </row>
    <row r="311" spans="1:73">
      <c r="A311" s="685"/>
      <c r="B311" s="685"/>
      <c r="C311" s="685"/>
      <c r="D311" s="685"/>
      <c r="E311" s="685"/>
      <c r="F311" s="685"/>
      <c r="G311" s="685"/>
      <c r="H311" s="685"/>
      <c r="I311" s="685"/>
      <c r="J311" s="685"/>
      <c r="K311" s="685"/>
      <c r="L311" s="685"/>
      <c r="M311" s="685"/>
      <c r="N311" s="685"/>
      <c r="O311" s="685"/>
      <c r="P311" s="685"/>
      <c r="Q311" s="685"/>
      <c r="R311" s="685"/>
      <c r="S311" s="685"/>
      <c r="T311" s="685"/>
      <c r="U311" s="685"/>
      <c r="V311" s="685"/>
      <c r="W311" s="685"/>
      <c r="X311" s="685"/>
      <c r="Y311" s="685"/>
      <c r="Z311" s="685"/>
      <c r="AA311" s="685"/>
      <c r="AB311" s="685"/>
      <c r="AC311" s="685"/>
      <c r="AD311" s="685"/>
      <c r="AE311" s="685"/>
      <c r="AF311" s="115"/>
      <c r="AG311" s="115"/>
      <c r="AH311" s="685"/>
      <c r="AI311" s="685"/>
      <c r="AJ311" s="685"/>
      <c r="AK311" s="685"/>
      <c r="AL311" s="685"/>
      <c r="AM311" s="685"/>
      <c r="AN311" s="685"/>
      <c r="AO311" s="685"/>
      <c r="AP311" s="685"/>
      <c r="AQ311" s="685"/>
      <c r="AR311" s="685"/>
      <c r="AS311" s="685"/>
      <c r="AT311" s="685"/>
      <c r="AU311" s="685"/>
      <c r="AV311" s="685"/>
      <c r="AW311" s="685"/>
      <c r="AX311" s="685"/>
      <c r="AY311" s="685"/>
      <c r="AZ311" s="685"/>
      <c r="BA311" s="685"/>
      <c r="BB311" s="685"/>
      <c r="BC311" s="685"/>
      <c r="BN311" s="685"/>
      <c r="BO311" s="685"/>
      <c r="BP311" s="685"/>
      <c r="BR311" s="685"/>
      <c r="BS311" s="685"/>
      <c r="BU311" s="685"/>
    </row>
    <row r="312" spans="1:73">
      <c r="A312" s="685"/>
      <c r="B312" s="685"/>
      <c r="C312" s="685"/>
      <c r="D312" s="685"/>
      <c r="E312" s="685"/>
      <c r="F312" s="685"/>
      <c r="G312" s="685"/>
      <c r="H312" s="685"/>
      <c r="I312" s="685"/>
      <c r="J312" s="685"/>
      <c r="K312" s="685"/>
      <c r="L312" s="685"/>
      <c r="M312" s="685"/>
      <c r="N312" s="685"/>
      <c r="O312" s="685"/>
      <c r="P312" s="685"/>
      <c r="Q312" s="685"/>
      <c r="R312" s="685"/>
      <c r="S312" s="685"/>
      <c r="T312" s="685"/>
      <c r="U312" s="685"/>
      <c r="V312" s="685"/>
      <c r="W312" s="685"/>
      <c r="X312" s="685"/>
      <c r="Y312" s="685"/>
      <c r="Z312" s="685"/>
      <c r="AA312" s="685"/>
      <c r="AB312" s="685"/>
      <c r="AC312" s="685"/>
      <c r="AD312" s="685"/>
      <c r="AE312" s="685"/>
      <c r="AF312" s="115"/>
      <c r="AG312" s="115"/>
      <c r="AH312" s="685"/>
      <c r="AI312" s="685"/>
      <c r="AJ312" s="685"/>
      <c r="AK312" s="685"/>
      <c r="AL312" s="685"/>
      <c r="AM312" s="685"/>
      <c r="AN312" s="685"/>
      <c r="AO312" s="685"/>
      <c r="AP312" s="685"/>
      <c r="AQ312" s="685"/>
      <c r="AR312" s="685"/>
      <c r="AS312" s="685"/>
      <c r="AT312" s="685"/>
      <c r="AU312" s="685"/>
      <c r="AV312" s="685"/>
      <c r="AW312" s="685"/>
      <c r="AX312" s="685"/>
      <c r="AY312" s="685"/>
      <c r="AZ312" s="685"/>
      <c r="BA312" s="685"/>
      <c r="BB312" s="685"/>
      <c r="BC312" s="685"/>
      <c r="BN312" s="685"/>
      <c r="BO312" s="685"/>
      <c r="BP312" s="685"/>
      <c r="BR312" s="685"/>
      <c r="BS312" s="685"/>
      <c r="BU312" s="685"/>
    </row>
    <row r="313" spans="1:73">
      <c r="A313" s="685"/>
      <c r="B313" s="685"/>
      <c r="C313" s="685"/>
      <c r="D313" s="685"/>
      <c r="E313" s="685"/>
      <c r="F313" s="685"/>
      <c r="G313" s="685"/>
      <c r="H313" s="685"/>
      <c r="I313" s="685"/>
      <c r="J313" s="685"/>
      <c r="K313" s="685"/>
      <c r="L313" s="685"/>
      <c r="M313" s="685"/>
      <c r="N313" s="685"/>
      <c r="O313" s="685"/>
      <c r="P313" s="685"/>
      <c r="Q313" s="685"/>
      <c r="R313" s="685"/>
      <c r="S313" s="685"/>
      <c r="T313" s="685"/>
      <c r="U313" s="685"/>
      <c r="V313" s="685"/>
      <c r="W313" s="685"/>
      <c r="X313" s="685"/>
      <c r="Y313" s="685"/>
      <c r="Z313" s="685"/>
      <c r="AA313" s="685"/>
      <c r="AB313" s="685"/>
      <c r="AC313" s="685"/>
      <c r="AD313" s="685"/>
      <c r="AE313" s="685"/>
      <c r="AF313" s="115"/>
      <c r="AG313" s="115"/>
      <c r="AH313" s="685"/>
      <c r="AI313" s="685"/>
      <c r="AJ313" s="685"/>
      <c r="AK313" s="685"/>
      <c r="AL313" s="685"/>
      <c r="AM313" s="685"/>
      <c r="AN313" s="685"/>
      <c r="AO313" s="685"/>
      <c r="AP313" s="685"/>
      <c r="AQ313" s="685"/>
      <c r="AR313" s="685"/>
      <c r="AS313" s="685"/>
      <c r="AT313" s="685"/>
      <c r="AU313" s="685"/>
      <c r="AV313" s="685"/>
      <c r="AW313" s="685"/>
      <c r="AX313" s="685"/>
      <c r="AY313" s="685"/>
      <c r="AZ313" s="685"/>
      <c r="BA313" s="685"/>
      <c r="BB313" s="685"/>
      <c r="BC313" s="685"/>
      <c r="BN313" s="685"/>
      <c r="BO313" s="685"/>
      <c r="BP313" s="685"/>
      <c r="BR313" s="685"/>
      <c r="BS313" s="685"/>
      <c r="BU313" s="685"/>
    </row>
    <row r="314" spans="1:73">
      <c r="A314" s="685"/>
      <c r="B314" s="685"/>
      <c r="C314" s="685"/>
      <c r="D314" s="685"/>
      <c r="E314" s="685"/>
      <c r="F314" s="685"/>
      <c r="G314" s="685"/>
      <c r="H314" s="685"/>
      <c r="I314" s="685"/>
      <c r="J314" s="685"/>
      <c r="K314" s="685"/>
      <c r="L314" s="685"/>
      <c r="M314" s="685"/>
      <c r="N314" s="685"/>
      <c r="O314" s="685"/>
      <c r="P314" s="685"/>
      <c r="Q314" s="685"/>
      <c r="R314" s="685"/>
      <c r="S314" s="685"/>
      <c r="T314" s="685"/>
      <c r="U314" s="685"/>
      <c r="V314" s="685"/>
      <c r="W314" s="685"/>
      <c r="X314" s="685"/>
      <c r="Y314" s="685"/>
      <c r="Z314" s="685"/>
      <c r="AA314" s="685"/>
      <c r="AB314" s="685"/>
      <c r="AC314" s="685"/>
      <c r="AD314" s="685"/>
      <c r="AE314" s="685"/>
      <c r="AF314" s="115"/>
      <c r="AG314" s="115"/>
      <c r="AH314" s="685"/>
      <c r="AI314" s="685"/>
      <c r="AJ314" s="685"/>
      <c r="AK314" s="685"/>
      <c r="AL314" s="685"/>
      <c r="AM314" s="685"/>
      <c r="AN314" s="685"/>
      <c r="AO314" s="685"/>
      <c r="AP314" s="685"/>
      <c r="AQ314" s="685"/>
      <c r="AR314" s="685"/>
      <c r="AS314" s="685"/>
      <c r="AT314" s="685"/>
      <c r="AU314" s="685"/>
      <c r="AV314" s="685"/>
      <c r="AW314" s="685"/>
      <c r="AX314" s="685"/>
      <c r="AY314" s="685"/>
      <c r="AZ314" s="685"/>
      <c r="BA314" s="685"/>
      <c r="BB314" s="685"/>
      <c r="BC314" s="685"/>
      <c r="BN314" s="685"/>
      <c r="BO314" s="685"/>
      <c r="BP314" s="685"/>
      <c r="BR314" s="685"/>
      <c r="BS314" s="685"/>
      <c r="BU314" s="685"/>
    </row>
    <row r="315" spans="1:73">
      <c r="A315" s="685"/>
      <c r="B315" s="685"/>
      <c r="C315" s="685"/>
      <c r="D315" s="685"/>
      <c r="E315" s="685"/>
      <c r="F315" s="685"/>
      <c r="G315" s="685"/>
      <c r="H315" s="685"/>
      <c r="I315" s="685"/>
      <c r="J315" s="685"/>
      <c r="K315" s="685"/>
      <c r="L315" s="685"/>
      <c r="M315" s="685"/>
      <c r="N315" s="685"/>
      <c r="O315" s="685"/>
      <c r="P315" s="685"/>
      <c r="Q315" s="685"/>
      <c r="R315" s="685"/>
      <c r="S315" s="685"/>
      <c r="T315" s="685"/>
      <c r="U315" s="685"/>
      <c r="V315" s="685"/>
      <c r="W315" s="685"/>
      <c r="X315" s="685"/>
      <c r="Y315" s="685"/>
      <c r="Z315" s="685"/>
      <c r="AA315" s="685"/>
      <c r="AB315" s="685"/>
      <c r="AC315" s="685"/>
      <c r="AD315" s="685"/>
      <c r="AE315" s="685"/>
      <c r="AF315" s="115"/>
      <c r="AG315" s="115"/>
      <c r="AH315" s="685"/>
      <c r="AI315" s="685"/>
      <c r="AJ315" s="685"/>
      <c r="AK315" s="685"/>
      <c r="AL315" s="685"/>
      <c r="AM315" s="685"/>
      <c r="AN315" s="685"/>
      <c r="AO315" s="685"/>
      <c r="AP315" s="685"/>
      <c r="AQ315" s="685"/>
      <c r="AR315" s="685"/>
      <c r="AS315" s="685"/>
      <c r="AT315" s="685"/>
      <c r="AU315" s="685"/>
      <c r="AV315" s="685"/>
      <c r="AW315" s="685"/>
      <c r="AX315" s="685"/>
      <c r="AY315" s="685"/>
      <c r="AZ315" s="685"/>
      <c r="BA315" s="685"/>
      <c r="BB315" s="685"/>
      <c r="BC315" s="685"/>
      <c r="BN315" s="685"/>
      <c r="BO315" s="685"/>
      <c r="BP315" s="685"/>
      <c r="BR315" s="685"/>
      <c r="BS315" s="685"/>
      <c r="BU315" s="685"/>
    </row>
    <row r="316" spans="1:73">
      <c r="A316" s="685"/>
      <c r="B316" s="685"/>
      <c r="C316" s="685"/>
      <c r="D316" s="685"/>
      <c r="E316" s="685"/>
      <c r="F316" s="685"/>
      <c r="G316" s="685"/>
      <c r="H316" s="685"/>
      <c r="I316" s="685"/>
      <c r="J316" s="685"/>
      <c r="K316" s="685"/>
      <c r="L316" s="685"/>
      <c r="M316" s="685"/>
      <c r="N316" s="685"/>
      <c r="O316" s="685"/>
      <c r="P316" s="685"/>
      <c r="Q316" s="685"/>
      <c r="R316" s="685"/>
      <c r="S316" s="685"/>
      <c r="T316" s="685"/>
      <c r="U316" s="685"/>
      <c r="V316" s="685"/>
      <c r="W316" s="685"/>
      <c r="X316" s="685"/>
      <c r="Y316" s="685"/>
      <c r="Z316" s="685"/>
      <c r="AA316" s="685"/>
      <c r="AB316" s="685"/>
      <c r="AC316" s="685"/>
      <c r="AD316" s="685"/>
      <c r="AE316" s="685"/>
      <c r="AF316" s="115"/>
      <c r="AG316" s="115"/>
      <c r="AH316" s="685"/>
      <c r="AI316" s="685"/>
      <c r="AJ316" s="685"/>
      <c r="AK316" s="685"/>
      <c r="AL316" s="685"/>
      <c r="AM316" s="685"/>
      <c r="AN316" s="685"/>
      <c r="AO316" s="685"/>
      <c r="AP316" s="685"/>
      <c r="AQ316" s="685"/>
      <c r="AR316" s="685"/>
      <c r="AS316" s="685"/>
      <c r="AT316" s="685"/>
      <c r="AU316" s="685"/>
      <c r="AV316" s="685"/>
      <c r="AW316" s="685"/>
      <c r="AX316" s="685"/>
      <c r="AY316" s="685"/>
      <c r="AZ316" s="685"/>
      <c r="BA316" s="685"/>
      <c r="BB316" s="685"/>
      <c r="BC316" s="685"/>
      <c r="BN316" s="685"/>
      <c r="BO316" s="685"/>
      <c r="BP316" s="685"/>
      <c r="BR316" s="685"/>
      <c r="BS316" s="685"/>
      <c r="BU316" s="685"/>
    </row>
    <row r="317" spans="1:73">
      <c r="A317" s="685"/>
      <c r="B317" s="685"/>
      <c r="C317" s="685"/>
      <c r="D317" s="685"/>
      <c r="E317" s="685"/>
      <c r="F317" s="685"/>
      <c r="G317" s="685"/>
      <c r="H317" s="685"/>
      <c r="I317" s="685"/>
      <c r="J317" s="685"/>
      <c r="K317" s="685"/>
      <c r="L317" s="685"/>
      <c r="M317" s="685"/>
      <c r="N317" s="685"/>
      <c r="O317" s="685"/>
      <c r="P317" s="685"/>
      <c r="Q317" s="685"/>
      <c r="R317" s="685"/>
      <c r="S317" s="685"/>
      <c r="T317" s="685"/>
      <c r="U317" s="685"/>
      <c r="V317" s="685"/>
      <c r="W317" s="685"/>
      <c r="X317" s="685"/>
      <c r="Y317" s="685"/>
      <c r="Z317" s="685"/>
      <c r="AA317" s="685"/>
      <c r="AB317" s="685"/>
      <c r="AC317" s="685"/>
      <c r="AD317" s="685"/>
      <c r="AE317" s="685"/>
      <c r="AF317" s="115"/>
      <c r="AG317" s="115"/>
      <c r="AH317" s="685"/>
      <c r="AI317" s="685"/>
      <c r="AJ317" s="685"/>
      <c r="AK317" s="685"/>
      <c r="AL317" s="685"/>
      <c r="AM317" s="685"/>
      <c r="AN317" s="685"/>
      <c r="AO317" s="685"/>
      <c r="AP317" s="685"/>
      <c r="AQ317" s="685"/>
      <c r="AR317" s="685"/>
      <c r="AS317" s="685"/>
      <c r="AT317" s="685"/>
      <c r="AU317" s="685"/>
      <c r="AV317" s="685"/>
      <c r="AW317" s="685"/>
      <c r="AX317" s="685"/>
      <c r="AY317" s="685"/>
      <c r="AZ317" s="685"/>
      <c r="BA317" s="685"/>
      <c r="BB317" s="685"/>
      <c r="BC317" s="685"/>
      <c r="BN317" s="685"/>
      <c r="BO317" s="685"/>
      <c r="BP317" s="685"/>
      <c r="BR317" s="685"/>
      <c r="BS317" s="685"/>
      <c r="BU317" s="685"/>
    </row>
    <row r="318" spans="1:73">
      <c r="A318" s="685"/>
      <c r="B318" s="685"/>
      <c r="C318" s="685"/>
      <c r="D318" s="685"/>
      <c r="E318" s="685"/>
      <c r="F318" s="685"/>
      <c r="G318" s="685"/>
      <c r="H318" s="685"/>
      <c r="I318" s="685"/>
      <c r="J318" s="685"/>
      <c r="K318" s="685"/>
      <c r="L318" s="685"/>
      <c r="M318" s="685"/>
      <c r="N318" s="685"/>
      <c r="O318" s="685"/>
      <c r="P318" s="685"/>
      <c r="Q318" s="685"/>
      <c r="R318" s="685"/>
      <c r="S318" s="685"/>
      <c r="T318" s="685"/>
      <c r="U318" s="685"/>
      <c r="V318" s="685"/>
      <c r="W318" s="685"/>
      <c r="X318" s="685"/>
      <c r="Y318" s="685"/>
      <c r="Z318" s="685"/>
      <c r="AA318" s="685"/>
      <c r="AB318" s="685"/>
      <c r="AC318" s="685"/>
      <c r="AD318" s="685"/>
      <c r="AE318" s="685"/>
      <c r="AF318" s="115"/>
      <c r="AG318" s="115"/>
      <c r="AH318" s="685"/>
      <c r="AI318" s="685"/>
      <c r="AJ318" s="685"/>
      <c r="AK318" s="685"/>
      <c r="AL318" s="685"/>
      <c r="AM318" s="685"/>
      <c r="AN318" s="685"/>
      <c r="AO318" s="685"/>
      <c r="AP318" s="685"/>
      <c r="AQ318" s="685"/>
      <c r="AR318" s="685"/>
      <c r="AS318" s="685"/>
      <c r="AT318" s="685"/>
      <c r="AU318" s="685"/>
      <c r="AV318" s="685"/>
      <c r="AW318" s="685"/>
      <c r="AX318" s="685"/>
      <c r="AY318" s="685"/>
      <c r="AZ318" s="685"/>
      <c r="BA318" s="685"/>
      <c r="BB318" s="685"/>
      <c r="BC318" s="685"/>
      <c r="BN318" s="685"/>
      <c r="BO318" s="685"/>
      <c r="BP318" s="685"/>
      <c r="BR318" s="685"/>
      <c r="BS318" s="685"/>
      <c r="BU318" s="685"/>
    </row>
    <row r="319" spans="1:73">
      <c r="A319" s="685"/>
      <c r="B319" s="685"/>
      <c r="C319" s="685"/>
      <c r="D319" s="685"/>
      <c r="E319" s="685"/>
      <c r="F319" s="685"/>
      <c r="G319" s="685"/>
      <c r="H319" s="685"/>
      <c r="I319" s="685"/>
      <c r="J319" s="685"/>
      <c r="K319" s="685"/>
      <c r="L319" s="685"/>
      <c r="M319" s="685"/>
      <c r="N319" s="685"/>
      <c r="O319" s="685"/>
      <c r="P319" s="685"/>
      <c r="Q319" s="685"/>
      <c r="R319" s="685"/>
      <c r="S319" s="685"/>
      <c r="T319" s="685"/>
      <c r="U319" s="685"/>
      <c r="V319" s="685"/>
      <c r="W319" s="685"/>
      <c r="X319" s="685"/>
      <c r="Y319" s="685"/>
      <c r="Z319" s="685"/>
      <c r="AA319" s="685"/>
      <c r="AB319" s="685"/>
      <c r="AC319" s="685"/>
      <c r="AD319" s="685"/>
      <c r="AE319" s="685"/>
      <c r="AF319" s="115"/>
      <c r="AG319" s="115"/>
      <c r="AH319" s="685"/>
      <c r="AI319" s="685"/>
      <c r="AJ319" s="685"/>
      <c r="AK319" s="685"/>
      <c r="AL319" s="685"/>
      <c r="AM319" s="685"/>
      <c r="AN319" s="685"/>
      <c r="AO319" s="685"/>
      <c r="AP319" s="685"/>
      <c r="AQ319" s="685"/>
      <c r="AR319" s="685"/>
      <c r="AS319" s="685"/>
      <c r="AT319" s="685"/>
      <c r="AU319" s="685"/>
      <c r="AV319" s="685"/>
      <c r="AW319" s="685"/>
      <c r="AX319" s="685"/>
      <c r="AY319" s="685"/>
      <c r="AZ319" s="685"/>
      <c r="BA319" s="685"/>
      <c r="BB319" s="685"/>
      <c r="BC319" s="685"/>
      <c r="BN319" s="685"/>
      <c r="BO319" s="685"/>
      <c r="BP319" s="685"/>
      <c r="BR319" s="685"/>
      <c r="BS319" s="685"/>
      <c r="BU319" s="685"/>
    </row>
    <row r="320" spans="1:73">
      <c r="A320" s="685"/>
      <c r="B320" s="685"/>
      <c r="C320" s="685"/>
      <c r="D320" s="685"/>
      <c r="E320" s="685"/>
      <c r="F320" s="685"/>
      <c r="G320" s="685"/>
      <c r="H320" s="685"/>
      <c r="I320" s="685"/>
      <c r="J320" s="685"/>
      <c r="K320" s="685"/>
      <c r="L320" s="685"/>
      <c r="M320" s="685"/>
      <c r="N320" s="685"/>
      <c r="O320" s="685"/>
      <c r="P320" s="685"/>
      <c r="Q320" s="685"/>
      <c r="R320" s="685"/>
      <c r="S320" s="685"/>
      <c r="T320" s="685"/>
      <c r="U320" s="685"/>
      <c r="V320" s="685"/>
      <c r="W320" s="685"/>
      <c r="X320" s="685"/>
      <c r="Y320" s="685"/>
      <c r="Z320" s="685"/>
      <c r="AA320" s="685"/>
      <c r="AB320" s="685"/>
      <c r="AC320" s="685"/>
      <c r="AD320" s="685"/>
      <c r="AE320" s="685"/>
      <c r="AF320" s="115"/>
      <c r="AG320" s="115"/>
      <c r="AH320" s="685"/>
      <c r="AI320" s="685"/>
      <c r="AJ320" s="685"/>
      <c r="AK320" s="685"/>
      <c r="AL320" s="685"/>
      <c r="AM320" s="685"/>
      <c r="AN320" s="685"/>
      <c r="AO320" s="685"/>
      <c r="AP320" s="685"/>
      <c r="AQ320" s="685"/>
      <c r="AR320" s="685"/>
      <c r="AS320" s="685"/>
      <c r="AT320" s="685"/>
      <c r="AU320" s="685"/>
      <c r="AV320" s="685"/>
      <c r="AW320" s="685"/>
      <c r="AX320" s="685"/>
      <c r="AY320" s="685"/>
      <c r="AZ320" s="685"/>
      <c r="BA320" s="685"/>
      <c r="BB320" s="685"/>
      <c r="BC320" s="685"/>
      <c r="BN320" s="685"/>
      <c r="BO320" s="685"/>
      <c r="BP320" s="685"/>
      <c r="BR320" s="685"/>
      <c r="BS320" s="685"/>
      <c r="BU320" s="685"/>
    </row>
    <row r="321" spans="1:73">
      <c r="A321" s="685"/>
      <c r="B321" s="685"/>
      <c r="C321" s="685"/>
      <c r="D321" s="685"/>
      <c r="E321" s="685"/>
      <c r="F321" s="685"/>
      <c r="G321" s="685"/>
      <c r="H321" s="685"/>
      <c r="I321" s="685"/>
      <c r="J321" s="685"/>
      <c r="K321" s="685"/>
      <c r="L321" s="685"/>
      <c r="M321" s="685"/>
      <c r="N321" s="685"/>
      <c r="O321" s="685"/>
      <c r="P321" s="685"/>
      <c r="Q321" s="685"/>
      <c r="R321" s="685"/>
      <c r="S321" s="685"/>
      <c r="T321" s="685"/>
      <c r="U321" s="685"/>
      <c r="V321" s="685"/>
      <c r="W321" s="685"/>
      <c r="X321" s="685"/>
      <c r="Y321" s="685"/>
      <c r="Z321" s="685"/>
      <c r="AA321" s="685"/>
      <c r="AB321" s="685"/>
      <c r="AC321" s="685"/>
      <c r="AD321" s="685"/>
      <c r="AE321" s="685"/>
      <c r="AF321" s="115"/>
      <c r="AG321" s="115"/>
      <c r="AH321" s="685"/>
      <c r="AI321" s="685"/>
      <c r="AJ321" s="685"/>
      <c r="AK321" s="685"/>
      <c r="AL321" s="685"/>
      <c r="AM321" s="685"/>
      <c r="AN321" s="685"/>
      <c r="AO321" s="685"/>
      <c r="AP321" s="685"/>
      <c r="AQ321" s="685"/>
      <c r="AR321" s="685"/>
      <c r="AS321" s="685"/>
      <c r="AT321" s="685"/>
      <c r="AU321" s="685"/>
      <c r="AV321" s="685"/>
      <c r="AW321" s="685"/>
      <c r="AX321" s="685"/>
      <c r="AY321" s="685"/>
      <c r="AZ321" s="685"/>
      <c r="BA321" s="685"/>
      <c r="BB321" s="685"/>
      <c r="BC321" s="685"/>
      <c r="BN321" s="685"/>
      <c r="BO321" s="685"/>
      <c r="BP321" s="685"/>
      <c r="BR321" s="685"/>
      <c r="BS321" s="685"/>
      <c r="BU321" s="685"/>
    </row>
    <row r="322" spans="1:73">
      <c r="A322" s="685"/>
      <c r="B322" s="685"/>
      <c r="C322" s="685"/>
      <c r="D322" s="685"/>
      <c r="E322" s="685"/>
      <c r="F322" s="685"/>
      <c r="G322" s="685"/>
      <c r="H322" s="685"/>
      <c r="I322" s="685"/>
      <c r="J322" s="685"/>
      <c r="K322" s="685"/>
      <c r="L322" s="685"/>
      <c r="M322" s="685"/>
      <c r="N322" s="685"/>
      <c r="O322" s="685"/>
      <c r="P322" s="685"/>
      <c r="Q322" s="685"/>
      <c r="R322" s="685"/>
      <c r="S322" s="685"/>
      <c r="T322" s="685"/>
      <c r="U322" s="685"/>
      <c r="V322" s="685"/>
      <c r="W322" s="685"/>
      <c r="X322" s="685"/>
      <c r="Y322" s="685"/>
      <c r="Z322" s="685"/>
      <c r="AA322" s="685"/>
      <c r="AB322" s="685"/>
      <c r="AC322" s="685"/>
      <c r="AD322" s="685"/>
      <c r="AE322" s="685"/>
      <c r="AF322" s="115"/>
      <c r="AG322" s="115"/>
      <c r="AH322" s="685"/>
      <c r="AI322" s="685"/>
      <c r="AJ322" s="685"/>
      <c r="AK322" s="685"/>
      <c r="AL322" s="685"/>
      <c r="AM322" s="685"/>
      <c r="AN322" s="685"/>
      <c r="AO322" s="685"/>
      <c r="AP322" s="685"/>
      <c r="AQ322" s="685"/>
      <c r="AR322" s="685"/>
      <c r="AS322" s="685"/>
      <c r="AT322" s="685"/>
      <c r="AU322" s="685"/>
      <c r="AV322" s="685"/>
      <c r="AW322" s="685"/>
      <c r="AX322" s="685"/>
      <c r="AY322" s="685"/>
      <c r="AZ322" s="685"/>
      <c r="BA322" s="685"/>
      <c r="BB322" s="685"/>
      <c r="BC322" s="685"/>
      <c r="BN322" s="685"/>
      <c r="BO322" s="685"/>
      <c r="BP322" s="685"/>
      <c r="BR322" s="685"/>
      <c r="BS322" s="685"/>
      <c r="BU322" s="685"/>
    </row>
    <row r="323" spans="1:73">
      <c r="A323" s="685"/>
      <c r="B323" s="685"/>
      <c r="C323" s="685"/>
      <c r="D323" s="685"/>
      <c r="E323" s="685"/>
      <c r="F323" s="685"/>
      <c r="G323" s="685"/>
      <c r="H323" s="685"/>
      <c r="I323" s="685"/>
      <c r="J323" s="685"/>
      <c r="K323" s="685"/>
      <c r="L323" s="685"/>
      <c r="M323" s="685"/>
      <c r="N323" s="685"/>
      <c r="O323" s="685"/>
      <c r="P323" s="685"/>
      <c r="Q323" s="685"/>
      <c r="R323" s="685"/>
      <c r="S323" s="685"/>
      <c r="T323" s="685"/>
      <c r="U323" s="685"/>
      <c r="V323" s="685"/>
      <c r="W323" s="685"/>
      <c r="X323" s="685"/>
      <c r="Y323" s="685"/>
      <c r="Z323" s="685"/>
      <c r="AA323" s="685"/>
      <c r="AB323" s="685"/>
      <c r="AC323" s="685"/>
      <c r="AD323" s="685"/>
      <c r="AE323" s="685"/>
      <c r="AF323" s="115"/>
      <c r="AG323" s="115"/>
      <c r="AH323" s="685"/>
      <c r="AI323" s="685"/>
      <c r="AJ323" s="685"/>
      <c r="AK323" s="685"/>
      <c r="AL323" s="685"/>
      <c r="AM323" s="685"/>
      <c r="AN323" s="685"/>
      <c r="AO323" s="685"/>
      <c r="AP323" s="685"/>
      <c r="AQ323" s="685"/>
      <c r="AR323" s="685"/>
      <c r="AS323" s="685"/>
      <c r="AT323" s="685"/>
      <c r="AU323" s="685"/>
      <c r="AV323" s="685"/>
      <c r="AW323" s="685"/>
      <c r="AX323" s="685"/>
      <c r="AY323" s="685"/>
      <c r="AZ323" s="685"/>
      <c r="BA323" s="685"/>
      <c r="BB323" s="685"/>
      <c r="BC323" s="685"/>
      <c r="BN323" s="685"/>
      <c r="BO323" s="685"/>
      <c r="BP323" s="685"/>
      <c r="BR323" s="685"/>
      <c r="BS323" s="685"/>
      <c r="BU323" s="685"/>
    </row>
    <row r="324" spans="1:73">
      <c r="A324" s="685"/>
      <c r="B324" s="685"/>
      <c r="C324" s="685"/>
      <c r="D324" s="685"/>
      <c r="E324" s="685"/>
      <c r="F324" s="685"/>
      <c r="G324" s="685"/>
      <c r="H324" s="685"/>
      <c r="I324" s="685"/>
      <c r="J324" s="685"/>
      <c r="K324" s="685"/>
      <c r="L324" s="685"/>
      <c r="M324" s="685"/>
      <c r="N324" s="685"/>
      <c r="O324" s="685"/>
      <c r="P324" s="685"/>
      <c r="Q324" s="685"/>
      <c r="R324" s="685"/>
      <c r="S324" s="685"/>
      <c r="T324" s="685"/>
      <c r="U324" s="685"/>
      <c r="V324" s="685"/>
      <c r="W324" s="685"/>
      <c r="X324" s="685"/>
      <c r="Y324" s="685"/>
      <c r="Z324" s="685"/>
      <c r="AA324" s="685"/>
      <c r="AB324" s="685"/>
      <c r="AC324" s="685"/>
      <c r="AD324" s="685"/>
      <c r="AE324" s="685"/>
      <c r="AF324" s="115"/>
      <c r="AG324" s="115"/>
      <c r="AH324" s="685"/>
      <c r="AI324" s="685"/>
      <c r="AJ324" s="685"/>
      <c r="AK324" s="685"/>
      <c r="AL324" s="685"/>
      <c r="AM324" s="685"/>
      <c r="AN324" s="685"/>
      <c r="AO324" s="685"/>
      <c r="AP324" s="685"/>
      <c r="AQ324" s="685"/>
      <c r="AR324" s="685"/>
      <c r="AS324" s="685"/>
      <c r="AT324" s="685"/>
      <c r="AU324" s="685"/>
      <c r="AV324" s="685"/>
      <c r="AW324" s="685"/>
      <c r="AX324" s="685"/>
      <c r="AY324" s="685"/>
      <c r="AZ324" s="685"/>
      <c r="BA324" s="685"/>
      <c r="BB324" s="685"/>
      <c r="BC324" s="685"/>
      <c r="BN324" s="685"/>
      <c r="BO324" s="685"/>
      <c r="BP324" s="685"/>
      <c r="BR324" s="685"/>
      <c r="BS324" s="685"/>
      <c r="BU324" s="685"/>
    </row>
    <row r="325" spans="1:73">
      <c r="A325" s="685"/>
      <c r="B325" s="685"/>
      <c r="C325" s="685"/>
      <c r="D325" s="685"/>
      <c r="E325" s="685"/>
      <c r="F325" s="685"/>
      <c r="G325" s="685"/>
      <c r="H325" s="685"/>
      <c r="I325" s="685"/>
      <c r="J325" s="685"/>
      <c r="K325" s="685"/>
      <c r="L325" s="685"/>
      <c r="M325" s="685"/>
      <c r="N325" s="685"/>
      <c r="O325" s="685"/>
      <c r="P325" s="685"/>
      <c r="Q325" s="685"/>
      <c r="R325" s="685"/>
      <c r="S325" s="685"/>
      <c r="T325" s="685"/>
      <c r="U325" s="685"/>
      <c r="V325" s="685"/>
      <c r="W325" s="685"/>
      <c r="X325" s="685"/>
      <c r="Y325" s="685"/>
      <c r="Z325" s="685"/>
      <c r="AA325" s="685"/>
      <c r="AB325" s="685"/>
      <c r="AC325" s="685"/>
      <c r="AD325" s="685"/>
      <c r="AE325" s="685"/>
      <c r="AF325" s="115"/>
      <c r="AG325" s="115"/>
      <c r="AH325" s="685"/>
      <c r="AI325" s="685"/>
      <c r="AJ325" s="685"/>
      <c r="AK325" s="685"/>
      <c r="AL325" s="685"/>
      <c r="AM325" s="685"/>
      <c r="AN325" s="685"/>
      <c r="AO325" s="685"/>
      <c r="AP325" s="685"/>
      <c r="AQ325" s="685"/>
      <c r="AR325" s="685"/>
      <c r="AS325" s="685"/>
      <c r="AT325" s="685"/>
      <c r="AU325" s="685"/>
      <c r="AV325" s="685"/>
      <c r="AW325" s="685"/>
      <c r="AX325" s="685"/>
      <c r="AY325" s="685"/>
      <c r="AZ325" s="685"/>
      <c r="BA325" s="685"/>
      <c r="BB325" s="685"/>
      <c r="BC325" s="685"/>
      <c r="BN325" s="685"/>
      <c r="BO325" s="685"/>
      <c r="BP325" s="685"/>
      <c r="BR325" s="685"/>
      <c r="BS325" s="685"/>
      <c r="BU325" s="685"/>
    </row>
  </sheetData>
  <phoneticPr fontId="157" type="noConversion"/>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D3502"/>
  <sheetViews>
    <sheetView showGridLines="0" topLeftCell="A3306" zoomScale="72" zoomScaleNormal="72" workbookViewId="0">
      <selection activeCell="B3359" sqref="B3359"/>
    </sheetView>
  </sheetViews>
  <sheetFormatPr defaultRowHeight="15" outlineLevelRow="1"/>
  <cols>
    <col min="2" max="2" width="43" customWidth="1"/>
    <col min="3" max="3" width="9.7109375" customWidth="1"/>
    <col min="4" max="7" width="8.42578125" customWidth="1"/>
    <col min="8" max="8" width="8.28515625" customWidth="1"/>
    <col min="9" max="9" width="8.5703125" customWidth="1"/>
    <col min="10" max="13" width="9.42578125" customWidth="1"/>
    <col min="14" max="14" width="9.5703125" customWidth="1"/>
    <col min="15" max="15" width="9.85546875" customWidth="1"/>
    <col min="16" max="18" width="9.140625" customWidth="1"/>
    <col min="19" max="19" width="19.42578125" hidden="1" customWidth="1"/>
    <col min="20" max="20" width="16.5703125" hidden="1" customWidth="1"/>
    <col min="21" max="21" width="17.140625" hidden="1" customWidth="1"/>
    <col min="22" max="22" width="13.42578125" hidden="1" customWidth="1"/>
    <col min="23" max="23" width="20.5703125" hidden="1" customWidth="1"/>
    <col min="24" max="24" width="34.85546875" hidden="1" customWidth="1"/>
    <col min="25" max="33" width="10.7109375" hidden="1" customWidth="1"/>
    <col min="34" max="34" width="7.140625" hidden="1" customWidth="1"/>
    <col min="35" max="35" width="28.5703125" hidden="1" customWidth="1"/>
    <col min="36" max="36" width="10.7109375" hidden="1" customWidth="1"/>
    <col min="37" max="39" width="10" hidden="1" customWidth="1"/>
    <col min="40" max="40" width="9.140625" hidden="1" customWidth="1"/>
    <col min="41" max="41" width="30" hidden="1" customWidth="1"/>
    <col min="42" max="42" width="10.140625" hidden="1" customWidth="1"/>
    <col min="43" max="51" width="9.140625" hidden="1" customWidth="1"/>
    <col min="52" max="52" width="9.140625" customWidth="1"/>
    <col min="53" max="53" width="35.42578125" customWidth="1"/>
    <col min="54" max="63" width="9.85546875" customWidth="1"/>
    <col min="64" max="64" width="26.7109375" bestFit="1" customWidth="1"/>
    <col min="65" max="68" width="9.85546875" customWidth="1"/>
    <col min="70" max="70" width="38.42578125" customWidth="1"/>
    <col min="71" max="71" width="10.42578125" customWidth="1"/>
    <col min="72" max="79" width="9.85546875" customWidth="1"/>
    <col min="81" max="81" width="26.7109375" customWidth="1"/>
    <col min="82" max="82" width="10" customWidth="1"/>
  </cols>
  <sheetData>
    <row r="1" spans="2:13" ht="14.45" hidden="1" customHeight="1"/>
    <row r="4" spans="2:13">
      <c r="B4" s="61" t="s">
        <v>1098</v>
      </c>
      <c r="C4" s="61"/>
      <c r="D4" s="61">
        <f>Master!F11</f>
        <v>2007</v>
      </c>
      <c r="E4" s="61">
        <f>Master!G11</f>
        <v>2008</v>
      </c>
      <c r="F4" s="61">
        <f>Master!H11</f>
        <v>2009</v>
      </c>
      <c r="G4" s="61">
        <f>Master!I11</f>
        <v>2010</v>
      </c>
      <c r="H4" s="61">
        <f>Master!J11</f>
        <v>2011</v>
      </c>
      <c r="I4" s="130" t="s">
        <v>1099</v>
      </c>
      <c r="K4" s="61">
        <f>G4</f>
        <v>2010</v>
      </c>
      <c r="L4" s="61">
        <f>H4</f>
        <v>2011</v>
      </c>
      <c r="M4" s="61" t="str">
        <f>I4</f>
        <v>2012e</v>
      </c>
    </row>
    <row r="5" spans="2:13">
      <c r="B5" t="s">
        <v>1100</v>
      </c>
      <c r="D5">
        <v>295</v>
      </c>
      <c r="E5">
        <v>387</v>
      </c>
      <c r="F5">
        <v>525</v>
      </c>
      <c r="G5">
        <v>715</v>
      </c>
      <c r="H5">
        <v>863</v>
      </c>
      <c r="I5" s="4">
        <f>H5*1.35</f>
        <v>1165.0500000000002</v>
      </c>
      <c r="K5" s="10">
        <f t="shared" ref="K5:M7" si="0">G5/F5-1</f>
        <v>0.36190476190476195</v>
      </c>
      <c r="L5" s="10">
        <f t="shared" si="0"/>
        <v>0.20699300699300704</v>
      </c>
      <c r="M5" s="10">
        <f t="shared" si="0"/>
        <v>0.35000000000000031</v>
      </c>
    </row>
    <row r="6" spans="2:13">
      <c r="B6" t="s">
        <v>1101</v>
      </c>
      <c r="F6" s="122">
        <f>F7-F5</f>
        <v>20872</v>
      </c>
      <c r="G6" s="122">
        <f>G7-G5</f>
        <v>22032</v>
      </c>
      <c r="H6" s="122">
        <f>H7-H5</f>
        <v>22343.1</v>
      </c>
      <c r="I6" s="122">
        <f>I7-I5</f>
        <v>22770.850000000002</v>
      </c>
      <c r="K6" s="10">
        <f t="shared" si="0"/>
        <v>5.5576849367573677E-2</v>
      </c>
      <c r="L6" s="10">
        <f t="shared" si="0"/>
        <v>1.4120370370370283E-2</v>
      </c>
      <c r="M6" s="10">
        <f t="shared" si="0"/>
        <v>1.9144612878248868E-2</v>
      </c>
    </row>
    <row r="7" spans="2:13">
      <c r="B7" t="s">
        <v>1102</v>
      </c>
      <c r="F7" s="122">
        <f>Master!H13</f>
        <v>21397</v>
      </c>
      <c r="G7" s="122">
        <f>Master!I13</f>
        <v>22747</v>
      </c>
      <c r="H7" s="122">
        <f>Master!J13</f>
        <v>23206.1</v>
      </c>
      <c r="I7" s="122">
        <f>Master!K13</f>
        <v>23935.9</v>
      </c>
      <c r="K7" s="10">
        <f t="shared" si="0"/>
        <v>6.3092956956582791E-2</v>
      </c>
      <c r="L7" s="10">
        <f t="shared" si="0"/>
        <v>2.0182881259066976E-2</v>
      </c>
      <c r="M7" s="10">
        <f t="shared" si="0"/>
        <v>3.144862773150181E-2</v>
      </c>
    </row>
    <row r="9" spans="2:13">
      <c r="B9" t="s">
        <v>1103</v>
      </c>
      <c r="F9" s="10">
        <f>F5/F7</f>
        <v>2.4536149927559939E-2</v>
      </c>
      <c r="G9" s="10">
        <f>G5/G7</f>
        <v>3.143271640216292E-2</v>
      </c>
      <c r="H9" s="10">
        <f>H5/H7</f>
        <v>3.7188497851857918E-2</v>
      </c>
      <c r="I9" s="10">
        <f>I5/I7</f>
        <v>4.8673749472549606E-2</v>
      </c>
    </row>
    <row r="11" spans="2:13">
      <c r="B11" t="s">
        <v>97</v>
      </c>
      <c r="F11" s="122">
        <f>Master!H23</f>
        <v>10005.1</v>
      </c>
      <c r="G11" s="122">
        <f>Master!I23</f>
        <v>11248.2</v>
      </c>
      <c r="H11" s="122">
        <f>Master!J23</f>
        <v>12479.2</v>
      </c>
      <c r="I11" s="122">
        <f>Master!K23</f>
        <v>14465.4</v>
      </c>
      <c r="K11" s="10">
        <f t="shared" ref="K11:M12" si="1">G11/F11-1</f>
        <v>0.12424663421654958</v>
      </c>
      <c r="L11" s="10">
        <f t="shared" si="1"/>
        <v>0.10943973257943496</v>
      </c>
      <c r="M11" s="10">
        <f t="shared" si="1"/>
        <v>0.15916084364382321</v>
      </c>
    </row>
    <row r="12" spans="2:13">
      <c r="B12" t="s">
        <v>1104</v>
      </c>
      <c r="F12" s="122">
        <f>Master!H21</f>
        <v>9241.7000000000007</v>
      </c>
      <c r="G12" s="122">
        <f>Master!I21</f>
        <v>11814.2</v>
      </c>
      <c r="H12" s="122">
        <f>Master!J21</f>
        <v>13635.400000000001</v>
      </c>
      <c r="I12" s="122">
        <f>Master!K21</f>
        <v>15570.4</v>
      </c>
      <c r="K12" s="10">
        <f t="shared" si="1"/>
        <v>0.27835787787961097</v>
      </c>
      <c r="L12" s="10">
        <f t="shared" si="1"/>
        <v>0.15415347632510046</v>
      </c>
      <c r="M12" s="10">
        <f t="shared" si="1"/>
        <v>0.14191002830866695</v>
      </c>
    </row>
    <row r="13" spans="2:13">
      <c r="B13" s="61"/>
      <c r="C13" s="61"/>
      <c r="D13" s="61"/>
      <c r="E13" s="61"/>
      <c r="F13" s="61"/>
      <c r="G13" s="61"/>
      <c r="H13" s="61"/>
      <c r="I13" s="61"/>
      <c r="J13" s="61"/>
      <c r="K13" s="61"/>
    </row>
    <row r="14" spans="2:13">
      <c r="B14" t="s">
        <v>1105</v>
      </c>
      <c r="F14" s="122">
        <f>Master!J28</f>
        <v>62581.5</v>
      </c>
      <c r="G14" s="122">
        <f>Master!K28</f>
        <v>69290.399999999994</v>
      </c>
      <c r="H14" s="122">
        <f>Master!L28</f>
        <v>73793.600000000006</v>
      </c>
      <c r="I14" s="122">
        <f>Master!M28</f>
        <v>80118.399999999994</v>
      </c>
    </row>
    <row r="15" spans="2:13">
      <c r="B15" t="s">
        <v>1106</v>
      </c>
      <c r="F15" s="8">
        <f>(F5+F11+F12)/F14</f>
        <v>0.31593681838882104</v>
      </c>
      <c r="G15" s="8">
        <f>(G5+G11+G12)/G14</f>
        <v>0.34315576183713764</v>
      </c>
      <c r="H15" s="8">
        <f>(H5+H11+H12)/H14</f>
        <v>0.36558183907547537</v>
      </c>
      <c r="I15" s="8">
        <f>(I5+I11+I12)/I14</f>
        <v>0.38943426229180811</v>
      </c>
    </row>
    <row r="16" spans="2:13">
      <c r="F16" s="8"/>
      <c r="G16" s="8"/>
      <c r="H16" s="8"/>
      <c r="I16" s="8"/>
    </row>
    <row r="17" spans="2:9">
      <c r="B17" t="s">
        <v>1107</v>
      </c>
      <c r="F17" s="122">
        <f>F11*SOP!$C$6+Analysis!F12*SOP!$C$7+Analysis!F5</f>
        <v>18274.489176133058</v>
      </c>
      <c r="G17" s="122">
        <f>G11*SOP!$C$6+Analysis!G12*SOP!$C$7+Analysis!G5</f>
        <v>21863.300912675288</v>
      </c>
      <c r="H17" s="122">
        <f>H11*SOP!$C$6+Analysis!H12*SOP!$C$7+Analysis!H5</f>
        <v>24768.435884333478</v>
      </c>
      <c r="I17" s="122">
        <f>I11*SOP!$C$6+Analysis!I12*SOP!$C$7+Analysis!I5</f>
        <v>28678.183342140746</v>
      </c>
    </row>
    <row r="18" spans="2:9">
      <c r="B18" t="s">
        <v>1108</v>
      </c>
      <c r="F18" s="122">
        <f>Master!H28-Master!H23-Master!H21+Master!H23*SOP!$C$6+Master!H21*SOP!$C$7</f>
        <v>50855.062474777958</v>
      </c>
      <c r="G18" s="122">
        <f>Master!I28-Master!I23-Master!I21+Master!I23*SOP!$C$6+Master!I21*SOP!$C$7</f>
        <v>55942.700912675275</v>
      </c>
      <c r="H18" s="122">
        <f>Master!J28-Master!J23-Master!J21+Master!J23*SOP!$C$6+Master!J21*SOP!$C$7</f>
        <v>60372.335884333486</v>
      </c>
      <c r="I18" s="122">
        <f>Master!K28-Master!K23-Master!K21+Master!K23*SOP!$C$6+Master!K21*SOP!$C$7</f>
        <v>66767.733342140738</v>
      </c>
    </row>
    <row r="19" spans="2:9">
      <c r="B19" t="s">
        <v>1109</v>
      </c>
      <c r="F19" s="8">
        <f>F17/F18</f>
        <v>0.35934454284067513</v>
      </c>
      <c r="G19" s="8">
        <f>G17/G18</f>
        <v>0.39081596984034045</v>
      </c>
      <c r="H19" s="8">
        <f>H17/H18</f>
        <v>0.4102613477104311</v>
      </c>
      <c r="I19" s="8">
        <f>I17/I18</f>
        <v>0.42952159533683598</v>
      </c>
    </row>
    <row r="21" spans="2:9">
      <c r="C21" t="s">
        <v>1110</v>
      </c>
      <c r="D21" t="s">
        <v>1111</v>
      </c>
    </row>
    <row r="22" spans="2:9">
      <c r="B22" t="s">
        <v>483</v>
      </c>
      <c r="C22" s="8">
        <v>0.95</v>
      </c>
      <c r="D22" s="8">
        <v>1</v>
      </c>
    </row>
    <row r="23" spans="2:9">
      <c r="B23" t="s">
        <v>484</v>
      </c>
      <c r="C23" s="8">
        <v>0.95</v>
      </c>
      <c r="D23" s="8">
        <v>0.42</v>
      </c>
    </row>
    <row r="24" spans="2:9">
      <c r="B24" t="s">
        <v>1112</v>
      </c>
      <c r="C24" s="8">
        <v>0.83</v>
      </c>
      <c r="D24" s="8">
        <v>0.3</v>
      </c>
    </row>
    <row r="36" spans="2:9" ht="15.75">
      <c r="B36" s="67" t="s">
        <v>1113</v>
      </c>
      <c r="C36" s="67">
        <f t="shared" ref="C36:F37" si="2">F4</f>
        <v>2009</v>
      </c>
      <c r="D36" s="67">
        <f t="shared" si="2"/>
        <v>2010</v>
      </c>
      <c r="E36" s="67">
        <f t="shared" si="2"/>
        <v>2011</v>
      </c>
      <c r="F36" s="68" t="str">
        <f t="shared" si="2"/>
        <v>2012e</v>
      </c>
    </row>
    <row r="37" spans="2:9" ht="15.75">
      <c r="B37" s="183" t="str">
        <f>B5</f>
        <v>Pay TV advertising</v>
      </c>
      <c r="C37" s="184">
        <f t="shared" si="2"/>
        <v>525</v>
      </c>
      <c r="D37" s="184">
        <f t="shared" si="2"/>
        <v>715</v>
      </c>
      <c r="E37" s="184">
        <f t="shared" si="2"/>
        <v>863</v>
      </c>
      <c r="F37" s="184">
        <f t="shared" si="2"/>
        <v>1165.0500000000002</v>
      </c>
    </row>
    <row r="38" spans="2:9" ht="15.75">
      <c r="B38" s="66" t="s">
        <v>1114</v>
      </c>
      <c r="C38" s="125">
        <f>F11*SOP!$C$6</f>
        <v>10005.1</v>
      </c>
      <c r="D38" s="125">
        <f>G11*SOP!$C$6</f>
        <v>11248.2</v>
      </c>
      <c r="E38" s="125">
        <f>H11*SOP!$C$6</f>
        <v>12479.2</v>
      </c>
      <c r="F38" s="125">
        <f>I11*SOP!$C$6</f>
        <v>14465.4</v>
      </c>
    </row>
    <row r="39" spans="2:9" ht="15.75">
      <c r="B39" s="185" t="s">
        <v>1115</v>
      </c>
      <c r="C39" s="186">
        <f>F12*SOP!$C$7</f>
        <v>7744.3891761330588</v>
      </c>
      <c r="D39" s="186">
        <f>G12*SOP!$C$7</f>
        <v>9900.1009126752851</v>
      </c>
      <c r="E39" s="186">
        <f>H12*SOP!$C$7</f>
        <v>11426.235884333479</v>
      </c>
      <c r="F39" s="186">
        <f>I12*SOP!$C$7</f>
        <v>13047.733342140749</v>
      </c>
    </row>
    <row r="40" spans="2:9" ht="15.75">
      <c r="B40" s="66" t="s">
        <v>1116</v>
      </c>
      <c r="C40" s="125">
        <f>C37+C38+C39</f>
        <v>18274.489176133058</v>
      </c>
      <c r="D40" s="125">
        <f>D37+D38+D39</f>
        <v>21863.300912675288</v>
      </c>
      <c r="E40" s="125">
        <f>E37+E38+E39</f>
        <v>24768.435884333478</v>
      </c>
      <c r="F40" s="125">
        <f>F37+F38+F39</f>
        <v>28678.18334214075</v>
      </c>
    </row>
    <row r="41" spans="2:9" ht="15.75">
      <c r="B41" s="183"/>
      <c r="C41" s="183"/>
      <c r="D41" s="183"/>
      <c r="E41" s="183"/>
      <c r="F41" s="183"/>
    </row>
    <row r="42" spans="2:9" ht="15.75">
      <c r="B42" s="66" t="s">
        <v>1117</v>
      </c>
      <c r="C42" s="125">
        <f>F18</f>
        <v>50855.062474777958</v>
      </c>
      <c r="D42" s="125">
        <f>G18</f>
        <v>55942.700912675275</v>
      </c>
      <c r="E42" s="125">
        <f>H18</f>
        <v>60372.335884333486</v>
      </c>
      <c r="F42" s="125">
        <f>I18</f>
        <v>66767.733342140738</v>
      </c>
    </row>
    <row r="43" spans="2:9" ht="15.75">
      <c r="B43" s="185" t="s">
        <v>1106</v>
      </c>
      <c r="C43" s="188">
        <f>C40/C42</f>
        <v>0.35934454284067513</v>
      </c>
      <c r="D43" s="188">
        <f>D40/D42</f>
        <v>0.39081596984034045</v>
      </c>
      <c r="E43" s="188">
        <f>E40/E42</f>
        <v>0.4102613477104311</v>
      </c>
      <c r="F43" s="188">
        <f>F40/F42</f>
        <v>0.42952159533683604</v>
      </c>
    </row>
    <row r="47" spans="2:9">
      <c r="B47" s="61"/>
      <c r="C47" s="61">
        <v>2006</v>
      </c>
      <c r="D47" s="61">
        <f t="shared" ref="D47:I47" si="3">C47+1</f>
        <v>2007</v>
      </c>
      <c r="E47" s="61">
        <f t="shared" si="3"/>
        <v>2008</v>
      </c>
      <c r="F47" s="61">
        <f t="shared" si="3"/>
        <v>2009</v>
      </c>
      <c r="G47" s="61">
        <f t="shared" si="3"/>
        <v>2010</v>
      </c>
      <c r="H47" s="61">
        <f t="shared" si="3"/>
        <v>2011</v>
      </c>
      <c r="I47" s="61">
        <f t="shared" si="3"/>
        <v>2012</v>
      </c>
    </row>
    <row r="48" spans="2:9">
      <c r="B48" t="s">
        <v>1118</v>
      </c>
      <c r="C48">
        <v>94668</v>
      </c>
      <c r="D48">
        <v>96682</v>
      </c>
      <c r="E48" s="4">
        <f>G55</f>
        <v>98161.9</v>
      </c>
      <c r="F48" s="4">
        <f>K55</f>
        <v>99301.6</v>
      </c>
      <c r="G48" s="4">
        <f>O55</f>
        <v>99640.8</v>
      </c>
      <c r="H48" s="4">
        <f>S55</f>
        <v>100118.18432361734</v>
      </c>
      <c r="I48">
        <v>100917.72869595519</v>
      </c>
    </row>
    <row r="49" spans="2:23">
      <c r="B49" t="s">
        <v>587</v>
      </c>
      <c r="C49">
        <v>2000</v>
      </c>
      <c r="D49" s="4">
        <f t="shared" ref="D49:I49" si="4">D48-C48</f>
        <v>2014</v>
      </c>
      <c r="E49" s="4">
        <f t="shared" si="4"/>
        <v>1479.8999999999942</v>
      </c>
      <c r="F49" s="4">
        <f t="shared" si="4"/>
        <v>1139.7000000000116</v>
      </c>
      <c r="G49" s="4">
        <f t="shared" si="4"/>
        <v>339.19999999999709</v>
      </c>
      <c r="H49" s="4">
        <f t="shared" si="4"/>
        <v>477.38432361734158</v>
      </c>
      <c r="I49" s="4">
        <f t="shared" si="4"/>
        <v>799.5443723378412</v>
      </c>
    </row>
    <row r="50" spans="2:23">
      <c r="B50" t="s">
        <v>1119</v>
      </c>
      <c r="D50" s="4">
        <f>E50*0.95</f>
        <v>62021.149949999999</v>
      </c>
      <c r="E50" s="4">
        <v>65285.421000000002</v>
      </c>
      <c r="F50" s="4">
        <v>66741.078000000009</v>
      </c>
      <c r="G50" s="4">
        <v>69774.793000000005</v>
      </c>
      <c r="H50" s="4">
        <v>73436.997000000003</v>
      </c>
      <c r="I50" s="4">
        <v>76101.129109118207</v>
      </c>
    </row>
    <row r="51" spans="2:23">
      <c r="B51" t="s">
        <v>1120</v>
      </c>
      <c r="D51" s="4"/>
      <c r="E51" s="10">
        <f>E50/D50-1</f>
        <v>5.2631578947368363E-2</v>
      </c>
      <c r="F51" s="10">
        <f>F50/E50-1</f>
        <v>2.2296815701012385E-2</v>
      </c>
      <c r="G51" s="10">
        <f>G50/F50-1</f>
        <v>4.5454989504364773E-2</v>
      </c>
      <c r="H51" s="10">
        <f>H50/G50-1</f>
        <v>5.2486060402930912E-2</v>
      </c>
      <c r="I51" s="10">
        <f>I50/H50-1</f>
        <v>3.6277792093244221E-2</v>
      </c>
    </row>
    <row r="52" spans="2:23">
      <c r="B52" t="s">
        <v>1121</v>
      </c>
      <c r="C52" s="10">
        <v>2.7E-2</v>
      </c>
      <c r="D52" s="10">
        <v>0.02</v>
      </c>
      <c r="E52" s="10">
        <v>-2.0000000000000001E-4</v>
      </c>
      <c r="F52" s="10">
        <v>-0.03</v>
      </c>
      <c r="G52" s="10">
        <v>2.4E-2</v>
      </c>
      <c r="H52" s="10">
        <v>1.7999999999999999E-2</v>
      </c>
      <c r="I52" s="10">
        <v>2.3E-2</v>
      </c>
    </row>
    <row r="54" spans="2:23" ht="15.75">
      <c r="D54" s="153">
        <v>39508</v>
      </c>
      <c r="E54" s="153">
        <v>39600</v>
      </c>
      <c r="F54" s="153">
        <v>39692</v>
      </c>
      <c r="G54" s="153">
        <v>39783</v>
      </c>
      <c r="H54" s="153">
        <v>39873</v>
      </c>
      <c r="I54" s="153">
        <v>39965</v>
      </c>
      <c r="J54" s="153">
        <v>40057</v>
      </c>
      <c r="K54" s="153">
        <v>40148</v>
      </c>
      <c r="L54" s="153">
        <v>40238</v>
      </c>
      <c r="M54" s="153">
        <v>40330</v>
      </c>
      <c r="N54" s="153">
        <v>40422</v>
      </c>
      <c r="O54" s="153">
        <v>40513</v>
      </c>
      <c r="P54" s="153">
        <v>40603</v>
      </c>
      <c r="Q54" s="153">
        <v>40695</v>
      </c>
      <c r="R54" s="153">
        <v>40787</v>
      </c>
      <c r="S54" s="153">
        <v>40878</v>
      </c>
      <c r="T54" s="153">
        <v>40969</v>
      </c>
      <c r="U54" s="153">
        <v>41061</v>
      </c>
      <c r="V54" s="153">
        <v>41153</v>
      </c>
      <c r="W54" s="153">
        <v>41244</v>
      </c>
    </row>
    <row r="55" spans="2:23">
      <c r="B55" t="s">
        <v>656</v>
      </c>
      <c r="D55" s="4">
        <v>97185.950000000012</v>
      </c>
      <c r="E55" s="4">
        <v>97616.3</v>
      </c>
      <c r="F55" s="4">
        <v>98035.349999999991</v>
      </c>
      <c r="G55" s="4">
        <v>98161.9</v>
      </c>
      <c r="H55" s="4">
        <v>98533.75</v>
      </c>
      <c r="I55" s="4">
        <v>98768.83</v>
      </c>
      <c r="J55" s="4">
        <v>99100.15</v>
      </c>
      <c r="K55" s="4">
        <v>99301.6</v>
      </c>
      <c r="L55" s="4">
        <v>99678.533333333326</v>
      </c>
      <c r="M55" s="4">
        <v>99474.766666666663</v>
      </c>
      <c r="N55" s="4">
        <v>99345.5</v>
      </c>
      <c r="O55" s="4">
        <v>99640.8</v>
      </c>
      <c r="P55" s="4">
        <v>100094.72108090433</v>
      </c>
      <c r="Q55" s="4">
        <v>99759.042161808669</v>
      </c>
      <c r="R55" s="4">
        <v>99800.963242713013</v>
      </c>
      <c r="S55" s="4">
        <v>100118.18432361734</v>
      </c>
      <c r="T55" s="4">
        <v>100606.88300613259</v>
      </c>
      <c r="U55" s="4">
        <v>100350.88168864782</v>
      </c>
      <c r="V55" s="4">
        <v>81561.880371163061</v>
      </c>
      <c r="W55" s="4">
        <v>81809.8181470774</v>
      </c>
    </row>
    <row r="56" spans="2:23">
      <c r="B56" t="s">
        <v>1122</v>
      </c>
      <c r="E56" s="4">
        <f t="shared" ref="E56:W56" si="5">E55-D55</f>
        <v>430.34999999999127</v>
      </c>
      <c r="F56" s="4">
        <f t="shared" si="5"/>
        <v>419.04999999998836</v>
      </c>
      <c r="G56" s="4">
        <f t="shared" si="5"/>
        <v>126.55000000000291</v>
      </c>
      <c r="H56" s="4">
        <f t="shared" si="5"/>
        <v>371.85000000000582</v>
      </c>
      <c r="I56" s="4">
        <f t="shared" si="5"/>
        <v>235.08000000000175</v>
      </c>
      <c r="J56" s="4">
        <f t="shared" si="5"/>
        <v>331.31999999999243</v>
      </c>
      <c r="K56" s="4">
        <f t="shared" si="5"/>
        <v>201.45000000001164</v>
      </c>
      <c r="L56" s="4">
        <f t="shared" si="5"/>
        <v>376.93333333331975</v>
      </c>
      <c r="M56" s="4">
        <f t="shared" si="5"/>
        <v>-203.76666666666279</v>
      </c>
      <c r="N56" s="4">
        <f t="shared" si="5"/>
        <v>-129.26666666666279</v>
      </c>
      <c r="O56" s="4">
        <f t="shared" si="5"/>
        <v>295.30000000000291</v>
      </c>
      <c r="P56" s="4">
        <f t="shared" si="5"/>
        <v>453.92108090432885</v>
      </c>
      <c r="Q56" s="4">
        <f t="shared" si="5"/>
        <v>-335.67891909566242</v>
      </c>
      <c r="R56" s="4">
        <f t="shared" si="5"/>
        <v>41.921080904343398</v>
      </c>
      <c r="S56" s="4">
        <f t="shared" si="5"/>
        <v>317.22108090433176</v>
      </c>
      <c r="T56" s="4">
        <f t="shared" si="5"/>
        <v>488.69868251524167</v>
      </c>
      <c r="U56" s="4">
        <f t="shared" si="5"/>
        <v>-256.00131748476997</v>
      </c>
      <c r="V56" s="4">
        <f t="shared" si="5"/>
        <v>-18789.001317484755</v>
      </c>
      <c r="W56" s="4">
        <f t="shared" si="5"/>
        <v>247.937775914339</v>
      </c>
    </row>
    <row r="57" spans="2:23">
      <c r="B57" t="s">
        <v>1123</v>
      </c>
    </row>
    <row r="76" spans="2:10">
      <c r="B76" t="s">
        <v>52</v>
      </c>
    </row>
    <row r="78" spans="2:10">
      <c r="C78">
        <f>Master!H11</f>
        <v>2009</v>
      </c>
      <c r="D78">
        <f>Master!I11</f>
        <v>2010</v>
      </c>
      <c r="E78">
        <f>Master!J11</f>
        <v>2011</v>
      </c>
      <c r="F78">
        <f>Master!K11</f>
        <v>2012</v>
      </c>
      <c r="G78">
        <f>Master!L11</f>
        <v>2013</v>
      </c>
      <c r="H78">
        <f>Master!M11</f>
        <v>2014</v>
      </c>
      <c r="I78">
        <f>Master!N11</f>
        <v>2015</v>
      </c>
      <c r="J78">
        <f>Master!O11</f>
        <v>2016</v>
      </c>
    </row>
    <row r="79" spans="2:10">
      <c r="C79" s="4">
        <f>Master!H92</f>
        <v>239</v>
      </c>
      <c r="D79" s="4">
        <f>Master!I92</f>
        <v>438</v>
      </c>
      <c r="E79" s="4">
        <f>Master!J92</f>
        <v>406</v>
      </c>
      <c r="F79" s="4">
        <f>Master!K92</f>
        <v>455</v>
      </c>
      <c r="G79" s="4">
        <f>Master!L92</f>
        <v>599.9</v>
      </c>
      <c r="H79" s="4">
        <f>Master!M92</f>
        <v>702.9</v>
      </c>
      <c r="I79" s="4">
        <f>Master!N92</f>
        <v>1077.2</v>
      </c>
      <c r="J79" s="4">
        <f>Master!O92</f>
        <v>984.2</v>
      </c>
    </row>
    <row r="80" spans="2:10">
      <c r="B80" t="s">
        <v>231</v>
      </c>
      <c r="C80" s="8">
        <f>Master!H124</f>
        <v>-3.8218076760769097E-2</v>
      </c>
      <c r="D80" s="8">
        <f>Master!I124</f>
        <v>-0.13754126390276111</v>
      </c>
      <c r="E80" s="8">
        <f>Master!J124</f>
        <v>-1.992167446499548E-2</v>
      </c>
      <c r="F80" s="8">
        <f>Master!K124</f>
        <v>-1.1239274520885842E-2</v>
      </c>
      <c r="G80" s="8">
        <f>Master!L124</f>
        <v>-8.8858263122272227E-2</v>
      </c>
      <c r="H80" s="8">
        <f>Master!M124</f>
        <v>-7.0338870527100111E-2</v>
      </c>
      <c r="I80" s="8">
        <f>Master!N124</f>
        <v>-0.19971581315838433</v>
      </c>
      <c r="J80" s="8">
        <f>Master!O124</f>
        <v>-0.16669185616275137</v>
      </c>
    </row>
    <row r="81" spans="2:10">
      <c r="C81" s="4"/>
      <c r="D81" s="4"/>
      <c r="E81" s="4"/>
      <c r="F81" s="4">
        <f t="shared" ref="F81:J83" si="6">F78</f>
        <v>2012</v>
      </c>
      <c r="G81" s="4">
        <f t="shared" si="6"/>
        <v>2013</v>
      </c>
      <c r="H81" s="4">
        <f t="shared" si="6"/>
        <v>2014</v>
      </c>
      <c r="I81" s="4">
        <f t="shared" si="6"/>
        <v>2015</v>
      </c>
      <c r="J81" s="4">
        <f t="shared" si="6"/>
        <v>2016</v>
      </c>
    </row>
    <row r="82" spans="2:10">
      <c r="B82" t="s">
        <v>1124</v>
      </c>
      <c r="E82" t="s">
        <v>35</v>
      </c>
      <c r="F82" s="4">
        <f t="shared" si="6"/>
        <v>455</v>
      </c>
      <c r="G82" s="4">
        <f t="shared" si="6"/>
        <v>599.9</v>
      </c>
      <c r="H82" s="4">
        <f t="shared" si="6"/>
        <v>702.9</v>
      </c>
      <c r="I82" s="4">
        <f t="shared" si="6"/>
        <v>1077.2</v>
      </c>
      <c r="J82" s="4">
        <f t="shared" si="6"/>
        <v>984.2</v>
      </c>
    </row>
    <row r="83" spans="2:10">
      <c r="B83" t="s">
        <v>1125</v>
      </c>
      <c r="E83" t="s">
        <v>231</v>
      </c>
      <c r="F83" s="8">
        <f t="shared" si="6"/>
        <v>-1.1239274520885842E-2</v>
      </c>
      <c r="G83" s="8">
        <f t="shared" si="6"/>
        <v>-8.8858263122272227E-2</v>
      </c>
      <c r="H83" s="8">
        <f t="shared" si="6"/>
        <v>-7.0338870527100111E-2</v>
      </c>
      <c r="I83" s="8">
        <f t="shared" si="6"/>
        <v>-0.19971581315838433</v>
      </c>
      <c r="J83" s="8">
        <f t="shared" si="6"/>
        <v>-0.16669185616275137</v>
      </c>
    </row>
    <row r="84" spans="2:10">
      <c r="B84" t="s">
        <v>1126</v>
      </c>
      <c r="F84" s="4"/>
    </row>
    <row r="104" spans="2:11" ht="15.75">
      <c r="B104" s="66" t="s">
        <v>1127</v>
      </c>
      <c r="C104" s="66"/>
      <c r="D104" s="66"/>
      <c r="E104" s="66"/>
      <c r="F104" s="66"/>
      <c r="G104" s="66"/>
      <c r="H104" s="66"/>
      <c r="I104" s="66"/>
      <c r="J104" s="66"/>
      <c r="K104" s="66"/>
    </row>
    <row r="105" spans="2:11" ht="15.75">
      <c r="B105" s="66"/>
      <c r="C105" s="66"/>
      <c r="D105" s="66"/>
      <c r="E105" s="66"/>
      <c r="F105" s="66"/>
      <c r="G105" s="66"/>
      <c r="H105" s="66"/>
      <c r="I105" s="66"/>
      <c r="J105" s="66"/>
      <c r="K105" s="66"/>
    </row>
    <row r="106" spans="2:11" ht="15.75">
      <c r="B106" s="67" t="s">
        <v>1128</v>
      </c>
      <c r="C106" s="67">
        <v>2015</v>
      </c>
      <c r="G106" s="66"/>
      <c r="H106" s="66"/>
      <c r="I106" s="66"/>
      <c r="J106" s="66"/>
      <c r="K106" s="66"/>
    </row>
    <row r="107" spans="2:11" ht="15.75" outlineLevel="1">
      <c r="B107" s="66" t="s">
        <v>271</v>
      </c>
      <c r="C107" s="125">
        <f>Valuation!K15+675*1.036</f>
        <v>4195.267233774417</v>
      </c>
      <c r="G107" s="66"/>
      <c r="H107" s="66"/>
      <c r="I107" s="66"/>
      <c r="J107" s="66"/>
      <c r="K107" s="66"/>
    </row>
    <row r="108" spans="2:11" ht="15.75" outlineLevel="1">
      <c r="B108" s="66" t="s">
        <v>34</v>
      </c>
      <c r="C108" s="125">
        <f>Valuation!K24+67.5</f>
        <v>2107.5315059861368</v>
      </c>
      <c r="G108" s="66"/>
      <c r="H108" s="66"/>
      <c r="I108" s="66"/>
      <c r="J108" s="66"/>
      <c r="K108" s="66"/>
    </row>
    <row r="109" spans="2:11" ht="15.75">
      <c r="B109" s="66" t="s">
        <v>41</v>
      </c>
      <c r="C109" s="112">
        <f>C107/C108</f>
        <v>1.9906071258523872</v>
      </c>
      <c r="G109" s="66"/>
      <c r="H109" s="66"/>
      <c r="I109" s="66"/>
      <c r="J109" s="66"/>
      <c r="K109" s="66"/>
    </row>
    <row r="110" spans="2:11" ht="15.75">
      <c r="B110" s="66" t="s">
        <v>1129</v>
      </c>
      <c r="C110" s="125">
        <f>D132</f>
        <v>3687.7168760991403</v>
      </c>
      <c r="E110" s="66"/>
      <c r="G110" s="66"/>
      <c r="H110" s="66"/>
      <c r="I110" s="66"/>
      <c r="J110" s="66"/>
      <c r="K110" s="66"/>
    </row>
    <row r="111" spans="2:11" ht="15.75">
      <c r="B111" s="66" t="s">
        <v>1130</v>
      </c>
      <c r="C111" s="117">
        <f>5%*0.72</f>
        <v>3.5999999999999997E-2</v>
      </c>
      <c r="E111" s="66"/>
      <c r="F111" s="66"/>
      <c r="G111" s="66"/>
      <c r="H111" s="66"/>
      <c r="I111" s="66"/>
      <c r="J111" s="66"/>
      <c r="K111" s="66"/>
    </row>
    <row r="112" spans="2:11" ht="15.75">
      <c r="B112" s="66" t="s">
        <v>1131</v>
      </c>
      <c r="C112" s="71">
        <f>C111*C110</f>
        <v>132.75780753956903</v>
      </c>
      <c r="E112" s="71"/>
      <c r="G112" s="66"/>
      <c r="H112" s="66"/>
      <c r="I112" s="66"/>
      <c r="J112" s="66"/>
      <c r="K112" s="66"/>
    </row>
    <row r="113" spans="2:11" ht="15.75">
      <c r="B113" s="66" t="s">
        <v>1132</v>
      </c>
      <c r="C113" s="125">
        <f>C107+$C$110+C112</f>
        <v>8015.7419174131264</v>
      </c>
      <c r="E113" s="125"/>
      <c r="G113" s="66"/>
      <c r="H113" s="66"/>
      <c r="I113" s="66"/>
      <c r="J113" s="66"/>
      <c r="K113" s="66"/>
    </row>
    <row r="114" spans="2:11" ht="15.75">
      <c r="B114" s="66" t="s">
        <v>1133</v>
      </c>
      <c r="C114" s="125">
        <f>C108+D123</f>
        <v>2451.4395700457922</v>
      </c>
      <c r="E114" s="125"/>
      <c r="G114" s="125"/>
      <c r="H114" s="125"/>
      <c r="I114" s="66"/>
      <c r="J114" s="66"/>
      <c r="K114" s="66"/>
    </row>
    <row r="115" spans="2:11" ht="15.75">
      <c r="B115" s="66" t="s">
        <v>41</v>
      </c>
      <c r="C115" s="156">
        <f>C113/C114</f>
        <v>3.269810121105043</v>
      </c>
      <c r="E115" s="156"/>
      <c r="G115" s="125"/>
      <c r="H115" s="125"/>
      <c r="I115" s="66"/>
      <c r="J115" s="66"/>
      <c r="K115" s="66"/>
    </row>
    <row r="116" spans="2:11" ht="15.75">
      <c r="B116" s="66"/>
      <c r="C116" s="66"/>
      <c r="D116" s="125"/>
      <c r="E116" s="125"/>
      <c r="F116" s="125"/>
      <c r="G116" s="125"/>
      <c r="H116" s="125"/>
      <c r="I116" s="66"/>
      <c r="J116" s="66"/>
      <c r="K116" s="66"/>
    </row>
    <row r="117" spans="2:11" ht="15.75">
      <c r="B117" s="66"/>
      <c r="C117" s="66"/>
      <c r="D117" s="66"/>
      <c r="E117" s="66"/>
      <c r="F117" s="66"/>
      <c r="G117" s="66"/>
      <c r="H117" s="66"/>
      <c r="I117" s="66"/>
      <c r="J117" s="66"/>
      <c r="K117" s="66"/>
    </row>
    <row r="118" spans="2:11" ht="15.75">
      <c r="B118" s="67" t="s">
        <v>1134</v>
      </c>
      <c r="C118" s="67">
        <v>2014</v>
      </c>
      <c r="D118" s="67">
        <f>C118+1</f>
        <v>2015</v>
      </c>
      <c r="E118" s="66"/>
      <c r="H118" s="66"/>
      <c r="I118" s="66"/>
      <c r="J118" s="66"/>
      <c r="K118" s="66"/>
    </row>
    <row r="119" spans="2:11" ht="15.75">
      <c r="B119" s="66" t="s">
        <v>907</v>
      </c>
      <c r="C119" s="71">
        <v>11446.085783442719</v>
      </c>
      <c r="D119" s="71">
        <v>13311.758479577387</v>
      </c>
      <c r="E119" s="66"/>
      <c r="H119" s="66"/>
      <c r="I119" s="66"/>
      <c r="J119" s="66"/>
      <c r="K119" s="66"/>
    </row>
    <row r="120" spans="2:11" ht="15.75">
      <c r="B120" s="66" t="s">
        <v>34</v>
      </c>
      <c r="C120" s="71">
        <v>4864.5864579631552</v>
      </c>
      <c r="D120" s="71">
        <v>5457.8209766267282</v>
      </c>
      <c r="E120" s="66"/>
      <c r="H120" s="66"/>
      <c r="I120" s="66"/>
      <c r="J120" s="66"/>
      <c r="K120" s="66"/>
    </row>
    <row r="121" spans="2:11" ht="15.75">
      <c r="B121" s="66" t="s">
        <v>548</v>
      </c>
      <c r="C121" s="116">
        <f>C120/C119</f>
        <v>0.42499999999999999</v>
      </c>
      <c r="D121" s="116">
        <f>D120/D119</f>
        <v>0.41</v>
      </c>
      <c r="E121" s="116"/>
      <c r="H121" s="66"/>
      <c r="I121" s="66"/>
      <c r="J121" s="66"/>
      <c r="K121" s="66"/>
    </row>
    <row r="122" spans="2:11" ht="15.75">
      <c r="B122" s="66"/>
      <c r="C122" s="116"/>
      <c r="D122" s="116"/>
      <c r="E122" s="116"/>
      <c r="H122" s="66"/>
      <c r="I122" s="66"/>
      <c r="J122" s="66"/>
      <c r="K122" s="66"/>
    </row>
    <row r="123" spans="2:11" ht="15.75">
      <c r="B123" s="66" t="s">
        <v>1135</v>
      </c>
      <c r="C123" s="116"/>
      <c r="D123" s="71">
        <f>D120/Master!N7</f>
        <v>343.9080640596552</v>
      </c>
      <c r="E123" s="116"/>
      <c r="H123" s="66"/>
      <c r="I123" s="66"/>
      <c r="J123" s="66"/>
      <c r="K123" s="66"/>
    </row>
    <row r="124" spans="2:11" ht="15.75">
      <c r="B124" s="66"/>
      <c r="C124" s="116"/>
      <c r="D124" s="116"/>
      <c r="E124" s="116"/>
      <c r="H124" s="66"/>
      <c r="I124" s="66"/>
      <c r="J124" s="66"/>
      <c r="K124" s="66"/>
    </row>
    <row r="125" spans="2:11" ht="15.75">
      <c r="B125" s="66" t="s">
        <v>35</v>
      </c>
      <c r="C125" s="66"/>
      <c r="D125" s="66"/>
      <c r="E125" s="66"/>
      <c r="H125" s="66"/>
      <c r="I125" s="66"/>
      <c r="J125" s="66"/>
      <c r="K125" s="66"/>
    </row>
    <row r="126" spans="2:11" ht="15.75">
      <c r="B126" s="66" t="s">
        <v>228</v>
      </c>
      <c r="C126" s="66"/>
      <c r="D126" s="66"/>
      <c r="E126" s="66"/>
      <c r="H126" s="66"/>
      <c r="I126" s="66"/>
      <c r="J126" s="66"/>
      <c r="K126" s="66"/>
    </row>
    <row r="127" spans="2:11" ht="15.75">
      <c r="B127" s="66" t="s">
        <v>36</v>
      </c>
      <c r="C127" s="66"/>
      <c r="D127" s="66"/>
      <c r="E127" s="66"/>
      <c r="H127" s="66"/>
      <c r="I127" s="66"/>
      <c r="J127" s="66"/>
      <c r="K127" s="66"/>
    </row>
    <row r="128" spans="2:11" ht="15.75">
      <c r="B128" s="66" t="s">
        <v>548</v>
      </c>
      <c r="C128" s="66"/>
      <c r="D128" s="66"/>
      <c r="E128" s="66"/>
      <c r="H128" s="66"/>
      <c r="I128" s="66"/>
      <c r="J128" s="66"/>
      <c r="K128" s="66"/>
    </row>
    <row r="129" spans="2:21" ht="15.75">
      <c r="B129" s="66"/>
      <c r="C129" s="66"/>
      <c r="D129" s="66"/>
      <c r="E129" s="66"/>
      <c r="H129" s="66"/>
      <c r="I129" s="66"/>
      <c r="J129" s="66"/>
      <c r="K129" s="66"/>
    </row>
    <row r="130" spans="2:21" ht="15.75">
      <c r="B130" s="66" t="s">
        <v>1136</v>
      </c>
      <c r="C130" s="66"/>
      <c r="D130" s="66">
        <f>5.9*E120</f>
        <v>0</v>
      </c>
      <c r="H130" s="66"/>
      <c r="I130" s="66"/>
      <c r="J130" s="66"/>
      <c r="K130" s="66"/>
    </row>
    <row r="131" spans="2:21" ht="15.75">
      <c r="B131" s="66" t="s">
        <v>1137</v>
      </c>
      <c r="C131" s="66"/>
      <c r="D131" s="66">
        <f>10*D120</f>
        <v>54578.209766267282</v>
      </c>
      <c r="H131" s="66"/>
      <c r="I131" s="66"/>
      <c r="J131" s="66"/>
      <c r="K131" s="66"/>
    </row>
    <row r="132" spans="2:21" ht="15.75">
      <c r="B132" s="66" t="s">
        <v>1138</v>
      </c>
      <c r="C132" s="66"/>
      <c r="D132" s="66">
        <f>D131/14.8</f>
        <v>3687.7168760991403</v>
      </c>
      <c r="H132" s="66"/>
      <c r="I132" s="66"/>
      <c r="J132" s="66"/>
      <c r="K132" s="66"/>
    </row>
    <row r="133" spans="2:21" ht="15.75">
      <c r="B133" s="66"/>
      <c r="C133" s="66"/>
      <c r="D133" s="66"/>
      <c r="E133" s="66"/>
      <c r="F133" s="66"/>
      <c r="G133" s="66"/>
      <c r="H133" s="66"/>
      <c r="I133" s="66"/>
      <c r="J133" s="66"/>
      <c r="K133" s="66"/>
    </row>
    <row r="134" spans="2:21" ht="15.75">
      <c r="B134" s="66"/>
      <c r="C134" s="66"/>
      <c r="D134" s="66"/>
      <c r="E134" s="66"/>
      <c r="F134" s="66"/>
      <c r="G134" s="66"/>
      <c r="H134" s="66"/>
      <c r="I134" s="66"/>
      <c r="J134" s="66"/>
      <c r="K134" s="66"/>
    </row>
    <row r="135" spans="2:21" ht="15.75">
      <c r="B135" s="154" t="s">
        <v>1139</v>
      </c>
      <c r="C135" s="154">
        <v>2010</v>
      </c>
      <c r="D135" s="154">
        <f t="shared" ref="D135:K135" si="7">C135+1</f>
        <v>2011</v>
      </c>
      <c r="E135" s="154">
        <f t="shared" si="7"/>
        <v>2012</v>
      </c>
      <c r="F135" s="154">
        <f t="shared" si="7"/>
        <v>2013</v>
      </c>
      <c r="G135" s="154">
        <f t="shared" si="7"/>
        <v>2014</v>
      </c>
      <c r="H135" s="154">
        <f t="shared" si="7"/>
        <v>2015</v>
      </c>
      <c r="I135" s="154">
        <f t="shared" si="7"/>
        <v>2016</v>
      </c>
      <c r="J135" s="154">
        <f t="shared" si="7"/>
        <v>2017</v>
      </c>
      <c r="K135" s="154">
        <f t="shared" si="7"/>
        <v>2018</v>
      </c>
    </row>
    <row r="136" spans="2:21" ht="15.75">
      <c r="B136" s="125" t="s">
        <v>1140</v>
      </c>
      <c r="C136" s="125">
        <v>122071.95</v>
      </c>
      <c r="D136" s="125">
        <v>131573</v>
      </c>
      <c r="E136" s="125">
        <v>141962.76007870724</v>
      </c>
      <c r="F136" s="125">
        <v>159596.15946480047</v>
      </c>
      <c r="G136" s="125">
        <v>175402.53760523588</v>
      </c>
      <c r="H136" s="125">
        <v>190242.8345770817</v>
      </c>
      <c r="I136" s="125">
        <v>202890.85561290066</v>
      </c>
      <c r="J136" s="125">
        <v>215310.31700116969</v>
      </c>
      <c r="K136" s="125">
        <v>227462.31363347726</v>
      </c>
      <c r="M136" s="69">
        <f t="shared" ref="M136:S140" si="8">E136/D136-1</f>
        <v>7.8965745849887581E-2</v>
      </c>
      <c r="N136" s="69">
        <f t="shared" si="8"/>
        <v>0.12421144373578596</v>
      </c>
      <c r="O136" s="69">
        <f t="shared" si="8"/>
        <v>9.903984026584034E-2</v>
      </c>
      <c r="P136" s="69">
        <f t="shared" si="8"/>
        <v>8.4607082511232834E-2</v>
      </c>
      <c r="Q136" s="69">
        <f t="shared" si="8"/>
        <v>6.6483560676206643E-2</v>
      </c>
      <c r="R136" s="69">
        <f t="shared" si="8"/>
        <v>6.1212524097016718E-2</v>
      </c>
      <c r="S136" s="69">
        <f t="shared" si="8"/>
        <v>5.6439453536458073E-2</v>
      </c>
      <c r="T136" s="69"/>
      <c r="U136" s="69"/>
    </row>
    <row r="137" spans="2:21" ht="15.75">
      <c r="B137" s="125" t="s">
        <v>1141</v>
      </c>
      <c r="C137" s="124">
        <v>27683.82</v>
      </c>
      <c r="D137" s="124">
        <v>23982.78</v>
      </c>
      <c r="E137" s="124">
        <v>23639.367218647389</v>
      </c>
      <c r="F137" s="124">
        <v>24771.308743569847</v>
      </c>
      <c r="G137" s="124">
        <v>28487.005055105321</v>
      </c>
      <c r="H137" s="124">
        <v>32760.055813371117</v>
      </c>
      <c r="I137" s="124">
        <v>37674.064185376781</v>
      </c>
      <c r="J137" s="124">
        <v>43325.173813183297</v>
      </c>
      <c r="K137" s="124">
        <v>49823.949885160786</v>
      </c>
      <c r="M137" s="69">
        <f t="shared" si="8"/>
        <v>-1.4319139872550624E-2</v>
      </c>
      <c r="N137" s="69">
        <f t="shared" si="8"/>
        <v>4.7883748936796922E-2</v>
      </c>
      <c r="O137" s="69">
        <f t="shared" si="8"/>
        <v>0.14999999999999991</v>
      </c>
      <c r="P137" s="69">
        <f t="shared" si="8"/>
        <v>0.14999999999999991</v>
      </c>
      <c r="Q137" s="69">
        <f t="shared" si="8"/>
        <v>0.14999999999999991</v>
      </c>
      <c r="R137" s="69">
        <f t="shared" si="8"/>
        <v>0.14999999999999991</v>
      </c>
      <c r="S137" s="69">
        <f t="shared" si="8"/>
        <v>0.14999999999999991</v>
      </c>
      <c r="T137" s="69"/>
      <c r="U137" s="69"/>
    </row>
    <row r="138" spans="2:21" ht="15.75">
      <c r="B138" s="125" t="s">
        <v>106</v>
      </c>
      <c r="C138" s="125">
        <f>Iusacell!P37</f>
        <v>12560.625</v>
      </c>
      <c r="D138" s="125">
        <f>Iusacell!Q37</f>
        <v>11430.374879999999</v>
      </c>
      <c r="E138" s="125">
        <f>Iusacell!R37</f>
        <v>14774.7</v>
      </c>
      <c r="F138" s="125">
        <f>Iusacell!S37</f>
        <v>16644.7</v>
      </c>
      <c r="G138" s="125">
        <f>Iusacell!T37</f>
        <v>17063.389119957639</v>
      </c>
      <c r="H138" s="125">
        <f>Iusacell!U37</f>
        <v>18096.848396132104</v>
      </c>
      <c r="I138" s="125">
        <f>Iusacell!V37</f>
        <v>20755.631999255122</v>
      </c>
      <c r="J138" s="125">
        <f>Iusacell!W37</f>
        <v>24281.002679478403</v>
      </c>
      <c r="K138" s="125">
        <f>Iusacell!X37</f>
        <v>28343.462007068581</v>
      </c>
      <c r="M138" s="69">
        <f t="shared" si="8"/>
        <v>0.29258227793137803</v>
      </c>
      <c r="N138" s="69">
        <f t="shared" si="8"/>
        <v>0.12656771372684394</v>
      </c>
      <c r="O138" s="69">
        <f t="shared" si="8"/>
        <v>2.5154500829551729E-2</v>
      </c>
      <c r="P138" s="69">
        <f t="shared" si="8"/>
        <v>6.0565885763322003E-2</v>
      </c>
      <c r="Q138" s="69">
        <f t="shared" si="8"/>
        <v>0.14691970363697626</v>
      </c>
      <c r="R138" s="69">
        <f t="shared" si="8"/>
        <v>0.16985128086438417</v>
      </c>
      <c r="S138" s="69">
        <f t="shared" si="8"/>
        <v>0.16731019642049838</v>
      </c>
      <c r="T138" s="69"/>
      <c r="U138" s="69"/>
    </row>
    <row r="139" spans="2:21" ht="15.75">
      <c r="B139" s="154" t="s">
        <v>1142</v>
      </c>
      <c r="C139" s="155">
        <v>25551.277072282981</v>
      </c>
      <c r="D139" s="155">
        <v>26938.82</v>
      </c>
      <c r="E139" s="155">
        <v>26836.609751534066</v>
      </c>
      <c r="F139" s="155">
        <v>27587.426507395743</v>
      </c>
      <c r="G139" s="155">
        <v>29912.498274622303</v>
      </c>
      <c r="H139" s="155">
        <v>32983.372667272772</v>
      </c>
      <c r="I139" s="155">
        <v>35543.194792722978</v>
      </c>
      <c r="J139" s="155">
        <v>37217.167475312926</v>
      </c>
      <c r="K139" s="155">
        <v>38619.167581150607</v>
      </c>
      <c r="M139" s="73">
        <f t="shared" si="8"/>
        <v>-3.7941620481496408E-3</v>
      </c>
      <c r="N139" s="73">
        <f t="shared" si="8"/>
        <v>2.7977332562238333E-2</v>
      </c>
      <c r="O139" s="73">
        <f t="shared" si="8"/>
        <v>8.4280125462345978E-2</v>
      </c>
      <c r="P139" s="73">
        <f t="shared" si="8"/>
        <v>0.10266191624842613</v>
      </c>
      <c r="Q139" s="73">
        <f t="shared" si="8"/>
        <v>7.7609471635086802E-2</v>
      </c>
      <c r="R139" s="73">
        <f t="shared" si="8"/>
        <v>4.7096854752422868E-2</v>
      </c>
      <c r="S139" s="73">
        <f t="shared" si="8"/>
        <v>3.7670790147252831E-2</v>
      </c>
      <c r="T139" s="69"/>
      <c r="U139" s="69"/>
    </row>
    <row r="140" spans="2:21" ht="15.75">
      <c r="B140" s="125" t="s">
        <v>470</v>
      </c>
      <c r="C140" s="125">
        <f t="shared" ref="C140:K140" si="9">SUM(C136:C139)</f>
        <v>187867.67207228296</v>
      </c>
      <c r="D140" s="125">
        <f t="shared" si="9"/>
        <v>193924.97487999999</v>
      </c>
      <c r="E140" s="125">
        <f t="shared" si="9"/>
        <v>207213.43704888871</v>
      </c>
      <c r="F140" s="125">
        <f t="shared" si="9"/>
        <v>228599.59471576608</v>
      </c>
      <c r="G140" s="125">
        <f t="shared" si="9"/>
        <v>250865.43005492113</v>
      </c>
      <c r="H140" s="125">
        <f t="shared" si="9"/>
        <v>274083.11145385768</v>
      </c>
      <c r="I140" s="125">
        <f t="shared" si="9"/>
        <v>296863.74659025553</v>
      </c>
      <c r="J140" s="125">
        <f t="shared" si="9"/>
        <v>320133.66096914432</v>
      </c>
      <c r="K140" s="125">
        <f t="shared" si="9"/>
        <v>344248.8931068572</v>
      </c>
      <c r="M140" s="69">
        <f t="shared" si="8"/>
        <v>6.8523727679282054E-2</v>
      </c>
      <c r="N140" s="69">
        <f t="shared" si="8"/>
        <v>0.10320835352888658</v>
      </c>
      <c r="O140" s="69">
        <f t="shared" si="8"/>
        <v>9.7401027183970923E-2</v>
      </c>
      <c r="P140" s="69">
        <f t="shared" si="8"/>
        <v>9.2550342204797076E-2</v>
      </c>
      <c r="Q140" s="69">
        <f t="shared" si="8"/>
        <v>8.3115792927040744E-2</v>
      </c>
      <c r="R140" s="69">
        <f t="shared" si="8"/>
        <v>7.8385840797889461E-2</v>
      </c>
      <c r="S140" s="69">
        <f t="shared" si="8"/>
        <v>7.5328636372409497E-2</v>
      </c>
      <c r="T140" s="69"/>
      <c r="U140" s="69"/>
    </row>
    <row r="141" spans="2:21" ht="15.75">
      <c r="B141" s="125"/>
      <c r="C141" s="125"/>
      <c r="D141" s="116">
        <f t="shared" ref="D141:K141" si="10">D140/C140-1</f>
        <v>3.2242390300053714E-2</v>
      </c>
      <c r="E141" s="116">
        <f t="shared" si="10"/>
        <v>6.8523727679282054E-2</v>
      </c>
      <c r="F141" s="116">
        <f t="shared" si="10"/>
        <v>0.10320835352888658</v>
      </c>
      <c r="G141" s="116">
        <f t="shared" si="10"/>
        <v>9.7401027183970923E-2</v>
      </c>
      <c r="H141" s="116">
        <f t="shared" si="10"/>
        <v>9.2550342204797076E-2</v>
      </c>
      <c r="I141" s="116">
        <f t="shared" si="10"/>
        <v>8.3115792927040744E-2</v>
      </c>
      <c r="J141" s="116">
        <f t="shared" si="10"/>
        <v>7.8385840797889461E-2</v>
      </c>
      <c r="K141" s="116">
        <f t="shared" si="10"/>
        <v>7.5328636372409497E-2</v>
      </c>
      <c r="M141" s="69"/>
      <c r="N141" s="69"/>
      <c r="O141" s="69"/>
      <c r="P141" s="69"/>
      <c r="Q141" s="69"/>
      <c r="R141" s="69"/>
      <c r="S141" s="69"/>
      <c r="T141" s="69"/>
      <c r="U141" s="69"/>
    </row>
    <row r="142" spans="2:21" ht="15.75">
      <c r="B142" s="125"/>
      <c r="C142" s="125"/>
      <c r="D142" s="116"/>
      <c r="E142" s="116"/>
      <c r="F142" s="116"/>
      <c r="G142" s="116"/>
      <c r="H142" s="116"/>
      <c r="I142" s="116"/>
      <c r="J142" s="116"/>
      <c r="K142" s="116"/>
      <c r="M142" s="69"/>
      <c r="N142" s="69"/>
      <c r="O142" s="69"/>
      <c r="P142" s="69"/>
      <c r="Q142" s="69"/>
      <c r="R142" s="69"/>
      <c r="S142" s="69"/>
      <c r="T142" s="69"/>
      <c r="U142" s="69"/>
    </row>
    <row r="143" spans="2:21" ht="15.75">
      <c r="B143" s="125" t="str">
        <f>B136</f>
        <v>Telcel</v>
      </c>
      <c r="C143" s="69">
        <f t="shared" ref="C143:K143" si="11">C136/C$140</f>
        <v>0.64977624225328268</v>
      </c>
      <c r="D143" s="69">
        <f t="shared" si="11"/>
        <v>0.67847372460105693</v>
      </c>
      <c r="E143" s="69">
        <f t="shared" si="11"/>
        <v>0.68510402655602587</v>
      </c>
      <c r="F143" s="69">
        <f t="shared" si="11"/>
        <v>0.69814716716028113</v>
      </c>
      <c r="G143" s="69">
        <f t="shared" si="11"/>
        <v>0.69918975112208803</v>
      </c>
      <c r="H143" s="69">
        <f t="shared" si="11"/>
        <v>0.694106373676035</v>
      </c>
      <c r="I143" s="69">
        <f t="shared" si="11"/>
        <v>0.68344773635475131</v>
      </c>
      <c r="J143" s="69">
        <f t="shared" si="11"/>
        <v>0.67256381709239288</v>
      </c>
      <c r="K143" s="69">
        <f t="shared" si="11"/>
        <v>0.66074958609342982</v>
      </c>
      <c r="M143" s="69"/>
      <c r="N143" s="69"/>
      <c r="O143" s="69"/>
      <c r="P143" s="69"/>
      <c r="Q143" s="69"/>
      <c r="R143" s="69"/>
      <c r="S143" s="69"/>
      <c r="T143" s="69"/>
      <c r="U143" s="69"/>
    </row>
    <row r="144" spans="2:21" ht="15.75">
      <c r="B144" s="125" t="str">
        <f>B137</f>
        <v>TEF</v>
      </c>
      <c r="C144" s="69">
        <f t="shared" ref="C144:K144" si="12">C137/C$140</f>
        <v>0.14735808292417932</v>
      </c>
      <c r="D144" s="69">
        <f t="shared" si="12"/>
        <v>0.12367040405621013</v>
      </c>
      <c r="E144" s="69">
        <f t="shared" si="12"/>
        <v>0.11408221182620534</v>
      </c>
      <c r="F144" s="69">
        <f t="shared" si="12"/>
        <v>0.10836112274988831</v>
      </c>
      <c r="G144" s="69">
        <f t="shared" si="12"/>
        <v>0.11355492484105426</v>
      </c>
      <c r="H144" s="69">
        <f t="shared" si="12"/>
        <v>0.11952599209632923</v>
      </c>
      <c r="I144" s="69">
        <f t="shared" si="12"/>
        <v>0.12690692150219404</v>
      </c>
      <c r="J144" s="69">
        <f t="shared" si="12"/>
        <v>0.13533464016881105</v>
      </c>
      <c r="K144" s="69">
        <f t="shared" si="12"/>
        <v>0.14473234593580842</v>
      </c>
      <c r="M144" s="69"/>
      <c r="N144" s="69"/>
      <c r="O144" s="69"/>
      <c r="P144" s="69"/>
      <c r="Q144" s="69"/>
      <c r="R144" s="69"/>
      <c r="S144" s="69"/>
      <c r="T144" s="69"/>
      <c r="U144" s="69"/>
    </row>
    <row r="145" spans="2:21" ht="15.75">
      <c r="B145" s="125" t="str">
        <f>B138</f>
        <v>Iusacell</v>
      </c>
      <c r="C145" s="69">
        <f t="shared" ref="C145:K145" si="13">C138/C$140</f>
        <v>6.6858895207724936E-2</v>
      </c>
      <c r="D145" s="69">
        <f t="shared" si="13"/>
        <v>5.8942252729815077E-2</v>
      </c>
      <c r="E145" s="69">
        <f t="shared" si="13"/>
        <v>7.1301843212581553E-2</v>
      </c>
      <c r="F145" s="69">
        <f t="shared" si="13"/>
        <v>7.2811590154809869E-2</v>
      </c>
      <c r="G145" s="69">
        <f t="shared" si="13"/>
        <v>6.801809685863057E-2</v>
      </c>
      <c r="H145" s="69">
        <f t="shared" si="13"/>
        <v>6.6026864260765428E-2</v>
      </c>
      <c r="I145" s="69">
        <f t="shared" si="13"/>
        <v>6.9916358051975144E-2</v>
      </c>
      <c r="J145" s="69">
        <f t="shared" si="13"/>
        <v>7.5846453028313998E-2</v>
      </c>
      <c r="K145" s="69">
        <f t="shared" si="13"/>
        <v>8.2334213920829014E-2</v>
      </c>
      <c r="M145" s="69"/>
      <c r="N145" s="69"/>
      <c r="O145" s="69"/>
      <c r="P145" s="69"/>
      <c r="Q145" s="69"/>
      <c r="R145" s="69"/>
      <c r="S145" s="69"/>
      <c r="T145" s="69"/>
      <c r="U145" s="69"/>
    </row>
    <row r="146" spans="2:21" ht="15.75">
      <c r="B146" s="125" t="str">
        <f>B139</f>
        <v>Nextel</v>
      </c>
      <c r="C146" s="69">
        <f t="shared" ref="C146:K146" si="14">C139/C$140</f>
        <v>0.13600677961481317</v>
      </c>
      <c r="D146" s="69">
        <f t="shared" si="14"/>
        <v>0.13891361861291787</v>
      </c>
      <c r="E146" s="69">
        <f t="shared" si="14"/>
        <v>0.12951191840518719</v>
      </c>
      <c r="F146" s="69">
        <f t="shared" si="14"/>
        <v>0.12068011993502056</v>
      </c>
      <c r="G146" s="69">
        <f t="shared" si="14"/>
        <v>0.11923722717822723</v>
      </c>
      <c r="H146" s="69">
        <f t="shared" si="14"/>
        <v>0.12034076996687033</v>
      </c>
      <c r="I146" s="69">
        <f t="shared" si="14"/>
        <v>0.11972898409107956</v>
      </c>
      <c r="J146" s="69">
        <f t="shared" si="14"/>
        <v>0.11625508971048208</v>
      </c>
      <c r="K146" s="69">
        <f t="shared" si="14"/>
        <v>0.11218385404993286</v>
      </c>
      <c r="M146" s="69"/>
      <c r="N146" s="69"/>
      <c r="O146" s="69"/>
      <c r="P146" s="69"/>
      <c r="Q146" s="69"/>
      <c r="R146" s="69"/>
      <c r="S146" s="69"/>
      <c r="T146" s="69"/>
      <c r="U146" s="69"/>
    </row>
    <row r="147" spans="2:21" ht="15.75">
      <c r="B147" s="125"/>
      <c r="C147" s="69"/>
      <c r="D147" s="69"/>
      <c r="E147" s="69"/>
      <c r="F147" s="69"/>
      <c r="G147" s="69"/>
      <c r="H147" s="69"/>
      <c r="I147" s="69"/>
      <c r="J147" s="69"/>
      <c r="K147" s="69"/>
    </row>
    <row r="148" spans="2:21" ht="15.75">
      <c r="B148" s="125" t="s">
        <v>35</v>
      </c>
      <c r="C148" s="125"/>
      <c r="D148" s="125"/>
      <c r="E148" s="125"/>
      <c r="F148" s="125"/>
      <c r="G148" s="125"/>
      <c r="H148" s="125"/>
      <c r="I148" s="125"/>
      <c r="J148" s="125"/>
      <c r="K148" s="125"/>
    </row>
    <row r="149" spans="2:21" ht="15.75">
      <c r="B149" s="125" t="str">
        <f>B136</f>
        <v>Telcel</v>
      </c>
      <c r="C149" s="125">
        <v>8179</v>
      </c>
      <c r="D149" s="125">
        <v>8487</v>
      </c>
      <c r="E149" s="125">
        <v>13579.2</v>
      </c>
      <c r="F149" s="125">
        <v>15208.704000000002</v>
      </c>
      <c r="G149" s="125">
        <v>16729.574400000001</v>
      </c>
      <c r="H149" s="125">
        <v>18402.531840000003</v>
      </c>
      <c r="I149" s="125">
        <v>20242.785024000004</v>
      </c>
      <c r="J149" s="125">
        <v>22267.063526400005</v>
      </c>
      <c r="K149" s="125">
        <v>24493.769879040006</v>
      </c>
    </row>
    <row r="150" spans="2:21" ht="15.75">
      <c r="B150" s="125" t="str">
        <f>B137</f>
        <v>TEF</v>
      </c>
      <c r="C150" s="125">
        <f>26449.2-1200*16.7</f>
        <v>6409.2000000000007</v>
      </c>
      <c r="D150" s="125">
        <v>8143.5899999999992</v>
      </c>
      <c r="E150" s="125">
        <v>6874.7139360352094</v>
      </c>
      <c r="F150" s="125">
        <v>5818.5354328989606</v>
      </c>
      <c r="G150" s="125">
        <v>5159.7710124543828</v>
      </c>
      <c r="H150" s="125">
        <v>5362.693343076432</v>
      </c>
      <c r="I150" s="125">
        <v>5945.9177854424543</v>
      </c>
      <c r="J150" s="125">
        <v>6593.4038290372819</v>
      </c>
      <c r="K150" s="125">
        <v>7312.3241710976372</v>
      </c>
    </row>
    <row r="151" spans="2:21" ht="15.75">
      <c r="B151" s="125" t="str">
        <f>B138</f>
        <v>Iusacell</v>
      </c>
      <c r="C151" s="125"/>
      <c r="D151" s="125">
        <f>Iusacell!Q75</f>
        <v>5143.6686959999997</v>
      </c>
      <c r="E151" s="125">
        <f>Iusacell!R75</f>
        <v>7574.988690000001</v>
      </c>
      <c r="F151" s="125">
        <f>Iusacell!S75</f>
        <v>3283.9993100000002</v>
      </c>
      <c r="G151" s="125">
        <f>Iusacell!T75</f>
        <v>2559.5083679936456</v>
      </c>
      <c r="H151" s="125">
        <f>Iusacell!U75</f>
        <v>3619.3696792264209</v>
      </c>
      <c r="I151" s="125">
        <f>Iusacell!V75</f>
        <v>4566.2390398361267</v>
      </c>
      <c r="J151" s="125">
        <f>Iusacell!W75</f>
        <v>5341.820589485249</v>
      </c>
      <c r="K151" s="125">
        <f>Iusacell!X75</f>
        <v>5952.1270214844017</v>
      </c>
    </row>
    <row r="152" spans="2:21" ht="15.75">
      <c r="B152" s="154" t="str">
        <f>B139</f>
        <v>Nextel</v>
      </c>
      <c r="C152" s="154">
        <v>1624.1877472668634</v>
      </c>
      <c r="D152" s="154">
        <v>4818.0119999999997</v>
      </c>
      <c r="E152" s="154">
        <v>6986.1173999999992</v>
      </c>
      <c r="F152" s="154">
        <v>6287.5056599999998</v>
      </c>
      <c r="G152" s="154">
        <v>5030.0045280000004</v>
      </c>
      <c r="H152" s="154">
        <v>5030.0045280000004</v>
      </c>
      <c r="I152" s="154">
        <v>5030.0045280000004</v>
      </c>
      <c r="J152" s="154">
        <v>5030.0045280000004</v>
      </c>
      <c r="K152" s="154">
        <v>5030.0045280000004</v>
      </c>
    </row>
    <row r="153" spans="2:21" ht="15.75">
      <c r="B153" s="125" t="s">
        <v>470</v>
      </c>
      <c r="C153" s="125">
        <f t="shared" ref="C153:K153" si="15">SUM(C149:C152)</f>
        <v>16212.387747266865</v>
      </c>
      <c r="D153" s="125">
        <f t="shared" si="15"/>
        <v>26592.270696</v>
      </c>
      <c r="E153" s="125">
        <f t="shared" si="15"/>
        <v>35015.020026035214</v>
      </c>
      <c r="F153" s="125">
        <f t="shared" si="15"/>
        <v>30598.744402898959</v>
      </c>
      <c r="G153" s="125">
        <f t="shared" si="15"/>
        <v>29478.858308448034</v>
      </c>
      <c r="H153" s="125">
        <f t="shared" si="15"/>
        <v>32414.599390302858</v>
      </c>
      <c r="I153" s="125">
        <f t="shared" si="15"/>
        <v>35784.946377278589</v>
      </c>
      <c r="J153" s="125">
        <f t="shared" si="15"/>
        <v>39232.292472922534</v>
      </c>
      <c r="K153" s="125">
        <f t="shared" si="15"/>
        <v>42788.225599622041</v>
      </c>
    </row>
    <row r="154" spans="2:21" ht="15.75">
      <c r="B154" s="125"/>
      <c r="C154" s="125"/>
      <c r="D154" s="125"/>
      <c r="E154" s="125"/>
      <c r="F154" s="125"/>
      <c r="G154" s="125"/>
      <c r="H154" s="125"/>
      <c r="I154" s="125"/>
      <c r="J154" s="125"/>
      <c r="K154" s="125"/>
    </row>
    <row r="155" spans="2:21" ht="15.75">
      <c r="B155" s="125" t="s">
        <v>1143</v>
      </c>
      <c r="C155" s="125"/>
      <c r="D155" s="125"/>
      <c r="E155" s="125"/>
      <c r="F155" s="125"/>
      <c r="G155" s="125"/>
      <c r="H155" s="125"/>
      <c r="I155" s="125"/>
      <c r="J155" s="125"/>
      <c r="K155" s="125"/>
    </row>
    <row r="156" spans="2:21" ht="15.75">
      <c r="B156" s="125" t="str">
        <f>B149</f>
        <v>Telcel</v>
      </c>
      <c r="C156" s="69"/>
      <c r="D156" s="69">
        <f t="shared" ref="D156:K159" si="16">D149/D136</f>
        <v>6.4504115586024494E-2</v>
      </c>
      <c r="E156" s="69">
        <f t="shared" si="16"/>
        <v>9.565325436383032E-2</v>
      </c>
      <c r="F156" s="69">
        <f t="shared" si="16"/>
        <v>9.5294924708726081E-2</v>
      </c>
      <c r="G156" s="69">
        <f t="shared" si="16"/>
        <v>9.5378177695763358E-2</v>
      </c>
      <c r="H156" s="69">
        <f t="shared" si="16"/>
        <v>9.6731800074939228E-2</v>
      </c>
      <c r="I156" s="69">
        <f t="shared" si="16"/>
        <v>9.9771795839934757E-2</v>
      </c>
      <c r="J156" s="69">
        <f t="shared" si="16"/>
        <v>0.10341846984638008</v>
      </c>
      <c r="K156" s="69">
        <f t="shared" si="16"/>
        <v>0.10768276066385303</v>
      </c>
    </row>
    <row r="157" spans="2:21" ht="15.75">
      <c r="B157" s="125" t="str">
        <f>B150</f>
        <v>TEF</v>
      </c>
      <c r="C157" s="69"/>
      <c r="D157" s="69">
        <f t="shared" si="16"/>
        <v>0.33955988421692562</v>
      </c>
      <c r="E157" s="69">
        <f t="shared" si="16"/>
        <v>0.29081632653061223</v>
      </c>
      <c r="F157" s="69">
        <f t="shared" si="16"/>
        <v>0.23489010989010986</v>
      </c>
      <c r="G157" s="69">
        <f t="shared" si="16"/>
        <v>0.18112718421867482</v>
      </c>
      <c r="H157" s="69">
        <f t="shared" si="16"/>
        <v>0.16369609910394697</v>
      </c>
      <c r="I157" s="69">
        <f t="shared" si="16"/>
        <v>0.1578252284166986</v>
      </c>
      <c r="J157" s="69">
        <f t="shared" si="16"/>
        <v>0.15218412873466633</v>
      </c>
      <c r="K157" s="69">
        <f t="shared" si="16"/>
        <v>0.14676323711692493</v>
      </c>
    </row>
    <row r="158" spans="2:21" ht="15.75">
      <c r="B158" s="125" t="str">
        <f>B151</f>
        <v>Iusacell</v>
      </c>
      <c r="C158" s="69"/>
      <c r="D158" s="69">
        <f t="shared" si="16"/>
        <v>0.45</v>
      </c>
      <c r="E158" s="69">
        <f t="shared" si="16"/>
        <v>0.51270000000000004</v>
      </c>
      <c r="F158" s="69">
        <f t="shared" si="16"/>
        <v>0.1973</v>
      </c>
      <c r="G158" s="69">
        <f t="shared" si="16"/>
        <v>0.15</v>
      </c>
      <c r="H158" s="69">
        <f t="shared" si="16"/>
        <v>0.2</v>
      </c>
      <c r="I158" s="69">
        <f t="shared" si="16"/>
        <v>0.22</v>
      </c>
      <c r="J158" s="69">
        <f t="shared" si="16"/>
        <v>0.22000000000000003</v>
      </c>
      <c r="K158" s="69">
        <f t="shared" si="16"/>
        <v>0.21</v>
      </c>
    </row>
    <row r="159" spans="2:21" ht="15.75">
      <c r="B159" s="125" t="str">
        <f>B152</f>
        <v>Nextel</v>
      </c>
      <c r="C159" s="69"/>
      <c r="D159" s="69">
        <f t="shared" si="16"/>
        <v>0.17885015008081273</v>
      </c>
      <c r="E159" s="69">
        <f t="shared" si="16"/>
        <v>0.26032041545786722</v>
      </c>
      <c r="F159" s="69">
        <f t="shared" si="16"/>
        <v>0.22791200398175673</v>
      </c>
      <c r="G159" s="69">
        <f t="shared" si="16"/>
        <v>0.16815728602205871</v>
      </c>
      <c r="H159" s="69">
        <f t="shared" si="16"/>
        <v>0.15250121868194949</v>
      </c>
      <c r="I159" s="69">
        <f t="shared" si="16"/>
        <v>0.14151807560725607</v>
      </c>
      <c r="J159" s="69">
        <f t="shared" si="16"/>
        <v>0.13515280364462254</v>
      </c>
      <c r="K159" s="69">
        <f t="shared" si="16"/>
        <v>0.13024632178905546</v>
      </c>
    </row>
    <row r="160" spans="2:21" ht="15.75">
      <c r="B160" s="66"/>
      <c r="C160" s="66"/>
      <c r="D160" s="66"/>
      <c r="E160" s="66"/>
      <c r="F160" s="66"/>
      <c r="G160" s="66"/>
      <c r="H160" s="66"/>
      <c r="I160" s="66"/>
      <c r="J160" s="66"/>
      <c r="K160" s="66"/>
    </row>
    <row r="161" spans="2:20" ht="15.75">
      <c r="B161" s="67" t="s">
        <v>582</v>
      </c>
      <c r="C161" s="67">
        <v>2010</v>
      </c>
      <c r="D161" s="67">
        <f>Iusacell!Q2</f>
        <v>2011</v>
      </c>
      <c r="E161" s="67">
        <f>Iusacell!R2</f>
        <v>2012</v>
      </c>
      <c r="F161" s="67">
        <f>Iusacell!S2</f>
        <v>2013</v>
      </c>
      <c r="G161" s="67">
        <f>Iusacell!T2</f>
        <v>2014</v>
      </c>
      <c r="H161" s="67">
        <f>Iusacell!U2</f>
        <v>2015</v>
      </c>
      <c r="I161" s="67">
        <f>Iusacell!V2</f>
        <v>2016</v>
      </c>
      <c r="J161" s="67">
        <f>Iusacell!W2</f>
        <v>2017</v>
      </c>
      <c r="K161" s="67">
        <f>Iusacell!X2</f>
        <v>2018</v>
      </c>
    </row>
    <row r="162" spans="2:20" ht="15.75">
      <c r="B162" s="66" t="s">
        <v>1144</v>
      </c>
      <c r="D162" s="69">
        <f t="shared" ref="D162:K162" si="17">D145</f>
        <v>5.8942252729815077E-2</v>
      </c>
      <c r="E162" s="69">
        <f t="shared" si="17"/>
        <v>7.1301843212581553E-2</v>
      </c>
      <c r="F162" s="69">
        <f t="shared" si="17"/>
        <v>7.2811590154809869E-2</v>
      </c>
      <c r="G162" s="69">
        <f t="shared" si="17"/>
        <v>6.801809685863057E-2</v>
      </c>
      <c r="H162" s="69">
        <f t="shared" si="17"/>
        <v>6.6026864260765428E-2</v>
      </c>
      <c r="I162" s="69">
        <f t="shared" si="17"/>
        <v>6.9916358051975144E-2</v>
      </c>
      <c r="J162" s="69">
        <f t="shared" si="17"/>
        <v>7.5846453028313998E-2</v>
      </c>
      <c r="K162" s="69">
        <f t="shared" si="17"/>
        <v>8.2334213920829014E-2</v>
      </c>
    </row>
    <row r="163" spans="2:20" ht="15.75">
      <c r="B163" s="66" t="s">
        <v>33</v>
      </c>
      <c r="D163" s="125">
        <f>Iusacell!Q37</f>
        <v>11430.374879999999</v>
      </c>
      <c r="E163" s="125">
        <f>Iusacell!R37</f>
        <v>14774.7</v>
      </c>
      <c r="F163" s="125">
        <f>Iusacell!S37</f>
        <v>16644.7</v>
      </c>
      <c r="G163" s="125">
        <f>Iusacell!T37</f>
        <v>17063.389119957639</v>
      </c>
      <c r="H163" s="125">
        <f>Iusacell!U37</f>
        <v>18096.848396132104</v>
      </c>
      <c r="I163" s="125">
        <f>Iusacell!V37</f>
        <v>20755.631999255122</v>
      </c>
      <c r="J163" s="125">
        <f>Iusacell!W37</f>
        <v>24281.002679478403</v>
      </c>
      <c r="K163" s="125">
        <f>Iusacell!X37</f>
        <v>28343.462007068581</v>
      </c>
      <c r="N163">
        <v>15071.183562211998</v>
      </c>
      <c r="O163">
        <v>18627.243048441906</v>
      </c>
      <c r="P163">
        <v>22460.153051687717</v>
      </c>
      <c r="Q163">
        <v>27680.535828188935</v>
      </c>
      <c r="R163">
        <v>33013.900097047474</v>
      </c>
      <c r="S163">
        <v>38303.57271808212</v>
      </c>
      <c r="T163">
        <v>43898.058295680159</v>
      </c>
    </row>
    <row r="164" spans="2:20" ht="15.75">
      <c r="B164" s="66" t="s">
        <v>1145</v>
      </c>
      <c r="D164" s="125"/>
      <c r="E164" s="69">
        <f t="shared" ref="E164:K164" si="18">E163/N163-1</f>
        <v>-1.9672214925135045E-2</v>
      </c>
      <c r="F164" s="69">
        <f t="shared" si="18"/>
        <v>-0.10643244645952776</v>
      </c>
      <c r="G164" s="69">
        <f t="shared" si="18"/>
        <v>-0.24028170775641933</v>
      </c>
      <c r="H164" s="69">
        <f t="shared" si="18"/>
        <v>-0.34622478016834934</v>
      </c>
      <c r="I164" s="69">
        <f t="shared" si="18"/>
        <v>-0.37130626983658443</v>
      </c>
      <c r="J164" s="69">
        <f t="shared" si="18"/>
        <v>-0.36609039427760814</v>
      </c>
      <c r="K164" s="69">
        <f t="shared" si="18"/>
        <v>-0.35433449433781095</v>
      </c>
    </row>
    <row r="165" spans="2:20" ht="15.75">
      <c r="B165" s="66" t="s">
        <v>34</v>
      </c>
      <c r="D165" s="125">
        <f>Iusacell!Q55</f>
        <v>457.21499519999998</v>
      </c>
      <c r="E165" s="125">
        <f>Iusacell!R55</f>
        <v>230</v>
      </c>
      <c r="F165" s="125">
        <f>Iusacell!S55</f>
        <v>1285</v>
      </c>
      <c r="G165" s="125">
        <f>Iusacell!T55</f>
        <v>1809.3145157961874</v>
      </c>
      <c r="H165" s="125">
        <f>Iusacell!U55</f>
        <v>1072.0482223066053</v>
      </c>
      <c r="I165" s="125">
        <f>Iusacell!V55</f>
        <v>733.02478962765372</v>
      </c>
      <c r="J165" s="125">
        <f>Iusacell!W55</f>
        <v>2549.4644789980562</v>
      </c>
      <c r="K165" s="125">
        <f>Iusacell!X55</f>
        <v>4919.1720704427871</v>
      </c>
      <c r="N165">
        <v>753.55917811059999</v>
      </c>
      <c r="O165">
        <v>2235.2691658130284</v>
      </c>
      <c r="P165">
        <v>3818.2260187869124</v>
      </c>
      <c r="Q165">
        <v>5536.1071656377871</v>
      </c>
      <c r="R165">
        <v>8253.4750242618684</v>
      </c>
      <c r="S165">
        <v>10725.000361062994</v>
      </c>
      <c r="T165">
        <v>12291.456322790445</v>
      </c>
    </row>
    <row r="166" spans="2:20" ht="15.75">
      <c r="B166" s="66" t="s">
        <v>1145</v>
      </c>
      <c r="D166" s="125"/>
      <c r="E166" s="69">
        <f t="shared" ref="E166:K166" si="19">E165/N165-1</f>
        <v>-0.69478176806673719</v>
      </c>
      <c r="F166" s="69">
        <f t="shared" si="19"/>
        <v>-0.42512516181351678</v>
      </c>
      <c r="G166" s="69">
        <f t="shared" si="19"/>
        <v>-0.52613739812840521</v>
      </c>
      <c r="H166" s="69">
        <f t="shared" si="19"/>
        <v>-0.80635341942787342</v>
      </c>
      <c r="I166" s="69">
        <f t="shared" si="19"/>
        <v>-0.91118592017630662</v>
      </c>
      <c r="J166" s="69">
        <f t="shared" si="19"/>
        <v>-0.76228770226863007</v>
      </c>
      <c r="K166" s="69">
        <f t="shared" si="19"/>
        <v>-0.59978932184611788</v>
      </c>
    </row>
    <row r="167" spans="2:20" ht="15.75">
      <c r="B167" s="66" t="s">
        <v>548</v>
      </c>
      <c r="D167" s="69">
        <f t="shared" ref="D167:K167" si="20">D165/D163</f>
        <v>0.04</v>
      </c>
      <c r="E167" s="69">
        <f t="shared" si="20"/>
        <v>1.5567151955708068E-2</v>
      </c>
      <c r="F167" s="69">
        <f t="shared" si="20"/>
        <v>7.7201751909016084E-2</v>
      </c>
      <c r="G167" s="69">
        <f t="shared" si="20"/>
        <v>0.10603488574728577</v>
      </c>
      <c r="H167" s="69">
        <f t="shared" si="20"/>
        <v>5.9239498438619712E-2</v>
      </c>
      <c r="I167" s="69">
        <f t="shared" si="20"/>
        <v>3.5316910111624668E-2</v>
      </c>
      <c r="J167" s="69">
        <f t="shared" si="20"/>
        <v>0.10499831957733728</v>
      </c>
      <c r="K167" s="69">
        <f t="shared" si="20"/>
        <v>0.17355579460321374</v>
      </c>
    </row>
    <row r="168" spans="2:20" ht="15.75">
      <c r="B168" s="66"/>
      <c r="D168" s="69"/>
      <c r="E168" s="69"/>
      <c r="F168" s="69"/>
      <c r="G168" s="69"/>
      <c r="H168" s="69"/>
      <c r="I168" s="69"/>
      <c r="J168" s="69"/>
      <c r="K168" s="69"/>
    </row>
    <row r="169" spans="2:20" ht="15.75">
      <c r="B169" s="66" t="s">
        <v>35</v>
      </c>
      <c r="D169" s="125">
        <f>Iusacell!Q75</f>
        <v>5143.6686959999997</v>
      </c>
      <c r="E169" s="125">
        <f>Iusacell!R75</f>
        <v>7574.988690000001</v>
      </c>
      <c r="F169" s="125">
        <f>Iusacell!S75</f>
        <v>3283.9993100000002</v>
      </c>
      <c r="G169" s="125">
        <f>Iusacell!T75</f>
        <v>2559.5083679936456</v>
      </c>
      <c r="H169" s="125">
        <f>Iusacell!U75</f>
        <v>3619.3696792264209</v>
      </c>
      <c r="I169" s="125">
        <f>Iusacell!V75</f>
        <v>4566.2390398361267</v>
      </c>
      <c r="J169" s="125">
        <f>Iusacell!W75</f>
        <v>5341.820589485249</v>
      </c>
      <c r="K169" s="125">
        <f>Iusacell!X75</f>
        <v>5952.1270214844017</v>
      </c>
      <c r="N169">
        <v>6480.6089317511587</v>
      </c>
      <c r="O169">
        <v>5588.1729145325717</v>
      </c>
      <c r="P169">
        <v>5615.0382629219293</v>
      </c>
      <c r="Q169">
        <v>5812.9125239196765</v>
      </c>
      <c r="R169">
        <v>5942.5020174685451</v>
      </c>
      <c r="S169">
        <v>5745.5359077123176</v>
      </c>
      <c r="T169">
        <v>6145.7281613952227</v>
      </c>
    </row>
    <row r="170" spans="2:20" ht="15.75">
      <c r="B170" s="66" t="s">
        <v>1145</v>
      </c>
      <c r="D170" s="125"/>
      <c r="E170" s="69">
        <f t="shared" ref="E170:K170" si="21">E169/N169-1</f>
        <v>0.16886989629740312</v>
      </c>
      <c r="F170" s="69">
        <f t="shared" si="21"/>
        <v>-0.41233040562154943</v>
      </c>
      <c r="G170" s="69">
        <f t="shared" si="21"/>
        <v>-0.54416902465385164</v>
      </c>
      <c r="H170" s="69">
        <f t="shared" si="21"/>
        <v>-0.37735693349366606</v>
      </c>
      <c r="I170" s="69">
        <f t="shared" si="21"/>
        <v>-0.23159655202249219</v>
      </c>
      <c r="J170" s="69">
        <f t="shared" si="21"/>
        <v>-7.0265911607158449E-2</v>
      </c>
      <c r="K170" s="69">
        <f t="shared" si="21"/>
        <v>-3.1501741506716585E-2</v>
      </c>
    </row>
    <row r="171" spans="2:20" ht="15.75">
      <c r="B171" s="66" t="s">
        <v>1146</v>
      </c>
      <c r="D171" s="71">
        <f>Iusacell!Q77</f>
        <v>413.47819099678458</v>
      </c>
      <c r="E171" s="71">
        <f>Iusacell!R77</f>
        <v>575.60704331306999</v>
      </c>
      <c r="F171" s="71">
        <f>Iusacell!S77</f>
        <v>257.3667170846395</v>
      </c>
      <c r="G171" s="71">
        <f>Iusacell!T77</f>
        <v>192.29965199050679</v>
      </c>
      <c r="H171" s="71">
        <f>Iusacell!U77</f>
        <v>228.06362187942162</v>
      </c>
      <c r="I171" s="71">
        <f>Iusacell!V77</f>
        <v>242.24079786929053</v>
      </c>
      <c r="J171" s="71">
        <f>Iusacell!W77</f>
        <v>282.63601002567458</v>
      </c>
      <c r="K171" s="71">
        <f>Iusacell!X77</f>
        <v>309.20140371347543</v>
      </c>
    </row>
    <row r="172" spans="2:20" ht="15.75">
      <c r="B172" s="66" t="s">
        <v>1147</v>
      </c>
      <c r="D172" s="71"/>
      <c r="E172" s="71"/>
      <c r="F172" s="71"/>
      <c r="G172" s="71">
        <f>SUM(D171:G171)</f>
        <v>1438.7516033850009</v>
      </c>
      <c r="H172" s="71"/>
      <c r="I172" s="71"/>
      <c r="J172" s="71"/>
      <c r="K172" s="71"/>
    </row>
    <row r="173" spans="2:20" ht="15.75">
      <c r="B173" s="66" t="s">
        <v>396</v>
      </c>
      <c r="D173" s="69">
        <f t="shared" ref="D173:K173" si="22">D169/D163</f>
        <v>0.45</v>
      </c>
      <c r="E173" s="69">
        <f t="shared" si="22"/>
        <v>0.51270000000000004</v>
      </c>
      <c r="F173" s="69">
        <f t="shared" si="22"/>
        <v>0.1973</v>
      </c>
      <c r="G173" s="69">
        <f t="shared" si="22"/>
        <v>0.15</v>
      </c>
      <c r="H173" s="69">
        <f t="shared" si="22"/>
        <v>0.2</v>
      </c>
      <c r="I173" s="69">
        <f t="shared" si="22"/>
        <v>0.22</v>
      </c>
      <c r="J173" s="69">
        <f t="shared" si="22"/>
        <v>0.22000000000000003</v>
      </c>
      <c r="K173" s="69">
        <f t="shared" si="22"/>
        <v>0.21</v>
      </c>
    </row>
    <row r="174" spans="2:20" ht="15.75">
      <c r="B174" s="66" t="s">
        <v>36</v>
      </c>
      <c r="D174" s="125">
        <f t="shared" ref="D174:K174" si="23">D165-D169</f>
        <v>-4686.4537007999998</v>
      </c>
      <c r="E174" s="125">
        <f t="shared" si="23"/>
        <v>-7344.988690000001</v>
      </c>
      <c r="F174" s="125">
        <f t="shared" si="23"/>
        <v>-1998.9993100000002</v>
      </c>
      <c r="G174" s="125">
        <f t="shared" si="23"/>
        <v>-750.19385219745823</v>
      </c>
      <c r="H174" s="125">
        <f t="shared" si="23"/>
        <v>-2547.3214569198153</v>
      </c>
      <c r="I174" s="125">
        <f t="shared" si="23"/>
        <v>-3833.214250208473</v>
      </c>
      <c r="J174" s="125">
        <f t="shared" si="23"/>
        <v>-2792.3561104871928</v>
      </c>
      <c r="K174" s="125">
        <f t="shared" si="23"/>
        <v>-1032.9549510416145</v>
      </c>
      <c r="N174">
        <v>-5727.0497536405583</v>
      </c>
      <c r="O174">
        <v>-3352.9037487195433</v>
      </c>
      <c r="P174">
        <v>-1796.812244135017</v>
      </c>
      <c r="Q174">
        <v>-276.80535828188931</v>
      </c>
      <c r="R174">
        <v>2310.9730067933233</v>
      </c>
      <c r="S174">
        <v>4979.4644533506762</v>
      </c>
      <c r="T174">
        <v>6145.7281613952227</v>
      </c>
    </row>
    <row r="175" spans="2:20" ht="15.75">
      <c r="B175" s="66" t="s">
        <v>1145</v>
      </c>
      <c r="D175" s="125"/>
      <c r="E175" s="69">
        <f t="shared" ref="E175:K175" si="24">E174/N174-1</f>
        <v>0.28250827318742155</v>
      </c>
      <c r="F175" s="69">
        <f t="shared" si="24"/>
        <v>-0.4038005681602379</v>
      </c>
      <c r="G175" s="69">
        <f t="shared" si="24"/>
        <v>-0.58248623102042552</v>
      </c>
      <c r="H175" s="69">
        <f t="shared" si="24"/>
        <v>8.2025727851904815</v>
      </c>
      <c r="I175" s="69">
        <f t="shared" si="24"/>
        <v>-2.6587014382861147</v>
      </c>
      <c r="J175" s="69">
        <f t="shared" si="24"/>
        <v>-1.5607743838010972</v>
      </c>
      <c r="K175" s="69">
        <f t="shared" si="24"/>
        <v>-1.1680769021855191</v>
      </c>
    </row>
    <row r="176" spans="2:20" ht="15.75">
      <c r="B176" s="66" t="s">
        <v>114</v>
      </c>
      <c r="D176" s="125">
        <f>Iusacell!Q94</f>
        <v>0</v>
      </c>
      <c r="E176" s="125">
        <f>Iusacell!R94</f>
        <v>-467</v>
      </c>
      <c r="F176" s="125">
        <f>Iusacell!S94</f>
        <v>-342</v>
      </c>
      <c r="G176" s="125">
        <f>Iusacell!T94</f>
        <v>-235.05077318530792</v>
      </c>
      <c r="H176" s="125">
        <f>Iusacell!U94</f>
        <v>-349.56801818467443</v>
      </c>
      <c r="I176" s="125">
        <f>Iusacell!V94</f>
        <v>-453.16882363453414</v>
      </c>
      <c r="J176" s="125">
        <f>Iusacell!W94</f>
        <v>-222.04944643734871</v>
      </c>
      <c r="K176" s="125">
        <f>Iusacell!X94</f>
        <v>76.046394713386206</v>
      </c>
    </row>
    <row r="177" spans="2:17" ht="15.75">
      <c r="B177" s="66" t="s">
        <v>1041</v>
      </c>
      <c r="D177" s="125">
        <f>Iusacell!Q90</f>
        <v>1477.4159692254452</v>
      </c>
      <c r="E177" s="125">
        <f>Iusacell!R90</f>
        <v>1363</v>
      </c>
      <c r="F177" s="125">
        <f>Iusacell!S90</f>
        <v>1149</v>
      </c>
      <c r="G177" s="125">
        <f>Iusacell!T90</f>
        <v>1107.2401356992373</v>
      </c>
      <c r="H177" s="125">
        <f>Iusacell!U90</f>
        <v>1012.0926231726621</v>
      </c>
      <c r="I177" s="125">
        <f>Iusacell!V90</f>
        <v>903.11292415002458</v>
      </c>
      <c r="J177" s="125">
        <f>Iusacell!W90</f>
        <v>727.83586685611226</v>
      </c>
      <c r="K177" s="125">
        <f>Iusacell!X90</f>
        <v>452.33866623059714</v>
      </c>
    </row>
    <row r="178" spans="2:17" ht="15.75">
      <c r="B178" s="66" t="s">
        <v>1148</v>
      </c>
      <c r="D178" s="125">
        <f>Iusacell!Q80</f>
        <v>0</v>
      </c>
      <c r="E178" s="125">
        <f>Iusacell!R80</f>
        <v>0</v>
      </c>
      <c r="F178" s="125">
        <f>Iusacell!S80</f>
        <v>0</v>
      </c>
      <c r="G178" s="125">
        <f>Iusacell!T80</f>
        <v>0</v>
      </c>
      <c r="H178" s="125">
        <f>Iusacell!U80</f>
        <v>0</v>
      </c>
      <c r="I178" s="125">
        <f>Iusacell!V80</f>
        <v>0</v>
      </c>
      <c r="J178" s="125">
        <f>Iusacell!W80</f>
        <v>0</v>
      </c>
      <c r="K178" s="125">
        <f>Iusacell!X80</f>
        <v>0</v>
      </c>
    </row>
    <row r="179" spans="2:17" ht="15.75">
      <c r="B179" s="66" t="s">
        <v>154</v>
      </c>
      <c r="D179" s="125">
        <f t="shared" ref="D179:K179" si="25">D174-D176-D177-D178</f>
        <v>-6163.869670025445</v>
      </c>
      <c r="E179" s="125">
        <f t="shared" si="25"/>
        <v>-8240.988690000002</v>
      </c>
      <c r="F179" s="125">
        <f t="shared" si="25"/>
        <v>-2805.9993100000002</v>
      </c>
      <c r="G179" s="125">
        <f t="shared" si="25"/>
        <v>-1622.3832147113876</v>
      </c>
      <c r="H179" s="125">
        <f t="shared" si="25"/>
        <v>-3209.8460619078028</v>
      </c>
      <c r="I179" s="125">
        <f t="shared" si="25"/>
        <v>-4283.1583507239638</v>
      </c>
      <c r="J179" s="125">
        <f t="shared" si="25"/>
        <v>-3298.1425309059564</v>
      </c>
      <c r="K179" s="125">
        <f t="shared" si="25"/>
        <v>-1561.3400119855978</v>
      </c>
    </row>
    <row r="180" spans="2:17" ht="15.75">
      <c r="B180" s="66" t="s">
        <v>1149</v>
      </c>
      <c r="C180" s="66"/>
      <c r="D180" s="125">
        <f>Iusacell!Q103</f>
        <v>19935.099999999999</v>
      </c>
      <c r="E180" s="125"/>
      <c r="F180" s="125">
        <f>Iusacell!S103</f>
        <v>3175</v>
      </c>
      <c r="G180" s="125">
        <f>Iusacell!T103</f>
        <v>3327.5</v>
      </c>
      <c r="H180" s="125"/>
      <c r="I180" s="125"/>
      <c r="J180" s="125"/>
      <c r="K180" s="125"/>
    </row>
    <row r="181" spans="2:17" ht="15.75">
      <c r="B181" s="66" t="s">
        <v>271</v>
      </c>
      <c r="C181" s="125">
        <f>Iusacell!P106</f>
        <v>11998.5</v>
      </c>
      <c r="D181" s="125">
        <f>Iusacell!Q106</f>
        <v>-1772.7303299745545</v>
      </c>
      <c r="E181" s="125">
        <f>Iusacell!R106</f>
        <v>7762</v>
      </c>
      <c r="F181" s="125">
        <f>Iusacell!S106</f>
        <v>7735</v>
      </c>
      <c r="G181" s="125">
        <f>Iusacell!T106</f>
        <v>0</v>
      </c>
      <c r="H181" s="125">
        <f>Iusacell!U106</f>
        <v>5044.6921118763203</v>
      </c>
      <c r="I181" s="125">
        <f>Iusacell!V106</f>
        <v>3183.5192862348167</v>
      </c>
      <c r="J181" s="125">
        <f>Iusacell!W106</f>
        <v>88.711263578122271</v>
      </c>
      <c r="K181" s="125">
        <f>Iusacell!X106</f>
        <v>-4606.1987244362799</v>
      </c>
    </row>
    <row r="182" spans="2:17" ht="15.75">
      <c r="B182" s="66" t="s">
        <v>41</v>
      </c>
      <c r="C182" s="66"/>
      <c r="D182" s="156">
        <f>Iusacell!Q115</f>
        <v>-3.8772357612617392</v>
      </c>
      <c r="E182" s="156">
        <f>Iusacell!R115</f>
        <v>33.747826086956522</v>
      </c>
      <c r="F182" s="156">
        <f>Iusacell!S115</f>
        <v>6.019455252918287</v>
      </c>
      <c r="G182" s="156">
        <f>Iusacell!T115</f>
        <v>3.4626008541913542</v>
      </c>
      <c r="H182" s="156">
        <f>Iusacell!U115</f>
        <v>4.7056578304119796</v>
      </c>
      <c r="I182" s="156">
        <f>Iusacell!V115</f>
        <v>4.3429899387876265</v>
      </c>
      <c r="J182" s="156">
        <f>Iusacell!W115</f>
        <v>3.4796038269568653E-2</v>
      </c>
      <c r="K182" s="156">
        <f>Iusacell!X115</f>
        <v>-0.93637682489558938</v>
      </c>
    </row>
    <row r="183" spans="2:17" ht="15.75">
      <c r="B183" s="66"/>
      <c r="C183" s="66"/>
      <c r="D183" s="156"/>
      <c r="E183" s="156"/>
      <c r="F183" s="156"/>
      <c r="G183" s="156"/>
      <c r="H183" s="156"/>
      <c r="I183" s="156"/>
      <c r="J183" s="156"/>
      <c r="K183" s="156"/>
    </row>
    <row r="184" spans="2:17" ht="15.75">
      <c r="B184" s="66" t="s">
        <v>1150</v>
      </c>
      <c r="C184" s="125">
        <f>Iusacell!P107</f>
        <v>950</v>
      </c>
      <c r="D184" s="125">
        <f>Iusacell!Q107</f>
        <v>-142.50243810084842</v>
      </c>
      <c r="E184" s="125">
        <f>Iusacell!R107</f>
        <v>589.81762917933133</v>
      </c>
      <c r="F184" s="125">
        <f>Iusacell!S107</f>
        <v>606.19122257053289</v>
      </c>
      <c r="G184" s="125">
        <f>Iusacell!T107</f>
        <v>470.69376317781325</v>
      </c>
      <c r="H184" s="125">
        <f>Iusacell!U107</f>
        <v>317.87599948811095</v>
      </c>
      <c r="I184" s="125">
        <f>Iusacell!V107</f>
        <v>168.88696478699291</v>
      </c>
      <c r="J184" s="125">
        <f>Iusacell!W107</f>
        <v>4.6937176496360991</v>
      </c>
      <c r="K184" s="125">
        <f>Iusacell!X107</f>
        <v>-239.28305062006649</v>
      </c>
    </row>
    <row r="185" spans="2:17" ht="15.75">
      <c r="B185" s="66" t="s">
        <v>1151</v>
      </c>
      <c r="C185" s="125">
        <f>Iusacell!P110</f>
        <v>1000</v>
      </c>
      <c r="D185" s="125">
        <f>Iusacell!Q110</f>
        <v>800</v>
      </c>
      <c r="E185" s="125">
        <f>Iusacell!R110</f>
        <v>646.96048632218844</v>
      </c>
      <c r="F185" s="125">
        <f>Iusacell!S110</f>
        <v>692.55485893416926</v>
      </c>
      <c r="G185" s="125">
        <f>Iusacell!T110</f>
        <v>663.93688955672428</v>
      </c>
      <c r="H185" s="125">
        <f>Iusacell!U110</f>
        <v>556.83679899180845</v>
      </c>
      <c r="I185" s="125">
        <f>Iusacell!V110</f>
        <v>468.80636604774531</v>
      </c>
      <c r="J185" s="125">
        <f>Iusacell!W110</f>
        <v>467.56613756613763</v>
      </c>
      <c r="K185" s="125">
        <f>Iusacell!X110</f>
        <v>459.06493506493507</v>
      </c>
    </row>
    <row r="186" spans="2:17" ht="15.75">
      <c r="B186" s="66" t="s">
        <v>1152</v>
      </c>
      <c r="C186" s="125">
        <f>Iusacell!P113</f>
        <v>50</v>
      </c>
      <c r="D186" s="125">
        <f>Iusacell!Q113</f>
        <v>942.50243810084839</v>
      </c>
      <c r="E186" s="125">
        <f>Iusacell!R113</f>
        <v>57.142857142857139</v>
      </c>
      <c r="F186" s="125">
        <f>Iusacell!S113</f>
        <v>86.36363636363636</v>
      </c>
      <c r="G186" s="125">
        <f>Iusacell!T113</f>
        <v>193.24312637891103</v>
      </c>
      <c r="H186" s="125">
        <f>Iusacell!U113</f>
        <v>238.9607995036975</v>
      </c>
      <c r="I186" s="125">
        <f>Iusacell!V113</f>
        <v>299.91940126075241</v>
      </c>
      <c r="J186" s="125">
        <f>Iusacell!W113</f>
        <v>462.87241991650154</v>
      </c>
      <c r="K186" s="125">
        <f>Iusacell!X113</f>
        <v>698.3479856850015</v>
      </c>
    </row>
    <row r="188" spans="2:17" ht="15.75">
      <c r="B188" s="66"/>
      <c r="C188" s="66">
        <v>2000</v>
      </c>
      <c r="D188" s="66">
        <f t="shared" ref="D188:N188" si="26">C188+1</f>
        <v>2001</v>
      </c>
      <c r="E188" s="66">
        <f t="shared" si="26"/>
        <v>2002</v>
      </c>
      <c r="F188" s="66">
        <f t="shared" si="26"/>
        <v>2003</v>
      </c>
      <c r="G188" s="66">
        <f t="shared" si="26"/>
        <v>2004</v>
      </c>
      <c r="H188" s="66">
        <f t="shared" si="26"/>
        <v>2005</v>
      </c>
      <c r="I188" s="66">
        <f t="shared" si="26"/>
        <v>2006</v>
      </c>
      <c r="J188" s="66">
        <f t="shared" si="26"/>
        <v>2007</v>
      </c>
      <c r="K188" s="66">
        <f t="shared" si="26"/>
        <v>2008</v>
      </c>
      <c r="L188" s="66">
        <f t="shared" si="26"/>
        <v>2009</v>
      </c>
      <c r="M188" s="66">
        <f t="shared" si="26"/>
        <v>2010</v>
      </c>
      <c r="N188" s="66">
        <f t="shared" si="26"/>
        <v>2011</v>
      </c>
      <c r="O188" s="66"/>
      <c r="P188" s="66"/>
      <c r="Q188" s="66"/>
    </row>
    <row r="189" spans="2:17" ht="15.75">
      <c r="B189" s="66" t="s">
        <v>1153</v>
      </c>
      <c r="C189" s="66"/>
      <c r="D189" s="66"/>
      <c r="E189" s="66">
        <v>397050</v>
      </c>
      <c r="F189" s="66">
        <v>458257</v>
      </c>
      <c r="G189" s="66">
        <v>522652</v>
      </c>
      <c r="H189" s="66">
        <v>575843</v>
      </c>
      <c r="I189" s="66">
        <v>642412</v>
      </c>
      <c r="J189" s="66">
        <v>709139</v>
      </c>
      <c r="K189" s="66">
        <v>786417</v>
      </c>
      <c r="L189" s="66">
        <v>876119</v>
      </c>
      <c r="M189" s="66">
        <v>1023981</v>
      </c>
      <c r="N189" s="66">
        <v>1090708</v>
      </c>
    </row>
    <row r="190" spans="2:17" ht="15.75">
      <c r="B190" s="66" t="s">
        <v>192</v>
      </c>
      <c r="C190" s="66"/>
      <c r="D190" s="66"/>
      <c r="E190" s="69"/>
      <c r="F190" s="69">
        <f t="shared" ref="F190:N190" si="27">F189/E189-1</f>
        <v>0.15415438861604325</v>
      </c>
      <c r="G190" s="69">
        <f t="shared" si="27"/>
        <v>0.14052158504943724</v>
      </c>
      <c r="H190" s="69">
        <f t="shared" si="27"/>
        <v>0.10177135072667864</v>
      </c>
      <c r="I190" s="69">
        <f t="shared" si="27"/>
        <v>0.1156026903166314</v>
      </c>
      <c r="J190" s="69">
        <f t="shared" si="27"/>
        <v>0.10386947939951319</v>
      </c>
      <c r="K190" s="69">
        <f t="shared" si="27"/>
        <v>0.10897440417181969</v>
      </c>
      <c r="L190" s="69">
        <f t="shared" si="27"/>
        <v>0.1140641669750273</v>
      </c>
      <c r="M190" s="69">
        <f t="shared" si="27"/>
        <v>0.16876931101825199</v>
      </c>
      <c r="N190" s="69">
        <f t="shared" si="27"/>
        <v>6.5164295040630593E-2</v>
      </c>
    </row>
    <row r="191" spans="2:17" ht="15.75">
      <c r="B191" s="66" t="s">
        <v>1154</v>
      </c>
      <c r="C191" s="66"/>
      <c r="D191" s="66"/>
      <c r="E191" s="66"/>
      <c r="F191" s="66"/>
      <c r="G191" s="66"/>
      <c r="H191" s="125">
        <f>SEGMENTOS!B7</f>
        <v>20049.898998278739</v>
      </c>
      <c r="I191" s="125">
        <f>SEGMENTOS!G7</f>
        <v>21760.433672872699</v>
      </c>
      <c r="J191" s="125">
        <f>SEGMENTOS!L7</f>
        <v>21213.175000399999</v>
      </c>
      <c r="K191" s="125">
        <f>SEGMENTOS!Q7</f>
        <v>21460.608031899999</v>
      </c>
      <c r="L191" s="125">
        <f>SEGMENTOS!V7</f>
        <v>21561.635819899999</v>
      </c>
      <c r="M191" s="125">
        <f>SEGMENTOS!AA7</f>
        <v>22750.1</v>
      </c>
      <c r="N191" s="125">
        <f>SEGMENTOS!AF7</f>
        <v>22829.200000000001</v>
      </c>
    </row>
    <row r="192" spans="2:17" ht="15.75">
      <c r="B192" s="66" t="s">
        <v>192</v>
      </c>
      <c r="C192" s="69">
        <v>0.1</v>
      </c>
      <c r="D192" s="69">
        <v>-0.04</v>
      </c>
      <c r="E192" s="69">
        <v>4.3999999999999997E-2</v>
      </c>
      <c r="F192" s="69">
        <v>0.05</v>
      </c>
      <c r="G192" s="69">
        <v>0.05</v>
      </c>
      <c r="H192" s="69">
        <v>0.05</v>
      </c>
      <c r="I192" s="69">
        <f t="shared" ref="I192:N192" si="28">I191/H191-1</f>
        <v>8.5313879872452647E-2</v>
      </c>
      <c r="J192" s="69">
        <f t="shared" si="28"/>
        <v>-2.5149253948690053E-2</v>
      </c>
      <c r="K192" s="69">
        <f t="shared" si="28"/>
        <v>1.1664120599360395E-2</v>
      </c>
      <c r="L192" s="69">
        <f t="shared" si="28"/>
        <v>4.7075920612233979E-3</v>
      </c>
      <c r="M192" s="69">
        <f t="shared" si="28"/>
        <v>5.5119388437268935E-2</v>
      </c>
      <c r="N192" s="69">
        <f t="shared" si="28"/>
        <v>3.4769077938119342E-3</v>
      </c>
    </row>
    <row r="193" spans="2:14" ht="15.75">
      <c r="B193" s="66"/>
      <c r="C193" s="66"/>
      <c r="D193" s="66"/>
      <c r="E193" s="66"/>
      <c r="F193" s="66"/>
      <c r="G193" s="66"/>
      <c r="H193" s="66"/>
      <c r="I193" s="66"/>
      <c r="J193" s="66"/>
      <c r="K193" s="66"/>
    </row>
    <row r="194" spans="2:14" ht="15.75">
      <c r="B194" s="66"/>
      <c r="C194" s="66"/>
      <c r="D194" s="66"/>
      <c r="E194" s="66"/>
      <c r="F194" s="66"/>
      <c r="G194" s="66"/>
      <c r="H194" s="66"/>
      <c r="I194" s="66"/>
      <c r="J194" s="66"/>
      <c r="K194" s="66"/>
    </row>
    <row r="195" spans="2:14" ht="15.75">
      <c r="B195" s="66"/>
      <c r="C195" s="66">
        <f t="shared" ref="C195:K195" si="29">F188</f>
        <v>2003</v>
      </c>
      <c r="D195" s="66">
        <f t="shared" si="29"/>
        <v>2004</v>
      </c>
      <c r="E195" s="66">
        <f t="shared" si="29"/>
        <v>2005</v>
      </c>
      <c r="F195" s="66">
        <f t="shared" si="29"/>
        <v>2006</v>
      </c>
      <c r="G195" s="66">
        <f t="shared" si="29"/>
        <v>2007</v>
      </c>
      <c r="H195" s="66">
        <f t="shared" si="29"/>
        <v>2008</v>
      </c>
      <c r="I195" s="66">
        <f t="shared" si="29"/>
        <v>2009</v>
      </c>
      <c r="J195" s="66">
        <f t="shared" si="29"/>
        <v>2010</v>
      </c>
      <c r="K195" s="66">
        <f t="shared" si="29"/>
        <v>2011</v>
      </c>
      <c r="L195" s="111" t="s">
        <v>1099</v>
      </c>
      <c r="M195" s="111" t="s">
        <v>1155</v>
      </c>
      <c r="N195" s="111" t="s">
        <v>1156</v>
      </c>
    </row>
    <row r="196" spans="2:14" ht="15.75">
      <c r="B196" s="66" t="s">
        <v>1157</v>
      </c>
      <c r="C196" s="69">
        <v>1.353E-2</v>
      </c>
      <c r="D196" s="69">
        <v>4.0500000000000001E-2</v>
      </c>
      <c r="E196" s="69">
        <v>3.2000000000000001E-2</v>
      </c>
      <c r="F196" s="69">
        <v>5.1749999999999997E-2</v>
      </c>
      <c r="G196" s="69">
        <v>3.2750000000000001E-2</v>
      </c>
      <c r="H196" s="69">
        <v>1.4500000000000001E-2</v>
      </c>
      <c r="I196" s="69">
        <v>-6.1249999999999999E-2</v>
      </c>
      <c r="J196" s="69">
        <v>5.5500000000000001E-2</v>
      </c>
      <c r="K196" s="69">
        <v>3.925E-2</v>
      </c>
    </row>
    <row r="197" spans="2:14" ht="15.75">
      <c r="B197" s="67" t="s">
        <v>1158</v>
      </c>
      <c r="C197" s="73">
        <v>0.04</v>
      </c>
      <c r="D197" s="73">
        <v>5.1999999999999998E-2</v>
      </c>
      <c r="E197" s="73">
        <v>3.3000000000000002E-2</v>
      </c>
      <c r="F197" s="73">
        <v>0.04</v>
      </c>
      <c r="G197" s="73">
        <v>3.7999999999999999E-2</v>
      </c>
      <c r="H197" s="73">
        <v>6.5000000000000002E-2</v>
      </c>
      <c r="I197" s="73">
        <v>3.5700000000000003E-2</v>
      </c>
      <c r="J197" s="73">
        <v>4.3999999999999997E-2</v>
      </c>
      <c r="K197" s="73">
        <v>3.8199999999999998E-2</v>
      </c>
      <c r="L197" s="61"/>
      <c r="M197" s="61"/>
      <c r="N197" s="61"/>
    </row>
    <row r="198" spans="2:14" ht="15.75">
      <c r="B198" s="66" t="s">
        <v>1159</v>
      </c>
      <c r="C198" s="69">
        <f t="shared" ref="C198:K198" si="30">C196+C197</f>
        <v>5.3530000000000001E-2</v>
      </c>
      <c r="D198" s="69">
        <f t="shared" si="30"/>
        <v>9.2499999999999999E-2</v>
      </c>
      <c r="E198" s="69">
        <f t="shared" si="30"/>
        <v>6.5000000000000002E-2</v>
      </c>
      <c r="F198" s="69">
        <f t="shared" si="30"/>
        <v>9.1749999999999998E-2</v>
      </c>
      <c r="G198" s="69">
        <f t="shared" si="30"/>
        <v>7.0750000000000007E-2</v>
      </c>
      <c r="H198" s="69">
        <f t="shared" si="30"/>
        <v>7.9500000000000001E-2</v>
      </c>
      <c r="I198" s="69">
        <f t="shared" si="30"/>
        <v>-2.5549999999999996E-2</v>
      </c>
      <c r="J198" s="69">
        <f t="shared" si="30"/>
        <v>9.9500000000000005E-2</v>
      </c>
      <c r="K198" s="69">
        <f t="shared" si="30"/>
        <v>7.7449999999999991E-2</v>
      </c>
      <c r="L198" s="69">
        <f>Content!F8</f>
        <v>8.1100000000000005E-2</v>
      </c>
      <c r="M198" s="69">
        <f>Content!G8</f>
        <v>5.21E-2</v>
      </c>
      <c r="N198" s="69">
        <f>Content!H8</f>
        <v>6.1200000000000004E-2</v>
      </c>
    </row>
    <row r="199" spans="2:14" ht="15.75">
      <c r="B199" s="66" t="s">
        <v>1160</v>
      </c>
      <c r="C199" s="69">
        <f t="shared" ref="C199:K199" si="31">F192</f>
        <v>0.05</v>
      </c>
      <c r="D199" s="69">
        <f t="shared" si="31"/>
        <v>0.05</v>
      </c>
      <c r="E199" s="69">
        <f t="shared" si="31"/>
        <v>0.05</v>
      </c>
      <c r="F199" s="69">
        <f t="shared" si="31"/>
        <v>8.5313879872452647E-2</v>
      </c>
      <c r="G199" s="69">
        <f t="shared" si="31"/>
        <v>-2.5149253948690053E-2</v>
      </c>
      <c r="H199" s="69">
        <f t="shared" si="31"/>
        <v>1.1664120599360395E-2</v>
      </c>
      <c r="I199" s="69">
        <f t="shared" si="31"/>
        <v>4.7075920612233979E-3</v>
      </c>
      <c r="J199" s="69">
        <f t="shared" si="31"/>
        <v>5.5119388437268935E-2</v>
      </c>
      <c r="K199" s="69">
        <f t="shared" si="31"/>
        <v>3.4769077938119342E-3</v>
      </c>
      <c r="L199" s="69">
        <f>Content!F4</f>
        <v>3.144862773150181E-2</v>
      </c>
      <c r="M199" s="69">
        <f>Content!G4</f>
        <v>3.8837060649484556E-2</v>
      </c>
      <c r="N199" s="69">
        <f>Content!H4</f>
        <v>2.4137861695924023E-2</v>
      </c>
    </row>
    <row r="200" spans="2:14" ht="15.75">
      <c r="B200" s="66"/>
      <c r="C200" s="66"/>
      <c r="D200" s="66"/>
      <c r="E200" s="66"/>
      <c r="F200" s="112">
        <f>AVERAGE(C199:F199)/AVERAGE(C198:F198)</f>
        <v>0.77717775240257836</v>
      </c>
      <c r="G200" s="112"/>
      <c r="H200" s="66"/>
      <c r="I200" s="66"/>
      <c r="J200" s="66"/>
      <c r="K200" s="112">
        <f>AVERAGE(G199:K199)/AVERAGE(G198:K198)</f>
        <v>0.16515416854955947</v>
      </c>
    </row>
    <row r="201" spans="2:14" ht="15.75">
      <c r="B201" s="66"/>
      <c r="C201" s="66">
        <v>2012</v>
      </c>
      <c r="D201" s="66">
        <f t="shared" ref="D201:I201" si="32">C201+1</f>
        <v>2013</v>
      </c>
      <c r="E201" s="66">
        <f t="shared" si="32"/>
        <v>2014</v>
      </c>
      <c r="F201" s="66">
        <f t="shared" si="32"/>
        <v>2015</v>
      </c>
      <c r="G201" s="66">
        <f t="shared" si="32"/>
        <v>2016</v>
      </c>
      <c r="H201" s="66">
        <f t="shared" si="32"/>
        <v>2017</v>
      </c>
      <c r="I201" s="66">
        <f t="shared" si="32"/>
        <v>2018</v>
      </c>
      <c r="J201" s="66"/>
      <c r="K201" s="66"/>
    </row>
    <row r="202" spans="2:14" ht="15.75">
      <c r="B202" s="66" t="str">
        <f>B198</f>
        <v>Nominal GDP growth</v>
      </c>
      <c r="C202" s="116">
        <f>Content!F8</f>
        <v>8.1100000000000005E-2</v>
      </c>
      <c r="D202" s="116">
        <f>Content!G8</f>
        <v>5.21E-2</v>
      </c>
      <c r="E202" s="116">
        <f>Content!H8</f>
        <v>6.1200000000000004E-2</v>
      </c>
      <c r="F202" s="116">
        <f>Content!I8</f>
        <v>5.5E-2</v>
      </c>
      <c r="G202" s="116">
        <f>Content!J8</f>
        <v>6.4000000000000001E-2</v>
      </c>
      <c r="H202" s="116">
        <f>Content!K8</f>
        <v>5.7999999999999996E-2</v>
      </c>
      <c r="I202" s="116">
        <f>Content!L8</f>
        <v>5.6999999999999995E-2</v>
      </c>
      <c r="J202" s="66"/>
      <c r="K202" s="66"/>
    </row>
    <row r="203" spans="2:14" ht="15.75">
      <c r="B203" s="66" t="s">
        <v>1161</v>
      </c>
      <c r="C203" s="116">
        <f>Content!F4</f>
        <v>3.144862773150181E-2</v>
      </c>
      <c r="D203" s="116">
        <f>Content!G4</f>
        <v>3.8837060649484556E-2</v>
      </c>
      <c r="E203" s="116">
        <f>Content!H4</f>
        <v>2.4137861695924023E-2</v>
      </c>
      <c r="F203" s="116">
        <f>Content!I4</f>
        <v>-9.5673788664752957E-2</v>
      </c>
      <c r="G203" s="116">
        <f>Content!J4</f>
        <v>8.4197088057389458E-3</v>
      </c>
      <c r="H203" s="116">
        <f>Content!K4</f>
        <v>-0.10783182334906471</v>
      </c>
      <c r="I203" s="116">
        <f>Content!L4</f>
        <v>2.1043486654761301E-2</v>
      </c>
      <c r="J203" s="66"/>
      <c r="K203" s="66"/>
    </row>
    <row r="204" spans="2:14" ht="15.75">
      <c r="B204" s="66"/>
      <c r="C204" s="66"/>
      <c r="D204" s="66"/>
      <c r="E204" s="66"/>
      <c r="F204" s="66"/>
      <c r="G204" s="66"/>
      <c r="H204" s="66"/>
      <c r="I204" s="66"/>
      <c r="J204" s="66"/>
      <c r="K204" s="66"/>
    </row>
    <row r="205" spans="2:14" ht="15.75">
      <c r="B205" s="66"/>
      <c r="C205" s="66"/>
      <c r="D205" s="66"/>
      <c r="E205" s="66"/>
      <c r="F205" s="66"/>
      <c r="G205" s="66"/>
      <c r="H205" s="66"/>
      <c r="I205" s="66"/>
      <c r="J205" s="66"/>
      <c r="K205" s="66"/>
    </row>
    <row r="206" spans="2:14" ht="15.75">
      <c r="B206" s="67" t="s">
        <v>1162</v>
      </c>
      <c r="C206" s="67">
        <v>2012</v>
      </c>
      <c r="D206" s="67">
        <f>C206+1</f>
        <v>2013</v>
      </c>
      <c r="E206" s="67">
        <f>D206+1</f>
        <v>2014</v>
      </c>
      <c r="F206" s="67">
        <f>E206+1</f>
        <v>2015</v>
      </c>
      <c r="G206" s="66"/>
      <c r="H206" s="66"/>
      <c r="I206" s="66"/>
      <c r="J206" s="66"/>
      <c r="K206" s="66"/>
    </row>
    <row r="207" spans="2:14" ht="15.75">
      <c r="B207" s="66" t="s">
        <v>33</v>
      </c>
      <c r="C207" s="125">
        <v>66790</v>
      </c>
      <c r="D207" s="125">
        <v>72167</v>
      </c>
      <c r="E207" s="125">
        <v>77619</v>
      </c>
      <c r="F207" s="125">
        <v>83482</v>
      </c>
      <c r="G207" s="66"/>
      <c r="H207" s="66"/>
      <c r="I207" s="66"/>
      <c r="J207" s="66"/>
      <c r="K207" s="66"/>
    </row>
    <row r="208" spans="2:14" ht="15.75">
      <c r="B208" s="66" t="s">
        <v>34</v>
      </c>
      <c r="C208" s="125">
        <v>25875</v>
      </c>
      <c r="D208" s="125">
        <v>27843</v>
      </c>
      <c r="E208" s="125">
        <v>29549</v>
      </c>
      <c r="F208" s="125">
        <v>31509</v>
      </c>
      <c r="G208" s="66"/>
      <c r="H208" s="66"/>
      <c r="I208" s="66"/>
      <c r="J208" s="66"/>
      <c r="K208" s="66"/>
    </row>
    <row r="209" spans="2:11" ht="15.75">
      <c r="B209" s="66" t="s">
        <v>548</v>
      </c>
      <c r="C209" s="116">
        <f>C208/C207</f>
        <v>0.38740829465488846</v>
      </c>
      <c r="D209" s="116">
        <f>D208/D207</f>
        <v>0.38581346044591019</v>
      </c>
      <c r="E209" s="116">
        <f>E208/E207</f>
        <v>0.38069287159071874</v>
      </c>
      <c r="F209" s="116">
        <f>F208/F207</f>
        <v>0.37743465657267433</v>
      </c>
      <c r="G209" s="66"/>
      <c r="H209" s="66"/>
      <c r="I209" s="66"/>
      <c r="J209" s="66"/>
      <c r="K209" s="66"/>
    </row>
    <row r="210" spans="2:11" ht="15.75">
      <c r="B210" s="66"/>
      <c r="C210" s="66"/>
      <c r="D210" s="66"/>
      <c r="E210" s="66"/>
      <c r="F210" s="66"/>
      <c r="G210" s="66"/>
      <c r="H210" s="66"/>
      <c r="I210" s="66"/>
      <c r="J210" s="66"/>
      <c r="K210" s="66"/>
    </row>
    <row r="211" spans="2:11" ht="15.75">
      <c r="B211" s="66" t="s">
        <v>855</v>
      </c>
      <c r="C211" s="66"/>
      <c r="D211" s="66"/>
      <c r="E211" s="66"/>
      <c r="F211" s="66"/>
      <c r="G211" s="66"/>
      <c r="H211" s="66"/>
      <c r="I211" s="66"/>
      <c r="J211" s="66"/>
      <c r="K211" s="66"/>
    </row>
    <row r="212" spans="2:11" ht="15.75">
      <c r="B212" s="66" t="str">
        <f>B207</f>
        <v>Revenue</v>
      </c>
      <c r="C212" s="125">
        <f>Master!K132</f>
        <v>69290.399999999994</v>
      </c>
      <c r="D212" s="125">
        <f>Master!L132</f>
        <v>73793.600000000006</v>
      </c>
      <c r="E212" s="125">
        <f>Master!M132</f>
        <v>80118.399999999994</v>
      </c>
      <c r="F212" s="125">
        <f>Master!N132</f>
        <v>88052</v>
      </c>
      <c r="G212" s="66"/>
      <c r="H212" s="66"/>
      <c r="I212" s="66"/>
      <c r="J212" s="66"/>
      <c r="K212" s="66"/>
    </row>
    <row r="213" spans="2:11" ht="15.75">
      <c r="B213" s="66" t="str">
        <f>B208</f>
        <v>EBITDA</v>
      </c>
      <c r="C213" s="125">
        <f>Master!K140</f>
        <v>26613.8</v>
      </c>
      <c r="D213" s="125">
        <f>Master!L140</f>
        <v>28205.576890624998</v>
      </c>
      <c r="E213" s="125">
        <f>Master!M140</f>
        <v>30007.9</v>
      </c>
      <c r="F213" s="125">
        <f>Master!N140</f>
        <v>32375.299999999992</v>
      </c>
      <c r="G213" s="66"/>
      <c r="H213" s="66"/>
      <c r="I213" s="66"/>
      <c r="J213" s="66"/>
      <c r="K213" s="66"/>
    </row>
    <row r="214" spans="2:11" ht="15.75">
      <c r="B214" s="66" t="str">
        <f>B209</f>
        <v>% margin</v>
      </c>
      <c r="C214" s="116">
        <f>C213/C212</f>
        <v>0.38409072541073513</v>
      </c>
      <c r="D214" s="116">
        <f>D213/D212</f>
        <v>0.38222253543159562</v>
      </c>
      <c r="E214" s="116">
        <f>E213/E212</f>
        <v>0.37454442425210693</v>
      </c>
      <c r="F214" s="116">
        <f>F213/F212</f>
        <v>0.36768386862308627</v>
      </c>
      <c r="G214" s="66"/>
      <c r="H214" s="66"/>
      <c r="I214" s="66"/>
      <c r="J214" s="66"/>
      <c r="K214" s="66"/>
    </row>
    <row r="215" spans="2:11" ht="15.75">
      <c r="B215" s="66"/>
      <c r="C215" s="66"/>
      <c r="D215" s="66"/>
      <c r="E215" s="66"/>
      <c r="F215" s="66"/>
      <c r="G215" s="66"/>
      <c r="H215" s="66"/>
      <c r="I215" s="66"/>
      <c r="J215" s="66"/>
      <c r="K215" s="66"/>
    </row>
    <row r="216" spans="2:11" ht="15.75">
      <c r="B216" s="66" t="s">
        <v>1163</v>
      </c>
      <c r="C216" s="66"/>
      <c r="D216" s="66"/>
      <c r="E216" s="66"/>
      <c r="F216" s="66"/>
      <c r="G216" s="66"/>
      <c r="H216" s="66"/>
      <c r="I216" s="66"/>
      <c r="J216" s="66"/>
      <c r="K216" s="66"/>
    </row>
    <row r="217" spans="2:11" ht="15.75">
      <c r="B217" s="66" t="str">
        <f>B212</f>
        <v>Revenue</v>
      </c>
      <c r="C217" s="116">
        <f t="shared" ref="C217:F218" si="33">C212/C207-1</f>
        <v>3.7436742027249448E-2</v>
      </c>
      <c r="D217" s="116">
        <f t="shared" si="33"/>
        <v>2.2539387808832467E-2</v>
      </c>
      <c r="E217" s="116">
        <f t="shared" si="33"/>
        <v>3.2200878650845643E-2</v>
      </c>
      <c r="F217" s="116">
        <f t="shared" si="33"/>
        <v>5.4742339666035811E-2</v>
      </c>
      <c r="G217" s="66"/>
      <c r="H217" s="66"/>
      <c r="I217" s="66"/>
      <c r="J217" s="66"/>
      <c r="K217" s="66"/>
    </row>
    <row r="218" spans="2:11" ht="15.75">
      <c r="B218" s="66" t="str">
        <f>B213</f>
        <v>EBITDA</v>
      </c>
      <c r="C218" s="116">
        <f t="shared" si="33"/>
        <v>2.8552657004830895E-2</v>
      </c>
      <c r="D218" s="116">
        <f t="shared" si="33"/>
        <v>1.3022191955787799E-2</v>
      </c>
      <c r="E218" s="116">
        <f t="shared" si="33"/>
        <v>1.5530136383633986E-2</v>
      </c>
      <c r="F218" s="116">
        <f t="shared" si="33"/>
        <v>2.7493731949601363E-2</v>
      </c>
      <c r="G218" s="66"/>
      <c r="H218" s="66"/>
      <c r="I218" s="66"/>
      <c r="J218" s="66"/>
      <c r="K218" s="66"/>
    </row>
    <row r="219" spans="2:11" ht="15.75">
      <c r="B219" s="66"/>
      <c r="C219" s="66"/>
      <c r="D219" s="66"/>
      <c r="E219" s="66"/>
      <c r="F219" s="66"/>
      <c r="G219" s="66"/>
      <c r="H219" s="66"/>
      <c r="I219" s="66"/>
      <c r="J219" s="66"/>
      <c r="K219" s="66"/>
    </row>
    <row r="220" spans="2:11" ht="15.75">
      <c r="B220" s="66" t="s">
        <v>467</v>
      </c>
      <c r="C220" s="66"/>
      <c r="D220" s="66"/>
      <c r="E220" s="66"/>
      <c r="F220" s="66"/>
      <c r="G220" s="66"/>
      <c r="H220" s="66"/>
      <c r="I220" s="66"/>
      <c r="J220" s="66"/>
      <c r="K220" s="66"/>
    </row>
    <row r="221" spans="2:11" ht="15.75">
      <c r="B221" s="66"/>
      <c r="C221" s="66">
        <v>2006</v>
      </c>
      <c r="D221" s="66">
        <f>C221+1</f>
        <v>2007</v>
      </c>
      <c r="E221" s="66">
        <f>D221+1</f>
        <v>2008</v>
      </c>
      <c r="F221" s="66">
        <f>E221+1</f>
        <v>2009</v>
      </c>
      <c r="G221" s="66">
        <f>F221+1</f>
        <v>2010</v>
      </c>
      <c r="H221" s="66">
        <f>G221+1</f>
        <v>2011</v>
      </c>
      <c r="I221" s="111" t="s">
        <v>876</v>
      </c>
      <c r="J221" s="66"/>
      <c r="K221" s="66"/>
    </row>
    <row r="222" spans="2:11" ht="15.75">
      <c r="B222" s="66" t="s">
        <v>1164</v>
      </c>
      <c r="C222" s="69">
        <v>0.71</v>
      </c>
      <c r="D222" s="69">
        <v>0.71</v>
      </c>
      <c r="E222" s="69">
        <v>0.72</v>
      </c>
      <c r="F222" s="69">
        <v>0.71</v>
      </c>
      <c r="G222" s="69">
        <v>0.7</v>
      </c>
      <c r="H222" s="69">
        <v>0.69</v>
      </c>
      <c r="I222" s="69">
        <v>0.7</v>
      </c>
      <c r="J222" s="66"/>
      <c r="K222" s="66"/>
    </row>
    <row r="223" spans="2:11" ht="15.75">
      <c r="B223" s="66"/>
      <c r="C223" s="66"/>
      <c r="D223" s="66"/>
      <c r="E223" s="66"/>
      <c r="F223" s="66"/>
      <c r="G223" s="66"/>
      <c r="H223" s="66"/>
      <c r="I223" s="66"/>
      <c r="J223" s="66"/>
      <c r="K223" s="66"/>
    </row>
    <row r="224" spans="2:11" ht="15.75">
      <c r="B224" s="66"/>
      <c r="C224" s="66"/>
      <c r="D224" s="66"/>
      <c r="E224" s="66"/>
      <c r="F224" s="66"/>
      <c r="G224" s="66"/>
      <c r="H224" s="66"/>
      <c r="I224" s="66"/>
      <c r="J224" s="66"/>
      <c r="K224" s="66"/>
    </row>
    <row r="225" spans="2:12" ht="15.75">
      <c r="B225" s="66"/>
      <c r="C225" s="66"/>
      <c r="D225" s="66"/>
      <c r="E225" s="66"/>
      <c r="F225" s="66"/>
      <c r="G225" s="66"/>
      <c r="H225" s="66"/>
      <c r="I225" s="66"/>
      <c r="J225" s="66"/>
      <c r="K225" s="66"/>
    </row>
    <row r="226" spans="2:12" ht="15.75">
      <c r="B226" s="66"/>
      <c r="C226" s="66"/>
      <c r="D226" s="66"/>
      <c r="E226" s="66"/>
      <c r="F226" s="66"/>
      <c r="G226" s="66"/>
      <c r="H226" s="66"/>
      <c r="I226" s="66"/>
      <c r="J226" s="66"/>
      <c r="K226" s="66"/>
    </row>
    <row r="227" spans="2:12" ht="15.75">
      <c r="B227" s="66"/>
      <c r="C227" s="66"/>
      <c r="D227" s="66"/>
      <c r="E227" s="66"/>
      <c r="F227" s="66"/>
      <c r="G227" s="66"/>
      <c r="H227" s="66"/>
      <c r="I227" s="66"/>
      <c r="J227" s="66"/>
      <c r="K227" s="66"/>
    </row>
    <row r="228" spans="2:12" ht="15.75">
      <c r="B228" s="66"/>
      <c r="C228" s="66"/>
      <c r="D228" s="66"/>
      <c r="E228" s="66"/>
      <c r="F228" s="66"/>
      <c r="G228" s="66"/>
      <c r="H228" s="66"/>
      <c r="I228" s="66"/>
      <c r="J228" s="66"/>
      <c r="K228" s="66"/>
    </row>
    <row r="229" spans="2:12" ht="15.75">
      <c r="B229" s="66"/>
      <c r="C229" s="66"/>
      <c r="D229" s="66"/>
      <c r="E229" s="66"/>
      <c r="F229" s="66"/>
      <c r="G229" s="66"/>
      <c r="H229" s="66"/>
      <c r="I229" s="66"/>
      <c r="J229" s="66"/>
      <c r="K229" s="66"/>
    </row>
    <row r="230" spans="2:12" ht="15.75">
      <c r="B230" s="66"/>
      <c r="C230" s="66"/>
      <c r="D230" s="66"/>
      <c r="E230" s="66"/>
      <c r="F230" s="66"/>
      <c r="G230" s="66"/>
      <c r="H230" s="66"/>
      <c r="I230" s="66"/>
      <c r="J230" s="66"/>
      <c r="K230" s="66"/>
    </row>
    <row r="231" spans="2:12" ht="15.75">
      <c r="B231" s="66"/>
      <c r="C231" s="66"/>
      <c r="D231" s="66"/>
      <c r="E231" s="66"/>
      <c r="F231" s="66"/>
      <c r="G231" s="66"/>
      <c r="H231" s="66"/>
      <c r="I231" s="66"/>
      <c r="J231" s="66"/>
      <c r="K231" s="66"/>
    </row>
    <row r="232" spans="2:12" ht="15.75">
      <c r="B232" s="66"/>
      <c r="C232" s="66"/>
      <c r="D232" s="66"/>
      <c r="E232" s="66"/>
      <c r="F232" s="66"/>
      <c r="G232" s="66"/>
      <c r="H232" s="66"/>
      <c r="I232" s="66"/>
      <c r="J232" s="66"/>
      <c r="K232" s="66"/>
    </row>
    <row r="233" spans="2:12" ht="15.75">
      <c r="B233" s="66"/>
      <c r="C233" s="66"/>
      <c r="D233" s="66"/>
      <c r="E233" s="66"/>
      <c r="F233" s="66"/>
      <c r="G233" s="66"/>
      <c r="H233" s="66"/>
      <c r="I233" s="66"/>
      <c r="J233" s="66"/>
      <c r="K233" s="66"/>
    </row>
    <row r="234" spans="2:12" ht="15.75">
      <c r="B234" s="66"/>
      <c r="C234" s="66"/>
      <c r="D234" s="66"/>
      <c r="E234" s="66"/>
      <c r="F234" s="66"/>
      <c r="G234" s="66"/>
      <c r="H234" s="66"/>
      <c r="I234" s="66"/>
      <c r="J234" s="66"/>
      <c r="K234" s="66"/>
    </row>
    <row r="235" spans="2:12" ht="15.75">
      <c r="B235" s="66"/>
      <c r="C235" s="66"/>
      <c r="D235" s="66"/>
      <c r="E235" s="66"/>
      <c r="F235" s="66"/>
      <c r="G235" s="66"/>
      <c r="H235" s="66"/>
      <c r="I235" s="66"/>
      <c r="J235" s="66"/>
      <c r="K235" s="66"/>
    </row>
    <row r="236" spans="2:12" ht="15.75">
      <c r="B236" s="66"/>
      <c r="C236" s="66"/>
      <c r="D236" s="66"/>
      <c r="E236" s="66"/>
      <c r="F236" s="66"/>
      <c r="G236" s="66"/>
      <c r="H236" s="66"/>
      <c r="I236" s="66"/>
      <c r="J236" s="66"/>
      <c r="K236" s="66"/>
    </row>
    <row r="237" spans="2:12" ht="15.75">
      <c r="B237" s="66"/>
      <c r="C237" s="66"/>
      <c r="D237" s="66"/>
      <c r="E237" s="66"/>
      <c r="F237" s="66"/>
      <c r="G237" s="66"/>
      <c r="H237" s="66"/>
      <c r="I237" s="66"/>
      <c r="J237" s="66"/>
      <c r="K237" s="66"/>
    </row>
    <row r="238" spans="2:12" ht="15.75">
      <c r="B238" s="66"/>
      <c r="C238" s="66"/>
      <c r="D238" s="66"/>
      <c r="E238" s="66"/>
      <c r="F238" s="66"/>
      <c r="G238" s="66"/>
      <c r="H238" s="66"/>
      <c r="I238" s="66"/>
      <c r="J238" s="66"/>
      <c r="K238" s="66"/>
    </row>
    <row r="239" spans="2:12" ht="15.75">
      <c r="B239" s="66"/>
      <c r="C239" s="66">
        <v>2009</v>
      </c>
      <c r="D239" s="66">
        <v>2010</v>
      </c>
      <c r="E239" s="66">
        <f t="shared" ref="E239:L239" si="34">D239+1</f>
        <v>2011</v>
      </c>
      <c r="F239" s="66">
        <f t="shared" si="34"/>
        <v>2012</v>
      </c>
      <c r="G239" s="66">
        <f t="shared" si="34"/>
        <v>2013</v>
      </c>
      <c r="H239" s="66">
        <f t="shared" si="34"/>
        <v>2014</v>
      </c>
      <c r="I239" s="66">
        <f t="shared" si="34"/>
        <v>2015</v>
      </c>
      <c r="J239" s="66">
        <f t="shared" si="34"/>
        <v>2016</v>
      </c>
      <c r="K239" s="66">
        <f t="shared" si="34"/>
        <v>2017</v>
      </c>
      <c r="L239" s="66">
        <f t="shared" si="34"/>
        <v>2018</v>
      </c>
    </row>
    <row r="240" spans="2:12" ht="15.75">
      <c r="B240" s="66" t="s">
        <v>1165</v>
      </c>
      <c r="C240" s="69">
        <f>'SKY Mex'!F73</f>
        <v>0.28827215756490598</v>
      </c>
      <c r="D240" s="69">
        <f>'SKY Mex'!G73</f>
        <v>0.35189519650655021</v>
      </c>
      <c r="E240" s="69">
        <f>'SKY Mex'!H73</f>
        <v>0.39208866155157718</v>
      </c>
      <c r="F240" s="69">
        <f>'SKY Mex'!I73</f>
        <v>0.43360532889258951</v>
      </c>
      <c r="G240" s="69">
        <f>'SKY Mex'!J73</f>
        <v>0.47951179820992679</v>
      </c>
      <c r="H240" s="69">
        <f>'SKY Mex'!K73</f>
        <v>0.51217183770883057</v>
      </c>
      <c r="I240" s="69">
        <f>'SKY Mex'!L73</f>
        <v>0.53437839515753527</v>
      </c>
      <c r="J240" s="69">
        <f>'SKY Mex'!M73</f>
        <v>0.6334002780781709</v>
      </c>
      <c r="K240" s="69">
        <f>'SKY Mex'!N73</f>
        <v>0.68712901737659537</v>
      </c>
      <c r="L240" s="69">
        <f>'SKY Mex'!O73</f>
        <v>0.70411755701821521</v>
      </c>
    </row>
    <row r="241" spans="2:12" ht="15.75">
      <c r="B241" s="66"/>
      <c r="D241" s="66"/>
      <c r="E241" s="66"/>
      <c r="F241" s="66"/>
      <c r="G241" s="66"/>
      <c r="H241" s="66"/>
      <c r="I241" s="66"/>
      <c r="J241" s="66"/>
      <c r="K241" s="66"/>
      <c r="L241" s="66"/>
    </row>
    <row r="242" spans="2:12" ht="15.75">
      <c r="B242" s="66" t="s">
        <v>1166</v>
      </c>
      <c r="C242" s="69">
        <f>'SKY Mex'!F95</f>
        <v>0.51769576649011162</v>
      </c>
      <c r="D242" s="69">
        <f>'SKY Mex'!G95</f>
        <v>0.55432439307574133</v>
      </c>
      <c r="E242" s="69">
        <f>'SKY Mex'!H95</f>
        <v>0.60089475861543984</v>
      </c>
      <c r="F242" s="69">
        <f>'SKY Mex'!I95</f>
        <v>0.62754082400568867</v>
      </c>
      <c r="G242" s="69">
        <f>'SKY Mex'!J95</f>
        <v>0.63519529700932909</v>
      </c>
      <c r="H242" s="69">
        <f>'SKY Mex'!K95</f>
        <v>0.63452003727865802</v>
      </c>
      <c r="I242" s="69">
        <f>'SKY Mex'!L95</f>
        <v>0.64793133894859134</v>
      </c>
      <c r="J242" s="69">
        <f>'SKY Mex'!M95</f>
        <v>0.58661975609756101</v>
      </c>
      <c r="K242" s="69">
        <f>'SKY Mex'!N95</f>
        <v>0.53767420105630648</v>
      </c>
      <c r="L242" s="69">
        <f>'SKY Mex'!O95</f>
        <v>0.51573969565217392</v>
      </c>
    </row>
    <row r="243" spans="2:12" ht="15.75">
      <c r="B243" s="66"/>
      <c r="C243" s="66"/>
      <c r="D243" s="66"/>
      <c r="E243" s="66"/>
      <c r="F243" s="66"/>
      <c r="G243" s="66"/>
      <c r="H243" s="66"/>
      <c r="I243" s="66"/>
      <c r="J243" s="66"/>
      <c r="K243" s="66"/>
    </row>
    <row r="244" spans="2:12" ht="15.75">
      <c r="B244" s="66"/>
      <c r="C244" s="66"/>
      <c r="D244" s="66"/>
      <c r="E244" s="66"/>
      <c r="F244" s="66"/>
      <c r="G244" s="66"/>
      <c r="H244" s="66"/>
      <c r="I244" s="66"/>
      <c r="J244" s="66"/>
      <c r="K244" s="66"/>
    </row>
    <row r="245" spans="2:12" ht="15.75">
      <c r="B245" s="66"/>
      <c r="C245" s="66"/>
      <c r="D245" s="66"/>
      <c r="E245" s="66"/>
      <c r="F245" s="66"/>
      <c r="G245" s="66"/>
      <c r="H245" s="66"/>
      <c r="I245" s="66"/>
      <c r="J245" s="66"/>
      <c r="K245" s="66"/>
    </row>
    <row r="246" spans="2:12" ht="15.75">
      <c r="B246" s="66"/>
      <c r="C246" s="66"/>
      <c r="D246" s="66"/>
      <c r="E246" s="66"/>
      <c r="F246" s="66"/>
      <c r="G246" s="66"/>
      <c r="H246" s="66"/>
      <c r="I246" s="66"/>
      <c r="J246" s="66"/>
      <c r="K246" s="66"/>
    </row>
    <row r="247" spans="2:12" ht="15.75">
      <c r="B247" s="66"/>
      <c r="C247" s="66"/>
      <c r="D247" s="66"/>
      <c r="E247" s="66"/>
      <c r="F247" s="66"/>
      <c r="G247" s="66"/>
      <c r="H247" s="66"/>
      <c r="I247" s="66"/>
      <c r="J247" s="66"/>
      <c r="K247" s="66"/>
    </row>
    <row r="248" spans="2:12" ht="15.75">
      <c r="B248" s="66"/>
      <c r="C248" s="66"/>
      <c r="D248" s="66"/>
      <c r="E248" s="66"/>
      <c r="F248" s="66"/>
      <c r="G248" s="66"/>
      <c r="H248" s="66"/>
      <c r="I248" s="66"/>
      <c r="J248" s="66"/>
      <c r="K248" s="66"/>
    </row>
    <row r="249" spans="2:12" ht="15.75">
      <c r="B249" s="66"/>
      <c r="C249" s="66"/>
      <c r="D249" s="66"/>
      <c r="E249" s="66"/>
      <c r="F249" s="66"/>
      <c r="G249" s="66"/>
      <c r="H249" s="66"/>
      <c r="I249" s="66"/>
      <c r="J249" s="66"/>
      <c r="K249" s="66"/>
    </row>
    <row r="250" spans="2:12" ht="15.75">
      <c r="B250" s="66"/>
      <c r="C250" s="66"/>
      <c r="D250" s="66"/>
      <c r="E250" s="66"/>
      <c r="F250" s="66"/>
      <c r="G250" s="66"/>
      <c r="H250" s="66"/>
      <c r="I250" s="66"/>
      <c r="J250" s="66"/>
      <c r="K250" s="66"/>
    </row>
    <row r="251" spans="2:12" ht="15.75">
      <c r="B251" s="66"/>
      <c r="C251" s="66"/>
      <c r="D251" s="66"/>
      <c r="E251" s="66"/>
      <c r="F251" s="66"/>
      <c r="G251" s="66"/>
      <c r="H251" s="66"/>
      <c r="I251" s="66"/>
      <c r="J251" s="66"/>
      <c r="K251" s="66"/>
    </row>
    <row r="252" spans="2:12" ht="15.75">
      <c r="B252" s="66"/>
      <c r="C252" s="66"/>
      <c r="D252" s="66"/>
      <c r="E252" s="66"/>
      <c r="F252" s="66"/>
      <c r="G252" s="66"/>
      <c r="H252" s="66"/>
      <c r="I252" s="66"/>
      <c r="J252" s="66"/>
      <c r="K252" s="66"/>
    </row>
    <row r="253" spans="2:12" ht="15.75">
      <c r="B253" s="66"/>
      <c r="C253" s="66"/>
      <c r="D253" s="66"/>
      <c r="E253" s="66"/>
      <c r="F253" s="66"/>
      <c r="G253" s="66"/>
      <c r="H253" s="66"/>
      <c r="I253" s="66"/>
      <c r="J253" s="66"/>
      <c r="K253" s="66"/>
    </row>
    <row r="254" spans="2:12" ht="15.75">
      <c r="B254" s="66"/>
      <c r="C254" s="66"/>
      <c r="D254" s="66"/>
      <c r="E254" s="66"/>
      <c r="F254" s="66"/>
      <c r="G254" s="66"/>
      <c r="H254" s="66"/>
      <c r="I254" s="66"/>
      <c r="J254" s="66"/>
      <c r="K254" s="66"/>
    </row>
    <row r="255" spans="2:12" ht="15.75">
      <c r="B255" s="66"/>
      <c r="C255" s="66"/>
      <c r="D255" s="66"/>
      <c r="E255" s="66"/>
      <c r="F255" s="66"/>
      <c r="G255" s="66"/>
      <c r="H255" s="66"/>
      <c r="I255" s="66"/>
      <c r="J255" s="66"/>
      <c r="K255" s="66"/>
    </row>
    <row r="256" spans="2:12" ht="15.75">
      <c r="B256" s="67" t="s">
        <v>1079</v>
      </c>
      <c r="C256" s="67">
        <f>D256-1</f>
        <v>2011</v>
      </c>
      <c r="D256" s="67">
        <v>2012</v>
      </c>
      <c r="E256" s="67">
        <f t="shared" ref="E256:J256" si="35">D256+1</f>
        <v>2013</v>
      </c>
      <c r="F256" s="67">
        <f t="shared" si="35"/>
        <v>2014</v>
      </c>
      <c r="G256" s="67">
        <f t="shared" si="35"/>
        <v>2015</v>
      </c>
      <c r="H256" s="67">
        <f t="shared" si="35"/>
        <v>2016</v>
      </c>
      <c r="I256" s="67">
        <f t="shared" si="35"/>
        <v>2017</v>
      </c>
      <c r="J256" s="67">
        <f t="shared" si="35"/>
        <v>2018</v>
      </c>
      <c r="K256" s="66"/>
    </row>
    <row r="257" spans="2:11" ht="15.75">
      <c r="B257" s="183" t="s">
        <v>94</v>
      </c>
      <c r="C257" s="189">
        <f>Content!E23</f>
        <v>4.96186078330767E-2</v>
      </c>
      <c r="D257" s="189">
        <f>Content!F23</f>
        <v>7.1642724926349821E-2</v>
      </c>
      <c r="E257" s="189">
        <f>Content!G23</f>
        <v>2.8481936504074934E-2</v>
      </c>
      <c r="F257" s="189">
        <f>Content!H23</f>
        <v>3.0972247683364484E-2</v>
      </c>
      <c r="G257" s="189">
        <f>Content!I23</f>
        <v>-1.535787725743587E-2</v>
      </c>
      <c r="H257" s="189">
        <f>Content!J23</f>
        <v>6.8567483965676912E-2</v>
      </c>
      <c r="I257" s="189">
        <f>Content!K23</f>
        <v>-7.331539767817763E-2</v>
      </c>
      <c r="J257" s="189">
        <f>Content!L23</f>
        <v>0.14773362355501951</v>
      </c>
      <c r="K257" s="66"/>
    </row>
    <row r="258" spans="2:11" ht="15.75">
      <c r="B258" s="66" t="s">
        <v>1167</v>
      </c>
      <c r="C258" s="116">
        <f>Content!E24</f>
        <v>5.284938218241475E-2</v>
      </c>
      <c r="D258" s="116">
        <f>Content!F24</f>
        <v>5.8531716866016437E-2</v>
      </c>
      <c r="E258" s="116">
        <f>Content!G24</f>
        <v>3.5462206086637194E-2</v>
      </c>
      <c r="F258" s="116">
        <f>Content!H24</f>
        <v>2.1438013743200868E-2</v>
      </c>
      <c r="G258" s="116">
        <f>Content!I24</f>
        <v>-5.9333732132121231E-2</v>
      </c>
      <c r="H258" s="116">
        <f>Content!J24</f>
        <v>1.6701207076334601E-2</v>
      </c>
      <c r="I258" s="116">
        <f>Content!K24</f>
        <v>-7.4126570644382106E-2</v>
      </c>
      <c r="J258" s="116">
        <f>Content!L24</f>
        <v>6.7202988498985095E-2</v>
      </c>
      <c r="K258" s="66"/>
    </row>
    <row r="259" spans="2:11" ht="15.75">
      <c r="B259" s="183"/>
      <c r="C259" s="190"/>
      <c r="D259" s="183"/>
      <c r="E259" s="183"/>
      <c r="F259" s="183"/>
      <c r="G259" s="183"/>
      <c r="H259" s="183"/>
      <c r="I259" s="183"/>
      <c r="J259" s="183"/>
      <c r="K259" s="66"/>
    </row>
    <row r="260" spans="2:11" ht="15.75">
      <c r="B260" s="66" t="s">
        <v>52</v>
      </c>
      <c r="C260" s="116">
        <f>Cable!F245</f>
        <v>0.15415347632510046</v>
      </c>
      <c r="D260" s="116">
        <f>Cable!G245</f>
        <v>0.14191002830866695</v>
      </c>
      <c r="E260" s="116">
        <f>Cable!H245</f>
        <v>0.10072958947747002</v>
      </c>
      <c r="F260" s="116">
        <f>Cable!I245</f>
        <v>0.22162578476906214</v>
      </c>
      <c r="G260" s="116">
        <f>Cable!J245</f>
        <v>0.36065471982882125</v>
      </c>
      <c r="H260" s="116">
        <f>Cable!K245</f>
        <v>0.11946307782493171</v>
      </c>
      <c r="I260" s="116">
        <f>Cable!L245</f>
        <v>3.6260331874224061E-2</v>
      </c>
      <c r="J260" s="116">
        <f>Cable!M245</f>
        <v>9.6374969740982808E-2</v>
      </c>
      <c r="K260" s="66"/>
    </row>
    <row r="261" spans="2:11" ht="15.75">
      <c r="B261" s="183" t="s">
        <v>97</v>
      </c>
      <c r="C261" s="189">
        <f>'SKY Mex'!H106</f>
        <v>0.10943973257943496</v>
      </c>
      <c r="D261" s="189">
        <f>'SKY Mex'!I106</f>
        <v>0.15916084364382321</v>
      </c>
      <c r="E261" s="189">
        <f>'SKY Mex'!J106</f>
        <v>0.11288315566800788</v>
      </c>
      <c r="F261" s="189">
        <f>'SKY Mex'!K106</f>
        <v>8.6978128125330123E-2</v>
      </c>
      <c r="G261" s="189">
        <f>'SKY Mex'!L106</f>
        <v>0.10029431094093777</v>
      </c>
      <c r="H261" s="189">
        <f>'SKY Mex'!M106</f>
        <v>0.13959539823928124</v>
      </c>
      <c r="I261" s="189">
        <f>'SKY Mex'!N106</f>
        <v>1.1658432537873908E-2</v>
      </c>
      <c r="J261" s="189">
        <f>'SKY Mex'!O106</f>
        <v>-8.7849709420192434E-3</v>
      </c>
      <c r="K261" s="66"/>
    </row>
    <row r="262" spans="2:11" ht="15.75">
      <c r="B262" s="66" t="s">
        <v>107</v>
      </c>
      <c r="C262" s="116">
        <f>Master!J25/Master!I25-1</f>
        <v>3.3837840673607289E-3</v>
      </c>
      <c r="D262" s="116">
        <f>Master!K25/Master!J25-1</f>
        <v>0.10096204120046015</v>
      </c>
      <c r="E262" s="116">
        <f>Master!L25/Master!K25-1</f>
        <v>0.15282328916749788</v>
      </c>
      <c r="F262" s="116">
        <f>Master!M25/Master!L25-1</f>
        <v>0.68984552008238942</v>
      </c>
      <c r="G262" s="116">
        <f>Master!N25/Master!M25-1</f>
        <v>-9.7389142146705465E-3</v>
      </c>
      <c r="H262" s="116">
        <f>Master!O25/Master!N25-1</f>
        <v>8.6653619388747272E-2</v>
      </c>
      <c r="I262" s="116">
        <f>Master!P25/Master!O25-1</f>
        <v>-5.1232966709332417E-2</v>
      </c>
      <c r="J262" s="116">
        <f>Master!Q25/Master!P25-1</f>
        <v>3.1041069723018122E-2</v>
      </c>
      <c r="K262" s="66"/>
    </row>
    <row r="263" spans="2:11" ht="15.75">
      <c r="B263" s="183"/>
      <c r="C263" s="190"/>
      <c r="D263" s="183"/>
      <c r="E263" s="183"/>
      <c r="F263" s="183"/>
      <c r="G263" s="183"/>
      <c r="H263" s="183"/>
      <c r="I263" s="183"/>
      <c r="J263" s="183"/>
      <c r="K263" s="66"/>
    </row>
    <row r="264" spans="2:11" ht="15.75">
      <c r="B264" s="66" t="s">
        <v>222</v>
      </c>
      <c r="C264" s="116">
        <f>Master!J29</f>
        <v>8.1661965404239423E-2</v>
      </c>
      <c r="D264" s="116">
        <f>Master!K29</f>
        <v>0.10720260779942947</v>
      </c>
      <c r="E264" s="116">
        <f>Master!L29</f>
        <v>6.4990243958759297E-2</v>
      </c>
      <c r="F264" s="116">
        <f>Master!M29</f>
        <v>8.5709329806378687E-2</v>
      </c>
      <c r="G264" s="116">
        <f>Master!N29</f>
        <v>9.9023445300954638E-2</v>
      </c>
      <c r="H264" s="116">
        <f>Master!O29</f>
        <v>9.3528823876799949E-2</v>
      </c>
      <c r="I264" s="116">
        <f>Master!P29</f>
        <v>-2.0899930832071423E-2</v>
      </c>
      <c r="J264" s="116">
        <f>Master!Q29</f>
        <v>7.4622116149562379E-2</v>
      </c>
      <c r="K264" s="66"/>
    </row>
    <row r="265" spans="2:11" ht="15.75">
      <c r="B265" s="183" t="s">
        <v>1168</v>
      </c>
      <c r="C265" s="189">
        <f>Master!J31</f>
        <v>8.469384926004353E-2</v>
      </c>
      <c r="D265" s="189">
        <f>Master!K31</f>
        <v>9.4797294892162043E-2</v>
      </c>
      <c r="E265" s="189">
        <f>Master!L31</f>
        <v>6.3619971694879096E-2</v>
      </c>
      <c r="F265" s="189">
        <f>Master!M31</f>
        <v>3.7627997777780475E-2</v>
      </c>
      <c r="G265" s="189">
        <f>Master!N31</f>
        <v>8.6076982583339179E-2</v>
      </c>
      <c r="H265" s="189">
        <f>Master!O31</f>
        <v>6.7598001508186512E-2</v>
      </c>
      <c r="I265" s="189">
        <f>Master!P31</f>
        <v>-1.8239691285720672E-2</v>
      </c>
      <c r="J265" s="189">
        <f>Master!Q31</f>
        <v>7.5620099292086129E-2</v>
      </c>
      <c r="K265" s="66"/>
    </row>
    <row r="266" spans="2:11" ht="15.75">
      <c r="B266" s="66" t="s">
        <v>1169</v>
      </c>
      <c r="C266" s="116" t="e">
        <f>Master!#REF!</f>
        <v>#REF!</v>
      </c>
      <c r="D266" s="116" t="e">
        <f>Master!#REF!</f>
        <v>#REF!</v>
      </c>
      <c r="E266" s="116" t="e">
        <f>Master!#REF!</f>
        <v>#REF!</v>
      </c>
      <c r="F266" s="116" t="e">
        <f>Master!#REF!</f>
        <v>#REF!</v>
      </c>
      <c r="G266" s="116" t="e">
        <f>Master!#REF!</f>
        <v>#REF!</v>
      </c>
      <c r="H266" s="116" t="e">
        <f>Master!#REF!</f>
        <v>#REF!</v>
      </c>
      <c r="I266" s="116" t="e">
        <f>Master!#REF!</f>
        <v>#REF!</v>
      </c>
      <c r="J266" s="116" t="e">
        <f>Master!#REF!</f>
        <v>#REF!</v>
      </c>
      <c r="K266" s="66"/>
    </row>
    <row r="267" spans="2:11" ht="15.75">
      <c r="B267" s="183"/>
      <c r="C267" s="190"/>
      <c r="D267" s="183"/>
      <c r="E267" s="183"/>
      <c r="F267" s="183"/>
      <c r="G267" s="183"/>
      <c r="H267" s="183"/>
      <c r="I267" s="183"/>
      <c r="J267" s="183"/>
      <c r="K267" s="66"/>
    </row>
    <row r="268" spans="2:11" ht="15.75">
      <c r="B268" s="67" t="s">
        <v>1170</v>
      </c>
      <c r="C268" s="67">
        <f>D268-1</f>
        <v>2011</v>
      </c>
      <c r="D268" s="67">
        <v>2012</v>
      </c>
      <c r="E268" s="67">
        <f t="shared" ref="E268:J268" si="36">D268+1</f>
        <v>2013</v>
      </c>
      <c r="F268" s="67">
        <f t="shared" si="36"/>
        <v>2014</v>
      </c>
      <c r="G268" s="67">
        <f t="shared" si="36"/>
        <v>2015</v>
      </c>
      <c r="H268" s="67">
        <f t="shared" si="36"/>
        <v>2016</v>
      </c>
      <c r="I268" s="67">
        <f t="shared" si="36"/>
        <v>2017</v>
      </c>
      <c r="J268" s="67">
        <f t="shared" si="36"/>
        <v>2018</v>
      </c>
      <c r="K268" s="66"/>
    </row>
    <row r="269" spans="2:11" ht="15.75">
      <c r="B269" s="183" t="s">
        <v>94</v>
      </c>
      <c r="C269" s="187">
        <f>(Master!J17-Master!I17)/(Master!J$28-Master!I$28)</f>
        <v>0.30702478464241056</v>
      </c>
      <c r="D269" s="187">
        <f>(Master!K17-Master!J17)/(Master!K$28-Master!J$28)</f>
        <v>0.32768412109287715</v>
      </c>
      <c r="E269" s="187">
        <f>(Master!L17-Master!K17)/(Master!L$28-Master!K$28)</f>
        <v>0.20798543258127467</v>
      </c>
      <c r="F269" s="187">
        <f>(Master!M17-Master!L17)/(Master!M$28-Master!L$28)</f>
        <v>0.1656178851505189</v>
      </c>
      <c r="G269" s="187">
        <f>(Master!N17-Master!M17)/(Master!N$28-Master!M$28)</f>
        <v>-6.7497731168700156E-2</v>
      </c>
      <c r="H269" s="187">
        <f>(Master!O17-Master!N17)/(Master!O$28-Master!N$28)</f>
        <v>0.28585132476868158</v>
      </c>
      <c r="I269" s="187">
        <f>(Master!P17-Master!O17)/(Master!P$28-Master!O$28)</f>
        <v>1.3365633074935426</v>
      </c>
      <c r="J269" s="187">
        <f>(Master!Q17-Master!P17)/(Master!Q$28-Master!P$28)</f>
        <v>0.74683724235963045</v>
      </c>
      <c r="K269" s="66"/>
    </row>
    <row r="270" spans="2:11" ht="15.75">
      <c r="B270" s="66" t="s">
        <v>97</v>
      </c>
      <c r="C270" s="69">
        <f>(Master!J23-Master!I23)/(Master!J$28-Master!I$28)</f>
        <v>0.2605456431096152</v>
      </c>
      <c r="D270" s="69">
        <f>(Master!K23-Master!J23)/(Master!K$28-Master!J$28)</f>
        <v>0.2960544947755967</v>
      </c>
      <c r="E270" s="69">
        <f>(Master!L23-Master!K23)/(Master!L$28-Master!K$28)</f>
        <v>0.36260881151181279</v>
      </c>
      <c r="F270" s="69">
        <f>(Master!M23-Master!L23)/(Master!M$28-Master!L$28)</f>
        <v>0.22138249430812093</v>
      </c>
      <c r="G270" s="69">
        <f>(Master!N23-Master!M23)/(Master!N$28-Master!M$28)</f>
        <v>0.22121105172935349</v>
      </c>
      <c r="H270" s="69">
        <f>(Master!O23-Master!N23)/(Master!O$28-Master!N$28)</f>
        <v>0.32635937537945975</v>
      </c>
      <c r="I270" s="69">
        <f>(Master!P23-Master!O23)/(Master!P$28-Master!O$28)</f>
        <v>-0.12711190618167362</v>
      </c>
      <c r="J270" s="69">
        <f>(Master!Q23-Master!P23)/(Master!Q$28-Master!P$28)</f>
        <v>-2.7718550106609809E-2</v>
      </c>
      <c r="K270" s="66"/>
    </row>
    <row r="271" spans="2:11" ht="15.75">
      <c r="B271" s="183" t="s">
        <v>52</v>
      </c>
      <c r="C271" s="187">
        <f>(Master!J21-Master!I21)/(Master!J$28-Master!I$28)</f>
        <v>0.38546362732025291</v>
      </c>
      <c r="D271" s="187">
        <f>(Master!K21-Master!J21)/(Master!K$28-Master!J$28)</f>
        <v>0.28842284130036216</v>
      </c>
      <c r="E271" s="187">
        <f>(Master!L21-Master!K21)/(Master!L$28-Master!K$28)</f>
        <v>0.34828566352815676</v>
      </c>
      <c r="F271" s="187">
        <f>(Master!M21-Master!L21)/(Master!M$28-Master!L$28)</f>
        <v>0.60055653933721354</v>
      </c>
      <c r="G271" s="187">
        <f>(Master!N21-Master!M21)/(Master!N$28-Master!M$28)</f>
        <v>0.95178733487949896</v>
      </c>
      <c r="H271" s="187">
        <f>(Master!O21-Master!N21)/(Master!O$28-Master!N$28)</f>
        <v>0.41325254389586441</v>
      </c>
      <c r="I271" s="187">
        <f>(Master!P21-Master!O21)/(Master!P$28-Master!O$28)</f>
        <v>-0.57463724905585611</v>
      </c>
      <c r="J271" s="187">
        <f>(Master!Q21-Master!P21)/(Master!Q$28-Master!P$28)</f>
        <v>0.45273631840796019</v>
      </c>
      <c r="K271" s="66"/>
    </row>
    <row r="272" spans="2:11" ht="15.75">
      <c r="B272" s="67" t="s">
        <v>107</v>
      </c>
      <c r="C272" s="73">
        <f>(Master!J25+Master!J20-Master!I25-Master!I20)/(Master!J$28-Master!I$28)</f>
        <v>-5.2701758841831375E-3</v>
      </c>
      <c r="D272" s="73">
        <f>(Master!K25+Master!K20-Master!J25-Master!J20)/(Master!K$28-Master!J$28)</f>
        <v>9.6483775283578641E-2</v>
      </c>
      <c r="E272" s="73">
        <f>(Master!L25+Master!L20-Master!K25-Master!K20)/(Master!L$28-Master!K$28)</f>
        <v>9.0824302718066921E-2</v>
      </c>
      <c r="F272" s="73">
        <f>(Master!M25+Master!M20-Master!L25-Master!L20)/(Master!M$28-Master!L$28)</f>
        <v>2.0696306602580442E-2</v>
      </c>
      <c r="G272" s="73">
        <f>(Master!N25+Master!N20-Master!M25-Master!M20)/(Master!N$28-Master!M$28)</f>
        <v>-1.0071090047393426E-2</v>
      </c>
      <c r="H272" s="73">
        <f>(Master!O25+Master!O20-Master!N25-Master!N20)/(Master!O$28-Master!N$28)</f>
        <v>8.548461519780455E-2</v>
      </c>
      <c r="I272" s="73">
        <f>(Master!P25+Master!P20-Master!O25-Master!O20)/(Master!P$28-Master!O$28)</f>
        <v>0.22475650964023086</v>
      </c>
      <c r="J272" s="73">
        <f>(Master!Q25+Master!Q20-Master!P25-Master!P20)/(Master!Q$28-Master!P$28)</f>
        <v>3.6958066808813077E-2</v>
      </c>
      <c r="K272" s="66"/>
    </row>
    <row r="273" spans="2:11" ht="15.75">
      <c r="B273" s="66"/>
      <c r="E273" s="66"/>
      <c r="F273" s="66"/>
      <c r="G273" s="66"/>
      <c r="I273" s="66"/>
      <c r="J273" s="66"/>
      <c r="K273" s="66"/>
    </row>
    <row r="274" spans="2:11" ht="15.75">
      <c r="B274" s="66"/>
      <c r="C274" s="66"/>
      <c r="D274" s="66"/>
      <c r="E274" s="66"/>
      <c r="F274" s="66"/>
      <c r="G274" s="66"/>
      <c r="H274" s="66"/>
      <c r="I274" s="66"/>
      <c r="J274" s="66"/>
      <c r="K274" s="66"/>
    </row>
    <row r="275" spans="2:11" ht="15.75">
      <c r="B275" s="66" t="s">
        <v>1171</v>
      </c>
      <c r="C275" s="66"/>
    </row>
    <row r="276" spans="2:11" ht="15.75">
      <c r="B276" s="66"/>
      <c r="C276" s="66"/>
    </row>
    <row r="277" spans="2:11" ht="15.75">
      <c r="B277" s="67" t="s">
        <v>1172</v>
      </c>
      <c r="C277" s="67">
        <v>2013</v>
      </c>
      <c r="D277" s="67">
        <f>C277+1</f>
        <v>2014</v>
      </c>
      <c r="E277" s="67">
        <f>D277+1</f>
        <v>2015</v>
      </c>
      <c r="F277" s="67">
        <f>E277+1</f>
        <v>2016</v>
      </c>
    </row>
    <row r="278" spans="2:11" ht="15.75">
      <c r="B278" s="66" t="s">
        <v>34</v>
      </c>
      <c r="C278" s="125">
        <v>455.26776417327909</v>
      </c>
      <c r="D278" s="125">
        <v>525.27958585233864</v>
      </c>
      <c r="E278" s="125">
        <v>589.94571203416638</v>
      </c>
      <c r="F278" s="125">
        <v>641.28017456118118</v>
      </c>
    </row>
    <row r="279" spans="2:11" ht="15.75">
      <c r="B279" s="66" t="s">
        <v>35</v>
      </c>
      <c r="C279" s="125">
        <v>260.15300809901657</v>
      </c>
      <c r="D279" s="125">
        <v>280.14911245458063</v>
      </c>
      <c r="E279" s="125">
        <v>285.45760259717724</v>
      </c>
      <c r="F279" s="125">
        <v>310.29685865863604</v>
      </c>
    </row>
    <row r="280" spans="2:11" ht="15.75">
      <c r="B280" s="66" t="s">
        <v>36</v>
      </c>
      <c r="C280" s="125">
        <f>C278-C279</f>
        <v>195.11475607426252</v>
      </c>
      <c r="D280" s="125">
        <f>D278-D279</f>
        <v>245.13047339775801</v>
      </c>
      <c r="E280" s="125">
        <f>E278-E279</f>
        <v>304.48810943698913</v>
      </c>
      <c r="F280" s="125">
        <f>F278-F279</f>
        <v>330.98331590254514</v>
      </c>
    </row>
    <row r="281" spans="2:11" ht="15.75">
      <c r="B281" s="66"/>
      <c r="C281" s="66"/>
    </row>
    <row r="282" spans="2:11" ht="15.75">
      <c r="B282" s="67" t="s">
        <v>1173</v>
      </c>
      <c r="C282" s="67">
        <f>C277</f>
        <v>2013</v>
      </c>
      <c r="D282" s="67">
        <f>D277</f>
        <v>2014</v>
      </c>
      <c r="E282" s="67">
        <f>E277</f>
        <v>2015</v>
      </c>
      <c r="F282" s="67">
        <f>F277</f>
        <v>2016</v>
      </c>
    </row>
    <row r="283" spans="2:11" ht="15.75">
      <c r="B283" s="66" t="str">
        <f>B278</f>
        <v>EBITDA</v>
      </c>
      <c r="C283" s="71">
        <f t="shared" ref="C283:F285" si="37">C278*$C$288</f>
        <v>610.05880399219404</v>
      </c>
      <c r="D283" s="71">
        <f t="shared" si="37"/>
        <v>703.87464504213381</v>
      </c>
      <c r="E283" s="71">
        <f t="shared" si="37"/>
        <v>790.52725412578297</v>
      </c>
      <c r="F283" s="71">
        <f t="shared" si="37"/>
        <v>859.31543391198284</v>
      </c>
    </row>
    <row r="284" spans="2:11" ht="15.75">
      <c r="B284" s="66" t="str">
        <f>B279</f>
        <v>Capex</v>
      </c>
      <c r="C284" s="71">
        <f t="shared" si="37"/>
        <v>348.60503085268221</v>
      </c>
      <c r="D284" s="71">
        <f t="shared" si="37"/>
        <v>375.39981068913806</v>
      </c>
      <c r="E284" s="71">
        <f t="shared" si="37"/>
        <v>382.51318748021754</v>
      </c>
      <c r="F284" s="71">
        <f t="shared" si="37"/>
        <v>415.79779060257232</v>
      </c>
    </row>
    <row r="285" spans="2:11" ht="15.75">
      <c r="B285" s="66" t="str">
        <f>B280</f>
        <v>OpFCF</v>
      </c>
      <c r="C285" s="71">
        <f t="shared" si="37"/>
        <v>261.45377313951178</v>
      </c>
      <c r="D285" s="71">
        <f t="shared" si="37"/>
        <v>328.47483435299574</v>
      </c>
      <c r="E285" s="71">
        <f t="shared" si="37"/>
        <v>408.01406664556549</v>
      </c>
      <c r="F285" s="71">
        <f t="shared" si="37"/>
        <v>443.51764330941052</v>
      </c>
    </row>
    <row r="286" spans="2:11" ht="15.75">
      <c r="B286" s="66"/>
      <c r="C286" s="66"/>
    </row>
    <row r="287" spans="2:11" ht="15.75">
      <c r="B287" s="66" t="s">
        <v>1174</v>
      </c>
      <c r="C287" s="125">
        <v>3158</v>
      </c>
    </row>
    <row r="288" spans="2:11" ht="15.75">
      <c r="B288" s="66" t="s">
        <v>1175</v>
      </c>
      <c r="C288" s="66">
        <v>1.34</v>
      </c>
    </row>
    <row r="289" spans="2:11" ht="15.75">
      <c r="B289" s="66"/>
      <c r="C289" s="66"/>
    </row>
    <row r="290" spans="2:11" ht="15.75">
      <c r="B290" s="67"/>
      <c r="C290" s="67"/>
      <c r="D290" s="215" t="s">
        <v>128</v>
      </c>
    </row>
    <row r="291" spans="2:11" ht="15.75">
      <c r="B291" s="66" t="s">
        <v>1176</v>
      </c>
      <c r="D291" s="125">
        <f>C287*C288</f>
        <v>4231.72</v>
      </c>
    </row>
    <row r="292" spans="2:11" ht="15.75">
      <c r="B292" s="66" t="s">
        <v>1177</v>
      </c>
      <c r="D292" s="69">
        <v>0.25</v>
      </c>
    </row>
    <row r="293" spans="2:11" ht="15.75">
      <c r="B293" s="66" t="s">
        <v>1178</v>
      </c>
      <c r="D293" s="125">
        <f>C287*C288*(1+D292)</f>
        <v>5289.6500000000005</v>
      </c>
    </row>
    <row r="294" spans="2:11" ht="15.75">
      <c r="B294" s="66" t="s">
        <v>1179</v>
      </c>
      <c r="D294" s="156">
        <f>D293/C283</f>
        <v>8.6707215196056477</v>
      </c>
    </row>
    <row r="295" spans="2:11" ht="15.75">
      <c r="B295" s="66" t="s">
        <v>1180</v>
      </c>
      <c r="D295" s="156">
        <f>D293/C285</f>
        <v>20.231683545746506</v>
      </c>
    </row>
    <row r="296" spans="2:11" ht="15.75">
      <c r="B296" s="66"/>
      <c r="D296" s="125"/>
    </row>
    <row r="297" spans="2:11" ht="15.75">
      <c r="B297" s="66" t="s">
        <v>1181</v>
      </c>
      <c r="D297" s="125">
        <f>D293*0.5</f>
        <v>2644.8250000000003</v>
      </c>
    </row>
    <row r="298" spans="2:11" ht="15.75">
      <c r="B298" s="66" t="s">
        <v>550</v>
      </c>
      <c r="D298" s="75">
        <v>0.05</v>
      </c>
    </row>
    <row r="299" spans="2:11" ht="15.75">
      <c r="B299" s="66" t="s">
        <v>1182</v>
      </c>
      <c r="D299" s="71">
        <f>D298*D297*0.7</f>
        <v>92.568875000000006</v>
      </c>
      <c r="E299" s="66"/>
      <c r="F299" s="66"/>
      <c r="G299" s="66"/>
      <c r="H299" s="66"/>
      <c r="I299" s="66"/>
      <c r="J299" s="66"/>
      <c r="K299" s="66"/>
    </row>
    <row r="300" spans="2:11" ht="15.75">
      <c r="B300" s="66"/>
      <c r="C300" s="71"/>
      <c r="D300" s="66" t="s">
        <v>57</v>
      </c>
      <c r="E300" s="66"/>
      <c r="F300" s="66"/>
      <c r="G300" s="66"/>
      <c r="H300" s="66"/>
      <c r="I300" s="66"/>
      <c r="J300" s="66"/>
      <c r="K300" s="66"/>
    </row>
    <row r="301" spans="2:11" ht="15.75">
      <c r="B301" s="67" t="s">
        <v>1155</v>
      </c>
      <c r="C301" s="68" t="s">
        <v>1183</v>
      </c>
      <c r="D301" s="68" t="s">
        <v>1184</v>
      </c>
      <c r="F301" t="s">
        <v>57</v>
      </c>
    </row>
    <row r="302" spans="2:11" ht="15.75">
      <c r="B302" s="66" t="s">
        <v>1185</v>
      </c>
      <c r="C302" s="125">
        <f>Master!L63/Valuation!I19</f>
        <v>2210.468408356191</v>
      </c>
      <c r="D302" s="125">
        <f>C302</f>
        <v>2210.468408356191</v>
      </c>
      <c r="E302" s="66"/>
      <c r="F302" s="66"/>
      <c r="G302" s="66"/>
      <c r="H302" s="66"/>
      <c r="I302" s="66"/>
      <c r="J302" s="66"/>
      <c r="K302" s="66"/>
    </row>
    <row r="303" spans="2:11" ht="15.75">
      <c r="B303" s="66" t="s">
        <v>1186</v>
      </c>
      <c r="C303" s="125">
        <f>Valuation!I15</f>
        <v>2742.398119122257</v>
      </c>
      <c r="D303" s="125">
        <f>C303+D297+D299</f>
        <v>5479.7919941222572</v>
      </c>
    </row>
    <row r="304" spans="2:11" ht="15.75">
      <c r="B304" s="66" t="s">
        <v>1187</v>
      </c>
      <c r="C304" s="156">
        <f>C303/C302</f>
        <v>1.2406411730451439</v>
      </c>
      <c r="D304" s="156">
        <f>D303/D302</f>
        <v>2.4790184620631108</v>
      </c>
    </row>
    <row r="305" spans="2:11" ht="15.75">
      <c r="B305" s="66"/>
      <c r="C305" s="156"/>
    </row>
    <row r="306" spans="2:11" ht="15.75">
      <c r="B306" s="66" t="s">
        <v>1188</v>
      </c>
      <c r="C306" s="125" t="e">
        <f>Valuation!#REF!</f>
        <v>#REF!</v>
      </c>
      <c r="D306" s="125" t="e">
        <f>C306+0.5*C283</f>
        <v>#REF!</v>
      </c>
      <c r="E306" s="66"/>
      <c r="F306" s="66"/>
      <c r="G306" s="66"/>
      <c r="H306" s="66"/>
      <c r="I306" s="66"/>
      <c r="J306" s="66"/>
      <c r="K306" s="66"/>
    </row>
    <row r="307" spans="2:11" ht="15.75">
      <c r="B307" s="66" t="s">
        <v>1189</v>
      </c>
      <c r="C307" s="125" t="e">
        <f>Valuation!#REF!</f>
        <v>#REF!</v>
      </c>
      <c r="D307" s="125" t="e">
        <f>C307+D297+D299</f>
        <v>#REF!</v>
      </c>
      <c r="E307" s="66"/>
      <c r="F307" s="66"/>
      <c r="G307" s="66"/>
      <c r="H307" s="66"/>
      <c r="I307" s="66"/>
      <c r="J307" s="66"/>
      <c r="K307" s="66"/>
    </row>
    <row r="308" spans="2:11" ht="15.75">
      <c r="B308" s="66" t="s">
        <v>1190</v>
      </c>
      <c r="C308" s="156" t="e">
        <f>C307/C306</f>
        <v>#REF!</v>
      </c>
      <c r="D308" s="156" t="e">
        <f>D307/D306</f>
        <v>#REF!</v>
      </c>
      <c r="E308" s="66"/>
      <c r="F308" s="66"/>
      <c r="G308" s="66"/>
      <c r="H308" s="66"/>
      <c r="I308" s="66"/>
      <c r="J308" s="66"/>
      <c r="K308" s="66"/>
    </row>
    <row r="309" spans="2:11" ht="15.75">
      <c r="B309" s="66"/>
      <c r="C309" s="156"/>
    </row>
    <row r="310" spans="2:11" ht="15.75">
      <c r="B310" s="66"/>
      <c r="C310" s="125"/>
      <c r="D310" s="66"/>
      <c r="E310" s="66"/>
      <c r="F310" s="66"/>
      <c r="G310" s="66"/>
      <c r="H310" s="66"/>
      <c r="I310" s="66"/>
      <c r="J310" s="66"/>
      <c r="K310" s="66"/>
    </row>
    <row r="311" spans="2:11" ht="15.75">
      <c r="B311" s="67" t="s">
        <v>582</v>
      </c>
      <c r="C311" s="67">
        <v>2012</v>
      </c>
      <c r="D311" s="67">
        <f>C311+1</f>
        <v>2013</v>
      </c>
      <c r="E311" s="67">
        <f>D311+1</f>
        <v>2014</v>
      </c>
      <c r="F311" s="66"/>
      <c r="G311" s="66"/>
      <c r="H311" s="66"/>
      <c r="I311" s="66"/>
      <c r="J311" s="66"/>
      <c r="K311" s="66"/>
    </row>
    <row r="312" spans="2:11" ht="15.75">
      <c r="B312" s="66" t="str">
        <f>Master!B14</f>
        <v>Network Subscription Revenue</v>
      </c>
      <c r="C312" s="125">
        <f>Master!K14</f>
        <v>3189.2000000000003</v>
      </c>
      <c r="D312" s="125">
        <f>Master!L14</f>
        <v>3265.5999999999995</v>
      </c>
      <c r="E312" s="125">
        <f>Master!M14</f>
        <v>2854.4</v>
      </c>
      <c r="F312" s="66"/>
      <c r="G312" s="66"/>
      <c r="H312" s="66"/>
      <c r="I312" s="66"/>
      <c r="J312" s="66"/>
      <c r="K312" s="66"/>
    </row>
    <row r="313" spans="2:11" ht="15.75">
      <c r="B313" s="66" t="s">
        <v>1191</v>
      </c>
      <c r="C313" s="125"/>
      <c r="D313" s="66"/>
      <c r="E313" s="125">
        <f>-0.5*E312</f>
        <v>-1427.2</v>
      </c>
      <c r="F313" s="66"/>
      <c r="G313" s="66"/>
      <c r="H313" s="66"/>
      <c r="I313" s="66"/>
      <c r="J313" s="66"/>
      <c r="K313" s="66"/>
    </row>
    <row r="314" spans="2:11" ht="15.75">
      <c r="B314" s="66" t="s">
        <v>1192</v>
      </c>
      <c r="C314" s="112"/>
      <c r="D314" s="66"/>
      <c r="E314" s="69">
        <f>E313/Master!M26</f>
        <v>-1.7509937674829466E-2</v>
      </c>
      <c r="F314" s="66"/>
      <c r="G314" s="66"/>
      <c r="H314" s="66"/>
      <c r="I314" s="66"/>
      <c r="J314" s="66"/>
      <c r="K314" s="66"/>
    </row>
    <row r="315" spans="2:11" ht="15.75">
      <c r="B315" s="66"/>
      <c r="C315" s="72"/>
      <c r="D315" s="66"/>
      <c r="E315" s="66"/>
      <c r="F315" s="66"/>
      <c r="G315" s="66"/>
      <c r="H315" s="66"/>
      <c r="I315" s="66"/>
      <c r="J315" s="66"/>
      <c r="K315" s="66"/>
    </row>
    <row r="316" spans="2:11" ht="15.75">
      <c r="B316" s="66" t="s">
        <v>1193</v>
      </c>
      <c r="C316" s="72"/>
      <c r="D316" s="66"/>
      <c r="E316" s="125">
        <f>0.6*E313</f>
        <v>-856.32</v>
      </c>
      <c r="F316" s="66"/>
      <c r="G316" s="66"/>
      <c r="H316" s="66"/>
      <c r="I316" s="66"/>
      <c r="J316" s="66"/>
      <c r="K316" s="66"/>
    </row>
    <row r="317" spans="2:11" ht="15.75">
      <c r="B317" s="66" t="s">
        <v>1194</v>
      </c>
      <c r="C317" s="214"/>
      <c r="D317" s="66"/>
      <c r="E317" s="125">
        <f>E313-E316</f>
        <v>-570.88</v>
      </c>
      <c r="F317" s="66"/>
      <c r="G317" s="66"/>
      <c r="H317" s="66"/>
      <c r="I317" s="66"/>
      <c r="J317" s="66"/>
      <c r="K317" s="66"/>
    </row>
    <row r="318" spans="2:11" ht="15.75">
      <c r="B318" s="66" t="s">
        <v>1195</v>
      </c>
      <c r="C318" s="66"/>
      <c r="D318" s="66"/>
      <c r="E318" s="69">
        <f>E317/Master!M63</f>
        <v>-1.9024323594786705E-2</v>
      </c>
      <c r="F318" s="66"/>
      <c r="G318" s="66"/>
      <c r="H318" s="66"/>
      <c r="I318" s="66"/>
      <c r="J318" s="66"/>
      <c r="K318" s="66"/>
    </row>
    <row r="319" spans="2:11" ht="15.75">
      <c r="B319" s="66"/>
      <c r="C319" s="66"/>
      <c r="D319" s="66"/>
      <c r="E319" s="66"/>
      <c r="F319" s="66"/>
      <c r="G319" s="66"/>
      <c r="H319" s="66"/>
      <c r="I319" s="66"/>
      <c r="J319" s="66"/>
      <c r="K319" s="66"/>
    </row>
    <row r="320" spans="2:11" ht="15.75">
      <c r="B320" s="66"/>
      <c r="C320" s="66"/>
      <c r="D320" s="66"/>
      <c r="E320" s="66"/>
      <c r="F320" s="66"/>
      <c r="G320" s="66"/>
      <c r="H320" s="66"/>
      <c r="I320" s="66"/>
      <c r="J320" s="66"/>
      <c r="K320" s="66"/>
    </row>
    <row r="321" spans="2:11" ht="15.75">
      <c r="B321" s="74" t="s">
        <v>1196</v>
      </c>
      <c r="C321" s="66"/>
      <c r="D321" s="66"/>
      <c r="E321" s="66"/>
      <c r="F321" s="66"/>
      <c r="G321" s="66"/>
      <c r="H321" s="66"/>
      <c r="I321" s="66"/>
      <c r="J321" s="66"/>
      <c r="K321" s="66"/>
    </row>
    <row r="322" spans="2:11" ht="15.75">
      <c r="B322" s="66"/>
      <c r="C322" s="66"/>
      <c r="D322" s="66"/>
      <c r="E322" s="66"/>
      <c r="F322" s="66"/>
      <c r="G322" s="66"/>
      <c r="H322" s="66"/>
      <c r="I322" s="66"/>
      <c r="J322" s="66"/>
      <c r="K322" s="66"/>
    </row>
    <row r="323" spans="2:11" ht="15.75">
      <c r="B323" s="217" t="s">
        <v>1197</v>
      </c>
      <c r="C323" s="217">
        <v>2013</v>
      </c>
      <c r="D323" s="217">
        <f>C323+1</f>
        <v>2014</v>
      </c>
      <c r="E323" s="217">
        <f>D323+1</f>
        <v>2015</v>
      </c>
      <c r="F323" s="66"/>
      <c r="G323" s="66"/>
      <c r="H323" s="66"/>
      <c r="I323" s="66"/>
      <c r="J323" s="66"/>
      <c r="K323" s="66"/>
    </row>
    <row r="324" spans="2:11" ht="15.75">
      <c r="B324" s="66" t="s">
        <v>907</v>
      </c>
      <c r="C324" s="125">
        <f>Master!L132</f>
        <v>73793.600000000006</v>
      </c>
      <c r="D324" s="125">
        <f>Master!M132</f>
        <v>80118.399999999994</v>
      </c>
      <c r="E324" s="125">
        <f>Master!N132</f>
        <v>88052</v>
      </c>
      <c r="F324" s="66"/>
      <c r="G324" s="66"/>
      <c r="H324" s="66"/>
      <c r="I324" s="66"/>
      <c r="J324" s="66"/>
      <c r="K324" s="66"/>
    </row>
    <row r="325" spans="2:11" ht="15.75">
      <c r="B325" s="66" t="s">
        <v>34</v>
      </c>
      <c r="C325" s="125">
        <f>Master!L140</f>
        <v>28205.576890624998</v>
      </c>
      <c r="D325" s="125">
        <f>Master!M140</f>
        <v>30007.9</v>
      </c>
      <c r="E325" s="125">
        <f>Master!N140</f>
        <v>32375.299999999992</v>
      </c>
      <c r="F325" s="66"/>
      <c r="G325" s="66"/>
      <c r="H325" s="66"/>
      <c r="I325" s="66"/>
      <c r="J325" s="66"/>
      <c r="K325" s="66"/>
    </row>
    <row r="326" spans="2:11" ht="15.75">
      <c r="B326" s="66" t="s">
        <v>35</v>
      </c>
      <c r="C326" s="125">
        <f>Master!L87</f>
        <v>14773.527999999998</v>
      </c>
      <c r="D326" s="125">
        <f>Master!M87</f>
        <v>16944.960999999999</v>
      </c>
      <c r="E326" s="125">
        <f>Master!N87</f>
        <v>25477.698</v>
      </c>
      <c r="F326" s="66"/>
      <c r="G326" s="66"/>
      <c r="H326" s="66"/>
      <c r="I326" s="66"/>
      <c r="J326" s="66"/>
      <c r="K326" s="66"/>
    </row>
    <row r="327" spans="2:11" ht="15.75">
      <c r="B327" s="66" t="s">
        <v>1198</v>
      </c>
      <c r="C327" s="125">
        <f>C325-C326</f>
        <v>13432.048890624999</v>
      </c>
      <c r="D327" s="125">
        <f>D325-D326</f>
        <v>13062.939000000002</v>
      </c>
      <c r="E327" s="125">
        <f>E325-E326</f>
        <v>6897.6019999999917</v>
      </c>
      <c r="F327" s="66"/>
      <c r="G327" s="66"/>
      <c r="H327" s="66"/>
      <c r="I327" s="66"/>
      <c r="J327" s="66"/>
      <c r="K327" s="66"/>
    </row>
    <row r="328" spans="2:11" ht="15.75">
      <c r="B328" s="66"/>
      <c r="C328" s="66"/>
      <c r="D328" s="66"/>
      <c r="E328" s="66"/>
      <c r="F328" s="66"/>
      <c r="G328" s="66"/>
      <c r="H328" s="66"/>
      <c r="I328" s="66"/>
      <c r="J328" s="66"/>
      <c r="K328" s="66"/>
    </row>
    <row r="329" spans="2:11" ht="15.75">
      <c r="B329" s="66" t="s">
        <v>1199</v>
      </c>
      <c r="C329" s="66"/>
      <c r="D329" s="66"/>
      <c r="E329" s="66"/>
      <c r="F329" s="66"/>
      <c r="G329" s="66"/>
      <c r="H329" s="66"/>
      <c r="I329" s="66"/>
      <c r="J329" s="66"/>
      <c r="K329" s="66"/>
    </row>
    <row r="330" spans="2:11" ht="15.75">
      <c r="B330" s="66" t="s">
        <v>907</v>
      </c>
      <c r="C330" s="125">
        <v>74796.3900172391</v>
      </c>
      <c r="D330" s="125">
        <v>78837.38305603074</v>
      </c>
      <c r="E330" s="125">
        <v>85212.996755716857</v>
      </c>
      <c r="F330" s="66"/>
      <c r="G330" s="66"/>
      <c r="H330" s="66"/>
      <c r="I330" s="66"/>
      <c r="J330" s="66"/>
      <c r="K330" s="66"/>
    </row>
    <row r="331" spans="2:11" ht="15.75">
      <c r="B331" s="66" t="s">
        <v>34</v>
      </c>
      <c r="C331" s="125">
        <v>28521.335989399457</v>
      </c>
      <c r="D331" s="125">
        <v>30064.277176346146</v>
      </c>
      <c r="E331" s="125">
        <v>32268.006798440932</v>
      </c>
      <c r="F331" s="66"/>
      <c r="G331" s="66"/>
      <c r="H331" s="66"/>
      <c r="I331" s="66"/>
      <c r="J331" s="66"/>
      <c r="K331" s="66"/>
    </row>
    <row r="332" spans="2:11" ht="15.75">
      <c r="B332" s="66" t="s">
        <v>35</v>
      </c>
      <c r="C332" s="125">
        <v>12780.714648999809</v>
      </c>
      <c r="D332" s="125">
        <v>11819.466754577512</v>
      </c>
      <c r="E332" s="125">
        <v>10803.268334036376</v>
      </c>
      <c r="F332" s="66"/>
      <c r="G332" s="66"/>
      <c r="H332" s="66"/>
      <c r="I332" s="66"/>
      <c r="J332" s="66"/>
      <c r="K332" s="66"/>
    </row>
    <row r="333" spans="2:11" ht="15.75">
      <c r="B333" s="66" t="s">
        <v>1198</v>
      </c>
      <c r="C333" s="125">
        <f>C331-C332</f>
        <v>15740.621340399648</v>
      </c>
      <c r="D333" s="125">
        <f>D331-D332</f>
        <v>18244.810421768634</v>
      </c>
      <c r="E333" s="125">
        <f>E331-E332</f>
        <v>21464.738464404556</v>
      </c>
      <c r="F333" s="66"/>
      <c r="G333" s="66"/>
      <c r="H333" s="66"/>
      <c r="I333" s="66"/>
      <c r="J333" s="66"/>
      <c r="K333" s="66"/>
    </row>
    <row r="334" spans="2:11" ht="15.75">
      <c r="B334" s="66"/>
      <c r="C334" s="66"/>
      <c r="D334" s="66"/>
      <c r="E334" s="66"/>
      <c r="F334" s="66"/>
      <c r="G334" s="66"/>
      <c r="H334" s="66"/>
      <c r="I334" s="66"/>
      <c r="J334" s="66"/>
      <c r="K334" s="66"/>
    </row>
    <row r="335" spans="2:11" ht="15.75">
      <c r="B335" s="66" t="s">
        <v>205</v>
      </c>
      <c r="C335" s="66"/>
      <c r="D335" s="66"/>
      <c r="E335" s="66"/>
      <c r="F335" s="66"/>
      <c r="G335" s="66"/>
      <c r="H335" s="66"/>
      <c r="I335" s="66"/>
      <c r="J335" s="66"/>
      <c r="K335" s="66"/>
    </row>
    <row r="336" spans="2:11" ht="15.75">
      <c r="B336" s="66" t="s">
        <v>907</v>
      </c>
      <c r="C336" s="116">
        <f t="shared" ref="C336:E339" si="38">C324/C330-1</f>
        <v>-1.3406930695558539E-2</v>
      </c>
      <c r="D336" s="116">
        <f t="shared" si="38"/>
        <v>1.6248851678128728E-2</v>
      </c>
      <c r="E336" s="116">
        <f t="shared" si="38"/>
        <v>3.3316552079746931E-2</v>
      </c>
      <c r="F336" s="66"/>
      <c r="G336" s="66"/>
      <c r="H336" s="66"/>
      <c r="I336" s="66"/>
      <c r="J336" s="66"/>
      <c r="K336" s="66"/>
    </row>
    <row r="337" spans="2:11" ht="15.75">
      <c r="B337" s="66" t="s">
        <v>34</v>
      </c>
      <c r="C337" s="116">
        <f t="shared" si="38"/>
        <v>-1.1070978543635479E-2</v>
      </c>
      <c r="D337" s="116">
        <f t="shared" si="38"/>
        <v>-1.8752214136217304E-3</v>
      </c>
      <c r="E337" s="116">
        <f t="shared" si="38"/>
        <v>3.3250644277242891E-3</v>
      </c>
      <c r="F337" s="66"/>
      <c r="G337" s="66"/>
      <c r="H337" s="66"/>
      <c r="I337" s="66"/>
      <c r="J337" s="66"/>
      <c r="K337" s="66"/>
    </row>
    <row r="338" spans="2:11" ht="15.75">
      <c r="B338" s="66" t="s">
        <v>35</v>
      </c>
      <c r="C338" s="116">
        <f t="shared" si="38"/>
        <v>0.15592346795381617</v>
      </c>
      <c r="D338" s="116">
        <f t="shared" si="38"/>
        <v>0.43364851831724605</v>
      </c>
      <c r="E338" s="116">
        <f t="shared" si="38"/>
        <v>1.3583324242471058</v>
      </c>
      <c r="F338" s="66"/>
      <c r="G338" s="66"/>
      <c r="H338" s="66"/>
      <c r="I338" s="66"/>
      <c r="J338" s="66"/>
      <c r="K338" s="66"/>
    </row>
    <row r="339" spans="2:11" ht="15.75">
      <c r="B339" s="66" t="s">
        <v>1198</v>
      </c>
      <c r="C339" s="116">
        <f t="shared" si="38"/>
        <v>-0.14666336225556109</v>
      </c>
      <c r="D339" s="116">
        <f t="shared" si="38"/>
        <v>-0.28401892384619831</v>
      </c>
      <c r="E339" s="116">
        <f t="shared" si="38"/>
        <v>-0.67865427238079623</v>
      </c>
      <c r="F339" s="66"/>
      <c r="G339" s="66"/>
      <c r="H339" s="66"/>
      <c r="I339" s="66"/>
      <c r="J339" s="66"/>
      <c r="K339" s="66"/>
    </row>
    <row r="340" spans="2:11" ht="15.75">
      <c r="B340" s="66"/>
      <c r="C340" s="66"/>
      <c r="D340" s="66"/>
      <c r="E340" s="66"/>
      <c r="F340" s="66"/>
      <c r="G340" s="66"/>
      <c r="H340" s="66"/>
      <c r="I340" s="66"/>
      <c r="J340" s="66"/>
      <c r="K340" s="66"/>
    </row>
    <row r="341" spans="2:11" ht="15.75">
      <c r="B341" s="217" t="s">
        <v>1200</v>
      </c>
      <c r="C341" s="217">
        <f>C323</f>
        <v>2013</v>
      </c>
      <c r="D341" s="217">
        <f>D323</f>
        <v>2014</v>
      </c>
      <c r="E341" s="217">
        <f>E323</f>
        <v>2015</v>
      </c>
      <c r="F341" s="66"/>
      <c r="G341" s="66"/>
      <c r="H341" s="66"/>
      <c r="I341" s="66"/>
      <c r="J341" s="66"/>
      <c r="K341" s="66"/>
    </row>
    <row r="342" spans="2:11" ht="15.75">
      <c r="B342" s="66" t="s">
        <v>907</v>
      </c>
      <c r="C342" s="125">
        <f>Master!L132</f>
        <v>73793.600000000006</v>
      </c>
      <c r="D342" s="125">
        <f>Master!M132</f>
        <v>80118.399999999994</v>
      </c>
      <c r="E342" s="125">
        <f>Master!N132</f>
        <v>88052</v>
      </c>
      <c r="F342" s="66"/>
      <c r="G342" s="66"/>
      <c r="H342" s="66"/>
      <c r="I342" s="66"/>
      <c r="J342" s="66"/>
      <c r="K342" s="66"/>
    </row>
    <row r="343" spans="2:11" ht="15.75">
      <c r="B343" s="66" t="s">
        <v>34</v>
      </c>
      <c r="C343" s="125">
        <f>Master!L140</f>
        <v>28205.576890624998</v>
      </c>
      <c r="D343" s="125">
        <f>Master!M140</f>
        <v>30007.9</v>
      </c>
      <c r="E343" s="125">
        <f>Master!N140</f>
        <v>32375.299999999992</v>
      </c>
      <c r="F343" s="66"/>
      <c r="G343" s="66"/>
      <c r="H343" s="66"/>
      <c r="I343" s="66"/>
      <c r="J343" s="66"/>
      <c r="K343" s="66"/>
    </row>
    <row r="344" spans="2:11" ht="15.75">
      <c r="B344" s="66" t="s">
        <v>35</v>
      </c>
      <c r="C344" s="125">
        <f>Master!L87</f>
        <v>14773.527999999998</v>
      </c>
      <c r="D344" s="125">
        <f>Master!M87</f>
        <v>16944.960999999999</v>
      </c>
      <c r="E344" s="125">
        <f>Master!N87</f>
        <v>25477.698</v>
      </c>
      <c r="F344" s="66"/>
      <c r="G344" s="66"/>
      <c r="H344" s="66"/>
      <c r="I344" s="66"/>
      <c r="J344" s="66"/>
      <c r="K344" s="66"/>
    </row>
    <row r="345" spans="2:11" ht="15.75">
      <c r="B345" s="66" t="s">
        <v>1198</v>
      </c>
      <c r="C345" s="125">
        <f>C343-C344</f>
        <v>13432.048890624999</v>
      </c>
      <c r="D345" s="125">
        <f>D343-D344</f>
        <v>13062.939000000002</v>
      </c>
      <c r="E345" s="125">
        <f>E343-E344</f>
        <v>6897.6019999999917</v>
      </c>
      <c r="F345" s="66"/>
      <c r="G345" s="66"/>
      <c r="H345" s="66"/>
      <c r="I345" s="66"/>
      <c r="J345" s="66"/>
      <c r="K345" s="66"/>
    </row>
    <row r="346" spans="2:11" ht="15.75">
      <c r="B346" s="66"/>
      <c r="C346" s="66"/>
      <c r="D346" s="66"/>
      <c r="E346" s="66"/>
      <c r="F346" s="66"/>
      <c r="G346" s="66"/>
      <c r="H346" s="66"/>
      <c r="I346" s="66"/>
      <c r="J346" s="66"/>
      <c r="K346" s="66"/>
    </row>
    <row r="347" spans="2:11" ht="15.75">
      <c r="B347" s="66" t="s">
        <v>1199</v>
      </c>
      <c r="C347" s="66"/>
      <c r="D347" s="66"/>
      <c r="E347" s="66"/>
      <c r="F347" s="66"/>
      <c r="G347" s="66"/>
      <c r="H347" s="66"/>
      <c r="I347" s="66"/>
      <c r="J347" s="66"/>
      <c r="K347" s="66"/>
    </row>
    <row r="348" spans="2:11" ht="15.75">
      <c r="B348" s="66" t="s">
        <v>907</v>
      </c>
      <c r="C348" s="125">
        <v>73843.22788154961</v>
      </c>
      <c r="D348" s="125">
        <v>77553.659913962314</v>
      </c>
      <c r="E348" s="125">
        <v>83990.632000253638</v>
      </c>
      <c r="F348" s="66"/>
      <c r="G348" s="66"/>
      <c r="H348" s="66"/>
      <c r="I348" s="66"/>
      <c r="J348" s="66"/>
      <c r="K348" s="66"/>
    </row>
    <row r="349" spans="2:11" ht="15.75">
      <c r="B349" s="66" t="s">
        <v>34</v>
      </c>
      <c r="C349" s="125">
        <v>28209.765111564215</v>
      </c>
      <c r="D349" s="125">
        <v>29623.237487129179</v>
      </c>
      <c r="E349" s="125">
        <v>31938.980516344003</v>
      </c>
      <c r="F349" s="66"/>
      <c r="G349" s="66"/>
      <c r="H349" s="66"/>
      <c r="I349" s="66"/>
      <c r="J349" s="66"/>
      <c r="K349" s="66"/>
    </row>
    <row r="350" spans="2:11" ht="15.75">
      <c r="B350" s="66" t="s">
        <v>35</v>
      </c>
      <c r="C350" s="125">
        <v>12401.226332695038</v>
      </c>
      <c r="D350" s="125">
        <v>11483.875266287725</v>
      </c>
      <c r="E350" s="125">
        <v>10590.814147921705</v>
      </c>
      <c r="F350" s="66"/>
      <c r="G350" s="66"/>
      <c r="H350" s="66"/>
      <c r="I350" s="66"/>
      <c r="J350" s="66"/>
      <c r="K350" s="66"/>
    </row>
    <row r="351" spans="2:11" ht="15.75">
      <c r="B351" s="66" t="s">
        <v>1198</v>
      </c>
      <c r="C351" s="125">
        <f>C349-C350</f>
        <v>15808.538778869177</v>
      </c>
      <c r="D351" s="125">
        <f>D349-D350</f>
        <v>18139.362220841453</v>
      </c>
      <c r="E351" s="125">
        <f>E349-E350</f>
        <v>21348.166368422299</v>
      </c>
      <c r="F351" s="66"/>
      <c r="G351" s="66"/>
      <c r="H351" s="66"/>
      <c r="I351" s="66"/>
      <c r="J351" s="66"/>
      <c r="K351" s="66"/>
    </row>
    <row r="352" spans="2:11" ht="15.75">
      <c r="B352" s="66"/>
      <c r="C352" s="66"/>
      <c r="D352" s="66"/>
      <c r="E352" s="66"/>
      <c r="F352" s="66"/>
      <c r="G352" s="66"/>
      <c r="H352" s="66"/>
      <c r="I352" s="66"/>
      <c r="J352" s="66"/>
      <c r="K352" s="66"/>
    </row>
    <row r="353" spans="2:11" ht="15.75">
      <c r="B353" s="217" t="s">
        <v>205</v>
      </c>
      <c r="C353" s="217">
        <f>C341</f>
        <v>2013</v>
      </c>
      <c r="D353" s="217">
        <f>D341</f>
        <v>2014</v>
      </c>
      <c r="E353" s="217">
        <f>E341</f>
        <v>2015</v>
      </c>
      <c r="F353" s="66"/>
      <c r="G353" s="66"/>
      <c r="H353" s="66"/>
      <c r="I353" s="66"/>
      <c r="J353" s="66"/>
      <c r="K353" s="66"/>
    </row>
    <row r="354" spans="2:11" ht="15.75">
      <c r="B354" s="66" t="s">
        <v>907</v>
      </c>
      <c r="C354" s="116">
        <f t="shared" ref="C354:E357" si="39">C342/C348-1</f>
        <v>-6.7207085840303993E-4</v>
      </c>
      <c r="D354" s="116">
        <f t="shared" si="39"/>
        <v>3.3070522898377641E-2</v>
      </c>
      <c r="E354" s="116">
        <f t="shared" si="39"/>
        <v>4.8355011779576795E-2</v>
      </c>
      <c r="F354" s="66"/>
      <c r="G354" s="66"/>
      <c r="H354" s="66"/>
      <c r="I354" s="66"/>
      <c r="J354" s="66"/>
      <c r="K354" s="66"/>
    </row>
    <row r="355" spans="2:11" ht="15.75">
      <c r="B355" s="66" t="s">
        <v>34</v>
      </c>
      <c r="C355" s="116">
        <f t="shared" si="39"/>
        <v>-1.4846706176574465E-4</v>
      </c>
      <c r="D355" s="116">
        <f t="shared" si="39"/>
        <v>1.2985161160658176E-2</v>
      </c>
      <c r="E355" s="116">
        <f t="shared" si="39"/>
        <v>1.3661033527125666E-2</v>
      </c>
      <c r="F355" s="66"/>
      <c r="G355" s="66"/>
      <c r="H355" s="66"/>
      <c r="I355" s="66"/>
      <c r="J355" s="66"/>
      <c r="K355" s="66"/>
    </row>
    <row r="356" spans="2:11" ht="15.75">
      <c r="B356" s="66" t="s">
        <v>35</v>
      </c>
      <c r="C356" s="116">
        <f t="shared" si="39"/>
        <v>0.19129573186246418</v>
      </c>
      <c r="D356" s="116">
        <f t="shared" si="39"/>
        <v>0.47554380442845257</v>
      </c>
      <c r="E356" s="116">
        <f t="shared" si="39"/>
        <v>1.4056411191956979</v>
      </c>
      <c r="F356" s="66"/>
      <c r="G356" s="66"/>
      <c r="H356" s="66"/>
      <c r="I356" s="66"/>
      <c r="J356" s="66"/>
      <c r="K356" s="66"/>
    </row>
    <row r="357" spans="2:11" ht="15.75">
      <c r="B357" s="66" t="s">
        <v>1198</v>
      </c>
      <c r="C357" s="116">
        <f t="shared" si="39"/>
        <v>-0.15032950998739769</v>
      </c>
      <c r="D357" s="116">
        <f t="shared" si="39"/>
        <v>-0.27985676447922903</v>
      </c>
      <c r="E357" s="116">
        <f t="shared" si="39"/>
        <v>-0.67689955750940922</v>
      </c>
      <c r="F357" s="66"/>
      <c r="G357" s="66"/>
      <c r="H357" s="66"/>
      <c r="I357" s="66"/>
      <c r="J357" s="66"/>
      <c r="K357" s="66"/>
    </row>
    <row r="358" spans="2:11" ht="15.75">
      <c r="B358" s="66"/>
      <c r="C358" s="66"/>
      <c r="D358" s="66"/>
      <c r="E358" s="66"/>
      <c r="F358" s="66"/>
      <c r="G358" s="66"/>
      <c r="H358" s="66"/>
      <c r="I358" s="66"/>
      <c r="J358" s="66"/>
      <c r="K358" s="66"/>
    </row>
    <row r="359" spans="2:11" ht="15.75">
      <c r="B359" s="74" t="s">
        <v>1201</v>
      </c>
      <c r="C359" s="66"/>
      <c r="D359" s="66"/>
      <c r="E359" s="66"/>
      <c r="F359" s="66"/>
      <c r="G359" s="66"/>
      <c r="H359" s="66"/>
      <c r="I359" s="66"/>
      <c r="J359" s="66"/>
      <c r="K359" s="66"/>
    </row>
    <row r="360" spans="2:11" ht="15.75">
      <c r="B360" s="66"/>
      <c r="C360" s="66"/>
      <c r="D360" s="66"/>
      <c r="E360" s="66"/>
      <c r="F360" s="66"/>
      <c r="G360" s="66"/>
      <c r="H360" s="66"/>
      <c r="I360" s="66"/>
      <c r="J360" s="66"/>
      <c r="K360" s="66"/>
    </row>
    <row r="361" spans="2:11" ht="15.75">
      <c r="B361" s="66" t="s">
        <v>836</v>
      </c>
      <c r="C361" s="66">
        <v>1200</v>
      </c>
      <c r="D361" s="66"/>
      <c r="E361" s="66"/>
      <c r="F361" s="66"/>
      <c r="G361" s="66"/>
      <c r="H361" s="66"/>
      <c r="I361" s="66"/>
      <c r="J361" s="66"/>
      <c r="K361" s="66"/>
    </row>
    <row r="362" spans="2:11" ht="15.75">
      <c r="B362" s="141" t="s">
        <v>1202</v>
      </c>
      <c r="C362" s="66">
        <f>0.7*C361</f>
        <v>840</v>
      </c>
      <c r="D362" s="66"/>
      <c r="E362" s="66"/>
      <c r="F362" s="66"/>
      <c r="G362" s="66"/>
      <c r="H362" s="66"/>
      <c r="I362" s="66"/>
      <c r="J362" s="66"/>
      <c r="K362" s="66"/>
    </row>
    <row r="363" spans="2:11" ht="15.75">
      <c r="B363" s="141" t="s">
        <v>1203</v>
      </c>
      <c r="C363" s="66">
        <f>(C361-C362)/2</f>
        <v>180</v>
      </c>
      <c r="D363" s="66"/>
      <c r="E363" s="66"/>
      <c r="F363" s="66"/>
      <c r="G363" s="66"/>
      <c r="H363" s="66"/>
      <c r="I363" s="66"/>
      <c r="J363" s="66"/>
      <c r="K363" s="66"/>
    </row>
    <row r="364" spans="2:11" ht="15.75">
      <c r="B364" s="141" t="s">
        <v>1204</v>
      </c>
      <c r="C364" s="66">
        <f>C363</f>
        <v>180</v>
      </c>
      <c r="D364" s="66"/>
      <c r="E364" s="66"/>
      <c r="F364" s="66"/>
      <c r="G364" s="66"/>
      <c r="H364" s="66"/>
      <c r="I364" s="66"/>
      <c r="J364" s="66"/>
      <c r="K364" s="66"/>
    </row>
    <row r="365" spans="2:11" ht="15.75">
      <c r="C365" s="66"/>
      <c r="D365" s="66"/>
      <c r="E365" s="66"/>
      <c r="F365" s="66"/>
      <c r="G365" s="66"/>
      <c r="H365" s="66"/>
      <c r="I365" s="66"/>
      <c r="J365" s="66"/>
      <c r="K365" s="66"/>
    </row>
    <row r="366" spans="2:11" ht="15.75">
      <c r="B366" s="66" t="s">
        <v>1205</v>
      </c>
      <c r="C366" s="66">
        <v>3900</v>
      </c>
      <c r="D366" s="66">
        <f>C366/C$383</f>
        <v>293.0127723516153</v>
      </c>
      <c r="E366" s="66"/>
      <c r="F366" s="66"/>
      <c r="G366" s="66"/>
      <c r="H366" s="66"/>
      <c r="I366" s="66"/>
      <c r="J366" s="66"/>
      <c r="K366" s="66"/>
    </row>
    <row r="367" spans="2:11" ht="15.75">
      <c r="B367" s="66" t="s">
        <v>1206</v>
      </c>
      <c r="C367" s="66">
        <v>1600</v>
      </c>
      <c r="D367" s="71">
        <f>C367/C$383</f>
        <v>120.21036814425244</v>
      </c>
      <c r="E367" s="66"/>
      <c r="F367" s="66"/>
      <c r="G367" s="66"/>
      <c r="H367" s="66"/>
      <c r="I367" s="66"/>
      <c r="J367" s="66"/>
      <c r="K367" s="66"/>
    </row>
    <row r="368" spans="2:11" ht="15.75">
      <c r="B368" s="66"/>
      <c r="C368" s="66"/>
      <c r="D368" s="66"/>
      <c r="E368" s="66"/>
      <c r="F368" s="66"/>
      <c r="G368" s="66"/>
      <c r="H368" s="66"/>
      <c r="I368" s="66"/>
      <c r="J368" s="66"/>
      <c r="K368" s="66"/>
    </row>
    <row r="369" spans="2:11" ht="15.75">
      <c r="B369" s="67"/>
      <c r="C369" s="67"/>
      <c r="D369" s="68" t="s">
        <v>1207</v>
      </c>
      <c r="E369" s="66"/>
      <c r="F369" s="66"/>
      <c r="G369" s="66"/>
      <c r="H369" s="66"/>
      <c r="I369" s="66"/>
      <c r="J369" s="66"/>
      <c r="K369" s="66"/>
    </row>
    <row r="370" spans="2:11" ht="15.75">
      <c r="B370" s="66" t="s">
        <v>1208</v>
      </c>
      <c r="C370" s="69">
        <v>0.95</v>
      </c>
      <c r="D370" s="66">
        <v>7000</v>
      </c>
      <c r="E370" s="66"/>
      <c r="F370" s="66"/>
      <c r="G370" s="66"/>
      <c r="H370" s="66"/>
      <c r="I370" s="66"/>
      <c r="J370" s="66"/>
      <c r="K370" s="66"/>
    </row>
    <row r="371" spans="2:11" ht="15.75">
      <c r="B371" s="66" t="s">
        <v>1209</v>
      </c>
      <c r="C371" s="69">
        <v>0.51</v>
      </c>
      <c r="D371" s="66"/>
      <c r="E371" s="66"/>
      <c r="F371" s="66"/>
      <c r="G371" s="66"/>
      <c r="H371" s="66"/>
      <c r="I371" s="66"/>
      <c r="J371" s="66"/>
      <c r="K371" s="66"/>
    </row>
    <row r="372" spans="2:11" ht="15.75">
      <c r="B372" s="66" t="s">
        <v>1210</v>
      </c>
      <c r="C372" s="69"/>
      <c r="D372" s="71">
        <f>D370/C370/C371</f>
        <v>14447.884416924664</v>
      </c>
      <c r="E372" s="66"/>
      <c r="F372" s="71">
        <f>D372/C383</f>
        <v>1085.4909404150762</v>
      </c>
      <c r="G372" s="66"/>
      <c r="H372" s="66"/>
      <c r="I372" s="66"/>
      <c r="J372" s="66"/>
      <c r="K372" s="66"/>
    </row>
    <row r="373" spans="2:11" ht="15.75">
      <c r="B373" s="66" t="s">
        <v>1211</v>
      </c>
      <c r="C373" s="66"/>
      <c r="D373" s="112">
        <f>D372/C367</f>
        <v>9.0299277605779142</v>
      </c>
      <c r="E373" s="66"/>
      <c r="F373" s="66"/>
      <c r="G373" s="66"/>
      <c r="H373" s="66"/>
      <c r="I373" s="66"/>
      <c r="J373" s="66"/>
      <c r="K373" s="66"/>
    </row>
    <row r="374" spans="2:11" ht="15.75">
      <c r="B374" s="66"/>
      <c r="C374" s="66"/>
      <c r="D374" s="66"/>
      <c r="E374" s="66"/>
      <c r="F374" s="66"/>
      <c r="G374" s="66"/>
      <c r="H374" s="66"/>
      <c r="I374" s="66"/>
      <c r="J374" s="66"/>
      <c r="K374" s="66"/>
    </row>
    <row r="375" spans="2:11" ht="15.75">
      <c r="B375" s="66" t="s">
        <v>1212</v>
      </c>
      <c r="C375" s="66"/>
      <c r="D375" s="66"/>
      <c r="E375" s="66"/>
      <c r="F375" s="66"/>
      <c r="G375" s="66"/>
      <c r="H375" s="66"/>
      <c r="I375" s="66"/>
      <c r="J375" s="66"/>
      <c r="K375" s="66"/>
    </row>
    <row r="376" spans="2:11" ht="15.75">
      <c r="B376" s="66"/>
      <c r="C376" s="66"/>
      <c r="D376" s="66"/>
      <c r="E376" s="66"/>
      <c r="F376" s="66"/>
      <c r="G376" s="66"/>
      <c r="H376" s="66"/>
      <c r="I376" s="66"/>
      <c r="J376" s="66"/>
      <c r="K376" s="66"/>
    </row>
    <row r="377" spans="2:11" ht="15.75">
      <c r="B377" s="67"/>
      <c r="C377" s="67">
        <v>2014</v>
      </c>
      <c r="D377" s="66"/>
      <c r="E377" s="66"/>
      <c r="F377" s="66"/>
      <c r="G377" s="66"/>
      <c r="H377" s="66"/>
      <c r="I377" s="66"/>
      <c r="J377" s="66"/>
      <c r="K377" s="66"/>
    </row>
    <row r="378" spans="2:11" ht="15.75">
      <c r="B378" s="66" t="s">
        <v>1213</v>
      </c>
      <c r="C378" s="71">
        <f>Valuation!J15</f>
        <v>3043.3508640120212</v>
      </c>
      <c r="D378" s="66"/>
      <c r="E378" s="66"/>
      <c r="F378" s="66"/>
      <c r="G378" s="66"/>
      <c r="H378" s="66"/>
      <c r="I378" s="66"/>
      <c r="J378" s="66"/>
      <c r="K378" s="66"/>
    </row>
    <row r="379" spans="2:11" ht="15.75">
      <c r="B379" s="66" t="s">
        <v>1214</v>
      </c>
      <c r="C379" s="71"/>
      <c r="D379" s="66"/>
      <c r="E379" s="66"/>
      <c r="F379" s="66"/>
      <c r="G379" s="66"/>
      <c r="H379" s="66"/>
      <c r="I379" s="66"/>
      <c r="J379" s="66"/>
      <c r="K379" s="66"/>
    </row>
    <row r="380" spans="2:11" ht="15.75">
      <c r="B380" s="66"/>
      <c r="C380" s="71"/>
      <c r="D380" s="66"/>
      <c r="E380" s="66"/>
      <c r="F380" s="66"/>
      <c r="G380" s="66"/>
      <c r="H380" s="66"/>
      <c r="I380" s="66"/>
      <c r="J380" s="66"/>
      <c r="K380" s="66"/>
    </row>
    <row r="381" spans="2:11" ht="15.75">
      <c r="B381" s="70" t="s">
        <v>1215</v>
      </c>
      <c r="C381" s="66"/>
      <c r="D381" s="66"/>
      <c r="E381" s="66"/>
      <c r="F381" s="66"/>
      <c r="G381" s="66"/>
      <c r="H381" s="66"/>
      <c r="I381" s="66"/>
      <c r="J381" s="66"/>
      <c r="K381" s="66"/>
    </row>
    <row r="382" spans="2:11" ht="15.75">
      <c r="B382" s="141" t="s">
        <v>1216</v>
      </c>
      <c r="C382" s="71">
        <f>9.3*C367*0.49*0.95</f>
        <v>6926.64</v>
      </c>
      <c r="D382" s="66"/>
      <c r="E382" s="66"/>
      <c r="F382" s="66"/>
      <c r="G382" s="66"/>
      <c r="H382" s="66"/>
      <c r="I382" s="66"/>
      <c r="J382" s="66"/>
      <c r="K382" s="66"/>
    </row>
    <row r="383" spans="2:11" ht="15.75">
      <c r="B383" s="66" t="s">
        <v>1217</v>
      </c>
      <c r="C383" s="66">
        <f>Master!M7</f>
        <v>13.31</v>
      </c>
      <c r="D383" s="66"/>
      <c r="E383" s="66"/>
      <c r="F383" s="66"/>
      <c r="G383" s="66"/>
      <c r="H383" s="66"/>
      <c r="I383" s="66"/>
      <c r="J383" s="66"/>
      <c r="K383" s="66"/>
    </row>
    <row r="384" spans="2:11" ht="15.75">
      <c r="B384" s="67" t="s">
        <v>1218</v>
      </c>
      <c r="C384" s="76">
        <f>C382/C383</f>
        <v>520.40871525169041</v>
      </c>
      <c r="D384" s="66"/>
      <c r="E384" s="66"/>
      <c r="F384" s="66"/>
      <c r="G384" s="66"/>
      <c r="H384" s="66"/>
      <c r="I384" s="66"/>
      <c r="J384" s="66"/>
      <c r="K384" s="66"/>
    </row>
    <row r="385" spans="2:11" ht="15.75">
      <c r="B385" s="66" t="s">
        <v>1132</v>
      </c>
      <c r="C385" s="71">
        <f>C378+C384</f>
        <v>3563.7595792637117</v>
      </c>
      <c r="D385" s="66"/>
      <c r="E385" s="66"/>
      <c r="F385" s="66"/>
      <c r="G385" s="66"/>
      <c r="H385" s="66"/>
      <c r="I385" s="66"/>
      <c r="J385" s="66"/>
      <c r="K385" s="66"/>
    </row>
    <row r="386" spans="2:11" ht="15.75">
      <c r="D386" s="66"/>
      <c r="E386" s="66"/>
      <c r="F386" s="66"/>
      <c r="G386" s="66"/>
      <c r="H386" s="66"/>
      <c r="I386" s="66"/>
      <c r="J386" s="66"/>
      <c r="K386" s="66"/>
    </row>
    <row r="387" spans="2:11" ht="15.75">
      <c r="B387" s="66" t="s">
        <v>1219</v>
      </c>
      <c r="C387" s="125">
        <f>Valuation!J24</f>
        <v>2254.5379413974456</v>
      </c>
      <c r="D387" s="66"/>
      <c r="E387" s="66"/>
      <c r="F387" s="66"/>
      <c r="G387" s="66"/>
      <c r="H387" s="66"/>
      <c r="I387" s="66"/>
      <c r="J387" s="66"/>
      <c r="K387" s="66"/>
    </row>
    <row r="388" spans="2:11" ht="15.75">
      <c r="B388" s="66" t="s">
        <v>1220</v>
      </c>
      <c r="C388" s="71">
        <f>C367/C383</f>
        <v>120.21036814425244</v>
      </c>
      <c r="D388" s="66"/>
      <c r="E388" s="66"/>
      <c r="F388" s="66"/>
      <c r="G388" s="66"/>
      <c r="H388" s="66"/>
      <c r="I388" s="66"/>
      <c r="J388" s="66"/>
      <c r="K388" s="66"/>
    </row>
    <row r="389" spans="2:11" ht="15.75">
      <c r="B389" s="66" t="s">
        <v>1133</v>
      </c>
      <c r="C389" s="125">
        <f>C387+C388</f>
        <v>2374.7483095416978</v>
      </c>
      <c r="D389" s="66"/>
      <c r="E389" s="66"/>
      <c r="F389" s="66"/>
      <c r="G389" s="66"/>
      <c r="H389" s="66"/>
      <c r="I389" s="66"/>
      <c r="J389" s="66"/>
      <c r="K389" s="66"/>
    </row>
    <row r="390" spans="2:11" ht="15.75">
      <c r="B390" s="66"/>
      <c r="C390" s="66"/>
      <c r="D390" s="66"/>
      <c r="E390" s="66"/>
      <c r="F390" s="66"/>
      <c r="G390" s="66"/>
      <c r="H390" s="66"/>
      <c r="I390" s="66"/>
      <c r="J390" s="66"/>
      <c r="K390" s="66"/>
    </row>
    <row r="391" spans="2:11" ht="15.75">
      <c r="B391" s="66" t="s">
        <v>1221</v>
      </c>
      <c r="C391" s="214">
        <f>Valuation!J54</f>
        <v>1.3498778654954198</v>
      </c>
      <c r="D391" s="66"/>
      <c r="E391" s="66"/>
      <c r="F391" s="66"/>
      <c r="G391" s="66"/>
      <c r="H391" s="66"/>
      <c r="I391" s="66"/>
      <c r="J391" s="66"/>
      <c r="K391" s="66"/>
    </row>
    <row r="392" spans="2:11" ht="15.75">
      <c r="B392" s="66" t="s">
        <v>41</v>
      </c>
      <c r="C392" s="214">
        <f>C385/C389</f>
        <v>1.5006893846158715</v>
      </c>
      <c r="D392" s="66"/>
      <c r="E392" s="66"/>
      <c r="F392" s="66"/>
      <c r="G392" s="66"/>
      <c r="H392" s="66"/>
      <c r="I392" s="66"/>
      <c r="J392" s="66"/>
      <c r="K392" s="66"/>
    </row>
    <row r="393" spans="2:11" ht="15.75">
      <c r="B393" s="66"/>
      <c r="C393" s="66"/>
      <c r="D393" s="66"/>
      <c r="E393" s="66"/>
      <c r="F393" s="66"/>
      <c r="G393" s="66"/>
      <c r="H393" s="66"/>
      <c r="I393" s="66"/>
      <c r="J393" s="66"/>
      <c r="K393" s="66"/>
    </row>
    <row r="394" spans="2:11" ht="15.75">
      <c r="B394" s="66" t="s">
        <v>1222</v>
      </c>
      <c r="C394" s="66"/>
      <c r="D394" s="66"/>
      <c r="E394" s="66"/>
      <c r="F394" s="66"/>
      <c r="G394" s="66"/>
      <c r="H394" s="66"/>
      <c r="I394" s="66"/>
      <c r="J394" s="66"/>
      <c r="K394" s="66"/>
    </row>
    <row r="395" spans="2:11" ht="15.75">
      <c r="B395" s="66" t="s">
        <v>1223</v>
      </c>
      <c r="C395" s="66">
        <f>D370</f>
        <v>7000</v>
      </c>
      <c r="D395" s="66"/>
      <c r="E395" s="66"/>
      <c r="F395" s="66"/>
      <c r="G395" s="66"/>
      <c r="H395" s="66"/>
      <c r="I395" s="66"/>
      <c r="J395" s="66"/>
      <c r="K395" s="66"/>
    </row>
    <row r="396" spans="2:11" ht="15.75">
      <c r="B396" s="67" t="s">
        <v>1224</v>
      </c>
      <c r="C396" s="67">
        <v>8550</v>
      </c>
      <c r="D396" s="66"/>
      <c r="E396" s="66"/>
      <c r="F396" s="66"/>
      <c r="G396" s="66"/>
      <c r="H396" s="66"/>
      <c r="I396" s="66"/>
      <c r="J396" s="66"/>
      <c r="K396" s="66"/>
    </row>
    <row r="397" spans="2:11" ht="15.75">
      <c r="B397" s="66" t="s">
        <v>1225</v>
      </c>
      <c r="C397" s="66">
        <f>SUM(C395:C396)</f>
        <v>15550</v>
      </c>
      <c r="D397" s="66"/>
      <c r="E397" s="66"/>
      <c r="F397" s="66"/>
      <c r="G397" s="66"/>
      <c r="H397" s="66"/>
      <c r="I397" s="66"/>
      <c r="J397" s="66"/>
      <c r="K397" s="66"/>
    </row>
    <row r="398" spans="2:11" ht="15.75">
      <c r="B398" s="66"/>
      <c r="C398" s="66"/>
      <c r="D398" s="66"/>
      <c r="E398" s="66"/>
      <c r="F398" s="66"/>
      <c r="G398" s="66"/>
      <c r="H398" s="66"/>
      <c r="I398" s="66"/>
      <c r="J398" s="66"/>
      <c r="K398" s="66"/>
    </row>
    <row r="399" spans="2:11" ht="15.75">
      <c r="B399" s="61"/>
      <c r="C399" s="67">
        <v>2014</v>
      </c>
      <c r="D399" s="66"/>
      <c r="E399" s="66"/>
      <c r="F399" s="66"/>
      <c r="G399" s="66"/>
      <c r="H399" s="66"/>
      <c r="I399" s="66"/>
      <c r="J399" s="66"/>
      <c r="K399" s="66"/>
    </row>
    <row r="400" spans="2:11" ht="15.75">
      <c r="B400" s="66" t="s">
        <v>34</v>
      </c>
      <c r="C400" s="66">
        <v>1600</v>
      </c>
      <c r="D400" s="125"/>
      <c r="E400" s="66"/>
      <c r="F400" s="66"/>
      <c r="G400" s="66"/>
      <c r="H400" s="66"/>
      <c r="I400" s="66"/>
      <c r="J400" s="66"/>
      <c r="K400" s="66"/>
    </row>
    <row r="401" spans="2:11" ht="15.75">
      <c r="B401" s="66" t="s">
        <v>22</v>
      </c>
      <c r="C401" s="112">
        <f>C397/C400</f>
        <v>9.71875</v>
      </c>
      <c r="D401" s="125"/>
      <c r="E401" s="66"/>
      <c r="F401" s="66"/>
      <c r="G401" s="66"/>
      <c r="H401" s="66"/>
      <c r="I401" s="66"/>
      <c r="J401" s="66"/>
      <c r="K401" s="66"/>
    </row>
    <row r="402" spans="2:11" ht="15.75">
      <c r="B402" s="66"/>
      <c r="C402" s="112"/>
      <c r="D402" s="125"/>
      <c r="E402" s="66"/>
      <c r="F402" s="66"/>
      <c r="G402" s="66"/>
      <c r="H402" s="66"/>
      <c r="I402" s="66"/>
      <c r="J402" s="66"/>
      <c r="K402" s="66"/>
    </row>
    <row r="403" spans="2:11" ht="15.75">
      <c r="B403" s="66"/>
      <c r="C403" s="112"/>
      <c r="D403" s="125"/>
      <c r="E403" s="66"/>
      <c r="F403" s="66"/>
      <c r="G403" s="66"/>
      <c r="H403" s="66"/>
      <c r="I403" s="66"/>
      <c r="J403" s="66"/>
      <c r="K403" s="66"/>
    </row>
    <row r="404" spans="2:11" ht="15.75">
      <c r="B404" s="66"/>
      <c r="C404" s="66"/>
      <c r="D404" s="66"/>
      <c r="E404" s="66"/>
      <c r="F404" s="66"/>
      <c r="G404" s="66"/>
      <c r="H404" s="66"/>
      <c r="I404" s="66"/>
      <c r="J404" s="66"/>
      <c r="K404" s="66"/>
    </row>
    <row r="405" spans="2:11" ht="15.75">
      <c r="B405" s="74" t="s">
        <v>1226</v>
      </c>
      <c r="C405" s="66"/>
      <c r="D405" s="66"/>
      <c r="E405" s="66"/>
      <c r="F405" s="66"/>
      <c r="G405" s="66"/>
      <c r="H405" s="66"/>
      <c r="I405" s="66"/>
      <c r="J405" s="66"/>
      <c r="K405" s="66"/>
    </row>
    <row r="406" spans="2:11" ht="15.75">
      <c r="B406" s="66" t="s">
        <v>684</v>
      </c>
      <c r="C406" s="66">
        <v>550</v>
      </c>
      <c r="D406" s="66"/>
      <c r="E406" s="66"/>
      <c r="F406" s="66"/>
      <c r="G406" s="66"/>
      <c r="H406" s="66"/>
      <c r="I406" s="66"/>
      <c r="J406" s="66"/>
      <c r="K406" s="66"/>
    </row>
    <row r="407" spans="2:11" ht="15.75">
      <c r="B407" s="66" t="s">
        <v>1227</v>
      </c>
      <c r="C407" s="66">
        <v>350</v>
      </c>
      <c r="D407" s="66"/>
      <c r="E407" s="66"/>
      <c r="F407" s="66"/>
      <c r="G407" s="66"/>
      <c r="H407" s="66"/>
      <c r="I407" s="66"/>
      <c r="J407" s="66"/>
      <c r="K407" s="66"/>
    </row>
    <row r="408" spans="2:11" ht="15.75">
      <c r="B408" s="66" t="s">
        <v>1228</v>
      </c>
      <c r="C408" s="71">
        <f>C407/F372*C367/C383</f>
        <v>38.759999999999991</v>
      </c>
      <c r="D408" s="66"/>
      <c r="E408" s="66"/>
      <c r="F408" s="66"/>
      <c r="G408" s="66"/>
      <c r="H408" s="66"/>
      <c r="I408" s="66"/>
      <c r="J408" s="66"/>
      <c r="K408" s="66"/>
    </row>
    <row r="409" spans="2:11" ht="15.75">
      <c r="B409" s="66"/>
      <c r="C409" s="66"/>
      <c r="D409" s="66"/>
      <c r="E409" s="66"/>
      <c r="F409" s="66"/>
      <c r="G409" s="66"/>
      <c r="H409" s="66"/>
      <c r="I409" s="66"/>
      <c r="J409" s="66"/>
      <c r="K409" s="66"/>
    </row>
    <row r="410" spans="2:11" ht="15.75">
      <c r="B410" s="66" t="s">
        <v>1229</v>
      </c>
      <c r="C410" s="71">
        <f>C385+C406</f>
        <v>4113.7595792637112</v>
      </c>
      <c r="D410" s="66"/>
      <c r="E410" s="66"/>
      <c r="F410" s="66"/>
      <c r="G410" s="66"/>
      <c r="H410" s="66"/>
      <c r="I410" s="66"/>
      <c r="J410" s="66"/>
      <c r="K410" s="66"/>
    </row>
    <row r="411" spans="2:11" ht="15.75">
      <c r="B411" s="66" t="s">
        <v>1133</v>
      </c>
      <c r="C411" s="71">
        <f>C389+C408</f>
        <v>2413.5083095416976</v>
      </c>
      <c r="D411" s="66"/>
      <c r="E411" s="66"/>
      <c r="F411" s="66"/>
      <c r="G411" s="66"/>
      <c r="H411" s="66"/>
      <c r="I411" s="66"/>
      <c r="J411" s="66"/>
      <c r="K411" s="66"/>
    </row>
    <row r="412" spans="2:11" ht="15.75">
      <c r="B412" s="66" t="s">
        <v>41</v>
      </c>
      <c r="C412" s="214">
        <f>C410/C411</f>
        <v>1.7044729297181809</v>
      </c>
      <c r="D412" s="66"/>
      <c r="E412" s="66"/>
      <c r="F412" s="66"/>
      <c r="G412" s="66"/>
      <c r="H412" s="66"/>
      <c r="I412" s="66"/>
      <c r="J412" s="66"/>
      <c r="K412" s="66"/>
    </row>
    <row r="413" spans="2:11" ht="15.75">
      <c r="B413" s="66"/>
      <c r="C413" s="66"/>
      <c r="D413" s="66"/>
      <c r="E413" s="66"/>
      <c r="F413" s="66"/>
      <c r="G413" s="66"/>
      <c r="H413" s="66"/>
      <c r="I413" s="66"/>
      <c r="J413" s="66"/>
      <c r="K413" s="66"/>
    </row>
    <row r="414" spans="2:11" ht="15.75">
      <c r="B414" s="74" t="s">
        <v>468</v>
      </c>
      <c r="C414" s="66"/>
      <c r="D414" s="66"/>
      <c r="E414" s="66"/>
      <c r="F414" s="66"/>
      <c r="G414" s="66"/>
      <c r="H414" s="66"/>
      <c r="I414" s="66"/>
      <c r="J414" s="66"/>
      <c r="K414" s="66"/>
    </row>
    <row r="415" spans="2:11" ht="15.75">
      <c r="B415" s="66"/>
      <c r="C415" s="66"/>
      <c r="D415" s="66"/>
      <c r="E415" s="66"/>
      <c r="F415" s="66"/>
      <c r="G415" s="66"/>
      <c r="H415" s="66"/>
      <c r="I415" s="66"/>
      <c r="J415" s="66"/>
      <c r="K415" s="66"/>
    </row>
    <row r="416" spans="2:11" ht="15.75">
      <c r="B416" s="67" t="s">
        <v>1230</v>
      </c>
      <c r="C416" s="67">
        <v>2013</v>
      </c>
      <c r="D416" s="67">
        <v>2014</v>
      </c>
      <c r="E416" s="67">
        <v>2015</v>
      </c>
      <c r="F416" s="66"/>
      <c r="G416" s="66"/>
      <c r="H416" s="66"/>
      <c r="I416" s="66"/>
      <c r="J416" s="66"/>
      <c r="K416" s="66"/>
    </row>
    <row r="417" spans="2:11" ht="15.75">
      <c r="B417" s="66" t="s">
        <v>34</v>
      </c>
      <c r="C417" s="66">
        <v>323</v>
      </c>
      <c r="D417" s="66">
        <v>362</v>
      </c>
      <c r="E417" s="66">
        <v>385</v>
      </c>
      <c r="F417" s="66"/>
      <c r="G417" s="66"/>
      <c r="H417" s="66"/>
      <c r="I417" s="66"/>
      <c r="J417" s="66"/>
      <c r="K417" s="66"/>
    </row>
    <row r="418" spans="2:11" ht="15.75">
      <c r="B418" s="66" t="s">
        <v>271</v>
      </c>
      <c r="C418" s="66">
        <v>-102</v>
      </c>
      <c r="D418" s="66">
        <v>-172</v>
      </c>
      <c r="E418" s="66">
        <v>-275</v>
      </c>
      <c r="F418" s="66"/>
      <c r="G418" s="66"/>
      <c r="H418" s="66"/>
      <c r="I418" s="66"/>
      <c r="J418" s="66"/>
      <c r="K418" s="66"/>
    </row>
    <row r="419" spans="2:11" ht="15.75">
      <c r="C419" s="66"/>
      <c r="D419" s="66"/>
      <c r="E419" s="66"/>
      <c r="F419" s="66"/>
      <c r="G419" s="66"/>
      <c r="H419" s="66"/>
      <c r="I419" s="66"/>
      <c r="J419" s="66"/>
      <c r="K419" s="66"/>
    </row>
    <row r="420" spans="2:11" ht="15.75">
      <c r="B420" s="66" t="s">
        <v>1231</v>
      </c>
      <c r="C420" s="66">
        <v>46</v>
      </c>
      <c r="D420" s="66"/>
      <c r="E420" s="66"/>
      <c r="F420" s="66"/>
      <c r="G420" s="66"/>
      <c r="H420" s="66"/>
      <c r="I420" s="66"/>
      <c r="J420" s="66"/>
      <c r="K420" s="66"/>
    </row>
    <row r="421" spans="2:11" ht="15.75">
      <c r="B421" s="70" t="s">
        <v>1232</v>
      </c>
      <c r="D421" s="66"/>
      <c r="E421" s="66"/>
      <c r="F421" s="66"/>
      <c r="G421" s="66"/>
      <c r="H421" s="66"/>
      <c r="I421" s="66"/>
      <c r="J421" s="66"/>
      <c r="K421" s="66"/>
    </row>
    <row r="422" spans="2:11" ht="15.75">
      <c r="B422" s="66" t="s">
        <v>1233</v>
      </c>
      <c r="C422" s="66">
        <v>1718</v>
      </c>
      <c r="D422" s="66"/>
      <c r="E422" s="66"/>
      <c r="F422" s="66"/>
      <c r="G422" s="66"/>
      <c r="H422" s="66"/>
      <c r="I422" s="66"/>
      <c r="J422" s="66"/>
      <c r="K422" s="66"/>
    </row>
    <row r="423" spans="2:11" ht="15.75">
      <c r="B423" s="141" t="s">
        <v>1234</v>
      </c>
      <c r="C423" s="66">
        <v>298</v>
      </c>
      <c r="D423" s="66"/>
      <c r="E423" s="66"/>
      <c r="F423" s="66"/>
      <c r="G423" s="66"/>
      <c r="H423" s="66"/>
      <c r="I423" s="66"/>
      <c r="J423" s="66"/>
      <c r="K423" s="66"/>
    </row>
    <row r="424" spans="2:11" ht="15.75">
      <c r="B424" s="66"/>
      <c r="C424" s="66"/>
      <c r="D424" s="66"/>
      <c r="E424" s="66"/>
      <c r="F424" s="66"/>
      <c r="G424" s="66"/>
      <c r="H424" s="66"/>
      <c r="I424" s="66"/>
      <c r="J424" s="66"/>
      <c r="K424" s="66"/>
    </row>
    <row r="425" spans="2:11" ht="15.75">
      <c r="B425" s="66" t="s">
        <v>1235</v>
      </c>
      <c r="C425" s="66">
        <f>C422/2*C420</f>
        <v>39514</v>
      </c>
      <c r="D425" s="66"/>
      <c r="E425" s="66"/>
      <c r="F425" s="66"/>
      <c r="G425" s="66"/>
      <c r="H425" s="66"/>
      <c r="I425" s="66"/>
      <c r="J425" s="66"/>
      <c r="K425" s="66"/>
    </row>
    <row r="426" spans="2:11" ht="15.75">
      <c r="B426" s="66" t="s">
        <v>1236</v>
      </c>
      <c r="C426" s="71">
        <f>C425/C383</f>
        <v>2968.7453042824941</v>
      </c>
      <c r="D426" s="66"/>
      <c r="E426" s="66"/>
      <c r="F426" s="66"/>
      <c r="G426" s="66"/>
      <c r="H426" s="66"/>
      <c r="I426" s="66"/>
      <c r="J426" s="66"/>
      <c r="K426" s="66"/>
    </row>
    <row r="427" spans="2:11" ht="15.75">
      <c r="B427" s="66"/>
      <c r="C427" s="66"/>
      <c r="D427" s="66"/>
      <c r="E427" s="66"/>
      <c r="F427" s="66"/>
      <c r="G427" s="66"/>
      <c r="H427" s="66"/>
      <c r="I427" s="66"/>
      <c r="J427" s="66"/>
      <c r="K427" s="66"/>
    </row>
    <row r="428" spans="2:11" ht="15.75">
      <c r="B428" s="66" t="s">
        <v>1237</v>
      </c>
      <c r="C428" s="69">
        <v>0.3</v>
      </c>
      <c r="D428" s="66"/>
      <c r="E428" s="66"/>
      <c r="F428" s="66"/>
      <c r="G428" s="66"/>
      <c r="H428" s="66"/>
      <c r="I428" s="66"/>
      <c r="J428" s="66"/>
      <c r="K428" s="66"/>
    </row>
    <row r="429" spans="2:11" ht="15.75">
      <c r="B429" s="66" t="s">
        <v>1238</v>
      </c>
      <c r="C429" s="71">
        <f>(1+C428)*C426</f>
        <v>3859.3688955672424</v>
      </c>
      <c r="D429" s="66"/>
      <c r="E429" s="66"/>
      <c r="F429" s="66"/>
      <c r="G429" s="66"/>
      <c r="H429" s="66"/>
      <c r="I429" s="66"/>
      <c r="J429" s="66"/>
      <c r="K429" s="66"/>
    </row>
    <row r="430" spans="2:11" ht="15.75">
      <c r="B430" s="66" t="s">
        <v>1239</v>
      </c>
      <c r="C430" s="71">
        <f>C429+D418</f>
        <v>3687.3688955672424</v>
      </c>
      <c r="D430" s="66"/>
      <c r="E430" s="66"/>
      <c r="F430" s="66"/>
      <c r="G430" s="66"/>
      <c r="H430" s="66"/>
      <c r="I430" s="66"/>
      <c r="J430" s="66"/>
      <c r="K430" s="66"/>
    </row>
    <row r="431" spans="2:11" ht="15.75">
      <c r="B431" s="66" t="s">
        <v>1240</v>
      </c>
      <c r="C431" s="112">
        <f>C430/D417</f>
        <v>10.186101921456471</v>
      </c>
      <c r="D431" s="66"/>
      <c r="E431" s="66"/>
      <c r="F431" s="66"/>
      <c r="G431" s="66"/>
      <c r="H431" s="66"/>
      <c r="I431" s="66"/>
      <c r="J431" s="66"/>
      <c r="K431" s="66"/>
    </row>
    <row r="432" spans="2:11" ht="15.75">
      <c r="B432" s="66"/>
      <c r="C432" s="66"/>
      <c r="D432" s="66"/>
      <c r="E432" s="66"/>
      <c r="F432" s="66"/>
      <c r="G432" s="66"/>
      <c r="H432" s="66"/>
      <c r="I432" s="66"/>
      <c r="J432" s="66"/>
      <c r="K432" s="66"/>
    </row>
    <row r="433" spans="2:11" ht="15.75">
      <c r="B433" s="66" t="s">
        <v>1241</v>
      </c>
      <c r="C433" s="71">
        <f>C410+C430</f>
        <v>7801.1284748309536</v>
      </c>
      <c r="D433" s="66"/>
      <c r="E433" s="66"/>
      <c r="F433" s="66"/>
      <c r="G433" s="66"/>
      <c r="H433" s="66"/>
      <c r="I433" s="66"/>
      <c r="J433" s="66"/>
      <c r="K433" s="66"/>
    </row>
    <row r="434" spans="2:11" ht="15.75">
      <c r="B434" s="66" t="s">
        <v>1133</v>
      </c>
      <c r="C434" s="71">
        <f>C411+D417</f>
        <v>2775.5083095416976</v>
      </c>
      <c r="D434" s="66"/>
      <c r="E434" s="66"/>
      <c r="F434" s="66"/>
      <c r="G434" s="66"/>
      <c r="H434" s="66"/>
      <c r="I434" s="66"/>
      <c r="J434" s="66"/>
      <c r="K434" s="66"/>
    </row>
    <row r="435" spans="2:11" ht="15.75">
      <c r="B435" s="66" t="s">
        <v>41</v>
      </c>
      <c r="C435" s="112">
        <f>C433/C434</f>
        <v>2.8107026190525457</v>
      </c>
      <c r="D435" s="66"/>
      <c r="E435" s="66"/>
      <c r="F435" s="66"/>
      <c r="G435" s="66"/>
      <c r="H435" s="66"/>
      <c r="I435" s="66"/>
      <c r="J435" s="66"/>
      <c r="K435" s="66"/>
    </row>
    <row r="436" spans="2:11" ht="15.75">
      <c r="B436" s="66"/>
      <c r="C436" s="66"/>
      <c r="D436" s="71"/>
      <c r="E436" s="71"/>
      <c r="F436" s="71"/>
      <c r="G436" s="71"/>
      <c r="H436" s="66"/>
      <c r="I436" s="66"/>
      <c r="J436" s="66"/>
      <c r="K436" s="66"/>
    </row>
    <row r="437" spans="2:11" ht="15.75">
      <c r="B437" s="106"/>
      <c r="C437" s="222" t="s">
        <v>1242</v>
      </c>
      <c r="D437" s="71" t="s">
        <v>486</v>
      </c>
      <c r="E437" s="222" t="s">
        <v>1243</v>
      </c>
      <c r="F437" s="106" t="s">
        <v>468</v>
      </c>
      <c r="H437" s="66"/>
      <c r="I437" s="66"/>
      <c r="J437" s="66"/>
      <c r="K437" s="66"/>
    </row>
    <row r="438" spans="2:11" ht="15.75">
      <c r="B438" s="105" t="s">
        <v>128</v>
      </c>
      <c r="C438" s="223"/>
      <c r="D438" s="227" t="s">
        <v>1244</v>
      </c>
      <c r="E438" s="224">
        <v>1</v>
      </c>
      <c r="F438" s="216">
        <v>1</v>
      </c>
      <c r="H438" s="66"/>
      <c r="I438" s="66"/>
      <c r="J438" s="66"/>
      <c r="K438" s="66"/>
    </row>
    <row r="439" spans="2:11" ht="15.75">
      <c r="B439" s="106" t="s">
        <v>1245</v>
      </c>
      <c r="C439" s="225"/>
      <c r="D439" s="225">
        <f>C382/C383</f>
        <v>520.40871525169041</v>
      </c>
      <c r="E439" s="225">
        <f>C406</f>
        <v>550</v>
      </c>
      <c r="F439" s="225">
        <f>C430</f>
        <v>3687.3688955672424</v>
      </c>
      <c r="H439" s="66"/>
      <c r="I439" s="66"/>
      <c r="J439" s="66"/>
      <c r="K439" s="66"/>
    </row>
    <row r="440" spans="2:11" ht="15.75">
      <c r="B440" s="106" t="s">
        <v>1246</v>
      </c>
      <c r="C440" s="225"/>
      <c r="D440" s="225">
        <f>C388</f>
        <v>120.21036814425244</v>
      </c>
      <c r="E440" s="225">
        <f>C408</f>
        <v>38.759999999999991</v>
      </c>
      <c r="F440" s="225">
        <f>D417</f>
        <v>362</v>
      </c>
      <c r="H440" s="66"/>
      <c r="I440" s="66"/>
      <c r="J440" s="66"/>
      <c r="K440" s="66"/>
    </row>
    <row r="441" spans="2:11" ht="15.75">
      <c r="B441" s="106" t="s">
        <v>271</v>
      </c>
      <c r="C441" s="225">
        <f>Valuation!J15</f>
        <v>3043.3508640120212</v>
      </c>
      <c r="D441" s="225">
        <f>C385</f>
        <v>3563.7595792637117</v>
      </c>
      <c r="E441" s="225">
        <f>C410</f>
        <v>4113.7595792637112</v>
      </c>
      <c r="F441" s="225">
        <f>C433</f>
        <v>7801.1284748309536</v>
      </c>
      <c r="H441" s="66"/>
      <c r="I441" s="66"/>
      <c r="J441" s="66"/>
      <c r="K441" s="66"/>
    </row>
    <row r="442" spans="2:11" ht="15.75">
      <c r="B442" s="105" t="s">
        <v>1247</v>
      </c>
      <c r="C442" s="226">
        <f>Valuation!J24</f>
        <v>2254.5379413974456</v>
      </c>
      <c r="D442" s="226">
        <f>C389</f>
        <v>2374.7483095416978</v>
      </c>
      <c r="E442" s="226">
        <f>C411</f>
        <v>2413.5083095416976</v>
      </c>
      <c r="F442" s="226">
        <f>C434</f>
        <v>2775.5083095416976</v>
      </c>
      <c r="H442" s="66"/>
      <c r="I442" s="66"/>
      <c r="J442" s="66"/>
      <c r="K442" s="66"/>
    </row>
    <row r="443" spans="2:11" ht="15.75">
      <c r="B443" s="106" t="s">
        <v>1248</v>
      </c>
      <c r="C443" s="221">
        <f>C391</f>
        <v>1.3498778654954198</v>
      </c>
      <c r="D443" s="221">
        <f>C392</f>
        <v>1.5006893846158715</v>
      </c>
      <c r="E443" s="221">
        <f>C412</f>
        <v>1.7044729297181809</v>
      </c>
      <c r="F443" s="221">
        <f>C435</f>
        <v>2.8107026190525457</v>
      </c>
      <c r="H443" s="66"/>
      <c r="I443" s="66"/>
      <c r="J443" s="66"/>
      <c r="K443" s="66"/>
    </row>
    <row r="444" spans="2:11" ht="15.75">
      <c r="B444" s="66"/>
      <c r="C444" s="66"/>
      <c r="D444" s="66"/>
      <c r="E444" s="66"/>
      <c r="F444" s="66"/>
      <c r="G444" s="66"/>
      <c r="H444" s="66"/>
      <c r="I444" s="66"/>
      <c r="J444" s="66"/>
      <c r="K444" s="66"/>
    </row>
    <row r="445" spans="2:11" ht="15.75">
      <c r="B445" s="66" t="s">
        <v>1249</v>
      </c>
      <c r="C445" s="66"/>
      <c r="D445" s="66"/>
      <c r="E445" s="66"/>
      <c r="F445" s="66"/>
      <c r="G445" s="66"/>
      <c r="H445" s="66"/>
      <c r="I445" s="66"/>
      <c r="J445" s="66"/>
      <c r="K445" s="66"/>
    </row>
    <row r="446" spans="2:11" ht="15.75">
      <c r="B446" s="66"/>
      <c r="C446" s="66"/>
      <c r="D446" s="66"/>
      <c r="E446" s="66"/>
      <c r="F446" s="66"/>
      <c r="G446" s="66"/>
      <c r="H446" s="66"/>
      <c r="I446" s="66"/>
      <c r="J446" s="66"/>
      <c r="K446" s="66"/>
    </row>
    <row r="447" spans="2:11" ht="15.75">
      <c r="B447" s="66" t="s">
        <v>1250</v>
      </c>
      <c r="C447" s="258">
        <v>6</v>
      </c>
      <c r="D447" s="66"/>
      <c r="E447" s="66"/>
      <c r="F447" s="66"/>
      <c r="G447" s="66"/>
      <c r="H447" s="66"/>
      <c r="I447" s="66"/>
      <c r="J447" s="66"/>
      <c r="K447" s="66"/>
    </row>
    <row r="448" spans="2:11" ht="15.75">
      <c r="B448" s="66" t="s">
        <v>77</v>
      </c>
      <c r="C448" s="71">
        <f>C447*('SKY Mex'!L140/Master!N7)</f>
        <v>3392.1739130434785</v>
      </c>
      <c r="D448" s="66"/>
      <c r="E448" s="66"/>
      <c r="F448" s="66"/>
      <c r="G448" s="66"/>
      <c r="H448" s="66"/>
      <c r="I448" s="66"/>
      <c r="J448" s="66"/>
      <c r="K448" s="66"/>
    </row>
    <row r="449" spans="2:11" ht="15.75">
      <c r="B449" s="66" t="s">
        <v>271</v>
      </c>
      <c r="C449" s="71">
        <f>'SKY Mex'!L206/Master!N7</f>
        <v>201.63831127914304</v>
      </c>
      <c r="D449" s="66"/>
      <c r="E449" s="66"/>
      <c r="F449" s="66"/>
      <c r="G449" s="66"/>
      <c r="H449" s="66"/>
      <c r="I449" s="66"/>
      <c r="J449" s="66"/>
      <c r="K449" s="66"/>
    </row>
    <row r="450" spans="2:11" ht="15.75">
      <c r="B450" s="66" t="s">
        <v>1251</v>
      </c>
      <c r="C450" s="71">
        <f>C448-C449</f>
        <v>3190.5356017643353</v>
      </c>
      <c r="D450" s="66"/>
      <c r="E450" s="66"/>
      <c r="F450" s="66"/>
      <c r="G450" s="66"/>
      <c r="H450" s="66"/>
      <c r="I450" s="66"/>
      <c r="J450" s="66"/>
      <c r="K450" s="66"/>
    </row>
    <row r="451" spans="2:11" ht="15.75">
      <c r="B451" s="66" t="s">
        <v>1252</v>
      </c>
      <c r="C451" s="69">
        <v>0.4</v>
      </c>
      <c r="D451" s="66"/>
      <c r="E451" s="66"/>
      <c r="F451" s="66"/>
      <c r="G451" s="66"/>
      <c r="H451" s="66"/>
      <c r="I451" s="66"/>
      <c r="J451" s="66"/>
      <c r="K451" s="66"/>
    </row>
    <row r="452" spans="2:11" ht="15.75">
      <c r="B452" s="66" t="s">
        <v>325</v>
      </c>
      <c r="C452" s="71">
        <f>C450*C451</f>
        <v>1276.2142407057343</v>
      </c>
      <c r="D452" s="66"/>
      <c r="E452" s="66"/>
      <c r="F452" s="66"/>
      <c r="G452" s="66"/>
      <c r="H452" s="66"/>
      <c r="I452" s="66"/>
      <c r="J452" s="66"/>
      <c r="K452" s="66"/>
    </row>
    <row r="453" spans="2:11" ht="15.75">
      <c r="B453" s="66" t="s">
        <v>1253</v>
      </c>
      <c r="C453" s="71">
        <f>C450/('SKY Mex'!L217/Master!N7)</f>
        <v>17.749906482575827</v>
      </c>
      <c r="D453" s="66"/>
      <c r="E453" s="66"/>
      <c r="F453" s="66"/>
      <c r="G453" s="66"/>
      <c r="H453" s="66"/>
      <c r="I453" s="66"/>
      <c r="J453" s="66"/>
      <c r="K453" s="66"/>
    </row>
    <row r="454" spans="2:11" ht="15.75">
      <c r="B454" s="66"/>
      <c r="C454" s="66"/>
      <c r="D454" s="66"/>
      <c r="E454" s="66"/>
      <c r="F454" s="66"/>
      <c r="G454" s="66"/>
      <c r="H454" s="66"/>
      <c r="I454" s="66"/>
      <c r="J454" s="66"/>
      <c r="K454" s="66"/>
    </row>
    <row r="455" spans="2:11" ht="15.75">
      <c r="B455" s="66" t="s">
        <v>1041</v>
      </c>
      <c r="C455" s="75">
        <v>0.06</v>
      </c>
      <c r="D455" s="66"/>
      <c r="E455" s="66"/>
      <c r="F455" s="66"/>
      <c r="G455" s="66"/>
      <c r="H455" s="66"/>
      <c r="I455" s="66"/>
      <c r="J455" s="66"/>
      <c r="K455" s="66"/>
    </row>
    <row r="456" spans="2:11" ht="15.75">
      <c r="B456" s="66"/>
      <c r="C456" s="66"/>
      <c r="D456" s="66"/>
      <c r="E456" s="66"/>
      <c r="F456" s="66"/>
      <c r="G456" s="66"/>
      <c r="H456" s="66"/>
      <c r="I456" s="66"/>
      <c r="J456" s="66"/>
      <c r="K456" s="66"/>
    </row>
    <row r="457" spans="2:11" ht="15.75">
      <c r="B457" s="67" t="s">
        <v>128</v>
      </c>
      <c r="C457" s="67">
        <v>2015</v>
      </c>
      <c r="D457" s="67">
        <f>C457+1</f>
        <v>2016</v>
      </c>
      <c r="E457" s="67">
        <f>D457+1</f>
        <v>2017</v>
      </c>
      <c r="F457" s="66"/>
      <c r="G457" s="66"/>
      <c r="H457" s="66"/>
      <c r="I457" s="66"/>
      <c r="J457" s="66"/>
      <c r="K457" s="66"/>
    </row>
    <row r="458" spans="2:11" ht="15.75">
      <c r="B458" s="66" t="s">
        <v>1254</v>
      </c>
      <c r="C458" s="71">
        <f>(1-0.34)*C455*$C$452</f>
        <v>50.538083931947071</v>
      </c>
      <c r="D458" s="71">
        <f>C458</f>
        <v>50.538083931947071</v>
      </c>
      <c r="E458" s="71">
        <f>D458</f>
        <v>50.538083931947071</v>
      </c>
      <c r="F458" s="66"/>
      <c r="G458" s="66"/>
      <c r="H458" s="66"/>
      <c r="I458" s="66"/>
      <c r="J458" s="66"/>
      <c r="K458" s="66"/>
    </row>
    <row r="459" spans="2:11" ht="15.75">
      <c r="B459" s="66" t="s">
        <v>1255</v>
      </c>
      <c r="C459" s="71">
        <f>C458</f>
        <v>50.538083931947071</v>
      </c>
      <c r="D459" s="71">
        <f>C459+D458</f>
        <v>101.07616786389414</v>
      </c>
      <c r="E459" s="71">
        <f>D459+E458</f>
        <v>151.6142517958412</v>
      </c>
      <c r="F459" s="66"/>
      <c r="G459" s="66"/>
      <c r="H459" s="66"/>
      <c r="I459" s="66"/>
      <c r="J459" s="66"/>
      <c r="K459" s="66"/>
    </row>
    <row r="460" spans="2:11" ht="15.75">
      <c r="B460" s="66" t="s">
        <v>271</v>
      </c>
      <c r="C460" s="71">
        <f>Valuation!K24+$C$452+C459</f>
        <v>3366.7838306238182</v>
      </c>
      <c r="D460" s="71">
        <f>Valuation!L24+$C$452+D459</f>
        <v>3158.6113634767898</v>
      </c>
      <c r="E460" s="71">
        <f>Valuation!M24+$C$452+E459</f>
        <v>3162.2200268931097</v>
      </c>
      <c r="F460" s="66"/>
      <c r="G460" s="66"/>
      <c r="H460" s="66"/>
      <c r="I460" s="66"/>
      <c r="J460" s="66"/>
      <c r="K460" s="66"/>
    </row>
    <row r="461" spans="2:11" ht="15.75">
      <c r="B461" s="66" t="s">
        <v>1256</v>
      </c>
      <c r="C461" s="214">
        <f>C460/Valuation!K24</f>
        <v>1.650358742374588</v>
      </c>
      <c r="D461" s="214">
        <f>D460/Valuation!L24</f>
        <v>1.7731848686647318</v>
      </c>
      <c r="E461" s="214">
        <f>E460/Valuation!M24</f>
        <v>1.823244615871866</v>
      </c>
      <c r="F461" s="66"/>
    </row>
    <row r="462" spans="2:11" ht="15.75">
      <c r="B462" s="66"/>
      <c r="C462" s="214"/>
      <c r="D462" s="214"/>
      <c r="E462" s="214"/>
      <c r="F462" s="66"/>
    </row>
    <row r="463" spans="2:11" ht="15.75">
      <c r="B463" s="66" t="s">
        <v>181</v>
      </c>
      <c r="C463" s="71" t="e">
        <f>Valuation!K15+Valuation!#REF!+Valuation!#REF!+$C$452+C459</f>
        <v>#REF!</v>
      </c>
      <c r="D463" s="71" t="e">
        <f>Valuation!L15+Valuation!#REF!+Valuation!#REF!+$C$452+D459</f>
        <v>#REF!</v>
      </c>
      <c r="E463" s="71" t="e">
        <f>Valuation!M15+Valuation!#REF!+Valuation!#REF!+$C$452+E459</f>
        <v>#REF!</v>
      </c>
      <c r="F463" s="66"/>
    </row>
    <row r="464" spans="2:11" ht="15.75">
      <c r="B464" s="66" t="s">
        <v>182</v>
      </c>
      <c r="C464" s="71" t="e">
        <f>Valuation!J24+Valuation!#REF!+Valuation!#REF!</f>
        <v>#REF!</v>
      </c>
      <c r="D464" s="71" t="e">
        <f>Valuation!K24+Valuation!#REF!+Valuation!#REF!</f>
        <v>#REF!</v>
      </c>
      <c r="E464" s="71" t="e">
        <f>Valuation!L24+Valuation!#REF!+Valuation!#REF!</f>
        <v>#REF!</v>
      </c>
      <c r="F464" s="66"/>
    </row>
    <row r="465" spans="2:8" ht="15.75">
      <c r="B465" s="66" t="s">
        <v>1257</v>
      </c>
      <c r="C465" s="214" t="e">
        <f>C463/C464</f>
        <v>#REF!</v>
      </c>
      <c r="D465" s="214" t="e">
        <f>D463/D464</f>
        <v>#REF!</v>
      </c>
      <c r="E465" s="214" t="e">
        <f>E463/E464</f>
        <v>#REF!</v>
      </c>
      <c r="F465" s="66"/>
    </row>
    <row r="466" spans="2:8" ht="15.75">
      <c r="F466" s="66"/>
    </row>
    <row r="467" spans="2:8" ht="15.75">
      <c r="B467" s="66" t="s">
        <v>1258</v>
      </c>
      <c r="C467" s="71">
        <f>'SKY Mex'!L217*0.4/Master!N7</f>
        <v>71.899772652804018</v>
      </c>
      <c r="D467" s="71">
        <f>'SKY Mex'!M217*0.4/Master!O7</f>
        <v>55.141150132625974</v>
      </c>
      <c r="E467" s="71">
        <f>'SKY Mex'!N217*0.4/Master!P7</f>
        <v>74.16589629629631</v>
      </c>
      <c r="F467" s="66"/>
    </row>
    <row r="468" spans="2:8" ht="15.75">
      <c r="B468" s="67" t="s">
        <v>1259</v>
      </c>
      <c r="C468" s="76">
        <f>-C458</f>
        <v>-50.538083931947071</v>
      </c>
      <c r="D468" s="76">
        <f>-D458</f>
        <v>-50.538083931947071</v>
      </c>
      <c r="E468" s="76">
        <f>-E458</f>
        <v>-50.538083931947071</v>
      </c>
      <c r="F468" s="66"/>
    </row>
    <row r="469" spans="2:8" ht="15.75">
      <c r="B469" s="66" t="s">
        <v>1260</v>
      </c>
      <c r="C469" s="71">
        <f>C467+C468</f>
        <v>21.361688720856947</v>
      </c>
      <c r="D469" s="71">
        <f>D467+D468</f>
        <v>4.6030662006789029</v>
      </c>
      <c r="E469" s="71">
        <f>E467+E468</f>
        <v>23.627812364349239</v>
      </c>
      <c r="F469" s="66"/>
    </row>
    <row r="470" spans="2:8" ht="15.75">
      <c r="B470" s="66" t="s">
        <v>1261</v>
      </c>
      <c r="C470" s="116">
        <f>(C469*Master!N7)/Master!N161</f>
        <v>2.6642722978867193E-2</v>
      </c>
      <c r="D470" s="116">
        <f>(D469*Master!O7)/Master!O161</f>
        <v>2.3317155187250742E-2</v>
      </c>
      <c r="E470" s="116">
        <f>(E469*Master!P7)/Master!P161</f>
        <v>9.8688542251094011E-2</v>
      </c>
    </row>
    <row r="472" spans="2:8" ht="15.75">
      <c r="B472" s="67" t="s">
        <v>1262</v>
      </c>
      <c r="C472" s="68" t="s">
        <v>1263</v>
      </c>
      <c r="D472" s="68" t="s">
        <v>1264</v>
      </c>
      <c r="E472" s="68" t="s">
        <v>1265</v>
      </c>
      <c r="F472" s="68" t="s">
        <v>1266</v>
      </c>
      <c r="G472" s="68" t="s">
        <v>1156</v>
      </c>
    </row>
    <row r="473" spans="2:8" ht="15.75">
      <c r="B473" s="66" t="s">
        <v>33</v>
      </c>
      <c r="C473" s="125">
        <f>Iusacell!P50</f>
        <v>14444.71875</v>
      </c>
      <c r="D473" s="125">
        <f>Iusacell!Q50</f>
        <v>13144.931111999998</v>
      </c>
      <c r="E473" s="125">
        <f>Iusacell!R50</f>
        <v>17382</v>
      </c>
      <c r="F473" s="125">
        <f>Iusacell!S50</f>
        <v>19582</v>
      </c>
      <c r="G473" s="125">
        <f>Iusacell!T50</f>
        <v>20103.494619957637</v>
      </c>
    </row>
    <row r="474" spans="2:8" ht="15.75">
      <c r="B474" s="141" t="s">
        <v>1267</v>
      </c>
      <c r="C474" s="125">
        <f>Iusacell!P43</f>
        <v>1130.45625</v>
      </c>
      <c r="D474" s="125">
        <f>Iusacell!Q43</f>
        <v>800.12624160000007</v>
      </c>
      <c r="E474" s="125">
        <f>Iusacell!R43</f>
        <v>480.17775000000006</v>
      </c>
      <c r="F474" s="125">
        <f>Iusacell!S43</f>
        <v>499.34100000000001</v>
      </c>
      <c r="G474" s="125">
        <f>Iusacell!T43</f>
        <v>519.18858973471151</v>
      </c>
    </row>
    <row r="475" spans="2:8" ht="15.75">
      <c r="B475" s="141" t="s">
        <v>1268</v>
      </c>
      <c r="C475" s="116">
        <f>C474/C473</f>
        <v>7.8260869565217384E-2</v>
      </c>
      <c r="D475" s="116">
        <f>D474/D473</f>
        <v>6.0869565217391314E-2</v>
      </c>
      <c r="E475" s="116">
        <f>E474/E473</f>
        <v>2.7625000000000004E-2</v>
      </c>
      <c r="F475" s="116">
        <f>F474/F473</f>
        <v>2.5500000000000002E-2</v>
      </c>
      <c r="G475" s="116">
        <f>G474/G473</f>
        <v>2.5825787981124924E-2</v>
      </c>
    </row>
    <row r="476" spans="2:8" ht="15.75">
      <c r="B476" s="141" t="s">
        <v>1269</v>
      </c>
      <c r="C476" s="125">
        <f>C473-C474</f>
        <v>13314.262500000001</v>
      </c>
      <c r="D476" s="125">
        <f>D473-D474</f>
        <v>12344.804870399998</v>
      </c>
      <c r="E476" s="125">
        <f>E473-E474</f>
        <v>16901.822250000001</v>
      </c>
      <c r="F476" s="125">
        <f>F473-F474</f>
        <v>19082.659</v>
      </c>
      <c r="G476" s="125">
        <f>G473-G474</f>
        <v>19584.306030222924</v>
      </c>
    </row>
    <row r="477" spans="2:8" ht="15.75">
      <c r="B477" s="141"/>
      <c r="C477" s="71"/>
      <c r="D477" s="71"/>
      <c r="E477" s="71"/>
      <c r="F477" s="71"/>
      <c r="G477" s="71"/>
    </row>
    <row r="478" spans="2:8" ht="15.75">
      <c r="B478" s="66" t="s">
        <v>34</v>
      </c>
      <c r="C478" s="125">
        <f>Iusacell!P55</f>
        <v>1884.09375</v>
      </c>
      <c r="D478" s="125">
        <f>Iusacell!Q55</f>
        <v>457.21499519999998</v>
      </c>
      <c r="E478" s="125">
        <f>Iusacell!R55</f>
        <v>230</v>
      </c>
      <c r="F478" s="125">
        <f>Iusacell!S55</f>
        <v>1285</v>
      </c>
      <c r="G478" s="125">
        <f>Iusacell!T55</f>
        <v>1809.3145157961874</v>
      </c>
      <c r="H478" s="4"/>
    </row>
    <row r="479" spans="2:8" ht="15.75">
      <c r="B479" s="66" t="s">
        <v>548</v>
      </c>
      <c r="C479" s="116">
        <f>C478/C473</f>
        <v>0.13043478260869565</v>
      </c>
      <c r="D479" s="116">
        <f>D478/D473</f>
        <v>3.4782608695652174E-2</v>
      </c>
      <c r="E479" s="116">
        <f>E478/E473</f>
        <v>1.3232079162351858E-2</v>
      </c>
      <c r="F479" s="116">
        <f>F478/F473</f>
        <v>6.5621489122663676E-2</v>
      </c>
      <c r="G479" s="116">
        <f>G478/G473</f>
        <v>0.09</v>
      </c>
      <c r="H479" s="10"/>
    </row>
    <row r="480" spans="2:8" ht="15.75">
      <c r="B480" s="66" t="s">
        <v>779</v>
      </c>
      <c r="C480" s="125">
        <f>C473-C478</f>
        <v>12560.625</v>
      </c>
      <c r="D480" s="125">
        <f>D473-D478</f>
        <v>12687.716116799998</v>
      </c>
      <c r="E480" s="125">
        <f>E473-E478</f>
        <v>17152</v>
      </c>
      <c r="F480" s="125">
        <f>F473-F478</f>
        <v>18297</v>
      </c>
      <c r="G480" s="125">
        <f>G473-G478</f>
        <v>18294.180104161449</v>
      </c>
    </row>
    <row r="481" spans="2:7" ht="15.75">
      <c r="B481" s="141" t="s">
        <v>1270</v>
      </c>
      <c r="C481" s="125">
        <f>Iusacell!P58</f>
        <v>1412.5472286044073</v>
      </c>
      <c r="D481" s="125">
        <f>Iusacell!Q58</f>
        <v>999.78756816616351</v>
      </c>
      <c r="E481" s="125">
        <f>Iusacell!R58</f>
        <v>600</v>
      </c>
      <c r="F481" s="125">
        <f>Iusacell!S58</f>
        <v>600</v>
      </c>
      <c r="G481" s="125">
        <f>Iusacell!T58</f>
        <v>306.89323341535822</v>
      </c>
    </row>
    <row r="482" spans="2:7" ht="15.75">
      <c r="B482" s="259" t="s">
        <v>1271</v>
      </c>
      <c r="C482" s="260">
        <f>C481/C480</f>
        <v>0.11245835526531581</v>
      </c>
      <c r="D482" s="260">
        <f>D481/D480</f>
        <v>7.8799648334055131E-2</v>
      </c>
      <c r="E482" s="260">
        <f>E481/E480</f>
        <v>3.4981343283582086E-2</v>
      </c>
      <c r="F482" s="260">
        <f>F481/F480</f>
        <v>3.2792261026397769E-2</v>
      </c>
      <c r="G482" s="261">
        <f>G481/G480</f>
        <v>1.6775457094442184E-2</v>
      </c>
    </row>
    <row r="484" spans="2:7" ht="15.75">
      <c r="B484" s="66" t="s">
        <v>1272</v>
      </c>
      <c r="C484" s="125">
        <f>Iusacell!P64</f>
        <v>-282.09097860440738</v>
      </c>
      <c r="D484" s="125">
        <f>Iusacell!Q64</f>
        <v>-199.66132656616344</v>
      </c>
      <c r="E484" s="125">
        <f>Iusacell!R64</f>
        <v>-119.82224999999994</v>
      </c>
      <c r="F484" s="125">
        <f>Iusacell!S64</f>
        <v>-100.65899999999999</v>
      </c>
      <c r="G484" s="125">
        <f>Iusacell!T64</f>
        <v>212.29535631935329</v>
      </c>
    </row>
    <row r="485" spans="2:7" ht="15.75">
      <c r="B485" s="66" t="s">
        <v>1052</v>
      </c>
      <c r="C485" s="69">
        <f>C484/C473</f>
        <v>-1.9529004578535486E-2</v>
      </c>
      <c r="D485" s="69">
        <f>D484/D473</f>
        <v>-1.518922578330538E-2</v>
      </c>
      <c r="E485" s="69">
        <f>E484/E473</f>
        <v>-6.8934673800483222E-3</v>
      </c>
      <c r="F485" s="69">
        <f>F484/F473</f>
        <v>-5.1403840261464604E-3</v>
      </c>
      <c r="G485" s="69">
        <f>G484/G473</f>
        <v>1.0560122025182538E-2</v>
      </c>
    </row>
    <row r="487" spans="2:7" ht="15.75">
      <c r="B487" s="66" t="s">
        <v>1041</v>
      </c>
      <c r="C487" s="122"/>
      <c r="D487" s="125">
        <f>-Iusacell!Q90</f>
        <v>-1477.4159692254452</v>
      </c>
      <c r="E487" s="125">
        <f>-Iusacell!R90</f>
        <v>-1363</v>
      </c>
      <c r="F487" s="125">
        <f>-Iusacell!S90</f>
        <v>-1149</v>
      </c>
      <c r="G487" s="125">
        <f>-Iusacell!T90</f>
        <v>-1107.2401356992373</v>
      </c>
    </row>
    <row r="488" spans="2:7" ht="15.75">
      <c r="B488" s="66" t="s">
        <v>1273</v>
      </c>
      <c r="C488" s="122"/>
      <c r="D488" s="125">
        <v>0</v>
      </c>
      <c r="E488" s="125">
        <v>0</v>
      </c>
      <c r="F488" s="125">
        <v>0</v>
      </c>
      <c r="G488" s="125">
        <v>0</v>
      </c>
    </row>
    <row r="489" spans="2:7" ht="15.75">
      <c r="B489" s="66" t="s">
        <v>1274</v>
      </c>
      <c r="C489" s="122"/>
      <c r="D489" s="262">
        <f>-Iusacell!Q75</f>
        <v>-5143.6686959999997</v>
      </c>
      <c r="E489" s="263">
        <f>-Iusacell!R75</f>
        <v>-7574.988690000001</v>
      </c>
      <c r="F489" s="125">
        <f>-Iusacell!S75</f>
        <v>-3283.9993100000002</v>
      </c>
      <c r="G489" s="125">
        <f>-Iusacell!T75</f>
        <v>-2559.5083679936456</v>
      </c>
    </row>
    <row r="490" spans="2:7" ht="15.75">
      <c r="B490" s="66" t="s">
        <v>396</v>
      </c>
      <c r="D490" s="69">
        <f>-D489/D473</f>
        <v>0.39130434782608697</v>
      </c>
      <c r="E490" s="69">
        <f>-E489/E473</f>
        <v>0.43579500000000004</v>
      </c>
      <c r="F490" s="69">
        <f>-F489/F473</f>
        <v>0.16770500000000002</v>
      </c>
      <c r="G490" s="69">
        <f>-G489/G473</f>
        <v>0.12731658929849476</v>
      </c>
    </row>
    <row r="491" spans="2:7" ht="15.75">
      <c r="B491" s="67" t="s">
        <v>1149</v>
      </c>
      <c r="C491" s="154"/>
      <c r="D491" s="154">
        <f>Iusacell!Q103</f>
        <v>19935.099999999999</v>
      </c>
      <c r="E491" s="154">
        <f>Iusacell!R103</f>
        <v>0</v>
      </c>
      <c r="F491" s="154">
        <f>Iusacell!S103</f>
        <v>3175</v>
      </c>
      <c r="G491" s="154">
        <f>Iusacell!T103</f>
        <v>3327.5</v>
      </c>
    </row>
    <row r="492" spans="2:7" ht="15.75">
      <c r="B492" s="66" t="s">
        <v>272</v>
      </c>
      <c r="C492" s="122"/>
      <c r="D492" s="125">
        <f>D493-C493</f>
        <v>-13771.230329974554</v>
      </c>
      <c r="E492" s="125">
        <f>E493-D493</f>
        <v>9534.7303299745545</v>
      </c>
      <c r="F492" s="125">
        <f>F493-E493</f>
        <v>-27</v>
      </c>
      <c r="G492" s="125">
        <f>G493-F493</f>
        <v>-7735</v>
      </c>
    </row>
    <row r="493" spans="2:7" ht="15.75">
      <c r="B493" s="66" t="s">
        <v>271</v>
      </c>
      <c r="C493" s="125">
        <f>Iusacell!P106</f>
        <v>11998.5</v>
      </c>
      <c r="D493" s="125">
        <f>Iusacell!Q106</f>
        <v>-1772.7303299745545</v>
      </c>
      <c r="E493" s="125">
        <f>Iusacell!R106</f>
        <v>7762</v>
      </c>
      <c r="F493" s="125">
        <f>Iusacell!S106</f>
        <v>7735</v>
      </c>
      <c r="G493" s="125">
        <f>Iusacell!T106</f>
        <v>0</v>
      </c>
    </row>
    <row r="494" spans="2:7" ht="15.75">
      <c r="B494" s="66" t="s">
        <v>324</v>
      </c>
      <c r="C494" s="125">
        <f>Iusacell!P109</f>
        <v>12630</v>
      </c>
      <c r="D494" s="125">
        <f>Iusacell!Q109</f>
        <v>9952</v>
      </c>
      <c r="E494" s="125">
        <f>Iusacell!R109</f>
        <v>8514</v>
      </c>
      <c r="F494" s="125">
        <f>Iusacell!S109</f>
        <v>8837</v>
      </c>
      <c r="G494" s="125">
        <f>Iusacell!T109</f>
        <v>8837</v>
      </c>
    </row>
    <row r="495" spans="2:7" ht="15.75">
      <c r="B495" s="66" t="s">
        <v>549</v>
      </c>
      <c r="C495" s="125">
        <f>Iusacell!P112</f>
        <v>631.5</v>
      </c>
      <c r="D495" s="125">
        <f>Iusacell!Q112</f>
        <v>11724.730329974553</v>
      </c>
      <c r="E495" s="125">
        <f>Iusacell!R112</f>
        <v>752</v>
      </c>
      <c r="F495" s="125">
        <f>Iusacell!S112</f>
        <v>1102</v>
      </c>
      <c r="G495" s="125">
        <f>Iusacell!T112</f>
        <v>2572.0660121033052</v>
      </c>
    </row>
    <row r="497" spans="2:8" ht="15.75">
      <c r="B497" s="66" t="s">
        <v>1275</v>
      </c>
    </row>
    <row r="498" spans="2:8" ht="15.75">
      <c r="B498" s="66" t="s">
        <v>1276</v>
      </c>
    </row>
    <row r="499" spans="2:8" ht="15.75">
      <c r="B499" s="66" t="s">
        <v>1277</v>
      </c>
    </row>
    <row r="500" spans="2:8" ht="15.75">
      <c r="B500" s="66" t="s">
        <v>1278</v>
      </c>
    </row>
    <row r="502" spans="2:8" ht="15.75">
      <c r="B502" s="235" t="s">
        <v>1279</v>
      </c>
    </row>
    <row r="503" spans="2:8" ht="15.75">
      <c r="B503" s="66"/>
    </row>
    <row r="504" spans="2:8" ht="15.75">
      <c r="B504" s="387" t="s">
        <v>1197</v>
      </c>
      <c r="C504" s="388">
        <v>2015</v>
      </c>
      <c r="D504" s="388">
        <f>C504+1</f>
        <v>2016</v>
      </c>
      <c r="E504" s="388">
        <f>D504+1</f>
        <v>2017</v>
      </c>
      <c r="F504" s="388">
        <f>E504+1</f>
        <v>2018</v>
      </c>
      <c r="G504" s="388">
        <f>F504+1</f>
        <v>2019</v>
      </c>
      <c r="H504" s="388">
        <f>G504+1</f>
        <v>2020</v>
      </c>
    </row>
    <row r="505" spans="2:8" ht="15.75">
      <c r="B505" s="142" t="str">
        <f>Master!B13</f>
        <v>Advertising</v>
      </c>
      <c r="C505" s="125">
        <f>Master!N13</f>
        <v>23029.3</v>
      </c>
      <c r="D505" s="125">
        <f>Master!O13</f>
        <v>23223.200000000001</v>
      </c>
      <c r="E505" s="125">
        <f>Master!P13</f>
        <v>20719</v>
      </c>
      <c r="F505" s="125">
        <f>Master!Q13</f>
        <v>21155</v>
      </c>
      <c r="G505" s="125">
        <f>Master!R13</f>
        <v>19420.400000000001</v>
      </c>
      <c r="H505" s="125">
        <f>Master!S13</f>
        <v>16349.8</v>
      </c>
    </row>
    <row r="506" spans="2:8" ht="15.75">
      <c r="B506" s="142" t="str">
        <f>Master!B14</f>
        <v>Network Subscription Revenue</v>
      </c>
      <c r="C506" s="125">
        <f>Master!N14</f>
        <v>3595.4</v>
      </c>
      <c r="D506" s="125">
        <f>Master!O14</f>
        <v>4399.3</v>
      </c>
      <c r="E506" s="125">
        <f>Master!P14</f>
        <v>4058</v>
      </c>
      <c r="F506" s="125">
        <f>Master!Q14</f>
        <v>4841</v>
      </c>
      <c r="G506" s="125">
        <f>Master!R14</f>
        <v>4939</v>
      </c>
      <c r="H506" s="125">
        <f>Master!S14</f>
        <v>5466.2</v>
      </c>
    </row>
    <row r="507" spans="2:8" ht="15.75">
      <c r="B507" s="142" t="str">
        <f>Master!B15</f>
        <v>Licensing and Syndication</v>
      </c>
      <c r="C507" s="125">
        <f>Master!N15</f>
        <v>7707.9</v>
      </c>
      <c r="D507" s="125">
        <f>Master!O15</f>
        <v>9064.2000000000007</v>
      </c>
      <c r="E507" s="125">
        <f>Master!P15</f>
        <v>9220</v>
      </c>
      <c r="F507" s="125">
        <f>Master!Q15</f>
        <v>10521</v>
      </c>
      <c r="G507" s="125">
        <f>Master!R15</f>
        <v>10436</v>
      </c>
      <c r="H507" s="125">
        <f>Master!S15</f>
        <v>10797</v>
      </c>
    </row>
    <row r="508" spans="2:8" ht="15.75">
      <c r="B508" s="142" t="str">
        <f>Master!B23</f>
        <v>Satellite (Sky)</v>
      </c>
      <c r="C508" s="125">
        <f>Master!N23</f>
        <v>19253.5</v>
      </c>
      <c r="D508" s="125">
        <f>Master!O23</f>
        <v>21941.200000000001</v>
      </c>
      <c r="E508" s="125">
        <f>Master!P23</f>
        <v>22197</v>
      </c>
      <c r="F508" s="125">
        <f>Master!Q23</f>
        <v>22002</v>
      </c>
      <c r="G508" s="125">
        <f>Master!R23</f>
        <v>21347</v>
      </c>
      <c r="H508" s="125">
        <f>Master!S23</f>
        <v>22134.7</v>
      </c>
    </row>
    <row r="509" spans="2:8" ht="15.75">
      <c r="B509" s="142" t="str">
        <f>Master!B21</f>
        <v>Cable and Telecom (old disclosure)</v>
      </c>
      <c r="C509" s="125">
        <f>Master!N21</f>
        <v>28488.3</v>
      </c>
      <c r="D509" s="125">
        <f>Master!O21</f>
        <v>31891.599999999999</v>
      </c>
      <c r="E509" s="125">
        <f>Master!P21</f>
        <v>33048</v>
      </c>
      <c r="F509" s="125">
        <f>Master!Q21</f>
        <v>36233</v>
      </c>
      <c r="G509" s="125">
        <f>Master!R21</f>
        <v>41702</v>
      </c>
      <c r="H509" s="125">
        <f>Master!S21</f>
        <v>45367.1</v>
      </c>
    </row>
    <row r="510" spans="2:8" ht="15.75">
      <c r="B510" s="142" t="str">
        <f>Master!B25</f>
        <v>Other Businesses</v>
      </c>
      <c r="C510" s="125">
        <f>Master!N25</f>
        <v>8124.3</v>
      </c>
      <c r="D510" s="125">
        <f>Master!O25</f>
        <v>8828.2999999999993</v>
      </c>
      <c r="E510" s="125">
        <f>Master!P25</f>
        <v>8376</v>
      </c>
      <c r="F510" s="125">
        <f>Master!Q25</f>
        <v>8636</v>
      </c>
      <c r="G510" s="125">
        <f>Master!R25</f>
        <v>8200.2000000000007</v>
      </c>
      <c r="H510" s="125">
        <f>Master!S25</f>
        <v>4276</v>
      </c>
    </row>
    <row r="511" spans="2:8" ht="15.75">
      <c r="B511" s="126" t="s">
        <v>703</v>
      </c>
      <c r="C511" s="154">
        <f>Master!N27</f>
        <v>-2146.9</v>
      </c>
      <c r="D511" s="154">
        <f>Master!O27</f>
        <v>-3064.4</v>
      </c>
      <c r="E511" s="154">
        <f>Master!P27</f>
        <v>-3343</v>
      </c>
      <c r="F511" s="154">
        <f>Master!Q27</f>
        <v>-4812</v>
      </c>
      <c r="G511" s="154">
        <f>Master!R27</f>
        <v>-5394</v>
      </c>
      <c r="H511" s="154">
        <f>Master!S27</f>
        <v>-7252.5</v>
      </c>
    </row>
    <row r="512" spans="2:8" ht="15.75">
      <c r="B512" s="66" t="s">
        <v>907</v>
      </c>
      <c r="C512" s="125">
        <f>Master!N132</f>
        <v>88052</v>
      </c>
      <c r="D512" s="125">
        <f>Master!O132</f>
        <v>96287.4</v>
      </c>
      <c r="E512" s="125">
        <f>Master!P132</f>
        <v>94275</v>
      </c>
      <c r="F512" s="125">
        <f>Master!Q132</f>
        <v>101310</v>
      </c>
      <c r="G512" s="125">
        <f>Master!R132</f>
        <v>100650.6</v>
      </c>
      <c r="H512" s="125">
        <f>Master!S132</f>
        <v>97138.3</v>
      </c>
    </row>
    <row r="513" spans="2:8" ht="15.75">
      <c r="B513" s="66"/>
      <c r="C513" s="125"/>
      <c r="D513" s="125"/>
      <c r="E513" s="125"/>
      <c r="F513" s="125"/>
      <c r="G513" s="125"/>
      <c r="H513" s="125"/>
    </row>
    <row r="514" spans="2:8" ht="15.75">
      <c r="B514" s="66" t="str">
        <f>Master!B53</f>
        <v>Content</v>
      </c>
      <c r="C514" s="125">
        <f>Master!N53</f>
        <v>14564.2</v>
      </c>
      <c r="D514" s="125">
        <f>Master!O53</f>
        <v>14748</v>
      </c>
      <c r="E514" s="125">
        <f>Master!P53</f>
        <v>12825</v>
      </c>
      <c r="F514" s="125">
        <f>Master!Q53</f>
        <v>14855</v>
      </c>
      <c r="G514" s="125">
        <f>Master!R53</f>
        <v>12632</v>
      </c>
      <c r="H514" s="125">
        <f>Master!S53</f>
        <v>12360.8</v>
      </c>
    </row>
    <row r="515" spans="2:8" ht="15.75">
      <c r="B515" s="66" t="str">
        <f>B508</f>
        <v>Satellite (Sky)</v>
      </c>
      <c r="C515" s="125">
        <f>Master!N55</f>
        <v>8972.2999999999993</v>
      </c>
      <c r="D515" s="125">
        <f>Master!O55</f>
        <v>9898.5</v>
      </c>
      <c r="E515" s="125">
        <f>Master!P55</f>
        <v>10107</v>
      </c>
      <c r="F515" s="125">
        <f>Master!Q55</f>
        <v>9767</v>
      </c>
      <c r="G515" s="125">
        <f>Master!R55</f>
        <v>9121</v>
      </c>
      <c r="H515" s="125">
        <f>Master!S55</f>
        <v>9135.7999999999993</v>
      </c>
    </row>
    <row r="516" spans="2:8" ht="15.75">
      <c r="B516" s="66" t="str">
        <f>B509</f>
        <v>Cable and Telecom (old disclosure)</v>
      </c>
      <c r="C516" s="125">
        <f>Master!N56</f>
        <v>11405.6</v>
      </c>
      <c r="D516" s="125">
        <f>Master!O56</f>
        <v>13236.1</v>
      </c>
      <c r="E516" s="125">
        <f>Master!P56</f>
        <v>14035</v>
      </c>
      <c r="F516" s="125">
        <f>Master!Q56</f>
        <v>15303</v>
      </c>
      <c r="G516" s="125">
        <f>Master!R56</f>
        <v>17798</v>
      </c>
      <c r="H516" s="125">
        <f>Master!S56</f>
        <v>18898.3</v>
      </c>
    </row>
    <row r="517" spans="2:8" ht="15.75">
      <c r="B517" s="66" t="s">
        <v>107</v>
      </c>
      <c r="C517" s="125">
        <f>Master!N57</f>
        <v>753.2</v>
      </c>
      <c r="D517" s="125">
        <f>Master!O57</f>
        <v>1040.5999999999999</v>
      </c>
      <c r="E517" s="125">
        <f>Master!P57</f>
        <v>490</v>
      </c>
      <c r="F517" s="125">
        <f>Master!Q57</f>
        <v>754</v>
      </c>
      <c r="G517" s="125">
        <f>Master!R57</f>
        <v>1464</v>
      </c>
      <c r="H517" s="125">
        <f>Master!S57</f>
        <v>116.5</v>
      </c>
    </row>
    <row r="518" spans="2:8" ht="15.75">
      <c r="B518" s="66" t="s">
        <v>1280</v>
      </c>
      <c r="C518" s="125">
        <f>Master!N61</f>
        <v>-1960.8</v>
      </c>
      <c r="D518" s="125">
        <f>Master!O61</f>
        <v>-2207.9</v>
      </c>
      <c r="E518" s="125">
        <f>Master!P61</f>
        <v>-2291</v>
      </c>
      <c r="F518" s="125">
        <f>Master!Q61</f>
        <v>-2155</v>
      </c>
      <c r="G518" s="125">
        <f>Master!R61</f>
        <v>-1888</v>
      </c>
      <c r="H518" s="125">
        <f>Master!S61</f>
        <v>-1882.9</v>
      </c>
    </row>
    <row r="519" spans="2:8" ht="15.75">
      <c r="B519" s="67" t="s">
        <v>107</v>
      </c>
      <c r="C519" s="154">
        <f>Master!N62</f>
        <v>-1359.2</v>
      </c>
      <c r="D519" s="154">
        <f>Master!O62</f>
        <v>-3137.4</v>
      </c>
      <c r="E519" s="154">
        <f>Master!P62</f>
        <v>-2386</v>
      </c>
      <c r="F519" s="154">
        <f>Master!Q62</f>
        <v>-1951.5000000000002</v>
      </c>
      <c r="G519" s="154">
        <f>Master!R62</f>
        <v>-908.9</v>
      </c>
      <c r="H519" s="154">
        <f>Master!S62</f>
        <v>181.8</v>
      </c>
    </row>
    <row r="520" spans="2:8" ht="15.75">
      <c r="B520" s="66" t="s">
        <v>34</v>
      </c>
      <c r="C520" s="125">
        <f>Master!N140</f>
        <v>32375.299999999992</v>
      </c>
      <c r="D520" s="125">
        <f>Master!O140</f>
        <v>33577.899999999994</v>
      </c>
      <c r="E520" s="125">
        <f>Master!P140</f>
        <v>32780</v>
      </c>
      <c r="F520" s="125">
        <f>Master!Q140</f>
        <v>36572.5</v>
      </c>
      <c r="G520" s="125">
        <f>Master!R140</f>
        <v>38218.1</v>
      </c>
      <c r="H520" s="125">
        <f>Master!S140</f>
        <v>38810.299999999996</v>
      </c>
    </row>
    <row r="521" spans="2:8" ht="15.75">
      <c r="B521" s="66"/>
      <c r="C521" s="125"/>
      <c r="D521" s="125"/>
      <c r="E521" s="125"/>
      <c r="F521" s="125"/>
      <c r="G521" s="125"/>
      <c r="H521" s="125"/>
    </row>
    <row r="522" spans="2:8" ht="15.75">
      <c r="B522" s="66" t="s">
        <v>35</v>
      </c>
      <c r="C522" s="125">
        <f>Master!N87</f>
        <v>25477.698</v>
      </c>
      <c r="D522" s="125">
        <f>Master!O87</f>
        <v>27913.08</v>
      </c>
      <c r="E522" s="125">
        <f>Master!P87</f>
        <v>16720.829999999998</v>
      </c>
      <c r="F522" s="125">
        <f>Master!Q87</f>
        <v>18660.95</v>
      </c>
      <c r="G522" s="125">
        <f>Master!R87</f>
        <v>19067.125</v>
      </c>
      <c r="H522" s="125">
        <f>Master!S87</f>
        <v>20178.311999999998</v>
      </c>
    </row>
    <row r="523" spans="2:8" ht="15.75">
      <c r="B523" s="66" t="s">
        <v>36</v>
      </c>
      <c r="C523" s="125">
        <f t="shared" ref="C523:H523" si="40">C520-C522</f>
        <v>6897.6019999999917</v>
      </c>
      <c r="D523" s="125">
        <f t="shared" si="40"/>
        <v>5664.8199999999924</v>
      </c>
      <c r="E523" s="125">
        <f t="shared" si="40"/>
        <v>16059.170000000002</v>
      </c>
      <c r="F523" s="125">
        <f t="shared" si="40"/>
        <v>17911.55</v>
      </c>
      <c r="G523" s="125">
        <f t="shared" si="40"/>
        <v>19150.974999999999</v>
      </c>
      <c r="H523" s="125">
        <f t="shared" si="40"/>
        <v>18631.987999999998</v>
      </c>
    </row>
    <row r="524" spans="2:8" ht="15.75">
      <c r="B524" s="66"/>
      <c r="C524" s="66"/>
      <c r="D524" s="66"/>
      <c r="E524" s="66"/>
    </row>
    <row r="525" spans="2:8" ht="15.75">
      <c r="B525" s="217" t="s">
        <v>1199</v>
      </c>
      <c r="C525" s="217">
        <f t="shared" ref="C525:H525" si="41">C504</f>
        <v>2015</v>
      </c>
      <c r="D525" s="217">
        <f t="shared" si="41"/>
        <v>2016</v>
      </c>
      <c r="E525" s="217">
        <f t="shared" si="41"/>
        <v>2017</v>
      </c>
      <c r="F525" s="217">
        <f t="shared" si="41"/>
        <v>2018</v>
      </c>
      <c r="G525" s="217">
        <f t="shared" si="41"/>
        <v>2019</v>
      </c>
      <c r="H525" s="217">
        <f t="shared" si="41"/>
        <v>2020</v>
      </c>
    </row>
    <row r="526" spans="2:8" ht="15.75">
      <c r="B526" s="66" t="str">
        <f t="shared" ref="B526:B533" si="42">B505</f>
        <v>Advertising</v>
      </c>
      <c r="C526" s="125">
        <v>26293.335249999996</v>
      </c>
      <c r="D526" s="125">
        <v>27410.801998124996</v>
      </c>
      <c r="E526" s="125">
        <v>28233.126058068749</v>
      </c>
      <c r="F526" s="125">
        <v>29023.653587694673</v>
      </c>
      <c r="G526" s="125">
        <v>29836.315888150126</v>
      </c>
      <c r="H526" s="125">
        <v>30671.732733018329</v>
      </c>
    </row>
    <row r="527" spans="2:8" ht="15.75">
      <c r="B527" s="66" t="str">
        <f t="shared" si="42"/>
        <v>Network Subscription Revenue</v>
      </c>
      <c r="C527" s="125">
        <v>3464.08</v>
      </c>
      <c r="D527" s="125">
        <v>3710.0296800000001</v>
      </c>
      <c r="E527" s="125">
        <v>3859.5438761040004</v>
      </c>
      <c r="F527" s="125">
        <v>4015.0834943109917</v>
      </c>
      <c r="G527" s="125">
        <v>4176.8913591317241</v>
      </c>
      <c r="H527" s="125">
        <v>4345.2200809047335</v>
      </c>
    </row>
    <row r="528" spans="2:8" ht="15.75">
      <c r="B528" s="66" t="str">
        <f t="shared" si="42"/>
        <v>Licensing and Syndication</v>
      </c>
      <c r="C528" s="125">
        <v>7263.926394350111</v>
      </c>
      <c r="D528" s="125">
        <v>7725.5696856931136</v>
      </c>
      <c r="E528" s="125">
        <v>8141.5254983060377</v>
      </c>
      <c r="F528" s="125">
        <v>10575.343940880757</v>
      </c>
      <c r="G528" s="125">
        <v>11147.491972447291</v>
      </c>
      <c r="H528" s="125">
        <v>11755.933649845434</v>
      </c>
    </row>
    <row r="529" spans="2:8" ht="15.75">
      <c r="B529" s="66" t="str">
        <f t="shared" si="42"/>
        <v>Satellite (Sky)</v>
      </c>
      <c r="C529" s="125">
        <v>19239.487535303168</v>
      </c>
      <c r="D529" s="125">
        <v>20994.278688562281</v>
      </c>
      <c r="E529" s="125">
        <v>22640.319359957975</v>
      </c>
      <c r="F529" s="125">
        <v>23979.627470345695</v>
      </c>
      <c r="G529" s="125">
        <v>25177.609998386117</v>
      </c>
      <c r="H529" s="125">
        <v>26419.85435590045</v>
      </c>
    </row>
    <row r="530" spans="2:8" ht="15.75">
      <c r="B530" s="66" t="str">
        <f t="shared" si="42"/>
        <v>Cable and Telecom (old disclosure)</v>
      </c>
      <c r="C530" s="125">
        <v>28313.433436078405</v>
      </c>
      <c r="D530" s="125">
        <v>31469.872174631899</v>
      </c>
      <c r="E530" s="125">
        <v>35211.728213540453</v>
      </c>
      <c r="F530" s="125">
        <v>39638.00896327501</v>
      </c>
      <c r="G530" s="125">
        <v>44564.432803909614</v>
      </c>
      <c r="H530" s="125">
        <v>49996.177661933718</v>
      </c>
    </row>
    <row r="531" spans="2:8" ht="15.75">
      <c r="B531" s="66" t="str">
        <f t="shared" si="42"/>
        <v>Other Businesses</v>
      </c>
      <c r="C531" s="125">
        <v>8204.2000000000007</v>
      </c>
      <c r="D531" s="125">
        <v>8286.2420000000002</v>
      </c>
      <c r="E531" s="125">
        <v>8369.1044199999997</v>
      </c>
      <c r="F531" s="125">
        <v>8452.7954642000004</v>
      </c>
      <c r="G531" s="125">
        <v>8537.323418842001</v>
      </c>
      <c r="H531" s="125">
        <v>8622.6966530304217</v>
      </c>
    </row>
    <row r="532" spans="2:8" ht="15.75">
      <c r="B532" s="66" t="str">
        <f t="shared" si="42"/>
        <v>Intersegment</v>
      </c>
      <c r="C532" s="125">
        <v>-1581.7459838398818</v>
      </c>
      <c r="D532" s="125">
        <v>-1697.9892189460743</v>
      </c>
      <c r="E532" s="125">
        <v>-1814.918177149952</v>
      </c>
      <c r="F532" s="125">
        <v>-1972.2628349930685</v>
      </c>
      <c r="G532" s="125">
        <v>-2104.48440566115</v>
      </c>
      <c r="H532" s="125">
        <v>-2247.2078862330882</v>
      </c>
    </row>
    <row r="533" spans="2:8" ht="15.75">
      <c r="B533" s="66" t="str">
        <f t="shared" si="42"/>
        <v>Revs</v>
      </c>
      <c r="C533" s="125">
        <v>91196.716631891817</v>
      </c>
      <c r="D533" s="125">
        <v>97898.805008066207</v>
      </c>
      <c r="E533" s="125">
        <v>104640.42924882725</v>
      </c>
      <c r="F533" s="125">
        <v>113712.25008571405</v>
      </c>
      <c r="G533" s="125">
        <v>121335.58103520573</v>
      </c>
      <c r="H533" s="125">
        <v>129564.40724840001</v>
      </c>
    </row>
    <row r="534" spans="2:8" ht="15.75">
      <c r="B534" s="66"/>
      <c r="C534" s="125"/>
      <c r="D534" s="125"/>
      <c r="E534" s="125"/>
      <c r="F534" s="125"/>
      <c r="G534" s="125"/>
      <c r="H534" s="125"/>
    </row>
    <row r="535" spans="2:8" ht="15.75">
      <c r="B535" s="66" t="s">
        <v>94</v>
      </c>
      <c r="C535" s="125">
        <v>16289.39032351405</v>
      </c>
      <c r="D535" s="125">
        <v>17092.416600079967</v>
      </c>
      <c r="E535" s="125">
        <v>17703.045990290666</v>
      </c>
      <c r="F535" s="125">
        <v>20716.688485871051</v>
      </c>
      <c r="G535" s="125">
        <v>21677.135625469986</v>
      </c>
      <c r="H535" s="125">
        <v>22684.849934927719</v>
      </c>
    </row>
    <row r="536" spans="2:8" ht="15.75">
      <c r="B536" s="66" t="s">
        <v>70</v>
      </c>
      <c r="C536" s="125">
        <v>8989.7922480990874</v>
      </c>
      <c r="D536" s="125">
        <v>9767.7427809734672</v>
      </c>
      <c r="E536" s="125">
        <v>10510.935006933267</v>
      </c>
      <c r="F536" s="125">
        <v>11108.73903360348</v>
      </c>
      <c r="G536" s="125">
        <v>11638.535652761699</v>
      </c>
      <c r="H536" s="125">
        <v>12186.352401693377</v>
      </c>
    </row>
    <row r="537" spans="2:8" ht="15.75">
      <c r="B537" s="66" t="s">
        <v>194</v>
      </c>
      <c r="C537" s="125">
        <v>10946.16307548029</v>
      </c>
      <c r="D537" s="125">
        <v>12049.617819905827</v>
      </c>
      <c r="E537" s="125">
        <v>13378.623606124978</v>
      </c>
      <c r="F537" s="125">
        <v>15167.38894417695</v>
      </c>
      <c r="G537" s="125">
        <v>17018.225466060674</v>
      </c>
      <c r="H537" s="125">
        <v>19072.350045193867</v>
      </c>
    </row>
    <row r="538" spans="2:8" ht="15.75">
      <c r="B538" s="66" t="s">
        <v>107</v>
      </c>
      <c r="C538" s="125">
        <v>716.32000000000289</v>
      </c>
      <c r="D538" s="125">
        <v>709.15680000000282</v>
      </c>
      <c r="E538" s="125">
        <v>702.06523200000277</v>
      </c>
      <c r="F538" s="125">
        <v>695.0445796800027</v>
      </c>
      <c r="G538" s="125">
        <v>688.09413388320263</v>
      </c>
      <c r="H538" s="125">
        <v>681.2131925443706</v>
      </c>
    </row>
    <row r="539" spans="2:8" ht="15.75">
      <c r="B539" s="66" t="s">
        <v>1280</v>
      </c>
      <c r="C539" s="125">
        <v>-1500.6774999999998</v>
      </c>
      <c r="D539" s="125">
        <v>-1523.1876624999995</v>
      </c>
      <c r="E539" s="125">
        <v>-1546.0354774374994</v>
      </c>
      <c r="F539" s="125">
        <v>-1569.2260095990616</v>
      </c>
      <c r="G539" s="125">
        <v>-1592.7643997430473</v>
      </c>
      <c r="H539" s="125">
        <v>-1616.6558657391929</v>
      </c>
    </row>
    <row r="540" spans="2:8" ht="15.75">
      <c r="B540" s="67" t="s">
        <v>107</v>
      </c>
      <c r="C540" s="154">
        <v>-713.97000000000025</v>
      </c>
      <c r="D540" s="154">
        <v>-713.97000000000025</v>
      </c>
      <c r="E540" s="154">
        <v>-713.97000000000025</v>
      </c>
      <c r="F540" s="154">
        <v>-713.97000000000025</v>
      </c>
      <c r="G540" s="154">
        <v>-713.97000000000025</v>
      </c>
      <c r="H540" s="154">
        <v>-713.97000000000025</v>
      </c>
    </row>
    <row r="541" spans="2:8" ht="15.75">
      <c r="B541" s="66" t="s">
        <v>34</v>
      </c>
      <c r="C541" s="125">
        <v>34727.018147093426</v>
      </c>
      <c r="D541" s="125">
        <v>37381.776338459262</v>
      </c>
      <c r="E541" s="125">
        <v>40034.66435791141</v>
      </c>
      <c r="F541" s="125">
        <v>45404.665033732424</v>
      </c>
      <c r="G541" s="125">
        <v>48715.256478432515</v>
      </c>
      <c r="H541" s="125">
        <v>52294.139708620132</v>
      </c>
    </row>
    <row r="542" spans="2:8" ht="15.75">
      <c r="B542" s="66"/>
      <c r="C542" s="125"/>
      <c r="D542" s="125"/>
      <c r="E542" s="125"/>
      <c r="F542" s="125"/>
      <c r="G542" s="125"/>
      <c r="H542" s="125"/>
    </row>
    <row r="543" spans="2:8" ht="15.75">
      <c r="B543" s="66" t="s">
        <v>35</v>
      </c>
      <c r="C543" s="125">
        <v>21071.627795071079</v>
      </c>
      <c r="D543" s="125">
        <v>21421.60512031737</v>
      </c>
      <c r="E543" s="125">
        <v>19056.978138311977</v>
      </c>
      <c r="F543" s="125">
        <v>16791.139589814258</v>
      </c>
      <c r="G543" s="125">
        <v>14940.580025812907</v>
      </c>
      <c r="H543" s="125">
        <v>15407.464170827801</v>
      </c>
    </row>
    <row r="544" spans="2:8" ht="15.75">
      <c r="B544" s="66" t="s">
        <v>36</v>
      </c>
      <c r="C544" s="125">
        <f t="shared" ref="C544:H544" si="43">C541-C543</f>
        <v>13655.390352022347</v>
      </c>
      <c r="D544" s="125">
        <f t="shared" si="43"/>
        <v>15960.171218141892</v>
      </c>
      <c r="E544" s="125">
        <f t="shared" si="43"/>
        <v>20977.686219599433</v>
      </c>
      <c r="F544" s="125">
        <f t="shared" si="43"/>
        <v>28613.525443918166</v>
      </c>
      <c r="G544" s="125">
        <f t="shared" si="43"/>
        <v>33774.676452619606</v>
      </c>
      <c r="H544" s="125">
        <f t="shared" si="43"/>
        <v>36886.675537792333</v>
      </c>
    </row>
    <row r="545" spans="2:8" ht="15.75">
      <c r="B545" s="66"/>
      <c r="C545" s="66"/>
      <c r="D545" s="66"/>
      <c r="E545" s="66"/>
      <c r="F545" s="66"/>
      <c r="G545" s="66"/>
      <c r="H545" s="66"/>
    </row>
    <row r="546" spans="2:8" ht="15.75">
      <c r="B546" s="217" t="s">
        <v>1281</v>
      </c>
      <c r="C546" s="217">
        <f t="shared" ref="C546:H546" si="44">C525</f>
        <v>2015</v>
      </c>
      <c r="D546" s="217">
        <f t="shared" si="44"/>
        <v>2016</v>
      </c>
      <c r="E546" s="217">
        <f t="shared" si="44"/>
        <v>2017</v>
      </c>
      <c r="F546" s="217">
        <f t="shared" si="44"/>
        <v>2018</v>
      </c>
      <c r="G546" s="217">
        <f t="shared" si="44"/>
        <v>2019</v>
      </c>
      <c r="H546" s="217">
        <f t="shared" si="44"/>
        <v>2020</v>
      </c>
    </row>
    <row r="547" spans="2:8" ht="15.75">
      <c r="B547" s="66" t="str">
        <f t="shared" ref="B547:B554" si="45">B526</f>
        <v>Advertising</v>
      </c>
      <c r="C547" s="116">
        <f t="shared" ref="C547:H554" si="46">C505/C526-1</f>
        <v>-0.12413926262930064</v>
      </c>
      <c r="D547" s="116">
        <f t="shared" si="46"/>
        <v>-0.15277196188610032</v>
      </c>
      <c r="E547" s="116">
        <f t="shared" si="46"/>
        <v>-0.26614573400812924</v>
      </c>
      <c r="F547" s="116">
        <f t="shared" si="46"/>
        <v>-0.27111175248559305</v>
      </c>
      <c r="G547" s="116">
        <f t="shared" si="46"/>
        <v>-0.34910194432841957</v>
      </c>
      <c r="H547" s="116">
        <f t="shared" si="46"/>
        <v>-0.46694240777602602</v>
      </c>
    </row>
    <row r="548" spans="2:8" ht="15.75">
      <c r="B548" s="66" t="str">
        <f t="shared" si="45"/>
        <v>Network Subscription Revenue</v>
      </c>
      <c r="C548" s="116">
        <f t="shared" si="46"/>
        <v>3.7909055218124266E-2</v>
      </c>
      <c r="D548" s="116">
        <f t="shared" si="46"/>
        <v>0.18578566196268276</v>
      </c>
      <c r="E548" s="116">
        <f t="shared" si="46"/>
        <v>5.1419579687828287E-2</v>
      </c>
      <c r="F548" s="116">
        <f t="shared" si="46"/>
        <v>0.20570344473763913</v>
      </c>
      <c r="G548" s="116">
        <f t="shared" si="46"/>
        <v>0.18245833452242333</v>
      </c>
      <c r="H548" s="116">
        <f t="shared" si="46"/>
        <v>0.25798000980927593</v>
      </c>
    </row>
    <row r="549" spans="2:8" ht="15.75">
      <c r="B549" s="66" t="str">
        <f t="shared" si="45"/>
        <v>Licensing and Syndication</v>
      </c>
      <c r="C549" s="116">
        <f t="shared" si="46"/>
        <v>6.1120333762634482E-2</v>
      </c>
      <c r="D549" s="116">
        <f t="shared" si="46"/>
        <v>0.17327269946006441</v>
      </c>
      <c r="E549" s="116">
        <f t="shared" si="46"/>
        <v>0.13246589990025259</v>
      </c>
      <c r="F549" s="116">
        <f t="shared" si="46"/>
        <v>-5.1387398069089318E-3</v>
      </c>
      <c r="G549" s="116">
        <f t="shared" si="46"/>
        <v>-6.3825295789030512E-2</v>
      </c>
      <c r="H549" s="116">
        <f t="shared" si="46"/>
        <v>-8.1570182208202779E-2</v>
      </c>
    </row>
    <row r="550" spans="2:8" ht="15.75">
      <c r="B550" s="66" t="str">
        <f t="shared" si="45"/>
        <v>Satellite (Sky)</v>
      </c>
      <c r="C550" s="116">
        <f t="shared" si="46"/>
        <v>7.2831797994199476E-4</v>
      </c>
      <c r="D550" s="116">
        <f t="shared" si="46"/>
        <v>4.5103779247895881E-2</v>
      </c>
      <c r="E550" s="116">
        <f t="shared" si="46"/>
        <v>-1.9580967605167143E-2</v>
      </c>
      <c r="F550" s="116">
        <f t="shared" si="46"/>
        <v>-8.2471150679522376E-2</v>
      </c>
      <c r="G550" s="116">
        <f t="shared" si="46"/>
        <v>-0.15214351158158612</v>
      </c>
      <c r="H550" s="116">
        <f t="shared" si="46"/>
        <v>-0.16219447307223434</v>
      </c>
    </row>
    <row r="551" spans="2:8" ht="15.75">
      <c r="B551" s="66" t="str">
        <f t="shared" si="45"/>
        <v>Cable and Telecom (old disclosure)</v>
      </c>
      <c r="C551" s="116">
        <f t="shared" si="46"/>
        <v>6.1760988583874354E-3</v>
      </c>
      <c r="D551" s="116">
        <f t="shared" si="46"/>
        <v>1.3401002172104715E-2</v>
      </c>
      <c r="E551" s="116">
        <f t="shared" si="46"/>
        <v>-6.1449077432910726E-2</v>
      </c>
      <c r="F551" s="116">
        <f t="shared" si="46"/>
        <v>-8.590262357601719E-2</v>
      </c>
      <c r="G551" s="116">
        <f t="shared" si="46"/>
        <v>-6.4231330319063251E-2</v>
      </c>
      <c r="H551" s="116">
        <f t="shared" si="46"/>
        <v>-9.2588631339675875E-2</v>
      </c>
    </row>
    <row r="552" spans="2:8" ht="15.75">
      <c r="B552" s="66" t="str">
        <f t="shared" si="45"/>
        <v>Other Businesses</v>
      </c>
      <c r="C552" s="116">
        <f t="shared" si="46"/>
        <v>-9.7389142146705465E-3</v>
      </c>
      <c r="D552" s="116">
        <f t="shared" si="46"/>
        <v>6.5416626741048534E-2</v>
      </c>
      <c r="E552" s="116">
        <f t="shared" si="46"/>
        <v>8.2393284322290761E-4</v>
      </c>
      <c r="F552" s="116">
        <f t="shared" si="46"/>
        <v>2.1673839923836313E-2</v>
      </c>
      <c r="G552" s="116">
        <f t="shared" si="46"/>
        <v>-3.9488186437679484E-2</v>
      </c>
      <c r="H552" s="116">
        <f t="shared" si="46"/>
        <v>-0.50409945147528612</v>
      </c>
    </row>
    <row r="553" spans="2:8" ht="15.75">
      <c r="B553" s="67" t="str">
        <f t="shared" si="45"/>
        <v>Intersegment</v>
      </c>
      <c r="C553" s="123">
        <f t="shared" si="46"/>
        <v>0.35729758250318921</v>
      </c>
      <c r="D553" s="123">
        <f t="shared" si="46"/>
        <v>0.80472288387204483</v>
      </c>
      <c r="E553" s="123">
        <f t="shared" si="46"/>
        <v>0.84195631631706047</v>
      </c>
      <c r="F553" s="123">
        <f t="shared" si="46"/>
        <v>1.4398370818648578</v>
      </c>
      <c r="G553" s="123">
        <f t="shared" si="46"/>
        <v>1.5630981087291107</v>
      </c>
      <c r="H553" s="123">
        <f t="shared" si="46"/>
        <v>2.227338264710836</v>
      </c>
    </row>
    <row r="554" spans="2:8" ht="15.75">
      <c r="B554" s="66" t="str">
        <f t="shared" si="45"/>
        <v>Revs</v>
      </c>
      <c r="C554" s="116">
        <f t="shared" si="46"/>
        <v>-3.4482783460124011E-2</v>
      </c>
      <c r="D554" s="116">
        <f t="shared" si="46"/>
        <v>-1.6459904775481649E-2</v>
      </c>
      <c r="E554" s="116">
        <f t="shared" si="46"/>
        <v>-9.9057594882175248E-2</v>
      </c>
      <c r="F554" s="116">
        <f t="shared" si="46"/>
        <v>-0.10906696575228692</v>
      </c>
      <c r="G554" s="116">
        <f t="shared" si="46"/>
        <v>-0.17047745483003818</v>
      </c>
      <c r="H554" s="116">
        <f t="shared" si="46"/>
        <v>-0.25027017787557115</v>
      </c>
    </row>
    <row r="556" spans="2:8" ht="15.75">
      <c r="B556" s="66" t="str">
        <f t="shared" ref="B556:B561" si="47">B535</f>
        <v>Content</v>
      </c>
      <c r="C556" s="116">
        <f t="shared" ref="C556:H562" si="48">C514/C535-1</f>
        <v>-0.10590883324980571</v>
      </c>
      <c r="D556" s="116">
        <f t="shared" si="48"/>
        <v>-0.1371612133575657</v>
      </c>
      <c r="E556" s="116">
        <f t="shared" si="48"/>
        <v>-0.27554839957858424</v>
      </c>
      <c r="F556" s="116">
        <f t="shared" si="48"/>
        <v>-0.28294524435547552</v>
      </c>
      <c r="G556" s="116">
        <f t="shared" si="48"/>
        <v>-0.41726618229219459</v>
      </c>
      <c r="H556" s="116">
        <f t="shared" si="48"/>
        <v>-0.45510770247731924</v>
      </c>
    </row>
    <row r="557" spans="2:8" ht="15.75">
      <c r="B557" s="66" t="str">
        <f t="shared" si="47"/>
        <v>Sky</v>
      </c>
      <c r="C557" s="116">
        <f t="shared" si="48"/>
        <v>-1.945790026770311E-3</v>
      </c>
      <c r="D557" s="116">
        <f t="shared" si="48"/>
        <v>1.338663619206204E-2</v>
      </c>
      <c r="E557" s="116">
        <f t="shared" si="48"/>
        <v>-3.8429978557266486E-2</v>
      </c>
      <c r="F557" s="116">
        <f t="shared" si="48"/>
        <v>-0.12078229847193056</v>
      </c>
      <c r="G557" s="116">
        <f t="shared" si="48"/>
        <v>-0.21631034417670192</v>
      </c>
      <c r="H557" s="116">
        <f t="shared" si="48"/>
        <v>-0.25032530663313846</v>
      </c>
    </row>
    <row r="558" spans="2:8" ht="15.75">
      <c r="B558" s="66" t="str">
        <f t="shared" si="47"/>
        <v>Cable and Telecom</v>
      </c>
      <c r="C558" s="116">
        <f t="shared" si="48"/>
        <v>4.197241730747292E-2</v>
      </c>
      <c r="D558" s="116">
        <f t="shared" si="48"/>
        <v>9.8466374438375803E-2</v>
      </c>
      <c r="E558" s="116">
        <f t="shared" si="48"/>
        <v>4.9061578619681079E-2</v>
      </c>
      <c r="F558" s="116">
        <f t="shared" si="48"/>
        <v>8.9409625033129991E-3</v>
      </c>
      <c r="G558" s="116">
        <f t="shared" si="48"/>
        <v>4.5819967275344098E-2</v>
      </c>
      <c r="H558" s="116">
        <f t="shared" si="48"/>
        <v>-9.125778668147233E-3</v>
      </c>
    </row>
    <row r="559" spans="2:8" ht="15.75">
      <c r="B559" s="66" t="str">
        <f t="shared" si="47"/>
        <v>Other</v>
      </c>
      <c r="C559" s="116">
        <f t="shared" si="48"/>
        <v>5.1485369667183756E-2</v>
      </c>
      <c r="D559" s="116">
        <f t="shared" si="48"/>
        <v>0.46737646737646132</v>
      </c>
      <c r="E559" s="116">
        <f t="shared" si="48"/>
        <v>-0.30205915680496476</v>
      </c>
      <c r="F559" s="116">
        <f t="shared" si="48"/>
        <v>8.4822502100714514E-2</v>
      </c>
      <c r="G559" s="116">
        <f t="shared" si="48"/>
        <v>1.1276158710117703</v>
      </c>
      <c r="H559" s="116">
        <f t="shared" si="48"/>
        <v>-0.82898158568411484</v>
      </c>
    </row>
    <row r="560" spans="2:8" ht="15.75">
      <c r="B560" s="66" t="str">
        <f t="shared" si="47"/>
        <v>Corporate</v>
      </c>
      <c r="C560" s="116">
        <f t="shared" si="48"/>
        <v>0.30660984788537204</v>
      </c>
      <c r="D560" s="116">
        <f t="shared" si="48"/>
        <v>0.44952592143254755</v>
      </c>
      <c r="E560" s="116">
        <f t="shared" si="48"/>
        <v>0.48185473970963044</v>
      </c>
      <c r="F560" s="116">
        <f t="shared" si="48"/>
        <v>0.37328847904490448</v>
      </c>
      <c r="G560" s="116">
        <f t="shared" si="48"/>
        <v>0.18536049669654941</v>
      </c>
      <c r="H560" s="116">
        <f t="shared" si="48"/>
        <v>0.16468819363672726</v>
      </c>
    </row>
    <row r="561" spans="2:15" ht="15.75">
      <c r="B561" s="67" t="str">
        <f t="shared" si="47"/>
        <v>Other</v>
      </c>
      <c r="C561" s="123">
        <f t="shared" si="48"/>
        <v>0.9037214448786357</v>
      </c>
      <c r="D561" s="123">
        <f t="shared" si="48"/>
        <v>3.3943022816084696</v>
      </c>
      <c r="E561" s="123">
        <f t="shared" si="48"/>
        <v>2.3418771096824784</v>
      </c>
      <c r="F561" s="123">
        <f t="shared" si="48"/>
        <v>1.7333081221900075</v>
      </c>
      <c r="G561" s="123">
        <f t="shared" si="48"/>
        <v>0.27302267602280161</v>
      </c>
      <c r="H561" s="123">
        <f t="shared" si="48"/>
        <v>-1.2546325475860329</v>
      </c>
    </row>
    <row r="562" spans="2:15" ht="15.75">
      <c r="B562" s="66" t="s">
        <v>34</v>
      </c>
      <c r="C562" s="116">
        <f t="shared" si="48"/>
        <v>-6.7720128953549841E-2</v>
      </c>
      <c r="D562" s="116">
        <f t="shared" si="48"/>
        <v>-0.10175750622491819</v>
      </c>
      <c r="E562" s="116">
        <f t="shared" si="48"/>
        <v>-0.18120957111203517</v>
      </c>
      <c r="F562" s="116">
        <f t="shared" si="48"/>
        <v>-0.19452109220871372</v>
      </c>
      <c r="G562" s="116">
        <f t="shared" si="48"/>
        <v>-0.21547985656361834</v>
      </c>
      <c r="H562" s="116">
        <f t="shared" si="48"/>
        <v>-0.25784609487317889</v>
      </c>
    </row>
    <row r="563" spans="2:15" ht="15.75">
      <c r="B563" s="66"/>
      <c r="C563" s="116"/>
      <c r="D563" s="116"/>
      <c r="E563" s="116"/>
      <c r="F563" s="116"/>
      <c r="G563" s="116"/>
      <c r="H563" s="116"/>
    </row>
    <row r="564" spans="2:15" ht="15.75">
      <c r="B564" s="66" t="s">
        <v>35</v>
      </c>
      <c r="C564" s="116">
        <f t="shared" ref="C564:H565" si="49">C522/C543-1</f>
        <v>0.20909965987343204</v>
      </c>
      <c r="D564" s="116">
        <f t="shared" si="49"/>
        <v>0.30303400904004985</v>
      </c>
      <c r="E564" s="116">
        <f t="shared" si="49"/>
        <v>-0.12258754359461677</v>
      </c>
      <c r="F564" s="116">
        <f t="shared" si="49"/>
        <v>0.11135696896475067</v>
      </c>
      <c r="G564" s="116">
        <f t="shared" si="49"/>
        <v>0.27619710660882246</v>
      </c>
      <c r="H564" s="116">
        <f t="shared" si="49"/>
        <v>0.30964523274408973</v>
      </c>
    </row>
    <row r="565" spans="2:15" ht="15.75">
      <c r="B565" s="66" t="s">
        <v>36</v>
      </c>
      <c r="C565" s="116">
        <f t="shared" si="49"/>
        <v>-0.49488064257507913</v>
      </c>
      <c r="D565" s="116">
        <f t="shared" si="49"/>
        <v>-0.6450652112327715</v>
      </c>
      <c r="E565" s="116">
        <f t="shared" si="49"/>
        <v>-0.23446419057427148</v>
      </c>
      <c r="F565" s="116">
        <f t="shared" si="49"/>
        <v>-0.37401806585818254</v>
      </c>
      <c r="G565" s="116">
        <f t="shared" si="49"/>
        <v>-0.43297828398546734</v>
      </c>
      <c r="H565" s="116">
        <f t="shared" si="49"/>
        <v>-0.49488568084942897</v>
      </c>
      <c r="O565" t="s">
        <v>57</v>
      </c>
    </row>
    <row r="567" spans="2:15">
      <c r="B567" t="s">
        <v>1282</v>
      </c>
      <c r="C567">
        <v>2013</v>
      </c>
      <c r="D567">
        <v>2014</v>
      </c>
    </row>
    <row r="569" spans="2:15">
      <c r="B569" t="s">
        <v>324</v>
      </c>
      <c r="C569">
        <f>Master!L312</f>
        <v>60864</v>
      </c>
      <c r="D569">
        <f>Master!M312</f>
        <v>80660.5</v>
      </c>
    </row>
    <row r="570" spans="2:15">
      <c r="B570" s="264" t="s">
        <v>1283</v>
      </c>
      <c r="C570">
        <v>29383</v>
      </c>
      <c r="D570">
        <f>C570+D577</f>
        <v>42383</v>
      </c>
    </row>
    <row r="571" spans="2:15">
      <c r="B571" s="264" t="s">
        <v>1284</v>
      </c>
      <c r="C571">
        <v>34845</v>
      </c>
      <c r="D571">
        <f>C571+D578</f>
        <v>40845</v>
      </c>
    </row>
    <row r="572" spans="2:15">
      <c r="B572" s="264" t="s">
        <v>1285</v>
      </c>
      <c r="C572">
        <f>C569-C570-C571</f>
        <v>-3364</v>
      </c>
      <c r="D572">
        <f>D569-D570-D571</f>
        <v>-2567.5</v>
      </c>
    </row>
    <row r="573" spans="2:15">
      <c r="B573" s="264"/>
    </row>
    <row r="574" spans="2:15">
      <c r="B574" s="264"/>
      <c r="C574" s="8">
        <f>(C569-C571)/C569</f>
        <v>0.42749408517350157</v>
      </c>
      <c r="D574" s="8">
        <f>(D569-D571)/D569</f>
        <v>0.49361831379671589</v>
      </c>
    </row>
    <row r="576" spans="2:15">
      <c r="B576" t="s">
        <v>1286</v>
      </c>
    </row>
    <row r="577" spans="2:8">
      <c r="B577" t="str">
        <f>B570</f>
        <v xml:space="preserve"> of which $</v>
      </c>
      <c r="D577">
        <f>1000*13</f>
        <v>13000</v>
      </c>
    </row>
    <row r="578" spans="2:8">
      <c r="B578" t="str">
        <f>B572</f>
        <v xml:space="preserve"> of which peso/other</v>
      </c>
      <c r="D578">
        <v>6000</v>
      </c>
    </row>
    <row r="580" spans="2:8">
      <c r="B580" s="42" t="s">
        <v>1287</v>
      </c>
    </row>
    <row r="581" spans="2:8">
      <c r="B581" s="42"/>
    </row>
    <row r="582" spans="2:8" ht="15.75">
      <c r="B582" s="74" t="s">
        <v>1288</v>
      </c>
      <c r="C582" s="391" t="s">
        <v>937</v>
      </c>
      <c r="D582" s="394" t="s">
        <v>1289</v>
      </c>
      <c r="E582" s="395"/>
      <c r="F582" s="394" t="s">
        <v>1290</v>
      </c>
      <c r="G582" s="395"/>
      <c r="H582" s="391" t="s">
        <v>468</v>
      </c>
    </row>
    <row r="583" spans="2:8" ht="15.75">
      <c r="B583" s="217" t="s">
        <v>1231</v>
      </c>
      <c r="C583" s="217">
        <v>400</v>
      </c>
      <c r="D583" s="217">
        <v>389</v>
      </c>
      <c r="E583" s="217">
        <v>599</v>
      </c>
      <c r="F583" s="217">
        <v>389</v>
      </c>
      <c r="G583" s="217">
        <v>599</v>
      </c>
      <c r="H583" s="217">
        <v>409</v>
      </c>
    </row>
    <row r="584" spans="2:8" ht="15.75">
      <c r="B584" s="183" t="s">
        <v>1291</v>
      </c>
      <c r="C584" s="392" t="s">
        <v>1292</v>
      </c>
      <c r="D584" s="392" t="s">
        <v>1293</v>
      </c>
      <c r="E584" s="392" t="s">
        <v>1294</v>
      </c>
      <c r="F584" s="392">
        <v>100</v>
      </c>
      <c r="G584" s="392" t="s">
        <v>1292</v>
      </c>
      <c r="H584" s="392" t="s">
        <v>1292</v>
      </c>
    </row>
    <row r="585" spans="2:8" ht="15.75">
      <c r="B585" s="66" t="s">
        <v>1295</v>
      </c>
      <c r="C585" s="111" t="s">
        <v>1292</v>
      </c>
      <c r="D585" s="111" t="s">
        <v>1296</v>
      </c>
      <c r="E585" s="111" t="s">
        <v>1296</v>
      </c>
      <c r="F585" s="111">
        <v>200</v>
      </c>
      <c r="G585" s="111" t="s">
        <v>1292</v>
      </c>
      <c r="H585" s="111">
        <v>50</v>
      </c>
    </row>
    <row r="586" spans="2:8" ht="15.75">
      <c r="B586" s="183" t="s">
        <v>1297</v>
      </c>
      <c r="C586" s="392" t="s">
        <v>1292</v>
      </c>
      <c r="D586" s="392" t="s">
        <v>1298</v>
      </c>
      <c r="E586" s="392" t="s">
        <v>1298</v>
      </c>
      <c r="F586" s="392">
        <v>200</v>
      </c>
      <c r="G586" s="392" t="s">
        <v>1292</v>
      </c>
      <c r="H586" s="392" t="s">
        <v>1298</v>
      </c>
    </row>
    <row r="587" spans="2:8" ht="15.75">
      <c r="B587" s="66" t="s">
        <v>1299</v>
      </c>
      <c r="C587" s="111" t="s">
        <v>1292</v>
      </c>
      <c r="D587" s="111" t="s">
        <v>1300</v>
      </c>
      <c r="E587" s="111" t="s">
        <v>1292</v>
      </c>
      <c r="F587" s="111" t="s">
        <v>1292</v>
      </c>
      <c r="G587" s="111" t="s">
        <v>1292</v>
      </c>
      <c r="H587" s="111" t="s">
        <v>1301</v>
      </c>
    </row>
    <row r="588" spans="2:8" ht="15.75">
      <c r="B588" s="183" t="s">
        <v>1302</v>
      </c>
      <c r="C588" s="392" t="s">
        <v>1292</v>
      </c>
      <c r="D588" s="392" t="s">
        <v>1301</v>
      </c>
      <c r="E588" s="392" t="s">
        <v>1303</v>
      </c>
      <c r="F588" s="392" t="s">
        <v>1292</v>
      </c>
      <c r="G588" s="392" t="s">
        <v>1292</v>
      </c>
      <c r="H588" s="392" t="s">
        <v>1301</v>
      </c>
    </row>
    <row r="589" spans="2:8" ht="15.75">
      <c r="B589" s="66" t="s">
        <v>1304</v>
      </c>
      <c r="C589" s="111" t="s">
        <v>1292</v>
      </c>
      <c r="D589" s="111" t="s">
        <v>1301</v>
      </c>
      <c r="E589" s="111" t="s">
        <v>1301</v>
      </c>
      <c r="F589" s="111" t="s">
        <v>1292</v>
      </c>
      <c r="G589" s="111" t="s">
        <v>1292</v>
      </c>
      <c r="H589" s="111" t="s">
        <v>1301</v>
      </c>
    </row>
    <row r="590" spans="2:8" ht="15.75">
      <c r="B590" s="183" t="s">
        <v>1305</v>
      </c>
      <c r="C590" s="392" t="s">
        <v>1292</v>
      </c>
      <c r="D590" s="392" t="s">
        <v>1306</v>
      </c>
      <c r="E590" s="392" t="s">
        <v>1301</v>
      </c>
      <c r="F590" s="392" t="s">
        <v>1292</v>
      </c>
      <c r="G590" s="392" t="s">
        <v>1292</v>
      </c>
      <c r="H590" s="392" t="s">
        <v>1306</v>
      </c>
    </row>
    <row r="591" spans="2:8" ht="15.75">
      <c r="B591" s="66"/>
      <c r="C591" s="66"/>
      <c r="D591" s="66"/>
      <c r="E591" s="66"/>
      <c r="F591" s="66"/>
      <c r="G591" s="66"/>
      <c r="H591" s="66"/>
    </row>
    <row r="592" spans="2:8" ht="15.75">
      <c r="B592" s="185" t="s">
        <v>1307</v>
      </c>
      <c r="C592" s="393" t="s">
        <v>1308</v>
      </c>
      <c r="D592" s="393" t="s">
        <v>1309</v>
      </c>
      <c r="E592" s="393" t="s">
        <v>1310</v>
      </c>
      <c r="F592" s="393" t="s">
        <v>1311</v>
      </c>
      <c r="G592" s="393" t="s">
        <v>1311</v>
      </c>
      <c r="H592" s="393" t="s">
        <v>1312</v>
      </c>
    </row>
    <row r="593" spans="2:8" ht="15.75">
      <c r="B593" s="66" t="s">
        <v>1313</v>
      </c>
      <c r="C593" s="66"/>
      <c r="D593" s="66"/>
      <c r="E593" s="66"/>
      <c r="F593" s="66"/>
      <c r="G593" s="66"/>
      <c r="H593" s="66"/>
    </row>
    <row r="594" spans="2:8" ht="15.75">
      <c r="B594" s="66"/>
      <c r="C594" s="66"/>
      <c r="D594" s="66"/>
      <c r="E594" s="66"/>
      <c r="F594" s="66"/>
      <c r="G594" s="66"/>
      <c r="H594" s="66"/>
    </row>
    <row r="595" spans="2:8" ht="15.75">
      <c r="B595" s="66" t="s">
        <v>1314</v>
      </c>
      <c r="G595" s="111" t="s">
        <v>1315</v>
      </c>
    </row>
    <row r="596" spans="2:8" ht="15.75">
      <c r="C596" s="66" t="s">
        <v>1316</v>
      </c>
      <c r="D596" s="66" t="s">
        <v>1317</v>
      </c>
      <c r="G596" s="69">
        <v>0.38</v>
      </c>
    </row>
    <row r="597" spans="2:8" ht="15.75">
      <c r="C597" s="66" t="s">
        <v>1318</v>
      </c>
      <c r="D597" s="66" t="s">
        <v>1319</v>
      </c>
      <c r="G597" s="69">
        <v>0.19</v>
      </c>
    </row>
    <row r="598" spans="2:8" ht="15.75">
      <c r="C598" s="66" t="s">
        <v>1320</v>
      </c>
      <c r="D598" s="66"/>
      <c r="G598" s="69">
        <v>0.43</v>
      </c>
    </row>
    <row r="599" spans="2:8" ht="15.75">
      <c r="C599" s="66"/>
      <c r="D599" s="66"/>
    </row>
    <row r="600" spans="2:8" ht="15.75">
      <c r="B600" s="66" t="s">
        <v>1321</v>
      </c>
      <c r="C600" s="66" t="s">
        <v>1322</v>
      </c>
      <c r="D600" s="66"/>
    </row>
    <row r="601" spans="2:8" ht="15.75">
      <c r="C601" s="66" t="s">
        <v>1323</v>
      </c>
      <c r="D601" s="66"/>
    </row>
    <row r="602" spans="2:8" ht="15.75">
      <c r="C602" s="66" t="s">
        <v>1324</v>
      </c>
    </row>
    <row r="603" spans="2:8" ht="15.75">
      <c r="C603" s="66" t="s">
        <v>1325</v>
      </c>
      <c r="D603" s="66" t="s">
        <v>1326</v>
      </c>
    </row>
    <row r="604" spans="2:8" ht="15.75">
      <c r="C604" s="66" t="s">
        <v>1327</v>
      </c>
      <c r="D604" s="66"/>
    </row>
    <row r="605" spans="2:8">
      <c r="B605" t="s">
        <v>1328</v>
      </c>
    </row>
    <row r="607" spans="2:8">
      <c r="B607" t="s">
        <v>1329</v>
      </c>
    </row>
    <row r="609" spans="2:10" ht="15.75">
      <c r="B609" s="409" t="s">
        <v>1330</v>
      </c>
      <c r="C609" s="410"/>
      <c r="D609" s="410"/>
      <c r="E609" s="410"/>
      <c r="F609" s="410"/>
    </row>
    <row r="610" spans="2:10" ht="15.75">
      <c r="B610" s="66"/>
      <c r="C610" s="66"/>
      <c r="D610" s="66"/>
      <c r="E610" s="66"/>
      <c r="F610" s="66"/>
    </row>
    <row r="611" spans="2:10" ht="15.75">
      <c r="B611" s="217" t="s">
        <v>1331</v>
      </c>
      <c r="C611" s="217">
        <v>2018</v>
      </c>
      <c r="D611" s="217">
        <f t="shared" ref="D611:J611" si="50">C611+1</f>
        <v>2019</v>
      </c>
      <c r="E611" s="217">
        <f t="shared" si="50"/>
        <v>2020</v>
      </c>
      <c r="F611" s="217">
        <f t="shared" si="50"/>
        <v>2021</v>
      </c>
      <c r="G611" s="217">
        <f t="shared" si="50"/>
        <v>2022</v>
      </c>
      <c r="H611" s="217">
        <f t="shared" si="50"/>
        <v>2023</v>
      </c>
      <c r="I611" s="217">
        <f t="shared" si="50"/>
        <v>2024</v>
      </c>
      <c r="J611" s="217">
        <f t="shared" si="50"/>
        <v>2025</v>
      </c>
    </row>
    <row r="612" spans="2:10" ht="15.75" outlineLevel="1">
      <c r="B612" s="66" t="s">
        <v>907</v>
      </c>
      <c r="C612" s="124">
        <v>21283.55297795399</v>
      </c>
      <c r="D612" s="124">
        <v>23235.939147363839</v>
      </c>
      <c r="E612" s="124">
        <v>25082.937694171425</v>
      </c>
      <c r="F612" s="124">
        <v>27133.013385722807</v>
      </c>
      <c r="G612" s="124">
        <v>29125.224529959047</v>
      </c>
      <c r="H612" s="124">
        <v>31135.567599213697</v>
      </c>
      <c r="I612" s="124">
        <v>33403.148138822551</v>
      </c>
      <c r="J612" s="124">
        <v>34311.252502995354</v>
      </c>
    </row>
    <row r="613" spans="2:10" ht="15.75" outlineLevel="1">
      <c r="B613" s="66" t="s">
        <v>34</v>
      </c>
      <c r="C613" s="124">
        <v>9347</v>
      </c>
      <c r="D613" s="124">
        <v>10151.006166499565</v>
      </c>
      <c r="E613" s="124">
        <v>10868.339872494105</v>
      </c>
      <c r="F613" s="124">
        <v>11630.993211156871</v>
      </c>
      <c r="G613" s="124">
        <v>12596.475634837565</v>
      </c>
      <c r="H613" s="124">
        <v>13523.649192283743</v>
      </c>
      <c r="I613" s="124">
        <v>14529.301692545572</v>
      </c>
      <c r="J613" s="124">
        <v>15661.25131216696</v>
      </c>
    </row>
    <row r="614" spans="2:10" ht="15.75" outlineLevel="1">
      <c r="B614" s="66" t="s">
        <v>548</v>
      </c>
      <c r="C614" s="116">
        <f t="shared" ref="C614:J614" si="51">C613/C612</f>
        <v>0.43916539732261078</v>
      </c>
      <c r="D614" s="116">
        <f t="shared" si="51"/>
        <v>0.43686661865144433</v>
      </c>
      <c r="E614" s="116">
        <f t="shared" si="51"/>
        <v>0.43329613161777314</v>
      </c>
      <c r="F614" s="116">
        <f t="shared" si="51"/>
        <v>0.4286657381475002</v>
      </c>
      <c r="G614" s="116">
        <f t="shared" si="51"/>
        <v>0.43249368333213933</v>
      </c>
      <c r="H614" s="116">
        <f t="shared" si="51"/>
        <v>0.43434728302898423</v>
      </c>
      <c r="I614" s="116">
        <f t="shared" si="51"/>
        <v>0.4349680345146571</v>
      </c>
      <c r="J614" s="116">
        <f t="shared" si="51"/>
        <v>0.45644650572868889</v>
      </c>
    </row>
    <row r="615" spans="2:10" ht="15.75" outlineLevel="1">
      <c r="B615" s="66" t="s">
        <v>1332</v>
      </c>
      <c r="C615" s="125">
        <f t="shared" ref="C615:J615" si="52">C612-C613</f>
        <v>11936.55297795399</v>
      </c>
      <c r="D615" s="125">
        <f t="shared" si="52"/>
        <v>13084.932980864274</v>
      </c>
      <c r="E615" s="125">
        <f t="shared" si="52"/>
        <v>14214.59782167732</v>
      </c>
      <c r="F615" s="125">
        <f t="shared" si="52"/>
        <v>15502.020174565936</v>
      </c>
      <c r="G615" s="125">
        <f t="shared" si="52"/>
        <v>16528.748895121484</v>
      </c>
      <c r="H615" s="125">
        <f t="shared" si="52"/>
        <v>17611.918406929952</v>
      </c>
      <c r="I615" s="125">
        <f t="shared" si="52"/>
        <v>18873.846446276977</v>
      </c>
      <c r="J615" s="125">
        <f t="shared" si="52"/>
        <v>18650.001190828392</v>
      </c>
    </row>
    <row r="616" spans="2:10" ht="15.75" outlineLevel="1">
      <c r="B616" s="66" t="s">
        <v>35</v>
      </c>
      <c r="C616" s="124">
        <v>5753.1229999999996</v>
      </c>
      <c r="D616" s="124">
        <v>6372.8442575629906</v>
      </c>
      <c r="E616" s="124">
        <v>6649.0822466305517</v>
      </c>
      <c r="F616" s="124">
        <v>6835.2215205398434</v>
      </c>
      <c r="G616" s="124">
        <v>7054.9496650179817</v>
      </c>
      <c r="H616" s="124">
        <v>7269.7168532408614</v>
      </c>
      <c r="I616" s="124">
        <v>7197.1061884705587</v>
      </c>
      <c r="J616" s="124">
        <v>7420.4508785086073</v>
      </c>
    </row>
    <row r="617" spans="2:10" ht="15.75" outlineLevel="1">
      <c r="B617" s="66" t="s">
        <v>396</v>
      </c>
      <c r="C617" s="116">
        <f t="shared" ref="C617:J617" si="53">C616/C612</f>
        <v>0.27030839286839098</v>
      </c>
      <c r="D617" s="116">
        <f t="shared" si="53"/>
        <v>0.27426669596378256</v>
      </c>
      <c r="E617" s="116">
        <f t="shared" si="53"/>
        <v>0.26508387206079187</v>
      </c>
      <c r="F617" s="116">
        <f t="shared" si="53"/>
        <v>0.25191531155682423</v>
      </c>
      <c r="G617" s="116">
        <f t="shared" si="53"/>
        <v>0.2422281640356474</v>
      </c>
      <c r="H617" s="116">
        <f t="shared" si="53"/>
        <v>0.23348592666813794</v>
      </c>
      <c r="I617" s="116">
        <f t="shared" si="53"/>
        <v>0.21546191270833476</v>
      </c>
      <c r="J617" s="116">
        <f t="shared" si="53"/>
        <v>0.21626872635619485</v>
      </c>
    </row>
    <row r="618" spans="2:10" ht="15.75" outlineLevel="1">
      <c r="B618" s="66" t="s">
        <v>36</v>
      </c>
      <c r="C618" s="125">
        <f t="shared" ref="C618:J618" si="54">C613-C616</f>
        <v>3593.8770000000004</v>
      </c>
      <c r="D618" s="125">
        <f t="shared" si="54"/>
        <v>3778.161908936574</v>
      </c>
      <c r="E618" s="125">
        <f t="shared" si="54"/>
        <v>4219.2576258635536</v>
      </c>
      <c r="F618" s="125">
        <f t="shared" si="54"/>
        <v>4795.7716906170272</v>
      </c>
      <c r="G618" s="125">
        <f t="shared" si="54"/>
        <v>5541.5259698195832</v>
      </c>
      <c r="H618" s="125">
        <f t="shared" si="54"/>
        <v>6253.9323390428817</v>
      </c>
      <c r="I618" s="125">
        <f t="shared" si="54"/>
        <v>7332.1955040750136</v>
      </c>
      <c r="J618" s="125">
        <f t="shared" si="54"/>
        <v>8240.8004336583526</v>
      </c>
    </row>
    <row r="619" spans="2:10" ht="15.75" outlineLevel="1">
      <c r="B619" s="66" t="s">
        <v>154</v>
      </c>
      <c r="C619" s="124">
        <v>2102.1770000000006</v>
      </c>
      <c r="D619" s="124">
        <v>1947.8409004383952</v>
      </c>
      <c r="E619" s="124">
        <v>2188.3925210189764</v>
      </c>
      <c r="F619" s="124">
        <v>2523.6633579052282</v>
      </c>
      <c r="G619" s="124">
        <v>2926.3376283679067</v>
      </c>
      <c r="H619" s="124">
        <v>3447.53482271442</v>
      </c>
      <c r="I619" s="124">
        <v>4304.094688126328</v>
      </c>
      <c r="J619" s="124">
        <v>4941.1156643689455</v>
      </c>
    </row>
    <row r="620" spans="2:10" ht="15.75" outlineLevel="1">
      <c r="B620" s="66"/>
      <c r="C620" s="66"/>
      <c r="D620" s="66"/>
      <c r="E620" s="66"/>
      <c r="F620" s="66"/>
    </row>
    <row r="621" spans="2:10" ht="15.75">
      <c r="B621" s="414" t="s">
        <v>1333</v>
      </c>
      <c r="C621" s="550">
        <v>100</v>
      </c>
      <c r="E621" s="66"/>
      <c r="F621" s="66"/>
    </row>
    <row r="622" spans="2:10" ht="15.75">
      <c r="B622" s="415" t="s">
        <v>1334</v>
      </c>
      <c r="C622" s="551">
        <f>C621/80-1</f>
        <v>0.25</v>
      </c>
      <c r="E622" s="66"/>
      <c r="F622" s="66"/>
    </row>
    <row r="623" spans="2:10" ht="15.75">
      <c r="B623" s="66"/>
      <c r="C623" s="66"/>
      <c r="D623" s="66"/>
      <c r="E623" s="66"/>
      <c r="F623" s="66"/>
    </row>
    <row r="624" spans="2:10" ht="15.75" outlineLevel="1">
      <c r="B624" s="66" t="s">
        <v>1335</v>
      </c>
      <c r="C624" s="412">
        <v>859.25699999999995</v>
      </c>
      <c r="D624" s="412">
        <v>859.25699999999995</v>
      </c>
      <c r="E624" s="412">
        <v>859.25699999999995</v>
      </c>
      <c r="F624" s="412">
        <v>859.25699999999995</v>
      </c>
      <c r="G624" s="412">
        <v>859.25699999999995</v>
      </c>
      <c r="H624" s="412">
        <v>859.25699999999995</v>
      </c>
      <c r="I624" s="412">
        <v>859.25699999999995</v>
      </c>
      <c r="J624" s="412">
        <v>859.25699999999995</v>
      </c>
    </row>
    <row r="625" spans="2:10" ht="15.75" outlineLevel="1">
      <c r="B625" s="66" t="s">
        <v>79</v>
      </c>
      <c r="C625" s="411">
        <f t="shared" ref="C625:J625" si="55">$C$621*C624</f>
        <v>85925.7</v>
      </c>
      <c r="D625" s="411">
        <f t="shared" si="55"/>
        <v>85925.7</v>
      </c>
      <c r="E625" s="411">
        <f t="shared" si="55"/>
        <v>85925.7</v>
      </c>
      <c r="F625" s="411">
        <f t="shared" si="55"/>
        <v>85925.7</v>
      </c>
      <c r="G625" s="411">
        <f t="shared" si="55"/>
        <v>85925.7</v>
      </c>
      <c r="H625" s="411">
        <f t="shared" si="55"/>
        <v>85925.7</v>
      </c>
      <c r="I625" s="411">
        <f t="shared" si="55"/>
        <v>85925.7</v>
      </c>
      <c r="J625" s="411">
        <f t="shared" si="55"/>
        <v>85925.7</v>
      </c>
    </row>
    <row r="626" spans="2:10" ht="15.75" outlineLevel="1">
      <c r="B626" s="66" t="s">
        <v>177</v>
      </c>
      <c r="C626" s="412">
        <v>0</v>
      </c>
      <c r="D626" s="412">
        <v>0</v>
      </c>
      <c r="E626" s="412">
        <v>0</v>
      </c>
      <c r="F626" s="412">
        <v>0</v>
      </c>
      <c r="G626" s="412">
        <v>0</v>
      </c>
      <c r="H626" s="412">
        <v>0</v>
      </c>
      <c r="I626" s="412">
        <v>0</v>
      </c>
      <c r="J626" s="412">
        <v>0</v>
      </c>
    </row>
    <row r="627" spans="2:10" ht="15.75" outlineLevel="1">
      <c r="B627" s="66" t="s">
        <v>178</v>
      </c>
      <c r="C627" s="412">
        <v>5720.3070317789588</v>
      </c>
      <c r="D627" s="412">
        <v>5720.3070317789588</v>
      </c>
      <c r="E627" s="412">
        <v>5720.3070317789588</v>
      </c>
      <c r="F627" s="412">
        <v>5720.3070317789588</v>
      </c>
      <c r="G627" s="412">
        <v>5720.3070317789588</v>
      </c>
      <c r="H627" s="412">
        <v>5720.3070317789588</v>
      </c>
      <c r="I627" s="412">
        <v>5720.3070317789588</v>
      </c>
      <c r="J627" s="412">
        <v>5720.3070317789588</v>
      </c>
    </row>
    <row r="628" spans="2:10" ht="15.75" outlineLevel="1">
      <c r="B628" s="67" t="s">
        <v>271</v>
      </c>
      <c r="C628" s="413">
        <v>567.90000000000009</v>
      </c>
      <c r="D628" s="413">
        <v>1272.5062658414979</v>
      </c>
      <c r="E628" s="413">
        <v>718.8495111426289</v>
      </c>
      <c r="F628" s="413">
        <v>-10.356929632980155</v>
      </c>
      <c r="G628" s="413">
        <v>-948.88751043291722</v>
      </c>
      <c r="H628" s="413">
        <v>-2185.5941613352493</v>
      </c>
      <c r="I628" s="413">
        <v>-4050.7896395261982</v>
      </c>
      <c r="J628" s="413">
        <v>-6290.1846071106556</v>
      </c>
    </row>
    <row r="629" spans="2:10" ht="15.75">
      <c r="B629" s="66" t="s">
        <v>1336</v>
      </c>
      <c r="C629" s="411">
        <f t="shared" ref="C629:J629" si="56">C625+C628+C627-C626</f>
        <v>92213.907031778945</v>
      </c>
      <c r="D629" s="411">
        <f t="shared" si="56"/>
        <v>92918.513297620448</v>
      </c>
      <c r="E629" s="411">
        <f t="shared" si="56"/>
        <v>92364.856542921581</v>
      </c>
      <c r="F629" s="411">
        <f t="shared" si="56"/>
        <v>91635.65010214597</v>
      </c>
      <c r="G629" s="411">
        <f t="shared" si="56"/>
        <v>90697.119521346031</v>
      </c>
      <c r="H629" s="411">
        <f t="shared" si="56"/>
        <v>89460.412870443703</v>
      </c>
      <c r="I629" s="411">
        <f t="shared" si="56"/>
        <v>87595.217392252758</v>
      </c>
      <c r="J629" s="411">
        <f t="shared" si="56"/>
        <v>85355.822424668295</v>
      </c>
    </row>
    <row r="630" spans="2:10" ht="15.75">
      <c r="B630" s="66" t="s">
        <v>22</v>
      </c>
      <c r="C630" s="112">
        <f t="shared" ref="C630:J630" si="57">C629/C613</f>
        <v>9.8656153880152928</v>
      </c>
      <c r="D630" s="112">
        <f t="shared" si="57"/>
        <v>9.1536259335819246</v>
      </c>
      <c r="E630" s="112">
        <f t="shared" si="57"/>
        <v>8.4985248553627866</v>
      </c>
      <c r="F630" s="112">
        <f t="shared" si="57"/>
        <v>7.8785748077168281</v>
      </c>
      <c r="G630" s="112">
        <f t="shared" si="57"/>
        <v>7.2001980673473982</v>
      </c>
      <c r="H630" s="112">
        <f t="shared" si="57"/>
        <v>6.6151089545777024</v>
      </c>
      <c r="I630" s="112">
        <f t="shared" si="57"/>
        <v>6.0288663038220554</v>
      </c>
      <c r="J630" s="112">
        <f t="shared" si="57"/>
        <v>5.4501278808007383</v>
      </c>
    </row>
    <row r="631" spans="2:10" ht="15.75">
      <c r="B631" s="66"/>
      <c r="C631" s="66"/>
      <c r="D631" s="66"/>
      <c r="E631" s="66"/>
      <c r="F631" s="66"/>
    </row>
    <row r="632" spans="2:10" ht="15.75">
      <c r="B632" s="66" t="s">
        <v>549</v>
      </c>
      <c r="C632" s="75">
        <v>1</v>
      </c>
      <c r="E632" s="66"/>
      <c r="F632" s="66"/>
    </row>
    <row r="633" spans="2:10" ht="15.75">
      <c r="B633" s="66" t="s">
        <v>1337</v>
      </c>
      <c r="C633" s="69">
        <f>100%-C632</f>
        <v>0</v>
      </c>
      <c r="E633" s="66"/>
      <c r="F633" s="66"/>
    </row>
    <row r="634" spans="2:10" ht="15.75">
      <c r="B634" s="66"/>
      <c r="C634" s="66"/>
      <c r="D634" s="66"/>
      <c r="E634" s="66"/>
      <c r="F634" s="66"/>
    </row>
    <row r="635" spans="2:10" ht="15.75" outlineLevel="1">
      <c r="B635" s="66" t="s">
        <v>325</v>
      </c>
      <c r="C635" s="411">
        <f>C625*C632</f>
        <v>85925.7</v>
      </c>
      <c r="E635" s="411"/>
      <c r="F635" s="411"/>
    </row>
    <row r="636" spans="2:10" ht="15.75" outlineLevel="1">
      <c r="B636" s="66" t="s">
        <v>1337</v>
      </c>
      <c r="C636" s="411">
        <f>C625-C635</f>
        <v>0</v>
      </c>
      <c r="E636" s="411"/>
      <c r="F636" s="411"/>
    </row>
    <row r="637" spans="2:10" ht="15.75" outlineLevel="1">
      <c r="B637" s="66"/>
      <c r="C637" s="66"/>
      <c r="D637" s="71"/>
      <c r="E637" s="66"/>
      <c r="F637" s="66"/>
    </row>
    <row r="638" spans="2:10" ht="15.75">
      <c r="B638" s="66" t="s">
        <v>1338</v>
      </c>
      <c r="C638" s="117">
        <v>0.06</v>
      </c>
      <c r="D638" s="66"/>
      <c r="E638" s="66"/>
      <c r="F638" s="66"/>
    </row>
    <row r="639" spans="2:10" ht="15.75" outlineLevel="1">
      <c r="B639" s="66" t="s">
        <v>1339</v>
      </c>
      <c r="C639" s="411">
        <f>C635*C638</f>
        <v>5155.5419999999995</v>
      </c>
      <c r="D639" s="411">
        <f>C639+C638*$C$635</f>
        <v>10311.083999999999</v>
      </c>
      <c r="E639" s="411">
        <f t="shared" ref="E639:J639" si="58">D639+C638*$C$635</f>
        <v>15466.625999999998</v>
      </c>
      <c r="F639" s="411">
        <f t="shared" si="58"/>
        <v>15466.625999999998</v>
      </c>
      <c r="G639" s="411">
        <f t="shared" si="58"/>
        <v>15466.625999999998</v>
      </c>
      <c r="H639" s="411">
        <f t="shared" si="58"/>
        <v>15466.625999999998</v>
      </c>
      <c r="I639" s="411">
        <f t="shared" si="58"/>
        <v>15466.625999999998</v>
      </c>
      <c r="J639" s="411">
        <f t="shared" si="58"/>
        <v>15466.625999999998</v>
      </c>
    </row>
    <row r="640" spans="2:10" ht="15.75" outlineLevel="1">
      <c r="B640" s="66" t="s">
        <v>1340</v>
      </c>
      <c r="C640" s="411">
        <f>Master!Q308+$C$635+C639</f>
        <v>174398.94199999998</v>
      </c>
      <c r="D640" s="411">
        <f>Master!R308+$C$635+D639</f>
        <v>200409.18400000001</v>
      </c>
      <c r="E640" s="411">
        <f>Master!S308+$C$635+E639</f>
        <v>204179.52600000001</v>
      </c>
      <c r="F640" s="411">
        <f>Master!T308+$C$635+F639</f>
        <v>211036.82599999997</v>
      </c>
      <c r="G640" s="411">
        <f>Master!U308+$C$635+G639</f>
        <v>163871.02599999998</v>
      </c>
      <c r="H640" s="411">
        <f>Master!V308+$C$635+H639</f>
        <v>164633.44399999996</v>
      </c>
      <c r="I640" s="411">
        <f>Master!W308+$C$635+I639</f>
        <v>163534.95299999998</v>
      </c>
      <c r="J640" s="411">
        <f>Master!X308+$C$635+J639</f>
        <v>156446.826</v>
      </c>
    </row>
    <row r="641" spans="2:10" ht="15.75" outlineLevel="1">
      <c r="B641" s="66"/>
      <c r="C641" s="411"/>
      <c r="D641" s="411"/>
      <c r="E641" s="411"/>
      <c r="F641" s="411"/>
      <c r="G641" s="411"/>
      <c r="H641" s="411"/>
      <c r="I641" s="411"/>
      <c r="J641" s="411"/>
    </row>
    <row r="642" spans="2:10" ht="15.75" outlineLevel="1">
      <c r="B642" s="66" t="s">
        <v>1341</v>
      </c>
      <c r="C642" s="411">
        <f>Master!Q63+C613</f>
        <v>45919.5</v>
      </c>
      <c r="D642" s="411">
        <f>Master!R63+D613</f>
        <v>48369.106166499565</v>
      </c>
      <c r="E642" s="411">
        <f>Master!S63+E613</f>
        <v>49678.639872494103</v>
      </c>
      <c r="F642" s="411">
        <f>Master!T63+F613</f>
        <v>55232.593211156869</v>
      </c>
      <c r="G642" s="411">
        <f>Master!U63+G613</f>
        <v>38132.505634837566</v>
      </c>
      <c r="H642" s="411">
        <f>Master!V63+H613</f>
        <v>37648.249192283743</v>
      </c>
      <c r="I642" s="411">
        <f>Master!W63+I613</f>
        <v>32221.31769254557</v>
      </c>
      <c r="J642" s="411">
        <f>Master!X63+J613</f>
        <v>37046.651312166963</v>
      </c>
    </row>
    <row r="643" spans="2:10" ht="15.75" outlineLevel="1">
      <c r="B643" s="66"/>
      <c r="C643" s="411"/>
      <c r="D643" s="411"/>
      <c r="E643" s="411"/>
      <c r="F643" s="411"/>
      <c r="G643" s="411"/>
      <c r="H643" s="411"/>
      <c r="I643" s="411"/>
      <c r="J643" s="411"/>
    </row>
    <row r="644" spans="2:10" ht="15.75">
      <c r="B644" s="66" t="s">
        <v>1342</v>
      </c>
      <c r="C644" s="112">
        <f t="shared" ref="C644:J644" si="59">C640/C642</f>
        <v>3.7979277213384286</v>
      </c>
      <c r="D644" s="112">
        <f t="shared" si="59"/>
        <v>4.1433303172925564</v>
      </c>
      <c r="E644" s="112">
        <f t="shared" si="59"/>
        <v>4.110006363379715</v>
      </c>
      <c r="F644" s="112">
        <f t="shared" si="59"/>
        <v>3.8208748445541203</v>
      </c>
      <c r="G644" s="112">
        <f t="shared" si="59"/>
        <v>4.2974103923107707</v>
      </c>
      <c r="H644" s="112">
        <f t="shared" si="59"/>
        <v>4.3729375875928556</v>
      </c>
      <c r="I644" s="112">
        <f t="shared" si="59"/>
        <v>5.0753651529848494</v>
      </c>
      <c r="J644" s="112">
        <f t="shared" si="59"/>
        <v>4.2229680810211123</v>
      </c>
    </row>
    <row r="645" spans="2:10" ht="15.75">
      <c r="B645" s="66"/>
      <c r="C645" s="112"/>
      <c r="D645" s="112"/>
      <c r="E645" s="112"/>
      <c r="F645" s="112"/>
      <c r="G645" s="112"/>
      <c r="H645" s="112"/>
      <c r="I645" s="112"/>
      <c r="J645" s="112"/>
    </row>
    <row r="646" spans="2:10" ht="15.75">
      <c r="B646" s="66" t="s">
        <v>1343</v>
      </c>
      <c r="C646" s="214">
        <f>Valuation!N33/Valuation!N7</f>
        <v>-0.56915661925990646</v>
      </c>
      <c r="D646" s="214">
        <f>Valuation!O33/Valuation!O7</f>
        <v>0.14170660842009514</v>
      </c>
      <c r="E646" s="214">
        <f>Valuation!P33/Valuation!P7</f>
        <v>0.11021909767945033</v>
      </c>
      <c r="F646" s="214">
        <f>Valuation!Q33/Valuation!Q7</f>
        <v>-0.27827031727770157</v>
      </c>
      <c r="G646" s="214">
        <f>Valuation!R33/Valuation!R7</f>
        <v>-1.2086665853615464</v>
      </c>
      <c r="H646" s="214">
        <f>Valuation!S33/Valuation!S7</f>
        <v>-0.43779889925579707</v>
      </c>
      <c r="I646" s="214">
        <f>Valuation!T33/Valuation!T7</f>
        <v>0.1556793382032256</v>
      </c>
      <c r="J646" s="214">
        <f>Valuation!U33/Valuation!U7</f>
        <v>0.36562686343241074</v>
      </c>
    </row>
    <row r="647" spans="2:10" ht="15.75" outlineLevel="1">
      <c r="B647" s="66" t="s">
        <v>1344</v>
      </c>
      <c r="C647" s="71">
        <f>(C619+(Valuation!N33*Master!Q7)-$C$639)/Master!Q7</f>
        <v>-487.78259740259745</v>
      </c>
      <c r="D647" s="71">
        <f>(D619+(Valuation!O33*Master!R7)-$C$639)/Master!R7</f>
        <v>-85.648109068135341</v>
      </c>
      <c r="E647" s="71">
        <f>(E619+(Valuation!P33*Master!S7)-$C$639)/Master!S7</f>
        <v>-74.937685241202288</v>
      </c>
      <c r="F647" s="71">
        <f>(F619+(Valuation!Q33*Master!T7)-$C$639)/Master!T7</f>
        <v>-289.2972228823898</v>
      </c>
      <c r="G647" s="71">
        <f>(G619+(Valuation!R33*Master!U7)-$C$639)/Master!U7</f>
        <v>-803.87950629697161</v>
      </c>
      <c r="H647" s="71">
        <f>(H619+(Valuation!S33*Master!V7)-$C$639)/Master!V7</f>
        <v>-338.9532303551174</v>
      </c>
      <c r="I647" s="71">
        <f>(I619+(Valuation!T33*Master!W7)-$C$639)/Master!W7</f>
        <v>37.420392793788238</v>
      </c>
      <c r="J647" s="71">
        <f>(J619+(Valuation!U33*Master!X7)-$C$639)/Master!X7</f>
        <v>183.27388297910088</v>
      </c>
    </row>
    <row r="648" spans="2:10" ht="15.75">
      <c r="B648" s="66" t="s">
        <v>1345</v>
      </c>
      <c r="C648" s="258">
        <v>18</v>
      </c>
      <c r="D648" s="71"/>
      <c r="E648" s="71"/>
      <c r="F648" s="71"/>
      <c r="G648" s="71"/>
      <c r="H648" s="71"/>
      <c r="I648" s="71"/>
      <c r="J648" s="71"/>
    </row>
    <row r="649" spans="2:10" ht="15.75">
      <c r="B649" s="66" t="s">
        <v>1346</v>
      </c>
      <c r="C649" s="71">
        <f>(C636/Master!Q7)/C648</f>
        <v>0</v>
      </c>
      <c r="D649" s="71"/>
      <c r="E649" s="71"/>
      <c r="F649" s="71"/>
      <c r="G649" s="71"/>
      <c r="H649" s="71"/>
      <c r="I649" s="71"/>
      <c r="J649" s="71"/>
    </row>
    <row r="650" spans="2:10" ht="15.75" customHeight="1" outlineLevel="1">
      <c r="B650" s="66" t="s">
        <v>1347</v>
      </c>
      <c r="C650" s="71">
        <f>$C$649+Valuation!N7</f>
        <v>578.34034188034184</v>
      </c>
      <c r="D650" s="71">
        <f>$C$649+Valuation!O7</f>
        <v>571.50273504273503</v>
      </c>
      <c r="E650" s="71">
        <f>$C$649+Valuation!P7</f>
        <v>573.38307692307694</v>
      </c>
      <c r="F650" s="71">
        <f>$C$649+Valuation!Q7</f>
        <v>573.38307692307694</v>
      </c>
      <c r="G650" s="71">
        <f>$C$649+Valuation!R7</f>
        <v>573.38307692307694</v>
      </c>
      <c r="H650" s="71">
        <f>$C$649+Valuation!S7</f>
        <v>553.80598290598289</v>
      </c>
      <c r="I650" s="71">
        <f>$C$649+Valuation!T7</f>
        <v>539.23384615384612</v>
      </c>
      <c r="J650" s="71">
        <f>$C$649+Valuation!U7</f>
        <v>531.8201709401709</v>
      </c>
    </row>
    <row r="651" spans="2:10" ht="15.75" outlineLevel="1">
      <c r="B651" s="66" t="s">
        <v>1348</v>
      </c>
      <c r="C651" s="69">
        <f>C649/(C649+Valuation!N7)</f>
        <v>0</v>
      </c>
      <c r="D651" s="71"/>
      <c r="E651" s="71"/>
      <c r="F651" s="71"/>
      <c r="G651" s="71"/>
      <c r="H651" s="71"/>
      <c r="I651" s="71"/>
      <c r="J651" s="71"/>
    </row>
    <row r="652" spans="2:10" ht="15.75">
      <c r="B652" s="66" t="s">
        <v>1349</v>
      </c>
      <c r="C652" s="214">
        <f t="shared" ref="C652:J652" si="60">C647/C650</f>
        <v>-0.84341790132897088</v>
      </c>
      <c r="D652" s="214">
        <f t="shared" si="60"/>
        <v>-0.1498647404753555</v>
      </c>
      <c r="E652" s="214">
        <f t="shared" si="60"/>
        <v>-0.13069392567938601</v>
      </c>
      <c r="F652" s="214">
        <f t="shared" si="60"/>
        <v>-0.50454440412652934</v>
      </c>
      <c r="G652" s="214">
        <f t="shared" si="60"/>
        <v>-1.4019937780703235</v>
      </c>
      <c r="H652" s="214">
        <f t="shared" si="60"/>
        <v>-0.61204328016922116</v>
      </c>
      <c r="I652" s="214">
        <f t="shared" si="60"/>
        <v>6.9395482239651571E-2</v>
      </c>
      <c r="J652" s="214">
        <f t="shared" si="60"/>
        <v>0.34461626879458651</v>
      </c>
    </row>
    <row r="653" spans="2:10" ht="15.75">
      <c r="B653" s="66" t="s">
        <v>1350</v>
      </c>
      <c r="C653" s="116">
        <f t="shared" ref="C653:J653" si="61">C652/C646-1</f>
        <v>0.48187313085402672</v>
      </c>
      <c r="D653" s="116">
        <f t="shared" si="61"/>
        <v>-2.0575705829545736</v>
      </c>
      <c r="E653" s="116">
        <f t="shared" si="61"/>
        <v>-2.1857647942236156</v>
      </c>
      <c r="F653" s="116">
        <f t="shared" si="61"/>
        <v>0.81314489113481758</v>
      </c>
      <c r="G653" s="116">
        <f t="shared" si="61"/>
        <v>0.15995080450656096</v>
      </c>
      <c r="H653" s="116">
        <f t="shared" si="61"/>
        <v>0.39800095708239014</v>
      </c>
      <c r="I653" s="116">
        <f t="shared" si="61"/>
        <v>-0.55424089644406171</v>
      </c>
      <c r="J653" s="116">
        <f t="shared" si="61"/>
        <v>-5.7464581351004074E-2</v>
      </c>
    </row>
    <row r="654" spans="2:10" ht="15.75">
      <c r="B654" s="66"/>
      <c r="C654" s="66"/>
      <c r="D654" s="66"/>
      <c r="E654" s="66"/>
      <c r="F654" s="66"/>
      <c r="G654" s="66"/>
      <c r="H654" s="66"/>
      <c r="I654" s="66"/>
      <c r="J654" s="66"/>
    </row>
    <row r="655" spans="2:10" ht="15.75">
      <c r="B655" s="217" t="s">
        <v>1351</v>
      </c>
      <c r="C655" s="217">
        <f t="shared" ref="C655:J655" si="62">C611</f>
        <v>2018</v>
      </c>
      <c r="D655" s="217">
        <f t="shared" si="62"/>
        <v>2019</v>
      </c>
      <c r="E655" s="217">
        <f t="shared" si="62"/>
        <v>2020</v>
      </c>
      <c r="F655" s="217">
        <f t="shared" si="62"/>
        <v>2021</v>
      </c>
      <c r="G655" s="217">
        <f t="shared" si="62"/>
        <v>2022</v>
      </c>
      <c r="H655" s="217">
        <f t="shared" si="62"/>
        <v>2023</v>
      </c>
      <c r="I655" s="217">
        <f t="shared" si="62"/>
        <v>2024</v>
      </c>
      <c r="J655" s="217">
        <f t="shared" si="62"/>
        <v>2025</v>
      </c>
    </row>
    <row r="656" spans="2:10" ht="15.75" outlineLevel="1">
      <c r="B656" s="66" t="s">
        <v>1352</v>
      </c>
      <c r="C656" s="125">
        <f>Cable!M244-Cable!M271</f>
        <v>20930</v>
      </c>
      <c r="D656" s="125">
        <f>Cable!N244-Cable!N271</f>
        <v>23904</v>
      </c>
      <c r="E656" s="125">
        <f>Cable!O244-Cable!O271</f>
        <v>26468.799999999999</v>
      </c>
      <c r="F656" s="125">
        <f>Cable!P244-Cable!P271</f>
        <v>27735.9</v>
      </c>
      <c r="G656" s="125">
        <f>Cable!Q244-Cable!Q271</f>
        <v>28509.000000000004</v>
      </c>
      <c r="H656" s="125">
        <f>Cable!R244-Cable!R271</f>
        <v>30075</v>
      </c>
      <c r="I656" s="125">
        <f>Cable!S244-Cable!S271</f>
        <v>28907.4</v>
      </c>
      <c r="J656" s="125">
        <f>Cable!T244-Cable!T271</f>
        <v>27871.606349999998</v>
      </c>
    </row>
    <row r="657" spans="2:10" ht="15.75" outlineLevel="1">
      <c r="B657" s="66" t="s">
        <v>1353</v>
      </c>
      <c r="C657" s="125">
        <f>Cable!M291</f>
        <v>12801.25</v>
      </c>
      <c r="D657" s="125">
        <f>Cable!N291</f>
        <v>12966.800000000001</v>
      </c>
      <c r="E657" s="125">
        <f>Cable!O291</f>
        <v>14230.5</v>
      </c>
      <c r="F657" s="125">
        <f>Cable!P291</f>
        <v>17333.977760915466</v>
      </c>
      <c r="G657" s="125">
        <f>Cable!Q291</f>
        <v>12989.048999999999</v>
      </c>
      <c r="H657" s="125">
        <f>Cable!R291</f>
        <v>11204.1</v>
      </c>
      <c r="I657" s="125">
        <f>Cable!S291</f>
        <v>7305.36</v>
      </c>
      <c r="J657" s="125">
        <f>Cable!T291</f>
        <v>9686.3727999999992</v>
      </c>
    </row>
    <row r="658" spans="2:10" ht="15.75" outlineLevel="1">
      <c r="B658" s="66"/>
      <c r="C658" s="66"/>
      <c r="D658" s="66"/>
      <c r="E658" s="66"/>
      <c r="F658" s="66"/>
      <c r="G658" s="66"/>
      <c r="H658" s="66"/>
      <c r="I658" s="66"/>
      <c r="J658" s="66"/>
    </row>
    <row r="659" spans="2:10" ht="15.75" outlineLevel="1">
      <c r="B659" s="66" t="s">
        <v>1354</v>
      </c>
      <c r="C659" s="125">
        <f t="shared" ref="C659:J660" si="63">C656+C615</f>
        <v>32866.552977953994</v>
      </c>
      <c r="D659" s="125">
        <f t="shared" si="63"/>
        <v>36988.932980864272</v>
      </c>
      <c r="E659" s="125">
        <f t="shared" si="63"/>
        <v>40683.397821677318</v>
      </c>
      <c r="F659" s="125">
        <f t="shared" si="63"/>
        <v>43237.920174565937</v>
      </c>
      <c r="G659" s="125">
        <f t="shared" si="63"/>
        <v>45037.748895121491</v>
      </c>
      <c r="H659" s="125">
        <f t="shared" si="63"/>
        <v>47686.918406929952</v>
      </c>
      <c r="I659" s="125">
        <f t="shared" si="63"/>
        <v>47781.246446276979</v>
      </c>
      <c r="J659" s="125">
        <f t="shared" si="63"/>
        <v>46521.607540828394</v>
      </c>
    </row>
    <row r="660" spans="2:10" ht="15.75" outlineLevel="1">
      <c r="B660" s="67" t="s">
        <v>1355</v>
      </c>
      <c r="C660" s="154">
        <f t="shared" si="63"/>
        <v>18554.373</v>
      </c>
      <c r="D660" s="154">
        <f t="shared" si="63"/>
        <v>19339.644257562992</v>
      </c>
      <c r="E660" s="154">
        <f t="shared" si="63"/>
        <v>20879.582246630551</v>
      </c>
      <c r="F660" s="154">
        <f t="shared" si="63"/>
        <v>24169.199281455309</v>
      </c>
      <c r="G660" s="154">
        <f t="shared" si="63"/>
        <v>20043.998665017982</v>
      </c>
      <c r="H660" s="154">
        <f t="shared" si="63"/>
        <v>18473.81685324086</v>
      </c>
      <c r="I660" s="154">
        <f t="shared" si="63"/>
        <v>14502.466188470558</v>
      </c>
      <c r="J660" s="154">
        <f t="shared" si="63"/>
        <v>17106.823678508605</v>
      </c>
    </row>
    <row r="661" spans="2:10" ht="15.75">
      <c r="B661" s="66" t="s">
        <v>1356</v>
      </c>
      <c r="C661" s="125">
        <f t="shared" ref="C661:J661" si="64">SUM(C659:C660)</f>
        <v>51420.925977953993</v>
      </c>
      <c r="D661" s="125">
        <f t="shared" si="64"/>
        <v>56328.577238427264</v>
      </c>
      <c r="E661" s="125">
        <f t="shared" si="64"/>
        <v>61562.980068307865</v>
      </c>
      <c r="F661" s="125">
        <f t="shared" si="64"/>
        <v>67407.119456021246</v>
      </c>
      <c r="G661" s="125">
        <f t="shared" si="64"/>
        <v>65081.747560139469</v>
      </c>
      <c r="H661" s="125">
        <f t="shared" si="64"/>
        <v>66160.735260170812</v>
      </c>
      <c r="I661" s="125">
        <f t="shared" si="64"/>
        <v>62283.712634747535</v>
      </c>
      <c r="J661" s="125">
        <f t="shared" si="64"/>
        <v>63628.431219336999</v>
      </c>
    </row>
    <row r="662" spans="2:10" ht="15.75">
      <c r="B662" s="259" t="s">
        <v>1357</v>
      </c>
      <c r="C662" s="260">
        <v>0</v>
      </c>
      <c r="D662" s="260">
        <v>0</v>
      </c>
      <c r="E662" s="260">
        <v>0.01</v>
      </c>
      <c r="F662" s="260">
        <v>0.02</v>
      </c>
      <c r="G662" s="260">
        <v>0.03</v>
      </c>
      <c r="H662" s="260">
        <v>0.04</v>
      </c>
      <c r="I662" s="260">
        <v>0.06</v>
      </c>
      <c r="J662" s="261">
        <v>0.06</v>
      </c>
    </row>
    <row r="663" spans="2:10" ht="15.75">
      <c r="B663" s="66"/>
      <c r="C663" s="66"/>
      <c r="D663" s="112"/>
      <c r="E663" s="112"/>
      <c r="F663" s="112"/>
      <c r="G663" s="112"/>
      <c r="H663" s="112"/>
      <c r="I663" s="112"/>
      <c r="J663" s="112"/>
    </row>
    <row r="664" spans="2:10" ht="15.75" outlineLevel="1">
      <c r="B664" s="66" t="s">
        <v>1358</v>
      </c>
      <c r="C664" s="125"/>
      <c r="D664" s="125"/>
      <c r="E664" s="125">
        <f t="shared" ref="E664:J664" si="65">E662*E661</f>
        <v>615.62980068307866</v>
      </c>
      <c r="F664" s="125">
        <f t="shared" si="65"/>
        <v>1348.1423891204249</v>
      </c>
      <c r="G664" s="125">
        <f t="shared" si="65"/>
        <v>1952.4524268041839</v>
      </c>
      <c r="H664" s="125">
        <f t="shared" si="65"/>
        <v>2646.4294104068326</v>
      </c>
      <c r="I664" s="125">
        <f t="shared" si="65"/>
        <v>3737.0227580848518</v>
      </c>
      <c r="J664" s="125">
        <f t="shared" si="65"/>
        <v>3817.7058731602197</v>
      </c>
    </row>
    <row r="665" spans="2:10" ht="15.75" outlineLevel="1">
      <c r="B665" s="66" t="s">
        <v>1359</v>
      </c>
      <c r="C665" s="125"/>
      <c r="D665" s="125"/>
      <c r="E665" s="125">
        <f t="shared" ref="E665:J665" si="66">E664*0.72</f>
        <v>443.25345649181662</v>
      </c>
      <c r="F665" s="125">
        <f t="shared" si="66"/>
        <v>970.66252016670592</v>
      </c>
      <c r="G665" s="125">
        <f t="shared" si="66"/>
        <v>1405.7657472990124</v>
      </c>
      <c r="H665" s="125">
        <f t="shared" si="66"/>
        <v>1905.4291754929195</v>
      </c>
      <c r="I665" s="125">
        <f t="shared" si="66"/>
        <v>2690.6563858210934</v>
      </c>
      <c r="J665" s="125">
        <f t="shared" si="66"/>
        <v>2748.748228675358</v>
      </c>
    </row>
    <row r="666" spans="2:10" ht="15.75" outlineLevel="1">
      <c r="B666" s="66" t="s">
        <v>678</v>
      </c>
      <c r="C666" s="125">
        <f>NPV(SOP!$L$69%,E665:J665)</f>
        <v>10127.627110104879</v>
      </c>
      <c r="D666" s="66"/>
      <c r="E666" s="125"/>
      <c r="F666" s="125"/>
      <c r="G666" s="66"/>
      <c r="H666" s="66"/>
      <c r="I666" s="66"/>
      <c r="J666" s="66"/>
    </row>
    <row r="667" spans="2:10" ht="15.75" outlineLevel="1">
      <c r="B667" s="66" t="s">
        <v>681</v>
      </c>
      <c r="C667" s="125">
        <f>J665/(SOP!$L$69-0%)</f>
        <v>32832.635316236963</v>
      </c>
      <c r="D667" s="66"/>
      <c r="E667" s="125"/>
      <c r="F667" s="125"/>
      <c r="G667" s="66"/>
      <c r="H667" s="66"/>
      <c r="I667" s="66"/>
      <c r="J667" s="66"/>
    </row>
    <row r="668" spans="2:10" ht="15.75" outlineLevel="1">
      <c r="B668" s="66" t="s">
        <v>682</v>
      </c>
      <c r="C668" s="125">
        <f>C667/(1+SOP!$L$69)^6</f>
        <v>20267.641459310667</v>
      </c>
      <c r="D668" s="66"/>
      <c r="E668" s="125"/>
      <c r="F668" s="125"/>
      <c r="G668" s="66"/>
      <c r="H668" s="66"/>
      <c r="I668" s="66"/>
      <c r="J668" s="66"/>
    </row>
    <row r="669" spans="2:10" ht="15.75">
      <c r="B669" s="259" t="s">
        <v>1360</v>
      </c>
      <c r="C669" s="263">
        <f>C666+C668</f>
        <v>30395.268569415544</v>
      </c>
      <c r="D669" s="66"/>
      <c r="E669" s="125"/>
      <c r="F669" s="125"/>
      <c r="G669" s="66"/>
      <c r="H669" s="66"/>
      <c r="I669" s="66"/>
      <c r="J669" s="66"/>
    </row>
    <row r="670" spans="2:10" ht="15.75">
      <c r="B670" s="66" t="s">
        <v>1361</v>
      </c>
      <c r="C670" s="125">
        <f>C669/Master!Q7</f>
        <v>1578.9749906189893</v>
      </c>
      <c r="D670" s="66"/>
      <c r="E670" s="125"/>
      <c r="F670" s="125"/>
      <c r="G670" s="66"/>
      <c r="H670" s="66"/>
      <c r="I670" s="66"/>
      <c r="J670" s="66"/>
    </row>
    <row r="671" spans="2:10" ht="16.5">
      <c r="B671" s="66"/>
      <c r="C671" s="115"/>
      <c r="D671" s="71"/>
      <c r="E671" s="71"/>
      <c r="F671" s="71"/>
    </row>
    <row r="672" spans="2:10" ht="15.75">
      <c r="B672" s="414" t="s">
        <v>1362</v>
      </c>
      <c r="C672" s="560">
        <f t="shared" ref="C672:J672" si="67">C629-$C$669</f>
        <v>61818.6384623634</v>
      </c>
      <c r="D672" s="560">
        <f t="shared" si="67"/>
        <v>62523.244728204903</v>
      </c>
      <c r="E672" s="560">
        <f t="shared" si="67"/>
        <v>61969.587973506037</v>
      </c>
      <c r="F672" s="560">
        <f t="shared" si="67"/>
        <v>61240.381532730426</v>
      </c>
      <c r="G672" s="560">
        <f t="shared" si="67"/>
        <v>60301.850951930486</v>
      </c>
      <c r="H672" s="560">
        <f t="shared" si="67"/>
        <v>59065.144301028158</v>
      </c>
      <c r="I672" s="560">
        <f t="shared" si="67"/>
        <v>57199.948822837214</v>
      </c>
      <c r="J672" s="561">
        <f t="shared" si="67"/>
        <v>54960.553855252751</v>
      </c>
    </row>
    <row r="673" spans="2:10" ht="15.75">
      <c r="B673" s="415" t="s">
        <v>1363</v>
      </c>
      <c r="C673" s="405">
        <f t="shared" ref="C673:J673" si="68">C672/C613</f>
        <v>6.6137411428654538</v>
      </c>
      <c r="D673" s="405">
        <f t="shared" si="68"/>
        <v>6.1593150179087308</v>
      </c>
      <c r="E673" s="405">
        <f t="shared" si="68"/>
        <v>5.7018448724023054</v>
      </c>
      <c r="F673" s="405">
        <f t="shared" si="68"/>
        <v>5.2652753226600142</v>
      </c>
      <c r="G673" s="405">
        <f t="shared" si="68"/>
        <v>4.7872002217156746</v>
      </c>
      <c r="H673" s="405">
        <f t="shared" si="68"/>
        <v>4.3675448439411797</v>
      </c>
      <c r="I673" s="405">
        <f t="shared" si="68"/>
        <v>3.9368684079417466</v>
      </c>
      <c r="J673" s="562">
        <f t="shared" si="68"/>
        <v>3.5093334983108808</v>
      </c>
    </row>
    <row r="674" spans="2:10" ht="15.75">
      <c r="B674" s="66"/>
      <c r="C674" s="71"/>
      <c r="D674" s="71"/>
      <c r="E674" s="71"/>
      <c r="F674" s="71"/>
    </row>
    <row r="675" spans="2:10" ht="15.75">
      <c r="B675" s="66" t="s">
        <v>1364</v>
      </c>
      <c r="C675" s="114">
        <v>90</v>
      </c>
      <c r="D675" s="71"/>
      <c r="E675" s="71"/>
      <c r="F675" s="71"/>
    </row>
    <row r="676" spans="2:10" ht="15.75">
      <c r="B676" s="66" t="s">
        <v>1365</v>
      </c>
      <c r="C676" s="125">
        <f>(C675*C624)-(C621*C624)+C669</f>
        <v>21802.698569415537</v>
      </c>
      <c r="D676" s="71"/>
      <c r="E676" s="71"/>
      <c r="F676" s="71"/>
    </row>
    <row r="677" spans="2:10" ht="15.75">
      <c r="B677" s="414" t="s">
        <v>1366</v>
      </c>
      <c r="C677" s="561">
        <f>C676/Master!O7</f>
        <v>1156.6418339212487</v>
      </c>
      <c r="D677" s="66"/>
      <c r="E677" s="66"/>
      <c r="F677" s="66"/>
    </row>
    <row r="678" spans="2:10" ht="15.75">
      <c r="B678" s="415" t="s">
        <v>1367</v>
      </c>
      <c r="C678" s="562">
        <f>C677/SOP!G33</f>
        <v>1.7512502765306732</v>
      </c>
      <c r="D678" s="66"/>
      <c r="E678" s="66"/>
      <c r="F678" s="66"/>
    </row>
    <row r="680" spans="2:10" ht="15.75">
      <c r="B680" s="217" t="s">
        <v>1368</v>
      </c>
      <c r="C680" s="217">
        <f t="shared" ref="C680:J680" si="69">C655</f>
        <v>2018</v>
      </c>
      <c r="D680" s="217">
        <f t="shared" si="69"/>
        <v>2019</v>
      </c>
      <c r="E680" s="217">
        <f t="shared" si="69"/>
        <v>2020</v>
      </c>
      <c r="F680" s="217">
        <f t="shared" si="69"/>
        <v>2021</v>
      </c>
      <c r="G680" s="217">
        <f t="shared" si="69"/>
        <v>2022</v>
      </c>
      <c r="H680" s="217">
        <f t="shared" si="69"/>
        <v>2023</v>
      </c>
      <c r="I680" s="217">
        <f t="shared" si="69"/>
        <v>2024</v>
      </c>
      <c r="J680" s="217">
        <f t="shared" si="69"/>
        <v>2025</v>
      </c>
    </row>
    <row r="681" spans="2:10" ht="15.75">
      <c r="B681" s="66" t="s">
        <v>33</v>
      </c>
      <c r="C681" s="125">
        <f>C612+Master!Q21</f>
        <v>57516.552977953994</v>
      </c>
      <c r="D681" s="125">
        <f>D612+Master!R21</f>
        <v>64937.939147363839</v>
      </c>
      <c r="E681" s="125">
        <f>E612+Master!S21</f>
        <v>70450.03769417142</v>
      </c>
      <c r="F681" s="125">
        <f>F612+Master!T21</f>
        <v>75153.913385722815</v>
      </c>
      <c r="G681" s="125">
        <f>G612+Master!U21</f>
        <v>77537.024529959046</v>
      </c>
      <c r="H681" s="125">
        <f>H612+Master!V21</f>
        <v>79938.067599213697</v>
      </c>
      <c r="I681" s="125">
        <f>I612+Master!W21</f>
        <v>80796.148138822551</v>
      </c>
      <c r="J681" s="125">
        <f>J612+Master!X21</f>
        <v>80880.352502995345</v>
      </c>
    </row>
    <row r="682" spans="2:10" ht="15.75">
      <c r="B682" s="66"/>
    </row>
    <row r="683" spans="2:10" ht="15.75">
      <c r="B683" s="66" t="s">
        <v>34</v>
      </c>
      <c r="C683" s="125">
        <f>(C613+Master!Q56)+(C659*C662)</f>
        <v>24650</v>
      </c>
      <c r="D683" s="125">
        <f>(D613+Master!R56)+(D659*D662)</f>
        <v>27949.006166499566</v>
      </c>
      <c r="E683" s="125">
        <f>(E613+Master!S56)+(E659*E662)</f>
        <v>30173.473850710878</v>
      </c>
      <c r="F683" s="125">
        <f>(F613+Master!T56)+(F659*F662)</f>
        <v>32780.751614648187</v>
      </c>
      <c r="G683" s="125">
        <f>(G613+Master!U56)+(G659*G662)</f>
        <v>33850.40810169121</v>
      </c>
      <c r="H683" s="125">
        <f>(H613+Master!V56)+(H659*H662)</f>
        <v>34158.625928560941</v>
      </c>
      <c r="I683" s="125">
        <f>(I613+Master!W56)+(I659*I662)</f>
        <v>35881.776479322194</v>
      </c>
      <c r="J683" s="125">
        <f>(J613+Master!X56)+(J659*J662)</f>
        <v>37693.362764616664</v>
      </c>
    </row>
    <row r="684" spans="2:10" ht="15.75">
      <c r="B684" s="66" t="s">
        <v>548</v>
      </c>
      <c r="C684" s="116">
        <f t="shared" ref="C684:J684" si="70">C683/C681</f>
        <v>0.42857227569684692</v>
      </c>
      <c r="D684" s="116">
        <f t="shared" si="70"/>
        <v>0.4303956444178928</v>
      </c>
      <c r="E684" s="116">
        <f t="shared" si="70"/>
        <v>0.42829606396658088</v>
      </c>
      <c r="F684" s="116">
        <f t="shared" si="70"/>
        <v>0.43618156577426653</v>
      </c>
      <c r="G684" s="116">
        <f t="shared" si="70"/>
        <v>0.43657089380070241</v>
      </c>
      <c r="H684" s="116">
        <f t="shared" si="70"/>
        <v>0.4273136310952923</v>
      </c>
      <c r="I684" s="116">
        <f t="shared" si="70"/>
        <v>0.44410256312801871</v>
      </c>
      <c r="J684" s="116">
        <f t="shared" si="70"/>
        <v>0.46603855693161966</v>
      </c>
    </row>
    <row r="685" spans="2:10" ht="15.75">
      <c r="B685" s="66"/>
    </row>
    <row r="686" spans="2:10" ht="15.75">
      <c r="B686" s="66" t="s">
        <v>35</v>
      </c>
      <c r="C686" s="125">
        <f>(C616+Master!Q84)-(C660*C662)</f>
        <v>18554.373</v>
      </c>
      <c r="D686" s="125">
        <f>(D616+Master!R84)-(D660*D662)</f>
        <v>19339.644257562992</v>
      </c>
      <c r="E686" s="125">
        <f>(E616+Master!S84)-(E660*E662)</f>
        <v>20670.786424164246</v>
      </c>
      <c r="F686" s="125">
        <f>(F616+Master!T84)-(F660*F662)</f>
        <v>23685.815295826204</v>
      </c>
      <c r="G686" s="125">
        <f>(G616+Master!U84)-(G660*G662)</f>
        <v>19442.678705067443</v>
      </c>
      <c r="H686" s="125">
        <f>(H616+Master!V84)-(H660*H662)</f>
        <v>17734.864179111224</v>
      </c>
      <c r="I686" s="125">
        <f>(I616+Master!W84)-(I660*I662)</f>
        <v>13632.318217162325</v>
      </c>
      <c r="J686" s="125">
        <f>(J616+Master!X84)-(J660*J662)</f>
        <v>16750.004158815693</v>
      </c>
    </row>
    <row r="687" spans="2:10" ht="15.75">
      <c r="B687" s="66" t="s">
        <v>228</v>
      </c>
      <c r="C687" s="116">
        <f t="shared" ref="C687:J687" si="71">C686/C681</f>
        <v>0.32259188076016765</v>
      </c>
      <c r="D687" s="116">
        <f t="shared" si="71"/>
        <v>0.29781733931647392</v>
      </c>
      <c r="E687" s="116">
        <f t="shared" si="71"/>
        <v>0.2934105800467785</v>
      </c>
      <c r="F687" s="116">
        <f t="shared" si="71"/>
        <v>0.31516409763334907</v>
      </c>
      <c r="G687" s="116">
        <f t="shared" si="71"/>
        <v>0.25075347968189193</v>
      </c>
      <c r="H687" s="116">
        <f t="shared" si="71"/>
        <v>0.2218575543760789</v>
      </c>
      <c r="I687" s="116">
        <f t="shared" si="71"/>
        <v>0.1687248529934807</v>
      </c>
      <c r="J687" s="116">
        <f t="shared" si="71"/>
        <v>0.20709608255225356</v>
      </c>
    </row>
    <row r="689" spans="2:4" ht="15.75">
      <c r="B689" s="409" t="s">
        <v>1369</v>
      </c>
    </row>
    <row r="691" spans="2:4" ht="15.75">
      <c r="B691" s="70"/>
      <c r="C691" s="66"/>
    </row>
    <row r="692" spans="2:4" ht="15.75">
      <c r="B692" s="66" t="s">
        <v>1370</v>
      </c>
      <c r="C692" s="125">
        <v>2000</v>
      </c>
    </row>
    <row r="693" spans="2:4" ht="15.75">
      <c r="B693" s="66"/>
      <c r="C693" s="125" t="s">
        <v>57</v>
      </c>
    </row>
    <row r="694" spans="2:4" ht="15.75">
      <c r="B694" s="66" t="s">
        <v>59</v>
      </c>
      <c r="C694" s="125">
        <f>C692*2</f>
        <v>4000</v>
      </c>
    </row>
    <row r="695" spans="2:4" ht="15.75">
      <c r="B695" s="66" t="s">
        <v>1371</v>
      </c>
      <c r="C695" s="125">
        <v>4750</v>
      </c>
    </row>
    <row r="696" spans="2:4" ht="15.75">
      <c r="B696" s="67" t="s">
        <v>1372</v>
      </c>
      <c r="C696" s="154">
        <v>2709</v>
      </c>
    </row>
    <row r="697" spans="2:4" ht="15.75">
      <c r="B697" s="66" t="s">
        <v>77</v>
      </c>
      <c r="C697" s="125">
        <f>SUM(C694:C696)</f>
        <v>11459</v>
      </c>
    </row>
    <row r="698" spans="2:4" ht="15.75">
      <c r="B698" s="66"/>
      <c r="C698" s="125"/>
    </row>
    <row r="699" spans="2:4" ht="15.75">
      <c r="B699" s="66" t="s">
        <v>1373</v>
      </c>
      <c r="C699" s="125">
        <f>Cable!J264</f>
        <v>1586.7010655999995</v>
      </c>
      <c r="D699" s="125"/>
    </row>
    <row r="700" spans="2:4" ht="15.75">
      <c r="B700" s="66" t="s">
        <v>22</v>
      </c>
      <c r="C700" s="112">
        <f>C697/C699</f>
        <v>7.2219022526885759</v>
      </c>
      <c r="D700" s="112"/>
    </row>
    <row r="702" spans="2:4" ht="15.75">
      <c r="B702" s="66" t="s">
        <v>1374</v>
      </c>
      <c r="C702" s="156">
        <f>C696/C699</f>
        <v>1.7073159265671831</v>
      </c>
    </row>
    <row r="704" spans="2:4" ht="15.75">
      <c r="B704" s="409" t="s">
        <v>1375</v>
      </c>
      <c r="C704" s="112"/>
    </row>
    <row r="706" spans="2:7">
      <c r="B706" t="s">
        <v>1376</v>
      </c>
      <c r="C706">
        <v>169</v>
      </c>
      <c r="D706">
        <v>185</v>
      </c>
    </row>
    <row r="707" spans="2:7">
      <c r="D707" s="8">
        <f>D706/C706-1</f>
        <v>9.4674556213017791E-2</v>
      </c>
    </row>
    <row r="708" spans="2:7">
      <c r="B708" t="s">
        <v>1377</v>
      </c>
      <c r="D708">
        <v>230</v>
      </c>
    </row>
    <row r="709" spans="2:7">
      <c r="B709" t="s">
        <v>1378</v>
      </c>
      <c r="C709">
        <v>389</v>
      </c>
      <c r="D709">
        <v>299</v>
      </c>
    </row>
    <row r="710" spans="2:7">
      <c r="B710" t="s">
        <v>1379</v>
      </c>
      <c r="C710">
        <v>499</v>
      </c>
      <c r="D710">
        <v>429</v>
      </c>
    </row>
    <row r="711" spans="2:7">
      <c r="B711" t="s">
        <v>1380</v>
      </c>
      <c r="C711">
        <v>649</v>
      </c>
      <c r="D711">
        <v>589</v>
      </c>
    </row>
    <row r="712" spans="2:7">
      <c r="B712" t="s">
        <v>1381</v>
      </c>
      <c r="C712">
        <v>659</v>
      </c>
      <c r="D712">
        <v>599</v>
      </c>
    </row>
    <row r="713" spans="2:7">
      <c r="B713" t="s">
        <v>1382</v>
      </c>
      <c r="C713">
        <v>859</v>
      </c>
      <c r="D713">
        <v>799</v>
      </c>
    </row>
    <row r="714" spans="2:7">
      <c r="D714" s="8"/>
    </row>
    <row r="715" spans="2:7">
      <c r="B715" t="s">
        <v>1383</v>
      </c>
      <c r="D715">
        <v>129</v>
      </c>
      <c r="F715">
        <v>9.99</v>
      </c>
      <c r="G715">
        <f>F715*G716</f>
        <v>186.77701543739281</v>
      </c>
    </row>
    <row r="716" spans="2:7">
      <c r="B716" t="s">
        <v>1384</v>
      </c>
      <c r="D716">
        <v>109</v>
      </c>
      <c r="F716">
        <v>5.83</v>
      </c>
      <c r="G716" s="151">
        <f>D716/F716</f>
        <v>18.69639794168096</v>
      </c>
    </row>
    <row r="717" spans="2:7">
      <c r="F717">
        <v>3.69</v>
      </c>
      <c r="G717">
        <f>F717*G716</f>
        <v>68.989708404802741</v>
      </c>
    </row>
    <row r="720" spans="2:7">
      <c r="B720" s="61" t="s">
        <v>557</v>
      </c>
      <c r="C720" s="61"/>
      <c r="D720" s="130" t="s">
        <v>1385</v>
      </c>
      <c r="E720" s="130" t="s">
        <v>1386</v>
      </c>
    </row>
    <row r="721" spans="2:14">
      <c r="B721" t="s">
        <v>835</v>
      </c>
      <c r="C721">
        <v>10</v>
      </c>
      <c r="D721">
        <v>299</v>
      </c>
      <c r="E721">
        <v>329</v>
      </c>
    </row>
    <row r="722" spans="2:14">
      <c r="C722">
        <v>20</v>
      </c>
      <c r="D722">
        <v>399</v>
      </c>
      <c r="E722">
        <v>429</v>
      </c>
    </row>
    <row r="723" spans="2:14">
      <c r="C723">
        <v>50</v>
      </c>
      <c r="D723">
        <v>599</v>
      </c>
      <c r="E723">
        <v>629</v>
      </c>
    </row>
    <row r="724" spans="2:14">
      <c r="C724">
        <v>100</v>
      </c>
      <c r="D724">
        <v>799</v>
      </c>
      <c r="E724">
        <v>829</v>
      </c>
    </row>
    <row r="725" spans="2:14">
      <c r="C725">
        <v>200</v>
      </c>
      <c r="D725">
        <v>999</v>
      </c>
      <c r="E725">
        <v>1029</v>
      </c>
    </row>
    <row r="726" spans="2:14">
      <c r="B726" t="s">
        <v>1387</v>
      </c>
      <c r="E726" s="8">
        <f>AVERAGE(E721:E725)/AVERAGE(D721:D725)-1</f>
        <v>4.8465266558965991E-2</v>
      </c>
    </row>
    <row r="728" spans="2:14">
      <c r="B728" t="s">
        <v>1388</v>
      </c>
      <c r="E728" s="136" t="s">
        <v>1389</v>
      </c>
    </row>
    <row r="729" spans="2:14">
      <c r="E729" s="8">
        <f>25/350</f>
        <v>7.1428571428571425E-2</v>
      </c>
    </row>
    <row r="731" spans="2:14">
      <c r="E731">
        <f>Master!J11</f>
        <v>2011</v>
      </c>
      <c r="F731">
        <f>Master!K11</f>
        <v>2012</v>
      </c>
      <c r="G731">
        <f>Master!L11</f>
        <v>2013</v>
      </c>
      <c r="H731">
        <f>Master!M11</f>
        <v>2014</v>
      </c>
      <c r="I731">
        <f>Master!N11</f>
        <v>2015</v>
      </c>
      <c r="J731">
        <f>Master!O11</f>
        <v>2016</v>
      </c>
      <c r="K731">
        <f>Master!P11</f>
        <v>2017</v>
      </c>
      <c r="L731">
        <f>Master!Q11</f>
        <v>2018</v>
      </c>
      <c r="M731">
        <f>Master!R11</f>
        <v>2019</v>
      </c>
      <c r="N731">
        <f>Master!S11</f>
        <v>2020</v>
      </c>
    </row>
    <row r="732" spans="2:14">
      <c r="D732" t="s">
        <v>1390</v>
      </c>
      <c r="E732">
        <f>Master!J117</f>
        <v>13794.86</v>
      </c>
      <c r="F732">
        <f>Master!K117</f>
        <v>15019.84</v>
      </c>
      <c r="G732">
        <f>Master!L117</f>
        <v>13432.048890624999</v>
      </c>
      <c r="H732">
        <f>Master!M117</f>
        <v>13062.938999999998</v>
      </c>
      <c r="I732">
        <f>Master!N117</f>
        <v>6897.6019999999999</v>
      </c>
      <c r="J732">
        <f>Master!O117</f>
        <v>5664.8199999999979</v>
      </c>
      <c r="K732">
        <f>Master!P117</f>
        <v>16059.169999999998</v>
      </c>
      <c r="L732">
        <f>Master!Q117</f>
        <v>17911.550000000003</v>
      </c>
      <c r="M732">
        <f>Master!R117</f>
        <v>19150.974999999999</v>
      </c>
      <c r="N732">
        <f>Master!S117</f>
        <v>18631.987999999998</v>
      </c>
    </row>
    <row r="733" spans="2:14">
      <c r="D733" t="s">
        <v>1391</v>
      </c>
      <c r="E733" s="8">
        <f>Master!J125</f>
        <v>0.22043031886420109</v>
      </c>
      <c r="F733" s="8">
        <f>Master!K125</f>
        <v>0.2167665362012631</v>
      </c>
      <c r="G733" s="8">
        <f>Master!L125</f>
        <v>0.18202186762300523</v>
      </c>
      <c r="H733" s="8">
        <f>Master!M125</f>
        <v>0.16304543026321044</v>
      </c>
      <c r="I733" s="8">
        <f>Master!N125</f>
        <v>7.8335551719438512E-2</v>
      </c>
      <c r="J733" s="8">
        <f>Master!O125</f>
        <v>5.8832412132843945E-2</v>
      </c>
      <c r="K733" s="8">
        <f>Master!P125</f>
        <v>0.17034388756298063</v>
      </c>
      <c r="L733" s="8">
        <f>Master!Q125</f>
        <v>0.17679942749975325</v>
      </c>
      <c r="M733" s="8">
        <f>Master!R125</f>
        <v>0.19027184139985254</v>
      </c>
      <c r="N733" s="8">
        <f>Master!S125</f>
        <v>0.19180887456338022</v>
      </c>
    </row>
    <row r="735" spans="2:14">
      <c r="B735" s="42" t="s">
        <v>894</v>
      </c>
      <c r="C735" s="255" t="s">
        <v>1392</v>
      </c>
    </row>
    <row r="736" spans="2:14">
      <c r="B736" t="s">
        <v>1383</v>
      </c>
      <c r="C736">
        <v>4.9000000000000004</v>
      </c>
    </row>
    <row r="737" spans="2:7">
      <c r="B737" t="s">
        <v>1393</v>
      </c>
      <c r="C737">
        <v>3.3</v>
      </c>
    </row>
    <row r="738" spans="2:7">
      <c r="B738" t="s">
        <v>1384</v>
      </c>
      <c r="C738">
        <v>1</v>
      </c>
    </row>
    <row r="739" spans="2:7">
      <c r="C739">
        <f>SUM(C736:C738)</f>
        <v>9.1999999999999993</v>
      </c>
    </row>
    <row r="740" spans="2:7">
      <c r="B740" t="s">
        <v>1394</v>
      </c>
    </row>
    <row r="742" spans="2:7">
      <c r="D742" t="s">
        <v>1395</v>
      </c>
      <c r="E742" s="3" t="s">
        <v>1396</v>
      </c>
      <c r="F742" t="s">
        <v>1397</v>
      </c>
    </row>
    <row r="743" spans="2:7">
      <c r="B743" s="61"/>
      <c r="C743" s="61">
        <v>2016</v>
      </c>
      <c r="D743" s="61">
        <f>C743+1</f>
        <v>2017</v>
      </c>
      <c r="E743" s="61">
        <f>D743+1</f>
        <v>2018</v>
      </c>
      <c r="F743" s="61">
        <f>E743+1</f>
        <v>2019</v>
      </c>
      <c r="G743" s="61">
        <f>F743+1</f>
        <v>2020</v>
      </c>
    </row>
    <row r="744" spans="2:7">
      <c r="B744" t="s">
        <v>94</v>
      </c>
      <c r="C744" s="4">
        <f>Master!O90</f>
        <v>150</v>
      </c>
      <c r="D744" s="4">
        <f>Master!P90</f>
        <v>113.59999999999998</v>
      </c>
      <c r="E744" s="4">
        <f>Master!Q90</f>
        <v>94.8</v>
      </c>
      <c r="F744" s="4">
        <f>Master!R90</f>
        <v>107.8</v>
      </c>
      <c r="G744" s="4">
        <f>Master!S90</f>
        <v>26.7</v>
      </c>
    </row>
    <row r="745" spans="2:7">
      <c r="B745" t="s">
        <v>1398</v>
      </c>
      <c r="C745" s="4">
        <v>170</v>
      </c>
      <c r="D745">
        <v>150</v>
      </c>
      <c r="E745">
        <v>120</v>
      </c>
      <c r="F745">
        <v>80</v>
      </c>
      <c r="G745">
        <v>0</v>
      </c>
    </row>
    <row r="746" spans="2:7">
      <c r="B746" t="s">
        <v>1399</v>
      </c>
      <c r="C746" s="4">
        <f>Master!O91-C745</f>
        <v>176.60000000000002</v>
      </c>
      <c r="D746" s="4">
        <f>Master!P91-D745</f>
        <v>61.400000000000006</v>
      </c>
      <c r="E746" s="4">
        <f>Master!Q91-E745</f>
        <v>89.6</v>
      </c>
      <c r="F746" s="4">
        <f>Master!R91-F745</f>
        <v>129.1</v>
      </c>
      <c r="G746" s="4">
        <f>Master!S91-G745</f>
        <v>250.2</v>
      </c>
    </row>
    <row r="747" spans="2:7">
      <c r="B747" t="s">
        <v>1400</v>
      </c>
      <c r="C747" s="4">
        <f>0.4*Master!$O$92</f>
        <v>393.68000000000006</v>
      </c>
      <c r="D747">
        <v>180</v>
      </c>
      <c r="E747">
        <v>160</v>
      </c>
      <c r="F747" s="4">
        <v>140</v>
      </c>
      <c r="G747">
        <v>140</v>
      </c>
    </row>
    <row r="748" spans="2:7">
      <c r="B748" t="s">
        <v>1401</v>
      </c>
      <c r="C748" s="4">
        <f>0.3*Master!$O$92</f>
        <v>295.26</v>
      </c>
      <c r="D748" s="4">
        <v>300</v>
      </c>
      <c r="E748" s="4">
        <v>225</v>
      </c>
      <c r="F748" s="4">
        <v>130</v>
      </c>
      <c r="G748" s="4">
        <v>130</v>
      </c>
    </row>
    <row r="749" spans="2:7">
      <c r="B749" s="61" t="s">
        <v>1402</v>
      </c>
      <c r="C749" s="420">
        <f>Master!O92-C747-C748</f>
        <v>295.26</v>
      </c>
      <c r="D749" s="420">
        <f>Master!P92-D747-D748</f>
        <v>79.700000000000045</v>
      </c>
      <c r="E749" s="420">
        <f>Master!Q92-E747-E748</f>
        <v>280</v>
      </c>
      <c r="F749" s="420">
        <f>Master!R92-F747-F748</f>
        <v>403.6</v>
      </c>
      <c r="G749" s="420">
        <f>Master!S92-G747-G748</f>
        <v>392.5</v>
      </c>
    </row>
    <row r="750" spans="2:7">
      <c r="B750" t="s">
        <v>216</v>
      </c>
      <c r="C750" s="4">
        <f>Master!O94</f>
        <v>1480.8000000000002</v>
      </c>
      <c r="D750" s="4">
        <f>Master!P94</f>
        <v>884.7</v>
      </c>
      <c r="E750" s="4">
        <f>Master!Q94</f>
        <v>969.4</v>
      </c>
      <c r="F750" s="4">
        <f>Master!R94</f>
        <v>990.5</v>
      </c>
      <c r="G750" s="4">
        <f>Master!S94</f>
        <v>939.4</v>
      </c>
    </row>
    <row r="752" spans="2:7">
      <c r="B752" s="61" t="s">
        <v>851</v>
      </c>
      <c r="C752" s="61">
        <v>2016</v>
      </c>
      <c r="D752" s="61">
        <f>C752+1</f>
        <v>2017</v>
      </c>
      <c r="E752" s="61">
        <f>D752+1</f>
        <v>2018</v>
      </c>
      <c r="F752" s="61">
        <f>E752+1</f>
        <v>2019</v>
      </c>
      <c r="G752" s="61">
        <f>F752+1</f>
        <v>2020</v>
      </c>
    </row>
    <row r="753" spans="2:7">
      <c r="B753" t="s">
        <v>1403</v>
      </c>
      <c r="C753" s="122">
        <f>Master!O56</f>
        <v>13236.1</v>
      </c>
      <c r="D753" s="122">
        <f>Master!P56</f>
        <v>14035</v>
      </c>
      <c r="E753" s="122">
        <f>Master!Q56</f>
        <v>15303</v>
      </c>
      <c r="F753" s="122">
        <f>Master!R56</f>
        <v>17798</v>
      </c>
      <c r="G753" s="122">
        <f>Master!S56</f>
        <v>18898.3</v>
      </c>
    </row>
    <row r="754" spans="2:7">
      <c r="B754" t="s">
        <v>548</v>
      </c>
      <c r="C754" s="10">
        <f>Master!O74</f>
        <v>0.4150340528540431</v>
      </c>
      <c r="D754" s="10">
        <f>Master!P74</f>
        <v>0.42468530622125394</v>
      </c>
      <c r="E754" s="10">
        <f>Master!Q74</f>
        <v>0.42234979162641789</v>
      </c>
      <c r="F754" s="10">
        <f>Master!R74</f>
        <v>0.42679008201045515</v>
      </c>
      <c r="G754" s="10">
        <f>Master!S74</f>
        <v>0.41656398579587411</v>
      </c>
    </row>
    <row r="756" spans="2:7">
      <c r="B756" t="s">
        <v>1404</v>
      </c>
      <c r="C756" s="122">
        <v>13153.048110000002</v>
      </c>
      <c r="D756" s="122">
        <v>15126.005326500001</v>
      </c>
      <c r="E756" s="122">
        <v>17287.530161737501</v>
      </c>
      <c r="F756" s="122">
        <v>19413.574243739997</v>
      </c>
      <c r="G756" s="122">
        <v>21663.122159233368</v>
      </c>
    </row>
    <row r="757" spans="2:7">
      <c r="B757" t="str">
        <f>B754</f>
        <v>% margin</v>
      </c>
      <c r="C757" s="10">
        <v>0.40499999999999997</v>
      </c>
      <c r="D757" s="10">
        <v>0.40500000000000003</v>
      </c>
      <c r="E757" s="10">
        <v>0.40250000000000008</v>
      </c>
      <c r="F757" s="10">
        <v>0.4</v>
      </c>
      <c r="G757" s="10">
        <v>0.39500000000000002</v>
      </c>
    </row>
    <row r="760" spans="2:7">
      <c r="B760" t="s">
        <v>205</v>
      </c>
      <c r="C760" s="10">
        <f>C753/C756-1</f>
        <v>6.3142694609972239E-3</v>
      </c>
      <c r="D760" s="10">
        <f>D753/D756-1</f>
        <v>-7.2127789389880403E-2</v>
      </c>
      <c r="E760" s="10">
        <f>E753/E756-1</f>
        <v>-0.11479547067572804</v>
      </c>
      <c r="F760" s="10">
        <f>F753/F756-1</f>
        <v>-8.3218794409326557E-2</v>
      </c>
      <c r="G760" s="10">
        <f>G753/G756-1</f>
        <v>-0.12762805559192825</v>
      </c>
    </row>
    <row r="762" spans="2:7">
      <c r="B762" t="s">
        <v>1405</v>
      </c>
    </row>
    <row r="763" spans="2:7">
      <c r="B763" t="s">
        <v>1406</v>
      </c>
    </row>
    <row r="764" spans="2:7">
      <c r="B764" t="s">
        <v>1407</v>
      </c>
    </row>
    <row r="765" spans="2:7">
      <c r="B765" t="s">
        <v>1408</v>
      </c>
    </row>
    <row r="766" spans="2:7">
      <c r="B766" t="s">
        <v>1409</v>
      </c>
    </row>
    <row r="767" spans="2:7">
      <c r="C767" t="s">
        <v>1410</v>
      </c>
      <c r="D767">
        <f>350*1000000/18</f>
        <v>19444444.444444444</v>
      </c>
      <c r="E767" s="4">
        <f>D767/1000</f>
        <v>19444.444444444445</v>
      </c>
    </row>
    <row r="768" spans="2:7">
      <c r="C768" t="s">
        <v>1411</v>
      </c>
    </row>
    <row r="769" spans="2:8">
      <c r="B769" t="s">
        <v>1412</v>
      </c>
    </row>
    <row r="771" spans="2:8">
      <c r="B771" t="s">
        <v>1413</v>
      </c>
      <c r="C771" s="3" t="s">
        <v>1414</v>
      </c>
      <c r="D771" s="3" t="s">
        <v>1415</v>
      </c>
      <c r="E771" s="3" t="s">
        <v>1416</v>
      </c>
      <c r="G771">
        <v>18.5</v>
      </c>
    </row>
    <row r="772" spans="2:8">
      <c r="B772" s="417">
        <v>0.05</v>
      </c>
      <c r="C772" s="122">
        <f>B772*Master!$O$13</f>
        <v>1161.1600000000001</v>
      </c>
      <c r="D772" s="10">
        <f>C772/Master!$P$63</f>
        <v>3.5422818791946309E-2</v>
      </c>
      <c r="E772" s="419">
        <f>H772/SOP!$G$33</f>
        <v>0.80497655165461524</v>
      </c>
      <c r="F772" s="4">
        <f>(1-0.28)*C772</f>
        <v>836.03520000000003</v>
      </c>
      <c r="G772" s="4">
        <f>F772/8.5%</f>
        <v>9835.7082352941179</v>
      </c>
      <c r="H772" s="4">
        <f>G772/$G$771</f>
        <v>531.65990461049284</v>
      </c>
    </row>
    <row r="773" spans="2:8">
      <c r="B773" s="417">
        <f>B772+5%</f>
        <v>0.1</v>
      </c>
      <c r="C773" s="122">
        <f>B773*Master!$O$13</f>
        <v>2322.3200000000002</v>
      </c>
      <c r="D773" s="10">
        <f>C773/Master!$P$63</f>
        <v>7.0845637583892618E-2</v>
      </c>
      <c r="E773" s="419">
        <f>H773/SOP!$G$33</f>
        <v>1.6099531033092305</v>
      </c>
      <c r="F773" s="4">
        <f>(1-0.28)*C773</f>
        <v>1672.0704000000001</v>
      </c>
      <c r="G773" s="4">
        <f>F773/8.5%</f>
        <v>19671.416470588236</v>
      </c>
      <c r="H773" s="4">
        <f>G773/$G$771</f>
        <v>1063.3198092209857</v>
      </c>
    </row>
    <row r="774" spans="2:8">
      <c r="B774" s="417">
        <f>B773+5%</f>
        <v>0.15000000000000002</v>
      </c>
      <c r="C774" s="122">
        <f>B774*Master!$O$13</f>
        <v>3483.4800000000005</v>
      </c>
      <c r="D774" s="10">
        <f>C774/Master!$P$63</f>
        <v>0.10626845637583894</v>
      </c>
      <c r="E774" s="419">
        <f>H774/SOP!$G$33</f>
        <v>2.4149296549638457</v>
      </c>
      <c r="F774" s="4">
        <f>(1-0.28)*C774</f>
        <v>2508.1056000000003</v>
      </c>
      <c r="G774" s="4">
        <f>F774/8.5%</f>
        <v>29507.124705882354</v>
      </c>
      <c r="H774" s="4">
        <f>G774/$G$771</f>
        <v>1594.9797138314786</v>
      </c>
    </row>
    <row r="775" spans="2:8">
      <c r="B775" s="417">
        <f>B774+5%</f>
        <v>0.2</v>
      </c>
      <c r="C775" s="122">
        <f>B775*Master!$O$13</f>
        <v>4644.6400000000003</v>
      </c>
      <c r="D775" s="10">
        <f>C775/Master!$P$63</f>
        <v>0.14169127516778524</v>
      </c>
      <c r="E775" s="419">
        <f>H775/SOP!$G$33</f>
        <v>3.2199062066184609</v>
      </c>
      <c r="F775" s="4">
        <f>(1-0.28)*C775</f>
        <v>3344.1408000000001</v>
      </c>
      <c r="G775" s="4">
        <f>F775/8.5%</f>
        <v>39342.832941176472</v>
      </c>
      <c r="H775" s="4">
        <f>G775/$G$771</f>
        <v>2126.6396184419714</v>
      </c>
    </row>
    <row r="776" spans="2:8">
      <c r="B776" s="417"/>
      <c r="C776" s="122"/>
      <c r="D776" s="10"/>
      <c r="E776" s="419"/>
      <c r="F776" s="4"/>
      <c r="G776" s="4"/>
      <c r="H776" s="4"/>
    </row>
    <row r="778" spans="2:8">
      <c r="B778" s="149" t="s">
        <v>1417</v>
      </c>
      <c r="C778" s="149">
        <v>2016</v>
      </c>
      <c r="D778" s="149">
        <f>C778+1</f>
        <v>2017</v>
      </c>
      <c r="E778" s="149">
        <f>D778+1</f>
        <v>2018</v>
      </c>
    </row>
    <row r="779" spans="2:8">
      <c r="B779" t="s">
        <v>907</v>
      </c>
      <c r="C779" s="122">
        <f>Master!O28</f>
        <v>96287.4</v>
      </c>
      <c r="D779" s="122">
        <f>Master!P28</f>
        <v>94275</v>
      </c>
      <c r="E779" s="122">
        <f>Master!Q28</f>
        <v>101310</v>
      </c>
    </row>
    <row r="780" spans="2:8">
      <c r="B780" t="s">
        <v>34</v>
      </c>
      <c r="C780" s="122">
        <f>Master!O63</f>
        <v>33577.899999999994</v>
      </c>
      <c r="D780" s="122">
        <f>Master!P63</f>
        <v>32780</v>
      </c>
      <c r="E780" s="122">
        <f>Master!Q63</f>
        <v>36572.5</v>
      </c>
    </row>
    <row r="781" spans="2:8">
      <c r="B781" t="s">
        <v>548</v>
      </c>
    </row>
    <row r="782" spans="2:8">
      <c r="B782" t="s">
        <v>35</v>
      </c>
      <c r="C782" s="122">
        <f>Master!O87</f>
        <v>27913.08</v>
      </c>
      <c r="D782" s="122">
        <f>Master!P87</f>
        <v>16720.829999999998</v>
      </c>
      <c r="E782" s="122">
        <f>Master!Q87</f>
        <v>18660.95</v>
      </c>
    </row>
    <row r="783" spans="2:8">
      <c r="B783" t="s">
        <v>396</v>
      </c>
    </row>
    <row r="784" spans="2:8">
      <c r="B784" t="s">
        <v>36</v>
      </c>
      <c r="C784" s="122">
        <f>Master!O117</f>
        <v>5664.8199999999979</v>
      </c>
      <c r="D784" s="122">
        <f>Master!P117</f>
        <v>16059.169999999998</v>
      </c>
      <c r="E784" s="122">
        <f>Master!Q117</f>
        <v>17911.550000000003</v>
      </c>
    </row>
    <row r="785" spans="2:5">
      <c r="B785" t="s">
        <v>154</v>
      </c>
      <c r="C785" s="122">
        <f>Valuation!L33</f>
        <v>-689.7920424403186</v>
      </c>
      <c r="D785" s="122">
        <f>Valuation!M33</f>
        <v>-55.017460317460106</v>
      </c>
      <c r="E785" s="122">
        <f>Valuation!N33</f>
        <v>-329.16623376623386</v>
      </c>
    </row>
    <row r="787" spans="2:5" ht="14.45" hidden="1" customHeight="1">
      <c r="B787" t="s">
        <v>1199</v>
      </c>
    </row>
    <row r="788" spans="2:5" ht="14.45" hidden="1" customHeight="1">
      <c r="B788" t="str">
        <f t="shared" ref="B788:B794" si="72">B779</f>
        <v>Revs</v>
      </c>
      <c r="C788" s="122">
        <v>96272.715053223685</v>
      </c>
      <c r="D788" s="122">
        <v>103650.90070172002</v>
      </c>
      <c r="E788" s="122">
        <v>113717.00984955725</v>
      </c>
    </row>
    <row r="789" spans="2:5" ht="14.45" hidden="1" customHeight="1">
      <c r="B789" t="str">
        <f t="shared" si="72"/>
        <v>EBITDA</v>
      </c>
      <c r="C789" s="122">
        <v>34176.654166974033</v>
      </c>
      <c r="D789" s="122">
        <v>37764.072691099624</v>
      </c>
      <c r="E789" s="122">
        <v>43178.71806576263</v>
      </c>
    </row>
    <row r="790" spans="2:5" ht="14.45" hidden="1" customHeight="1">
      <c r="B790" t="str">
        <f t="shared" si="72"/>
        <v>% margin</v>
      </c>
    </row>
    <row r="791" spans="2:5" ht="14.45" hidden="1" customHeight="1">
      <c r="B791" t="str">
        <f t="shared" si="72"/>
        <v>Capex</v>
      </c>
      <c r="C791" s="122">
        <v>29048.477887710607</v>
      </c>
      <c r="D791" s="122">
        <v>24659.14706927626</v>
      </c>
      <c r="E791" s="122">
        <v>22270.579099331386</v>
      </c>
    </row>
    <row r="792" spans="2:5" ht="14.45" hidden="1" customHeight="1">
      <c r="B792" t="str">
        <f t="shared" si="72"/>
        <v>as % sales</v>
      </c>
    </row>
    <row r="793" spans="2:5" ht="14.45" hidden="1" customHeight="1">
      <c r="B793" t="str">
        <f t="shared" si="72"/>
        <v>OpFCF</v>
      </c>
      <c r="C793" s="122">
        <v>5128.1762792634227</v>
      </c>
      <c r="D793" s="122">
        <v>13104.925621823368</v>
      </c>
      <c r="E793" s="122">
        <v>20908.138966431248</v>
      </c>
    </row>
    <row r="794" spans="2:5" ht="14.45" hidden="1" customHeight="1">
      <c r="B794" t="str">
        <f t="shared" si="72"/>
        <v>EFCF</v>
      </c>
      <c r="C794" s="122">
        <v>-320.36463748773849</v>
      </c>
      <c r="D794" s="122">
        <v>121.37591823550751</v>
      </c>
      <c r="E794" s="122">
        <v>435.13924787204843</v>
      </c>
    </row>
    <row r="795" spans="2:5" ht="14.45" hidden="1" customHeight="1"/>
    <row r="796" spans="2:5">
      <c r="B796" t="s">
        <v>205</v>
      </c>
    </row>
    <row r="797" spans="2:5">
      <c r="B797" t="str">
        <f>B788</f>
        <v>Revs</v>
      </c>
      <c r="C797" s="10">
        <f t="shared" ref="C797:E798" si="73">C779/C788-1</f>
        <v>1.5253487728261739E-4</v>
      </c>
      <c r="D797" s="10">
        <f t="shared" si="73"/>
        <v>-9.0456528966413874E-2</v>
      </c>
      <c r="E797" s="10">
        <f t="shared" si="73"/>
        <v>-0.10910425683871916</v>
      </c>
    </row>
    <row r="798" spans="2:5">
      <c r="B798" t="str">
        <f>B789</f>
        <v>EBITDA</v>
      </c>
      <c r="C798" s="10">
        <f t="shared" si="73"/>
        <v>-1.7519390986863614E-2</v>
      </c>
      <c r="D798" s="10">
        <f t="shared" si="73"/>
        <v>-0.13197921558588377</v>
      </c>
      <c r="E798" s="10">
        <f t="shared" si="73"/>
        <v>-0.15299708656707078</v>
      </c>
    </row>
    <row r="799" spans="2:5">
      <c r="B799" t="str">
        <f>B791</f>
        <v>Capex</v>
      </c>
      <c r="C799" s="10">
        <f>C782/C791-1</f>
        <v>-3.908631261505624E-2</v>
      </c>
      <c r="D799" s="10">
        <f>D782/D791-1</f>
        <v>-0.3219218023630227</v>
      </c>
      <c r="E799" s="10">
        <f>E782/E791-1</f>
        <v>-0.16208061241837013</v>
      </c>
    </row>
    <row r="800" spans="2:5">
      <c r="B800" t="str">
        <f>B793</f>
        <v>OpFCF</v>
      </c>
      <c r="C800" s="10">
        <f t="shared" ref="C800:E801" si="74">C784/C793-1</f>
        <v>0.10464611423491377</v>
      </c>
      <c r="D800" s="10">
        <f t="shared" si="74"/>
        <v>0.22543007594464992</v>
      </c>
      <c r="E800" s="10">
        <f t="shared" si="74"/>
        <v>-0.14332164958547355</v>
      </c>
    </row>
    <row r="801" spans="2:8">
      <c r="B801" t="str">
        <f>B794</f>
        <v>EFCF</v>
      </c>
      <c r="C801" s="10">
        <f t="shared" si="74"/>
        <v>1.1531466389348899</v>
      </c>
      <c r="D801" s="10">
        <f t="shared" si="74"/>
        <v>-1.4532815167726181</v>
      </c>
      <c r="E801" s="10">
        <f t="shared" si="74"/>
        <v>-1.7564618346332765</v>
      </c>
    </row>
    <row r="803" spans="2:8">
      <c r="B803" s="61" t="s">
        <v>557</v>
      </c>
      <c r="C803" s="130" t="s">
        <v>733</v>
      </c>
      <c r="D803" s="130" t="s">
        <v>734</v>
      </c>
      <c r="E803" s="130" t="s">
        <v>735</v>
      </c>
      <c r="F803" s="130" t="s">
        <v>736</v>
      </c>
      <c r="G803" s="130" t="s">
        <v>737</v>
      </c>
      <c r="H803" s="130" t="s">
        <v>738</v>
      </c>
    </row>
    <row r="804" spans="2:8">
      <c r="B804" t="s">
        <v>1418</v>
      </c>
      <c r="C804" s="8">
        <v>0.1672202778518217</v>
      </c>
      <c r="D804" s="8">
        <v>0.12916219451866939</v>
      </c>
      <c r="E804" s="8">
        <v>0.16855895196506543</v>
      </c>
      <c r="F804" s="8">
        <v>0.21446542023787041</v>
      </c>
      <c r="G804" s="8">
        <v>0.19744562106468222</v>
      </c>
      <c r="H804" s="8">
        <v>0.2390799035516058</v>
      </c>
    </row>
    <row r="805" spans="2:8">
      <c r="B805" t="s">
        <v>836</v>
      </c>
      <c r="C805" s="8">
        <v>0.22920845748095742</v>
      </c>
      <c r="D805" s="8">
        <v>0.23566511819716318</v>
      </c>
      <c r="E805" s="8">
        <v>0.24169424500651271</v>
      </c>
      <c r="F805" s="8">
        <v>0.24749175207689733</v>
      </c>
      <c r="G805" s="8">
        <v>0.23357183853070596</v>
      </c>
      <c r="H805" s="8">
        <v>0.20039464068209512</v>
      </c>
    </row>
    <row r="806" spans="2:8">
      <c r="B806" t="s">
        <v>970</v>
      </c>
      <c r="C806" s="8">
        <v>-9.1351074718526104E-2</v>
      </c>
      <c r="D806" s="8">
        <v>-1.9646924829157086E-2</v>
      </c>
      <c r="E806" s="8">
        <v>0</v>
      </c>
      <c r="F806" s="8">
        <v>3.3276931754089079E-2</v>
      </c>
      <c r="G806" s="8">
        <v>-3.9425513939735923E-3</v>
      </c>
      <c r="H806" s="8">
        <v>4.0952657566075912E-2</v>
      </c>
    </row>
    <row r="808" spans="2:8">
      <c r="B808" t="s">
        <v>6</v>
      </c>
    </row>
    <row r="809" spans="2:8">
      <c r="B809" t="s">
        <v>1418</v>
      </c>
      <c r="C809" s="8">
        <f>Interims!CZ14</f>
        <v>0.12365778376733472</v>
      </c>
      <c r="D809" s="8">
        <f>Interims!DA14</f>
        <v>0.10564772987488813</v>
      </c>
      <c r="E809" s="8">
        <f>Interims!DB14</f>
        <v>0.13799895485790081</v>
      </c>
      <c r="F809" s="8">
        <f>Interims!DC14</f>
        <v>0.12566235267670733</v>
      </c>
      <c r="G809" s="8">
        <f>Interims!DE14</f>
        <v>0.13502122272693429</v>
      </c>
      <c r="H809" s="8">
        <f>Interims!DF14</f>
        <v>0.12915177214640305</v>
      </c>
    </row>
    <row r="810" spans="2:8">
      <c r="B810" t="s">
        <v>836</v>
      </c>
      <c r="C810" s="8"/>
      <c r="D810" s="8"/>
      <c r="E810" s="8"/>
      <c r="F810" s="8"/>
      <c r="G810" s="8">
        <f>Interims!DE263</f>
        <v>0.17049829523929771</v>
      </c>
      <c r="H810" s="8">
        <f>Interims!DF263</f>
        <v>0.15358625700517892</v>
      </c>
    </row>
    <row r="811" spans="2:8">
      <c r="B811" t="s">
        <v>970</v>
      </c>
      <c r="C811" s="8"/>
      <c r="D811" s="8"/>
      <c r="E811" s="8"/>
      <c r="F811" s="8"/>
      <c r="G811" s="8">
        <f>Interims!DE337</f>
        <v>0</v>
      </c>
      <c r="H811" s="8">
        <f>Interims!DF337</f>
        <v>-2.8154708641171644E-2</v>
      </c>
    </row>
    <row r="813" spans="2:8">
      <c r="B813" s="2" t="s">
        <v>1419</v>
      </c>
    </row>
    <row r="814" spans="2:8">
      <c r="B814" t="s">
        <v>1420</v>
      </c>
    </row>
    <row r="815" spans="2:8">
      <c r="B815" t="s">
        <v>1421</v>
      </c>
    </row>
    <row r="816" spans="2:8">
      <c r="B816" t="s">
        <v>1422</v>
      </c>
    </row>
    <row r="818" spans="2:12">
      <c r="B818" s="2" t="s">
        <v>1423</v>
      </c>
    </row>
    <row r="819" spans="2:12">
      <c r="B819" t="s">
        <v>1424</v>
      </c>
    </row>
    <row r="820" spans="2:12">
      <c r="B820" s="422" t="s">
        <v>1425</v>
      </c>
    </row>
    <row r="821" spans="2:12">
      <c r="B821" t="s">
        <v>1426</v>
      </c>
    </row>
    <row r="822" spans="2:12">
      <c r="B822" s="1" t="s">
        <v>1427</v>
      </c>
    </row>
    <row r="823" spans="2:12">
      <c r="B823" t="s">
        <v>1428</v>
      </c>
    </row>
    <row r="824" spans="2:12">
      <c r="B824" s="1" t="s">
        <v>1429</v>
      </c>
    </row>
    <row r="826" spans="2:12">
      <c r="C826" s="130" t="s">
        <v>883</v>
      </c>
      <c r="D826" s="130" t="s">
        <v>884</v>
      </c>
      <c r="E826" s="130" t="s">
        <v>885</v>
      </c>
      <c r="F826" s="130" t="s">
        <v>886</v>
      </c>
      <c r="G826" s="130" t="s">
        <v>733</v>
      </c>
      <c r="H826" s="130" t="s">
        <v>734</v>
      </c>
      <c r="I826" s="130" t="s">
        <v>735</v>
      </c>
      <c r="J826" s="130" t="s">
        <v>736</v>
      </c>
      <c r="K826" s="130" t="s">
        <v>737</v>
      </c>
      <c r="L826" s="130" t="s">
        <v>738</v>
      </c>
    </row>
    <row r="827" spans="2:12">
      <c r="B827" t="s">
        <v>467</v>
      </c>
      <c r="C827" s="10">
        <f>Interims!V68</f>
        <v>0.35369299656566533</v>
      </c>
      <c r="D827" s="10">
        <f>Interims!W68</f>
        <v>0.37017299165226808</v>
      </c>
      <c r="E827" s="10">
        <f>Interims!X68</f>
        <v>0.37352736046445867</v>
      </c>
      <c r="F827" s="10">
        <f>Interims!Y68</f>
        <v>0.40076752625325157</v>
      </c>
      <c r="G827" s="10">
        <f>Interims!AA68</f>
        <v>0.3958299203216919</v>
      </c>
      <c r="H827" s="10">
        <f>Interims!AB68</f>
        <v>0.40004631170673111</v>
      </c>
      <c r="I827" s="10">
        <f>Interims!AC68</f>
        <v>0.4075952837948999</v>
      </c>
      <c r="J827" s="10">
        <f>Interims!AD68</f>
        <v>0.39769619952180291</v>
      </c>
      <c r="K827" s="10">
        <f>Interims!AF68</f>
        <v>0.41364107543530459</v>
      </c>
      <c r="L827" s="10">
        <f>Interims!AG68</f>
        <v>0.42221965880980755</v>
      </c>
    </row>
    <row r="828" spans="2:12">
      <c r="B828" t="s">
        <v>468</v>
      </c>
      <c r="C828" s="10">
        <v>0.4715273206056616</v>
      </c>
      <c r="D828" s="10">
        <v>0.45944612782749628</v>
      </c>
      <c r="E828" s="10">
        <v>0.44630951447172323</v>
      </c>
      <c r="F828" s="10">
        <v>0.44313251006007859</v>
      </c>
      <c r="G828" s="10">
        <v>0.49024785241515278</v>
      </c>
      <c r="H828" s="10">
        <v>0.45419309372797745</v>
      </c>
      <c r="I828" s="10">
        <v>0.44049146020387497</v>
      </c>
      <c r="J828" s="10">
        <v>0.45618864262941455</v>
      </c>
      <c r="K828" s="10">
        <v>0.49276166544618749</v>
      </c>
      <c r="L828" s="10">
        <v>0.46003460701323834</v>
      </c>
    </row>
    <row r="830" spans="2:12">
      <c r="B830" t="str">
        <f>B827</f>
        <v>Televisa</v>
      </c>
      <c r="F830" s="10">
        <f t="shared" ref="F830:L831" si="75">AVERAGE(C827:F827)</f>
        <v>0.37454021873391091</v>
      </c>
      <c r="G830" s="10">
        <f t="shared" si="75"/>
        <v>0.38507444967291754</v>
      </c>
      <c r="H830" s="10">
        <f t="shared" si="75"/>
        <v>0.39254277968653328</v>
      </c>
      <c r="I830" s="10">
        <f t="shared" si="75"/>
        <v>0.40105976051914366</v>
      </c>
      <c r="J830" s="10">
        <f t="shared" si="75"/>
        <v>0.40029192883628145</v>
      </c>
      <c r="K830" s="10">
        <f t="shared" si="75"/>
        <v>0.40474471761468461</v>
      </c>
      <c r="L830" s="10">
        <f t="shared" si="75"/>
        <v>0.41028805439045374</v>
      </c>
    </row>
    <row r="831" spans="2:12">
      <c r="B831" t="str">
        <f>B828</f>
        <v>Megacable</v>
      </c>
      <c r="F831" s="10">
        <f t="shared" si="75"/>
        <v>0.45510386824123994</v>
      </c>
      <c r="G831" s="10">
        <f t="shared" si="75"/>
        <v>0.45978400119361273</v>
      </c>
      <c r="H831" s="10">
        <f t="shared" si="75"/>
        <v>0.458470742668733</v>
      </c>
      <c r="I831" s="10">
        <f t="shared" si="75"/>
        <v>0.45701622910177092</v>
      </c>
      <c r="J831" s="10">
        <f t="shared" si="75"/>
        <v>0.46028026224410495</v>
      </c>
      <c r="K831" s="10">
        <f t="shared" si="75"/>
        <v>0.46090871550186363</v>
      </c>
      <c r="L831" s="10">
        <f t="shared" si="75"/>
        <v>0.46236909382317887</v>
      </c>
    </row>
    <row r="834" spans="2:5">
      <c r="B834" s="61"/>
      <c r="C834" s="130" t="s">
        <v>1430</v>
      </c>
      <c r="D834" s="130" t="s">
        <v>1431</v>
      </c>
      <c r="E834" s="61"/>
    </row>
    <row r="835" spans="2:5">
      <c r="B835" t="s">
        <v>6</v>
      </c>
      <c r="C835" s="4">
        <v>1100</v>
      </c>
      <c r="D835" s="419">
        <v>12</v>
      </c>
      <c r="E835" s="4">
        <f t="shared" ref="E835:E847" si="76">C835/D835</f>
        <v>91.666666666666671</v>
      </c>
    </row>
    <row r="836" spans="2:5">
      <c r="B836" t="s">
        <v>557</v>
      </c>
      <c r="C836" s="4">
        <v>250</v>
      </c>
      <c r="D836" s="419">
        <v>7.6</v>
      </c>
      <c r="E836" s="4">
        <f t="shared" si="76"/>
        <v>32.894736842105267</v>
      </c>
    </row>
    <row r="837" spans="2:5">
      <c r="B837" t="s">
        <v>1432</v>
      </c>
      <c r="C837" s="4">
        <v>189</v>
      </c>
      <c r="D837" s="419">
        <v>3.15</v>
      </c>
      <c r="E837" s="4">
        <f t="shared" si="76"/>
        <v>60</v>
      </c>
    </row>
    <row r="838" spans="2:5">
      <c r="B838" t="s">
        <v>1433</v>
      </c>
      <c r="C838" s="4">
        <v>128.150581068821</v>
      </c>
      <c r="D838" s="419">
        <v>1.931</v>
      </c>
      <c r="E838" s="4">
        <f t="shared" si="76"/>
        <v>66.364878854904703</v>
      </c>
    </row>
    <row r="839" spans="2:5">
      <c r="B839" t="s">
        <v>1434</v>
      </c>
      <c r="C839" s="4">
        <v>289.09580000000005</v>
      </c>
      <c r="D839" s="419">
        <v>3.6760000000000002</v>
      </c>
      <c r="E839" s="4">
        <f t="shared" si="76"/>
        <v>78.644124047878137</v>
      </c>
    </row>
    <row r="840" spans="2:5">
      <c r="B840" t="s">
        <v>1435</v>
      </c>
      <c r="C840" s="4">
        <v>444.4511320390838</v>
      </c>
      <c r="D840" s="419">
        <v>2.9631474432</v>
      </c>
      <c r="E840" s="4">
        <f t="shared" si="76"/>
        <v>149.99291819211888</v>
      </c>
    </row>
    <row r="841" spans="2:5">
      <c r="B841" t="s">
        <v>1436</v>
      </c>
      <c r="C841" s="4">
        <v>516.04560537807072</v>
      </c>
      <c r="D841" s="419">
        <v>12.753299999999999</v>
      </c>
      <c r="E841" s="4">
        <f t="shared" si="76"/>
        <v>40.463692172070814</v>
      </c>
    </row>
    <row r="842" spans="2:5">
      <c r="B842" t="s">
        <v>1437</v>
      </c>
      <c r="C842" s="4">
        <v>2206.6408117712194</v>
      </c>
      <c r="D842" s="419">
        <v>13.917399999999999</v>
      </c>
      <c r="E842" s="4">
        <f t="shared" si="76"/>
        <v>158.55266154391046</v>
      </c>
    </row>
    <row r="843" spans="2:5">
      <c r="B843" t="s">
        <v>1438</v>
      </c>
      <c r="C843" s="4">
        <v>388.82234697115393</v>
      </c>
      <c r="D843" s="419">
        <v>4.282</v>
      </c>
      <c r="E843" s="4">
        <f t="shared" si="76"/>
        <v>90.803911016149911</v>
      </c>
    </row>
    <row r="844" spans="2:5">
      <c r="B844" t="s">
        <v>1439</v>
      </c>
      <c r="C844" s="4">
        <v>1823.5127142045544</v>
      </c>
      <c r="D844" s="419">
        <v>12.932572697424845</v>
      </c>
      <c r="E844" s="4">
        <f t="shared" si="76"/>
        <v>141.00154368880177</v>
      </c>
    </row>
    <row r="845" spans="2:5">
      <c r="B845" t="s">
        <v>1440</v>
      </c>
      <c r="C845" s="4">
        <v>6416.2676407130612</v>
      </c>
      <c r="D845" s="419">
        <v>55.934953529955862</v>
      </c>
      <c r="E845" s="4">
        <f t="shared" si="76"/>
        <v>114.70944795327023</v>
      </c>
    </row>
    <row r="846" spans="2:5">
      <c r="B846" t="s">
        <v>1441</v>
      </c>
      <c r="C846" s="4">
        <v>800.24324729824548</v>
      </c>
      <c r="D846" s="419">
        <v>5.1791866805153903</v>
      </c>
      <c r="E846" s="4">
        <f t="shared" si="76"/>
        <v>154.51137343800318</v>
      </c>
    </row>
    <row r="847" spans="2:5">
      <c r="B847" t="s">
        <v>1442</v>
      </c>
      <c r="C847" s="4">
        <v>4107.4196054136482</v>
      </c>
      <c r="D847" s="419">
        <v>30.914537853705845</v>
      </c>
      <c r="E847" s="4">
        <f t="shared" si="76"/>
        <v>132.86369101976649</v>
      </c>
    </row>
    <row r="851" spans="2:8">
      <c r="B851" t="s">
        <v>1443</v>
      </c>
      <c r="C851" s="42"/>
      <c r="D851" s="423" t="s">
        <v>467</v>
      </c>
      <c r="E851" s="42"/>
      <c r="F851" s="423" t="s">
        <v>557</v>
      </c>
      <c r="G851" s="42"/>
      <c r="H851" s="423" t="s">
        <v>1141</v>
      </c>
    </row>
    <row r="853" spans="2:8">
      <c r="B853" t="s">
        <v>1444</v>
      </c>
      <c r="C853" s="421" t="s">
        <v>1445</v>
      </c>
      <c r="E853" s="421" t="s">
        <v>52</v>
      </c>
      <c r="F853" t="s">
        <v>52</v>
      </c>
      <c r="H853" t="s">
        <v>48</v>
      </c>
    </row>
    <row r="855" spans="2:8">
      <c r="B855" t="s">
        <v>1446</v>
      </c>
      <c r="C855" t="s">
        <v>1067</v>
      </c>
      <c r="E855" t="s">
        <v>1067</v>
      </c>
      <c r="F855" t="s">
        <v>1067</v>
      </c>
      <c r="H855" t="s">
        <v>1067</v>
      </c>
    </row>
    <row r="858" spans="2:8">
      <c r="B858" t="s">
        <v>1443</v>
      </c>
      <c r="D858" s="423" t="s">
        <v>1447</v>
      </c>
      <c r="E858" s="42"/>
      <c r="G858" s="423" t="s">
        <v>1448</v>
      </c>
    </row>
    <row r="860" spans="2:8">
      <c r="B860" t="s">
        <v>1444</v>
      </c>
      <c r="D860" t="s">
        <v>1449</v>
      </c>
      <c r="F860" s="421" t="s">
        <v>1104</v>
      </c>
      <c r="H860" s="421" t="s">
        <v>1450</v>
      </c>
    </row>
    <row r="862" spans="2:8">
      <c r="B862" t="s">
        <v>1446</v>
      </c>
      <c r="D862" t="s">
        <v>1451</v>
      </c>
      <c r="F862" t="s">
        <v>1452</v>
      </c>
      <c r="H862" t="s">
        <v>1453</v>
      </c>
    </row>
    <row r="865" spans="2:10">
      <c r="B865" s="61"/>
      <c r="C865" s="130" t="s">
        <v>1454</v>
      </c>
      <c r="D865" s="130" t="s">
        <v>6</v>
      </c>
      <c r="E865" s="130" t="s">
        <v>1455</v>
      </c>
    </row>
    <row r="866" spans="2:10">
      <c r="B866" t="s">
        <v>817</v>
      </c>
      <c r="C866" s="419">
        <f>D836</f>
        <v>7.6</v>
      </c>
      <c r="D866" s="419">
        <v>12.5</v>
      </c>
      <c r="E866" s="8">
        <f t="shared" ref="E866:E872" si="77">D866/C866-1</f>
        <v>0.64473684210526327</v>
      </c>
    </row>
    <row r="867" spans="2:10">
      <c r="B867" t="s">
        <v>836</v>
      </c>
      <c r="C867">
        <v>5.9130000000000003</v>
      </c>
      <c r="D867" s="419">
        <f>Interims!AG263/1000</f>
        <v>9.529399999999999</v>
      </c>
      <c r="E867" s="8">
        <f t="shared" si="77"/>
        <v>0.61160155589379306</v>
      </c>
    </row>
    <row r="868" spans="2:10">
      <c r="B868" t="s">
        <v>822</v>
      </c>
      <c r="C868" s="419">
        <v>3.2570000000000001</v>
      </c>
      <c r="D868" s="419">
        <f>D867/D869</f>
        <v>5.2489862675460843</v>
      </c>
      <c r="E868" s="8">
        <f t="shared" si="77"/>
        <v>0.61160155589379306</v>
      </c>
    </row>
    <row r="869" spans="2:10">
      <c r="B869" t="s">
        <v>1456</v>
      </c>
      <c r="C869" s="151">
        <f>C867/C868</f>
        <v>1.815474362910654</v>
      </c>
      <c r="D869" s="151">
        <f>C869</f>
        <v>1.815474362910654</v>
      </c>
      <c r="E869" s="8">
        <f t="shared" si="77"/>
        <v>0</v>
      </c>
    </row>
    <row r="870" spans="2:10">
      <c r="B870" t="s">
        <v>1457</v>
      </c>
      <c r="C870" s="122">
        <v>3435</v>
      </c>
      <c r="D870" s="122">
        <f>Interims!AG14</f>
        <v>7802.1</v>
      </c>
      <c r="E870" s="8">
        <f t="shared" si="77"/>
        <v>1.2713537117903932</v>
      </c>
    </row>
    <row r="871" spans="2:10">
      <c r="B871" t="s">
        <v>1458</v>
      </c>
      <c r="C871" s="4">
        <f>C870/3/C867</f>
        <v>193.64112971418908</v>
      </c>
      <c r="D871" s="4">
        <f>D870/3/D867</f>
        <v>272.91329989296287</v>
      </c>
      <c r="E871" s="8">
        <f t="shared" si="77"/>
        <v>0.40937671813719589</v>
      </c>
    </row>
    <row r="872" spans="2:10">
      <c r="B872" t="s">
        <v>1459</v>
      </c>
      <c r="C872" s="122">
        <v>1596</v>
      </c>
      <c r="D872" s="122">
        <f>Interims!AG32</f>
        <v>3294.2</v>
      </c>
      <c r="E872" s="8">
        <f t="shared" si="77"/>
        <v>1.0640350877192981</v>
      </c>
    </row>
    <row r="873" spans="2:10">
      <c r="B873" t="s">
        <v>548</v>
      </c>
      <c r="C873" s="10">
        <f>C872/C870</f>
        <v>0.46462882096069869</v>
      </c>
      <c r="D873" s="10">
        <f>D872/D870</f>
        <v>0.42221965880980755</v>
      </c>
    </row>
    <row r="875" spans="2:10">
      <c r="B875" t="s">
        <v>1460</v>
      </c>
    </row>
    <row r="877" spans="2:10">
      <c r="C877">
        <v>2013</v>
      </c>
      <c r="D877">
        <f t="shared" ref="D877:J877" si="78">C877+1</f>
        <v>2014</v>
      </c>
      <c r="E877">
        <f t="shared" si="78"/>
        <v>2015</v>
      </c>
      <c r="F877">
        <f t="shared" si="78"/>
        <v>2016</v>
      </c>
      <c r="G877">
        <f t="shared" si="78"/>
        <v>2017</v>
      </c>
      <c r="H877">
        <f t="shared" si="78"/>
        <v>2018</v>
      </c>
      <c r="I877">
        <f t="shared" si="78"/>
        <v>2019</v>
      </c>
      <c r="J877">
        <f t="shared" si="78"/>
        <v>2020</v>
      </c>
    </row>
    <row r="878" spans="2:10">
      <c r="C878" s="8">
        <f>AVERAGE(Interims!CP14:CS14)</f>
        <v>9.9988408040843024E-2</v>
      </c>
      <c r="D878" s="8">
        <f>AVERAGE(Interims!CU14:CX14)</f>
        <v>0.14228670095750418</v>
      </c>
      <c r="E878" s="8">
        <f>AVERAGE(Interims!CZ14:DC14)</f>
        <v>0.12324170529420775</v>
      </c>
      <c r="F878" s="8">
        <f>Cable!K245</f>
        <v>0.11946307782493171</v>
      </c>
      <c r="G878" s="8">
        <f>Cable!L245</f>
        <v>3.6260331874224061E-2</v>
      </c>
      <c r="H878" s="8">
        <f>Cable!M245</f>
        <v>9.6374969740982808E-2</v>
      </c>
      <c r="I878" s="8">
        <f>Cable!N245</f>
        <v>0.15093975105566759</v>
      </c>
      <c r="J878" s="8">
        <f>Cable!O245</f>
        <v>8.7887871085319702E-2</v>
      </c>
    </row>
    <row r="897" spans="2:7">
      <c r="B897" s="424" t="s">
        <v>1461</v>
      </c>
      <c r="C897" s="424"/>
    </row>
    <row r="898" spans="2:7">
      <c r="B898" s="2" t="s">
        <v>1462</v>
      </c>
    </row>
    <row r="899" spans="2:7">
      <c r="B899" t="s">
        <v>1463</v>
      </c>
    </row>
    <row r="901" spans="2:7">
      <c r="B901" t="s">
        <v>1464</v>
      </c>
    </row>
    <row r="902" spans="2:7">
      <c r="B902" t="s">
        <v>1465</v>
      </c>
    </row>
    <row r="904" spans="2:7">
      <c r="B904" t="s">
        <v>1466</v>
      </c>
      <c r="C904">
        <v>3.85</v>
      </c>
      <c r="D904" t="s">
        <v>138</v>
      </c>
    </row>
    <row r="905" spans="2:7">
      <c r="C905" s="61">
        <v>8.4499999999999993</v>
      </c>
      <c r="D905" s="61" t="s">
        <v>66</v>
      </c>
      <c r="F905">
        <v>11.5</v>
      </c>
      <c r="G905" s="419">
        <f>C905*100/F905</f>
        <v>73.478260869565204</v>
      </c>
    </row>
    <row r="906" spans="2:7">
      <c r="C906" s="151">
        <f>C904+C905</f>
        <v>12.299999999999999</v>
      </c>
      <c r="D906" t="s">
        <v>65</v>
      </c>
    </row>
    <row r="908" spans="2:7">
      <c r="B908" t="s">
        <v>1467</v>
      </c>
      <c r="C908" s="151">
        <f>Univision!C112/1000</f>
        <v>3.306959747228253</v>
      </c>
    </row>
    <row r="910" spans="2:7">
      <c r="B910" s="2" t="s">
        <v>1468</v>
      </c>
    </row>
    <row r="911" spans="2:7">
      <c r="B911" t="s">
        <v>1469</v>
      </c>
    </row>
    <row r="913" spans="2:7">
      <c r="B913" s="425">
        <v>40878</v>
      </c>
    </row>
    <row r="914" spans="2:7">
      <c r="B914" t="s">
        <v>1470</v>
      </c>
    </row>
    <row r="915" spans="2:7">
      <c r="B915" s="425">
        <v>41122</v>
      </c>
    </row>
    <row r="916" spans="2:7">
      <c r="B916" t="s">
        <v>1471</v>
      </c>
    </row>
    <row r="917" spans="2:7">
      <c r="B917" s="425">
        <v>41640</v>
      </c>
    </row>
    <row r="918" spans="2:7">
      <c r="B918" t="s">
        <v>1472</v>
      </c>
      <c r="D918" t="s">
        <v>1473</v>
      </c>
      <c r="G918">
        <f>125/0.05</f>
        <v>2500</v>
      </c>
    </row>
    <row r="919" spans="2:7">
      <c r="B919" s="426" t="s">
        <v>1474</v>
      </c>
    </row>
    <row r="920" spans="2:7">
      <c r="B920" s="425">
        <v>42186</v>
      </c>
    </row>
    <row r="921" spans="2:7">
      <c r="B921" t="s">
        <v>1475</v>
      </c>
    </row>
    <row r="922" spans="2:7">
      <c r="B922" t="s">
        <v>1476</v>
      </c>
    </row>
    <row r="924" spans="2:7">
      <c r="B924" t="s">
        <v>1466</v>
      </c>
    </row>
    <row r="925" spans="2:7">
      <c r="C925">
        <v>1255</v>
      </c>
    </row>
    <row r="926" spans="2:7">
      <c r="C926">
        <v>49.1</v>
      </c>
    </row>
    <row r="927" spans="2:7">
      <c r="C927">
        <v>22.5</v>
      </c>
    </row>
    <row r="928" spans="2:7">
      <c r="C928">
        <v>125</v>
      </c>
    </row>
    <row r="929" spans="2:3">
      <c r="B929" s="61"/>
      <c r="C929" s="61">
        <v>135.1</v>
      </c>
    </row>
    <row r="930" spans="2:3">
      <c r="B930" t="s">
        <v>1477</v>
      </c>
      <c r="C930">
        <f>SUM(C925:C929)</f>
        <v>1586.6999999999998</v>
      </c>
    </row>
    <row r="932" spans="2:3">
      <c r="B932" t="s">
        <v>1478</v>
      </c>
      <c r="C932" s="10">
        <f>100%-40%-1.5%</f>
        <v>0.58499999999999996</v>
      </c>
    </row>
    <row r="934" spans="2:3">
      <c r="B934" s="2" t="s">
        <v>1479</v>
      </c>
    </row>
    <row r="935" spans="2:3">
      <c r="B935" t="s">
        <v>1480</v>
      </c>
      <c r="C935">
        <f>C904</f>
        <v>3.85</v>
      </c>
    </row>
    <row r="936" spans="2:3">
      <c r="C936" s="8"/>
    </row>
    <row r="937" spans="2:3">
      <c r="B937" t="s">
        <v>1481</v>
      </c>
      <c r="C937" s="549">
        <f>SOP!AJ13</f>
        <v>0</v>
      </c>
    </row>
    <row r="938" spans="2:3">
      <c r="B938" t="s">
        <v>1482</v>
      </c>
      <c r="C938" s="427">
        <f>SOP!AJ14/1000</f>
        <v>0</v>
      </c>
    </row>
    <row r="939" spans="2:3">
      <c r="B939" t="s">
        <v>1483</v>
      </c>
      <c r="C939" s="419">
        <f>C937*C938</f>
        <v>0</v>
      </c>
    </row>
    <row r="940" spans="2:3">
      <c r="B940" t="s">
        <v>1484</v>
      </c>
      <c r="C940" s="419">
        <f>Univision!AO257/1000</f>
        <v>7.2692999999999994</v>
      </c>
    </row>
    <row r="941" spans="2:3">
      <c r="B941" t="s">
        <v>79</v>
      </c>
      <c r="C941" s="419">
        <f>C939-C940</f>
        <v>-7.2692999999999994</v>
      </c>
    </row>
    <row r="942" spans="2:3">
      <c r="B942" t="s">
        <v>1485</v>
      </c>
      <c r="C942" s="428">
        <v>0.625</v>
      </c>
    </row>
    <row r="943" spans="2:3">
      <c r="B943" t="s">
        <v>1486</v>
      </c>
      <c r="C943" s="419">
        <f>C941*C942</f>
        <v>-4.5433124999999999</v>
      </c>
    </row>
    <row r="946" spans="2:16">
      <c r="B946" t="s">
        <v>1487</v>
      </c>
      <c r="D946">
        <v>2007</v>
      </c>
      <c r="E946">
        <v>2008</v>
      </c>
      <c r="F946">
        <v>2009</v>
      </c>
      <c r="G946">
        <v>2010</v>
      </c>
      <c r="H946">
        <f t="shared" ref="H946:M946" si="79">G946+1</f>
        <v>2011</v>
      </c>
      <c r="I946">
        <f t="shared" si="79"/>
        <v>2012</v>
      </c>
      <c r="J946">
        <f t="shared" si="79"/>
        <v>2013</v>
      </c>
      <c r="K946">
        <f t="shared" si="79"/>
        <v>2014</v>
      </c>
      <c r="L946">
        <f t="shared" si="79"/>
        <v>2015</v>
      </c>
      <c r="M946">
        <f t="shared" si="79"/>
        <v>2016</v>
      </c>
      <c r="N946">
        <v>2017</v>
      </c>
      <c r="O946">
        <v>2018</v>
      </c>
    </row>
    <row r="947" spans="2:16">
      <c r="B947" t="s">
        <v>271</v>
      </c>
      <c r="D947">
        <f>C905*1000</f>
        <v>8450</v>
      </c>
      <c r="E947" s="397">
        <f>D947+200</f>
        <v>8650</v>
      </c>
      <c r="F947" s="397">
        <f>E947+200</f>
        <v>8850</v>
      </c>
      <c r="G947" s="4">
        <v>8935</v>
      </c>
      <c r="H947" s="4">
        <v>9193.1999999999989</v>
      </c>
      <c r="I947" s="4">
        <v>9160.4000000000015</v>
      </c>
      <c r="J947" s="4">
        <v>9509.2000000000007</v>
      </c>
      <c r="K947" s="4">
        <v>9265.1999999999989</v>
      </c>
      <c r="L947" s="4">
        <v>9311.9000000000015</v>
      </c>
      <c r="M947" s="4">
        <f>Univision!I96</f>
        <v>8854</v>
      </c>
      <c r="N947" s="4">
        <f>Univision!J96</f>
        <v>7977.2999999999993</v>
      </c>
      <c r="O947" s="4">
        <f>Univision!K96</f>
        <v>7430.2999999999993</v>
      </c>
    </row>
    <row r="948" spans="2:16">
      <c r="B948" t="s">
        <v>1488</v>
      </c>
      <c r="E948">
        <f t="shared" ref="E948:O948" si="80">D947-E947</f>
        <v>-200</v>
      </c>
      <c r="F948">
        <f t="shared" si="80"/>
        <v>-200</v>
      </c>
      <c r="G948">
        <f t="shared" si="80"/>
        <v>-85</v>
      </c>
      <c r="H948">
        <f t="shared" si="80"/>
        <v>-258.19999999999891</v>
      </c>
      <c r="I948">
        <f t="shared" si="80"/>
        <v>32.799999999997453</v>
      </c>
      <c r="J948">
        <f t="shared" si="80"/>
        <v>-348.79999999999927</v>
      </c>
      <c r="K948">
        <f t="shared" si="80"/>
        <v>244.00000000000182</v>
      </c>
      <c r="L948">
        <f t="shared" si="80"/>
        <v>-46.700000000002547</v>
      </c>
      <c r="M948">
        <f t="shared" si="80"/>
        <v>457.90000000000146</v>
      </c>
      <c r="N948">
        <f t="shared" si="80"/>
        <v>876.70000000000073</v>
      </c>
      <c r="O948">
        <f t="shared" si="80"/>
        <v>547</v>
      </c>
      <c r="P948" s="4">
        <f>SUM(D948:O948)</f>
        <v>1019.7000000000007</v>
      </c>
    </row>
    <row r="949" spans="2:16">
      <c r="B949" t="s">
        <v>1489</v>
      </c>
      <c r="D949">
        <v>0</v>
      </c>
      <c r="E949">
        <v>0</v>
      </c>
      <c r="F949">
        <v>0</v>
      </c>
      <c r="G949">
        <f>C925</f>
        <v>1255</v>
      </c>
      <c r="H949">
        <f>C926</f>
        <v>49.1</v>
      </c>
      <c r="I949">
        <f>C927</f>
        <v>22.5</v>
      </c>
      <c r="J949">
        <v>0</v>
      </c>
      <c r="K949">
        <f>C928</f>
        <v>125</v>
      </c>
      <c r="L949">
        <f>C929</f>
        <v>135.1</v>
      </c>
      <c r="M949" s="4"/>
      <c r="P949" s="4">
        <f>SUM(D949:M949)</f>
        <v>1586.6999999999998</v>
      </c>
    </row>
    <row r="950" spans="2:16">
      <c r="G950" s="4"/>
      <c r="P950" s="6">
        <f>P948+P949</f>
        <v>2606.4000000000005</v>
      </c>
    </row>
    <row r="951" spans="2:16">
      <c r="G951" s="4"/>
      <c r="P951" s="4"/>
    </row>
    <row r="952" spans="2:16" ht="15.75">
      <c r="B952" s="217"/>
      <c r="C952" s="217"/>
      <c r="D952" s="217">
        <f t="shared" ref="D952:O952" si="81">D946</f>
        <v>2007</v>
      </c>
      <c r="E952" s="217">
        <f t="shared" si="81"/>
        <v>2008</v>
      </c>
      <c r="F952" s="217">
        <f t="shared" si="81"/>
        <v>2009</v>
      </c>
      <c r="G952" s="217">
        <f t="shared" si="81"/>
        <v>2010</v>
      </c>
      <c r="H952" s="217">
        <f t="shared" si="81"/>
        <v>2011</v>
      </c>
      <c r="I952" s="217">
        <f t="shared" si="81"/>
        <v>2012</v>
      </c>
      <c r="J952" s="217">
        <f t="shared" si="81"/>
        <v>2013</v>
      </c>
      <c r="K952" s="217">
        <f t="shared" si="81"/>
        <v>2014</v>
      </c>
      <c r="L952" s="217">
        <f t="shared" si="81"/>
        <v>2015</v>
      </c>
      <c r="M952" s="217">
        <f t="shared" si="81"/>
        <v>2016</v>
      </c>
      <c r="N952" s="217">
        <f t="shared" si="81"/>
        <v>2017</v>
      </c>
      <c r="O952" s="217">
        <f t="shared" si="81"/>
        <v>2018</v>
      </c>
      <c r="P952" s="388" t="s">
        <v>1467</v>
      </c>
    </row>
    <row r="953" spans="2:16" ht="15.75">
      <c r="B953" s="66" t="s">
        <v>1490</v>
      </c>
      <c r="C953" s="571" t="e">
        <f>(IRR(D953:P953))</f>
        <v>#VALUE!</v>
      </c>
      <c r="D953" s="125">
        <f>-C904*1000</f>
        <v>-3850</v>
      </c>
      <c r="E953" s="125">
        <f t="shared" ref="E953:O953" si="82">E949</f>
        <v>0</v>
      </c>
      <c r="F953" s="125">
        <f t="shared" si="82"/>
        <v>0</v>
      </c>
      <c r="G953" s="125">
        <f t="shared" si="82"/>
        <v>1255</v>
      </c>
      <c r="H953" s="125">
        <f t="shared" si="82"/>
        <v>49.1</v>
      </c>
      <c r="I953" s="125">
        <f t="shared" si="82"/>
        <v>22.5</v>
      </c>
      <c r="J953" s="125">
        <f t="shared" si="82"/>
        <v>0</v>
      </c>
      <c r="K953" s="125">
        <f t="shared" si="82"/>
        <v>125</v>
      </c>
      <c r="L953" s="125">
        <f t="shared" si="82"/>
        <v>135.1</v>
      </c>
      <c r="M953" s="125">
        <f t="shared" si="82"/>
        <v>0</v>
      </c>
      <c r="N953" s="125">
        <f t="shared" si="82"/>
        <v>0</v>
      </c>
      <c r="O953" s="125">
        <f t="shared" si="82"/>
        <v>0</v>
      </c>
      <c r="P953" s="125" t="e">
        <f>SOP!#REF!</f>
        <v>#REF!</v>
      </c>
    </row>
    <row r="954" spans="2:16">
      <c r="D954" s="4"/>
    </row>
    <row r="955" spans="2:16">
      <c r="D955" s="4"/>
    </row>
    <row r="956" spans="2:16">
      <c r="D956" s="4"/>
    </row>
    <row r="957" spans="2:16">
      <c r="B957" t="s">
        <v>373</v>
      </c>
      <c r="C957" t="s">
        <v>1491</v>
      </c>
      <c r="D957" s="4">
        <f>P950/(1+B958)^9</f>
        <v>1912.3964059150107</v>
      </c>
    </row>
    <row r="958" spans="2:16">
      <c r="B958" s="429">
        <v>3.5000000000000003E-2</v>
      </c>
      <c r="C958" t="s">
        <v>1492</v>
      </c>
      <c r="D958" s="4">
        <f>C935*1000</f>
        <v>3850</v>
      </c>
    </row>
    <row r="959" spans="2:16">
      <c r="D959" s="4">
        <f>D957-D958</f>
        <v>-1937.6035940849893</v>
      </c>
    </row>
    <row r="961" spans="2:12">
      <c r="B961" t="s">
        <v>78</v>
      </c>
    </row>
    <row r="964" spans="2:12">
      <c r="B964" s="1539" t="s">
        <v>1493</v>
      </c>
      <c r="C964" s="2199"/>
      <c r="D964" s="2200" t="s">
        <v>1494</v>
      </c>
      <c r="E964" s="2200"/>
      <c r="F964" s="2199"/>
      <c r="G964" s="2200" t="s">
        <v>1495</v>
      </c>
      <c r="H964" s="2199"/>
      <c r="I964" s="2200" t="s">
        <v>1496</v>
      </c>
      <c r="J964" s="2199"/>
      <c r="K964" s="2200" t="s">
        <v>1497</v>
      </c>
      <c r="L964" s="2199"/>
    </row>
    <row r="965" spans="2:12" ht="15.75" thickBot="1">
      <c r="B965" s="1540"/>
      <c r="C965" s="2199"/>
      <c r="D965" s="2201" t="s">
        <v>1498</v>
      </c>
      <c r="E965" s="2201"/>
      <c r="F965" s="2199"/>
      <c r="G965" s="2201"/>
      <c r="H965" s="2199"/>
      <c r="I965" s="2201"/>
      <c r="J965" s="2199"/>
      <c r="K965" s="2201"/>
      <c r="L965" s="2199"/>
    </row>
    <row r="966" spans="2:12" ht="14.45" customHeight="1">
      <c r="B966" s="432" t="s">
        <v>1499</v>
      </c>
      <c r="C966" s="433"/>
      <c r="D966" s="434" t="s">
        <v>1500</v>
      </c>
      <c r="E966" s="436">
        <v>8652</v>
      </c>
      <c r="F966" s="433"/>
      <c r="G966" s="437">
        <v>6</v>
      </c>
      <c r="H966" s="434" t="s">
        <v>379</v>
      </c>
      <c r="I966" s="437" t="s">
        <v>1501</v>
      </c>
      <c r="J966" s="433"/>
      <c r="K966" s="437">
        <v>2018</v>
      </c>
      <c r="L966" s="433"/>
    </row>
    <row r="967" spans="2:12" ht="14.45" customHeight="1">
      <c r="B967" s="438" t="s">
        <v>1502</v>
      </c>
      <c r="C967" s="439"/>
      <c r="D967" s="2197">
        <v>5270.2</v>
      </c>
      <c r="E967" s="2197"/>
      <c r="F967" s="439"/>
      <c r="G967" s="441">
        <v>8.5</v>
      </c>
      <c r="H967" s="442" t="s">
        <v>379</v>
      </c>
      <c r="I967" s="441" t="s">
        <v>1501</v>
      </c>
      <c r="J967" s="439"/>
      <c r="K967" s="441">
        <v>2032</v>
      </c>
      <c r="L967" s="439"/>
    </row>
    <row r="968" spans="2:12" ht="14.45" customHeight="1">
      <c r="B968" s="432" t="s">
        <v>1503</v>
      </c>
      <c r="C968" s="433"/>
      <c r="D968" s="2196">
        <v>10169.1</v>
      </c>
      <c r="E968" s="2196"/>
      <c r="F968" s="433"/>
      <c r="G968" s="437">
        <v>6.625</v>
      </c>
      <c r="H968" s="434" t="s">
        <v>379</v>
      </c>
      <c r="I968" s="437" t="s">
        <v>1501</v>
      </c>
      <c r="J968" s="433"/>
      <c r="K968" s="437">
        <v>2025</v>
      </c>
      <c r="L968" s="433"/>
    </row>
    <row r="969" spans="2:12">
      <c r="B969" s="438" t="s">
        <v>1504</v>
      </c>
      <c r="C969" s="439"/>
      <c r="D969" s="2197">
        <v>4517.3999999999996</v>
      </c>
      <c r="E969" s="2197"/>
      <c r="F969" s="439"/>
      <c r="G969" s="441">
        <v>8.49</v>
      </c>
      <c r="H969" s="442" t="s">
        <v>379</v>
      </c>
      <c r="I969" s="441" t="s">
        <v>1505</v>
      </c>
      <c r="J969" s="439"/>
      <c r="K969" s="441">
        <v>2037</v>
      </c>
      <c r="L969" s="439"/>
    </row>
    <row r="970" spans="2:12" ht="14.45" customHeight="1">
      <c r="B970" s="432" t="s">
        <v>1503</v>
      </c>
      <c r="C970" s="433"/>
      <c r="D970" s="2196">
        <v>10492.8</v>
      </c>
      <c r="E970" s="2196"/>
      <c r="F970" s="433"/>
      <c r="G970" s="437">
        <v>6.625</v>
      </c>
      <c r="H970" s="434" t="s">
        <v>379</v>
      </c>
      <c r="I970" s="437" t="s">
        <v>1501</v>
      </c>
      <c r="J970" s="433"/>
      <c r="K970" s="437">
        <v>2040</v>
      </c>
      <c r="L970" s="433"/>
    </row>
    <row r="971" spans="2:12">
      <c r="B971" s="438" t="s">
        <v>1506</v>
      </c>
      <c r="C971" s="439"/>
      <c r="D971" s="2197">
        <v>6490.1</v>
      </c>
      <c r="E971" s="2197"/>
      <c r="F971" s="439"/>
      <c r="G971" s="441">
        <v>7.25</v>
      </c>
      <c r="H971" s="442" t="s">
        <v>379</v>
      </c>
      <c r="I971" s="441" t="s">
        <v>1505</v>
      </c>
      <c r="J971" s="439"/>
      <c r="K971" s="441">
        <v>2043</v>
      </c>
      <c r="L971" s="439"/>
    </row>
    <row r="972" spans="2:12" ht="14.45" customHeight="1">
      <c r="B972" s="432" t="s">
        <v>1507</v>
      </c>
      <c r="C972" s="433"/>
      <c r="D972" s="2196">
        <v>16842.8</v>
      </c>
      <c r="E972" s="2196"/>
      <c r="F972" s="433"/>
      <c r="G972" s="437">
        <v>5</v>
      </c>
      <c r="H972" s="434" t="s">
        <v>379</v>
      </c>
      <c r="I972" s="437" t="s">
        <v>1501</v>
      </c>
      <c r="J972" s="433"/>
      <c r="K972" s="437">
        <v>2045</v>
      </c>
      <c r="L972" s="433"/>
    </row>
    <row r="973" spans="2:12" ht="14.45" customHeight="1">
      <c r="B973" s="438" t="s">
        <v>1508</v>
      </c>
      <c r="C973" s="439"/>
      <c r="D973" s="2197">
        <v>5077.3</v>
      </c>
      <c r="E973" s="2197"/>
      <c r="F973" s="439"/>
      <c r="G973" s="441">
        <v>4.625</v>
      </c>
      <c r="H973" s="442" t="s">
        <v>379</v>
      </c>
      <c r="I973" s="441" t="s">
        <v>1501</v>
      </c>
      <c r="J973" s="439"/>
      <c r="K973" s="441">
        <v>2026</v>
      </c>
      <c r="L973" s="439"/>
    </row>
    <row r="974" spans="2:12" ht="14.45" customHeight="1">
      <c r="B974" s="432" t="s">
        <v>1509</v>
      </c>
      <c r="C974" s="433"/>
      <c r="D974" s="2196">
        <v>15508.2</v>
      </c>
      <c r="E974" s="2196"/>
      <c r="F974" s="433"/>
      <c r="G974" s="437">
        <v>6.125</v>
      </c>
      <c r="H974" s="434" t="s">
        <v>379</v>
      </c>
      <c r="I974" s="437" t="s">
        <v>1501</v>
      </c>
      <c r="J974" s="433"/>
      <c r="K974" s="437">
        <v>2046</v>
      </c>
      <c r="L974" s="433"/>
    </row>
    <row r="975" spans="2:12">
      <c r="B975" s="438" t="s">
        <v>1510</v>
      </c>
      <c r="C975" s="439"/>
      <c r="D975" s="2197">
        <v>10099.200000000001</v>
      </c>
      <c r="E975" s="2197"/>
      <c r="F975" s="439"/>
      <c r="G975" s="441">
        <v>7.38</v>
      </c>
      <c r="H975" s="442" t="s">
        <v>379</v>
      </c>
      <c r="I975" s="441" t="s">
        <v>1505</v>
      </c>
      <c r="J975" s="439"/>
      <c r="K975" s="441">
        <v>2020</v>
      </c>
      <c r="L975" s="439"/>
    </row>
    <row r="976" spans="2:12">
      <c r="B976" s="432" t="s">
        <v>1511</v>
      </c>
      <c r="C976" s="433"/>
      <c r="D976" s="2196">
        <v>5997.6</v>
      </c>
      <c r="E976" s="2196"/>
      <c r="F976" s="433"/>
      <c r="G976" s="437">
        <v>3.71</v>
      </c>
      <c r="H976" s="434" t="s">
        <v>379</v>
      </c>
      <c r="I976" s="437" t="s">
        <v>1505</v>
      </c>
      <c r="J976" s="433"/>
      <c r="K976" s="437">
        <v>2021</v>
      </c>
      <c r="L976" s="433"/>
    </row>
    <row r="977" spans="2:12">
      <c r="B977" s="438" t="s">
        <v>1511</v>
      </c>
      <c r="C977" s="439"/>
      <c r="D977" s="2197">
        <v>4994.2</v>
      </c>
      <c r="E977" s="2197"/>
      <c r="F977" s="439"/>
      <c r="G977" s="441">
        <v>3.78</v>
      </c>
      <c r="H977" s="442" t="s">
        <v>379</v>
      </c>
      <c r="I977" s="441" t="s">
        <v>1505</v>
      </c>
      <c r="J977" s="439"/>
      <c r="K977" s="441">
        <v>2022</v>
      </c>
      <c r="L977" s="439"/>
    </row>
    <row r="978" spans="2:12">
      <c r="B978" s="432" t="s">
        <v>1512</v>
      </c>
      <c r="C978" s="433"/>
      <c r="D978" s="2196">
        <v>1781.2</v>
      </c>
      <c r="E978" s="2196"/>
      <c r="F978" s="433"/>
      <c r="G978" s="437">
        <v>4.2510000000000003</v>
      </c>
      <c r="H978" s="434" t="s">
        <v>379</v>
      </c>
      <c r="I978" s="437" t="s">
        <v>1505</v>
      </c>
      <c r="J978" s="433"/>
      <c r="K978" s="437">
        <v>2016</v>
      </c>
      <c r="L978" s="433"/>
    </row>
    <row r="979" spans="2:12">
      <c r="B979" s="438" t="s">
        <v>1513</v>
      </c>
      <c r="C979" s="439"/>
      <c r="D979" s="2197">
        <v>2497.9</v>
      </c>
      <c r="E979" s="2197"/>
      <c r="F979" s="439"/>
      <c r="G979" s="441">
        <v>4.7279999999999998</v>
      </c>
      <c r="H979" s="442" t="s">
        <v>379</v>
      </c>
      <c r="I979" s="441" t="s">
        <v>1505</v>
      </c>
      <c r="J979" s="439"/>
      <c r="K979" s="441">
        <v>2018</v>
      </c>
      <c r="L979" s="439"/>
    </row>
    <row r="980" spans="2:12">
      <c r="B980" s="432" t="s">
        <v>1512</v>
      </c>
      <c r="C980" s="433"/>
      <c r="D980" s="2198">
        <v>499.8</v>
      </c>
      <c r="E980" s="2198"/>
      <c r="F980" s="433"/>
      <c r="G980" s="437">
        <v>3.8504999999999998</v>
      </c>
      <c r="H980" s="434" t="s">
        <v>379</v>
      </c>
      <c r="I980" s="437" t="s">
        <v>1505</v>
      </c>
      <c r="J980" s="433"/>
      <c r="K980" s="437">
        <v>2016</v>
      </c>
      <c r="L980" s="433"/>
    </row>
    <row r="981" spans="2:12">
      <c r="B981" s="438" t="s">
        <v>1514</v>
      </c>
      <c r="C981" s="439"/>
      <c r="D981" s="2195">
        <v>250.6</v>
      </c>
      <c r="E981" s="2195"/>
      <c r="F981" s="439"/>
      <c r="G981" s="441">
        <v>4.8475000000000001</v>
      </c>
      <c r="H981" s="442" t="s">
        <v>379</v>
      </c>
      <c r="I981" s="441" t="s">
        <v>1505</v>
      </c>
      <c r="J981" s="439"/>
      <c r="K981" s="441">
        <v>2020</v>
      </c>
      <c r="L981" s="439"/>
    </row>
    <row r="982" spans="2:12">
      <c r="B982" s="432" t="s">
        <v>1514</v>
      </c>
      <c r="C982" s="433"/>
      <c r="D982" s="2198">
        <v>249.5</v>
      </c>
      <c r="E982" s="2198"/>
      <c r="F982" s="433"/>
      <c r="G982" s="437">
        <v>4.7525000000000004</v>
      </c>
      <c r="H982" s="434" t="s">
        <v>379</v>
      </c>
      <c r="I982" s="437" t="s">
        <v>1505</v>
      </c>
      <c r="J982" s="433"/>
      <c r="K982" s="437">
        <v>2019</v>
      </c>
      <c r="L982" s="433"/>
    </row>
    <row r="983" spans="2:12">
      <c r="B983" s="438" t="s">
        <v>1515</v>
      </c>
      <c r="C983" s="439"/>
      <c r="D983" s="2197">
        <v>1489.2</v>
      </c>
      <c r="E983" s="2197"/>
      <c r="F983" s="439"/>
      <c r="G983" s="441">
        <v>4.6154000000000002</v>
      </c>
      <c r="H983" s="442" t="s">
        <v>379</v>
      </c>
      <c r="I983" s="441" t="s">
        <v>1505</v>
      </c>
      <c r="J983" s="439"/>
      <c r="K983" s="441">
        <v>2022</v>
      </c>
      <c r="L983" s="439"/>
    </row>
    <row r="984" spans="2:12">
      <c r="B984" s="432" t="s">
        <v>1516</v>
      </c>
      <c r="C984" s="433"/>
      <c r="D984" s="2198">
        <v>390.3</v>
      </c>
      <c r="E984" s="2198"/>
      <c r="F984" s="433"/>
      <c r="G984" s="437">
        <v>5.2525000000000004</v>
      </c>
      <c r="H984" s="434" t="s">
        <v>379</v>
      </c>
      <c r="I984" s="437" t="s">
        <v>1505</v>
      </c>
      <c r="J984" s="433"/>
      <c r="K984" s="437">
        <v>2019</v>
      </c>
      <c r="L984" s="433"/>
    </row>
    <row r="985" spans="2:12">
      <c r="B985" s="438" t="s">
        <v>1516</v>
      </c>
      <c r="C985" s="439"/>
      <c r="D985" s="2195">
        <v>299.8</v>
      </c>
      <c r="E985" s="2195"/>
      <c r="F985" s="439"/>
      <c r="G985" s="441">
        <v>4.75</v>
      </c>
      <c r="H985" s="442" t="s">
        <v>379</v>
      </c>
      <c r="I985" s="441" t="s">
        <v>1505</v>
      </c>
      <c r="J985" s="439"/>
      <c r="K985" s="441">
        <v>2019</v>
      </c>
      <c r="L985" s="439"/>
    </row>
    <row r="986" spans="2:12" ht="15.75" thickBot="1">
      <c r="B986" s="432" t="s">
        <v>1517</v>
      </c>
      <c r="C986" s="433"/>
      <c r="D986" s="2191">
        <v>25.6</v>
      </c>
      <c r="E986" s="2191"/>
      <c r="F986" s="433"/>
      <c r="G986" s="437">
        <v>5.91</v>
      </c>
      <c r="H986" s="434" t="s">
        <v>379</v>
      </c>
      <c r="I986" s="437" t="s">
        <v>1505</v>
      </c>
      <c r="J986" s="433"/>
      <c r="K986" s="437">
        <v>2017</v>
      </c>
      <c r="L986" s="433"/>
    </row>
    <row r="987" spans="2:12">
      <c r="B987" s="438" t="s">
        <v>1518</v>
      </c>
      <c r="C987" s="439"/>
      <c r="D987" s="2192">
        <v>111594.8</v>
      </c>
      <c r="E987" s="2192"/>
      <c r="F987" s="439"/>
      <c r="G987" s="443"/>
      <c r="H987" s="439"/>
      <c r="I987" s="443"/>
      <c r="J987" s="439"/>
      <c r="K987" s="441" t="s">
        <v>1519</v>
      </c>
      <c r="L987" s="442">
        <v>-6</v>
      </c>
    </row>
    <row r="988" spans="2:12" ht="25.5" customHeight="1" thickBot="1">
      <c r="B988" s="432" t="s">
        <v>1520</v>
      </c>
      <c r="C988" s="433"/>
      <c r="D988" s="2193">
        <v>4164.1000000000004</v>
      </c>
      <c r="E988" s="2193"/>
      <c r="F988" s="433"/>
      <c r="G988" s="444"/>
      <c r="H988" s="433"/>
      <c r="I988" s="444"/>
      <c r="J988" s="433"/>
      <c r="K988" s="437">
        <v>2016</v>
      </c>
      <c r="L988" s="433"/>
    </row>
    <row r="989" spans="2:12" ht="15.75" thickBot="1">
      <c r="B989" s="438" t="s">
        <v>1521</v>
      </c>
      <c r="C989" s="439"/>
      <c r="D989" s="445" t="s">
        <v>1500</v>
      </c>
      <c r="E989" s="446">
        <v>107430.7</v>
      </c>
      <c r="F989" s="439"/>
      <c r="G989" s="443"/>
      <c r="H989" s="439"/>
      <c r="I989" s="443"/>
      <c r="J989" s="439"/>
      <c r="K989" s="443"/>
      <c r="L989" s="439"/>
    </row>
    <row r="990" spans="2:12" ht="15.75" thickTop="1">
      <c r="B990" s="447" t="s">
        <v>1522</v>
      </c>
      <c r="C990" s="433"/>
      <c r="D990" s="2194"/>
      <c r="E990" s="2194"/>
      <c r="F990" s="433"/>
      <c r="G990" s="444"/>
      <c r="H990" s="433"/>
      <c r="I990" s="444"/>
      <c r="J990" s="433"/>
      <c r="K990" s="444"/>
      <c r="L990" s="433"/>
    </row>
    <row r="991" spans="2:12" ht="25.5">
      <c r="B991" s="438" t="s">
        <v>1523</v>
      </c>
      <c r="C991" s="439"/>
      <c r="D991" s="442" t="s">
        <v>1500</v>
      </c>
      <c r="E991" s="440">
        <v>4879.8999999999996</v>
      </c>
      <c r="F991" s="439"/>
      <c r="G991" s="441">
        <v>7.3</v>
      </c>
      <c r="H991" s="442" t="s">
        <v>379</v>
      </c>
      <c r="I991" s="441" t="s">
        <v>1501</v>
      </c>
      <c r="J991" s="439"/>
      <c r="K991" s="441">
        <v>2027</v>
      </c>
      <c r="L991" s="439"/>
    </row>
    <row r="992" spans="2:12" ht="26.25" thickBot="1">
      <c r="B992" s="432" t="s">
        <v>1524</v>
      </c>
      <c r="C992" s="433"/>
      <c r="D992" s="2191">
        <v>925.2</v>
      </c>
      <c r="E992" s="2191"/>
      <c r="F992" s="433"/>
      <c r="G992" s="437">
        <v>7.1040000000000001</v>
      </c>
      <c r="H992" s="434" t="s">
        <v>379</v>
      </c>
      <c r="I992" s="437" t="s">
        <v>1525</v>
      </c>
      <c r="J992" s="433"/>
      <c r="K992" s="437" t="s">
        <v>1526</v>
      </c>
      <c r="L992" s="433"/>
    </row>
    <row r="993" spans="2:15">
      <c r="B993" s="438" t="s">
        <v>1527</v>
      </c>
      <c r="C993" s="439"/>
      <c r="D993" s="2192">
        <v>5805.1</v>
      </c>
      <c r="E993" s="2192"/>
      <c r="F993" s="439"/>
      <c r="G993" s="443"/>
      <c r="H993" s="439"/>
      <c r="I993" s="443"/>
      <c r="J993" s="439"/>
      <c r="K993" s="443"/>
      <c r="L993" s="439"/>
    </row>
    <row r="994" spans="2:15" ht="15.75" thickBot="1">
      <c r="B994" s="432" t="s">
        <v>1528</v>
      </c>
      <c r="C994" s="433"/>
      <c r="D994" s="2191">
        <v>511.6</v>
      </c>
      <c r="E994" s="2191"/>
      <c r="F994" s="433"/>
      <c r="G994" s="444"/>
      <c r="H994" s="433"/>
      <c r="I994" s="444"/>
      <c r="J994" s="433"/>
      <c r="K994" s="437">
        <v>2016</v>
      </c>
      <c r="L994" s="433"/>
    </row>
    <row r="995" spans="2:15" ht="15.75" thickBot="1">
      <c r="B995" s="438" t="s">
        <v>1529</v>
      </c>
      <c r="C995" s="439"/>
      <c r="D995" s="445" t="s">
        <v>1500</v>
      </c>
      <c r="E995" s="446">
        <v>5293.6</v>
      </c>
      <c r="F995" s="439"/>
      <c r="G995" s="443"/>
      <c r="H995" s="439"/>
      <c r="I995" s="443"/>
      <c r="J995" s="439"/>
      <c r="K995" s="448"/>
    </row>
    <row r="996" spans="2:15" ht="15.75" thickTop="1"/>
    <row r="997" spans="2:15">
      <c r="B997" s="438" t="s">
        <v>1530</v>
      </c>
      <c r="E997" s="435">
        <f>E966+D967+D968+D970+D972+D973+D974</f>
        <v>72012.400000000009</v>
      </c>
      <c r="F997">
        <f>E997/19</f>
        <v>3790.1263157894741</v>
      </c>
    </row>
    <row r="998" spans="2:15">
      <c r="E998" s="8">
        <f>E997/D987</f>
        <v>0.64530246929068391</v>
      </c>
    </row>
    <row r="999" spans="2:15">
      <c r="B999" s="438" t="s">
        <v>100</v>
      </c>
      <c r="F999">
        <f>SOP!G16+SOP!G15</f>
        <v>1190.505509002171</v>
      </c>
    </row>
    <row r="1001" spans="2:15">
      <c r="B1001" s="424" t="s">
        <v>1531</v>
      </c>
      <c r="C1001" s="424"/>
    </row>
    <row r="1003" spans="2:15" ht="16.5">
      <c r="B1003" s="450" t="s">
        <v>1532</v>
      </c>
      <c r="C1003" s="115"/>
      <c r="D1003" s="115"/>
      <c r="E1003" s="115"/>
      <c r="F1003" s="115"/>
      <c r="G1003" s="450" t="s">
        <v>1533</v>
      </c>
      <c r="H1003" s="115"/>
      <c r="I1003" s="115"/>
      <c r="J1003" s="115"/>
      <c r="L1003" s="42" t="s">
        <v>1199</v>
      </c>
    </row>
    <row r="1004" spans="2:15" ht="16.5">
      <c r="B1004" s="408" t="s">
        <v>907</v>
      </c>
      <c r="C1004" s="408">
        <v>2016</v>
      </c>
      <c r="D1004" s="408">
        <f>C1004+1</f>
        <v>2017</v>
      </c>
      <c r="E1004" s="408">
        <f>D1004+1</f>
        <v>2018</v>
      </c>
      <c r="F1004" s="115"/>
      <c r="G1004" s="408" t="str">
        <f>B1004</f>
        <v>Revs</v>
      </c>
      <c r="H1004" s="408">
        <f>C1004</f>
        <v>2016</v>
      </c>
      <c r="I1004" s="408">
        <f>D1004</f>
        <v>2017</v>
      </c>
      <c r="J1004" s="408">
        <f>E1004</f>
        <v>2018</v>
      </c>
      <c r="L1004" s="61" t="s">
        <v>907</v>
      </c>
      <c r="M1004" s="61">
        <v>2016</v>
      </c>
      <c r="N1004" s="61">
        <f>M1004+1</f>
        <v>2017</v>
      </c>
      <c r="O1004" s="61">
        <f>N1004+1</f>
        <v>2018</v>
      </c>
    </row>
    <row r="1005" spans="2:15" ht="16.5">
      <c r="B1005" s="115" t="s">
        <v>1534</v>
      </c>
      <c r="C1005" s="454">
        <f>Master!O13</f>
        <v>23223.200000000001</v>
      </c>
      <c r="D1005" s="454">
        <f>Master!P13</f>
        <v>20719</v>
      </c>
      <c r="E1005" s="454">
        <f>Master!Q13</f>
        <v>21155</v>
      </c>
      <c r="F1005" s="115"/>
      <c r="G1005" s="115" t="str">
        <f t="shared" ref="G1005:G1010" si="83">B1005</f>
        <v>Dom Ad</v>
      </c>
      <c r="H1005" s="451">
        <f t="shared" ref="H1005:J1010" si="84">C1005/M1005-1</f>
        <v>1.3487144528380623E-2</v>
      </c>
      <c r="I1005" s="451">
        <f t="shared" si="84"/>
        <v>-0.11785270459214792</v>
      </c>
      <c r="J1005" s="451">
        <f t="shared" si="84"/>
        <v>-0.12125780463775515</v>
      </c>
      <c r="L1005" t="s">
        <v>1534</v>
      </c>
      <c r="M1005" s="122">
        <v>22914.1535</v>
      </c>
      <c r="N1005" s="122">
        <v>23487.007337499999</v>
      </c>
      <c r="O1005" s="122">
        <v>24074.182520937498</v>
      </c>
    </row>
    <row r="1006" spans="2:15" ht="16.5">
      <c r="B1006" s="115" t="s">
        <v>1535</v>
      </c>
      <c r="C1006" s="454">
        <f>Master!O14+Master!O15</f>
        <v>13463.5</v>
      </c>
      <c r="D1006" s="454">
        <f>Master!P14+Master!P15</f>
        <v>13278</v>
      </c>
      <c r="E1006" s="454">
        <f>Master!Q14+Master!Q15</f>
        <v>15362</v>
      </c>
      <c r="F1006" s="115"/>
      <c r="G1006" s="115" t="str">
        <f t="shared" si="83"/>
        <v>Other Content</v>
      </c>
      <c r="H1006" s="451">
        <f t="shared" si="84"/>
        <v>2.0532579703692377E-2</v>
      </c>
      <c r="I1006" s="451">
        <f t="shared" si="84"/>
        <v>3.2168074939337599E-2</v>
      </c>
      <c r="J1006" s="451">
        <f t="shared" si="84"/>
        <v>-5.831013654730488E-3</v>
      </c>
      <c r="L1006" t="s">
        <v>1535</v>
      </c>
      <c r="M1006" s="122">
        <v>13192.621448605858</v>
      </c>
      <c r="N1006" s="122">
        <v>12864.183966143666</v>
      </c>
      <c r="O1006" s="122">
        <v>15452.101414341305</v>
      </c>
    </row>
    <row r="1007" spans="2:15" ht="16.5">
      <c r="B1007" s="115" t="s">
        <v>1104</v>
      </c>
      <c r="C1007" s="454">
        <f>Master!O21</f>
        <v>31891.599999999999</v>
      </c>
      <c r="D1007" s="454">
        <f>Master!P21</f>
        <v>33048</v>
      </c>
      <c r="E1007" s="454">
        <f>Master!Q21</f>
        <v>36233</v>
      </c>
      <c r="F1007" s="115"/>
      <c r="G1007" s="115" t="str">
        <f t="shared" si="83"/>
        <v xml:space="preserve">Cable </v>
      </c>
      <c r="H1007" s="451">
        <f t="shared" si="84"/>
        <v>-9.3247098894408964E-3</v>
      </c>
      <c r="I1007" s="451">
        <f t="shared" si="84"/>
        <v>-0.11500215094003352</v>
      </c>
      <c r="J1007" s="451">
        <f t="shared" si="84"/>
        <v>-0.15627000870960372</v>
      </c>
      <c r="L1007" t="s">
        <v>1104</v>
      </c>
      <c r="M1007" s="122">
        <v>32191.778999999995</v>
      </c>
      <c r="N1007" s="122">
        <v>37342.463639999994</v>
      </c>
      <c r="O1007" s="122">
        <v>42943.833185999989</v>
      </c>
    </row>
    <row r="1008" spans="2:15" ht="16.5">
      <c r="B1008" s="115" t="s">
        <v>97</v>
      </c>
      <c r="C1008" s="454">
        <f>Master!O23</f>
        <v>21941.200000000001</v>
      </c>
      <c r="D1008" s="454">
        <f>Master!P23</f>
        <v>22197</v>
      </c>
      <c r="E1008" s="454">
        <f>Master!Q23</f>
        <v>22002</v>
      </c>
      <c r="F1008" s="115"/>
      <c r="G1008" s="115" t="str">
        <f t="shared" si="83"/>
        <v>SKY</v>
      </c>
      <c r="H1008" s="451">
        <f t="shared" si="84"/>
        <v>-7.2104244877837509E-3</v>
      </c>
      <c r="I1008" s="451">
        <f t="shared" si="84"/>
        <v>-6.9988301164083944E-2</v>
      </c>
      <c r="J1008" s="451">
        <f t="shared" si="84"/>
        <v>-0.13008235659779677</v>
      </c>
      <c r="L1008" t="s">
        <v>97</v>
      </c>
      <c r="M1008" s="122">
        <v>22100.554378484219</v>
      </c>
      <c r="N1008" s="122">
        <v>23867.44169754392</v>
      </c>
      <c r="O1008" s="122">
        <v>25292.049387515934</v>
      </c>
    </row>
    <row r="1009" spans="2:15" ht="16.5">
      <c r="B1009" s="408" t="s">
        <v>1536</v>
      </c>
      <c r="C1009" s="455">
        <f>Master!O25+Master!O27</f>
        <v>5763.9</v>
      </c>
      <c r="D1009" s="455">
        <f>Master!P25+Master!P27</f>
        <v>5033</v>
      </c>
      <c r="E1009" s="455">
        <f>Master!Q25+Master!Q27</f>
        <v>3824</v>
      </c>
      <c r="F1009" s="115"/>
      <c r="G1009" s="408" t="str">
        <f t="shared" si="83"/>
        <v xml:space="preserve">Other </v>
      </c>
      <c r="H1009" s="452">
        <f t="shared" si="84"/>
        <v>2.0650006680877908E-4</v>
      </c>
      <c r="I1009" s="452">
        <f t="shared" si="84"/>
        <v>-0.11239795342886738</v>
      </c>
      <c r="J1009" s="452">
        <f t="shared" si="84"/>
        <v>-0.30547288239318426</v>
      </c>
      <c r="L1009" s="61" t="s">
        <v>1536</v>
      </c>
      <c r="M1009" s="449">
        <v>5762.71</v>
      </c>
      <c r="N1009" s="449">
        <v>5670.3339288624029</v>
      </c>
      <c r="O1009" s="449">
        <v>5505.9045256240588</v>
      </c>
    </row>
    <row r="1010" spans="2:15" ht="16.5">
      <c r="B1010" s="115" t="s">
        <v>85</v>
      </c>
      <c r="C1010" s="454">
        <f>Master!O28</f>
        <v>96287.4</v>
      </c>
      <c r="D1010" s="454">
        <f>Master!P28</f>
        <v>94275</v>
      </c>
      <c r="E1010" s="454">
        <f>Master!Q28</f>
        <v>101310</v>
      </c>
      <c r="F1010" s="115"/>
      <c r="G1010" s="115" t="str">
        <f t="shared" si="83"/>
        <v>Total</v>
      </c>
      <c r="H1010" s="451">
        <f t="shared" si="84"/>
        <v>1.305941121898968E-3</v>
      </c>
      <c r="I1010" s="451">
        <f t="shared" si="84"/>
        <v>-8.6760694108296899E-2</v>
      </c>
      <c r="J1010" s="451">
        <f t="shared" si="84"/>
        <v>-0.10557318514575109</v>
      </c>
      <c r="L1010" t="s">
        <v>85</v>
      </c>
      <c r="M1010" s="122">
        <v>96161.818327090077</v>
      </c>
      <c r="N1010" s="122">
        <v>103231.43057005</v>
      </c>
      <c r="O1010" s="122">
        <v>113268.07103441878</v>
      </c>
    </row>
    <row r="1011" spans="2:15" ht="16.5">
      <c r="B1011" s="115"/>
      <c r="C1011" s="115"/>
      <c r="D1011" s="115"/>
      <c r="E1011" s="115"/>
      <c r="F1011" s="115"/>
      <c r="G1011" s="115"/>
      <c r="H1011" s="451"/>
      <c r="I1011" s="451"/>
      <c r="J1011" s="451"/>
    </row>
    <row r="1012" spans="2:15" ht="16.5">
      <c r="B1012" s="115" t="s">
        <v>34</v>
      </c>
      <c r="C1012" s="115"/>
      <c r="D1012" s="115"/>
      <c r="E1012" s="115"/>
      <c r="F1012" s="115"/>
      <c r="G1012" s="115" t="str">
        <f t="shared" ref="G1012:G1017" si="85">B1012</f>
        <v>EBITDA</v>
      </c>
      <c r="H1012" s="451"/>
      <c r="I1012" s="451"/>
      <c r="J1012" s="451"/>
      <c r="L1012" t="s">
        <v>34</v>
      </c>
    </row>
    <row r="1013" spans="2:15" ht="16.5">
      <c r="B1013" s="115" t="s">
        <v>94</v>
      </c>
      <c r="C1013" s="454">
        <f>Master!O53</f>
        <v>14748</v>
      </c>
      <c r="D1013" s="454">
        <f>Master!P53</f>
        <v>12825</v>
      </c>
      <c r="E1013" s="454">
        <f>Master!Q53</f>
        <v>14855</v>
      </c>
      <c r="F1013" s="115"/>
      <c r="G1013" s="115" t="str">
        <f t="shared" si="85"/>
        <v>Content</v>
      </c>
      <c r="H1013" s="451">
        <f t="shared" ref="H1013:J1017" si="86">C1013/M1013-1</f>
        <v>4.7321026849137748E-2</v>
      </c>
      <c r="I1013" s="451">
        <f t="shared" si="86"/>
        <v>-8.3614948587687477E-2</v>
      </c>
      <c r="J1013" s="451">
        <f t="shared" si="86"/>
        <v>-0.1051765028819388</v>
      </c>
      <c r="L1013" t="s">
        <v>94</v>
      </c>
      <c r="M1013" s="122">
        <v>14081.642229956286</v>
      </c>
      <c r="N1013" s="122">
        <v>13995.208651902813</v>
      </c>
      <c r="O1013" s="122">
        <v>16601.039252817096</v>
      </c>
    </row>
    <row r="1014" spans="2:15" ht="16.5">
      <c r="B1014" s="115" t="str">
        <f>B1007</f>
        <v xml:space="preserve">Cable </v>
      </c>
      <c r="C1014" s="454">
        <f>Master!O56</f>
        <v>13236.1</v>
      </c>
      <c r="D1014" s="454">
        <f>Master!P56</f>
        <v>14035</v>
      </c>
      <c r="E1014" s="454">
        <f>Master!Q56</f>
        <v>15303</v>
      </c>
      <c r="F1014" s="115"/>
      <c r="G1014" s="115" t="str">
        <f t="shared" si="85"/>
        <v xml:space="preserve">Cable </v>
      </c>
      <c r="H1014" s="451">
        <f t="shared" si="86"/>
        <v>-2.1038141150142242E-2</v>
      </c>
      <c r="I1014" s="451">
        <f t="shared" si="86"/>
        <v>-0.12594050573678395</v>
      </c>
      <c r="J1014" s="451">
        <f t="shared" si="86"/>
        <v>-0.19011548633986763</v>
      </c>
      <c r="L1014" t="str">
        <f>L1007</f>
        <v xml:space="preserve">Cable </v>
      </c>
      <c r="M1014" s="122">
        <v>13520.547179999998</v>
      </c>
      <c r="N1014" s="122">
        <v>16057.259365199998</v>
      </c>
      <c r="O1014" s="122">
        <v>18895.286601839995</v>
      </c>
    </row>
    <row r="1015" spans="2:15" ht="16.5">
      <c r="B1015" s="115" t="str">
        <f>B1008</f>
        <v>SKY</v>
      </c>
      <c r="C1015" s="454">
        <f>Master!O55</f>
        <v>9898.5</v>
      </c>
      <c r="D1015" s="454">
        <f>Master!P55</f>
        <v>10107</v>
      </c>
      <c r="E1015" s="454">
        <f>Master!Q55</f>
        <v>9767</v>
      </c>
      <c r="F1015" s="115"/>
      <c r="G1015" s="115" t="str">
        <f t="shared" si="85"/>
        <v>SKY</v>
      </c>
      <c r="H1015" s="451">
        <f t="shared" si="86"/>
        <v>-1.0199574774319209E-2</v>
      </c>
      <c r="I1015" s="451">
        <f t="shared" si="86"/>
        <v>-6.2095454407070649E-2</v>
      </c>
      <c r="J1015" s="451">
        <f t="shared" si="86"/>
        <v>-0.14279958777742841</v>
      </c>
      <c r="L1015" t="str">
        <f>L1008</f>
        <v>SKY</v>
      </c>
      <c r="M1015" s="122">
        <v>10000.500856264109</v>
      </c>
      <c r="N1015" s="122">
        <v>10776.14992644108</v>
      </c>
      <c r="O1015" s="122">
        <v>11394.068249075928</v>
      </c>
    </row>
    <row r="1016" spans="2:15" ht="16.5">
      <c r="B1016" s="408" t="str">
        <f>B1009</f>
        <v xml:space="preserve">Other </v>
      </c>
      <c r="C1016" s="455">
        <f>C1017-SUM(C1013:C1015)</f>
        <v>-4304.7000000000044</v>
      </c>
      <c r="D1016" s="455">
        <f>D1017-SUM(D1013:D1015)</f>
        <v>-4187</v>
      </c>
      <c r="E1016" s="455">
        <f>E1017-SUM(E1013:E1015)</f>
        <v>-3352.5</v>
      </c>
      <c r="F1016" s="115"/>
      <c r="G1016" s="408" t="str">
        <f t="shared" si="85"/>
        <v xml:space="preserve">Other </v>
      </c>
      <c r="H1016" s="452">
        <f t="shared" si="86"/>
        <v>0.79912733108757528</v>
      </c>
      <c r="I1016" s="452">
        <f t="shared" si="86"/>
        <v>1.0603242469113812</v>
      </c>
      <c r="J1016" s="452">
        <f t="shared" si="86"/>
        <v>0.79074540754286637</v>
      </c>
      <c r="L1016" s="61" t="str">
        <f>L1009</f>
        <v xml:space="preserve">Other </v>
      </c>
      <c r="M1016" s="449">
        <v>-2392.6600000000035</v>
      </c>
      <c r="N1016" s="449">
        <v>-2032.2044000000024</v>
      </c>
      <c r="O1016" s="449">
        <v>-1872.125420999997</v>
      </c>
    </row>
    <row r="1017" spans="2:15" ht="16.5">
      <c r="B1017" s="115" t="str">
        <f>B1010</f>
        <v>Total</v>
      </c>
      <c r="C1017" s="454">
        <f>Master!O63</f>
        <v>33577.899999999994</v>
      </c>
      <c r="D1017" s="454">
        <f>Master!P63</f>
        <v>32780</v>
      </c>
      <c r="E1017" s="454">
        <f>Master!Q63</f>
        <v>36572.5</v>
      </c>
      <c r="F1017" s="115"/>
      <c r="G1017" s="115" t="str">
        <f t="shared" si="85"/>
        <v>Total</v>
      </c>
      <c r="H1017" s="451">
        <f t="shared" si="86"/>
        <v>-4.6354128465098787E-2</v>
      </c>
      <c r="I1017" s="451">
        <f t="shared" si="86"/>
        <v>-0.15507653914430142</v>
      </c>
      <c r="J1017" s="451">
        <f t="shared" si="86"/>
        <v>-0.18760758531730104</v>
      </c>
      <c r="L1017" t="str">
        <f>L1010</f>
        <v>Total</v>
      </c>
      <c r="M1017" s="122">
        <v>35210.03026622039</v>
      </c>
      <c r="N1017" s="122">
        <v>38796.413543543887</v>
      </c>
      <c r="O1017" s="122">
        <v>45018.268682733018</v>
      </c>
    </row>
    <row r="1018" spans="2:15" ht="16.5">
      <c r="B1018" s="115"/>
      <c r="C1018" s="115"/>
      <c r="D1018" s="115"/>
      <c r="E1018" s="115"/>
      <c r="F1018" s="115"/>
      <c r="G1018" s="115"/>
      <c r="H1018" s="451"/>
      <c r="I1018" s="451"/>
      <c r="J1018" s="451"/>
    </row>
    <row r="1019" spans="2:15" ht="16.5">
      <c r="B1019" s="115" t="s">
        <v>35</v>
      </c>
      <c r="C1019" s="115"/>
      <c r="D1019" s="115"/>
      <c r="E1019" s="115"/>
      <c r="F1019" s="115"/>
      <c r="G1019" s="115" t="str">
        <f>B1019</f>
        <v>Capex</v>
      </c>
      <c r="H1019" s="451"/>
      <c r="I1019" s="451"/>
      <c r="J1019" s="451"/>
      <c r="L1019" t="s">
        <v>35</v>
      </c>
    </row>
    <row r="1020" spans="2:15" ht="16.5">
      <c r="B1020" s="115" t="s">
        <v>94</v>
      </c>
      <c r="C1020" s="454">
        <f>Master!O82</f>
        <v>2827.5</v>
      </c>
      <c r="D1020" s="454">
        <f>Master!P82</f>
        <v>2147.0399999999995</v>
      </c>
      <c r="E1020" s="454">
        <f>Master!Q82</f>
        <v>1824.8999999999999</v>
      </c>
      <c r="F1020" s="115"/>
      <c r="G1020" s="115" t="str">
        <f>B1020</f>
        <v>Content</v>
      </c>
      <c r="H1020" s="451">
        <f t="shared" ref="H1020:J1023" si="87">C1020/M1020-1</f>
        <v>3.8942801742021915E-2</v>
      </c>
      <c r="I1020" s="451">
        <f t="shared" si="87"/>
        <v>-0.18249897380149738</v>
      </c>
      <c r="J1020" s="451">
        <f t="shared" si="87"/>
        <v>-0.32459422827281803</v>
      </c>
      <c r="L1020" t="s">
        <v>94</v>
      </c>
      <c r="M1020" s="454">
        <v>2721.5165216593814</v>
      </c>
      <c r="N1020" s="454">
        <v>2626.3453270316299</v>
      </c>
      <c r="O1020" s="454">
        <v>2701.9313076541716</v>
      </c>
    </row>
    <row r="1021" spans="2:15" ht="16.5">
      <c r="B1021" s="115" t="str">
        <f>B1014</f>
        <v xml:space="preserve">Cable </v>
      </c>
      <c r="C1021" s="454">
        <f>Master!O84</f>
        <v>18552.170000000002</v>
      </c>
      <c r="D1021" s="454">
        <f>Master!P84</f>
        <v>10578.33</v>
      </c>
      <c r="E1021" s="454">
        <f>Master!Q84</f>
        <v>12801.25</v>
      </c>
      <c r="F1021" s="115"/>
      <c r="G1021" s="115" t="str">
        <f>B1021</f>
        <v xml:space="preserve">Cable </v>
      </c>
      <c r="H1021" s="451">
        <f t="shared" si="87"/>
        <v>-5.5243469376980991E-2</v>
      </c>
      <c r="I1021" s="451">
        <f t="shared" si="87"/>
        <v>-0.30907598580582607</v>
      </c>
      <c r="J1021" s="451">
        <f t="shared" si="87"/>
        <v>-9.6688306825087111E-2</v>
      </c>
      <c r="L1021" t="str">
        <f>L1014</f>
        <v xml:space="preserve">Cable </v>
      </c>
      <c r="M1021" s="454">
        <v>19636.985189999996</v>
      </c>
      <c r="N1021" s="454">
        <v>15310.410092399998</v>
      </c>
      <c r="O1021" s="454">
        <v>14171.464951379998</v>
      </c>
    </row>
    <row r="1022" spans="2:15" ht="16.5">
      <c r="B1022" s="408" t="str">
        <f>B1015</f>
        <v>SKY</v>
      </c>
      <c r="C1022" s="455">
        <f>Master!O83</f>
        <v>6533.4100000000008</v>
      </c>
      <c r="D1022" s="455">
        <f>Master!P83</f>
        <v>3995.4599999999996</v>
      </c>
      <c r="E1022" s="455">
        <f>Master!Q83</f>
        <v>4034.7999999999997</v>
      </c>
      <c r="F1022" s="115"/>
      <c r="G1022" s="408" t="str">
        <f>B1022</f>
        <v>SKY</v>
      </c>
      <c r="H1022" s="452">
        <f t="shared" si="87"/>
        <v>-1.4593346376182703E-2</v>
      </c>
      <c r="I1022" s="452">
        <f t="shared" si="87"/>
        <v>-0.37999220077605611</v>
      </c>
      <c r="J1022" s="452">
        <f t="shared" si="87"/>
        <v>-0.27487093991471645</v>
      </c>
      <c r="L1022" s="61" t="str">
        <f>L1015</f>
        <v>SKY</v>
      </c>
      <c r="M1022" s="455">
        <v>6630.1663135452654</v>
      </c>
      <c r="N1022" s="455">
        <v>6444.2092583368585</v>
      </c>
      <c r="O1022" s="455">
        <v>5564.2508652535053</v>
      </c>
    </row>
    <row r="1023" spans="2:15" ht="16.5">
      <c r="B1023" s="115" t="s">
        <v>222</v>
      </c>
      <c r="C1023" s="454">
        <f>Master!O87</f>
        <v>27913.08</v>
      </c>
      <c r="D1023" s="454">
        <f>Master!P87</f>
        <v>16720.829999999998</v>
      </c>
      <c r="E1023" s="454">
        <f>Master!Q87</f>
        <v>18660.95</v>
      </c>
      <c r="F1023" s="115"/>
      <c r="G1023" s="115" t="str">
        <f>B1023</f>
        <v>Group</v>
      </c>
      <c r="H1023" s="451">
        <f t="shared" si="87"/>
        <v>-3.7103740822774456E-2</v>
      </c>
      <c r="I1023" s="451">
        <f t="shared" si="87"/>
        <v>-0.31418505292997279</v>
      </c>
      <c r="J1023" s="451">
        <f t="shared" si="87"/>
        <v>-0.16831965951543904</v>
      </c>
      <c r="L1023" t="s">
        <v>222</v>
      </c>
      <c r="M1023" s="454">
        <v>28988.668025204643</v>
      </c>
      <c r="N1023" s="454">
        <v>24380.964677768487</v>
      </c>
      <c r="O1023" s="454">
        <v>22437.647124287672</v>
      </c>
    </row>
    <row r="1024" spans="2:15" ht="16.5">
      <c r="B1024" s="115"/>
      <c r="C1024" s="115"/>
      <c r="D1024" s="115"/>
      <c r="E1024" s="115"/>
      <c r="F1024" s="115"/>
      <c r="G1024" s="115"/>
      <c r="H1024" s="451"/>
      <c r="I1024" s="451"/>
      <c r="J1024" s="451"/>
    </row>
    <row r="1025" spans="2:16" ht="16.5">
      <c r="B1025" s="115" t="s">
        <v>36</v>
      </c>
      <c r="C1025" s="115"/>
      <c r="D1025" s="115"/>
      <c r="E1025" s="115"/>
      <c r="F1025" s="115"/>
      <c r="G1025" s="115" t="s">
        <v>36</v>
      </c>
      <c r="H1025" s="451"/>
      <c r="I1025" s="451"/>
      <c r="J1025" s="451"/>
      <c r="L1025" t="s">
        <v>1537</v>
      </c>
    </row>
    <row r="1026" spans="2:16" ht="16.5">
      <c r="B1026" s="115" t="str">
        <f>B1013</f>
        <v>Content</v>
      </c>
      <c r="C1026" s="454">
        <f t="shared" ref="C1026:E1028" si="88">C1013-C1020</f>
        <v>11920.5</v>
      </c>
      <c r="D1026" s="454">
        <f t="shared" si="88"/>
        <v>10677.960000000001</v>
      </c>
      <c r="E1026" s="454">
        <f t="shared" si="88"/>
        <v>13030.1</v>
      </c>
      <c r="F1026" s="115"/>
      <c r="G1026" s="115" t="str">
        <f>B1026</f>
        <v>Content</v>
      </c>
      <c r="H1026" s="451">
        <f t="shared" ref="H1026:J1030" si="89">C1026/M1026-1</f>
        <v>4.9328177001934481E-2</v>
      </c>
      <c r="I1026" s="451">
        <f t="shared" si="89"/>
        <v>-6.0771539346393788E-2</v>
      </c>
      <c r="J1026" s="451">
        <f t="shared" si="89"/>
        <v>-6.2522569692348595E-2</v>
      </c>
      <c r="L1026" t="str">
        <f>L1013</f>
        <v>Content</v>
      </c>
      <c r="M1026" s="122">
        <f t="shared" ref="M1026:O1028" si="90">M1013-M1020</f>
        <v>11360.125708296904</v>
      </c>
      <c r="N1026" s="122">
        <f t="shared" si="90"/>
        <v>11368.863324871183</v>
      </c>
      <c r="O1026" s="122">
        <f t="shared" si="90"/>
        <v>13899.107945162925</v>
      </c>
    </row>
    <row r="1027" spans="2:16" ht="16.5">
      <c r="B1027" s="115" t="str">
        <f>B1014</f>
        <v xml:space="preserve">Cable </v>
      </c>
      <c r="C1027" s="454">
        <f t="shared" si="88"/>
        <v>-5316.0700000000015</v>
      </c>
      <c r="D1027" s="454">
        <f t="shared" si="88"/>
        <v>3456.67</v>
      </c>
      <c r="E1027" s="454">
        <f t="shared" si="88"/>
        <v>2501.75</v>
      </c>
      <c r="F1027" s="115"/>
      <c r="G1027" s="115" t="str">
        <f>B1027</f>
        <v xml:space="preserve">Cable </v>
      </c>
      <c r="H1027" s="451">
        <f t="shared" si="89"/>
        <v>-0.13085524756262457</v>
      </c>
      <c r="I1027" s="453">
        <f t="shared" si="89"/>
        <v>3.6283368356785788</v>
      </c>
      <c r="J1027" s="451">
        <f t="shared" si="89"/>
        <v>-0.47039702488420909</v>
      </c>
      <c r="L1027" t="str">
        <f>L1014</f>
        <v xml:space="preserve">Cable </v>
      </c>
      <c r="M1027" s="122">
        <f t="shared" si="90"/>
        <v>-6116.438009999998</v>
      </c>
      <c r="N1027" s="122">
        <f t="shared" si="90"/>
        <v>746.84927280000011</v>
      </c>
      <c r="O1027" s="122">
        <f t="shared" si="90"/>
        <v>4723.8216504599968</v>
      </c>
    </row>
    <row r="1028" spans="2:16" ht="16.5">
      <c r="B1028" s="115" t="str">
        <f>B1015</f>
        <v>SKY</v>
      </c>
      <c r="C1028" s="454">
        <f t="shared" si="88"/>
        <v>3365.0899999999992</v>
      </c>
      <c r="D1028" s="454">
        <f t="shared" si="88"/>
        <v>6111.5400000000009</v>
      </c>
      <c r="E1028" s="454">
        <f t="shared" si="88"/>
        <v>5732.2000000000007</v>
      </c>
      <c r="F1028" s="115"/>
      <c r="G1028" s="115" t="str">
        <f>B1028</f>
        <v>SKY</v>
      </c>
      <c r="H1028" s="451">
        <f t="shared" si="89"/>
        <v>-1.55608965589904E-3</v>
      </c>
      <c r="I1028" s="451">
        <f t="shared" si="89"/>
        <v>0.41080879638976731</v>
      </c>
      <c r="J1028" s="451">
        <f t="shared" si="89"/>
        <v>-1.6744501138801993E-2</v>
      </c>
      <c r="L1028" t="str">
        <f>L1015</f>
        <v>SKY</v>
      </c>
      <c r="M1028" s="122">
        <f t="shared" si="90"/>
        <v>3370.3345427188433</v>
      </c>
      <c r="N1028" s="122">
        <f t="shared" si="90"/>
        <v>4331.940668104221</v>
      </c>
      <c r="O1028" s="122">
        <f t="shared" si="90"/>
        <v>5829.8173838224229</v>
      </c>
    </row>
    <row r="1029" spans="2:16" ht="16.5">
      <c r="B1029" s="408" t="str">
        <f>B1016</f>
        <v xml:space="preserve">Other </v>
      </c>
      <c r="C1029" s="455">
        <f>C1016</f>
        <v>-4304.7000000000044</v>
      </c>
      <c r="D1029" s="455">
        <f>D1016</f>
        <v>-4187</v>
      </c>
      <c r="E1029" s="455">
        <f>E1016</f>
        <v>-3352.5</v>
      </c>
      <c r="F1029" s="115"/>
      <c r="G1029" s="408" t="str">
        <f>B1029</f>
        <v xml:space="preserve">Other </v>
      </c>
      <c r="H1029" s="452">
        <f t="shared" si="89"/>
        <v>0.79912733108757528</v>
      </c>
      <c r="I1029" s="452">
        <f t="shared" si="89"/>
        <v>1.0603242469113812</v>
      </c>
      <c r="J1029" s="452">
        <f t="shared" si="89"/>
        <v>0.79074540754286637</v>
      </c>
      <c r="L1029" s="61" t="str">
        <f>L1016</f>
        <v xml:space="preserve">Other </v>
      </c>
      <c r="M1029" s="449">
        <f>M1016</f>
        <v>-2392.6600000000035</v>
      </c>
      <c r="N1029" s="449">
        <f>N1016</f>
        <v>-2032.2044000000024</v>
      </c>
      <c r="O1029" s="449">
        <f>O1016</f>
        <v>-1872.125420999997</v>
      </c>
    </row>
    <row r="1030" spans="2:16" ht="16.5">
      <c r="B1030" s="115" t="s">
        <v>222</v>
      </c>
      <c r="C1030" s="454">
        <f>C1017-C1023</f>
        <v>5664.8199999999924</v>
      </c>
      <c r="D1030" s="454">
        <f>D1017-D1023</f>
        <v>16059.170000000002</v>
      </c>
      <c r="E1030" s="454">
        <f>E1017-E1023</f>
        <v>17911.55</v>
      </c>
      <c r="F1030" s="115"/>
      <c r="G1030" s="115" t="str">
        <f>B1030</f>
        <v>Group</v>
      </c>
      <c r="H1030" s="451">
        <f t="shared" si="89"/>
        <v>-8.9456652651829782E-2</v>
      </c>
      <c r="I1030" s="451">
        <f t="shared" si="89"/>
        <v>0.1140249706776082</v>
      </c>
      <c r="J1030" s="451">
        <f t="shared" si="89"/>
        <v>-0.20677338515064358</v>
      </c>
      <c r="L1030" t="s">
        <v>222</v>
      </c>
      <c r="M1030" s="122">
        <f>M1017-M1023</f>
        <v>6221.3622410157477</v>
      </c>
      <c r="N1030" s="122">
        <f>N1017-N1023</f>
        <v>14415.448865775401</v>
      </c>
      <c r="O1030" s="122">
        <f>O1017-O1023</f>
        <v>22580.621558445346</v>
      </c>
    </row>
    <row r="1032" spans="2:16">
      <c r="B1032" s="424" t="s">
        <v>1538</v>
      </c>
    </row>
    <row r="1034" spans="2:16">
      <c r="C1034" s="456">
        <v>0.1</v>
      </c>
      <c r="D1034" s="8">
        <f>C1034</f>
        <v>0.1</v>
      </c>
      <c r="E1034" s="8">
        <f>D1034</f>
        <v>0.1</v>
      </c>
    </row>
    <row r="1035" spans="2:16">
      <c r="B1035" t="s">
        <v>33</v>
      </c>
      <c r="C1035" s="4">
        <f>Master!O132</f>
        <v>96287.4</v>
      </c>
      <c r="D1035" s="4">
        <f>Master!P132</f>
        <v>94275</v>
      </c>
      <c r="E1035" s="4">
        <f>Master!Q132</f>
        <v>101310</v>
      </c>
      <c r="H1035" s="4">
        <f>H1036+H1037</f>
        <v>96899.270999999993</v>
      </c>
      <c r="I1035" s="4">
        <f>I1036+I1037</f>
        <v>94868.271000000008</v>
      </c>
      <c r="J1035" s="4">
        <f>J1036+J1037</f>
        <v>102048.43</v>
      </c>
      <c r="N1035" s="10">
        <f t="shared" ref="N1035:P1037" si="91">H1035/C1035-1</f>
        <v>6.3546320702396741E-3</v>
      </c>
      <c r="O1035" s="10">
        <f t="shared" si="91"/>
        <v>6.2929832935560981E-3</v>
      </c>
      <c r="P1035" s="10">
        <f t="shared" si="91"/>
        <v>7.2888165038000885E-3</v>
      </c>
    </row>
    <row r="1036" spans="2:16">
      <c r="B1036" s="264" t="s">
        <v>1539</v>
      </c>
      <c r="C1036" s="4">
        <f>Content!J58*Content!J45</f>
        <v>6118.7100000000009</v>
      </c>
      <c r="D1036" s="4">
        <f>Content!K58*Content!K45</f>
        <v>5932.7099999999991</v>
      </c>
      <c r="E1036" s="4">
        <f>Content!L58*Content!L45</f>
        <v>7384.3</v>
      </c>
      <c r="H1036" s="4">
        <f>C1036*(1+$C$1034)</f>
        <v>6730.5810000000019</v>
      </c>
      <c r="I1036" s="4">
        <f>D1036*(1+$C$1034)</f>
        <v>6525.9809999999998</v>
      </c>
      <c r="J1036" s="4">
        <f>E1036*(1+$C$1034)</f>
        <v>8122.7300000000005</v>
      </c>
      <c r="N1036" s="10">
        <f t="shared" si="91"/>
        <v>0.10000000000000009</v>
      </c>
      <c r="O1036" s="10">
        <f t="shared" si="91"/>
        <v>0.10000000000000009</v>
      </c>
      <c r="P1036" s="10">
        <f t="shared" si="91"/>
        <v>0.10000000000000009</v>
      </c>
    </row>
    <row r="1037" spans="2:16">
      <c r="B1037" s="264" t="s">
        <v>1540</v>
      </c>
      <c r="C1037" s="4">
        <f>C1035-C1036</f>
        <v>90168.689999999988</v>
      </c>
      <c r="D1037" s="4">
        <f>D1035-D1036</f>
        <v>88342.290000000008</v>
      </c>
      <c r="E1037" s="4">
        <f>E1035-E1036</f>
        <v>93925.7</v>
      </c>
      <c r="H1037" s="4">
        <f>C1037</f>
        <v>90168.689999999988</v>
      </c>
      <c r="I1037" s="4">
        <f>D1037</f>
        <v>88342.290000000008</v>
      </c>
      <c r="J1037" s="4">
        <f>E1037</f>
        <v>93925.7</v>
      </c>
      <c r="N1037" s="10">
        <f t="shared" si="91"/>
        <v>0</v>
      </c>
      <c r="O1037" s="10">
        <f t="shared" si="91"/>
        <v>0</v>
      </c>
      <c r="P1037" s="10">
        <f t="shared" si="91"/>
        <v>0</v>
      </c>
    </row>
    <row r="1038" spans="2:16">
      <c r="C1038" s="4"/>
      <c r="D1038" s="4"/>
      <c r="E1038" s="4"/>
      <c r="N1038" s="10"/>
      <c r="O1038" s="10"/>
      <c r="P1038" s="10"/>
    </row>
    <row r="1039" spans="2:16">
      <c r="B1039" t="s">
        <v>779</v>
      </c>
      <c r="C1039" s="4">
        <f>C1035-C1043</f>
        <v>62709.5</v>
      </c>
      <c r="D1039" s="4">
        <f>D1035-D1043</f>
        <v>61495</v>
      </c>
      <c r="E1039" s="4">
        <f>E1035-E1043</f>
        <v>64737.5</v>
      </c>
      <c r="H1039" s="4">
        <f>H1040+H1041</f>
        <v>63336.595000000001</v>
      </c>
      <c r="I1039" s="4">
        <f>I1040+I1041</f>
        <v>62109.95</v>
      </c>
      <c r="J1039" s="4">
        <f>J1040+J1041</f>
        <v>65384.875</v>
      </c>
      <c r="N1039" s="10">
        <f t="shared" ref="N1039:P1041" si="92">H1039/C1039-1</f>
        <v>1.0000000000000009E-2</v>
      </c>
      <c r="O1039" s="10">
        <f t="shared" si="92"/>
        <v>1.0000000000000009E-2</v>
      </c>
      <c r="P1039" s="10">
        <f t="shared" si="92"/>
        <v>1.0000000000000009E-2</v>
      </c>
    </row>
    <row r="1040" spans="2:16">
      <c r="B1040" s="264" t="s">
        <v>1541</v>
      </c>
      <c r="C1040" s="4">
        <f>0.1*C1039</f>
        <v>6270.9500000000007</v>
      </c>
      <c r="D1040" s="4">
        <f>0.1*D1039</f>
        <v>6149.5</v>
      </c>
      <c r="E1040" s="4">
        <f>0.1*E1039</f>
        <v>6473.75</v>
      </c>
      <c r="H1040" s="4">
        <f>C1040*(1+$C$1034)</f>
        <v>6898.045000000001</v>
      </c>
      <c r="I1040" s="4">
        <f>D1040*(1+$C$1034)</f>
        <v>6764.4500000000007</v>
      </c>
      <c r="J1040" s="4">
        <f>E1040*(1+$C$1034)</f>
        <v>7121.1250000000009</v>
      </c>
      <c r="N1040" s="10">
        <f t="shared" si="92"/>
        <v>0.10000000000000009</v>
      </c>
      <c r="O1040" s="10">
        <f t="shared" si="92"/>
        <v>0.10000000000000009</v>
      </c>
      <c r="P1040" s="10">
        <f t="shared" si="92"/>
        <v>0.10000000000000009</v>
      </c>
    </row>
    <row r="1041" spans="2:16">
      <c r="B1041" s="264" t="s">
        <v>1540</v>
      </c>
      <c r="C1041" s="4">
        <f>C1039-C1040</f>
        <v>56438.55</v>
      </c>
      <c r="D1041" s="4">
        <f>D1039-D1040</f>
        <v>55345.5</v>
      </c>
      <c r="E1041" s="4">
        <f>E1039-E1040</f>
        <v>58263.75</v>
      </c>
      <c r="H1041">
        <f>C1041</f>
        <v>56438.55</v>
      </c>
      <c r="I1041">
        <f>D1041</f>
        <v>55345.5</v>
      </c>
      <c r="J1041">
        <f>E1041</f>
        <v>58263.75</v>
      </c>
      <c r="N1041" s="10">
        <f t="shared" si="92"/>
        <v>0</v>
      </c>
      <c r="O1041" s="10">
        <f t="shared" si="92"/>
        <v>0</v>
      </c>
      <c r="P1041" s="10">
        <f t="shared" si="92"/>
        <v>0</v>
      </c>
    </row>
    <row r="1042" spans="2:16">
      <c r="C1042" s="4"/>
      <c r="D1042" s="4"/>
      <c r="E1042" s="4"/>
      <c r="N1042" s="10"/>
      <c r="O1042" s="10"/>
      <c r="P1042" s="10"/>
    </row>
    <row r="1043" spans="2:16">
      <c r="B1043" t="s">
        <v>34</v>
      </c>
      <c r="C1043" s="4">
        <f>Master!O140</f>
        <v>33577.899999999994</v>
      </c>
      <c r="D1043" s="4">
        <f>Master!P140</f>
        <v>32780</v>
      </c>
      <c r="E1043" s="4">
        <f>Master!Q140</f>
        <v>36572.5</v>
      </c>
      <c r="H1043" s="4">
        <f>H1035-H1039</f>
        <v>33562.675999999992</v>
      </c>
      <c r="I1043" s="4">
        <f>I1035-I1039</f>
        <v>32758.321000000011</v>
      </c>
      <c r="J1043" s="4">
        <f>J1035-J1039</f>
        <v>36663.554999999993</v>
      </c>
      <c r="N1043" s="10">
        <f>H1043/C1043-1</f>
        <v>-4.5339345224093552E-4</v>
      </c>
      <c r="O1043" s="10">
        <f>I1043/D1043-1</f>
        <v>-6.6134838316012079E-4</v>
      </c>
      <c r="P1043" s="10">
        <f>J1043/E1043-1</f>
        <v>2.4897122154623474E-3</v>
      </c>
    </row>
    <row r="1044" spans="2:16">
      <c r="C1044" s="4"/>
      <c r="D1044" s="4"/>
      <c r="E1044" s="4"/>
      <c r="N1044" s="10"/>
      <c r="O1044" s="10"/>
      <c r="P1044" s="10"/>
    </row>
    <row r="1045" spans="2:16">
      <c r="B1045" t="s">
        <v>35</v>
      </c>
      <c r="C1045" s="4">
        <f>Master!O87</f>
        <v>27913.08</v>
      </c>
      <c r="D1045" s="4">
        <f>Master!P87</f>
        <v>16720.829999999998</v>
      </c>
      <c r="E1045" s="4">
        <f>Master!Q87</f>
        <v>18660.95</v>
      </c>
      <c r="H1045" s="4">
        <f>H1046+H1047</f>
        <v>30006.561000000005</v>
      </c>
      <c r="I1045" s="4">
        <f>I1046+I1047</f>
        <v>17974.892249999997</v>
      </c>
      <c r="J1045" s="4">
        <f>J1046+J1047</f>
        <v>20060.521250000002</v>
      </c>
      <c r="N1045" s="10">
        <f t="shared" ref="N1045:P1047" si="93">H1045/C1045-1</f>
        <v>7.5000000000000178E-2</v>
      </c>
      <c r="O1045" s="10">
        <f t="shared" si="93"/>
        <v>7.4999999999999956E-2</v>
      </c>
      <c r="P1045" s="10">
        <f t="shared" si="93"/>
        <v>7.4999999999999956E-2</v>
      </c>
    </row>
    <row r="1046" spans="2:16">
      <c r="B1046" s="264" t="s">
        <v>1542</v>
      </c>
      <c r="C1046" s="4">
        <f>0.75*C1045</f>
        <v>20934.810000000001</v>
      </c>
      <c r="D1046" s="4">
        <f>0.75*D1045</f>
        <v>12540.622499999998</v>
      </c>
      <c r="E1046" s="4">
        <f>0.75*E1045</f>
        <v>13995.712500000001</v>
      </c>
      <c r="H1046" s="4">
        <f>C1046*(1+$C$1034)</f>
        <v>23028.291000000005</v>
      </c>
      <c r="I1046" s="4">
        <f>D1046*(1+$C$1034)</f>
        <v>13794.684749999999</v>
      </c>
      <c r="J1046" s="4">
        <f>E1046*(1+$C$1034)</f>
        <v>15395.283750000002</v>
      </c>
      <c r="N1046" s="10">
        <f t="shared" si="93"/>
        <v>0.10000000000000009</v>
      </c>
      <c r="O1046" s="10">
        <f t="shared" si="93"/>
        <v>0.10000000000000009</v>
      </c>
      <c r="P1046" s="10">
        <f t="shared" si="93"/>
        <v>0.10000000000000009</v>
      </c>
    </row>
    <row r="1047" spans="2:16">
      <c r="B1047" s="264" t="s">
        <v>1540</v>
      </c>
      <c r="C1047" s="4">
        <f>C1045-C1046</f>
        <v>6978.27</v>
      </c>
      <c r="D1047" s="4">
        <f>D1045-D1046</f>
        <v>4180.2075000000004</v>
      </c>
      <c r="E1047" s="4">
        <f>E1045-E1046</f>
        <v>4665.2374999999993</v>
      </c>
      <c r="H1047" s="4">
        <f>C1047</f>
        <v>6978.27</v>
      </c>
      <c r="I1047" s="4">
        <f>D1047</f>
        <v>4180.2075000000004</v>
      </c>
      <c r="J1047" s="4">
        <f>E1047</f>
        <v>4665.2374999999993</v>
      </c>
      <c r="N1047" s="10">
        <f t="shared" si="93"/>
        <v>0</v>
      </c>
      <c r="O1047" s="10">
        <f t="shared" si="93"/>
        <v>0</v>
      </c>
      <c r="P1047" s="10">
        <f t="shared" si="93"/>
        <v>0</v>
      </c>
    </row>
    <row r="1048" spans="2:16">
      <c r="C1048" s="4"/>
      <c r="D1048" s="4"/>
      <c r="E1048" s="4"/>
      <c r="N1048" s="10"/>
      <c r="O1048" s="10"/>
      <c r="P1048" s="10"/>
    </row>
    <row r="1049" spans="2:16">
      <c r="B1049" t="s">
        <v>36</v>
      </c>
      <c r="C1049" s="4">
        <f>C1043-C1045</f>
        <v>5664.8199999999924</v>
      </c>
      <c r="D1049" s="4">
        <f>D1043-D1045</f>
        <v>16059.170000000002</v>
      </c>
      <c r="E1049" s="4">
        <f>E1043-E1045</f>
        <v>17911.55</v>
      </c>
      <c r="H1049" s="4">
        <f>H1043-H1045</f>
        <v>3556.114999999987</v>
      </c>
      <c r="I1049" s="4">
        <f>I1043-I1045</f>
        <v>14783.428750000014</v>
      </c>
      <c r="J1049" s="4">
        <f>J1043-J1045</f>
        <v>16603.033749999991</v>
      </c>
      <c r="N1049" s="10">
        <f>H1049/C1049-1</f>
        <v>-0.37224572007583789</v>
      </c>
      <c r="O1049" s="10">
        <f>I1049/D1049-1</f>
        <v>-7.9440048894182436E-2</v>
      </c>
      <c r="P1049" s="10">
        <f>J1049/E1049-1</f>
        <v>-7.3054328073226982E-2</v>
      </c>
    </row>
    <row r="1051" spans="2:16">
      <c r="B1051" s="430" t="s">
        <v>1543</v>
      </c>
      <c r="C1051">
        <f>1/C1054</f>
        <v>5.5555555555555552E-2</v>
      </c>
      <c r="D1051">
        <f>1/D1054</f>
        <v>5.0505050505050504E-2</v>
      </c>
    </row>
    <row r="1052" spans="2:16">
      <c r="B1052" s="61"/>
      <c r="C1052" s="61"/>
      <c r="D1052" s="457">
        <f>D1051/C1051-1</f>
        <v>-9.0909090909090828E-2</v>
      </c>
      <c r="E1052" s="61"/>
    </row>
    <row r="1053" spans="2:16" ht="15.75">
      <c r="B1053" s="66"/>
      <c r="C1053" s="111" t="s">
        <v>1385</v>
      </c>
      <c r="D1053" s="111" t="s">
        <v>1544</v>
      </c>
      <c r="E1053" s="66"/>
    </row>
    <row r="1054" spans="2:16" ht="15.75">
      <c r="B1054" s="66" t="s">
        <v>1545</v>
      </c>
      <c r="C1054" s="112">
        <v>18</v>
      </c>
      <c r="D1054" s="112">
        <f>(1+D1055)*C1054</f>
        <v>19.8</v>
      </c>
      <c r="E1054" s="66"/>
    </row>
    <row r="1055" spans="2:16" ht="15.75">
      <c r="B1055" s="67" t="s">
        <v>1546</v>
      </c>
      <c r="C1055" s="68"/>
      <c r="D1055" s="553">
        <v>0.1</v>
      </c>
      <c r="E1055" s="68" t="s">
        <v>1547</v>
      </c>
    </row>
    <row r="1056" spans="2:16" ht="15.75">
      <c r="B1056" s="66" t="s">
        <v>1548</v>
      </c>
      <c r="C1056" s="125">
        <f>Master!Q140</f>
        <v>36572.5</v>
      </c>
      <c r="D1056" s="125">
        <f>C1056</f>
        <v>36572.5</v>
      </c>
      <c r="E1056" s="458" t="s">
        <v>1549</v>
      </c>
      <c r="H1056" s="122"/>
    </row>
    <row r="1057" spans="2:10" ht="15.75">
      <c r="B1057" s="66" t="s">
        <v>1550</v>
      </c>
      <c r="C1057" s="125">
        <f>Master!Q87</f>
        <v>18660.95</v>
      </c>
      <c r="D1057" s="125">
        <f>I1057+J1057</f>
        <v>19127.473750000001</v>
      </c>
      <c r="E1057" s="458" t="s">
        <v>1551</v>
      </c>
      <c r="I1057">
        <f>C1058*C1057*(1+$D$1055)</f>
        <v>5131.7612500000005</v>
      </c>
      <c r="J1057">
        <f>(1-C1058)*C1057</f>
        <v>13995.712500000001</v>
      </c>
    </row>
    <row r="1058" spans="2:10" ht="15.75">
      <c r="B1058" s="407" t="s">
        <v>1552</v>
      </c>
      <c r="C1058" s="459">
        <v>0.25</v>
      </c>
      <c r="D1058" s="71"/>
      <c r="E1058" s="458" t="s">
        <v>1553</v>
      </c>
      <c r="H1058" s="456"/>
    </row>
    <row r="1059" spans="2:10" ht="15.75">
      <c r="B1059" s="66" t="s">
        <v>1554</v>
      </c>
      <c r="C1059" s="125">
        <f>C1056-C1057</f>
        <v>17911.55</v>
      </c>
      <c r="D1059" s="125">
        <f>D1056-D1057</f>
        <v>17445.026249999999</v>
      </c>
      <c r="E1059" s="458" t="s">
        <v>1555</v>
      </c>
    </row>
    <row r="1060" spans="2:10" ht="15.75">
      <c r="B1060" s="66"/>
      <c r="C1060" s="125"/>
      <c r="D1060" s="66"/>
      <c r="E1060" s="66"/>
    </row>
    <row r="1061" spans="2:10" ht="15.75">
      <c r="B1061" s="66" t="s">
        <v>1556</v>
      </c>
      <c r="C1061" s="460">
        <v>16</v>
      </c>
      <c r="D1061" s="156">
        <f>C1061</f>
        <v>16</v>
      </c>
      <c r="E1061" s="458" t="s">
        <v>1557</v>
      </c>
    </row>
    <row r="1062" spans="2:10" ht="15.75">
      <c r="B1062" s="66" t="s">
        <v>1558</v>
      </c>
      <c r="C1062" s="125">
        <f>C1059*C1061</f>
        <v>286584.8</v>
      </c>
      <c r="D1062" s="125">
        <f>D1061*D1059</f>
        <v>279120.42</v>
      </c>
      <c r="E1062" s="66"/>
    </row>
    <row r="1063" spans="2:10" ht="15.75">
      <c r="B1063" s="66" t="s">
        <v>1559</v>
      </c>
      <c r="C1063" s="125">
        <f>(SOP!G15+SOP!G16)*C1054</f>
        <v>21429.099162039078</v>
      </c>
      <c r="D1063" s="125">
        <f>C1063*(1+$D$1055)</f>
        <v>23572.009078242987</v>
      </c>
      <c r="E1063" s="458" t="s">
        <v>1560</v>
      </c>
      <c r="H1063" s="4">
        <f>C1063/C1054</f>
        <v>1190.505509002171</v>
      </c>
    </row>
    <row r="1064" spans="2:10" ht="15.75">
      <c r="B1064" s="66" t="s">
        <v>1561</v>
      </c>
      <c r="C1064" s="125">
        <f>C1062+C1063</f>
        <v>308013.89916203904</v>
      </c>
      <c r="D1064" s="125">
        <f>D1062+D1063</f>
        <v>302692.42907824297</v>
      </c>
      <c r="E1064" s="458" t="s">
        <v>1562</v>
      </c>
    </row>
    <row r="1065" spans="2:10" ht="15.75">
      <c r="B1065" s="66"/>
      <c r="C1065" s="125"/>
      <c r="D1065" s="125"/>
      <c r="E1065" s="66"/>
    </row>
    <row r="1066" spans="2:10" ht="15.75">
      <c r="B1066" s="66" t="s">
        <v>1563</v>
      </c>
      <c r="C1066" s="125">
        <f>Master!O221</f>
        <v>78405.899999999994</v>
      </c>
      <c r="D1066" s="125">
        <f>D1067+D1068</f>
        <v>83502.28349999999</v>
      </c>
      <c r="E1066" s="66"/>
      <c r="H1066" s="4">
        <f>C1066/19</f>
        <v>4126.6263157894737</v>
      </c>
    </row>
    <row r="1067" spans="2:10" ht="15.75">
      <c r="B1067" s="141" t="s">
        <v>1564</v>
      </c>
      <c r="C1067" s="125">
        <f>C1066*0.65</f>
        <v>50963.834999999999</v>
      </c>
      <c r="D1067" s="125">
        <f>C1067*(1+$D$1055)</f>
        <v>56060.218500000003</v>
      </c>
      <c r="E1067" s="458" t="s">
        <v>1565</v>
      </c>
      <c r="H1067" s="4">
        <f>C1067/19</f>
        <v>2682.3071052631581</v>
      </c>
    </row>
    <row r="1068" spans="2:10" ht="15.75">
      <c r="B1068" s="141" t="s">
        <v>1566</v>
      </c>
      <c r="C1068" s="125">
        <f>C1066-C1067</f>
        <v>27442.064999999995</v>
      </c>
      <c r="D1068" s="125">
        <f>C1068</f>
        <v>27442.064999999995</v>
      </c>
      <c r="E1068" s="66"/>
      <c r="H1068" s="4">
        <f>C1068/19</f>
        <v>1444.3192105263156</v>
      </c>
    </row>
    <row r="1069" spans="2:10" ht="15.75">
      <c r="B1069" s="66"/>
      <c r="C1069" s="125"/>
      <c r="D1069" s="125"/>
      <c r="E1069" s="66"/>
    </row>
    <row r="1070" spans="2:10" ht="15.75">
      <c r="B1070" s="66" t="s">
        <v>1567</v>
      </c>
      <c r="C1070" s="125">
        <f>C1064-C1066</f>
        <v>229607.99916203905</v>
      </c>
      <c r="D1070" s="125">
        <f>D1064-D1066</f>
        <v>219190.14557824298</v>
      </c>
      <c r="E1070" s="458" t="s">
        <v>1568</v>
      </c>
      <c r="H1070" s="4">
        <f>H1067-H1063</f>
        <v>1491.801596260987</v>
      </c>
    </row>
    <row r="1071" spans="2:10" ht="15.75">
      <c r="B1071" s="66" t="s">
        <v>192</v>
      </c>
      <c r="C1071" s="66"/>
      <c r="D1071" s="69">
        <f>D1070/C1070-1</f>
        <v>-4.5372346006307795E-2</v>
      </c>
      <c r="E1071" s="66"/>
    </row>
    <row r="1072" spans="2:10" ht="15.75">
      <c r="B1072" s="66" t="s">
        <v>1569</v>
      </c>
      <c r="C1072" s="125">
        <f>C1070/C1054</f>
        <v>12755.999953446613</v>
      </c>
      <c r="D1072" s="125">
        <f>D1070/D1054</f>
        <v>11070.209372638534</v>
      </c>
      <c r="E1072" s="66"/>
    </row>
    <row r="1073" spans="2:6" ht="15.75">
      <c r="B1073" s="414" t="s">
        <v>1570</v>
      </c>
      <c r="C1073" s="461">
        <f>C1072/SOP!$G$33</f>
        <v>19.313626561616836</v>
      </c>
      <c r="D1073" s="462">
        <f>D1072/SOP!$G$33</f>
        <v>16.761201831478672</v>
      </c>
      <c r="E1073" s="458" t="s">
        <v>1571</v>
      </c>
    </row>
    <row r="1074" spans="2:6" ht="15.75">
      <c r="B1074" s="415" t="s">
        <v>192</v>
      </c>
      <c r="C1074" s="67"/>
      <c r="D1074" s="463">
        <f>D1072/C1072-1</f>
        <v>-0.13215667818755261</v>
      </c>
      <c r="E1074" s="415"/>
    </row>
    <row r="1076" spans="2:6" ht="15.75">
      <c r="B1076" s="409" t="s">
        <v>1572</v>
      </c>
    </row>
    <row r="1078" spans="2:6" ht="15.75">
      <c r="B1078" s="67" t="s">
        <v>662</v>
      </c>
      <c r="C1078" s="68" t="s">
        <v>1573</v>
      </c>
      <c r="D1078" s="68" t="s">
        <v>1574</v>
      </c>
      <c r="E1078" s="68" t="s">
        <v>1575</v>
      </c>
      <c r="F1078" s="68" t="s">
        <v>1315</v>
      </c>
    </row>
    <row r="1079" spans="2:6" ht="15.75">
      <c r="B1079" s="141" t="s">
        <v>1576</v>
      </c>
      <c r="C1079" s="125">
        <f>C1081*0.66</f>
        <v>4920.9081900000001</v>
      </c>
      <c r="D1079" s="71">
        <f>199*0.7</f>
        <v>139.29999999999998</v>
      </c>
      <c r="E1079" s="125">
        <f>D1079*12*C1079/1000</f>
        <v>8225.7901304040006</v>
      </c>
      <c r="F1079" s="69">
        <f>E1079/E$1081</f>
        <v>0.37490156100869598</v>
      </c>
    </row>
    <row r="1080" spans="2:6" ht="15.75">
      <c r="B1080" s="464" t="s">
        <v>1577</v>
      </c>
      <c r="C1080" s="154">
        <f>C1081-C1079</f>
        <v>2535.0133100000003</v>
      </c>
      <c r="D1080" s="76">
        <f>E1080/C1080*1000/12</f>
        <v>450.86580727512364</v>
      </c>
      <c r="E1080" s="154">
        <f>E1081-E1079</f>
        <v>13715.409869596</v>
      </c>
      <c r="F1080" s="73">
        <f>E1080/E$1081</f>
        <v>0.62509843899130402</v>
      </c>
    </row>
    <row r="1081" spans="2:6" ht="15.75">
      <c r="B1081" s="66" t="s">
        <v>1578</v>
      </c>
      <c r="C1081" s="125">
        <f>AVERAGE('SKY Mex'!L102:M102)</f>
        <v>7455.9215000000004</v>
      </c>
      <c r="D1081" s="71">
        <f>E1081/C1081*1000/12</f>
        <v>245.23237447354202</v>
      </c>
      <c r="E1081" s="125">
        <f>'SKY Mex'!M105</f>
        <v>21941.200000000001</v>
      </c>
      <c r="F1081" s="66"/>
    </row>
    <row r="1083" spans="2:6">
      <c r="E1083" t="s">
        <v>1579</v>
      </c>
    </row>
    <row r="1084" spans="2:6">
      <c r="B1084" t="s">
        <v>1580</v>
      </c>
      <c r="C1084" s="419">
        <f>D1084*C1087</f>
        <v>0.31063829787234049</v>
      </c>
      <c r="D1084" s="8">
        <v>0.01</v>
      </c>
    </row>
    <row r="1085" spans="2:6">
      <c r="B1085" t="s">
        <v>1581</v>
      </c>
      <c r="C1085">
        <v>14.6</v>
      </c>
      <c r="D1085" s="8">
        <f>C1085/C$1087</f>
        <v>0.47</v>
      </c>
      <c r="E1085">
        <v>20000</v>
      </c>
    </row>
    <row r="1086" spans="2:6">
      <c r="B1086" s="61" t="s">
        <v>1582</v>
      </c>
      <c r="C1086" s="465">
        <f>C1087-C1084-C1085</f>
        <v>16.153191489361703</v>
      </c>
      <c r="D1086" s="457">
        <f>C1086/C$1087</f>
        <v>0.52</v>
      </c>
    </row>
    <row r="1087" spans="2:6">
      <c r="B1087" t="s">
        <v>1583</v>
      </c>
      <c r="C1087" s="419">
        <f>C1085/0.47</f>
        <v>31.063829787234045</v>
      </c>
      <c r="D1087" s="8">
        <f>SUM(D1084:D1086)</f>
        <v>1</v>
      </c>
    </row>
    <row r="1089" spans="1:9" ht="15.75">
      <c r="B1089" s="409" t="s">
        <v>1584</v>
      </c>
    </row>
    <row r="1091" spans="1:9" ht="105">
      <c r="A1091" s="466" t="s">
        <v>1585</v>
      </c>
      <c r="B1091" s="466"/>
      <c r="C1091" s="466" t="s">
        <v>1586</v>
      </c>
      <c r="D1091" s="466" t="s">
        <v>1587</v>
      </c>
      <c r="E1091" s="466" t="s">
        <v>1588</v>
      </c>
      <c r="F1091" s="466" t="s">
        <v>1589</v>
      </c>
      <c r="G1091" s="466" t="s">
        <v>1590</v>
      </c>
      <c r="H1091" s="466" t="s">
        <v>1591</v>
      </c>
    </row>
    <row r="1092" spans="1:9">
      <c r="B1092" s="466"/>
      <c r="C1092" s="466"/>
      <c r="D1092" s="466"/>
      <c r="E1092" s="466"/>
      <c r="F1092">
        <v>80</v>
      </c>
    </row>
    <row r="1093" spans="1:9">
      <c r="B1093" s="467">
        <v>2002</v>
      </c>
      <c r="C1093" s="468">
        <v>4.3999999999999997E-2</v>
      </c>
      <c r="D1093" s="468">
        <v>3.3000000000000002E-2</v>
      </c>
      <c r="E1093" s="469" t="s">
        <v>1592</v>
      </c>
      <c r="F1093" s="4">
        <f>(1+C1093)*F1092</f>
        <v>83.52000000000001</v>
      </c>
    </row>
    <row r="1094" spans="1:9">
      <c r="B1094" s="467">
        <v>2003</v>
      </c>
      <c r="C1094" s="468">
        <v>5.3999999999999999E-2</v>
      </c>
      <c r="D1094" s="468">
        <v>2.4E-2</v>
      </c>
      <c r="E1094" s="469" t="s">
        <v>1593</v>
      </c>
    </row>
    <row r="1095" spans="1:9">
      <c r="B1095" s="467">
        <v>2004</v>
      </c>
      <c r="C1095" s="468">
        <v>5.7000000000000002E-2</v>
      </c>
      <c r="D1095" s="468">
        <v>5.0999999999999997E-2</v>
      </c>
      <c r="E1095" s="469" t="s">
        <v>1594</v>
      </c>
    </row>
    <row r="1096" spans="1:9">
      <c r="B1096" s="467">
        <v>2005</v>
      </c>
      <c r="C1096" s="468">
        <v>5.0999999999999997E-2</v>
      </c>
      <c r="D1096" s="468">
        <v>4.2999999999999997E-2</v>
      </c>
      <c r="E1096" s="469" t="s">
        <v>1595</v>
      </c>
    </row>
    <row r="1097" spans="1:9">
      <c r="B1097" s="467">
        <v>2006</v>
      </c>
      <c r="C1097" s="468">
        <v>8.5000000000000006E-2</v>
      </c>
      <c r="D1097" s="468">
        <v>0.02</v>
      </c>
      <c r="E1097" s="469" t="s">
        <v>1596</v>
      </c>
    </row>
    <row r="1098" spans="1:9">
      <c r="B1098" s="467">
        <v>2007</v>
      </c>
      <c r="C1098" s="468">
        <v>-2.5000000000000001E-2</v>
      </c>
      <c r="D1098" s="468">
        <v>8.3000000000000004E-2</v>
      </c>
      <c r="E1098" s="469" t="s">
        <v>1597</v>
      </c>
    </row>
    <row r="1099" spans="1:9">
      <c r="B1099" s="467">
        <v>2008</v>
      </c>
      <c r="C1099" s="468">
        <v>4.7E-2</v>
      </c>
      <c r="D1099" s="468">
        <v>-3.2000000000000001E-2</v>
      </c>
      <c r="E1099" s="469" t="s">
        <v>1598</v>
      </c>
    </row>
    <row r="1100" spans="1:9">
      <c r="B1100" s="467">
        <v>2009</v>
      </c>
      <c r="C1100" s="468">
        <v>5.0000000000000001E-3</v>
      </c>
      <c r="D1100" s="468">
        <v>0.04</v>
      </c>
      <c r="E1100" s="469" t="s">
        <v>1599</v>
      </c>
      <c r="F1100" s="427">
        <f>Content!C3/1000</f>
        <v>21.396999999999998</v>
      </c>
      <c r="G1100" s="419">
        <f>F1100*0.8</f>
        <v>17.117599999999999</v>
      </c>
      <c r="H1100" s="427">
        <f t="shared" ref="H1100:H1108" si="94">F1100-G1100</f>
        <v>4.279399999999999</v>
      </c>
      <c r="I1100" s="8">
        <f t="shared" ref="I1100:I1108" si="95">G1100/F1100</f>
        <v>0.8</v>
      </c>
    </row>
    <row r="1101" spans="1:9">
      <c r="B1101" s="467">
        <v>2010</v>
      </c>
      <c r="C1101" s="468">
        <v>5.5E-2</v>
      </c>
      <c r="D1101" s="468">
        <v>5.5E-2</v>
      </c>
      <c r="E1101" s="469" t="s">
        <v>1600</v>
      </c>
      <c r="F1101" s="419">
        <f>(1+C1101)*F1100</f>
        <v>22.573834999999995</v>
      </c>
      <c r="G1101" s="419">
        <f>(1+D1101)*G1100</f>
        <v>18.059068</v>
      </c>
      <c r="H1101" s="427">
        <f t="shared" si="94"/>
        <v>4.5147669999999955</v>
      </c>
      <c r="I1101" s="8">
        <f t="shared" si="95"/>
        <v>0.80000000000000016</v>
      </c>
    </row>
    <row r="1102" spans="1:9">
      <c r="B1102" s="467">
        <v>2011</v>
      </c>
      <c r="C1102" s="468">
        <v>3.0000000000000001E-3</v>
      </c>
      <c r="D1102" s="468">
        <v>-7.0000000000000007E-2</v>
      </c>
      <c r="E1102" s="469" t="s">
        <v>1601</v>
      </c>
      <c r="F1102" s="419">
        <f>(1+C1102)*F1101</f>
        <v>22.641556504999993</v>
      </c>
      <c r="G1102" s="419">
        <f>(1+D1102)*G1101</f>
        <v>16.794933239999999</v>
      </c>
      <c r="H1102" s="427">
        <f t="shared" si="94"/>
        <v>5.8466232649999945</v>
      </c>
      <c r="I1102" s="8">
        <f t="shared" si="95"/>
        <v>0.74177467597208391</v>
      </c>
    </row>
    <row r="1103" spans="1:9">
      <c r="B1103" s="467">
        <v>2012</v>
      </c>
      <c r="C1103" s="468">
        <v>3.1E-2</v>
      </c>
      <c r="D1103" s="468">
        <v>8.8999999999999996E-2</v>
      </c>
      <c r="E1103" s="469" t="s">
        <v>1602</v>
      </c>
      <c r="F1103" s="419">
        <f>Master!L13/1000</f>
        <v>24.865500000000001</v>
      </c>
      <c r="G1103" s="419">
        <f t="shared" ref="G1103:G1108" si="96">(1+D1103)*G1102</f>
        <v>18.289682298359999</v>
      </c>
      <c r="H1103" s="427">
        <f t="shared" si="94"/>
        <v>6.5758177016400019</v>
      </c>
      <c r="I1103" s="8">
        <f t="shared" si="95"/>
        <v>0.73554452145985394</v>
      </c>
    </row>
    <row r="1104" spans="1:9">
      <c r="B1104" s="467">
        <v>2013</v>
      </c>
      <c r="C1104" s="468">
        <v>3.9E-2</v>
      </c>
      <c r="D1104" s="468">
        <v>7.0000000000000001E-3</v>
      </c>
      <c r="E1104" s="469" t="s">
        <v>1603</v>
      </c>
      <c r="F1104" s="419">
        <f>Master!M13/1000</f>
        <v>25.465699999999998</v>
      </c>
      <c r="G1104" s="419">
        <f t="shared" si="96"/>
        <v>18.417710074448518</v>
      </c>
      <c r="H1104" s="427">
        <f t="shared" si="94"/>
        <v>7.0479899255514802</v>
      </c>
      <c r="I1104" s="8">
        <f t="shared" si="95"/>
        <v>0.72323596345077967</v>
      </c>
    </row>
    <row r="1105" spans="1:10">
      <c r="B1105" s="467">
        <v>2014</v>
      </c>
      <c r="C1105" s="468">
        <v>2.4E-2</v>
      </c>
      <c r="D1105" s="468">
        <v>0.04</v>
      </c>
      <c r="E1105" s="469" t="s">
        <v>1604</v>
      </c>
      <c r="F1105" s="419">
        <f>Master!M13/1000</f>
        <v>25.465699999999998</v>
      </c>
      <c r="G1105" s="419">
        <f t="shared" si="96"/>
        <v>19.154418477426461</v>
      </c>
      <c r="H1105" s="427">
        <f t="shared" si="94"/>
        <v>6.3112815225735375</v>
      </c>
      <c r="I1105" s="8">
        <f t="shared" si="95"/>
        <v>0.75216540198881088</v>
      </c>
      <c r="J1105" s="419"/>
    </row>
    <row r="1106" spans="1:10">
      <c r="A1106" s="419">
        <f>Interims!Y192/1000</f>
        <v>20.150700000000001</v>
      </c>
      <c r="B1106" s="467">
        <v>2015</v>
      </c>
      <c r="C1106" s="468">
        <v>-9.6000000000000002E-2</v>
      </c>
      <c r="D1106" s="468">
        <v>-0.115</v>
      </c>
      <c r="E1106" s="469" t="s">
        <v>1605</v>
      </c>
      <c r="F1106" s="419">
        <f>Master!N13/1000</f>
        <v>23.029299999999999</v>
      </c>
      <c r="G1106" s="419">
        <f t="shared" si="96"/>
        <v>16.951660352522417</v>
      </c>
      <c r="H1106" s="427">
        <f t="shared" si="94"/>
        <v>6.0776396474775822</v>
      </c>
      <c r="I1106" s="8">
        <f t="shared" si="95"/>
        <v>0.73609099505944242</v>
      </c>
      <c r="J1106" s="419"/>
    </row>
    <row r="1107" spans="1:10">
      <c r="A1107" s="419">
        <f>Interims!AD192/1000</f>
        <v>20.470400000000001</v>
      </c>
      <c r="B1107" s="467">
        <v>2016</v>
      </c>
      <c r="C1107" s="468">
        <f>Content!J4</f>
        <v>8.4197088057389458E-3</v>
      </c>
      <c r="D1107" s="468">
        <v>0</v>
      </c>
      <c r="E1107" s="469" t="s">
        <v>1606</v>
      </c>
      <c r="F1107" s="419">
        <f>Master!O13/1000</f>
        <v>23.223200000000002</v>
      </c>
      <c r="G1107" s="419">
        <f t="shared" si="96"/>
        <v>16.951660352522417</v>
      </c>
      <c r="H1107" s="427">
        <f t="shared" si="94"/>
        <v>6.2715396474775851</v>
      </c>
      <c r="I1107" s="8">
        <f t="shared" si="95"/>
        <v>0.72994507012480692</v>
      </c>
      <c r="J1107" s="419"/>
    </row>
    <row r="1108" spans="1:10">
      <c r="A1108" s="419">
        <f>Interims!AI192/1000</f>
        <v>21.709400000000002</v>
      </c>
      <c r="B1108" s="467">
        <v>2017</v>
      </c>
      <c r="C1108" s="468">
        <f>Content!K4</f>
        <v>-0.10783182334906471</v>
      </c>
      <c r="D1108" s="468">
        <v>9.8000000000000004E-2</v>
      </c>
      <c r="E1108" s="469"/>
      <c r="F1108" s="419">
        <f>Content!K3/1000</f>
        <v>20.719000000000001</v>
      </c>
      <c r="G1108" s="419">
        <f t="shared" si="96"/>
        <v>18.612923067069616</v>
      </c>
      <c r="H1108" s="427">
        <f t="shared" si="94"/>
        <v>2.1060769329303852</v>
      </c>
      <c r="I1108" s="8">
        <f t="shared" si="95"/>
        <v>0.89835045451371276</v>
      </c>
      <c r="J1108" s="419"/>
    </row>
    <row r="1109" spans="1:10">
      <c r="A1109" s="419">
        <f>Interims!AN192/1000</f>
        <v>18.798299999999998</v>
      </c>
    </row>
    <row r="1110" spans="1:10">
      <c r="I1110" s="8"/>
    </row>
    <row r="1111" spans="1:10">
      <c r="B1111" s="61"/>
      <c r="C1111" s="61">
        <v>2016</v>
      </c>
      <c r="D1111" s="61" t="s">
        <v>1607</v>
      </c>
    </row>
    <row r="1112" spans="1:10">
      <c r="B1112" t="s">
        <v>52</v>
      </c>
      <c r="C1112" s="4">
        <f>Master!O92</f>
        <v>984.2</v>
      </c>
      <c r="D1112">
        <v>550</v>
      </c>
    </row>
    <row r="1113" spans="1:10">
      <c r="B1113" t="s">
        <v>97</v>
      </c>
      <c r="C1113" s="4">
        <f>Master!O91</f>
        <v>346.6</v>
      </c>
      <c r="D1113">
        <v>300</v>
      </c>
    </row>
    <row r="1114" spans="1:10">
      <c r="B1114" s="61" t="s">
        <v>94</v>
      </c>
      <c r="C1114" s="420">
        <f>Master!O90</f>
        <v>150</v>
      </c>
      <c r="D1114" s="61">
        <v>150</v>
      </c>
    </row>
    <row r="1115" spans="1:10">
      <c r="B1115" t="s">
        <v>85</v>
      </c>
      <c r="C1115" s="4">
        <f>SUM(C1112:C1114)</f>
        <v>1480.8000000000002</v>
      </c>
      <c r="D1115" s="4">
        <f>SUM(D1112:D1114)</f>
        <v>1000</v>
      </c>
    </row>
    <row r="1119" spans="1:10" ht="15.75">
      <c r="B1119" s="517" t="s">
        <v>1608</v>
      </c>
      <c r="C1119" s="74"/>
      <c r="D1119" s="74"/>
      <c r="E1119" s="74"/>
      <c r="F1119" s="74"/>
      <c r="H1119" s="74"/>
      <c r="I1119" s="74"/>
    </row>
    <row r="1120" spans="1:10" ht="15.75">
      <c r="C1120" s="74"/>
      <c r="D1120" s="74"/>
      <c r="E1120" s="74"/>
      <c r="F1120" s="74"/>
      <c r="G1120" s="74" t="s">
        <v>205</v>
      </c>
      <c r="H1120" s="74"/>
      <c r="I1120" s="74"/>
    </row>
    <row r="1121" spans="2:9" ht="15.75">
      <c r="B1121" s="217" t="s">
        <v>1609</v>
      </c>
      <c r="C1121" s="217">
        <v>2017</v>
      </c>
      <c r="D1121" s="217">
        <f>C1121+1</f>
        <v>2018</v>
      </c>
      <c r="E1121" s="217">
        <f>D1121+1</f>
        <v>2019</v>
      </c>
      <c r="F1121" s="74"/>
      <c r="G1121" s="217">
        <f>C1121</f>
        <v>2017</v>
      </c>
      <c r="H1121" s="217">
        <f>D1121</f>
        <v>2018</v>
      </c>
      <c r="I1121" s="217">
        <f>E1121</f>
        <v>2019</v>
      </c>
    </row>
    <row r="1122" spans="2:9" ht="15.75">
      <c r="B1122" s="66" t="s">
        <v>189</v>
      </c>
      <c r="C1122" s="125">
        <f>Master!P13</f>
        <v>20719</v>
      </c>
      <c r="D1122" s="125">
        <f>Master!Q13</f>
        <v>21155</v>
      </c>
      <c r="E1122" s="125">
        <f>Master!R13</f>
        <v>19420.400000000001</v>
      </c>
      <c r="F1122" s="66"/>
      <c r="G1122" s="69">
        <f t="shared" ref="G1122:I1124" si="97">C1122/C1149-1</f>
        <v>-0.13381730422239302</v>
      </c>
      <c r="H1122" s="69">
        <f t="shared" si="97"/>
        <v>-0.11558980022321175</v>
      </c>
      <c r="I1122" s="69">
        <f t="shared" si="97"/>
        <v>-0.18810683792270666</v>
      </c>
    </row>
    <row r="1123" spans="2:9" ht="15.75">
      <c r="B1123" s="67" t="s">
        <v>1535</v>
      </c>
      <c r="C1123" s="154">
        <f>C1124-C1122</f>
        <v>13278</v>
      </c>
      <c r="D1123" s="154">
        <f>D1124-D1122</f>
        <v>18096</v>
      </c>
      <c r="E1123" s="154">
        <f>E1124-E1122</f>
        <v>15375</v>
      </c>
      <c r="F1123" s="66"/>
      <c r="G1123" s="73">
        <f t="shared" si="97"/>
        <v>2.2482595983986942E-2</v>
      </c>
      <c r="H1123" s="73">
        <f t="shared" si="97"/>
        <v>0.18915636711926198</v>
      </c>
      <c r="I1123" s="73">
        <f t="shared" si="97"/>
        <v>-4.226958336600839E-2</v>
      </c>
    </row>
    <row r="1124" spans="2:9" ht="15.75">
      <c r="B1124" s="66" t="s">
        <v>1610</v>
      </c>
      <c r="C1124" s="125">
        <f>Master!P17</f>
        <v>33997</v>
      </c>
      <c r="D1124" s="125">
        <f>Master!Q17</f>
        <v>39251</v>
      </c>
      <c r="E1124" s="125">
        <f>Master!R17</f>
        <v>34795.4</v>
      </c>
      <c r="F1124" s="66"/>
      <c r="G1124" s="69">
        <f t="shared" si="97"/>
        <v>-7.8820276998917138E-2</v>
      </c>
      <c r="H1124" s="69">
        <f t="shared" si="97"/>
        <v>2.9024171710867464E-3</v>
      </c>
      <c r="I1124" s="69">
        <f t="shared" si="97"/>
        <v>-0.12953775417944091</v>
      </c>
    </row>
    <row r="1125" spans="2:9" ht="15.75">
      <c r="B1125" s="66"/>
      <c r="C1125" s="125"/>
      <c r="D1125" s="125"/>
      <c r="E1125" s="125"/>
      <c r="F1125" s="66"/>
      <c r="G1125" s="69"/>
      <c r="H1125" s="69"/>
      <c r="I1125" s="69"/>
    </row>
    <row r="1126" spans="2:9" ht="15.75">
      <c r="B1126" s="66" t="s">
        <v>1104</v>
      </c>
      <c r="C1126" s="125">
        <f>Master!P21</f>
        <v>33048</v>
      </c>
      <c r="D1126" s="125">
        <f>Master!Q21</f>
        <v>36233</v>
      </c>
      <c r="E1126" s="125">
        <f>Master!R21</f>
        <v>41702</v>
      </c>
      <c r="F1126" s="66"/>
      <c r="G1126" s="69">
        <f t="shared" ref="G1126:I1129" si="98">C1126/C1153-1</f>
        <v>-4.4921353111314288E-2</v>
      </c>
      <c r="H1126" s="69">
        <f t="shared" si="98"/>
        <v>-6.5067569122463031E-2</v>
      </c>
      <c r="I1126" s="69">
        <f t="shared" si="98"/>
        <v>-2.1771909774488729E-2</v>
      </c>
    </row>
    <row r="1127" spans="2:9" ht="15.75">
      <c r="B1127" s="66" t="s">
        <v>97</v>
      </c>
      <c r="C1127" s="125">
        <f>Master!P23</f>
        <v>22197</v>
      </c>
      <c r="D1127" s="125">
        <f>Master!Q23</f>
        <v>22002</v>
      </c>
      <c r="E1127" s="125">
        <f>Master!R23</f>
        <v>21347</v>
      </c>
      <c r="F1127" s="66"/>
      <c r="G1127" s="69">
        <f t="shared" si="98"/>
        <v>-3.9144738872005203E-2</v>
      </c>
      <c r="H1127" s="69">
        <f t="shared" si="98"/>
        <v>-0.12829411654199252</v>
      </c>
      <c r="I1127" s="69">
        <f t="shared" si="98"/>
        <v>-0.21697303643853383</v>
      </c>
    </row>
    <row r="1128" spans="2:9" ht="15.75">
      <c r="B1128" s="67" t="s">
        <v>107</v>
      </c>
      <c r="C1128" s="154">
        <f>C1129-C1127-C1126-C1124</f>
        <v>5033</v>
      </c>
      <c r="D1128" s="154">
        <f>D1129-D1127-D1126-D1124</f>
        <v>3824</v>
      </c>
      <c r="E1128" s="154">
        <f>E1129-E1127-E1126-E1124</f>
        <v>2806.2000000000044</v>
      </c>
      <c r="F1128" s="66"/>
      <c r="G1128" s="73">
        <f t="shared" si="98"/>
        <v>-5.3220020718925842E-2</v>
      </c>
      <c r="H1128" s="73">
        <f t="shared" si="98"/>
        <v>-0.25101236607547106</v>
      </c>
      <c r="I1128" s="73">
        <f t="shared" si="98"/>
        <v>-0.4340387247723333</v>
      </c>
    </row>
    <row r="1129" spans="2:9" ht="15.75">
      <c r="B1129" s="74" t="s">
        <v>1611</v>
      </c>
      <c r="C1129" s="470">
        <f>Master!P28</f>
        <v>94275</v>
      </c>
      <c r="D1129" s="470">
        <f>Master!Q28</f>
        <v>101310</v>
      </c>
      <c r="E1129" s="470">
        <f>Master!R28</f>
        <v>100650.6</v>
      </c>
      <c r="F1129" s="74"/>
      <c r="G1129" s="152">
        <f t="shared" si="98"/>
        <v>-5.6547403615383685E-2</v>
      </c>
      <c r="H1129" s="152">
        <f t="shared" si="98"/>
        <v>-6.4005384280483968E-2</v>
      </c>
      <c r="I1129" s="152">
        <f t="shared" si="98"/>
        <v>-0.12343628882240643</v>
      </c>
    </row>
    <row r="1130" spans="2:9" ht="15.75">
      <c r="B1130" s="66"/>
      <c r="C1130" s="125"/>
      <c r="D1130" s="125"/>
      <c r="E1130" s="125"/>
      <c r="F1130" s="66"/>
      <c r="G1130" s="69"/>
      <c r="H1130" s="69"/>
      <c r="I1130" s="69"/>
    </row>
    <row r="1131" spans="2:9" ht="15.75">
      <c r="B1131" s="66" t="s">
        <v>94</v>
      </c>
      <c r="C1131" s="125">
        <f>Master!P53</f>
        <v>12825</v>
      </c>
      <c r="D1131" s="125">
        <f>Master!Q53</f>
        <v>14855</v>
      </c>
      <c r="E1131" s="125">
        <f>Master!R53</f>
        <v>12632</v>
      </c>
      <c r="F1131" s="66"/>
      <c r="G1131" s="69">
        <f t="shared" ref="G1131:I1135" si="99">C1131/C1159-1</f>
        <v>-0.14196278411719787</v>
      </c>
      <c r="H1131" s="69">
        <f t="shared" si="99"/>
        <v>-0.11730197914812457</v>
      </c>
      <c r="I1131" s="69">
        <f t="shared" si="99"/>
        <v>-0.26509404349189558</v>
      </c>
    </row>
    <row r="1132" spans="2:9" ht="15.75">
      <c r="B1132" s="66" t="s">
        <v>52</v>
      </c>
      <c r="C1132" s="125">
        <f>Master!P56</f>
        <v>14035</v>
      </c>
      <c r="D1132" s="125">
        <f>Master!Q56</f>
        <v>15303</v>
      </c>
      <c r="E1132" s="125">
        <f>Master!R56</f>
        <v>17798</v>
      </c>
      <c r="F1132" s="66"/>
      <c r="G1132" s="69">
        <f t="shared" si="99"/>
        <v>-4.5628546778112122E-2</v>
      </c>
      <c r="H1132" s="69">
        <f t="shared" si="99"/>
        <v>-9.225628191745272E-2</v>
      </c>
      <c r="I1132" s="69">
        <f t="shared" si="99"/>
        <v>-5.1140802608461766E-2</v>
      </c>
    </row>
    <row r="1133" spans="2:9" ht="15.75">
      <c r="B1133" s="66" t="str">
        <f>B1127</f>
        <v>SKY</v>
      </c>
      <c r="C1133" s="125">
        <f>Master!P55</f>
        <v>10107</v>
      </c>
      <c r="D1133" s="125">
        <f>Master!Q55</f>
        <v>9767</v>
      </c>
      <c r="E1133" s="125">
        <f>Master!R55</f>
        <v>9121</v>
      </c>
      <c r="F1133" s="66"/>
      <c r="G1133" s="69">
        <f t="shared" si="99"/>
        <v>-2.6390011585093132E-2</v>
      </c>
      <c r="H1133" s="69">
        <f t="shared" si="99"/>
        <v>-0.12929893305341467</v>
      </c>
      <c r="I1133" s="69">
        <f t="shared" si="99"/>
        <v>-0.2364902773033003</v>
      </c>
    </row>
    <row r="1134" spans="2:9" ht="15.75">
      <c r="B1134" s="67" t="str">
        <f>B1128</f>
        <v>Other</v>
      </c>
      <c r="C1134" s="154">
        <f>C1135-C1133-C1132-C1131</f>
        <v>-4187</v>
      </c>
      <c r="D1134" s="154">
        <f>D1135-D1133-D1132-D1131</f>
        <v>-3352.5</v>
      </c>
      <c r="E1134" s="154">
        <f>E1135-E1133-E1132-E1131</f>
        <v>-1332.9000000000015</v>
      </c>
      <c r="F1134" s="66"/>
      <c r="G1134" s="73">
        <f t="shared" si="99"/>
        <v>1.4800998200195115</v>
      </c>
      <c r="H1134" s="73">
        <f t="shared" si="99"/>
        <v>1.1834963041947892</v>
      </c>
      <c r="I1134" s="73">
        <f t="shared" si="99"/>
        <v>-0.15793456059790068</v>
      </c>
    </row>
    <row r="1135" spans="2:9" ht="15.75">
      <c r="B1135" s="74" t="s">
        <v>1612</v>
      </c>
      <c r="C1135" s="470">
        <f>Master!P63</f>
        <v>32780</v>
      </c>
      <c r="D1135" s="470">
        <f>Master!Q63</f>
        <v>36572.5</v>
      </c>
      <c r="E1135" s="470">
        <f>Master!R63</f>
        <v>38218.1</v>
      </c>
      <c r="F1135" s="74"/>
      <c r="G1135" s="152">
        <f t="shared" si="99"/>
        <v>-0.14514385857993861</v>
      </c>
      <c r="H1135" s="152">
        <f t="shared" si="99"/>
        <v>-0.15672077530172113</v>
      </c>
      <c r="I1135" s="152">
        <f t="shared" si="99"/>
        <v>-0.17471744857314819</v>
      </c>
    </row>
    <row r="1136" spans="2:9" ht="15.75">
      <c r="B1136" s="66"/>
      <c r="C1136" s="125"/>
      <c r="D1136" s="125"/>
      <c r="E1136" s="125"/>
      <c r="F1136" s="66"/>
      <c r="G1136" s="69"/>
      <c r="H1136" s="69"/>
      <c r="I1136" s="69"/>
    </row>
    <row r="1137" spans="2:9" ht="15.75">
      <c r="B1137" s="66" t="s">
        <v>218</v>
      </c>
      <c r="C1137" s="125">
        <f>Master!P82</f>
        <v>2147.0399999999995</v>
      </c>
      <c r="D1137" s="125">
        <f>Master!Q82</f>
        <v>1824.8999999999999</v>
      </c>
      <c r="E1137" s="125">
        <f>Master!R82</f>
        <v>2075.15</v>
      </c>
      <c r="F1137" s="66"/>
      <c r="G1137" s="69">
        <f t="shared" ref="G1137:I1140" si="100">C1137/C1166-1</f>
        <v>-0.27355147515254685</v>
      </c>
      <c r="H1137" s="69">
        <f t="shared" si="100"/>
        <v>-0.41075377981919658</v>
      </c>
      <c r="I1137" s="69">
        <f t="shared" si="100"/>
        <v>-0.34022176124220083</v>
      </c>
    </row>
    <row r="1138" spans="2:9" ht="15.75">
      <c r="B1138" s="66" t="str">
        <f>B1132</f>
        <v>Cable</v>
      </c>
      <c r="C1138" s="125">
        <f>Master!P84</f>
        <v>10578.33</v>
      </c>
      <c r="D1138" s="125">
        <f>Master!Q84</f>
        <v>12801.25</v>
      </c>
      <c r="E1138" s="125">
        <f>Master!R84</f>
        <v>12966.800000000001</v>
      </c>
      <c r="F1138" s="66"/>
      <c r="G1138" s="69">
        <f t="shared" si="100"/>
        <v>9.1824997270419262E-2</v>
      </c>
      <c r="H1138" s="69">
        <f t="shared" si="100"/>
        <v>0.32126004258781449</v>
      </c>
      <c r="I1138" s="69">
        <f t="shared" si="100"/>
        <v>0.26737406682494846</v>
      </c>
    </row>
    <row r="1139" spans="2:9" ht="15.75">
      <c r="B1139" s="67" t="str">
        <f>B1133</f>
        <v>SKY</v>
      </c>
      <c r="C1139" s="154">
        <f>Master!P83</f>
        <v>3995.4599999999996</v>
      </c>
      <c r="D1139" s="154">
        <f>Master!Q83</f>
        <v>4034.7999999999997</v>
      </c>
      <c r="E1139" s="154">
        <f>Master!R83</f>
        <v>4025.1749999999997</v>
      </c>
      <c r="F1139" s="66"/>
      <c r="G1139" s="73">
        <f t="shared" si="100"/>
        <v>-0.31070838636673126</v>
      </c>
      <c r="H1139" s="73">
        <f t="shared" si="100"/>
        <v>-0.34713965869987007</v>
      </c>
      <c r="I1139" s="73">
        <f t="shared" si="100"/>
        <v>-0.22150167077668015</v>
      </c>
    </row>
    <row r="1140" spans="2:9" ht="15.75">
      <c r="B1140" s="74" t="s">
        <v>216</v>
      </c>
      <c r="C1140" s="470">
        <f>SUM(C1137:C1139)</f>
        <v>16720.829999999998</v>
      </c>
      <c r="D1140" s="470">
        <f>SUM(D1137:D1139)</f>
        <v>18660.95</v>
      </c>
      <c r="E1140" s="470">
        <f>SUM(E1137:E1139)</f>
        <v>19067.125</v>
      </c>
      <c r="F1140" s="74"/>
      <c r="G1140" s="152">
        <f t="shared" si="100"/>
        <v>-9.3263431853716106E-2</v>
      </c>
      <c r="H1140" s="152">
        <f t="shared" si="100"/>
        <v>-1.6076999189682084E-2</v>
      </c>
      <c r="I1140" s="152">
        <f t="shared" si="100"/>
        <v>2.8049608131831993E-2</v>
      </c>
    </row>
    <row r="1141" spans="2:9" ht="15.75">
      <c r="B1141" s="66"/>
      <c r="C1141" s="125"/>
      <c r="D1141" s="125"/>
      <c r="E1141" s="125"/>
      <c r="F1141" s="66"/>
      <c r="G1141" s="69"/>
      <c r="H1141" s="69"/>
      <c r="I1141" s="69"/>
    </row>
    <row r="1142" spans="2:9" ht="15.75">
      <c r="B1142" s="66" t="str">
        <f>B1137</f>
        <v>Content/other</v>
      </c>
      <c r="C1142" s="125">
        <f>C1131+C1134-C1137</f>
        <v>6490.9600000000009</v>
      </c>
      <c r="D1142" s="125">
        <f>D1131+D1134-D1137</f>
        <v>9677.6</v>
      </c>
      <c r="E1142" s="125">
        <f>E1131+E1134-E1137</f>
        <v>9223.9499999999989</v>
      </c>
      <c r="F1142" s="66"/>
      <c r="G1142" s="69">
        <f t="shared" ref="G1142:I1145" si="101">C1142/C1172-1</f>
        <v>-0.37000153322731555</v>
      </c>
      <c r="H1142" s="69">
        <f t="shared" si="101"/>
        <v>-0.2065392028314057</v>
      </c>
      <c r="I1142" s="69">
        <f t="shared" si="101"/>
        <v>-0.2597434135073694</v>
      </c>
    </row>
    <row r="1143" spans="2:9" ht="15.75">
      <c r="B1143" s="66" t="str">
        <f>B1138</f>
        <v>Cable</v>
      </c>
      <c r="C1143" s="125">
        <f t="shared" ref="C1143:E1144" si="102">C1132-C1138</f>
        <v>3456.67</v>
      </c>
      <c r="D1143" s="125">
        <f t="shared" si="102"/>
        <v>2501.75</v>
      </c>
      <c r="E1143" s="125">
        <f t="shared" si="102"/>
        <v>4831.1999999999989</v>
      </c>
      <c r="F1143" s="66"/>
      <c r="G1143" s="69">
        <f t="shared" si="101"/>
        <v>-0.31105608011320751</v>
      </c>
      <c r="H1143" s="69">
        <f t="shared" si="101"/>
        <v>-0.65106212584348921</v>
      </c>
      <c r="I1143" s="69">
        <f t="shared" si="101"/>
        <v>-0.43335864592855411</v>
      </c>
    </row>
    <row r="1144" spans="2:9" ht="15.75">
      <c r="B1144" s="67" t="str">
        <f>B1139</f>
        <v>SKY</v>
      </c>
      <c r="C1144" s="154">
        <f t="shared" si="102"/>
        <v>6111.5400000000009</v>
      </c>
      <c r="D1144" s="154">
        <f t="shared" si="102"/>
        <v>5732.2000000000007</v>
      </c>
      <c r="E1144" s="154">
        <f t="shared" si="102"/>
        <v>5095.8250000000007</v>
      </c>
      <c r="F1144" s="66"/>
      <c r="G1144" s="73">
        <f t="shared" si="101"/>
        <v>0.33309315701393283</v>
      </c>
      <c r="H1144" s="73">
        <f t="shared" si="101"/>
        <v>0.13797144594355992</v>
      </c>
      <c r="I1144" s="73">
        <f t="shared" si="101"/>
        <v>-0.24792783637413063</v>
      </c>
    </row>
    <row r="1145" spans="2:9" ht="15.75">
      <c r="B1145" s="74" t="s">
        <v>229</v>
      </c>
      <c r="C1145" s="470">
        <f>C1135-C1140</f>
        <v>16059.170000000002</v>
      </c>
      <c r="D1145" s="470">
        <f>D1135-D1140</f>
        <v>17911.55</v>
      </c>
      <c r="E1145" s="470">
        <f>E1135-E1140</f>
        <v>19150.974999999999</v>
      </c>
      <c r="F1145" s="74"/>
      <c r="G1145" s="152">
        <f t="shared" si="101"/>
        <v>-0.19320774294622645</v>
      </c>
      <c r="H1145" s="152">
        <f t="shared" si="101"/>
        <v>-0.26602594286479198</v>
      </c>
      <c r="I1145" s="152">
        <f t="shared" si="101"/>
        <v>-0.31017848267494963</v>
      </c>
    </row>
    <row r="1147" spans="2:9" ht="15.75">
      <c r="B1147" s="74" t="s">
        <v>1199</v>
      </c>
      <c r="C1147" s="74"/>
      <c r="D1147" s="74"/>
      <c r="E1147" s="74"/>
    </row>
    <row r="1148" spans="2:9" ht="15.75">
      <c r="B1148" s="217" t="s">
        <v>1609</v>
      </c>
      <c r="C1148" s="217">
        <v>2017</v>
      </c>
      <c r="D1148" s="217">
        <f>C1148+1</f>
        <v>2018</v>
      </c>
      <c r="E1148" s="217">
        <f>D1148+1</f>
        <v>2019</v>
      </c>
    </row>
    <row r="1149" spans="2:9" ht="15.75">
      <c r="B1149" s="66" t="s">
        <v>189</v>
      </c>
      <c r="C1149" s="125">
        <v>23919.896000000001</v>
      </c>
      <c r="D1149" s="125">
        <v>23919.896000000001</v>
      </c>
      <c r="E1149" s="125">
        <v>23919.896000000001</v>
      </c>
    </row>
    <row r="1150" spans="2:9" ht="15.75">
      <c r="B1150" s="66" t="s">
        <v>1535</v>
      </c>
      <c r="C1150" s="125">
        <v>12986.040106845932</v>
      </c>
      <c r="D1150" s="125">
        <v>15217.51091812901</v>
      </c>
      <c r="E1150" s="125">
        <v>16053.578055959086</v>
      </c>
    </row>
    <row r="1151" spans="2:9" ht="15.75">
      <c r="B1151" s="66" t="s">
        <v>1610</v>
      </c>
      <c r="C1151" s="125">
        <v>36905.936106845933</v>
      </c>
      <c r="D1151" s="125">
        <v>39137.406918129011</v>
      </c>
      <c r="E1151" s="125">
        <v>39973.474055959086</v>
      </c>
    </row>
    <row r="1152" spans="2:9" ht="15.75">
      <c r="B1152" s="66"/>
      <c r="C1152" s="125"/>
      <c r="D1152" s="125"/>
      <c r="E1152" s="125"/>
    </row>
    <row r="1153" spans="2:5" ht="15.75">
      <c r="B1153" s="66" t="s">
        <v>1104</v>
      </c>
      <c r="C1153" s="125">
        <v>34602.385999999999</v>
      </c>
      <c r="D1153" s="125">
        <v>38754.672320000005</v>
      </c>
      <c r="E1153" s="125">
        <v>42630.139552000008</v>
      </c>
    </row>
    <row r="1154" spans="2:5" ht="15.75">
      <c r="B1154" s="66" t="s">
        <v>97</v>
      </c>
      <c r="C1154" s="125">
        <v>23101.294126174489</v>
      </c>
      <c r="D1154" s="125">
        <v>25240.164621488297</v>
      </c>
      <c r="E1154" s="125">
        <v>27262.15187138227</v>
      </c>
    </row>
    <row r="1155" spans="2:5" ht="15.75">
      <c r="B1155" s="67" t="s">
        <v>107</v>
      </c>
      <c r="C1155" s="154">
        <v>5315.9130000000077</v>
      </c>
      <c r="D1155" s="154">
        <v>5105.5582586365126</v>
      </c>
      <c r="E1155" s="154">
        <v>4958.2897679194866</v>
      </c>
    </row>
    <row r="1156" spans="2:5" ht="15.75">
      <c r="B1156" s="66" t="s">
        <v>222</v>
      </c>
      <c r="C1156" s="125">
        <v>99925.529233020425</v>
      </c>
      <c r="D1156" s="125">
        <v>108237.80211825382</v>
      </c>
      <c r="E1156" s="125">
        <v>114824.05524726085</v>
      </c>
    </row>
    <row r="1157" spans="2:5" ht="15.75">
      <c r="B1157" s="66"/>
      <c r="C1157" s="125"/>
      <c r="D1157" s="125"/>
      <c r="E1157" s="125"/>
    </row>
    <row r="1158" spans="2:5" ht="15.75">
      <c r="B1158" s="66" t="s">
        <v>1133</v>
      </c>
      <c r="C1158" s="125"/>
      <c r="D1158" s="125"/>
      <c r="E1158" s="125"/>
    </row>
    <row r="1159" spans="2:5" ht="15.75">
      <c r="B1159" s="66" t="s">
        <v>94</v>
      </c>
      <c r="C1159" s="125">
        <v>14946.904123272603</v>
      </c>
      <c r="D1159" s="125">
        <v>16829.084974795474</v>
      </c>
      <c r="E1159" s="125">
        <v>17188.593844062409</v>
      </c>
    </row>
    <row r="1160" spans="2:5" ht="15.75">
      <c r="B1160" s="66" t="s">
        <v>52</v>
      </c>
      <c r="C1160" s="125">
        <v>14706.01405</v>
      </c>
      <c r="D1160" s="125">
        <v>16858.282459200003</v>
      </c>
      <c r="E1160" s="125">
        <v>18757.261402880005</v>
      </c>
    </row>
    <row r="1161" spans="2:5" ht="15.75">
      <c r="B1161" s="66" t="str">
        <f>B1154</f>
        <v>SKY</v>
      </c>
      <c r="C1161" s="125">
        <v>10380.953482672028</v>
      </c>
      <c r="D1161" s="125">
        <v>11217.397532601362</v>
      </c>
      <c r="E1161" s="125">
        <v>11946.147807764421</v>
      </c>
    </row>
    <row r="1162" spans="2:5" ht="15.75">
      <c r="B1162" s="67" t="str">
        <f>B1155</f>
        <v>Other</v>
      </c>
      <c r="C1162" s="154">
        <v>-1688.2384999999958</v>
      </c>
      <c r="D1162" s="154">
        <v>-1535.381577499993</v>
      </c>
      <c r="E1162" s="154">
        <v>-1582.8936061625027</v>
      </c>
    </row>
    <row r="1163" spans="2:5" ht="15.75">
      <c r="B1163" s="66" t="str">
        <f>B1156</f>
        <v>Group</v>
      </c>
      <c r="C1163" s="125">
        <v>38345.633155944633</v>
      </c>
      <c r="D1163" s="125">
        <v>43369.383389096845</v>
      </c>
      <c r="E1163" s="125">
        <v>46309.109448544332</v>
      </c>
    </row>
    <row r="1164" spans="2:5" ht="15.75">
      <c r="B1164" s="66"/>
      <c r="C1164" s="125"/>
      <c r="D1164" s="125"/>
      <c r="E1164" s="125"/>
    </row>
    <row r="1165" spans="2:5" ht="15.75">
      <c r="B1165" s="66" t="s">
        <v>1613</v>
      </c>
      <c r="C1165" s="125"/>
      <c r="D1165" s="125"/>
      <c r="E1165" s="125"/>
    </row>
    <row r="1166" spans="2:5" ht="15.75">
      <c r="B1166" s="66" t="s">
        <v>218</v>
      </c>
      <c r="C1166" s="125">
        <v>2955.5294374792161</v>
      </c>
      <c r="D1166" s="125">
        <v>3097.007562373587</v>
      </c>
      <c r="E1166" s="125">
        <v>3145.2234676715002</v>
      </c>
    </row>
    <row r="1167" spans="2:5" ht="15.75">
      <c r="B1167" s="66" t="str">
        <f>B1160</f>
        <v>Cable</v>
      </c>
      <c r="C1167" s="125">
        <v>9688.6680800000013</v>
      </c>
      <c r="D1167" s="125">
        <v>9688.6680800000013</v>
      </c>
      <c r="E1167" s="125">
        <v>10231.233492480002</v>
      </c>
    </row>
    <row r="1168" spans="2:5" ht="15.75">
      <c r="B1168" s="67" t="str">
        <f>B1161</f>
        <v>SKY</v>
      </c>
      <c r="C1168" s="154">
        <v>5796.4726698760433</v>
      </c>
      <c r="D1168" s="154">
        <v>6180.188540729785</v>
      </c>
      <c r="E1168" s="154">
        <v>5170.4349886219716</v>
      </c>
    </row>
    <row r="1169" spans="2:5" ht="15.75">
      <c r="B1169" s="66" t="str">
        <f>B1163</f>
        <v>Group</v>
      </c>
      <c r="C1169" s="125">
        <v>18440.670187355259</v>
      </c>
      <c r="D1169" s="125">
        <v>18965.864183103375</v>
      </c>
      <c r="E1169" s="125">
        <v>18546.891948773475</v>
      </c>
    </row>
    <row r="1170" spans="2:5" ht="15.75">
      <c r="B1170" s="66"/>
      <c r="C1170" s="125"/>
      <c r="D1170" s="125"/>
      <c r="E1170" s="125"/>
    </row>
    <row r="1171" spans="2:5" ht="15.75">
      <c r="B1171" s="66" t="s">
        <v>1614</v>
      </c>
      <c r="C1171" s="125"/>
      <c r="D1171" s="125"/>
      <c r="E1171" s="125"/>
    </row>
    <row r="1172" spans="2:5" ht="15.75">
      <c r="B1172" s="66" t="str">
        <f>B1166</f>
        <v>Content/other</v>
      </c>
      <c r="C1172" s="125">
        <v>10303.136185793392</v>
      </c>
      <c r="D1172" s="125">
        <v>12196.695834921895</v>
      </c>
      <c r="E1172" s="125">
        <v>12460.476770228406</v>
      </c>
    </row>
    <row r="1173" spans="2:5" ht="15.75">
      <c r="B1173" s="66" t="str">
        <f>B1167</f>
        <v>Cable</v>
      </c>
      <c r="C1173" s="125">
        <v>5017.3459699999985</v>
      </c>
      <c r="D1173" s="125">
        <v>7169.6143792000021</v>
      </c>
      <c r="E1173" s="125">
        <v>8526.0279104000037</v>
      </c>
    </row>
    <row r="1174" spans="2:5" ht="15.75">
      <c r="B1174" s="67" t="str">
        <f>B1168</f>
        <v>SKY</v>
      </c>
      <c r="C1174" s="154">
        <v>4584.480812795985</v>
      </c>
      <c r="D1174" s="154">
        <v>5037.2089918715774</v>
      </c>
      <c r="E1174" s="154">
        <v>6775.712819142449</v>
      </c>
    </row>
    <row r="1175" spans="2:5" ht="15.75">
      <c r="B1175" s="66" t="str">
        <f>B1169</f>
        <v>Group</v>
      </c>
      <c r="C1175" s="125">
        <v>19904.962968589374</v>
      </c>
      <c r="D1175" s="125">
        <v>24403.519205993471</v>
      </c>
      <c r="E1175" s="125">
        <v>27762.217499770857</v>
      </c>
    </row>
    <row r="1181" spans="2:5">
      <c r="B1181" s="121" t="s">
        <v>1615</v>
      </c>
    </row>
    <row r="1182" spans="2:5">
      <c r="B1182" s="42" t="s">
        <v>1616</v>
      </c>
      <c r="C1182" s="42"/>
      <c r="D1182" s="42" t="s">
        <v>1617</v>
      </c>
    </row>
    <row r="1183" spans="2:5">
      <c r="B1183" s="61" t="s">
        <v>1618</v>
      </c>
      <c r="C1183" t="s">
        <v>1619</v>
      </c>
      <c r="D1183" s="61" t="s">
        <v>1620</v>
      </c>
      <c r="E1183" t="s">
        <v>1619</v>
      </c>
    </row>
    <row r="1185" spans="2:5">
      <c r="B1185" s="42" t="s">
        <v>1621</v>
      </c>
      <c r="C1185" s="8">
        <v>0.3</v>
      </c>
    </row>
    <row r="1186" spans="2:5">
      <c r="B1186" s="136">
        <f>E1186*B1189</f>
        <v>360</v>
      </c>
      <c r="D1186" t="s">
        <v>467</v>
      </c>
      <c r="E1186" s="8">
        <f>E1192</f>
        <v>0.6</v>
      </c>
    </row>
    <row r="1188" spans="2:5">
      <c r="B1188" s="137">
        <f>B1189-B1186</f>
        <v>240</v>
      </c>
      <c r="C1188" s="61"/>
      <c r="D1188" s="61" t="s">
        <v>1622</v>
      </c>
      <c r="E1188" s="457">
        <f>E1194</f>
        <v>0.4</v>
      </c>
    </row>
    <row r="1189" spans="2:5" ht="15.75" thickBot="1">
      <c r="B1189" s="473">
        <f>C1185/C1191*B1195</f>
        <v>600</v>
      </c>
      <c r="C1189" s="474"/>
      <c r="D1189" s="474"/>
      <c r="E1189" s="474"/>
    </row>
    <row r="1190" spans="2:5" ht="15.75" thickTop="1">
      <c r="B1190" s="136"/>
    </row>
    <row r="1191" spans="2:5">
      <c r="B1191" s="42" t="s">
        <v>6</v>
      </c>
      <c r="C1191" s="8">
        <v>0.7</v>
      </c>
    </row>
    <row r="1192" spans="2:5">
      <c r="B1192" s="136">
        <f>E1192*B1195</f>
        <v>840</v>
      </c>
      <c r="D1192" t="s">
        <v>467</v>
      </c>
      <c r="E1192" s="8">
        <v>0.6</v>
      </c>
    </row>
    <row r="1194" spans="2:5">
      <c r="B1194" s="136">
        <f>B1195-B1192</f>
        <v>560</v>
      </c>
      <c r="D1194" t="s">
        <v>1622</v>
      </c>
      <c r="E1194" s="8">
        <v>0.4</v>
      </c>
    </row>
    <row r="1195" spans="2:5" ht="15.75" thickBot="1">
      <c r="B1195" s="473">
        <v>1400</v>
      </c>
      <c r="C1195" s="474"/>
      <c r="D1195" s="474"/>
      <c r="E1195" s="474"/>
    </row>
    <row r="1196" spans="2:5" ht="15.75" thickTop="1"/>
    <row r="1197" spans="2:5">
      <c r="B1197" t="s">
        <v>1623</v>
      </c>
      <c r="C1197">
        <f>B1195</f>
        <v>1400</v>
      </c>
    </row>
    <row r="1198" spans="2:5">
      <c r="B1198" s="61" t="s">
        <v>1624</v>
      </c>
      <c r="C1198" s="61">
        <f>B1186+B1192</f>
        <v>1200</v>
      </c>
    </row>
    <row r="1199" spans="2:5">
      <c r="B1199" t="s">
        <v>1625</v>
      </c>
      <c r="C1199">
        <f>C1197-C1198</f>
        <v>200</v>
      </c>
    </row>
    <row r="1201" spans="1:5">
      <c r="A1201" s="136"/>
      <c r="B1201" s="121" t="s">
        <v>1626</v>
      </c>
    </row>
    <row r="1202" spans="1:5">
      <c r="B1202" s="42" t="s">
        <v>1616</v>
      </c>
      <c r="C1202" s="42"/>
      <c r="D1202" s="42" t="s">
        <v>1617</v>
      </c>
    </row>
    <row r="1203" spans="1:5">
      <c r="B1203" s="61" t="s">
        <v>1618</v>
      </c>
      <c r="C1203" t="s">
        <v>1619</v>
      </c>
      <c r="D1203" s="61" t="s">
        <v>1620</v>
      </c>
      <c r="E1203" t="s">
        <v>1619</v>
      </c>
    </row>
    <row r="1204" spans="1:5">
      <c r="A1204" s="136"/>
    </row>
    <row r="1205" spans="1:5">
      <c r="B1205" s="42" t="s">
        <v>1621</v>
      </c>
      <c r="C1205" s="8">
        <v>0.3</v>
      </c>
    </row>
    <row r="1206" spans="1:5">
      <c r="B1206" s="136">
        <f>B1186</f>
        <v>360</v>
      </c>
      <c r="D1206" t="s">
        <v>467</v>
      </c>
      <c r="E1206" s="8">
        <f>E1212</f>
        <v>0.6</v>
      </c>
    </row>
    <row r="1208" spans="1:5">
      <c r="B1208" s="137">
        <f>B1188</f>
        <v>240</v>
      </c>
      <c r="C1208" s="61"/>
      <c r="D1208" s="61" t="s">
        <v>1622</v>
      </c>
      <c r="E1208" s="457">
        <f>E1214</f>
        <v>0.4</v>
      </c>
    </row>
    <row r="1209" spans="1:5" ht="15.75" thickBot="1">
      <c r="B1209" s="473">
        <f>B1206+B1208</f>
        <v>600</v>
      </c>
      <c r="C1209" s="474"/>
      <c r="D1209" s="474"/>
      <c r="E1209" s="474"/>
    </row>
    <row r="1210" spans="1:5" ht="15.75" thickTop="1">
      <c r="B1210" s="136"/>
    </row>
    <row r="1211" spans="1:5">
      <c r="B1211" s="42" t="s">
        <v>6</v>
      </c>
      <c r="C1211" s="8">
        <v>0.7</v>
      </c>
    </row>
    <row r="1212" spans="1:5">
      <c r="B1212" s="136"/>
      <c r="D1212" t="s">
        <v>467</v>
      </c>
      <c r="E1212" s="8">
        <v>0.6</v>
      </c>
    </row>
    <row r="1214" spans="1:5">
      <c r="B1214" s="136"/>
      <c r="D1214" t="s">
        <v>1622</v>
      </c>
      <c r="E1214" s="8">
        <v>0.4</v>
      </c>
    </row>
    <row r="1215" spans="1:5" ht="15.75" thickBot="1">
      <c r="B1215" s="473"/>
      <c r="C1215" s="474"/>
      <c r="D1215" s="474"/>
      <c r="E1215" s="474"/>
    </row>
    <row r="1216" spans="1:5" ht="15.75" thickTop="1"/>
    <row r="1217" spans="2:5">
      <c r="B1217" t="s">
        <v>1623</v>
      </c>
      <c r="C1217">
        <f>B1215</f>
        <v>0</v>
      </c>
    </row>
    <row r="1218" spans="2:5">
      <c r="B1218" s="61" t="s">
        <v>1624</v>
      </c>
      <c r="C1218" s="61">
        <f>B1206+B1212</f>
        <v>360</v>
      </c>
    </row>
    <row r="1219" spans="2:5">
      <c r="B1219" t="s">
        <v>1625</v>
      </c>
      <c r="C1219">
        <f>C1217-C1218</f>
        <v>-360</v>
      </c>
    </row>
    <row r="1221" spans="2:5">
      <c r="B1221" s="121" t="s">
        <v>1627</v>
      </c>
    </row>
    <row r="1222" spans="2:5">
      <c r="B1222" s="42" t="s">
        <v>1616</v>
      </c>
      <c r="C1222" s="42"/>
      <c r="D1222" s="42" t="s">
        <v>1617</v>
      </c>
    </row>
    <row r="1223" spans="2:5">
      <c r="B1223" s="61" t="s">
        <v>1618</v>
      </c>
      <c r="C1223" t="s">
        <v>1619</v>
      </c>
      <c r="D1223" s="61" t="s">
        <v>1620</v>
      </c>
      <c r="E1223" t="s">
        <v>1619</v>
      </c>
    </row>
    <row r="1225" spans="2:5">
      <c r="B1225" s="42" t="s">
        <v>1621</v>
      </c>
      <c r="C1225" s="8">
        <v>0.3</v>
      </c>
    </row>
    <row r="1226" spans="2:5">
      <c r="B1226" s="136">
        <f>B1206</f>
        <v>360</v>
      </c>
      <c r="D1226" t="s">
        <v>467</v>
      </c>
      <c r="E1226" s="8">
        <f>E1232</f>
        <v>0.6</v>
      </c>
    </row>
    <row r="1228" spans="2:5">
      <c r="B1228" s="137">
        <f>B1208</f>
        <v>240</v>
      </c>
      <c r="C1228" s="61"/>
      <c r="D1228" s="61" t="s">
        <v>1622</v>
      </c>
      <c r="E1228" s="457">
        <f>E1234</f>
        <v>0.4</v>
      </c>
    </row>
    <row r="1229" spans="2:5" ht="15.75" thickBot="1">
      <c r="B1229" s="473">
        <f>B1226+B1228</f>
        <v>600</v>
      </c>
      <c r="C1229" s="474"/>
      <c r="D1229" s="474"/>
      <c r="E1229" s="474"/>
    </row>
    <row r="1230" spans="2:5" ht="15.75" thickTop="1">
      <c r="B1230" s="136"/>
    </row>
    <row r="1231" spans="2:5">
      <c r="B1231" s="42" t="s">
        <v>6</v>
      </c>
      <c r="C1231" s="8">
        <v>0.7</v>
      </c>
    </row>
    <row r="1232" spans="2:5">
      <c r="B1232" s="136"/>
      <c r="D1232" t="s">
        <v>467</v>
      </c>
      <c r="E1232" s="8">
        <v>0.6</v>
      </c>
    </row>
    <row r="1234" spans="2:5">
      <c r="B1234" s="136"/>
      <c r="D1234" t="s">
        <v>1622</v>
      </c>
      <c r="E1234" s="8">
        <v>0.4</v>
      </c>
    </row>
    <row r="1235" spans="2:5" ht="15.75" thickBot="1">
      <c r="B1235" s="473"/>
      <c r="C1235" s="474"/>
      <c r="D1235" s="474"/>
      <c r="E1235" s="474"/>
    </row>
    <row r="1236" spans="2:5" ht="15.75" thickTop="1"/>
    <row r="1237" spans="2:5">
      <c r="B1237" t="s">
        <v>1623</v>
      </c>
      <c r="C1237">
        <f>B1235</f>
        <v>0</v>
      </c>
    </row>
    <row r="1238" spans="2:5">
      <c r="B1238" s="61" t="s">
        <v>1624</v>
      </c>
      <c r="C1238" s="61">
        <f>B1226+B1232</f>
        <v>360</v>
      </c>
    </row>
    <row r="1239" spans="2:5">
      <c r="B1239" t="s">
        <v>1625</v>
      </c>
      <c r="C1239">
        <f>C1237-C1238</f>
        <v>-360</v>
      </c>
    </row>
    <row r="1241" spans="2:5">
      <c r="B1241" s="42" t="s">
        <v>1628</v>
      </c>
    </row>
    <row r="1242" spans="2:5">
      <c r="B1242" t="s">
        <v>1629</v>
      </c>
    </row>
    <row r="1244" spans="2:5">
      <c r="B1244" t="s">
        <v>1630</v>
      </c>
      <c r="C1244" t="s">
        <v>1631</v>
      </c>
    </row>
    <row r="1245" spans="2:5">
      <c r="C1245" t="s">
        <v>1632</v>
      </c>
    </row>
    <row r="1246" spans="2:5">
      <c r="C1246" t="s">
        <v>1633</v>
      </c>
    </row>
    <row r="1247" spans="2:5">
      <c r="C1247" t="s">
        <v>1634</v>
      </c>
    </row>
    <row r="1249" spans="2:5" ht="15.75">
      <c r="B1249" s="217" t="s">
        <v>1635</v>
      </c>
      <c r="C1249" s="388" t="s">
        <v>1636</v>
      </c>
      <c r="D1249" s="388" t="s">
        <v>1637</v>
      </c>
      <c r="E1249" s="388" t="s">
        <v>1638</v>
      </c>
    </row>
    <row r="1250" spans="2:5" ht="15.75">
      <c r="B1250" s="66" t="s">
        <v>1639</v>
      </c>
      <c r="C1250" s="66">
        <v>8.5</v>
      </c>
      <c r="D1250" s="66">
        <v>46.3</v>
      </c>
      <c r="E1250" s="69">
        <f t="shared" ref="E1250:E1260" si="103">(D1250-C1250)/D1250</f>
        <v>0.81641468682505403</v>
      </c>
    </row>
    <row r="1251" spans="2:5" ht="15.75">
      <c r="B1251" s="66" t="s">
        <v>1640</v>
      </c>
      <c r="C1251" s="66">
        <v>5.8</v>
      </c>
      <c r="D1251" s="66">
        <v>32.9</v>
      </c>
      <c r="E1251" s="69">
        <f t="shared" si="103"/>
        <v>0.82370820668693001</v>
      </c>
    </row>
    <row r="1252" spans="2:5" ht="15.75">
      <c r="B1252" s="66" t="s">
        <v>1641</v>
      </c>
      <c r="C1252" s="112">
        <f>C1253/20.5</f>
        <v>3.2195121951219514</v>
      </c>
      <c r="D1252" s="112">
        <f>D1253/20.5</f>
        <v>15.180487804878052</v>
      </c>
      <c r="E1252" s="69">
        <f t="shared" si="103"/>
        <v>0.78791773778920315</v>
      </c>
    </row>
    <row r="1253" spans="2:5" ht="15.75">
      <c r="B1253" s="66" t="s">
        <v>1642</v>
      </c>
      <c r="C1253" s="66">
        <v>66</v>
      </c>
      <c r="D1253" s="66">
        <f>389*0.8</f>
        <v>311.20000000000005</v>
      </c>
      <c r="E1253" s="69">
        <f t="shared" si="103"/>
        <v>0.78791773778920315</v>
      </c>
    </row>
    <row r="1254" spans="2:5" ht="15.75">
      <c r="B1254" s="66" t="s">
        <v>1643</v>
      </c>
      <c r="C1254" s="66">
        <v>7.4</v>
      </c>
      <c r="D1254" s="66">
        <v>34.5</v>
      </c>
      <c r="E1254" s="69">
        <f t="shared" si="103"/>
        <v>0.78550724637681169</v>
      </c>
    </row>
    <row r="1255" spans="2:5" ht="15.75">
      <c r="B1255" s="66" t="s">
        <v>1644</v>
      </c>
      <c r="C1255" s="66">
        <v>8.6</v>
      </c>
      <c r="D1255" s="66">
        <v>35.700000000000003</v>
      </c>
      <c r="E1255" s="69">
        <f t="shared" si="103"/>
        <v>0.7591036414565826</v>
      </c>
    </row>
    <row r="1256" spans="2:5" ht="15.75">
      <c r="B1256" s="66" t="s">
        <v>1645</v>
      </c>
      <c r="C1256" s="66">
        <v>9.8000000000000007</v>
      </c>
      <c r="D1256" s="66">
        <v>39.799999999999997</v>
      </c>
      <c r="E1256" s="69">
        <f t="shared" si="103"/>
        <v>0.75376884422110546</v>
      </c>
    </row>
    <row r="1257" spans="2:5" ht="15.75">
      <c r="B1257" s="66" t="s">
        <v>1646</v>
      </c>
      <c r="C1257" s="66">
        <v>5.8</v>
      </c>
      <c r="D1257" s="66">
        <v>23</v>
      </c>
      <c r="E1257" s="69">
        <f t="shared" si="103"/>
        <v>0.74782608695652175</v>
      </c>
    </row>
    <row r="1258" spans="2:5" ht="15.75">
      <c r="B1258" s="66" t="s">
        <v>1647</v>
      </c>
      <c r="C1258" s="66">
        <v>9.6</v>
      </c>
      <c r="D1258" s="66">
        <v>33.299999999999997</v>
      </c>
      <c r="E1258" s="69">
        <f t="shared" si="103"/>
        <v>0.71171171171171166</v>
      </c>
    </row>
    <row r="1259" spans="2:5" ht="15.75">
      <c r="B1259" s="66" t="s">
        <v>1648</v>
      </c>
      <c r="C1259" s="66">
        <v>11</v>
      </c>
      <c r="D1259" s="66">
        <v>33.700000000000003</v>
      </c>
      <c r="E1259" s="69">
        <f t="shared" si="103"/>
        <v>0.67359050445103863</v>
      </c>
    </row>
    <row r="1260" spans="2:5" ht="15.75">
      <c r="B1260" s="66" t="s">
        <v>1649</v>
      </c>
      <c r="C1260" s="66">
        <v>11.5</v>
      </c>
      <c r="D1260" s="66">
        <v>25.9</v>
      </c>
      <c r="E1260" s="69">
        <f t="shared" si="103"/>
        <v>0.55598455598455598</v>
      </c>
    </row>
    <row r="1262" spans="2:5" ht="15.75">
      <c r="B1262" s="66" t="s">
        <v>1650</v>
      </c>
      <c r="C1262" s="111" t="s">
        <v>1307</v>
      </c>
    </row>
    <row r="1263" spans="2:5" ht="15.75">
      <c r="B1263" s="219">
        <v>0.4</v>
      </c>
      <c r="C1263" s="111" t="s">
        <v>1651</v>
      </c>
    </row>
    <row r="1264" spans="2:5" ht="15.75">
      <c r="B1264" s="219">
        <v>0.3</v>
      </c>
      <c r="C1264" s="111" t="s">
        <v>1652</v>
      </c>
    </row>
    <row r="1265" spans="2:3" ht="15.75">
      <c r="B1265" s="219">
        <v>0.3</v>
      </c>
      <c r="C1265" s="111" t="s">
        <v>1653</v>
      </c>
    </row>
    <row r="1266" spans="2:3" ht="15.75">
      <c r="B1266" s="219"/>
      <c r="C1266" s="111"/>
    </row>
    <row r="1267" spans="2:3" ht="15.75">
      <c r="B1267" s="219" t="s">
        <v>468</v>
      </c>
      <c r="C1267" s="111"/>
    </row>
    <row r="1268" spans="2:3" ht="15.75">
      <c r="B1268" s="219" t="s">
        <v>1654</v>
      </c>
      <c r="C1268" s="515">
        <v>0.61799999999999999</v>
      </c>
    </row>
    <row r="1269" spans="2:3" ht="15.75">
      <c r="B1269" s="219" t="s">
        <v>1655</v>
      </c>
      <c r="C1269" s="515">
        <v>0.157</v>
      </c>
    </row>
    <row r="1270" spans="2:3" ht="15.75">
      <c r="B1270" s="219" t="s">
        <v>1656</v>
      </c>
      <c r="C1270" s="515">
        <v>0.20499999999999999</v>
      </c>
    </row>
    <row r="1271" spans="2:3" ht="15.75">
      <c r="B1271" s="219" t="s">
        <v>1657</v>
      </c>
      <c r="C1271" s="515">
        <v>1.2E-2</v>
      </c>
    </row>
    <row r="1272" spans="2:3" ht="15.75">
      <c r="B1272" s="219" t="s">
        <v>1658</v>
      </c>
      <c r="C1272" s="515">
        <v>7.0000000000000001E-3</v>
      </c>
    </row>
    <row r="1273" spans="2:3" ht="15.75">
      <c r="B1273" s="219"/>
      <c r="C1273" s="111"/>
    </row>
    <row r="1274" spans="2:3" ht="15.75">
      <c r="B1274" s="219" t="s">
        <v>467</v>
      </c>
      <c r="C1274" s="111"/>
    </row>
    <row r="1275" spans="2:3" ht="15.75">
      <c r="B1275" s="219" t="str">
        <f>B1268</f>
        <v>1 GHz</v>
      </c>
      <c r="C1275" s="516">
        <v>0.57999999999999996</v>
      </c>
    </row>
    <row r="1276" spans="2:3" ht="15.75">
      <c r="B1276" s="219" t="str">
        <f>B1269</f>
        <v>870 MHz</v>
      </c>
      <c r="C1276" s="516">
        <v>0.26</v>
      </c>
    </row>
    <row r="1277" spans="2:3" ht="15.75">
      <c r="B1277" s="219" t="s">
        <v>1659</v>
      </c>
      <c r="C1277" s="516">
        <f>100%-C1275-C1276</f>
        <v>0.16000000000000003</v>
      </c>
    </row>
    <row r="1278" spans="2:3" ht="15.75">
      <c r="B1278" s="219"/>
      <c r="C1278" s="111"/>
    </row>
    <row r="1279" spans="2:3" ht="15.75">
      <c r="B1279" s="219"/>
      <c r="C1279" s="111"/>
    </row>
    <row r="1280" spans="2:3" ht="15.75">
      <c r="B1280" s="219"/>
      <c r="C1280" s="111"/>
    </row>
    <row r="1281" spans="2:16" ht="15.75">
      <c r="B1281" s="219"/>
      <c r="C1281" s="111"/>
    </row>
    <row r="1282" spans="2:16" ht="15.75">
      <c r="B1282" s="219"/>
      <c r="C1282" s="111"/>
    </row>
    <row r="1283" spans="2:16" ht="15.75">
      <c r="B1283" s="219"/>
      <c r="C1283" s="111"/>
    </row>
    <row r="1284" spans="2:16" ht="15.75">
      <c r="B1284" s="219"/>
      <c r="C1284" s="111"/>
    </row>
    <row r="1285" spans="2:16" ht="15.75">
      <c r="B1285" s="219"/>
      <c r="C1285" s="111"/>
    </row>
    <row r="1286" spans="2:16" ht="15.75">
      <c r="B1286" s="219"/>
      <c r="C1286" s="111"/>
    </row>
    <row r="1287" spans="2:16" ht="15.75">
      <c r="B1287" s="219"/>
      <c r="C1287" s="111"/>
    </row>
    <row r="1288" spans="2:16" ht="15.75">
      <c r="B1288" s="219"/>
      <c r="C1288" s="111"/>
    </row>
    <row r="1289" spans="2:16" ht="15.75">
      <c r="B1289" s="66"/>
      <c r="C1289" s="66"/>
      <c r="D1289" s="66"/>
      <c r="E1289" s="66"/>
      <c r="F1289" s="66"/>
      <c r="G1289" s="66"/>
      <c r="H1289" s="66" t="s">
        <v>1660</v>
      </c>
      <c r="I1289" s="66" t="s">
        <v>1660</v>
      </c>
      <c r="J1289" s="66"/>
      <c r="K1289" s="66"/>
      <c r="L1289" s="66"/>
      <c r="M1289" s="66"/>
      <c r="N1289" s="66"/>
      <c r="O1289" s="66"/>
      <c r="P1289" s="66"/>
    </row>
    <row r="1290" spans="2:16" ht="15.75">
      <c r="B1290" s="475" t="s">
        <v>1661</v>
      </c>
      <c r="C1290" s="476">
        <v>2003</v>
      </c>
      <c r="D1290" s="476">
        <v>2004</v>
      </c>
      <c r="E1290" s="476">
        <v>2005</v>
      </c>
      <c r="F1290" s="476">
        <v>2006</v>
      </c>
      <c r="G1290" s="476">
        <v>2007</v>
      </c>
      <c r="H1290" s="476">
        <v>2008</v>
      </c>
      <c r="I1290" s="476">
        <v>2009</v>
      </c>
      <c r="J1290" s="476">
        <v>2010</v>
      </c>
      <c r="K1290" s="476">
        <v>2011</v>
      </c>
      <c r="L1290" s="476">
        <v>2012</v>
      </c>
      <c r="M1290" s="476">
        <v>2013</v>
      </c>
      <c r="N1290" s="476">
        <v>2014</v>
      </c>
      <c r="O1290" s="476">
        <v>2015</v>
      </c>
      <c r="P1290" s="476">
        <v>2016</v>
      </c>
    </row>
    <row r="1291" spans="2:16" ht="15.75">
      <c r="B1291" s="478"/>
      <c r="C1291" s="478"/>
      <c r="D1291" s="478"/>
      <c r="E1291" s="478"/>
      <c r="F1291" s="478"/>
      <c r="G1291" s="478"/>
      <c r="H1291" s="478"/>
      <c r="I1291" s="478"/>
      <c r="J1291" s="478"/>
      <c r="K1291" s="478"/>
      <c r="L1291" s="478"/>
      <c r="M1291" s="478"/>
      <c r="N1291" s="478"/>
      <c r="O1291" s="478"/>
      <c r="P1291" s="478"/>
    </row>
    <row r="1292" spans="2:16" ht="15.75">
      <c r="B1292" s="478" t="s">
        <v>1104</v>
      </c>
      <c r="C1292" s="478">
        <v>960</v>
      </c>
      <c r="D1292" s="478">
        <v>1363.8</v>
      </c>
      <c r="E1292" s="478">
        <v>1943.5</v>
      </c>
      <c r="F1292" s="478">
        <v>2630.3</v>
      </c>
      <c r="G1292" s="478">
        <v>3058.5</v>
      </c>
      <c r="H1292" s="478">
        <v>3413.9</v>
      </c>
      <c r="I1292" s="478">
        <v>3729.8</v>
      </c>
      <c r="J1292" s="478">
        <v>3912.8</v>
      </c>
      <c r="K1292" s="478">
        <v>4111.9335605756696</v>
      </c>
      <c r="L1292" s="478">
        <v>4366.9758352522313</v>
      </c>
      <c r="M1292" s="478">
        <v>4533.8432349284922</v>
      </c>
      <c r="N1292" s="478">
        <v>4702.2720092056343</v>
      </c>
      <c r="O1292" s="478">
        <v>4872.2736001446738</v>
      </c>
      <c r="P1292" s="478">
        <v>5030.441383643104</v>
      </c>
    </row>
    <row r="1293" spans="2:16" ht="15.75">
      <c r="B1293" s="478" t="s">
        <v>1662</v>
      </c>
      <c r="C1293" s="478">
        <v>3</v>
      </c>
      <c r="D1293" s="478">
        <v>11</v>
      </c>
      <c r="E1293" s="478">
        <v>40</v>
      </c>
      <c r="F1293" s="478">
        <v>40</v>
      </c>
      <c r="G1293" s="478">
        <v>1375</v>
      </c>
      <c r="H1293" s="478">
        <v>3200</v>
      </c>
      <c r="I1293" s="478">
        <v>4036</v>
      </c>
      <c r="J1293" s="478">
        <v>3654</v>
      </c>
      <c r="K1293" s="478">
        <v>2994.8879999999999</v>
      </c>
      <c r="L1293" s="478">
        <v>2156.3193600000004</v>
      </c>
      <c r="M1293" s="478">
        <v>1777.8066934941289</v>
      </c>
      <c r="N1293" s="478">
        <v>1400.022771126627</v>
      </c>
      <c r="O1293" s="478">
        <v>1012.5716920151717</v>
      </c>
      <c r="P1293" s="478">
        <v>950.47239248590085</v>
      </c>
    </row>
    <row r="1294" spans="2:16" ht="15.75">
      <c r="B1294" s="478" t="s">
        <v>1663</v>
      </c>
      <c r="C1294" s="478">
        <v>0</v>
      </c>
      <c r="D1294" s="478">
        <v>0.01</v>
      </c>
      <c r="E1294" s="478">
        <v>1</v>
      </c>
      <c r="F1294" s="478">
        <v>316</v>
      </c>
      <c r="G1294" s="478">
        <v>535</v>
      </c>
      <c r="H1294" s="478">
        <v>1100</v>
      </c>
      <c r="I1294" s="478">
        <v>1714</v>
      </c>
      <c r="J1294" s="478">
        <v>2966</v>
      </c>
      <c r="K1294" s="478">
        <v>4684.3119999999999</v>
      </c>
      <c r="L1294" s="478">
        <v>6137.2166399999996</v>
      </c>
      <c r="M1294" s="478">
        <v>7111.2267739765157</v>
      </c>
      <c r="N1294" s="478">
        <v>7933.4623697175502</v>
      </c>
      <c r="O1294" s="478">
        <v>8600.9180030543303</v>
      </c>
      <c r="P1294" s="478">
        <v>8855.2870964849917</v>
      </c>
    </row>
    <row r="1295" spans="2:16" ht="15.75">
      <c r="B1295" s="478" t="s">
        <v>1664</v>
      </c>
      <c r="C1295" s="478">
        <v>361</v>
      </c>
      <c r="D1295" s="478">
        <v>1248.0000000000002</v>
      </c>
      <c r="E1295" s="478">
        <v>3152</v>
      </c>
      <c r="F1295" s="478">
        <v>5092</v>
      </c>
      <c r="G1295" s="478">
        <v>5168</v>
      </c>
      <c r="H1295" s="478">
        <v>3984</v>
      </c>
      <c r="I1295" s="478">
        <v>3305</v>
      </c>
      <c r="J1295" s="478">
        <v>2925</v>
      </c>
      <c r="K1295" s="478">
        <v>2438.6174999999976</v>
      </c>
      <c r="L1295" s="478">
        <v>2090.621224999999</v>
      </c>
      <c r="M1295" s="478">
        <v>1702.8069020293533</v>
      </c>
      <c r="N1295" s="478">
        <v>1519.3567214858213</v>
      </c>
      <c r="O1295" s="478">
        <v>1422.1168735346455</v>
      </c>
      <c r="P1295" s="478">
        <v>1380.4496218083223</v>
      </c>
    </row>
    <row r="1296" spans="2:16" ht="15.75">
      <c r="B1296" s="478" t="s">
        <v>1665</v>
      </c>
      <c r="C1296" s="479">
        <v>439</v>
      </c>
      <c r="D1296" s="479">
        <v>967</v>
      </c>
      <c r="E1296" s="479">
        <v>1780</v>
      </c>
      <c r="F1296" s="479">
        <v>2668</v>
      </c>
      <c r="G1296" s="479">
        <v>3659</v>
      </c>
      <c r="H1296" s="479">
        <v>4401</v>
      </c>
      <c r="I1296" s="479">
        <v>4757</v>
      </c>
      <c r="J1296" s="479">
        <v>5132</v>
      </c>
      <c r="K1296" s="479">
        <v>5549.88</v>
      </c>
      <c r="L1296" s="479">
        <v>5753.5712000000003</v>
      </c>
      <c r="M1296" s="479">
        <v>5868.6426240000001</v>
      </c>
      <c r="N1296" s="479">
        <v>5936.8507910400003</v>
      </c>
      <c r="O1296" s="479">
        <v>6005.9314745664005</v>
      </c>
      <c r="P1296" s="479">
        <v>6025.7443128230407</v>
      </c>
    </row>
    <row r="1297" spans="2:16" ht="15.75">
      <c r="B1297" s="51" t="s">
        <v>1666</v>
      </c>
      <c r="C1297" s="51">
        <v>1763</v>
      </c>
      <c r="D1297" s="51">
        <v>3589.8100000000004</v>
      </c>
      <c r="E1297" s="51">
        <v>6916.5</v>
      </c>
      <c r="F1297" s="51">
        <v>10746.3</v>
      </c>
      <c r="G1297" s="51">
        <v>13795.5</v>
      </c>
      <c r="H1297" s="51">
        <v>16098.9</v>
      </c>
      <c r="I1297" s="51">
        <v>17541.8</v>
      </c>
      <c r="J1297" s="51">
        <v>18589.8</v>
      </c>
      <c r="K1297" s="51">
        <v>19779.631060575666</v>
      </c>
      <c r="L1297" s="51">
        <v>20504.704260252231</v>
      </c>
      <c r="M1297" s="51">
        <v>20994.32622842849</v>
      </c>
      <c r="N1297" s="51">
        <v>21491.964662575636</v>
      </c>
      <c r="O1297" s="51">
        <v>21913.811643315221</v>
      </c>
      <c r="P1297" s="51">
        <v>22242.39480724536</v>
      </c>
    </row>
    <row r="1298" spans="2:16" ht="15.75">
      <c r="B1298" s="50" t="s">
        <v>395</v>
      </c>
      <c r="C1298" s="478"/>
      <c r="D1298" s="46">
        <v>1.0361939875212709</v>
      </c>
      <c r="E1298" s="46">
        <v>0.9267036416969141</v>
      </c>
      <c r="F1298" s="46">
        <v>0.55371936673172839</v>
      </c>
      <c r="G1298" s="46">
        <v>0.28374417241283045</v>
      </c>
      <c r="H1298" s="46">
        <v>0.16696748939871697</v>
      </c>
      <c r="I1298" s="46">
        <v>8.9627241612781017E-2</v>
      </c>
      <c r="J1298" s="46">
        <v>5.974301382982361E-2</v>
      </c>
      <c r="K1298" s="46">
        <v>6.4004511106933171E-2</v>
      </c>
      <c r="L1298" s="46">
        <v>3.6657569469117357E-2</v>
      </c>
      <c r="M1298" s="46">
        <v>2.3878518897996415E-2</v>
      </c>
      <c r="N1298" s="46">
        <v>2.3703472487404342E-2</v>
      </c>
      <c r="O1298" s="46">
        <v>1.9628125551227837E-2</v>
      </c>
      <c r="P1298" s="46">
        <v>1.4994340979031628E-2</v>
      </c>
    </row>
    <row r="1299" spans="2:16" ht="15.75">
      <c r="B1299" s="478"/>
      <c r="C1299" s="478"/>
      <c r="D1299" s="478"/>
      <c r="E1299" s="478"/>
      <c r="F1299" s="478"/>
      <c r="G1299" s="480"/>
      <c r="H1299" s="480"/>
      <c r="I1299" s="480"/>
      <c r="J1299" s="480"/>
      <c r="K1299" s="480"/>
      <c r="L1299" s="480"/>
      <c r="M1299" s="480"/>
      <c r="N1299" s="480"/>
      <c r="O1299" s="480"/>
      <c r="P1299" s="480"/>
    </row>
    <row r="1300" spans="2:16" ht="15.75">
      <c r="B1300" s="478" t="s">
        <v>579</v>
      </c>
      <c r="C1300" s="478"/>
      <c r="D1300" s="478"/>
      <c r="E1300" s="478"/>
      <c r="F1300" s="478"/>
      <c r="G1300" s="478"/>
      <c r="H1300" s="478"/>
      <c r="I1300" s="478"/>
      <c r="J1300" s="478"/>
      <c r="K1300" s="478"/>
      <c r="L1300" s="478"/>
      <c r="M1300" s="478"/>
      <c r="N1300" s="478"/>
      <c r="O1300" s="478"/>
      <c r="P1300" s="478"/>
    </row>
    <row r="1301" spans="2:16" ht="15.75">
      <c r="B1301" s="478" t="s">
        <v>1104</v>
      </c>
      <c r="C1301" s="480">
        <v>0.54452637549631311</v>
      </c>
      <c r="D1301" s="480">
        <v>0.3799086859750237</v>
      </c>
      <c r="E1301" s="480">
        <v>0.28099472276440396</v>
      </c>
      <c r="F1301" s="480">
        <v>0.24476331388477898</v>
      </c>
      <c r="G1301" s="480">
        <v>0.22170272915081005</v>
      </c>
      <c r="H1301" s="480">
        <v>0.21205796669337657</v>
      </c>
      <c r="I1301" s="480">
        <v>0.21262356200617955</v>
      </c>
      <c r="J1301" s="480">
        <v>0.2104810164713983</v>
      </c>
      <c r="K1301" s="480">
        <v>0.20788727292145942</v>
      </c>
      <c r="L1301" s="480">
        <v>0.21297433895291462</v>
      </c>
      <c r="M1301" s="480">
        <v>0.21595564371049925</v>
      </c>
      <c r="N1301" s="480">
        <v>0.21879209662920157</v>
      </c>
      <c r="O1301" s="480">
        <v>0.22233802496111874</v>
      </c>
      <c r="P1301" s="480">
        <v>0.22616455769432078</v>
      </c>
    </row>
    <row r="1302" spans="2:16" ht="15.75">
      <c r="B1302" s="478" t="str">
        <f>B1293</f>
        <v>Partial ULL (SMPF)</v>
      </c>
      <c r="C1302" s="480">
        <v>1.7016449234259785E-3</v>
      </c>
      <c r="D1302" s="480">
        <v>3.0642290260487321E-3</v>
      </c>
      <c r="E1302" s="480">
        <v>5.7832718860695437E-3</v>
      </c>
      <c r="F1302" s="480">
        <v>3.7222113657724054E-3</v>
      </c>
      <c r="G1302" s="480">
        <v>9.9670182305824362E-2</v>
      </c>
      <c r="H1302" s="480">
        <v>0.19877134462603036</v>
      </c>
      <c r="I1302" s="480">
        <v>0.23007901127592381</v>
      </c>
      <c r="J1302" s="480">
        <v>0.19655940354387891</v>
      </c>
      <c r="K1302" s="480">
        <v>0.15141273317121401</v>
      </c>
      <c r="L1302" s="480">
        <v>0.10516217803638175</v>
      </c>
      <c r="M1302" s="480">
        <v>8.4680340495366532E-2</v>
      </c>
      <c r="N1302" s="480">
        <v>6.5141684025030677E-2</v>
      </c>
      <c r="O1302" s="480">
        <v>4.6207009008588214E-2</v>
      </c>
      <c r="P1302" s="480">
        <v>4.2732466567686707E-2</v>
      </c>
    </row>
    <row r="1303" spans="2:16" ht="15.75">
      <c r="B1303" s="478" t="str">
        <f>B1294</f>
        <v>Full ULL (MPF)</v>
      </c>
      <c r="C1303" s="480">
        <v>0</v>
      </c>
      <c r="D1303" s="480">
        <v>2.7856627509533928E-6</v>
      </c>
      <c r="E1303" s="480">
        <v>1.445817971517386E-4</v>
      </c>
      <c r="F1303" s="480">
        <v>2.9405469789602005E-2</v>
      </c>
      <c r="G1303" s="480">
        <v>3.8780761842629845E-2</v>
      </c>
      <c r="H1303" s="480">
        <v>6.8327649715197933E-2</v>
      </c>
      <c r="I1303" s="480">
        <v>9.7709471091906197E-2</v>
      </c>
      <c r="J1303" s="480">
        <v>0.15954986067628485</v>
      </c>
      <c r="K1303" s="480">
        <v>0.23682504419087319</v>
      </c>
      <c r="L1303" s="480">
        <v>0.29930773748816336</v>
      </c>
      <c r="M1303" s="480">
        <v>0.33872136198146613</v>
      </c>
      <c r="N1303" s="480">
        <v>0.36913620947517367</v>
      </c>
      <c r="O1303" s="480">
        <v>0.39248845171479008</v>
      </c>
      <c r="P1303" s="480">
        <v>0.39812651349936573</v>
      </c>
    </row>
    <row r="1304" spans="2:16" ht="15.75">
      <c r="B1304" s="478" t="s">
        <v>1664</v>
      </c>
      <c r="C1304" s="480">
        <v>0.20476460578559275</v>
      </c>
      <c r="D1304" s="480">
        <v>0.34765071131898351</v>
      </c>
      <c r="E1304" s="480">
        <v>0.45572182462228006</v>
      </c>
      <c r="F1304" s="480">
        <v>0.47383750686282722</v>
      </c>
      <c r="G1304" s="480">
        <v>0.37461491065927294</v>
      </c>
      <c r="H1304" s="480">
        <v>0.2474703240594078</v>
      </c>
      <c r="I1304" s="480">
        <v>0.18840711899577012</v>
      </c>
      <c r="J1304" s="480">
        <v>0.15734435012748926</v>
      </c>
      <c r="K1304" s="480">
        <v>0.12328933196638826</v>
      </c>
      <c r="L1304" s="480">
        <v>0.10195812621655836</v>
      </c>
      <c r="M1304" s="480">
        <v>8.1107956668958328E-2</v>
      </c>
      <c r="N1304" s="480">
        <v>7.0694175490224304E-2</v>
      </c>
      <c r="O1304" s="480">
        <v>6.4895915721191313E-2</v>
      </c>
      <c r="P1304" s="480">
        <v>6.2063893468820498E-2</v>
      </c>
    </row>
    <row r="1305" spans="2:16" ht="15.75">
      <c r="B1305" s="478" t="s">
        <v>1665</v>
      </c>
      <c r="C1305" s="481">
        <v>0.24900737379466817</v>
      </c>
      <c r="D1305" s="481">
        <v>0.26937358801719308</v>
      </c>
      <c r="E1305" s="481">
        <v>0.25735559893009469</v>
      </c>
      <c r="F1305" s="481">
        <v>0.24827149809701946</v>
      </c>
      <c r="G1305" s="481">
        <v>0.26523141604146278</v>
      </c>
      <c r="H1305" s="481">
        <v>0.27337271490598736</v>
      </c>
      <c r="I1305" s="481">
        <v>0.27118083663022041</v>
      </c>
      <c r="J1305" s="481">
        <v>0.27606536918094871</v>
      </c>
      <c r="K1305" s="481">
        <v>0.28058561775006519</v>
      </c>
      <c r="L1305" s="481">
        <v>0.28059761930598187</v>
      </c>
      <c r="M1305" s="481">
        <v>0.27953469714370976</v>
      </c>
      <c r="N1305" s="481">
        <v>0.27623583438036964</v>
      </c>
      <c r="O1305" s="481">
        <v>0.27407059859431171</v>
      </c>
      <c r="P1305" s="481">
        <v>0.27091256876980629</v>
      </c>
    </row>
    <row r="1306" spans="2:16" ht="15.75">
      <c r="B1306" s="51" t="s">
        <v>1666</v>
      </c>
      <c r="C1306" s="480">
        <v>1</v>
      </c>
      <c r="D1306" s="480">
        <v>1</v>
      </c>
      <c r="E1306" s="480">
        <v>1</v>
      </c>
      <c r="F1306" s="480">
        <v>1</v>
      </c>
      <c r="G1306" s="480">
        <v>1</v>
      </c>
      <c r="H1306" s="480">
        <v>1</v>
      </c>
      <c r="I1306" s="480">
        <v>1</v>
      </c>
      <c r="J1306" s="480">
        <v>1</v>
      </c>
      <c r="K1306" s="480">
        <v>1</v>
      </c>
      <c r="L1306" s="480">
        <v>1</v>
      </c>
      <c r="M1306" s="480">
        <v>1</v>
      </c>
      <c r="N1306" s="480">
        <v>1</v>
      </c>
      <c r="O1306" s="480">
        <v>1</v>
      </c>
      <c r="P1306" s="480">
        <v>1</v>
      </c>
    </row>
    <row r="1307" spans="2:16" ht="15.75">
      <c r="B1307" s="478"/>
      <c r="C1307" s="478"/>
      <c r="D1307" s="478"/>
      <c r="E1307" s="478"/>
      <c r="F1307" s="478"/>
      <c r="G1307" s="478"/>
      <c r="H1307" s="478"/>
      <c r="I1307" s="478"/>
      <c r="J1307" s="478"/>
      <c r="K1307" s="478"/>
      <c r="L1307" s="478"/>
      <c r="M1307" s="478"/>
      <c r="N1307" s="478"/>
      <c r="O1307" s="478"/>
      <c r="P1307" s="478"/>
    </row>
    <row r="1308" spans="2:16" ht="15.75">
      <c r="B1308" s="478"/>
      <c r="C1308" s="478"/>
      <c r="D1308" s="478"/>
      <c r="E1308" s="478"/>
      <c r="F1308" s="478"/>
      <c r="G1308" s="478"/>
      <c r="H1308" s="478"/>
      <c r="I1308" s="478"/>
      <c r="J1308" s="478"/>
      <c r="K1308" s="478"/>
      <c r="L1308" s="478"/>
      <c r="M1308" s="478"/>
      <c r="N1308" s="478"/>
      <c r="O1308" s="478"/>
      <c r="P1308" s="478"/>
    </row>
    <row r="1309" spans="2:16" ht="15.75">
      <c r="B1309" s="478"/>
      <c r="C1309" s="478"/>
      <c r="D1309" s="478"/>
      <c r="E1309" s="478"/>
      <c r="F1309" s="478"/>
      <c r="G1309" s="478"/>
      <c r="H1309" s="478"/>
      <c r="I1309" s="478"/>
      <c r="J1309" s="478"/>
      <c r="K1309" s="478"/>
      <c r="L1309" s="478"/>
      <c r="M1309" s="478"/>
      <c r="N1309" s="478"/>
      <c r="O1309" s="478"/>
      <c r="P1309" s="478"/>
    </row>
    <row r="1310" spans="2:16" ht="15.75">
      <c r="B1310" s="478" t="s">
        <v>1667</v>
      </c>
      <c r="C1310" s="482">
        <v>24745.612499999992</v>
      </c>
      <c r="D1310" s="482">
        <v>24869.34056249999</v>
      </c>
      <c r="E1310" s="482">
        <v>24993.687265312488</v>
      </c>
      <c r="F1310" s="482">
        <v>25118.655701639047</v>
      </c>
      <c r="G1310" s="482">
        <v>25244.24898014724</v>
      </c>
      <c r="H1310" s="482">
        <v>25370.470225047975</v>
      </c>
      <c r="I1310" s="482">
        <v>25497.322576173214</v>
      </c>
      <c r="J1310" s="482">
        <v>25624.809189054078</v>
      </c>
      <c r="K1310" s="482">
        <v>25752.933234999346</v>
      </c>
      <c r="L1310" s="482">
        <v>25881.697901174339</v>
      </c>
      <c r="M1310" s="482">
        <v>26011.106390680208</v>
      </c>
      <c r="N1310" s="482">
        <v>26141.161922633608</v>
      </c>
      <c r="O1310" s="482">
        <v>26271.867732246774</v>
      </c>
      <c r="P1310" s="482">
        <v>26403.227070908004</v>
      </c>
    </row>
    <row r="1311" spans="2:16" ht="15.75">
      <c r="B1311" s="478" t="s">
        <v>1668</v>
      </c>
      <c r="C1311" s="483">
        <v>3000</v>
      </c>
      <c r="D1311" s="483">
        <v>3000</v>
      </c>
      <c r="E1311" s="483">
        <v>3000</v>
      </c>
      <c r="F1311" s="483">
        <v>3000</v>
      </c>
      <c r="G1311" s="483">
        <v>3000</v>
      </c>
      <c r="H1311" s="483">
        <v>3000</v>
      </c>
      <c r="I1311" s="483">
        <v>3000</v>
      </c>
      <c r="J1311" s="483">
        <v>3000</v>
      </c>
      <c r="K1311" s="483">
        <v>3000</v>
      </c>
      <c r="L1311" s="483">
        <v>3000</v>
      </c>
      <c r="M1311" s="483">
        <v>3000</v>
      </c>
      <c r="N1311" s="483">
        <v>3000</v>
      </c>
      <c r="O1311" s="483">
        <v>3000</v>
      </c>
      <c r="P1311" s="483">
        <v>3000</v>
      </c>
    </row>
    <row r="1312" spans="2:16" ht="15.75">
      <c r="B1312" s="50" t="s">
        <v>1669</v>
      </c>
      <c r="C1312" s="50">
        <v>27745.612499999992</v>
      </c>
      <c r="D1312" s="50">
        <v>27869.34056249999</v>
      </c>
      <c r="E1312" s="50">
        <v>27993.687265312488</v>
      </c>
      <c r="F1312" s="50">
        <v>28118.655701639047</v>
      </c>
      <c r="G1312" s="50">
        <v>28244.24898014724</v>
      </c>
      <c r="H1312" s="50">
        <v>28370.470225047975</v>
      </c>
      <c r="I1312" s="50">
        <v>28497.322576173214</v>
      </c>
      <c r="J1312" s="50">
        <v>28624.809189054078</v>
      </c>
      <c r="K1312" s="50">
        <v>28752.933234999346</v>
      </c>
      <c r="L1312" s="50">
        <v>28881.697901174339</v>
      </c>
      <c r="M1312" s="50">
        <v>29011.106390680208</v>
      </c>
      <c r="N1312" s="50">
        <v>29141.161922633608</v>
      </c>
      <c r="O1312" s="50">
        <v>29271.867732246774</v>
      </c>
      <c r="P1312" s="50">
        <v>29403.227070908004</v>
      </c>
    </row>
    <row r="1313" spans="2:16" ht="15.75">
      <c r="B1313" s="478"/>
      <c r="C1313" s="478"/>
      <c r="D1313" s="478"/>
      <c r="E1313" s="478"/>
      <c r="F1313" s="478"/>
      <c r="G1313" s="478"/>
      <c r="H1313" s="478"/>
      <c r="I1313" s="478"/>
      <c r="J1313" s="478"/>
      <c r="K1313" s="480"/>
      <c r="L1313" s="478"/>
      <c r="M1313" s="478"/>
      <c r="N1313" s="478"/>
      <c r="O1313" s="478"/>
      <c r="P1313" s="478"/>
    </row>
    <row r="1314" spans="2:16" ht="15.75">
      <c r="B1314" s="478" t="s">
        <v>1670</v>
      </c>
      <c r="C1314" s="477">
        <v>803</v>
      </c>
      <c r="D1314" s="477">
        <v>2226.0100000000002</v>
      </c>
      <c r="E1314" s="477">
        <v>4973</v>
      </c>
      <c r="F1314" s="477">
        <v>8116</v>
      </c>
      <c r="G1314" s="477">
        <v>10737</v>
      </c>
      <c r="H1314" s="477">
        <v>12685</v>
      </c>
      <c r="I1314" s="477">
        <v>13812</v>
      </c>
      <c r="J1314" s="477">
        <v>14677</v>
      </c>
      <c r="K1314" s="478">
        <v>15667.697499999998</v>
      </c>
      <c r="L1314" s="478">
        <v>16137.728424999999</v>
      </c>
      <c r="M1314" s="478">
        <v>16460.482993499998</v>
      </c>
      <c r="N1314" s="478">
        <v>16789.692653369999</v>
      </c>
      <c r="O1314" s="478">
        <v>17041.538043170549</v>
      </c>
      <c r="P1314" s="478">
        <v>17211.953423602255</v>
      </c>
    </row>
    <row r="1315" spans="2:16" ht="15.75">
      <c r="B1315" s="478" t="s">
        <v>395</v>
      </c>
      <c r="C1315" s="478"/>
      <c r="D1315" s="480">
        <v>1.7721170610211709</v>
      </c>
      <c r="E1315" s="480">
        <v>1.2340420752826806</v>
      </c>
      <c r="F1315" s="480">
        <v>0.63201286949527447</v>
      </c>
      <c r="G1315" s="480">
        <v>0.32294233612617051</v>
      </c>
      <c r="H1315" s="480">
        <v>0.18142870447983617</v>
      </c>
      <c r="I1315" s="480">
        <v>8.8845092629089573E-2</v>
      </c>
      <c r="J1315" s="480">
        <v>6.2626701419055797E-2</v>
      </c>
      <c r="K1315" s="484">
        <v>6.7500000000000004E-2</v>
      </c>
      <c r="L1315" s="484">
        <v>0.03</v>
      </c>
      <c r="M1315" s="484">
        <v>0.02</v>
      </c>
      <c r="N1315" s="484">
        <v>0.02</v>
      </c>
      <c r="O1315" s="484">
        <v>1.4999999999999999E-2</v>
      </c>
      <c r="P1315" s="484">
        <v>0.01</v>
      </c>
    </row>
    <row r="1316" spans="2:16" ht="15.75">
      <c r="B1316" s="478" t="s">
        <v>1671</v>
      </c>
      <c r="C1316" s="483">
        <v>960</v>
      </c>
      <c r="D1316" s="483">
        <v>1363.8</v>
      </c>
      <c r="E1316" s="483">
        <v>1943.5</v>
      </c>
      <c r="F1316" s="483">
        <v>2630.3</v>
      </c>
      <c r="G1316" s="483">
        <v>3058.5</v>
      </c>
      <c r="H1316" s="483">
        <v>3413.9</v>
      </c>
      <c r="I1316" s="483">
        <v>3729.8</v>
      </c>
      <c r="J1316" s="483">
        <v>3912.8</v>
      </c>
      <c r="K1316" s="483">
        <v>4111.9335605756696</v>
      </c>
      <c r="L1316" s="483">
        <v>4366.9758352522313</v>
      </c>
      <c r="M1316" s="483">
        <v>4533.8432349284922</v>
      </c>
      <c r="N1316" s="483">
        <v>4702.2720092056343</v>
      </c>
      <c r="O1316" s="483">
        <v>4872.2736001446738</v>
      </c>
      <c r="P1316" s="483">
        <v>5030.441383643104</v>
      </c>
    </row>
    <row r="1317" spans="2:16" ht="15.75">
      <c r="B1317" s="50" t="s">
        <v>1672</v>
      </c>
      <c r="C1317" s="50">
        <v>1763</v>
      </c>
      <c r="D1317" s="50">
        <v>3589.8100000000004</v>
      </c>
      <c r="E1317" s="50">
        <v>6916.5</v>
      </c>
      <c r="F1317" s="50">
        <v>10746.3</v>
      </c>
      <c r="G1317" s="50">
        <v>13795.5</v>
      </c>
      <c r="H1317" s="50">
        <v>16098.9</v>
      </c>
      <c r="I1317" s="50">
        <v>17541.8</v>
      </c>
      <c r="J1317" s="50">
        <v>18589.8</v>
      </c>
      <c r="K1317" s="50">
        <v>19779.631060575666</v>
      </c>
      <c r="L1317" s="50">
        <v>20504.704260252231</v>
      </c>
      <c r="M1317" s="50">
        <v>20994.32622842849</v>
      </c>
      <c r="N1317" s="50">
        <v>21491.964662575632</v>
      </c>
      <c r="O1317" s="50">
        <v>21913.811643315225</v>
      </c>
      <c r="P1317" s="50">
        <v>22242.39480724536</v>
      </c>
    </row>
    <row r="1318" spans="2:16" ht="15.75">
      <c r="B1318" s="66"/>
      <c r="C1318" s="66"/>
      <c r="D1318" s="66"/>
      <c r="E1318" s="66"/>
      <c r="F1318" s="66"/>
      <c r="G1318" s="66"/>
      <c r="H1318" s="66"/>
      <c r="I1318" s="66"/>
      <c r="J1318" s="66"/>
      <c r="K1318" s="66"/>
      <c r="L1318" s="66"/>
      <c r="M1318" s="66"/>
      <c r="N1318" s="66"/>
      <c r="O1318" s="66"/>
      <c r="P1318" s="66"/>
    </row>
    <row r="1319" spans="2:16" ht="15.75">
      <c r="B1319" s="478" t="s">
        <v>1673</v>
      </c>
      <c r="C1319" s="485">
        <v>0.3</v>
      </c>
      <c r="D1319" s="485">
        <v>0.4</v>
      </c>
      <c r="E1319" s="485">
        <v>0.6</v>
      </c>
      <c r="F1319" s="485">
        <v>0.7</v>
      </c>
      <c r="G1319" s="485">
        <v>0.7</v>
      </c>
      <c r="H1319" s="485">
        <v>0.8</v>
      </c>
      <c r="I1319" s="485">
        <v>0.8</v>
      </c>
      <c r="J1319" s="485">
        <v>0.9</v>
      </c>
      <c r="K1319" s="485">
        <v>0.9</v>
      </c>
      <c r="L1319" s="485">
        <v>0.9</v>
      </c>
      <c r="M1319" s="485">
        <v>0.9</v>
      </c>
      <c r="N1319" s="485">
        <v>0.9</v>
      </c>
      <c r="O1319" s="485">
        <v>0.9</v>
      </c>
      <c r="P1319" s="485">
        <v>0.9</v>
      </c>
    </row>
    <row r="1320" spans="2:16" ht="15.75">
      <c r="B1320" s="478" t="s">
        <v>1674</v>
      </c>
      <c r="C1320" s="478">
        <v>900</v>
      </c>
      <c r="D1320" s="478">
        <v>1200</v>
      </c>
      <c r="E1320" s="478">
        <v>1800</v>
      </c>
      <c r="F1320" s="478">
        <v>2100</v>
      </c>
      <c r="G1320" s="478">
        <v>2100</v>
      </c>
      <c r="H1320" s="478">
        <v>2400</v>
      </c>
      <c r="I1320" s="478">
        <v>2400</v>
      </c>
      <c r="J1320" s="478">
        <v>2700</v>
      </c>
      <c r="K1320" s="478">
        <v>2700</v>
      </c>
      <c r="L1320" s="478">
        <v>2700</v>
      </c>
      <c r="M1320" s="478">
        <v>2700</v>
      </c>
      <c r="N1320" s="478">
        <v>2700</v>
      </c>
      <c r="O1320" s="478">
        <v>2700</v>
      </c>
      <c r="P1320" s="478">
        <v>2700</v>
      </c>
    </row>
    <row r="1321" spans="2:16" ht="15.75">
      <c r="B1321" s="478" t="s">
        <v>1675</v>
      </c>
      <c r="C1321" s="478">
        <v>863</v>
      </c>
      <c r="D1321" s="478">
        <v>2389.8100000000004</v>
      </c>
      <c r="E1321" s="478">
        <v>5116.5</v>
      </c>
      <c r="F1321" s="478">
        <v>8646.2999999999993</v>
      </c>
      <c r="G1321" s="478">
        <v>11695.5</v>
      </c>
      <c r="H1321" s="478">
        <v>13698.9</v>
      </c>
      <c r="I1321" s="478">
        <v>15141.8</v>
      </c>
      <c r="J1321" s="478">
        <v>15889.8</v>
      </c>
      <c r="K1321" s="478">
        <v>17079.631060575666</v>
      </c>
      <c r="L1321" s="478">
        <v>17804.704260252231</v>
      </c>
      <c r="M1321" s="478">
        <v>18294.32622842849</v>
      </c>
      <c r="N1321" s="478">
        <v>18791.964662575632</v>
      </c>
      <c r="O1321" s="478">
        <v>19213.811643315225</v>
      </c>
      <c r="P1321" s="478">
        <v>19542.39480724536</v>
      </c>
    </row>
    <row r="1322" spans="2:16" ht="15.75">
      <c r="B1322" s="50" t="s">
        <v>511</v>
      </c>
      <c r="C1322" s="46">
        <v>3.4874869231868895E-2</v>
      </c>
      <c r="D1322" s="46">
        <v>9.6094626795354188E-2</v>
      </c>
      <c r="E1322" s="46">
        <v>0.20471169162386613</v>
      </c>
      <c r="F1322" s="46">
        <v>0.34421826162599178</v>
      </c>
      <c r="G1322" s="46">
        <v>0.46329364003649531</v>
      </c>
      <c r="H1322" s="46">
        <v>0.53995451714076759</v>
      </c>
      <c r="I1322" s="46">
        <v>0.59385843179274589</v>
      </c>
      <c r="J1322" s="46">
        <v>0.62009437349439867</v>
      </c>
      <c r="K1322" s="46">
        <v>0.66321109540111389</v>
      </c>
      <c r="L1322" s="46">
        <v>0.68792643852953606</v>
      </c>
      <c r="M1322" s="46">
        <v>0.70332749225090074</v>
      </c>
      <c r="N1322" s="46">
        <v>0.71886493485605651</v>
      </c>
      <c r="O1322" s="46">
        <v>0.73134547719010068</v>
      </c>
      <c r="P1322" s="46">
        <v>0.74015175322178151</v>
      </c>
    </row>
    <row r="1323" spans="2:16" ht="15.75">
      <c r="B1323" s="478" t="s">
        <v>1676</v>
      </c>
      <c r="C1323" s="480">
        <v>0.45547362450368689</v>
      </c>
      <c r="D1323" s="480">
        <v>0.62009131402497619</v>
      </c>
      <c r="E1323" s="480">
        <v>0.71900527723559604</v>
      </c>
      <c r="F1323" s="480">
        <v>0.7552366861152211</v>
      </c>
      <c r="G1323" s="480">
        <v>0.77829727084918998</v>
      </c>
      <c r="H1323" s="480">
        <v>0.78794203330662349</v>
      </c>
      <c r="I1323" s="480">
        <v>0.78737643799382051</v>
      </c>
      <c r="J1323" s="480">
        <v>0.78951898352860173</v>
      </c>
      <c r="K1323" s="480">
        <v>0.79211272707854063</v>
      </c>
      <c r="L1323" s="480">
        <v>0.78702566104708538</v>
      </c>
      <c r="M1323" s="480">
        <v>0.78404435628950075</v>
      </c>
      <c r="N1323" s="480">
        <v>0.78120790337079837</v>
      </c>
      <c r="O1323" s="480">
        <v>0.77766197503888124</v>
      </c>
      <c r="P1323" s="480">
        <v>0.77383544230567924</v>
      </c>
    </row>
    <row r="1324" spans="2:16" ht="15.75">
      <c r="B1324" s="478"/>
      <c r="C1324" s="478"/>
      <c r="D1324" s="478"/>
      <c r="E1324" s="478"/>
      <c r="F1324" s="478"/>
      <c r="G1324" s="478"/>
      <c r="H1324" s="478"/>
      <c r="I1324" s="478"/>
      <c r="J1324" s="478"/>
      <c r="K1324" s="478"/>
      <c r="L1324" s="478"/>
      <c r="M1324" s="478"/>
      <c r="N1324" s="478"/>
      <c r="O1324" s="478"/>
      <c r="P1324" s="478"/>
    </row>
    <row r="1325" spans="2:16" ht="15.75">
      <c r="B1325" s="478" t="s">
        <v>1677</v>
      </c>
      <c r="C1325" s="478">
        <v>439</v>
      </c>
      <c r="D1325" s="478">
        <v>967</v>
      </c>
      <c r="E1325" s="478">
        <v>1780</v>
      </c>
      <c r="F1325" s="478">
        <v>2668</v>
      </c>
      <c r="G1325" s="478">
        <v>3659</v>
      </c>
      <c r="H1325" s="478">
        <v>4401</v>
      </c>
      <c r="I1325" s="478">
        <v>4757</v>
      </c>
      <c r="J1325" s="478">
        <v>5132</v>
      </c>
      <c r="K1325" s="478">
        <v>5549.88</v>
      </c>
      <c r="L1325" s="478">
        <v>5753.5712000000003</v>
      </c>
      <c r="M1325" s="478">
        <v>5868.6426240000001</v>
      </c>
      <c r="N1325" s="478">
        <v>5936.8507910400003</v>
      </c>
      <c r="O1325" s="478">
        <v>6005.9314745664005</v>
      </c>
      <c r="P1325" s="478">
        <v>6025.7443128230407</v>
      </c>
    </row>
    <row r="1326" spans="2:16" ht="15.75">
      <c r="B1326" s="478" t="s">
        <v>1678</v>
      </c>
      <c r="C1326" s="479">
        <v>361</v>
      </c>
      <c r="D1326" s="479">
        <v>1248.0000000000002</v>
      </c>
      <c r="E1326" s="479">
        <v>3152</v>
      </c>
      <c r="F1326" s="479">
        <v>5092</v>
      </c>
      <c r="G1326" s="479">
        <v>5168</v>
      </c>
      <c r="H1326" s="479">
        <v>3984</v>
      </c>
      <c r="I1326" s="479">
        <v>3305</v>
      </c>
      <c r="J1326" s="479">
        <v>2925</v>
      </c>
      <c r="K1326" s="479">
        <v>2438.6174999999976</v>
      </c>
      <c r="L1326" s="479">
        <v>2090.621224999999</v>
      </c>
      <c r="M1326" s="479">
        <v>1702.8069020293533</v>
      </c>
      <c r="N1326" s="479">
        <v>1519.3567214858213</v>
      </c>
      <c r="O1326" s="479">
        <v>1422.1168735346455</v>
      </c>
      <c r="P1326" s="479">
        <v>1380.4496218083223</v>
      </c>
    </row>
    <row r="1327" spans="2:16" ht="15.75">
      <c r="B1327" s="478" t="s">
        <v>85</v>
      </c>
      <c r="C1327" s="478">
        <v>800</v>
      </c>
      <c r="D1327" s="478">
        <v>2215</v>
      </c>
      <c r="E1327" s="478">
        <v>4932</v>
      </c>
      <c r="F1327" s="478">
        <v>7760</v>
      </c>
      <c r="G1327" s="478">
        <v>8827</v>
      </c>
      <c r="H1327" s="478">
        <v>8385</v>
      </c>
      <c r="I1327" s="478">
        <v>8062</v>
      </c>
      <c r="J1327" s="478">
        <v>8057</v>
      </c>
      <c r="K1327" s="478">
        <v>7988.4974999999977</v>
      </c>
      <c r="L1327" s="478">
        <v>7844.1924249999993</v>
      </c>
      <c r="M1327" s="478">
        <v>7571.4495260293534</v>
      </c>
      <c r="N1327" s="478">
        <v>7456.2075125258216</v>
      </c>
      <c r="O1327" s="478">
        <v>7428.048348101046</v>
      </c>
      <c r="P1327" s="478">
        <v>7406.1939346313629</v>
      </c>
    </row>
    <row r="1329" spans="2:24" ht="15.75">
      <c r="B1329" s="486" t="s">
        <v>1679</v>
      </c>
      <c r="C1329" s="486">
        <v>2003</v>
      </c>
      <c r="D1329" s="486">
        <v>2004</v>
      </c>
      <c r="E1329" s="486">
        <v>2005</v>
      </c>
      <c r="F1329" s="486">
        <v>2006</v>
      </c>
      <c r="G1329" s="486">
        <v>2007</v>
      </c>
      <c r="H1329" s="486">
        <v>2008</v>
      </c>
      <c r="I1329" s="486">
        <v>2009</v>
      </c>
      <c r="J1329" s="486">
        <v>2010</v>
      </c>
      <c r="K1329" s="487">
        <v>2011</v>
      </c>
      <c r="L1329" s="486">
        <v>2012</v>
      </c>
      <c r="M1329" s="486">
        <v>2013</v>
      </c>
      <c r="N1329" s="486">
        <v>2014</v>
      </c>
      <c r="O1329" s="486">
        <v>2015</v>
      </c>
      <c r="P1329" s="486">
        <v>2016</v>
      </c>
      <c r="Q1329" s="486">
        <v>2017</v>
      </c>
      <c r="R1329" s="486">
        <v>2018</v>
      </c>
      <c r="S1329" s="486">
        <v>2019</v>
      </c>
      <c r="T1329" s="486">
        <v>2020</v>
      </c>
      <c r="U1329" s="486">
        <v>2021</v>
      </c>
      <c r="V1329" s="486">
        <v>2022</v>
      </c>
      <c r="W1329" s="486">
        <v>2023</v>
      </c>
      <c r="X1329" s="486">
        <v>2026</v>
      </c>
    </row>
    <row r="1330" spans="2:24" ht="15.75">
      <c r="B1330" s="62" t="s">
        <v>1680</v>
      </c>
      <c r="C1330" s="488">
        <v>439</v>
      </c>
      <c r="D1330" s="488">
        <v>967</v>
      </c>
      <c r="E1330" s="488">
        <v>1780</v>
      </c>
      <c r="F1330" s="488">
        <v>2668</v>
      </c>
      <c r="G1330" s="488">
        <v>3659</v>
      </c>
      <c r="H1330" s="488">
        <v>4401</v>
      </c>
      <c r="I1330" s="488">
        <v>4757</v>
      </c>
      <c r="J1330" s="488">
        <v>5132</v>
      </c>
      <c r="K1330" s="489">
        <v>5691</v>
      </c>
      <c r="L1330" s="488">
        <v>6280</v>
      </c>
      <c r="M1330" s="488">
        <v>6704</v>
      </c>
      <c r="N1330" s="488">
        <v>7281</v>
      </c>
      <c r="O1330" s="488">
        <v>7713</v>
      </c>
      <c r="P1330" s="488">
        <v>8101</v>
      </c>
      <c r="Q1330" s="250">
        <v>8407.2235068996015</v>
      </c>
      <c r="R1330" s="250">
        <v>8624.0615762807247</v>
      </c>
      <c r="S1330" s="250">
        <v>8799.1244836483347</v>
      </c>
      <c r="T1330" s="250">
        <v>8977.1461015238983</v>
      </c>
      <c r="U1330" s="250">
        <v>9073.4715638672969</v>
      </c>
      <c r="V1330" s="250">
        <v>9221.4520351552765</v>
      </c>
      <c r="W1330" s="250">
        <v>9303.0859289675227</v>
      </c>
      <c r="X1330" s="250">
        <v>9554.0038320640742</v>
      </c>
    </row>
    <row r="1331" spans="2:24" ht="15.75">
      <c r="B1331" s="55"/>
      <c r="C1331" s="55"/>
      <c r="D1331" s="55"/>
      <c r="E1331" s="55"/>
      <c r="F1331" s="55"/>
      <c r="G1331" s="55"/>
      <c r="H1331" s="55"/>
      <c r="I1331" s="55"/>
      <c r="J1331" s="55"/>
      <c r="K1331" s="490"/>
      <c r="L1331" s="65"/>
      <c r="M1331" s="56"/>
      <c r="N1331" s="65"/>
      <c r="O1331" s="65"/>
      <c r="P1331" s="65"/>
      <c r="Q1331" s="65"/>
      <c r="R1331" s="65"/>
      <c r="S1331" s="65"/>
      <c r="T1331" s="55"/>
      <c r="U1331" s="55"/>
      <c r="V1331" s="55"/>
      <c r="W1331" s="55"/>
      <c r="X1331" s="55"/>
    </row>
    <row r="1332" spans="2:24" ht="15.75">
      <c r="B1332" s="55" t="s">
        <v>1681</v>
      </c>
      <c r="C1332" s="85">
        <v>0</v>
      </c>
      <c r="D1332" s="85">
        <v>0.01</v>
      </c>
      <c r="E1332" s="85">
        <v>1</v>
      </c>
      <c r="F1332" s="85">
        <v>316</v>
      </c>
      <c r="G1332" s="85">
        <v>535</v>
      </c>
      <c r="H1332" s="85">
        <v>1100</v>
      </c>
      <c r="I1332" s="85">
        <v>1714</v>
      </c>
      <c r="J1332" s="85">
        <v>2966</v>
      </c>
      <c r="K1332" s="491">
        <v>4266</v>
      </c>
      <c r="L1332" s="85">
        <v>5631</v>
      </c>
      <c r="M1332" s="85">
        <v>6702</v>
      </c>
      <c r="N1332" s="85">
        <v>7846</v>
      </c>
      <c r="O1332" s="85">
        <v>8586</v>
      </c>
      <c r="P1332" s="159">
        <v>8921</v>
      </c>
      <c r="Q1332" s="64">
        <v>9044.5638712051023</v>
      </c>
      <c r="R1332" s="64">
        <v>9359.9646993958268</v>
      </c>
      <c r="S1332" s="64">
        <v>9640.0653511840028</v>
      </c>
      <c r="T1332" s="64">
        <v>9924.8999397849038</v>
      </c>
      <c r="U1332" s="64">
        <v>10079.020679534342</v>
      </c>
      <c r="V1332" s="64">
        <v>10315.78943359511</v>
      </c>
      <c r="W1332" s="64">
        <v>10446.403663694704</v>
      </c>
      <c r="X1332" s="64">
        <v>10847.872308649185</v>
      </c>
    </row>
    <row r="1333" spans="2:24" ht="15.75">
      <c r="B1333" s="55" t="s">
        <v>1682</v>
      </c>
      <c r="C1333" s="93">
        <v>3</v>
      </c>
      <c r="D1333" s="93">
        <v>11</v>
      </c>
      <c r="E1333" s="93">
        <v>40</v>
      </c>
      <c r="F1333" s="93">
        <v>40</v>
      </c>
      <c r="G1333" s="93">
        <v>1375</v>
      </c>
      <c r="H1333" s="93">
        <v>3200</v>
      </c>
      <c r="I1333" s="93">
        <v>4036</v>
      </c>
      <c r="J1333" s="93">
        <v>3654</v>
      </c>
      <c r="K1333" s="492">
        <v>3342</v>
      </c>
      <c r="L1333" s="93">
        <v>2622</v>
      </c>
      <c r="M1333" s="93">
        <v>2158</v>
      </c>
      <c r="N1333" s="93">
        <v>1455</v>
      </c>
      <c r="O1333" s="93">
        <v>1175</v>
      </c>
      <c r="P1333" s="400">
        <v>1059</v>
      </c>
      <c r="Q1333" s="110">
        <v>1193.3085556577198</v>
      </c>
      <c r="R1333" s="110">
        <v>1134.1709003719591</v>
      </c>
      <c r="S1333" s="110">
        <v>1081.6520281616761</v>
      </c>
      <c r="T1333" s="110">
        <v>1028.2455427990069</v>
      </c>
      <c r="U1333" s="110">
        <v>999.34790409598736</v>
      </c>
      <c r="V1333" s="110">
        <v>954.95376270959355</v>
      </c>
      <c r="W1333" s="110">
        <v>930.46359456591972</v>
      </c>
      <c r="X1333" s="110">
        <v>855.18822363695426</v>
      </c>
    </row>
    <row r="1334" spans="2:24" ht="15.75">
      <c r="B1334" s="62" t="s">
        <v>1683</v>
      </c>
      <c r="C1334" s="493">
        <v>3</v>
      </c>
      <c r="D1334" s="493">
        <v>11.01</v>
      </c>
      <c r="E1334" s="493">
        <v>41</v>
      </c>
      <c r="F1334" s="493">
        <v>356</v>
      </c>
      <c r="G1334" s="493">
        <v>1910</v>
      </c>
      <c r="H1334" s="493">
        <v>4300</v>
      </c>
      <c r="I1334" s="493">
        <v>5750</v>
      </c>
      <c r="J1334" s="493">
        <v>6620</v>
      </c>
      <c r="K1334" s="494">
        <v>7608</v>
      </c>
      <c r="L1334" s="493">
        <v>8253</v>
      </c>
      <c r="M1334" s="493">
        <v>8860</v>
      </c>
      <c r="N1334" s="493">
        <v>9301</v>
      </c>
      <c r="O1334" s="493">
        <v>9761</v>
      </c>
      <c r="P1334" s="493">
        <v>9980</v>
      </c>
      <c r="Q1334" s="493">
        <v>10237.872426862821</v>
      </c>
      <c r="R1334" s="493">
        <v>10494.135599767786</v>
      </c>
      <c r="S1334" s="493">
        <v>10721.717379345679</v>
      </c>
      <c r="T1334" s="493">
        <v>10953.14548258391</v>
      </c>
      <c r="U1334" s="493">
        <v>11078.36858363033</v>
      </c>
      <c r="V1334" s="493">
        <v>11270.743196304704</v>
      </c>
      <c r="W1334" s="493">
        <v>11376.867258260623</v>
      </c>
      <c r="X1334" s="493">
        <v>11703.060532286139</v>
      </c>
    </row>
    <row r="1335" spans="2:24" ht="15.75">
      <c r="B1335" s="55"/>
      <c r="C1335" s="55"/>
      <c r="D1335" s="55"/>
      <c r="E1335" s="55"/>
      <c r="F1335" s="55"/>
      <c r="G1335" s="55"/>
      <c r="H1335" s="55"/>
      <c r="I1335" s="55"/>
      <c r="J1335" s="55"/>
      <c r="K1335" s="490"/>
      <c r="L1335" s="55"/>
      <c r="M1335" s="55"/>
      <c r="N1335" s="55"/>
      <c r="O1335" s="55"/>
      <c r="P1335" s="55"/>
      <c r="Q1335" s="55"/>
      <c r="R1335" s="55"/>
      <c r="S1335" s="55"/>
      <c r="T1335" s="55"/>
      <c r="U1335" s="55"/>
      <c r="V1335" s="55"/>
      <c r="W1335" s="55"/>
      <c r="X1335" s="55"/>
    </row>
    <row r="1336" spans="2:24" ht="15.75">
      <c r="B1336" s="55" t="s">
        <v>1684</v>
      </c>
      <c r="C1336" s="65">
        <v>361</v>
      </c>
      <c r="D1336" s="65">
        <v>1248.0000000000002</v>
      </c>
      <c r="E1336" s="65">
        <v>3152</v>
      </c>
      <c r="F1336" s="65">
        <v>5092</v>
      </c>
      <c r="G1336" s="65">
        <v>5168</v>
      </c>
      <c r="H1336" s="65">
        <v>3984</v>
      </c>
      <c r="I1336" s="65">
        <v>3305</v>
      </c>
      <c r="J1336" s="65">
        <v>2925</v>
      </c>
      <c r="K1336" s="495">
        <v>2421</v>
      </c>
      <c r="L1336" s="65">
        <v>2263</v>
      </c>
      <c r="M1336" s="65">
        <v>2065</v>
      </c>
      <c r="N1336" s="65">
        <v>1872</v>
      </c>
      <c r="O1336" s="65">
        <v>1832</v>
      </c>
      <c r="P1336" s="65">
        <v>1846</v>
      </c>
      <c r="Q1336" s="64">
        <v>1819.1382888684561</v>
      </c>
      <c r="R1336" s="64">
        <v>1740.288081820775</v>
      </c>
      <c r="S1336" s="64">
        <v>1687.769209610492</v>
      </c>
      <c r="T1336" s="64">
        <v>1634.3627242478228</v>
      </c>
      <c r="U1336" s="64">
        <v>1605.4650855448033</v>
      </c>
      <c r="V1336" s="64">
        <v>1561.0709441584095</v>
      </c>
      <c r="W1336" s="64">
        <v>1536.5807760147356</v>
      </c>
      <c r="X1336" s="64">
        <v>1461.30540508577</v>
      </c>
    </row>
    <row r="1337" spans="2:24" ht="15.75">
      <c r="B1337" s="55"/>
      <c r="C1337" s="55"/>
      <c r="D1337" s="55"/>
      <c r="E1337" s="55"/>
      <c r="F1337" s="55"/>
      <c r="G1337" s="55"/>
      <c r="H1337" s="55"/>
      <c r="I1337" s="55"/>
      <c r="J1337" s="55"/>
      <c r="K1337" s="490"/>
      <c r="L1337" s="55"/>
      <c r="M1337" s="55"/>
      <c r="N1337" s="55"/>
      <c r="O1337" s="65"/>
      <c r="P1337" s="65"/>
      <c r="Q1337" s="55"/>
      <c r="R1337" s="55"/>
      <c r="S1337" s="55"/>
      <c r="T1337" s="55"/>
      <c r="U1337" s="55"/>
      <c r="V1337" s="55"/>
      <c r="W1337" s="55"/>
      <c r="X1337" s="55"/>
    </row>
    <row r="1338" spans="2:24" ht="15.75">
      <c r="B1338" s="62" t="s">
        <v>1685</v>
      </c>
      <c r="C1338" s="488">
        <v>803</v>
      </c>
      <c r="D1338" s="488">
        <v>2226.0100000000002</v>
      </c>
      <c r="E1338" s="488">
        <v>4973</v>
      </c>
      <c r="F1338" s="488">
        <v>8116</v>
      </c>
      <c r="G1338" s="488">
        <v>10737</v>
      </c>
      <c r="H1338" s="488">
        <v>12685</v>
      </c>
      <c r="I1338" s="488">
        <v>13812</v>
      </c>
      <c r="J1338" s="488">
        <v>14677</v>
      </c>
      <c r="K1338" s="489">
        <v>15720</v>
      </c>
      <c r="L1338" s="488">
        <v>16796</v>
      </c>
      <c r="M1338" s="488">
        <v>17629</v>
      </c>
      <c r="N1338" s="488">
        <v>18454</v>
      </c>
      <c r="O1338" s="488">
        <v>19306</v>
      </c>
      <c r="P1338" s="496">
        <v>19927</v>
      </c>
      <c r="Q1338" s="493">
        <v>20464.234222630879</v>
      </c>
      <c r="R1338" s="493">
        <v>20858.485257869284</v>
      </c>
      <c r="S1338" s="493">
        <v>21208.611072604504</v>
      </c>
      <c r="T1338" s="493">
        <v>21564.654308355632</v>
      </c>
      <c r="U1338" s="493">
        <v>21757.305233042429</v>
      </c>
      <c r="V1338" s="493">
        <v>22053.266175618388</v>
      </c>
      <c r="W1338" s="493">
        <v>22216.53396324288</v>
      </c>
      <c r="X1338" s="493">
        <v>22718.369769435983</v>
      </c>
    </row>
    <row r="1339" spans="2:24" ht="15.75">
      <c r="B1339" s="55" t="s">
        <v>192</v>
      </c>
      <c r="C1339" s="55"/>
      <c r="D1339" s="497">
        <v>1.7721170610211709</v>
      </c>
      <c r="E1339" s="497">
        <v>1.2340420752826806</v>
      </c>
      <c r="F1339" s="497">
        <v>0.63201286949527447</v>
      </c>
      <c r="G1339" s="497">
        <v>0.32294233612617051</v>
      </c>
      <c r="H1339" s="497">
        <v>0.18142870447983617</v>
      </c>
      <c r="I1339" s="497">
        <v>8.8845092629089573E-2</v>
      </c>
      <c r="J1339" s="497">
        <v>6.2626701419055797E-2</v>
      </c>
      <c r="K1339" s="498">
        <v>7.1063568849219827E-2</v>
      </c>
      <c r="L1339" s="497">
        <v>6.8447837150127144E-2</v>
      </c>
      <c r="M1339" s="497">
        <v>4.9595141700404799E-2</v>
      </c>
      <c r="N1339" s="497">
        <v>4.6797889840603624E-2</v>
      </c>
      <c r="O1339" s="497">
        <v>4.6168852281348149E-2</v>
      </c>
      <c r="P1339" s="497">
        <v>3.2166165958769311E-2</v>
      </c>
      <c r="Q1339" s="497">
        <v>2.6960115553313457E-2</v>
      </c>
      <c r="R1339" s="497">
        <v>1.9265369568650215E-2</v>
      </c>
      <c r="S1339" s="497">
        <v>1.6785773770563228E-2</v>
      </c>
      <c r="T1339" s="497">
        <v>1.6787673390410429E-2</v>
      </c>
      <c r="U1339" s="497">
        <v>8.933643077791098E-3</v>
      </c>
      <c r="V1339" s="497">
        <v>1.3602830838006952E-2</v>
      </c>
      <c r="W1339" s="497">
        <v>7.4033381869302861E-3</v>
      </c>
      <c r="X1339" s="497">
        <v>7.5079556154042937E-3</v>
      </c>
    </row>
    <row r="1340" spans="2:24" ht="15.75">
      <c r="B1340" s="55"/>
      <c r="C1340" s="55"/>
      <c r="D1340" s="55"/>
      <c r="E1340" s="55"/>
      <c r="F1340" s="55"/>
      <c r="G1340" s="55"/>
      <c r="H1340" s="55"/>
      <c r="I1340" s="55"/>
      <c r="J1340" s="55"/>
      <c r="K1340" s="490"/>
      <c r="L1340" s="55"/>
      <c r="M1340" s="55"/>
      <c r="N1340" s="65"/>
      <c r="O1340" s="65"/>
      <c r="P1340" s="65"/>
      <c r="Q1340" s="65"/>
      <c r="R1340" s="65"/>
      <c r="S1340" s="55"/>
      <c r="T1340" s="55"/>
      <c r="U1340" s="55"/>
      <c r="V1340" s="55"/>
      <c r="W1340" s="55"/>
      <c r="X1340" s="55"/>
    </row>
    <row r="1341" spans="2:24" ht="15.75">
      <c r="B1341" s="55" t="s">
        <v>1686</v>
      </c>
      <c r="C1341" s="85">
        <v>960</v>
      </c>
      <c r="D1341" s="85">
        <v>1393.8</v>
      </c>
      <c r="E1341" s="85">
        <v>1973.5</v>
      </c>
      <c r="F1341" s="85">
        <v>2660.3</v>
      </c>
      <c r="G1341" s="85">
        <v>3088.5</v>
      </c>
      <c r="H1341" s="85">
        <v>3443.9</v>
      </c>
      <c r="I1341" s="85">
        <v>3730</v>
      </c>
      <c r="J1341" s="85">
        <v>3901</v>
      </c>
      <c r="K1341" s="491">
        <v>4061</v>
      </c>
      <c r="L1341" s="85">
        <v>4149</v>
      </c>
      <c r="M1341" s="85">
        <v>4310</v>
      </c>
      <c r="N1341" s="85">
        <v>4416</v>
      </c>
      <c r="O1341" s="85">
        <v>4564</v>
      </c>
      <c r="P1341" s="159">
        <v>4765</v>
      </c>
      <c r="Q1341" s="508">
        <v>4945</v>
      </c>
      <c r="R1341" s="508">
        <v>5195</v>
      </c>
      <c r="S1341" s="508">
        <v>5495</v>
      </c>
      <c r="T1341" s="508">
        <v>5795</v>
      </c>
      <c r="U1341" s="508">
        <v>5995</v>
      </c>
      <c r="V1341" s="508">
        <v>6095</v>
      </c>
      <c r="W1341" s="508">
        <v>6195</v>
      </c>
      <c r="X1341" s="508">
        <v>6495</v>
      </c>
    </row>
    <row r="1342" spans="2:24" ht="15.75">
      <c r="B1342" s="55"/>
      <c r="C1342" s="55"/>
      <c r="D1342" s="55"/>
      <c r="E1342" s="55"/>
      <c r="F1342" s="55"/>
      <c r="G1342" s="55"/>
      <c r="H1342" s="55"/>
      <c r="I1342" s="55"/>
      <c r="J1342" s="55"/>
      <c r="K1342" s="490"/>
      <c r="L1342" s="55"/>
      <c r="M1342" s="55"/>
      <c r="N1342" s="65"/>
      <c r="O1342" s="55"/>
      <c r="P1342" s="55"/>
      <c r="Q1342" s="55"/>
      <c r="R1342" s="55"/>
      <c r="S1342" s="55"/>
      <c r="T1342" s="55"/>
      <c r="U1342" s="55"/>
      <c r="V1342" s="55"/>
      <c r="W1342" s="55"/>
      <c r="X1342" s="55"/>
    </row>
    <row r="1343" spans="2:24" ht="15.75">
      <c r="B1343" s="62" t="s">
        <v>1687</v>
      </c>
      <c r="C1343" s="493">
        <v>1763</v>
      </c>
      <c r="D1343" s="493">
        <v>3619.8100000000004</v>
      </c>
      <c r="E1343" s="493">
        <v>6946.5</v>
      </c>
      <c r="F1343" s="493">
        <v>10776.3</v>
      </c>
      <c r="G1343" s="493">
        <v>13825.5</v>
      </c>
      <c r="H1343" s="493">
        <v>16128.9</v>
      </c>
      <c r="I1343" s="493">
        <v>17542</v>
      </c>
      <c r="J1343" s="493">
        <v>18578</v>
      </c>
      <c r="K1343" s="494">
        <v>19781</v>
      </c>
      <c r="L1343" s="493">
        <v>20945</v>
      </c>
      <c r="M1343" s="493">
        <v>21939</v>
      </c>
      <c r="N1343" s="493">
        <v>22870</v>
      </c>
      <c r="O1343" s="493">
        <v>23870</v>
      </c>
      <c r="P1343" s="493">
        <v>24692</v>
      </c>
      <c r="Q1343" s="493">
        <v>25409.234222630879</v>
      </c>
      <c r="R1343" s="493">
        <v>26053.485257869284</v>
      </c>
      <c r="S1343" s="493">
        <v>26703.611072604504</v>
      </c>
      <c r="T1343" s="493">
        <v>27359.654308355632</v>
      </c>
      <c r="U1343" s="493">
        <v>27752.305233042429</v>
      </c>
      <c r="V1343" s="493">
        <v>28148.266175618388</v>
      </c>
      <c r="W1343" s="493">
        <v>28411.53396324288</v>
      </c>
      <c r="X1343" s="493">
        <v>29213.369769435983</v>
      </c>
    </row>
    <row r="1344" spans="2:24" ht="15.75">
      <c r="B1344" s="62" t="s">
        <v>192</v>
      </c>
      <c r="C1344" s="55"/>
      <c r="D1344" s="497">
        <v>1.0532104367555304</v>
      </c>
      <c r="E1344" s="497">
        <v>0.91902337415499691</v>
      </c>
      <c r="F1344" s="497">
        <v>0.55132800690995465</v>
      </c>
      <c r="G1344" s="497">
        <v>0.28295426073884355</v>
      </c>
      <c r="H1344" s="497">
        <v>0.16660518606921992</v>
      </c>
      <c r="I1344" s="497">
        <v>8.7612918425931108E-2</v>
      </c>
      <c r="J1344" s="497">
        <v>5.9058260175578692E-2</v>
      </c>
      <c r="K1344" s="498">
        <v>6.4754010119496108E-2</v>
      </c>
      <c r="L1344" s="497">
        <v>5.8844345584146307E-2</v>
      </c>
      <c r="M1344" s="497">
        <v>4.7457627118643986E-2</v>
      </c>
      <c r="N1344" s="497">
        <v>4.2435844842517945E-2</v>
      </c>
      <c r="O1344" s="497">
        <v>4.3725404459991291E-2</v>
      </c>
      <c r="P1344" s="497">
        <v>3.4436531210724652E-2</v>
      </c>
      <c r="Q1344" s="497">
        <v>2.9047230788550094E-2</v>
      </c>
      <c r="R1344" s="497">
        <v>2.5354996124385298E-2</v>
      </c>
      <c r="S1344" s="497">
        <v>2.4953506538586856E-2</v>
      </c>
      <c r="T1344" s="497">
        <v>2.4567585034376505E-2</v>
      </c>
      <c r="U1344" s="497">
        <v>1.4351457816734303E-2</v>
      </c>
      <c r="V1344" s="497">
        <v>1.4267677558710279E-2</v>
      </c>
      <c r="W1344" s="497">
        <v>9.3528953428942962E-3</v>
      </c>
      <c r="X1344" s="497">
        <v>9.3040616794535236E-3</v>
      </c>
    </row>
    <row r="1345" spans="2:24" ht="15.75">
      <c r="B1345" s="62" t="s">
        <v>1688</v>
      </c>
      <c r="C1345" s="499">
        <v>5.300645518203493E-2</v>
      </c>
      <c r="D1345" s="499">
        <v>0.10894507044330631</v>
      </c>
      <c r="E1345" s="499">
        <v>0.20901913112554085</v>
      </c>
      <c r="F1345" s="499">
        <v>0.3246949290427551</v>
      </c>
      <c r="G1345" s="499">
        <v>0.42143205511186976</v>
      </c>
      <c r="H1345" s="499">
        <v>0.49826075674072606</v>
      </c>
      <c r="I1345" s="499">
        <v>0.54825603200400053</v>
      </c>
      <c r="J1345" s="499">
        <v>0.58708278821663096</v>
      </c>
      <c r="K1345" s="500">
        <v>0.63105340394308684</v>
      </c>
      <c r="L1345" s="499">
        <v>0.66388792037782496</v>
      </c>
      <c r="M1345" s="499">
        <v>0.6974947542442933</v>
      </c>
      <c r="N1345" s="499">
        <v>0.72822798917369846</v>
      </c>
      <c r="O1345" s="499">
        <v>0.7571528262386602</v>
      </c>
      <c r="P1345" s="499">
        <v>0.80590097588041387</v>
      </c>
      <c r="Q1345" s="499">
        <v>0.83347755529600998</v>
      </c>
      <c r="R1345" s="499">
        <v>0.85890489998020358</v>
      </c>
      <c r="S1345" s="499">
        <v>0.88476139599787329</v>
      </c>
      <c r="T1345" s="499">
        <v>0.9110531123911404</v>
      </c>
      <c r="U1345" s="499">
        <v>0.928771912263745</v>
      </c>
      <c r="V1345" s="499">
        <v>0.94675711601357881</v>
      </c>
      <c r="W1345" s="499">
        <v>0.96041410676863759</v>
      </c>
      <c r="X1345" s="499">
        <v>1.002481257508768</v>
      </c>
    </row>
    <row r="1346" spans="2:24" ht="15.75">
      <c r="B1346" s="55"/>
      <c r="C1346" s="55"/>
      <c r="D1346" s="55"/>
      <c r="E1346" s="55"/>
      <c r="F1346" s="55"/>
      <c r="G1346" s="55"/>
      <c r="H1346" s="55"/>
      <c r="I1346" s="55"/>
      <c r="J1346" s="55"/>
      <c r="K1346" s="490"/>
      <c r="L1346" s="55"/>
      <c r="M1346" s="55"/>
      <c r="N1346" s="55"/>
      <c r="O1346" s="56"/>
      <c r="P1346" s="56"/>
      <c r="Q1346" s="56"/>
      <c r="R1346" s="56"/>
      <c r="S1346" s="56"/>
      <c r="T1346" s="56"/>
      <c r="U1346" s="56"/>
      <c r="V1346" s="56"/>
      <c r="W1346" s="56"/>
      <c r="X1346" s="56"/>
    </row>
    <row r="1347" spans="2:24" ht="15.75">
      <c r="B1347" s="55" t="s">
        <v>1689</v>
      </c>
      <c r="C1347" s="55"/>
      <c r="D1347" s="56">
        <v>0.23362648843985107</v>
      </c>
      <c r="E1347" s="56">
        <v>0.17425729478851354</v>
      </c>
      <c r="F1347" s="56">
        <v>0.17933051334273339</v>
      </c>
      <c r="G1347" s="56">
        <v>0.14043027679391307</v>
      </c>
      <c r="H1347" s="56">
        <v>0.15429365286098817</v>
      </c>
      <c r="I1347" s="56">
        <v>0.20246267072394017</v>
      </c>
      <c r="J1347" s="56">
        <v>0.16505791505791506</v>
      </c>
      <c r="K1347" s="501">
        <v>0.13300083125519535</v>
      </c>
      <c r="L1347" s="56">
        <v>7.560137457044673E-2</v>
      </c>
      <c r="M1347" s="56">
        <v>0.1619718309859155</v>
      </c>
      <c r="N1347" s="56">
        <v>0.11385606874328678</v>
      </c>
      <c r="O1347" s="56">
        <v>0.14799999999999999</v>
      </c>
      <c r="P1347" s="56">
        <v>0.24452554744525548</v>
      </c>
      <c r="Q1347" s="56">
        <v>0.25096404259649507</v>
      </c>
      <c r="R1347" s="56">
        <v>0.38804749441727709</v>
      </c>
      <c r="S1347" s="56">
        <v>0.46144914292040917</v>
      </c>
      <c r="T1347" s="56">
        <v>0.45728693423158207</v>
      </c>
      <c r="U1347" s="56">
        <v>0.50935828091970603</v>
      </c>
      <c r="V1347" s="56">
        <v>0.25255016151199439</v>
      </c>
      <c r="W1347" s="56">
        <v>0.37984138090845088</v>
      </c>
      <c r="X1347" s="56">
        <v>0.37133662366448372</v>
      </c>
    </row>
    <row r="1348" spans="2:24" ht="15.75">
      <c r="B1348" s="62" t="s">
        <v>1690</v>
      </c>
      <c r="C1348" s="55"/>
      <c r="D1348" s="56"/>
      <c r="E1348" s="56"/>
      <c r="F1348" s="56"/>
      <c r="G1348" s="56"/>
      <c r="H1348" s="56"/>
      <c r="I1348" s="56"/>
      <c r="J1348" s="56"/>
      <c r="K1348" s="501"/>
      <c r="L1348" s="56"/>
      <c r="M1348" s="56"/>
      <c r="N1348" s="56"/>
      <c r="O1348" s="55"/>
      <c r="P1348" s="55"/>
      <c r="Q1348" s="55"/>
      <c r="R1348" s="55"/>
      <c r="S1348" s="55"/>
      <c r="T1348" s="55"/>
      <c r="U1348" s="55"/>
      <c r="V1348" s="55"/>
      <c r="W1348" s="55"/>
      <c r="X1348" s="55"/>
    </row>
    <row r="1349" spans="2:24" ht="15.75">
      <c r="B1349" s="55" t="s">
        <v>1665</v>
      </c>
      <c r="C1349" s="55"/>
      <c r="D1349" s="56">
        <v>0.3710444761456349</v>
      </c>
      <c r="E1349" s="56">
        <v>0.29596030564363179</v>
      </c>
      <c r="F1349" s="56">
        <v>0.282532612153993</v>
      </c>
      <c r="G1349" s="56">
        <v>0.37809996184662342</v>
      </c>
      <c r="H1349" s="56">
        <v>0.3809034907597536</v>
      </c>
      <c r="I1349" s="56">
        <v>0.31588287488908606</v>
      </c>
      <c r="J1349" s="56">
        <v>0.43352601156069365</v>
      </c>
      <c r="K1349" s="501">
        <v>0.53595397890699903</v>
      </c>
      <c r="L1349" s="56">
        <v>0.54739776951672858</v>
      </c>
      <c r="M1349" s="56">
        <v>0.50900360144057621</v>
      </c>
      <c r="N1349" s="56">
        <v>0.69939393939393935</v>
      </c>
      <c r="O1349" s="56">
        <v>0.50704225352112675</v>
      </c>
      <c r="P1349" s="56">
        <v>0.62479871175523349</v>
      </c>
      <c r="Q1349" s="509">
        <v>0.56999999999999995</v>
      </c>
      <c r="R1349" s="509">
        <v>0.55000000000000004</v>
      </c>
      <c r="S1349" s="509">
        <v>0.5</v>
      </c>
      <c r="T1349" s="509">
        <v>0.5</v>
      </c>
      <c r="U1349" s="509">
        <v>0.5</v>
      </c>
      <c r="V1349" s="509">
        <v>0.5</v>
      </c>
      <c r="W1349" s="509">
        <v>0.5</v>
      </c>
      <c r="X1349" s="509">
        <v>0.5</v>
      </c>
    </row>
    <row r="1350" spans="2:24" ht="15.75">
      <c r="B1350" s="55" t="s">
        <v>1691</v>
      </c>
      <c r="C1350" s="55"/>
      <c r="D1350" s="56">
        <v>7.0273575027582368E-6</v>
      </c>
      <c r="E1350" s="56">
        <v>3.6039446812693169E-4</v>
      </c>
      <c r="F1350" s="56">
        <v>0.10022271714922049</v>
      </c>
      <c r="G1350" s="56">
        <v>8.3555894696680663E-2</v>
      </c>
      <c r="H1350" s="56">
        <v>0.29004106776180699</v>
      </c>
      <c r="I1350" s="56">
        <v>0.54480922803904175</v>
      </c>
      <c r="J1350" s="56">
        <v>1.4473988439306358</v>
      </c>
      <c r="K1350" s="501">
        <v>1.2464046021093</v>
      </c>
      <c r="L1350" s="56">
        <v>1.2685873605947955</v>
      </c>
      <c r="M1350" s="56">
        <v>1.2857142857142858</v>
      </c>
      <c r="N1350" s="56">
        <v>1.3866666666666667</v>
      </c>
      <c r="O1350" s="56">
        <v>0.86854460093896713</v>
      </c>
      <c r="P1350" s="56">
        <v>0.53945249597423506</v>
      </c>
      <c r="Q1350" s="509">
        <v>0.23</v>
      </c>
      <c r="R1350" s="509">
        <v>0.8</v>
      </c>
      <c r="S1350" s="509">
        <v>0.8</v>
      </c>
      <c r="T1350" s="509">
        <v>0.8</v>
      </c>
      <c r="U1350" s="509">
        <v>0.8</v>
      </c>
      <c r="V1350" s="509">
        <v>0.8</v>
      </c>
      <c r="W1350" s="509">
        <v>0.8</v>
      </c>
      <c r="X1350" s="509">
        <v>0.8</v>
      </c>
    </row>
    <row r="1351" spans="2:24" ht="15.75">
      <c r="B1351" s="55" t="s">
        <v>1692</v>
      </c>
      <c r="C1351" s="55"/>
      <c r="D1351" s="56">
        <v>5.6218860022065895E-3</v>
      </c>
      <c r="E1351" s="56">
        <v>1.055700967240507E-2</v>
      </c>
      <c r="F1351" s="56">
        <v>0</v>
      </c>
      <c r="G1351" s="56">
        <v>0.50934757726058755</v>
      </c>
      <c r="H1351" s="56">
        <v>0.93685831622176596</v>
      </c>
      <c r="I1351" s="56">
        <v>0.74179236912156166</v>
      </c>
      <c r="J1351" s="56">
        <v>-0.44161849710982659</v>
      </c>
      <c r="K1351" s="501">
        <v>-0.29913710450623204</v>
      </c>
      <c r="L1351" s="56">
        <v>-0.66914498141263945</v>
      </c>
      <c r="M1351" s="56">
        <v>-0.55702280912364943</v>
      </c>
      <c r="N1351" s="56">
        <v>-0.85212121212121217</v>
      </c>
      <c r="O1351" s="56">
        <v>-0.32863849765258218</v>
      </c>
      <c r="P1351" s="56">
        <v>-0.18679549114331723</v>
      </c>
      <c r="Q1351" s="509">
        <v>0.25</v>
      </c>
      <c r="R1351" s="509">
        <v>-0.15</v>
      </c>
      <c r="S1351" s="509">
        <v>-0.15</v>
      </c>
      <c r="T1351" s="509">
        <v>-0.15</v>
      </c>
      <c r="U1351" s="509">
        <v>-0.15</v>
      </c>
      <c r="V1351" s="509">
        <v>-0.15</v>
      </c>
      <c r="W1351" s="509">
        <v>-0.15</v>
      </c>
      <c r="X1351" s="509">
        <v>-0.15</v>
      </c>
    </row>
    <row r="1352" spans="2:24" ht="15.75">
      <c r="B1352" s="55" t="s">
        <v>1664</v>
      </c>
      <c r="C1352" s="55"/>
      <c r="D1352" s="56">
        <v>0.62332661049465576</v>
      </c>
      <c r="E1352" s="56">
        <v>0.69312229021583627</v>
      </c>
      <c r="F1352" s="56">
        <v>0.61724467069678646</v>
      </c>
      <c r="G1352" s="56">
        <v>2.8996566196108357E-2</v>
      </c>
      <c r="H1352" s="56">
        <v>-0.6078028747433265</v>
      </c>
      <c r="I1352" s="56">
        <v>-0.60248447204968947</v>
      </c>
      <c r="J1352" s="56">
        <v>-0.43930635838150289</v>
      </c>
      <c r="K1352" s="501">
        <v>-0.48322147651006714</v>
      </c>
      <c r="L1352" s="56">
        <v>-0.14684014869888476</v>
      </c>
      <c r="M1352" s="56">
        <v>-0.23769507803121248</v>
      </c>
      <c r="N1352" s="56">
        <v>-0.23393939393939395</v>
      </c>
      <c r="O1352" s="56">
        <v>-4.6948356807511735E-2</v>
      </c>
      <c r="P1352" s="56">
        <v>2.2544283413848676E-2</v>
      </c>
      <c r="Q1352" s="56">
        <v>-4.9999999999999961E-2</v>
      </c>
      <c r="R1352" s="56">
        <v>-0.20000000000000009</v>
      </c>
      <c r="S1352" s="56">
        <v>-0.15000000000000005</v>
      </c>
      <c r="T1352" s="56">
        <v>-0.15000000000000005</v>
      </c>
      <c r="U1352" s="56">
        <v>-0.15000000000000005</v>
      </c>
      <c r="V1352" s="56">
        <v>-0.15000000000000005</v>
      </c>
      <c r="W1352" s="56">
        <v>-0.15000000000000005</v>
      </c>
      <c r="X1352" s="56">
        <v>-0.15000000000000005</v>
      </c>
    </row>
    <row r="1353" spans="2:24" ht="15.75">
      <c r="B1353" s="55"/>
      <c r="C1353" s="55"/>
      <c r="D1353" s="55"/>
      <c r="E1353" s="55"/>
      <c r="F1353" s="55"/>
      <c r="G1353" s="55"/>
      <c r="H1353" s="55"/>
      <c r="I1353" s="55"/>
      <c r="J1353" s="55"/>
      <c r="K1353" s="490"/>
      <c r="L1353" s="55"/>
      <c r="M1353" s="55"/>
      <c r="N1353" s="55"/>
      <c r="O1353" s="55"/>
      <c r="P1353" s="55"/>
      <c r="Q1353" s="55"/>
      <c r="R1353" s="55"/>
      <c r="S1353" s="55"/>
      <c r="T1353" s="55"/>
      <c r="U1353" s="55"/>
      <c r="V1353" s="55"/>
      <c r="W1353" s="55"/>
      <c r="X1353" s="55"/>
    </row>
    <row r="1354" spans="2:24" ht="15.75">
      <c r="B1354" s="62" t="s">
        <v>1693</v>
      </c>
      <c r="C1354" s="55"/>
      <c r="D1354" s="55"/>
      <c r="E1354" s="55"/>
      <c r="F1354" s="55"/>
      <c r="G1354" s="55"/>
      <c r="H1354" s="55"/>
      <c r="I1354" s="55"/>
      <c r="J1354" s="59"/>
      <c r="K1354" s="502"/>
      <c r="L1354" s="59"/>
      <c r="M1354" s="59"/>
      <c r="N1354" s="59"/>
      <c r="O1354" s="59"/>
      <c r="P1354" s="59"/>
      <c r="Q1354" s="59"/>
      <c r="R1354" s="59"/>
      <c r="S1354" s="59"/>
      <c r="T1354" s="55"/>
      <c r="U1354" s="55"/>
      <c r="V1354" s="55"/>
      <c r="W1354" s="55"/>
      <c r="X1354" s="55"/>
    </row>
    <row r="1355" spans="2:24" ht="15.75">
      <c r="B1355" s="62" t="s">
        <v>1665</v>
      </c>
      <c r="C1355" s="499">
        <v>0.24900737379466817</v>
      </c>
      <c r="D1355" s="499">
        <v>0.26714109304079492</v>
      </c>
      <c r="E1355" s="499">
        <v>0.25624415173108761</v>
      </c>
      <c r="F1355" s="499">
        <v>0.24758033833505008</v>
      </c>
      <c r="G1355" s="499">
        <v>0.26465588947958485</v>
      </c>
      <c r="H1355" s="499">
        <v>0.27286423748674737</v>
      </c>
      <c r="I1355" s="499">
        <v>0.27117774484095314</v>
      </c>
      <c r="J1355" s="499">
        <v>0.27624071482398538</v>
      </c>
      <c r="K1355" s="500">
        <v>0.28770031848743743</v>
      </c>
      <c r="L1355" s="499">
        <v>0.29983289567915972</v>
      </c>
      <c r="M1355" s="499">
        <v>0.30557454760928027</v>
      </c>
      <c r="N1355" s="499">
        <v>0.31836466987319634</v>
      </c>
      <c r="O1355" s="499">
        <v>0.32312526183493928</v>
      </c>
      <c r="P1355" s="499">
        <v>0.32808196986878302</v>
      </c>
      <c r="Q1355" s="499">
        <v>0.33087276197452892</v>
      </c>
      <c r="R1355" s="499">
        <v>0.33101373927221056</v>
      </c>
      <c r="S1355" s="499">
        <v>0.32951065905372784</v>
      </c>
      <c r="T1355" s="499">
        <v>0.32811621083904852</v>
      </c>
      <c r="U1355" s="499">
        <v>0.32694478846622971</v>
      </c>
      <c r="V1355" s="499">
        <v>0.3276028433730942</v>
      </c>
      <c r="W1355" s="499">
        <v>0.3274404662910243</v>
      </c>
      <c r="X1355" s="499">
        <v>0.32704216964589261</v>
      </c>
    </row>
    <row r="1356" spans="2:24" ht="15.75">
      <c r="B1356" s="55" t="s">
        <v>1691</v>
      </c>
      <c r="C1356" s="56">
        <v>0</v>
      </c>
      <c r="D1356" s="56">
        <v>2.7625759363060491E-6</v>
      </c>
      <c r="E1356" s="56">
        <v>1.4395738861297056E-4</v>
      </c>
      <c r="F1356" s="56">
        <v>2.9323608288559153E-2</v>
      </c>
      <c r="G1356" s="56">
        <v>3.8696611334128966E-2</v>
      </c>
      <c r="H1356" s="56">
        <v>6.8200559244585804E-2</v>
      </c>
      <c r="I1356" s="56">
        <v>9.77083570858511E-2</v>
      </c>
      <c r="J1356" s="56">
        <v>0.15965120034449348</v>
      </c>
      <c r="K1356" s="501">
        <v>0.21566149335220666</v>
      </c>
      <c r="L1356" s="56">
        <v>0.26884698018620196</v>
      </c>
      <c r="M1356" s="56">
        <v>0.3054833857514016</v>
      </c>
      <c r="N1356" s="56">
        <v>0.34306952339309138</v>
      </c>
      <c r="O1356" s="59">
        <v>0.35969836614997908</v>
      </c>
      <c r="P1356" s="59">
        <v>0.36129110643123302</v>
      </c>
      <c r="Q1356" s="59">
        <v>0.35595578331713396</v>
      </c>
      <c r="R1356" s="59">
        <v>0.35925960027051318</v>
      </c>
      <c r="S1356" s="59">
        <v>0.36100231257014676</v>
      </c>
      <c r="T1356" s="59">
        <v>0.36275677418752478</v>
      </c>
      <c r="U1356" s="59">
        <v>0.36317778270664397</v>
      </c>
      <c r="V1356" s="59">
        <v>0.3664804563533115</v>
      </c>
      <c r="W1356" s="59">
        <v>0.36768178998042228</v>
      </c>
      <c r="X1356" s="59">
        <v>0.37133245477208165</v>
      </c>
    </row>
    <row r="1357" spans="2:24" ht="15.75">
      <c r="B1357" s="55" t="s">
        <v>1692</v>
      </c>
      <c r="C1357" s="56">
        <v>1.7016449234259785E-3</v>
      </c>
      <c r="D1357" s="56">
        <v>3.0388335299366539E-3</v>
      </c>
      <c r="E1357" s="56">
        <v>5.7582955445188225E-3</v>
      </c>
      <c r="F1357" s="56">
        <v>3.7118491504505259E-3</v>
      </c>
      <c r="G1357" s="56">
        <v>9.9453907634443603E-2</v>
      </c>
      <c r="H1357" s="56">
        <v>0.19840162689334054</v>
      </c>
      <c r="I1357" s="56">
        <v>0.23007638809713829</v>
      </c>
      <c r="J1357" s="56">
        <v>0.19668425018839489</v>
      </c>
      <c r="K1357" s="501">
        <v>0.16895000252767808</v>
      </c>
      <c r="L1357" s="56">
        <v>0.12518500835521604</v>
      </c>
      <c r="M1357" s="56">
        <v>9.8363644651077983E-2</v>
      </c>
      <c r="N1357" s="56">
        <v>6.3620463489287279E-2</v>
      </c>
      <c r="O1357" s="59">
        <v>4.9224968579807286E-2</v>
      </c>
      <c r="P1357" s="59">
        <v>4.2888384901992503E-2</v>
      </c>
      <c r="Q1357" s="59">
        <v>4.6963578091420509E-2</v>
      </c>
      <c r="R1357" s="59">
        <v>4.3532406092554939E-2</v>
      </c>
      <c r="S1357" s="59">
        <v>4.0505833657506846E-2</v>
      </c>
      <c r="T1357" s="59">
        <v>3.7582548785529829E-2</v>
      </c>
      <c r="U1357" s="59">
        <v>3.6009545718967681E-2</v>
      </c>
      <c r="V1357" s="59">
        <v>3.3925846684537908E-2</v>
      </c>
      <c r="W1357" s="59">
        <v>3.2749502218700939E-2</v>
      </c>
      <c r="X1357" s="59">
        <v>2.9273864343157055E-2</v>
      </c>
    </row>
    <row r="1358" spans="2:24" ht="15.75">
      <c r="B1358" s="55" t="s">
        <v>1664</v>
      </c>
      <c r="C1358" s="56">
        <v>0.20476460578559275</v>
      </c>
      <c r="D1358" s="56">
        <v>0.34476947685099496</v>
      </c>
      <c r="E1358" s="56">
        <v>0.45375368890808321</v>
      </c>
      <c r="F1358" s="56">
        <v>0.47251839685235197</v>
      </c>
      <c r="G1358" s="56">
        <v>0.37380203247622146</v>
      </c>
      <c r="H1358" s="56">
        <v>0.24701002548220896</v>
      </c>
      <c r="I1358" s="56">
        <v>0.18840497092691824</v>
      </c>
      <c r="J1358" s="56">
        <v>0.15744428894391216</v>
      </c>
      <c r="K1358" s="501">
        <v>0.12239017238764471</v>
      </c>
      <c r="L1358" s="56">
        <v>0.10804487944616854</v>
      </c>
      <c r="M1358" s="56">
        <v>9.4124618259720128E-2</v>
      </c>
      <c r="N1358" s="56">
        <v>8.1853957149103623E-2</v>
      </c>
      <c r="O1358" s="59">
        <v>7.6749057394218681E-2</v>
      </c>
      <c r="P1358" s="59">
        <v>7.4761056212538493E-2</v>
      </c>
      <c r="Q1358" s="59">
        <v>7.1593589674112654E-2</v>
      </c>
      <c r="R1358" s="59">
        <v>6.6796747713250088E-2</v>
      </c>
      <c r="S1358" s="59">
        <v>6.3203781878848245E-2</v>
      </c>
      <c r="T1358" s="59">
        <v>5.9736234450472894E-2</v>
      </c>
      <c r="U1358" s="59">
        <v>5.7849792010550016E-2</v>
      </c>
      <c r="V1358" s="59">
        <v>5.5458866788412921E-2</v>
      </c>
      <c r="W1358" s="59">
        <v>5.408299242141134E-2</v>
      </c>
      <c r="X1358" s="59">
        <v>5.0021802230245861E-2</v>
      </c>
    </row>
    <row r="1359" spans="2:24" ht="15.75">
      <c r="B1359" s="55" t="s">
        <v>52</v>
      </c>
      <c r="C1359" s="56">
        <v>0.54452637549631311</v>
      </c>
      <c r="D1359" s="56">
        <v>0.38504783400233711</v>
      </c>
      <c r="E1359" s="56">
        <v>0.28409990642769739</v>
      </c>
      <c r="F1359" s="56">
        <v>0.24686580737358838</v>
      </c>
      <c r="G1359" s="56">
        <v>0.22339155907562114</v>
      </c>
      <c r="H1359" s="56">
        <v>0.21352355089311734</v>
      </c>
      <c r="I1359" s="56">
        <v>0.2126325390491392</v>
      </c>
      <c r="J1359" s="56">
        <v>0.20997954569921412</v>
      </c>
      <c r="K1359" s="501">
        <v>0.20529801324503311</v>
      </c>
      <c r="L1359" s="56">
        <v>0.19809023633325376</v>
      </c>
      <c r="M1359" s="56">
        <v>0.19645380372851998</v>
      </c>
      <c r="N1359" s="56">
        <v>0.19309138609532139</v>
      </c>
      <c r="O1359" s="59">
        <v>0.19120234604105571</v>
      </c>
      <c r="P1359" s="59">
        <v>0.192977482585453</v>
      </c>
      <c r="Q1359" s="59">
        <v>0.19461428694280394</v>
      </c>
      <c r="R1359" s="59">
        <v>0.1993975066514713</v>
      </c>
      <c r="S1359" s="59">
        <v>0.20577741283977036</v>
      </c>
      <c r="T1359" s="59">
        <v>0.21180823173742397</v>
      </c>
      <c r="U1359" s="59">
        <v>0.21601809109760864</v>
      </c>
      <c r="V1359" s="59">
        <v>0.21653198680064348</v>
      </c>
      <c r="W1359" s="59">
        <v>0.21804524908844117</v>
      </c>
      <c r="X1359" s="59">
        <v>0.22232970900862278</v>
      </c>
    </row>
    <row r="1360" spans="2:24" ht="15.75">
      <c r="B1360" s="55"/>
      <c r="C1360" s="56"/>
      <c r="D1360" s="56"/>
      <c r="E1360" s="56"/>
      <c r="F1360" s="56"/>
      <c r="G1360" s="56"/>
      <c r="H1360" s="56"/>
      <c r="I1360" s="56"/>
      <c r="J1360" s="56"/>
      <c r="K1360" s="501"/>
      <c r="L1360" s="56"/>
      <c r="M1360" s="56"/>
      <c r="N1360" s="56"/>
      <c r="O1360" s="56"/>
      <c r="P1360" s="56"/>
      <c r="Q1360" s="56"/>
      <c r="R1360" s="56"/>
      <c r="S1360" s="56"/>
      <c r="T1360" s="56"/>
      <c r="U1360" s="56"/>
      <c r="V1360" s="56"/>
      <c r="W1360" s="56"/>
      <c r="X1360" s="56"/>
    </row>
    <row r="1361" spans="2:24" ht="15.75">
      <c r="B1361" s="55" t="s">
        <v>1694</v>
      </c>
      <c r="C1361" s="56">
        <v>1.5071926391320767E-2</v>
      </c>
      <c r="D1361" s="56">
        <v>3.3700425175994982E-2</v>
      </c>
      <c r="E1361" s="56">
        <v>6.38496305330368E-2</v>
      </c>
      <c r="F1361" s="56">
        <v>0.10377688747131354</v>
      </c>
      <c r="G1361" s="56">
        <v>0.15309623430962344</v>
      </c>
      <c r="H1361" s="56">
        <v>0.19522689970279022</v>
      </c>
      <c r="I1361" s="56">
        <v>0.23198088364381156</v>
      </c>
      <c r="J1361" s="56">
        <v>0.27779582115405432</v>
      </c>
      <c r="K1361" s="501">
        <v>0.34039117172079669</v>
      </c>
      <c r="L1361" s="56">
        <v>0.4059469941822883</v>
      </c>
      <c r="M1361" s="56">
        <v>0.46646256610075149</v>
      </c>
      <c r="N1361" s="56">
        <v>0.53177037686240136</v>
      </c>
      <c r="O1361" s="56">
        <v>0.58716504263093783</v>
      </c>
      <c r="P1361" s="56">
        <v>0.63532271978668342</v>
      </c>
      <c r="Q1361" s="56">
        <v>0.6778192125073712</v>
      </c>
      <c r="R1361" s="56">
        <v>0.71816901029318436</v>
      </c>
      <c r="S1361" s="56">
        <v>0.75294502678127417</v>
      </c>
      <c r="T1361" s="56">
        <v>0.78922088898363174</v>
      </c>
      <c r="U1361" s="56">
        <v>0.81758527805962022</v>
      </c>
      <c r="V1361" s="56">
        <v>0.84972614602763108</v>
      </c>
      <c r="W1361" s="56">
        <v>0.8766357383105019</v>
      </c>
      <c r="X1361" s="56">
        <v>0.96265281889442844</v>
      </c>
    </row>
    <row r="1362" spans="2:24" ht="15.75">
      <c r="B1362" s="62" t="s">
        <v>1695</v>
      </c>
      <c r="C1362" s="497"/>
      <c r="D1362" s="499">
        <v>1.813371924612675E-2</v>
      </c>
      <c r="E1362" s="499">
        <v>-1.0896941309707309E-2</v>
      </c>
      <c r="F1362" s="499">
        <v>-8.6638133960375285E-3</v>
      </c>
      <c r="G1362" s="499">
        <v>1.7075551144534767E-2</v>
      </c>
      <c r="H1362" s="499">
        <v>8.2083480071625248E-3</v>
      </c>
      <c r="I1362" s="499">
        <v>-1.6864926457942353E-3</v>
      </c>
      <c r="J1362" s="499">
        <v>5.0629699830322394E-3</v>
      </c>
      <c r="K1362" s="500">
        <v>1.1459603663452056E-2</v>
      </c>
      <c r="L1362" s="499">
        <v>1.2132577191722282E-2</v>
      </c>
      <c r="M1362" s="499">
        <v>5.7416519301205504E-3</v>
      </c>
      <c r="N1362" s="499">
        <v>1.2790122263916071E-2</v>
      </c>
      <c r="O1362" s="499">
        <v>4.7605919617429437E-3</v>
      </c>
      <c r="P1362" s="499">
        <v>4.9567080338441261E-3</v>
      </c>
      <c r="Q1362" s="499">
        <v>2.7907921057455098E-3</v>
      </c>
      <c r="R1362" s="499">
        <v>1.4097729768164369E-4</v>
      </c>
      <c r="S1362" s="499">
        <v>-1.5030802184827219E-3</v>
      </c>
      <c r="T1362" s="499">
        <v>-1.3944482146793225E-3</v>
      </c>
      <c r="U1362" s="499">
        <v>-1.1714223728188089E-3</v>
      </c>
      <c r="V1362" s="499">
        <v>6.5805490686449142E-4</v>
      </c>
      <c r="W1362" s="499">
        <v>-1.6237708206989776E-4</v>
      </c>
      <c r="X1362" s="499">
        <v>-1.1825910364815506E-4</v>
      </c>
    </row>
    <row r="1363" spans="2:24" ht="15.75">
      <c r="B1363" s="55"/>
      <c r="C1363" s="55"/>
      <c r="D1363" s="55"/>
      <c r="E1363" s="55"/>
      <c r="F1363" s="55"/>
      <c r="G1363" s="55"/>
      <c r="H1363" s="55"/>
      <c r="I1363" s="55"/>
      <c r="J1363" s="55"/>
      <c r="K1363" s="490"/>
      <c r="L1363" s="55"/>
      <c r="M1363" s="55"/>
      <c r="N1363" s="55"/>
      <c r="O1363" s="55"/>
      <c r="P1363" s="55"/>
      <c r="Q1363" s="55"/>
      <c r="R1363" s="55"/>
      <c r="S1363" s="55"/>
      <c r="T1363" s="55"/>
      <c r="U1363" s="55"/>
      <c r="V1363" s="55"/>
      <c r="W1363" s="55"/>
      <c r="X1363" s="55"/>
    </row>
    <row r="1364" spans="2:24" ht="15.75">
      <c r="B1364" s="55" t="s">
        <v>1696</v>
      </c>
      <c r="C1364" s="503">
        <v>24745.612499999992</v>
      </c>
      <c r="D1364" s="503">
        <v>24869.34056249999</v>
      </c>
      <c r="E1364" s="503">
        <v>24993.687265312488</v>
      </c>
      <c r="F1364" s="503">
        <v>25118.655701639047</v>
      </c>
      <c r="G1364" s="503">
        <v>25244.24898014724</v>
      </c>
      <c r="H1364" s="503">
        <v>25370.470225047975</v>
      </c>
      <c r="I1364" s="503">
        <v>25497.322576173214</v>
      </c>
      <c r="J1364" s="503">
        <v>25624.809189054078</v>
      </c>
      <c r="K1364" s="504">
        <v>25752.933234999346</v>
      </c>
      <c r="L1364" s="503">
        <v>25881.697901174339</v>
      </c>
      <c r="M1364" s="503">
        <v>26011.106390680208</v>
      </c>
      <c r="N1364" s="503">
        <v>26141.161922633608</v>
      </c>
      <c r="O1364" s="503">
        <v>26271.867732246774</v>
      </c>
      <c r="P1364" s="503">
        <v>26271.867732246774</v>
      </c>
      <c r="Q1364" s="503">
        <v>26403.227070908004</v>
      </c>
      <c r="R1364" s="503">
        <v>26535.243206262541</v>
      </c>
      <c r="S1364" s="503">
        <v>26667.919422293849</v>
      </c>
      <c r="T1364" s="503">
        <v>26801.259019405315</v>
      </c>
      <c r="U1364" s="503">
        <v>26935.26531450234</v>
      </c>
      <c r="V1364" s="503">
        <v>27069.941641074849</v>
      </c>
      <c r="W1364" s="503">
        <v>27205.291349280222</v>
      </c>
      <c r="X1364" s="503">
        <v>27615.41451703203</v>
      </c>
    </row>
    <row r="1365" spans="2:24" ht="15.75">
      <c r="B1365" s="55" t="s">
        <v>1697</v>
      </c>
      <c r="C1365" s="505">
        <v>3000</v>
      </c>
      <c r="D1365" s="505">
        <v>3000</v>
      </c>
      <c r="E1365" s="505">
        <v>3000</v>
      </c>
      <c r="F1365" s="505">
        <v>3000</v>
      </c>
      <c r="G1365" s="505">
        <v>3000</v>
      </c>
      <c r="H1365" s="505">
        <v>3000</v>
      </c>
      <c r="I1365" s="505">
        <v>3000</v>
      </c>
      <c r="J1365" s="505">
        <v>3000</v>
      </c>
      <c r="K1365" s="506">
        <v>3000</v>
      </c>
      <c r="L1365" s="505">
        <v>3000</v>
      </c>
      <c r="M1365" s="505">
        <v>3000</v>
      </c>
      <c r="N1365" s="505">
        <v>3000</v>
      </c>
      <c r="O1365" s="505">
        <v>3000</v>
      </c>
      <c r="P1365" s="505">
        <v>3000</v>
      </c>
      <c r="Q1365" s="505">
        <v>3000</v>
      </c>
      <c r="R1365" s="505">
        <v>3000</v>
      </c>
      <c r="S1365" s="505">
        <v>3000</v>
      </c>
      <c r="T1365" s="505">
        <v>3000</v>
      </c>
      <c r="U1365" s="505">
        <v>3000</v>
      </c>
      <c r="V1365" s="505">
        <v>3000</v>
      </c>
      <c r="W1365" s="505">
        <v>3000</v>
      </c>
      <c r="X1365" s="505">
        <v>3000</v>
      </c>
    </row>
    <row r="1366" spans="2:24" ht="15.75">
      <c r="B1366" s="62" t="s">
        <v>1698</v>
      </c>
      <c r="C1366" s="250">
        <v>27745.612499999992</v>
      </c>
      <c r="D1366" s="250">
        <v>27869.34056249999</v>
      </c>
      <c r="E1366" s="250">
        <v>27993.687265312488</v>
      </c>
      <c r="F1366" s="250">
        <v>28118.655701639047</v>
      </c>
      <c r="G1366" s="250">
        <v>28244.24898014724</v>
      </c>
      <c r="H1366" s="250">
        <v>28370.470225047975</v>
      </c>
      <c r="I1366" s="250">
        <v>28497.322576173214</v>
      </c>
      <c r="J1366" s="250">
        <v>28624.809189054078</v>
      </c>
      <c r="K1366" s="507">
        <v>28752.933234999346</v>
      </c>
      <c r="L1366" s="250">
        <v>28881.697901174339</v>
      </c>
      <c r="M1366" s="250">
        <v>29011.106390680208</v>
      </c>
      <c r="N1366" s="250">
        <v>29141.161922633608</v>
      </c>
      <c r="O1366" s="250">
        <v>29271.867732246774</v>
      </c>
      <c r="P1366" s="250">
        <v>29271.867732246774</v>
      </c>
      <c r="Q1366" s="250">
        <v>29403.227070908004</v>
      </c>
      <c r="R1366" s="250">
        <v>29535.243206262541</v>
      </c>
      <c r="S1366" s="250">
        <v>29667.919422293849</v>
      </c>
      <c r="T1366" s="250">
        <v>29801.259019405315</v>
      </c>
      <c r="U1366" s="250">
        <v>29935.26531450234</v>
      </c>
      <c r="V1366" s="250">
        <v>30069.941641074849</v>
      </c>
      <c r="W1366" s="250">
        <v>30205.291349280222</v>
      </c>
      <c r="X1366" s="250">
        <v>30615.41451703203</v>
      </c>
    </row>
    <row r="1367" spans="2:24" ht="15.75">
      <c r="B1367" s="55"/>
      <c r="C1367" s="55"/>
      <c r="D1367" s="55"/>
      <c r="E1367" s="55"/>
      <c r="F1367" s="55"/>
      <c r="G1367" s="55"/>
      <c r="H1367" s="55"/>
      <c r="I1367" s="55"/>
      <c r="J1367" s="55"/>
      <c r="K1367" s="490"/>
      <c r="L1367" s="55"/>
      <c r="M1367" s="55"/>
      <c r="N1367" s="55"/>
      <c r="O1367" s="55"/>
      <c r="P1367" s="55"/>
      <c r="Q1367" s="55"/>
      <c r="R1367" s="55"/>
      <c r="S1367" s="55"/>
      <c r="T1367" s="55"/>
      <c r="U1367" s="55"/>
      <c r="V1367" s="55"/>
      <c r="W1367" s="55"/>
      <c r="X1367" s="55"/>
    </row>
    <row r="1368" spans="2:24">
      <c r="B1368" s="510" t="s">
        <v>1673</v>
      </c>
      <c r="C1368" s="509">
        <v>0.3</v>
      </c>
      <c r="D1368" s="509">
        <v>0.4</v>
      </c>
      <c r="E1368" s="509">
        <v>0.6</v>
      </c>
      <c r="F1368" s="509">
        <v>0.7</v>
      </c>
      <c r="G1368" s="509">
        <v>0.7</v>
      </c>
      <c r="H1368" s="509">
        <v>0.8</v>
      </c>
      <c r="I1368" s="509">
        <v>0.8</v>
      </c>
      <c r="J1368" s="509">
        <v>0.9</v>
      </c>
      <c r="K1368" s="511">
        <v>0.9</v>
      </c>
      <c r="L1368" s="509">
        <v>0.9</v>
      </c>
      <c r="M1368" s="509">
        <v>0.9</v>
      </c>
      <c r="N1368" s="509">
        <v>0.9</v>
      </c>
      <c r="O1368" s="509">
        <v>0.9</v>
      </c>
      <c r="P1368" s="509">
        <v>0.9</v>
      </c>
      <c r="Q1368" s="509">
        <v>0.9</v>
      </c>
      <c r="R1368" s="509">
        <v>0.9</v>
      </c>
      <c r="S1368" s="509">
        <v>0.9</v>
      </c>
      <c r="T1368" s="509">
        <v>0.9</v>
      </c>
      <c r="U1368" s="509">
        <v>0.9</v>
      </c>
      <c r="V1368" s="509">
        <v>0.9</v>
      </c>
      <c r="W1368" s="509">
        <v>0.9</v>
      </c>
      <c r="X1368" s="509">
        <v>0.9</v>
      </c>
    </row>
    <row r="1369" spans="2:24">
      <c r="B1369" s="510" t="s">
        <v>1674</v>
      </c>
      <c r="C1369" s="512">
        <v>900</v>
      </c>
      <c r="D1369" s="512">
        <v>1200</v>
      </c>
      <c r="E1369" s="512">
        <v>1800</v>
      </c>
      <c r="F1369" s="512">
        <v>2100</v>
      </c>
      <c r="G1369" s="512">
        <v>2100</v>
      </c>
      <c r="H1369" s="512">
        <v>2400</v>
      </c>
      <c r="I1369" s="512">
        <v>2400</v>
      </c>
      <c r="J1369" s="512">
        <v>2700</v>
      </c>
      <c r="K1369" s="513">
        <v>2700</v>
      </c>
      <c r="L1369" s="512">
        <v>2700</v>
      </c>
      <c r="M1369" s="512">
        <v>2700</v>
      </c>
      <c r="N1369" s="512">
        <v>2700</v>
      </c>
      <c r="O1369" s="512">
        <v>2700</v>
      </c>
      <c r="P1369" s="512">
        <v>2700</v>
      </c>
      <c r="Q1369" s="512">
        <v>2700</v>
      </c>
      <c r="R1369" s="512">
        <v>2700</v>
      </c>
      <c r="S1369" s="512">
        <v>2700</v>
      </c>
      <c r="T1369" s="512">
        <v>2700</v>
      </c>
      <c r="U1369" s="512">
        <v>2700</v>
      </c>
      <c r="V1369" s="512">
        <v>2700</v>
      </c>
      <c r="W1369" s="512">
        <v>2700</v>
      </c>
      <c r="X1369" s="512">
        <v>2700</v>
      </c>
    </row>
    <row r="1370" spans="2:24">
      <c r="B1370" s="510" t="s">
        <v>1675</v>
      </c>
      <c r="C1370" s="512">
        <v>863</v>
      </c>
      <c r="D1370" s="512">
        <v>2419.8100000000004</v>
      </c>
      <c r="E1370" s="512">
        <v>5146.5</v>
      </c>
      <c r="F1370" s="512">
        <v>8676.2999999999993</v>
      </c>
      <c r="G1370" s="512">
        <v>11725.5</v>
      </c>
      <c r="H1370" s="512">
        <v>13728.9</v>
      </c>
      <c r="I1370" s="512">
        <v>15142</v>
      </c>
      <c r="J1370" s="512">
        <v>15878</v>
      </c>
      <c r="K1370" s="513">
        <v>17081</v>
      </c>
      <c r="L1370" s="512">
        <v>18245</v>
      </c>
      <c r="M1370" s="512">
        <v>19239</v>
      </c>
      <c r="N1370" s="512">
        <v>20170</v>
      </c>
      <c r="O1370" s="512">
        <v>21170</v>
      </c>
      <c r="P1370" s="512">
        <v>21992</v>
      </c>
      <c r="Q1370" s="512">
        <v>22709.234222630879</v>
      </c>
      <c r="R1370" s="512">
        <v>23353.485257869284</v>
      </c>
      <c r="S1370" s="512">
        <v>24003.611072604504</v>
      </c>
      <c r="T1370" s="512">
        <v>24659.654308355632</v>
      </c>
      <c r="U1370" s="514">
        <v>25052.305233042429</v>
      </c>
      <c r="V1370" s="514">
        <v>25448.266175618388</v>
      </c>
      <c r="W1370" s="514">
        <v>25711.53396324288</v>
      </c>
      <c r="X1370" s="514">
        <v>26513.369769435983</v>
      </c>
    </row>
    <row r="1371" spans="2:24" ht="15.75">
      <c r="B1371" s="57" t="s">
        <v>511</v>
      </c>
      <c r="C1371" s="497">
        <v>3.4874869231868895E-2</v>
      </c>
      <c r="D1371" s="497">
        <v>9.7300931398590695E-2</v>
      </c>
      <c r="E1371" s="497">
        <v>0.20591199471166363</v>
      </c>
      <c r="F1371" s="497">
        <v>0.34541259305663607</v>
      </c>
      <c r="G1371" s="497">
        <v>0.4644820295197235</v>
      </c>
      <c r="H1371" s="497">
        <v>0.54113699423850703</v>
      </c>
      <c r="I1371" s="497">
        <v>0.59386627575359319</v>
      </c>
      <c r="J1371" s="497">
        <v>0.61963388226057359</v>
      </c>
      <c r="K1371" s="498">
        <v>0.66326425204202311</v>
      </c>
      <c r="L1371" s="497">
        <v>0.70493829538023334</v>
      </c>
      <c r="M1371" s="497">
        <v>0.73964558489112719</v>
      </c>
      <c r="N1371" s="497">
        <v>0.77158008736162409</v>
      </c>
      <c r="O1371" s="497">
        <v>0.80580490948557082</v>
      </c>
      <c r="P1371" s="497">
        <v>0.83709313034514277</v>
      </c>
      <c r="Q1371" s="497">
        <v>0.86009313034514279</v>
      </c>
      <c r="R1371" s="497">
        <v>0.8800931303451428</v>
      </c>
      <c r="S1371" s="497">
        <v>0.90009313034514282</v>
      </c>
      <c r="T1371" s="497">
        <v>0.92009313034514284</v>
      </c>
      <c r="U1371" s="497">
        <v>0.93009313034514285</v>
      </c>
      <c r="V1371" s="497">
        <v>0.94009313034514286</v>
      </c>
      <c r="W1371" s="497">
        <v>0.94509313034514286</v>
      </c>
      <c r="X1371" s="497">
        <v>0.96009313034514288</v>
      </c>
    </row>
    <row r="1372" spans="2:24" ht="15.75">
      <c r="B1372" s="55" t="s">
        <v>1699</v>
      </c>
      <c r="C1372" s="55"/>
      <c r="D1372" s="56">
        <v>6.24260621667218E-2</v>
      </c>
      <c r="E1372" s="56">
        <v>0.10861106331307294</v>
      </c>
      <c r="F1372" s="56">
        <v>0.13950059834497244</v>
      </c>
      <c r="G1372" s="56">
        <v>0.11906943646308743</v>
      </c>
      <c r="H1372" s="56">
        <v>7.6654964718783525E-2</v>
      </c>
      <c r="I1372" s="59">
        <v>5.2729281515086157E-2</v>
      </c>
      <c r="J1372" s="59">
        <v>2.5767606506980401E-2</v>
      </c>
      <c r="K1372" s="502">
        <v>4.3630369781449518E-2</v>
      </c>
      <c r="L1372" s="59">
        <v>4.1674043338210232E-2</v>
      </c>
      <c r="M1372" s="59">
        <v>3.4707289510893857E-2</v>
      </c>
      <c r="N1372" s="59">
        <v>3.1934502470496895E-2</v>
      </c>
      <c r="O1372" s="59">
        <v>3.422482212394673E-2</v>
      </c>
      <c r="P1372" s="59">
        <v>3.1288220859571947E-2</v>
      </c>
      <c r="Q1372" s="63">
        <v>2.3E-2</v>
      </c>
      <c r="R1372" s="63">
        <v>0.02</v>
      </c>
      <c r="S1372" s="63">
        <v>0.02</v>
      </c>
      <c r="T1372" s="63">
        <v>0.02</v>
      </c>
      <c r="U1372" s="63">
        <v>0.01</v>
      </c>
      <c r="V1372" s="63">
        <v>0.01</v>
      </c>
      <c r="W1372" s="63">
        <v>5.0000000000000001E-3</v>
      </c>
      <c r="X1372" s="63">
        <v>5.0000000000000001E-3</v>
      </c>
    </row>
    <row r="1375" spans="2:24">
      <c r="C1375">
        <v>2001</v>
      </c>
      <c r="D1375">
        <v>2002</v>
      </c>
      <c r="E1375">
        <f t="shared" ref="E1375:Q1375" si="104">D1375+1</f>
        <v>2003</v>
      </c>
      <c r="F1375">
        <f t="shared" si="104"/>
        <v>2004</v>
      </c>
      <c r="G1375">
        <f t="shared" si="104"/>
        <v>2005</v>
      </c>
      <c r="H1375">
        <f t="shared" si="104"/>
        <v>2006</v>
      </c>
      <c r="I1375">
        <f t="shared" si="104"/>
        <v>2007</v>
      </c>
      <c r="J1375">
        <f t="shared" si="104"/>
        <v>2008</v>
      </c>
      <c r="K1375">
        <f t="shared" si="104"/>
        <v>2009</v>
      </c>
      <c r="L1375">
        <f t="shared" si="104"/>
        <v>2010</v>
      </c>
      <c r="M1375">
        <f t="shared" si="104"/>
        <v>2011</v>
      </c>
      <c r="N1375">
        <f t="shared" si="104"/>
        <v>2012</v>
      </c>
      <c r="O1375">
        <f t="shared" si="104"/>
        <v>2013</v>
      </c>
      <c r="P1375">
        <f t="shared" si="104"/>
        <v>2014</v>
      </c>
      <c r="Q1375">
        <f t="shared" si="104"/>
        <v>2015</v>
      </c>
    </row>
    <row r="1376" spans="2:24">
      <c r="B1376" t="s">
        <v>1700</v>
      </c>
      <c r="C1376" s="8">
        <v>0.86046511627906974</v>
      </c>
      <c r="D1376" s="8">
        <v>0.70049680624556421</v>
      </c>
      <c r="E1376" s="8">
        <v>0.54791929382093318</v>
      </c>
      <c r="F1376" s="8">
        <v>0.47686481146056314</v>
      </c>
      <c r="G1376" s="8">
        <v>0.47014767932489454</v>
      </c>
      <c r="H1376" s="8">
        <v>0.46670874092773745</v>
      </c>
      <c r="I1376" s="8">
        <v>0.4685685221032671</v>
      </c>
      <c r="J1376" s="8">
        <v>0.46693785039534108</v>
      </c>
      <c r="K1376" s="8">
        <v>0.45130100232864229</v>
      </c>
      <c r="L1376" s="8">
        <v>0.43352418013123206</v>
      </c>
      <c r="M1376" s="8">
        <v>0.42182991069587322</v>
      </c>
      <c r="N1376" s="8">
        <v>0.41234533343073554</v>
      </c>
      <c r="O1376" s="8">
        <v>0.40383521121757304</v>
      </c>
      <c r="P1376" s="8">
        <v>0.40154614718388248</v>
      </c>
      <c r="Q1376" s="8">
        <v>0.40077270227540451</v>
      </c>
    </row>
    <row r="1377" spans="2:17">
      <c r="B1377" t="s">
        <v>1701</v>
      </c>
      <c r="C1377" s="8">
        <v>4.6511627906976744E-2</v>
      </c>
      <c r="D1377" s="8">
        <v>7.0333569907735982E-2</v>
      </c>
      <c r="E1377" s="8">
        <v>0.15290037831021439</v>
      </c>
      <c r="F1377" s="8">
        <v>0.1752017124979417</v>
      </c>
      <c r="G1377" s="8">
        <v>0.16824894514767932</v>
      </c>
      <c r="H1377" s="8">
        <v>0.17970968759861156</v>
      </c>
      <c r="I1377" s="8">
        <v>0.18642594714178484</v>
      </c>
      <c r="J1377" s="8">
        <v>0.18953795364592296</v>
      </c>
      <c r="K1377" s="8">
        <v>0.19125240457628834</v>
      </c>
      <c r="L1377" s="8">
        <v>0.21407085958560296</v>
      </c>
      <c r="M1377" s="8">
        <v>0.21373597042469061</v>
      </c>
      <c r="N1377" s="8">
        <v>0.22355168471017439</v>
      </c>
      <c r="O1377" s="8">
        <v>0.2253295005210835</v>
      </c>
      <c r="P1377" s="8">
        <v>0.22757125668099501</v>
      </c>
      <c r="Q1377" s="8">
        <v>0.22917298738274949</v>
      </c>
    </row>
    <row r="1378" spans="2:17">
      <c r="B1378" s="61" t="s">
        <v>1702</v>
      </c>
      <c r="C1378" s="457">
        <v>9.3023255813953543E-2</v>
      </c>
      <c r="D1378" s="457">
        <v>0.22916962384669981</v>
      </c>
      <c r="E1378" s="457">
        <v>0.2991803278688524</v>
      </c>
      <c r="F1378" s="457">
        <v>0.34793347604149516</v>
      </c>
      <c r="G1378" s="457">
        <v>0.36160337552742616</v>
      </c>
      <c r="H1378" s="457">
        <v>0.35358157147365105</v>
      </c>
      <c r="I1378" s="457">
        <v>0.34500553075494805</v>
      </c>
      <c r="J1378" s="457">
        <v>0.34352419595873596</v>
      </c>
      <c r="K1378" s="457">
        <v>0.35744659309506938</v>
      </c>
      <c r="L1378" s="457">
        <v>0.35240496028316504</v>
      </c>
      <c r="M1378" s="457">
        <v>0.36443411887943616</v>
      </c>
      <c r="N1378" s="457">
        <v>0.36410298185909007</v>
      </c>
      <c r="O1378" s="457">
        <v>0.37083528826134349</v>
      </c>
      <c r="P1378" s="457">
        <v>0.37088259613512253</v>
      </c>
      <c r="Q1378" s="457">
        <v>0.37005431034184599</v>
      </c>
    </row>
    <row r="1379" spans="2:17">
      <c r="C1379" s="8">
        <v>1</v>
      </c>
      <c r="D1379" s="8">
        <v>1</v>
      </c>
      <c r="E1379" s="8">
        <v>1</v>
      </c>
      <c r="F1379" s="8">
        <v>1</v>
      </c>
      <c r="G1379" s="8">
        <v>1</v>
      </c>
      <c r="H1379" s="8">
        <v>1</v>
      </c>
      <c r="I1379" s="8">
        <v>1</v>
      </c>
      <c r="J1379" s="8">
        <v>1</v>
      </c>
      <c r="K1379" s="8">
        <v>1</v>
      </c>
      <c r="L1379" s="8">
        <v>1</v>
      </c>
      <c r="M1379" s="8">
        <v>1</v>
      </c>
      <c r="N1379" s="8">
        <v>1</v>
      </c>
      <c r="O1379" s="8">
        <v>1</v>
      </c>
      <c r="P1379" s="8">
        <v>1</v>
      </c>
      <c r="Q1379" s="8">
        <v>1</v>
      </c>
    </row>
    <row r="1381" spans="2:17">
      <c r="B1381" t="s">
        <v>1701</v>
      </c>
      <c r="C1381">
        <f t="shared" ref="C1381:Q1381" si="105">C1375</f>
        <v>2001</v>
      </c>
      <c r="D1381">
        <f t="shared" si="105"/>
        <v>2002</v>
      </c>
      <c r="E1381">
        <f t="shared" si="105"/>
        <v>2003</v>
      </c>
      <c r="F1381">
        <f t="shared" si="105"/>
        <v>2004</v>
      </c>
      <c r="G1381">
        <f t="shared" si="105"/>
        <v>2005</v>
      </c>
      <c r="H1381">
        <f t="shared" si="105"/>
        <v>2006</v>
      </c>
      <c r="I1381">
        <f t="shared" si="105"/>
        <v>2007</v>
      </c>
      <c r="J1381">
        <f t="shared" si="105"/>
        <v>2008</v>
      </c>
      <c r="K1381">
        <f t="shared" si="105"/>
        <v>2009</v>
      </c>
      <c r="L1381">
        <f t="shared" si="105"/>
        <v>2010</v>
      </c>
      <c r="M1381">
        <f t="shared" si="105"/>
        <v>2011</v>
      </c>
      <c r="N1381">
        <f t="shared" si="105"/>
        <v>2012</v>
      </c>
      <c r="O1381">
        <f t="shared" si="105"/>
        <v>2013</v>
      </c>
      <c r="P1381">
        <f t="shared" si="105"/>
        <v>2014</v>
      </c>
      <c r="Q1381">
        <f t="shared" si="105"/>
        <v>2015</v>
      </c>
    </row>
    <row r="1382" spans="2:17">
      <c r="B1382" t="s">
        <v>1703</v>
      </c>
      <c r="C1382">
        <v>0</v>
      </c>
      <c r="D1382">
        <v>3.3</v>
      </c>
      <c r="E1382">
        <v>163</v>
      </c>
      <c r="F1382">
        <v>566</v>
      </c>
      <c r="G1382">
        <v>1120</v>
      </c>
      <c r="H1382">
        <v>1730</v>
      </c>
      <c r="I1382">
        <v>2366</v>
      </c>
      <c r="J1382">
        <v>2900.9839999999999</v>
      </c>
      <c r="K1382">
        <v>3226.4119999999998</v>
      </c>
      <c r="L1382">
        <v>4044.328</v>
      </c>
      <c r="M1382">
        <v>4470.7780000000002</v>
      </c>
      <c r="N1382">
        <v>5047.5239999999994</v>
      </c>
      <c r="O1382">
        <v>5346.7199999999993</v>
      </c>
      <c r="P1382">
        <v>5656.7519999999995</v>
      </c>
      <c r="Q1382">
        <v>5966.1359999999995</v>
      </c>
    </row>
    <row r="1383" spans="2:17">
      <c r="B1383" s="61" t="s">
        <v>1704</v>
      </c>
      <c r="C1383" s="61">
        <f t="shared" ref="C1383:Q1383" si="106">C1384-C1382</f>
        <v>20</v>
      </c>
      <c r="D1383" s="61">
        <f t="shared" si="106"/>
        <v>95.8</v>
      </c>
      <c r="E1383" s="61">
        <f t="shared" si="106"/>
        <v>322</v>
      </c>
      <c r="F1383" s="61">
        <f t="shared" si="106"/>
        <v>498</v>
      </c>
      <c r="G1383" s="61">
        <f t="shared" si="106"/>
        <v>475</v>
      </c>
      <c r="H1383" s="61">
        <f t="shared" si="106"/>
        <v>548</v>
      </c>
      <c r="I1383" s="61">
        <f t="shared" si="106"/>
        <v>538</v>
      </c>
      <c r="J1383" s="61">
        <f t="shared" si="106"/>
        <v>488.01600000000008</v>
      </c>
      <c r="K1383" s="61">
        <f t="shared" si="106"/>
        <v>551.58800000000019</v>
      </c>
      <c r="L1383" s="61">
        <f t="shared" si="106"/>
        <v>489.67200000000003</v>
      </c>
      <c r="M1383" s="61">
        <f t="shared" si="106"/>
        <v>378.22199999999975</v>
      </c>
      <c r="N1383" s="61">
        <f t="shared" si="106"/>
        <v>316.47600000000057</v>
      </c>
      <c r="O1383" s="61">
        <f t="shared" si="106"/>
        <v>293.28000000000065</v>
      </c>
      <c r="P1383" s="61">
        <f t="shared" si="106"/>
        <v>211.2480000000005</v>
      </c>
      <c r="Q1383" s="61">
        <f t="shared" si="106"/>
        <v>171.86400000000049</v>
      </c>
    </row>
    <row r="1384" spans="2:17">
      <c r="B1384" t="s">
        <v>85</v>
      </c>
      <c r="C1384">
        <v>20</v>
      </c>
      <c r="D1384">
        <v>99.1</v>
      </c>
      <c r="E1384">
        <v>485</v>
      </c>
      <c r="F1384">
        <v>1064</v>
      </c>
      <c r="G1384">
        <v>1595</v>
      </c>
      <c r="H1384">
        <v>2278</v>
      </c>
      <c r="I1384">
        <v>2904</v>
      </c>
      <c r="J1384">
        <v>3389</v>
      </c>
      <c r="K1384">
        <v>3778</v>
      </c>
      <c r="L1384">
        <v>4534</v>
      </c>
      <c r="M1384">
        <v>4849</v>
      </c>
      <c r="N1384">
        <v>5364</v>
      </c>
      <c r="O1384">
        <v>5640</v>
      </c>
      <c r="P1384">
        <v>5868</v>
      </c>
      <c r="Q1384">
        <v>6138</v>
      </c>
    </row>
    <row r="1404" spans="2:28">
      <c r="B1404" s="61" t="s">
        <v>662</v>
      </c>
      <c r="C1404" s="130" t="e">
        <f>Interims!#REF!</f>
        <v>#REF!</v>
      </c>
      <c r="D1404" s="130" t="e">
        <f>Interims!#REF!</f>
        <v>#REF!</v>
      </c>
      <c r="E1404" s="130" t="e">
        <f>Interims!#REF!</f>
        <v>#REF!</v>
      </c>
      <c r="F1404" s="130" t="e">
        <f>Interims!#REF!</f>
        <v>#REF!</v>
      </c>
      <c r="G1404" s="130" t="e">
        <f>Interims!#REF!</f>
        <v>#REF!</v>
      </c>
      <c r="H1404" s="130" t="e">
        <f>Interims!#REF!</f>
        <v>#REF!</v>
      </c>
      <c r="I1404" s="130" t="e">
        <f>Interims!#REF!</f>
        <v>#REF!</v>
      </c>
      <c r="J1404" s="130" t="e">
        <f>Interims!#REF!</f>
        <v>#REF!</v>
      </c>
      <c r="K1404" s="130" t="e">
        <f>Interims!#REF!</f>
        <v>#REF!</v>
      </c>
      <c r="L1404" s="130" t="e">
        <f>Interims!#REF!</f>
        <v>#REF!</v>
      </c>
      <c r="M1404" s="130" t="e">
        <f>Interims!#REF!</f>
        <v>#REF!</v>
      </c>
      <c r="N1404" s="130" t="e">
        <f>Interims!#REF!</f>
        <v>#REF!</v>
      </c>
      <c r="O1404" s="130" t="e">
        <f>Interims!#REF!</f>
        <v>#REF!</v>
      </c>
      <c r="P1404" s="130" t="e">
        <f>Interims!#REF!</f>
        <v>#REF!</v>
      </c>
      <c r="Q1404" s="130" t="e">
        <f>Interims!#REF!</f>
        <v>#REF!</v>
      </c>
      <c r="R1404" s="130" t="e">
        <f>Interims!#REF!</f>
        <v>#REF!</v>
      </c>
      <c r="S1404" s="130" t="e">
        <f>Interims!#REF!</f>
        <v>#REF!</v>
      </c>
      <c r="T1404" s="130" t="e">
        <f>Interims!#REF!</f>
        <v>#REF!</v>
      </c>
      <c r="U1404" s="130" t="e">
        <f>Interims!#REF!</f>
        <v>#REF!</v>
      </c>
      <c r="V1404" s="130" t="e">
        <f>Interims!#REF!</f>
        <v>#REF!</v>
      </c>
      <c r="W1404" s="130" t="e">
        <f>Interims!#REF!</f>
        <v>#REF!</v>
      </c>
      <c r="X1404" s="130" t="e">
        <f>Interims!#REF!</f>
        <v>#REF!</v>
      </c>
      <c r="Y1404" s="130" t="e">
        <f>Interims!#REF!</f>
        <v>#REF!</v>
      </c>
      <c r="Z1404" s="130" t="e">
        <f>Interims!#REF!</f>
        <v>#REF!</v>
      </c>
      <c r="AA1404" s="130" t="e">
        <f>Interims!#REF!</f>
        <v>#REF!</v>
      </c>
      <c r="AB1404" s="130" t="e">
        <f>Interims!#REF!</f>
        <v>#REF!</v>
      </c>
    </row>
    <row r="1405" spans="2:28">
      <c r="B1405" t="s">
        <v>1705</v>
      </c>
      <c r="C1405" t="e">
        <f>Interims!#REF!/0.8</f>
        <v>#REF!</v>
      </c>
      <c r="D1405" t="e">
        <f>Interims!#REF!/0.8</f>
        <v>#REF!</v>
      </c>
      <c r="E1405" t="e">
        <f>Interims!#REF!/0.8</f>
        <v>#REF!</v>
      </c>
      <c r="F1405" t="e">
        <f>Interims!#REF!/0.8</f>
        <v>#REF!</v>
      </c>
      <c r="G1405" t="e">
        <f>Interims!#REF!/0.8</f>
        <v>#REF!</v>
      </c>
      <c r="H1405" t="e">
        <f>Interims!#REF!/0.8</f>
        <v>#REF!</v>
      </c>
      <c r="I1405" t="e">
        <f>Interims!#REF!/0.8</f>
        <v>#REF!</v>
      </c>
      <c r="J1405" t="e">
        <f>Interims!#REF!/0.8</f>
        <v>#REF!</v>
      </c>
      <c r="K1405" t="e">
        <f>Interims!#REF!/0.8</f>
        <v>#REF!</v>
      </c>
      <c r="L1405" t="e">
        <f>Interims!#REF!/0.8</f>
        <v>#REF!</v>
      </c>
      <c r="M1405" t="e">
        <f>Interims!#REF!/0.8</f>
        <v>#REF!</v>
      </c>
      <c r="N1405" t="e">
        <f>Interims!#REF!/0.8</f>
        <v>#REF!</v>
      </c>
      <c r="O1405" t="e">
        <f>Interims!#REF!/0.8</f>
        <v>#REF!</v>
      </c>
      <c r="P1405" t="e">
        <f>Interims!#REF!/0.8</f>
        <v>#REF!</v>
      </c>
      <c r="Q1405" t="e">
        <f>Interims!#REF!/0.8</f>
        <v>#REF!</v>
      </c>
      <c r="R1405" t="e">
        <f>Interims!#REF!/0.8</f>
        <v>#REF!</v>
      </c>
      <c r="S1405" t="e">
        <f>Interims!#REF!/0.8</f>
        <v>#REF!</v>
      </c>
      <c r="T1405" t="e">
        <f>Interims!#REF!/0.8</f>
        <v>#REF!</v>
      </c>
      <c r="U1405" t="e">
        <f>Interims!#REF!/0.8</f>
        <v>#REF!</v>
      </c>
      <c r="V1405" t="e">
        <f>Interims!#REF!/0.8</f>
        <v>#REF!</v>
      </c>
      <c r="W1405" t="e">
        <f>Interims!#REF!/0.8</f>
        <v>#REF!</v>
      </c>
      <c r="X1405" t="e">
        <f>Interims!#REF!/0.8</f>
        <v>#REF!</v>
      </c>
      <c r="Y1405" t="e">
        <f>Interims!#REF!/0.8</f>
        <v>#REF!</v>
      </c>
      <c r="Z1405" t="e">
        <f>Interims!#REF!/0.8</f>
        <v>#REF!</v>
      </c>
      <c r="AA1405" t="e">
        <f>Interims!#REF!/0.8</f>
        <v>#REF!</v>
      </c>
      <c r="AB1405" t="e">
        <f>Interims!#REF!/0.8</f>
        <v>#REF!</v>
      </c>
    </row>
    <row r="1406" spans="2:28">
      <c r="B1406" t="s">
        <v>1706</v>
      </c>
      <c r="C1406">
        <v>13339727</v>
      </c>
      <c r="D1406">
        <v>13339727</v>
      </c>
      <c r="E1406">
        <v>13738420</v>
      </c>
      <c r="F1406">
        <v>14069347</v>
      </c>
      <c r="G1406">
        <v>15028242</v>
      </c>
      <c r="H1406">
        <v>14832712</v>
      </c>
      <c r="I1406">
        <v>15022933</v>
      </c>
      <c r="J1406">
        <v>15037866</v>
      </c>
      <c r="K1406">
        <v>15685024</v>
      </c>
      <c r="L1406">
        <v>15017237</v>
      </c>
      <c r="M1406">
        <v>15369004</v>
      </c>
      <c r="N1406">
        <v>15421084</v>
      </c>
      <c r="O1406">
        <v>16128069</v>
      </c>
      <c r="P1406">
        <v>15755479</v>
      </c>
      <c r="Q1406">
        <v>16168283</v>
      </c>
      <c r="R1406">
        <v>16398059</v>
      </c>
      <c r="S1406">
        <v>17106515</v>
      </c>
      <c r="T1406">
        <v>16507017</v>
      </c>
      <c r="U1406">
        <v>16987198</v>
      </c>
      <c r="V1406">
        <v>17242039</v>
      </c>
      <c r="W1406">
        <v>18024300</v>
      </c>
      <c r="X1406">
        <v>18309013</v>
      </c>
      <c r="Y1406">
        <v>19517591</v>
      </c>
      <c r="Z1406">
        <v>19431619</v>
      </c>
      <c r="AA1406">
        <v>19592861</v>
      </c>
      <c r="AB1406">
        <f>AA1406*1</f>
        <v>19592861</v>
      </c>
    </row>
    <row r="1407" spans="2:28">
      <c r="B1407" t="s">
        <v>1707</v>
      </c>
      <c r="C1407" s="9" t="e">
        <f t="shared" ref="C1407:AB1407" si="107">C1405/C1406</f>
        <v>#REF!</v>
      </c>
      <c r="D1407" s="9" t="e">
        <f t="shared" si="107"/>
        <v>#REF!</v>
      </c>
      <c r="E1407" s="9" t="e">
        <f t="shared" si="107"/>
        <v>#REF!</v>
      </c>
      <c r="F1407" s="9" t="e">
        <f t="shared" si="107"/>
        <v>#REF!</v>
      </c>
      <c r="G1407" s="9" t="e">
        <f t="shared" si="107"/>
        <v>#REF!</v>
      </c>
      <c r="H1407" s="9" t="e">
        <f t="shared" si="107"/>
        <v>#REF!</v>
      </c>
      <c r="I1407" s="9" t="e">
        <f t="shared" si="107"/>
        <v>#REF!</v>
      </c>
      <c r="J1407" s="9" t="e">
        <f t="shared" si="107"/>
        <v>#REF!</v>
      </c>
      <c r="K1407" s="9" t="e">
        <f t="shared" si="107"/>
        <v>#REF!</v>
      </c>
      <c r="L1407" s="9" t="e">
        <f t="shared" si="107"/>
        <v>#REF!</v>
      </c>
      <c r="M1407" s="9" t="e">
        <f t="shared" si="107"/>
        <v>#REF!</v>
      </c>
      <c r="N1407" s="9" t="e">
        <f t="shared" si="107"/>
        <v>#REF!</v>
      </c>
      <c r="O1407" s="9" t="e">
        <f t="shared" si="107"/>
        <v>#REF!</v>
      </c>
      <c r="P1407" s="9" t="e">
        <f t="shared" si="107"/>
        <v>#REF!</v>
      </c>
      <c r="Q1407" s="9" t="e">
        <f t="shared" si="107"/>
        <v>#REF!</v>
      </c>
      <c r="R1407" s="9" t="e">
        <f t="shared" si="107"/>
        <v>#REF!</v>
      </c>
      <c r="S1407" s="9" t="e">
        <f t="shared" si="107"/>
        <v>#REF!</v>
      </c>
      <c r="T1407" s="9" t="e">
        <f t="shared" si="107"/>
        <v>#REF!</v>
      </c>
      <c r="U1407" s="9" t="e">
        <f t="shared" si="107"/>
        <v>#REF!</v>
      </c>
      <c r="V1407" s="9" t="e">
        <f t="shared" si="107"/>
        <v>#REF!</v>
      </c>
      <c r="W1407" s="9" t="e">
        <f t="shared" si="107"/>
        <v>#REF!</v>
      </c>
      <c r="X1407" s="9" t="e">
        <f t="shared" si="107"/>
        <v>#REF!</v>
      </c>
      <c r="Y1407" s="9" t="e">
        <f t="shared" si="107"/>
        <v>#REF!</v>
      </c>
      <c r="Z1407" s="9" t="e">
        <f t="shared" si="107"/>
        <v>#REF!</v>
      </c>
      <c r="AA1407" s="9" t="e">
        <f t="shared" si="107"/>
        <v>#REF!</v>
      </c>
      <c r="AB1407" s="9" t="e">
        <f t="shared" si="107"/>
        <v>#REF!</v>
      </c>
    </row>
    <row r="1409" spans="2:28">
      <c r="B1409" t="s">
        <v>1708</v>
      </c>
      <c r="C1409">
        <v>2.4900000000000002</v>
      </c>
      <c r="D1409" t="s">
        <v>1709</v>
      </c>
      <c r="AB1409">
        <f>SUM(Y1406:AB1406)/19</f>
        <v>4112364.8421052634</v>
      </c>
    </row>
    <row r="1410" spans="2:28">
      <c r="B1410" t="s">
        <v>1710</v>
      </c>
      <c r="C1410">
        <f>C1409*13*1000</f>
        <v>32370.000000000004</v>
      </c>
      <c r="AB1410">
        <v>93504</v>
      </c>
    </row>
    <row r="1411" spans="2:28">
      <c r="B1411" t="s">
        <v>1711</v>
      </c>
      <c r="C1411" s="4" t="e">
        <f>SUM(K1405:N1405)</f>
        <v>#REF!</v>
      </c>
      <c r="AB1411" s="10">
        <f>AB1410/AB1409</f>
        <v>2.2737282218406485E-2</v>
      </c>
    </row>
    <row r="1412" spans="2:28">
      <c r="B1412" t="s">
        <v>1712</v>
      </c>
      <c r="C1412" s="4"/>
    </row>
    <row r="1414" spans="2:28">
      <c r="B1414" t="s">
        <v>1713</v>
      </c>
      <c r="C1414">
        <v>5.31</v>
      </c>
      <c r="D1414" t="s">
        <v>1714</v>
      </c>
    </row>
    <row r="1415" spans="2:28">
      <c r="B1415" t="s">
        <v>1710</v>
      </c>
      <c r="C1415">
        <f>C1414*13*1000</f>
        <v>69030</v>
      </c>
    </row>
    <row r="1416" spans="2:28">
      <c r="B1416" t="s">
        <v>1715</v>
      </c>
      <c r="C1416">
        <f>SUM(W1406:X1406)*1.02</f>
        <v>37059979.259999998</v>
      </c>
      <c r="D1416" s="10">
        <f>C1415/C1416</f>
        <v>1.8626561962085675E-3</v>
      </c>
      <c r="I1416" s="42" t="s">
        <v>1716</v>
      </c>
    </row>
    <row r="1418" spans="2:28">
      <c r="C1418" t="s">
        <v>1645</v>
      </c>
      <c r="D1418" s="9">
        <v>1.0200000000000001E-2</v>
      </c>
      <c r="P1418" s="42" t="s">
        <v>1717</v>
      </c>
    </row>
    <row r="1419" spans="2:28">
      <c r="C1419" t="s">
        <v>1066</v>
      </c>
      <c r="D1419" s="9">
        <v>9.7999999999999997E-3</v>
      </c>
    </row>
    <row r="1420" spans="2:28">
      <c r="C1420" t="s">
        <v>1718</v>
      </c>
      <c r="D1420" s="9">
        <v>9.4999999999999998E-3</v>
      </c>
    </row>
    <row r="1421" spans="2:28">
      <c r="C1421" t="s">
        <v>1719</v>
      </c>
      <c r="D1421" s="9">
        <v>7.7999999999999996E-3</v>
      </c>
    </row>
    <row r="1422" spans="2:28">
      <c r="C1422" t="s">
        <v>1720</v>
      </c>
      <c r="D1422" s="9">
        <v>7.1999999999999998E-3</v>
      </c>
    </row>
    <row r="1423" spans="2:28">
      <c r="C1423" t="s">
        <v>1721</v>
      </c>
      <c r="D1423" s="9">
        <v>6.8999999999999999E-3</v>
      </c>
    </row>
    <row r="1424" spans="2:28">
      <c r="C1424" t="s">
        <v>1648</v>
      </c>
      <c r="D1424" s="9">
        <v>6.1999999999999998E-3</v>
      </c>
    </row>
    <row r="1425" spans="2:6">
      <c r="C1425" t="s">
        <v>1649</v>
      </c>
      <c r="D1425" s="9">
        <v>5.7000000000000002E-3</v>
      </c>
    </row>
    <row r="1426" spans="2:6">
      <c r="C1426" t="s">
        <v>1722</v>
      </c>
      <c r="D1426" s="9">
        <v>5.5999999999999999E-3</v>
      </c>
    </row>
    <row r="1427" spans="2:6">
      <c r="C1427" t="s">
        <v>1647</v>
      </c>
      <c r="D1427" s="9">
        <v>4.4999999999999997E-3</v>
      </c>
    </row>
    <row r="1428" spans="2:6">
      <c r="C1428" t="s">
        <v>1067</v>
      </c>
      <c r="D1428" s="9">
        <v>4.0000000000000001E-3</v>
      </c>
    </row>
    <row r="1429" spans="2:6">
      <c r="C1429" t="s">
        <v>1723</v>
      </c>
      <c r="D1429" s="9">
        <v>3.0000000000000001E-3</v>
      </c>
    </row>
    <row r="1431" spans="2:6">
      <c r="C1431" t="s">
        <v>1724</v>
      </c>
      <c r="E1431" s="61" t="s">
        <v>1725</v>
      </c>
    </row>
    <row r="1432" spans="2:6">
      <c r="D1432" s="8">
        <f>E1432/E$1435</f>
        <v>0.32928860337853916</v>
      </c>
      <c r="E1432" s="4">
        <v>138.4</v>
      </c>
      <c r="F1432" s="136" t="s">
        <v>1726</v>
      </c>
    </row>
    <row r="1433" spans="2:6">
      <c r="D1433" s="8">
        <f>E1433/E$1435</f>
        <v>0.10659053057339991</v>
      </c>
      <c r="E1433" s="4">
        <f>183.2-E1432</f>
        <v>44.799999999999983</v>
      </c>
      <c r="F1433" s="136" t="s">
        <v>1727</v>
      </c>
    </row>
    <row r="1434" spans="2:6">
      <c r="D1434" s="8">
        <f>E1434/E$1435</f>
        <v>0.56388294075660239</v>
      </c>
      <c r="E1434" s="420">
        <v>237</v>
      </c>
      <c r="F1434" s="137" t="s">
        <v>1728</v>
      </c>
    </row>
    <row r="1435" spans="2:6">
      <c r="E1435" s="4">
        <v>420.3</v>
      </c>
      <c r="F1435" s="136" t="s">
        <v>1729</v>
      </c>
    </row>
    <row r="1437" spans="2:6" ht="15.75">
      <c r="B1437" s="66" t="s">
        <v>28</v>
      </c>
      <c r="C1437" s="66"/>
      <c r="D1437" s="66"/>
      <c r="E1437" s="66"/>
    </row>
    <row r="1438" spans="2:6" ht="15.75">
      <c r="B1438" s="66"/>
      <c r="C1438" s="66"/>
      <c r="D1438" s="66"/>
      <c r="E1438" s="66"/>
    </row>
    <row r="1439" spans="2:6" ht="15.75">
      <c r="B1439" s="67"/>
      <c r="C1439" s="67">
        <v>2017</v>
      </c>
      <c r="D1439" s="67">
        <f>C1439+1</f>
        <v>2018</v>
      </c>
      <c r="E1439" s="67">
        <f>D1439+1</f>
        <v>2019</v>
      </c>
    </row>
    <row r="1440" spans="2:6" ht="15.75">
      <c r="B1440" s="66" t="s">
        <v>467</v>
      </c>
      <c r="C1440" s="116">
        <f>Valuation!M49</f>
        <v>-3.2454123636969069E-2</v>
      </c>
      <c r="D1440" s="116">
        <f>Valuation!N49</f>
        <v>-0.19425140589075304</v>
      </c>
      <c r="E1440" s="116">
        <f>Valuation!O49</f>
        <v>4.8364030177506873E-2</v>
      </c>
    </row>
    <row r="1441" spans="2:23" ht="15.75">
      <c r="B1441" s="66" t="s">
        <v>468</v>
      </c>
      <c r="C1441" s="116">
        <v>2.7916146631617279E-2</v>
      </c>
      <c r="D1441" s="116">
        <v>3.528553844304378E-2</v>
      </c>
      <c r="E1441" s="116">
        <v>4.1057577475923743E-2</v>
      </c>
    </row>
    <row r="1442" spans="2:23" ht="15.75">
      <c r="B1442" s="66" t="s">
        <v>1730</v>
      </c>
      <c r="C1442" s="116">
        <v>2.7284596581975198E-2</v>
      </c>
      <c r="D1442" s="116">
        <v>3.5003852907719665E-2</v>
      </c>
      <c r="E1442" s="116">
        <v>5.587310932136498E-2</v>
      </c>
    </row>
    <row r="1443" spans="2:23" ht="15.75">
      <c r="B1443" s="66" t="s">
        <v>985</v>
      </c>
      <c r="C1443" s="116">
        <v>5.7964703098050255E-2</v>
      </c>
      <c r="D1443" s="116">
        <v>6.6913925765360066E-2</v>
      </c>
      <c r="E1443" s="116">
        <v>7.8116790983610074E-2</v>
      </c>
    </row>
    <row r="1444" spans="2:23" ht="15.75">
      <c r="B1444" s="66" t="s">
        <v>1731</v>
      </c>
      <c r="C1444" s="116">
        <v>7.5272798129384255E-2</v>
      </c>
      <c r="D1444" s="116">
        <v>8.3690568978955576E-2</v>
      </c>
      <c r="E1444" s="116">
        <v>9.8616523772408413E-2</v>
      </c>
    </row>
    <row r="1445" spans="2:23" ht="15.75">
      <c r="B1445" s="66" t="s">
        <v>983</v>
      </c>
      <c r="C1445" s="116">
        <v>7.2858549392845431E-2</v>
      </c>
      <c r="D1445" s="116">
        <v>7.5877912701017389E-2</v>
      </c>
      <c r="E1445" s="116">
        <v>8.401706596652446E-2</v>
      </c>
    </row>
    <row r="1446" spans="2:23" ht="15.75">
      <c r="B1446" s="66" t="s">
        <v>1732</v>
      </c>
      <c r="C1446" s="116">
        <v>9.5153873363990102E-2</v>
      </c>
      <c r="D1446" s="116">
        <v>0.10120268836222145</v>
      </c>
      <c r="E1446" s="116">
        <v>0.11071807569862044</v>
      </c>
    </row>
    <row r="1448" spans="2:23" ht="15.75">
      <c r="B1448" s="74" t="s">
        <v>1733</v>
      </c>
      <c r="C1448" s="66"/>
      <c r="D1448" s="66"/>
      <c r="E1448" s="66"/>
      <c r="F1448" s="66"/>
      <c r="G1448" s="66"/>
      <c r="H1448" s="66"/>
      <c r="I1448" s="66"/>
      <c r="J1448" s="66"/>
      <c r="K1448" s="66"/>
      <c r="L1448" s="66"/>
      <c r="M1448" s="66"/>
      <c r="N1448" s="66"/>
      <c r="O1448" s="66"/>
      <c r="P1448" s="66"/>
      <c r="Q1448" s="66"/>
      <c r="R1448" s="66"/>
      <c r="S1448" s="66"/>
      <c r="T1448" s="66"/>
      <c r="U1448" s="66"/>
      <c r="V1448" s="66"/>
      <c r="W1448" s="66"/>
    </row>
    <row r="1449" spans="2:23" ht="15.75">
      <c r="B1449" s="74" t="s">
        <v>222</v>
      </c>
      <c r="C1449" s="69"/>
      <c r="D1449" s="66"/>
      <c r="E1449" s="66"/>
      <c r="F1449" s="74" t="s">
        <v>94</v>
      </c>
      <c r="G1449" s="66"/>
      <c r="H1449" s="66"/>
      <c r="I1449" s="66"/>
      <c r="J1449" s="74" t="s">
        <v>97</v>
      </c>
      <c r="K1449" s="66"/>
      <c r="L1449" s="66"/>
      <c r="M1449" s="66"/>
      <c r="N1449" s="74" t="s">
        <v>52</v>
      </c>
      <c r="O1449" s="66"/>
      <c r="P1449" s="66"/>
    </row>
    <row r="1450" spans="2:23" ht="15.75">
      <c r="B1450" s="67" t="s">
        <v>1532</v>
      </c>
      <c r="C1450" s="67">
        <v>2019</v>
      </c>
      <c r="D1450" s="67">
        <f>C1450+1</f>
        <v>2020</v>
      </c>
      <c r="E1450" s="66"/>
      <c r="F1450" s="67" t="s">
        <v>1532</v>
      </c>
      <c r="G1450" s="67">
        <f>C1450</f>
        <v>2019</v>
      </c>
      <c r="H1450" s="67">
        <f>D1450</f>
        <v>2020</v>
      </c>
      <c r="I1450" s="66"/>
      <c r="J1450" s="67" t="s">
        <v>1532</v>
      </c>
      <c r="K1450" s="67">
        <f>G1450</f>
        <v>2019</v>
      </c>
      <c r="L1450" s="67">
        <f>H1450</f>
        <v>2020</v>
      </c>
      <c r="M1450" s="66"/>
      <c r="N1450" s="67" t="s">
        <v>1532</v>
      </c>
      <c r="O1450" s="67">
        <f>K1450</f>
        <v>2019</v>
      </c>
      <c r="P1450" s="67">
        <f>L1450</f>
        <v>2020</v>
      </c>
    </row>
    <row r="1451" spans="2:23" ht="15.75">
      <c r="B1451" s="125" t="s">
        <v>33</v>
      </c>
      <c r="C1451" s="125">
        <f>Master!R132</f>
        <v>100650.6</v>
      </c>
      <c r="D1451" s="125">
        <f>Master!S132</f>
        <v>97138.3</v>
      </c>
      <c r="E1451" s="125"/>
      <c r="F1451" s="125" t="s">
        <v>33</v>
      </c>
      <c r="G1451" s="125">
        <f>Content!M22</f>
        <v>34795.4</v>
      </c>
      <c r="H1451" s="125">
        <f>Content!N22</f>
        <v>32613</v>
      </c>
      <c r="I1451" s="125"/>
      <c r="J1451" s="125" t="s">
        <v>33</v>
      </c>
      <c r="K1451" s="125">
        <f>Master!R23</f>
        <v>21347</v>
      </c>
      <c r="L1451" s="125">
        <f>Master!S23</f>
        <v>22134.7</v>
      </c>
      <c r="M1451" s="125"/>
      <c r="N1451" s="125" t="s">
        <v>33</v>
      </c>
      <c r="O1451" s="125">
        <f>Master!R21</f>
        <v>41702</v>
      </c>
      <c r="P1451" s="125">
        <f>Master!S21</f>
        <v>45367.1</v>
      </c>
    </row>
    <row r="1452" spans="2:23" ht="15.75">
      <c r="B1452" s="125" t="s">
        <v>34</v>
      </c>
      <c r="C1452" s="125">
        <f>Master!R140</f>
        <v>38218.1</v>
      </c>
      <c r="D1452" s="125">
        <f>Master!S140</f>
        <v>38810.299999999996</v>
      </c>
      <c r="E1452" s="125"/>
      <c r="F1452" s="125" t="s">
        <v>34</v>
      </c>
      <c r="G1452" s="125">
        <f>Content!M27</f>
        <v>12632</v>
      </c>
      <c r="H1452" s="125">
        <f>Content!N27</f>
        <v>12360.8</v>
      </c>
      <c r="I1452" s="125"/>
      <c r="J1452" s="125" t="s">
        <v>34</v>
      </c>
      <c r="K1452" s="125">
        <f>Master!R55</f>
        <v>9121</v>
      </c>
      <c r="L1452" s="125">
        <f>Master!S55</f>
        <v>9135.7999999999993</v>
      </c>
      <c r="M1452" s="125"/>
      <c r="N1452" s="125" t="s">
        <v>34</v>
      </c>
      <c r="O1452" s="125">
        <f>Master!R56</f>
        <v>17798</v>
      </c>
      <c r="P1452" s="125">
        <f>Master!S56</f>
        <v>18898.3</v>
      </c>
    </row>
    <row r="1453" spans="2:23" ht="15.75">
      <c r="B1453" s="125" t="s">
        <v>548</v>
      </c>
      <c r="C1453" s="528">
        <f>C1452/C1451</f>
        <v>0.37971060281806562</v>
      </c>
      <c r="D1453" s="528">
        <f>D1452/D1451</f>
        <v>0.39953653708166598</v>
      </c>
      <c r="E1453" s="125"/>
      <c r="F1453" s="125" t="s">
        <v>548</v>
      </c>
      <c r="G1453" s="528">
        <f>G1452/G1451</f>
        <v>0.36303649332957805</v>
      </c>
      <c r="H1453" s="528">
        <f>H1452/H1451</f>
        <v>0.37901450341888204</v>
      </c>
      <c r="I1453" s="125"/>
      <c r="J1453" s="125" t="s">
        <v>548</v>
      </c>
      <c r="K1453" s="528">
        <f>K1452/K1451</f>
        <v>0.42727315313627207</v>
      </c>
      <c r="L1453" s="528">
        <f>L1452/L1451</f>
        <v>0.41273656295319111</v>
      </c>
      <c r="M1453" s="125"/>
      <c r="N1453" s="125" t="s">
        <v>548</v>
      </c>
      <c r="O1453" s="528">
        <f>O1452/O1451</f>
        <v>0.42679008201045515</v>
      </c>
      <c r="P1453" s="528">
        <f>P1452/P1451</f>
        <v>0.41656398579587411</v>
      </c>
    </row>
    <row r="1454" spans="2:23" ht="15.75">
      <c r="B1454" s="125" t="s">
        <v>35</v>
      </c>
      <c r="C1454" s="125">
        <f>Master!R87</f>
        <v>19067.125</v>
      </c>
      <c r="D1454" s="125">
        <f>Master!S87</f>
        <v>20178.311999999998</v>
      </c>
      <c r="E1454" s="125"/>
      <c r="F1454" s="125" t="s">
        <v>35</v>
      </c>
      <c r="G1454" s="125">
        <f>Master!R82</f>
        <v>2075.15</v>
      </c>
      <c r="H1454" s="125">
        <f>Master!S82</f>
        <v>573.51599999999996</v>
      </c>
      <c r="I1454" s="125"/>
      <c r="J1454" s="125" t="s">
        <v>35</v>
      </c>
      <c r="K1454" s="125">
        <f>Master!R83</f>
        <v>4025.1749999999997</v>
      </c>
      <c r="L1454" s="125">
        <f>Master!S83</f>
        <v>5374.2960000000003</v>
      </c>
      <c r="M1454" s="125"/>
      <c r="N1454" s="125" t="s">
        <v>35</v>
      </c>
      <c r="O1454" s="125">
        <f>Master!R84</f>
        <v>12966.800000000001</v>
      </c>
      <c r="P1454" s="125">
        <f>Master!S84</f>
        <v>14230.5</v>
      </c>
    </row>
    <row r="1455" spans="2:23" ht="15.75">
      <c r="B1455" s="125" t="s">
        <v>36</v>
      </c>
      <c r="C1455" s="125">
        <f>C1452-C1454</f>
        <v>19150.974999999999</v>
      </c>
      <c r="D1455" s="125">
        <f>D1452-D1454</f>
        <v>18631.987999999998</v>
      </c>
      <c r="E1455" s="125"/>
      <c r="F1455" s="125" t="s">
        <v>36</v>
      </c>
      <c r="G1455" s="125">
        <f>G1452-G1454</f>
        <v>10556.85</v>
      </c>
      <c r="H1455" s="125">
        <f>H1452-H1454</f>
        <v>11787.284</v>
      </c>
      <c r="I1455" s="125"/>
      <c r="J1455" s="125" t="s">
        <v>36</v>
      </c>
      <c r="K1455" s="125">
        <f>K1452-K1454</f>
        <v>5095.8250000000007</v>
      </c>
      <c r="L1455" s="125">
        <f>L1452-L1454</f>
        <v>3761.503999999999</v>
      </c>
      <c r="M1455" s="125"/>
      <c r="N1455" s="125" t="s">
        <v>36</v>
      </c>
      <c r="O1455" s="125">
        <f>O1452-O1454</f>
        <v>4831.1999999999989</v>
      </c>
      <c r="P1455" s="125">
        <f>P1452-P1454</f>
        <v>4667.7999999999993</v>
      </c>
    </row>
    <row r="1456" spans="2:23" ht="15.75">
      <c r="B1456" s="66" t="s">
        <v>154</v>
      </c>
      <c r="C1456" s="125">
        <f>Valuation!O33*Master!R7</f>
        <v>1558.974999999999</v>
      </c>
      <c r="D1456" s="125">
        <f>Valuation!P33*Master!S7</f>
        <v>1357.487999999998</v>
      </c>
      <c r="E1456" s="66"/>
      <c r="F1456" s="66"/>
      <c r="G1456" s="66"/>
      <c r="H1456" s="66"/>
      <c r="I1456" s="66"/>
      <c r="J1456" s="66"/>
      <c r="K1456" s="66"/>
      <c r="L1456" s="66"/>
      <c r="M1456" s="66"/>
      <c r="N1456" s="66"/>
      <c r="O1456" s="66"/>
      <c r="P1456" s="66"/>
    </row>
    <row r="1457" spans="2:16" ht="15.75">
      <c r="B1457" s="66"/>
      <c r="C1457" s="66"/>
      <c r="D1457" s="66"/>
      <c r="E1457" s="66"/>
      <c r="F1457" s="74"/>
      <c r="G1457" s="66"/>
      <c r="H1457" s="66"/>
      <c r="I1457" s="66"/>
      <c r="J1457" s="74" t="str">
        <f>J1449</f>
        <v>SKY</v>
      </c>
      <c r="K1457" s="66"/>
      <c r="L1457" s="66"/>
      <c r="M1457" s="66"/>
      <c r="N1457" s="66"/>
      <c r="O1457" s="66"/>
      <c r="P1457" s="66"/>
    </row>
    <row r="1458" spans="2:16" ht="15.75" outlineLevel="1">
      <c r="B1458" s="67" t="s">
        <v>1734</v>
      </c>
      <c r="C1458" s="67">
        <v>2019</v>
      </c>
      <c r="D1458" s="67">
        <f>C1458+1</f>
        <v>2020</v>
      </c>
      <c r="E1458" s="66"/>
      <c r="F1458" s="67" t="s">
        <v>1734</v>
      </c>
      <c r="G1458" s="67">
        <f>C1458</f>
        <v>2019</v>
      </c>
      <c r="H1458" s="67">
        <f>D1458</f>
        <v>2020</v>
      </c>
      <c r="I1458" s="66"/>
      <c r="J1458" s="67" t="s">
        <v>1734</v>
      </c>
      <c r="K1458" s="67">
        <f>G1458</f>
        <v>2019</v>
      </c>
      <c r="L1458" s="67">
        <f>H1458</f>
        <v>2020</v>
      </c>
      <c r="M1458" s="66"/>
      <c r="N1458" s="67" t="s">
        <v>1734</v>
      </c>
      <c r="O1458" s="67">
        <f>K1458</f>
        <v>2019</v>
      </c>
      <c r="P1458" s="67">
        <f>L1458</f>
        <v>2020</v>
      </c>
    </row>
    <row r="1459" spans="2:16" ht="15.75" outlineLevel="1">
      <c r="B1459" s="66" t="s">
        <v>33</v>
      </c>
      <c r="C1459" s="125">
        <v>102179.66726928616</v>
      </c>
      <c r="D1459" s="125">
        <v>106936.73523159933</v>
      </c>
      <c r="E1459" s="66"/>
      <c r="F1459" s="125" t="s">
        <v>33</v>
      </c>
      <c r="G1459" s="125">
        <v>35478.260309764526</v>
      </c>
      <c r="H1459" s="125">
        <v>35787.996015959819</v>
      </c>
      <c r="I1459" s="125"/>
      <c r="J1459" s="125" t="s">
        <v>33</v>
      </c>
      <c r="K1459" s="125">
        <v>21647.829223363362</v>
      </c>
      <c r="L1459" s="125">
        <v>22503.099992689695</v>
      </c>
      <c r="M1459" s="125"/>
      <c r="N1459" s="125" t="s">
        <v>33</v>
      </c>
      <c r="O1459" s="125">
        <v>41486.785000000003</v>
      </c>
      <c r="P1459" s="125">
        <v>45220.59565000001</v>
      </c>
    </row>
    <row r="1460" spans="2:16" ht="15.75" outlineLevel="1">
      <c r="B1460" s="66" t="s">
        <v>34</v>
      </c>
      <c r="C1460" s="125">
        <v>37243.775943506727</v>
      </c>
      <c r="D1460" s="125">
        <v>39133.140867289621</v>
      </c>
      <c r="E1460" s="125"/>
      <c r="F1460" s="125" t="s">
        <v>34</v>
      </c>
      <c r="G1460" s="125">
        <v>13126.956314612875</v>
      </c>
      <c r="H1460" s="125">
        <v>13152.088535865234</v>
      </c>
      <c r="I1460" s="125"/>
      <c r="J1460" s="125" t="s">
        <v>34</v>
      </c>
      <c r="K1460" s="125">
        <v>9229.5179663938507</v>
      </c>
      <c r="L1460" s="125">
        <v>9493.4386551743919</v>
      </c>
      <c r="M1460" s="125"/>
      <c r="N1460" s="125" t="s">
        <v>34</v>
      </c>
      <c r="O1460" s="125">
        <v>17528.1666625</v>
      </c>
      <c r="P1460" s="125">
        <v>19218.753151250003</v>
      </c>
    </row>
    <row r="1461" spans="2:16" ht="15.75" outlineLevel="1">
      <c r="B1461" s="66" t="s">
        <v>548</v>
      </c>
      <c r="C1461" s="528">
        <v>0.36449302428587677</v>
      </c>
      <c r="D1461" s="528">
        <v>0.36594665792383335</v>
      </c>
      <c r="E1461" s="66"/>
      <c r="F1461" s="125" t="s">
        <v>548</v>
      </c>
      <c r="G1461" s="528">
        <v>0.37</v>
      </c>
      <c r="H1461" s="528">
        <v>0.36749999999999999</v>
      </c>
      <c r="I1461" s="125"/>
      <c r="J1461" s="125" t="s">
        <v>548</v>
      </c>
      <c r="K1461" s="528">
        <v>0.4263484283418551</v>
      </c>
      <c r="L1461" s="528">
        <v>0.42187248238057906</v>
      </c>
      <c r="M1461" s="125"/>
      <c r="N1461" s="125" t="s">
        <v>548</v>
      </c>
      <c r="O1461" s="528">
        <v>0.42249999999999999</v>
      </c>
      <c r="P1461" s="528">
        <v>0.42499999999999999</v>
      </c>
    </row>
    <row r="1462" spans="2:16" ht="15.75" outlineLevel="1">
      <c r="B1462" s="66" t="s">
        <v>35</v>
      </c>
      <c r="C1462" s="125">
        <v>19656.19376964464</v>
      </c>
      <c r="D1462" s="125">
        <v>19869.515966523439</v>
      </c>
      <c r="E1462" s="125"/>
      <c r="F1462" s="125" t="s">
        <v>35</v>
      </c>
      <c r="G1462" s="125">
        <v>1654.1687127917473</v>
      </c>
      <c r="H1462" s="125">
        <v>1661.285570419064</v>
      </c>
      <c r="I1462" s="125"/>
      <c r="J1462" s="125" t="s">
        <v>35</v>
      </c>
      <c r="K1462" s="125">
        <v>4311.3860068528893</v>
      </c>
      <c r="L1462" s="125">
        <v>4642.0517011043703</v>
      </c>
      <c r="M1462" s="125"/>
      <c r="N1462" s="125" t="s">
        <v>35</v>
      </c>
      <c r="O1462" s="125">
        <v>13690.639050000002</v>
      </c>
      <c r="P1462" s="125">
        <v>13566.178695000002</v>
      </c>
    </row>
    <row r="1463" spans="2:16" ht="15.75" outlineLevel="1">
      <c r="B1463" s="66" t="s">
        <v>36</v>
      </c>
      <c r="C1463" s="125">
        <v>17587.582173862087</v>
      </c>
      <c r="D1463" s="125">
        <v>19263.624900766183</v>
      </c>
      <c r="E1463" s="125"/>
      <c r="F1463" s="125" t="s">
        <v>36</v>
      </c>
      <c r="G1463" s="125">
        <v>11472.787601821128</v>
      </c>
      <c r="H1463" s="125">
        <v>11490.80296544617</v>
      </c>
      <c r="I1463" s="125"/>
      <c r="J1463" s="125" t="s">
        <v>36</v>
      </c>
      <c r="K1463" s="125">
        <v>4918.1319595409614</v>
      </c>
      <c r="L1463" s="125">
        <v>4851.3869540700216</v>
      </c>
      <c r="M1463" s="125"/>
      <c r="N1463" s="125" t="s">
        <v>36</v>
      </c>
      <c r="O1463" s="125">
        <v>3837.5276124999982</v>
      </c>
      <c r="P1463" s="125">
        <v>5652.5744562500004</v>
      </c>
    </row>
    <row r="1464" spans="2:16" ht="15.75" outlineLevel="1">
      <c r="B1464" s="66" t="s">
        <v>154</v>
      </c>
      <c r="C1464" s="125">
        <v>3349.2954818908838</v>
      </c>
      <c r="D1464" s="125">
        <v>4821.4860396542681</v>
      </c>
      <c r="E1464" s="125"/>
      <c r="F1464" s="66"/>
      <c r="G1464" s="66"/>
      <c r="H1464" s="66"/>
      <c r="I1464" s="66"/>
      <c r="J1464" s="66"/>
      <c r="K1464" s="66"/>
      <c r="L1464" s="66"/>
      <c r="M1464" s="66"/>
      <c r="N1464" s="66"/>
      <c r="O1464" s="66"/>
      <c r="P1464" s="66"/>
    </row>
    <row r="1465" spans="2:16" ht="15.75" outlineLevel="1">
      <c r="B1465" s="66"/>
      <c r="C1465" s="66"/>
      <c r="D1465" s="66"/>
      <c r="E1465" s="125"/>
      <c r="F1465" s="66"/>
      <c r="G1465" s="66"/>
      <c r="H1465" s="66"/>
      <c r="I1465" s="66"/>
      <c r="J1465" s="66"/>
      <c r="K1465" s="66"/>
      <c r="L1465" s="66"/>
      <c r="M1465" s="66"/>
      <c r="N1465" s="66"/>
      <c r="O1465" s="66"/>
      <c r="P1465" s="66"/>
    </row>
    <row r="1466" spans="2:16" ht="15.75">
      <c r="B1466" s="217" t="s">
        <v>205</v>
      </c>
      <c r="C1466" s="217">
        <v>2019</v>
      </c>
      <c r="D1466" s="217">
        <v>2020</v>
      </c>
      <c r="E1466" s="66"/>
      <c r="F1466" s="67" t="s">
        <v>192</v>
      </c>
      <c r="G1466" s="67">
        <f>G1458</f>
        <v>2019</v>
      </c>
      <c r="H1466" s="67">
        <f>H1458</f>
        <v>2020</v>
      </c>
      <c r="I1466" s="66"/>
      <c r="J1466" s="67" t="s">
        <v>192</v>
      </c>
      <c r="K1466" s="67">
        <f>K1458</f>
        <v>2019</v>
      </c>
      <c r="L1466" s="67">
        <f>L1458</f>
        <v>2020</v>
      </c>
      <c r="M1466" s="66"/>
      <c r="N1466" s="67" t="s">
        <v>192</v>
      </c>
      <c r="O1466" s="67">
        <f>O1458</f>
        <v>2019</v>
      </c>
      <c r="P1466" s="67">
        <f>P1458</f>
        <v>2020</v>
      </c>
    </row>
    <row r="1467" spans="2:16" ht="15.75">
      <c r="B1467" s="66" t="s">
        <v>33</v>
      </c>
      <c r="C1467" s="116">
        <f>C1451/C1459-1</f>
        <v>-1.4964496461477239E-2</v>
      </c>
      <c r="D1467" s="116">
        <f>D1451/D1459-1</f>
        <v>-9.1628337169432639E-2</v>
      </c>
      <c r="E1467" s="66"/>
      <c r="F1467" s="66" t="s">
        <v>33</v>
      </c>
      <c r="G1467" s="116">
        <f>G1451/G1459-1</f>
        <v>-1.9247288446569755E-2</v>
      </c>
      <c r="H1467" s="116">
        <f>H1451/H1459-1</f>
        <v>-8.871678689535778E-2</v>
      </c>
      <c r="I1467" s="66"/>
      <c r="J1467" s="66" t="s">
        <v>33</v>
      </c>
      <c r="K1467" s="116">
        <f>K1451/K1459-1</f>
        <v>-1.3896507601727226E-2</v>
      </c>
      <c r="L1467" s="116">
        <f>L1451/L1459-1</f>
        <v>-1.6371077443079862E-2</v>
      </c>
      <c r="M1467" s="66"/>
      <c r="N1467" s="66" t="s">
        <v>33</v>
      </c>
      <c r="O1467" s="116">
        <f>O1451/O1459-1</f>
        <v>5.1875555071330126E-3</v>
      </c>
      <c r="P1467" s="116">
        <f>P1451/P1459-1</f>
        <v>3.2397704606526023E-3</v>
      </c>
    </row>
    <row r="1468" spans="2:16" ht="15.75">
      <c r="B1468" s="66" t="s">
        <v>34</v>
      </c>
      <c r="C1468" s="116">
        <f>C1452/C1460-1</f>
        <v>2.6160721672560117E-2</v>
      </c>
      <c r="D1468" s="116">
        <f>D1452/D1460-1</f>
        <v>-8.2498072001033762E-3</v>
      </c>
      <c r="E1468" s="66"/>
      <c r="F1468" s="66" t="s">
        <v>34</v>
      </c>
      <c r="G1468" s="116">
        <f>G1452/G1460-1</f>
        <v>-3.7705337227479929E-2</v>
      </c>
      <c r="H1468" s="116">
        <f>H1452/H1460-1</f>
        <v>-6.0164477581444276E-2</v>
      </c>
      <c r="I1468" s="66"/>
      <c r="J1468" s="66" t="s">
        <v>34</v>
      </c>
      <c r="K1468" s="116">
        <f>K1452/K1460-1</f>
        <v>-1.1757706825966663E-2</v>
      </c>
      <c r="L1468" s="116">
        <f>L1452/L1460-1</f>
        <v>-3.7672193202561211E-2</v>
      </c>
      <c r="M1468" s="66"/>
      <c r="N1468" s="66" t="s">
        <v>34</v>
      </c>
      <c r="O1468" s="116">
        <f>O1452/O1460-1</f>
        <v>1.5394270416043243E-2</v>
      </c>
      <c r="P1468" s="116">
        <f>P1452/P1460-1</f>
        <v>-1.6673982371700369E-2</v>
      </c>
    </row>
    <row r="1469" spans="2:16" ht="15.75">
      <c r="B1469" s="66" t="s">
        <v>35</v>
      </c>
      <c r="C1469" s="116">
        <f t="shared" ref="C1469:D1471" si="108">C1454/C1462-1</f>
        <v>-2.9968608192820545E-2</v>
      </c>
      <c r="D1469" s="116">
        <f t="shared" si="108"/>
        <v>1.5541195567965849E-2</v>
      </c>
      <c r="E1469" s="66"/>
      <c r="F1469" s="66" t="s">
        <v>35</v>
      </c>
      <c r="G1469" s="116">
        <f>G1454/G1462-1</f>
        <v>0.25449718880111138</v>
      </c>
      <c r="H1469" s="116">
        <f>H1454/H1462-1</f>
        <v>-0.6547757891767344</v>
      </c>
      <c r="I1469" s="66"/>
      <c r="J1469" s="66" t="s">
        <v>35</v>
      </c>
      <c r="K1469" s="116">
        <f>K1454/K1462-1</f>
        <v>-6.6384918074596233E-2</v>
      </c>
      <c r="L1469" s="116">
        <f>L1454/L1462-1</f>
        <v>0.15774152164686672</v>
      </c>
      <c r="M1469" s="66"/>
      <c r="N1469" s="66" t="s">
        <v>35</v>
      </c>
      <c r="O1469" s="116">
        <f>O1454/O1462-1</f>
        <v>-5.2871092967716526E-2</v>
      </c>
      <c r="P1469" s="116">
        <f>P1454/P1462-1</f>
        <v>4.8968933694264472E-2</v>
      </c>
    </row>
    <row r="1470" spans="2:16" ht="15.75">
      <c r="B1470" s="66" t="s">
        <v>36</v>
      </c>
      <c r="C1470" s="116">
        <f t="shared" si="108"/>
        <v>8.8891856236007261E-2</v>
      </c>
      <c r="D1470" s="116">
        <f t="shared" si="108"/>
        <v>-3.2789098833681196E-2</v>
      </c>
      <c r="E1470" s="66"/>
      <c r="F1470" s="66" t="s">
        <v>36</v>
      </c>
      <c r="G1470" s="116">
        <f>G1455/G1463-1</f>
        <v>-7.9835662753465098E-2</v>
      </c>
      <c r="H1470" s="116">
        <f>H1455/H1463-1</f>
        <v>2.5801594148413542E-2</v>
      </c>
      <c r="I1470" s="66"/>
      <c r="J1470" s="66" t="s">
        <v>36</v>
      </c>
      <c r="K1470" s="116">
        <f>K1455/K1463-1</f>
        <v>3.6130189657543221E-2</v>
      </c>
      <c r="L1470" s="116">
        <f>L1455/L1463-1</f>
        <v>-0.22465389060661844</v>
      </c>
      <c r="M1470" s="66"/>
      <c r="N1470" s="66" t="s">
        <v>36</v>
      </c>
      <c r="O1470" s="116">
        <f>O1455/O1463-1</f>
        <v>0.25893556681215957</v>
      </c>
      <c r="P1470" s="116">
        <f>P1455/P1463-1</f>
        <v>-0.17421698093001581</v>
      </c>
    </row>
    <row r="1471" spans="2:16" ht="15.75">
      <c r="B1471" s="66" t="s">
        <v>154</v>
      </c>
      <c r="C1471" s="116">
        <f t="shared" si="108"/>
        <v>-0.53453643955000907</v>
      </c>
      <c r="D1471" s="116">
        <f t="shared" si="108"/>
        <v>-0.71845028921885279</v>
      </c>
      <c r="E1471" s="66"/>
      <c r="F1471" s="66"/>
      <c r="G1471" s="66"/>
      <c r="H1471" s="66"/>
      <c r="I1471" s="66"/>
      <c r="J1471" s="66"/>
      <c r="K1471" s="66"/>
      <c r="L1471" s="66"/>
      <c r="M1471" s="66"/>
      <c r="N1471" s="66"/>
      <c r="O1471" s="66"/>
      <c r="P1471" s="66"/>
    </row>
    <row r="1472" spans="2:16" ht="15.75">
      <c r="B1472" s="66"/>
      <c r="C1472" s="66"/>
      <c r="D1472" s="66"/>
      <c r="E1472" s="66"/>
      <c r="F1472" s="217" t="s">
        <v>1735</v>
      </c>
      <c r="G1472" s="67">
        <f>G1466</f>
        <v>2019</v>
      </c>
      <c r="H1472" s="67">
        <f>H1466</f>
        <v>2020</v>
      </c>
      <c r="I1472" s="66"/>
      <c r="J1472" s="217" t="s">
        <v>1735</v>
      </c>
      <c r="K1472" s="67">
        <f>K1466</f>
        <v>2019</v>
      </c>
      <c r="L1472" s="67">
        <f>L1466</f>
        <v>2020</v>
      </c>
      <c r="M1472" s="66"/>
      <c r="N1472" s="217" t="s">
        <v>1736</v>
      </c>
      <c r="O1472" s="67">
        <f>O1466</f>
        <v>2019</v>
      </c>
      <c r="P1472" s="67">
        <f>P1466</f>
        <v>2020</v>
      </c>
    </row>
    <row r="1473" spans="2:16" ht="15.75">
      <c r="B1473" s="66"/>
      <c r="C1473" s="66"/>
      <c r="D1473" s="66"/>
      <c r="E1473" s="66"/>
      <c r="F1473" s="66" t="str">
        <f>F1451</f>
        <v>Revenue</v>
      </c>
      <c r="G1473" s="69">
        <f>(G1451-G1459)/(C1451-C1459)</f>
        <v>0.44658617935319334</v>
      </c>
      <c r="H1473" s="69">
        <f>(H1451-H1459)/(D1451-D1459)</f>
        <v>0.32403092339893813</v>
      </c>
      <c r="I1473" s="66"/>
      <c r="J1473" s="66" t="str">
        <f>J1451</f>
        <v>Revenue</v>
      </c>
      <c r="K1473" s="69">
        <f>(K1451-K1459)/(C1451-C1459)</f>
        <v>0.19674034583436215</v>
      </c>
      <c r="L1473" s="69">
        <f>(L1451-L1459)/(D1451-D1459)</f>
        <v>3.7597839244946731E-2</v>
      </c>
      <c r="M1473" s="66"/>
      <c r="N1473" s="66" t="str">
        <f>N1451</f>
        <v>Revenue</v>
      </c>
      <c r="O1473" s="69">
        <f>(O1451-O1459)/(G1451-G1459)</f>
        <v>-0.31516694838247455</v>
      </c>
      <c r="P1473" s="69">
        <f>(P1451-P1459)/(H1451-H1459)</f>
        <v>-4.6143160263367837E-2</v>
      </c>
    </row>
    <row r="1474" spans="2:16" ht="15.75">
      <c r="B1474" s="66"/>
      <c r="C1474" s="66"/>
      <c r="D1474" s="66"/>
      <c r="E1474" s="66"/>
      <c r="F1474" s="66" t="str">
        <f>F1452</f>
        <v>EBITDA</v>
      </c>
      <c r="G1474" s="69">
        <f>(G1452-G1460)/(C1452-C1460)</f>
        <v>-0.50799968584814792</v>
      </c>
      <c r="H1474" s="69">
        <f>(H1452-H1460)/(D1452-D1460)</f>
        <v>2.4510172535107118</v>
      </c>
      <c r="I1474" s="66"/>
      <c r="J1474" s="66" t="str">
        <f>J1452</f>
        <v>EBITDA</v>
      </c>
      <c r="K1474" s="69">
        <f>(K1452-K1460)/(C1452-C1460)</f>
        <v>-0.11137769376691983</v>
      </c>
      <c r="L1474" s="69">
        <f>(L1452-L1460)/(D1452-D1460)</f>
        <v>1.1077861925502426</v>
      </c>
      <c r="M1474" s="66"/>
      <c r="N1474" s="66" t="str">
        <f>N1452</f>
        <v>EBITDA</v>
      </c>
      <c r="O1474" s="69">
        <f>(O1452-O1460)/(G1452-G1460)</f>
        <v>-0.54516596623491442</v>
      </c>
      <c r="P1474" s="69">
        <f>(P1452-P1460)/(H1452-H1460)</f>
        <v>0.40497636036089391</v>
      </c>
    </row>
    <row r="1477" spans="2:16">
      <c r="B1477" s="61" t="s">
        <v>33</v>
      </c>
      <c r="C1477" s="61">
        <f>Master!P11</f>
        <v>2017</v>
      </c>
      <c r="D1477" s="61">
        <f>Master!Q11</f>
        <v>2018</v>
      </c>
      <c r="E1477" s="61">
        <f>Master!R11</f>
        <v>2019</v>
      </c>
      <c r="F1477" s="61">
        <f>Master!S11</f>
        <v>2020</v>
      </c>
      <c r="G1477" s="61">
        <f>Master!T11</f>
        <v>2021</v>
      </c>
    </row>
    <row r="1478" spans="2:16">
      <c r="B1478" t="s">
        <v>1589</v>
      </c>
      <c r="C1478" s="10">
        <f>Content!K4</f>
        <v>-0.10783182334906471</v>
      </c>
      <c r="D1478" s="10">
        <f>Content!L4</f>
        <v>2.1043486654761301E-2</v>
      </c>
      <c r="E1478" s="10">
        <f>Content!M4</f>
        <v>-8.1994800283620828E-2</v>
      </c>
      <c r="F1478" s="10">
        <f>Content!N4</f>
        <v>-0.15811208831949919</v>
      </c>
      <c r="G1478" s="10">
        <f>Content!O4</f>
        <v>0.17200210400127225</v>
      </c>
    </row>
    <row r="1479" spans="2:16">
      <c r="B1479" t="s">
        <v>1610</v>
      </c>
      <c r="C1479" s="10">
        <f>Master!P18</f>
        <v>-7.331539767817763E-2</v>
      </c>
      <c r="D1479" s="428">
        <f>Master!Q19</f>
        <v>7.4124187428302513E-2</v>
      </c>
      <c r="E1479" s="428">
        <f>Master!R19</f>
        <v>-4.7145165265492728E-2</v>
      </c>
      <c r="F1479" s="10">
        <f>Master!S18</f>
        <v>-6.2720934376383153E-2</v>
      </c>
      <c r="G1479" s="10">
        <f>Master!T18</f>
        <v>0.102072793057983</v>
      </c>
    </row>
    <row r="1480" spans="2:16">
      <c r="B1480" t="s">
        <v>97</v>
      </c>
      <c r="C1480" s="10">
        <f>Master!P23/Master!O23-1</f>
        <v>1.1658432537873908E-2</v>
      </c>
      <c r="D1480" s="10">
        <f>Master!Q23/Master!P23-1</f>
        <v>-8.7849709420192434E-3</v>
      </c>
      <c r="E1480" s="10">
        <f>Master!R23/Master!Q23-1</f>
        <v>-2.9770020907190275E-2</v>
      </c>
      <c r="F1480" s="10">
        <f>Master!S23/Master!R23-1</f>
        <v>3.6899798566543351E-2</v>
      </c>
      <c r="G1480" s="10">
        <f>Master!T23/Master!S23-1</f>
        <v>-4.8837345886776351E-3</v>
      </c>
    </row>
    <row r="1481" spans="2:16">
      <c r="B1481" t="s">
        <v>52</v>
      </c>
      <c r="C1481" s="10">
        <f>Master!P21/Master!O21-1</f>
        <v>3.6260331874224061E-2</v>
      </c>
      <c r="D1481" s="10">
        <f>Master!Q21/Master!P21-1</f>
        <v>9.6374969740982808E-2</v>
      </c>
      <c r="E1481" s="10">
        <f>Master!R21/Master!Q21-1</f>
        <v>0.15093975105566759</v>
      </c>
      <c r="F1481" s="10">
        <f>Master!S21/Master!R21-1</f>
        <v>8.7887871085319702E-2</v>
      </c>
      <c r="G1481" s="10">
        <f>Master!T21/Master!S21-1</f>
        <v>5.849613486425187E-2</v>
      </c>
    </row>
    <row r="1482" spans="2:16">
      <c r="B1482" t="s">
        <v>222</v>
      </c>
      <c r="C1482" s="10">
        <f>Master!P29</f>
        <v>-2.0899930832071423E-2</v>
      </c>
      <c r="D1482" s="10">
        <f>Master!Q29</f>
        <v>7.4622116149562379E-2</v>
      </c>
      <c r="E1482" s="10">
        <f>Master!R29</f>
        <v>-6.5087355641101352E-3</v>
      </c>
      <c r="F1482" s="10">
        <f>Master!S29</f>
        <v>-3.4895966839740722E-2</v>
      </c>
      <c r="G1482" s="10">
        <f>Master!T29</f>
        <v>6.5715582833959507E-2</v>
      </c>
    </row>
    <row r="1484" spans="2:16">
      <c r="B1484" s="61" t="s">
        <v>34</v>
      </c>
      <c r="C1484" s="61">
        <f>C1477</f>
        <v>2017</v>
      </c>
      <c r="D1484" s="61">
        <f>D1477</f>
        <v>2018</v>
      </c>
      <c r="E1484" s="61">
        <f>E1477</f>
        <v>2019</v>
      </c>
      <c r="F1484" s="61">
        <f>F1477</f>
        <v>2020</v>
      </c>
      <c r="G1484" s="61">
        <f>G1477</f>
        <v>2021</v>
      </c>
    </row>
    <row r="1485" spans="2:16">
      <c r="B1485" t="s">
        <v>94</v>
      </c>
      <c r="C1485" s="10">
        <f>Master!P53/Master!O53-1</f>
        <v>-0.13039056143205863</v>
      </c>
      <c r="D1485" s="428">
        <f>(Master!Q53-Interims!AQ54-Interims!AR54)/Master!P53-1</f>
        <v>0.15828460038986347</v>
      </c>
      <c r="E1485" s="428">
        <f>Master!R53/(Master!Q53-Interims!AQ54-Interims!AR54)-1</f>
        <v>-0.14964658364187144</v>
      </c>
      <c r="F1485" s="10">
        <f>Master!S53/Master!R53-1</f>
        <v>-2.1469284357188201E-2</v>
      </c>
      <c r="G1485" s="10">
        <f>Master!T53/Master!S53-1</f>
        <v>0.1147336741958449</v>
      </c>
    </row>
    <row r="1486" spans="2:16">
      <c r="B1486" t="s">
        <v>97</v>
      </c>
      <c r="C1486" s="10">
        <f>Master!P55/Master!O55-1</f>
        <v>2.1063797545082696E-2</v>
      </c>
      <c r="D1486" s="10">
        <f>Master!Q55/Master!P55-1</f>
        <v>-3.3640051449490449E-2</v>
      </c>
      <c r="E1486" s="10">
        <f>Master!R55/Master!Q55-1</f>
        <v>-6.6141087334903204E-2</v>
      </c>
      <c r="F1486" s="10">
        <f>Master!S55/Master!R55-1</f>
        <v>1.6226290976866231E-3</v>
      </c>
      <c r="G1486" s="10">
        <f>Master!T55/Master!S55-1</f>
        <v>-6.9134613279625112E-2</v>
      </c>
    </row>
    <row r="1487" spans="2:16">
      <c r="B1487" t="s">
        <v>52</v>
      </c>
      <c r="C1487" s="10">
        <f>Master!P56/Master!O56-1</f>
        <v>6.0357658222588206E-2</v>
      </c>
      <c r="D1487" s="10">
        <f>Master!Q56/Master!P56-1</f>
        <v>9.0345564659779054E-2</v>
      </c>
      <c r="E1487" s="10">
        <f>Master!R56/Master!Q56-1</f>
        <v>0.16303992681173618</v>
      </c>
      <c r="F1487" s="10">
        <f>Master!S56/Master!R56-1</f>
        <v>6.1821552983481354E-2</v>
      </c>
      <c r="G1487" s="10">
        <f>Master!T56/Master!S56-1</f>
        <v>7.3376970415328424E-2</v>
      </c>
    </row>
    <row r="1488" spans="2:16">
      <c r="B1488" t="s">
        <v>222</v>
      </c>
      <c r="C1488" s="10">
        <f>Master!P64</f>
        <v>-2.3762653411916634E-2</v>
      </c>
      <c r="D1488" s="10">
        <f>Master!Q64</f>
        <v>0.11569554606467358</v>
      </c>
      <c r="E1488" s="10">
        <f>Master!R64</f>
        <v>4.4995556770797585E-2</v>
      </c>
      <c r="F1488" s="10">
        <f>Master!S64</f>
        <v>1.549527579863974E-2</v>
      </c>
      <c r="G1488" s="10">
        <f>Master!T64</f>
        <v>0.12345434072913641</v>
      </c>
    </row>
    <row r="1490" spans="2:3">
      <c r="B1490" t="s">
        <v>1737</v>
      </c>
      <c r="C1490">
        <v>33.200000000000003</v>
      </c>
    </row>
    <row r="1491" spans="2:3">
      <c r="B1491" t="s">
        <v>1620</v>
      </c>
      <c r="C1491">
        <v>12.6</v>
      </c>
    </row>
    <row r="1492" spans="2:3">
      <c r="B1492" t="s">
        <v>1738</v>
      </c>
      <c r="C1492">
        <v>5.8</v>
      </c>
    </row>
    <row r="1493" spans="2:3">
      <c r="B1493" t="s">
        <v>1739</v>
      </c>
      <c r="C1493">
        <v>4.0999999999999996</v>
      </c>
    </row>
    <row r="1494" spans="2:3">
      <c r="B1494" t="s">
        <v>1740</v>
      </c>
      <c r="C1494">
        <v>1.6</v>
      </c>
    </row>
    <row r="1495" spans="2:3">
      <c r="B1495" t="s">
        <v>1741</v>
      </c>
      <c r="C1495">
        <v>10</v>
      </c>
    </row>
    <row r="1496" spans="2:3">
      <c r="B1496" t="s">
        <v>1742</v>
      </c>
      <c r="C1496">
        <v>1.6</v>
      </c>
    </row>
    <row r="1497" spans="2:3">
      <c r="B1497" t="s">
        <v>519</v>
      </c>
      <c r="C1497">
        <v>23.8</v>
      </c>
    </row>
    <row r="1498" spans="2:3">
      <c r="B1498" s="61" t="s">
        <v>107</v>
      </c>
      <c r="C1498" s="61">
        <v>0.7</v>
      </c>
    </row>
    <row r="1499" spans="2:3">
      <c r="C1499">
        <f>SUM(C1490:C1498)</f>
        <v>93.4</v>
      </c>
    </row>
    <row r="1513" spans="2:6">
      <c r="C1513" s="61">
        <v>2017</v>
      </c>
      <c r="D1513" s="61">
        <f>C1513+1</f>
        <v>2018</v>
      </c>
      <c r="E1513" s="61">
        <f>D1513+1</f>
        <v>2019</v>
      </c>
      <c r="F1513" s="61">
        <f>E1513+1</f>
        <v>2020</v>
      </c>
    </row>
    <row r="1514" spans="2:6">
      <c r="B1514" t="s">
        <v>1743</v>
      </c>
      <c r="C1514" s="122">
        <f>Content!K38</f>
        <v>-43.645123714088868</v>
      </c>
      <c r="D1514" s="122">
        <f>Content!L38</f>
        <v>135.08706108706087</v>
      </c>
      <c r="E1514" s="122">
        <f>Content!M38</f>
        <v>-103.9532467532465</v>
      </c>
      <c r="F1514" s="122">
        <f>Content!N38</f>
        <v>-208.50560352124614</v>
      </c>
    </row>
    <row r="1515" spans="2:6">
      <c r="B1515" t="s">
        <v>1744</v>
      </c>
      <c r="C1515" s="4">
        <v>-48.891678016273772</v>
      </c>
      <c r="D1515" s="4">
        <v>16.039953971715931</v>
      </c>
      <c r="E1515" s="4">
        <v>-6.242016782188557</v>
      </c>
      <c r="F1515" s="4">
        <v>-5.5717121435363879</v>
      </c>
    </row>
    <row r="1529" spans="2:10" ht="15.75">
      <c r="B1529" s="66"/>
      <c r="C1529" s="66"/>
      <c r="D1529" s="66"/>
      <c r="E1529" s="66"/>
      <c r="F1529" s="66"/>
      <c r="G1529" s="66"/>
      <c r="H1529" s="66"/>
      <c r="I1529" s="66"/>
      <c r="J1529" s="66"/>
    </row>
    <row r="1530" spans="2:10" ht="15.75">
      <c r="B1530" s="67" t="s">
        <v>662</v>
      </c>
      <c r="C1530" s="68" t="s">
        <v>745</v>
      </c>
      <c r="D1530" s="68" t="s">
        <v>746</v>
      </c>
      <c r="E1530" s="68" t="s">
        <v>747</v>
      </c>
      <c r="F1530" s="68" t="s">
        <v>1745</v>
      </c>
      <c r="G1530" s="68">
        <v>2019</v>
      </c>
      <c r="H1530" s="68">
        <v>2020</v>
      </c>
      <c r="I1530" s="68" t="s">
        <v>1547</v>
      </c>
    </row>
    <row r="1531" spans="2:10" ht="15.75">
      <c r="B1531" s="66" t="str">
        <f>Interims!A8</f>
        <v>Advertising</v>
      </c>
      <c r="C1531" s="125">
        <f>Interims!AP8</f>
        <v>4272.7</v>
      </c>
      <c r="D1531" s="125">
        <f>Interims!AQ8</f>
        <v>5265.8</v>
      </c>
      <c r="E1531" s="125">
        <f>Interims!AR8</f>
        <v>5051.2</v>
      </c>
      <c r="F1531" s="125" t="e">
        <f>Interims!#REF!</f>
        <v>#REF!</v>
      </c>
      <c r="G1531" s="125">
        <f>Content!M3</f>
        <v>19420.400000000001</v>
      </c>
      <c r="H1531" s="125">
        <f>Content!N3</f>
        <v>16349.8</v>
      </c>
      <c r="I1531" s="66"/>
    </row>
    <row r="1532" spans="2:10" ht="15.75">
      <c r="B1532" s="66" t="s">
        <v>1746</v>
      </c>
      <c r="C1532" s="125">
        <f>Interims!AP9</f>
        <v>1179.0999999999999</v>
      </c>
      <c r="D1532" s="125">
        <f>Interims!AQ9</f>
        <v>1200.8</v>
      </c>
      <c r="E1532" s="125">
        <f>Interims!AR9</f>
        <v>1182.8</v>
      </c>
      <c r="F1532" s="125" t="e">
        <f>Interims!#REF!</f>
        <v>#REF!</v>
      </c>
      <c r="G1532" s="125">
        <f>Content!M11</f>
        <v>4939</v>
      </c>
      <c r="H1532" s="125">
        <f>Content!N11</f>
        <v>5466.2</v>
      </c>
      <c r="I1532" s="66"/>
    </row>
    <row r="1533" spans="2:10" ht="15.75">
      <c r="B1533" s="66" t="s">
        <v>1747</v>
      </c>
      <c r="C1533" s="125">
        <f>Interims!AP10</f>
        <v>2447.6</v>
      </c>
      <c r="D1533" s="125">
        <f>Interims!AQ10</f>
        <v>2781.3</v>
      </c>
      <c r="E1533" s="125">
        <f>Interims!AR10</f>
        <v>2466</v>
      </c>
      <c r="F1533" s="125" t="e">
        <f>Interims!#REF!</f>
        <v>#REF!</v>
      </c>
      <c r="G1533" s="125">
        <f>Content!M17</f>
        <v>10436</v>
      </c>
      <c r="H1533" s="125">
        <f>Content!N17</f>
        <v>10797</v>
      </c>
      <c r="I1533" s="66"/>
    </row>
    <row r="1534" spans="2:10" ht="15.75">
      <c r="B1534" s="67" t="str">
        <f>Interims!A11</f>
        <v>World Cup digital</v>
      </c>
      <c r="C1534" s="154"/>
      <c r="D1534" s="154">
        <f>Interims!AQ11</f>
        <v>1723.5</v>
      </c>
      <c r="E1534" s="154">
        <f>Interims!AR11</f>
        <v>1010.1</v>
      </c>
      <c r="F1534" s="154"/>
      <c r="G1534" s="154"/>
      <c r="H1534" s="154"/>
      <c r="I1534" s="66"/>
    </row>
    <row r="1535" spans="2:10" ht="15.75">
      <c r="B1535" s="66" t="str">
        <f>Interims!A7</f>
        <v>Content</v>
      </c>
      <c r="C1535" s="125">
        <f>Interims!AP7</f>
        <v>7899.4</v>
      </c>
      <c r="D1535" s="125">
        <f>Interims!AQ7</f>
        <v>10971.400000000001</v>
      </c>
      <c r="E1535" s="125">
        <f>Interims!AR7</f>
        <v>9710.1</v>
      </c>
      <c r="F1535" s="125" t="e">
        <f>Interims!#REF!</f>
        <v>#REF!</v>
      </c>
      <c r="G1535" s="125">
        <f>Content!M22</f>
        <v>34795.4</v>
      </c>
      <c r="H1535" s="125">
        <f>Content!N22</f>
        <v>32613</v>
      </c>
      <c r="I1535" s="66"/>
    </row>
    <row r="1536" spans="2:10" ht="15.75">
      <c r="B1536" s="66"/>
      <c r="C1536" s="66"/>
      <c r="D1536" s="66"/>
      <c r="E1536" s="66"/>
      <c r="F1536" s="66"/>
      <c r="I1536" s="66"/>
    </row>
    <row r="1537" spans="2:9" ht="15.75">
      <c r="B1537" s="66" t="s">
        <v>34</v>
      </c>
      <c r="C1537" s="125">
        <f>Interims!AP29</f>
        <v>2820.1</v>
      </c>
      <c r="D1537" s="125">
        <f>Interims!AQ29</f>
        <v>4294.3</v>
      </c>
      <c r="E1537" s="125">
        <f>Interims!AR29</f>
        <v>3704</v>
      </c>
      <c r="F1537" s="125" t="e">
        <f>Interims!#REF!</f>
        <v>#REF!</v>
      </c>
      <c r="G1537" s="125">
        <f>Master!R53</f>
        <v>12632</v>
      </c>
      <c r="H1537" s="125">
        <f>Master!S53</f>
        <v>12360.8</v>
      </c>
      <c r="I1537" s="66"/>
    </row>
    <row r="1538" spans="2:9" ht="15.75">
      <c r="B1538" s="66" t="s">
        <v>548</v>
      </c>
      <c r="C1538" s="116">
        <f t="shared" ref="C1538:H1538" si="109">C1537/C1535</f>
        <v>0.35700179760488138</v>
      </c>
      <c r="D1538" s="116">
        <f t="shared" si="109"/>
        <v>0.39140857137648793</v>
      </c>
      <c r="E1538" s="116">
        <f t="shared" si="109"/>
        <v>0.38145848137506305</v>
      </c>
      <c r="F1538" s="116" t="e">
        <f t="shared" si="109"/>
        <v>#REF!</v>
      </c>
      <c r="G1538" s="116">
        <f t="shared" si="109"/>
        <v>0.36303649332957805</v>
      </c>
      <c r="H1538" s="116">
        <f t="shared" si="109"/>
        <v>0.37901450341888204</v>
      </c>
      <c r="I1538" s="66"/>
    </row>
    <row r="1539" spans="2:9" ht="15.75">
      <c r="B1539" s="66"/>
      <c r="C1539" s="66"/>
      <c r="D1539" s="66"/>
      <c r="E1539" s="66"/>
      <c r="F1539" s="66"/>
      <c r="I1539" s="66"/>
    </row>
    <row r="1540" spans="2:9" ht="15.75">
      <c r="B1540" s="66" t="s">
        <v>1748</v>
      </c>
      <c r="C1540" s="66"/>
      <c r="D1540" s="66"/>
      <c r="E1540" s="66"/>
      <c r="F1540" s="66"/>
      <c r="I1540" s="66"/>
    </row>
    <row r="1541" spans="2:9" ht="15.75">
      <c r="B1541" s="70" t="s">
        <v>33</v>
      </c>
      <c r="C1541" s="66"/>
      <c r="D1541" s="66"/>
      <c r="E1541" s="66"/>
      <c r="F1541" s="66"/>
      <c r="I1541" s="66"/>
    </row>
    <row r="1542" spans="2:9" ht="15.75">
      <c r="B1542" s="66" t="str">
        <f>B1531</f>
        <v>Advertising</v>
      </c>
      <c r="C1542" s="116">
        <f>Interims!DO8</f>
        <v>3.5003149072234896E-2</v>
      </c>
      <c r="D1542" s="116">
        <f>Interims!DP8</f>
        <v>9.0995731985248351E-2</v>
      </c>
      <c r="E1542" s="116">
        <f>Interims!DQ8</f>
        <v>2.1724179780735486E-2</v>
      </c>
      <c r="F1542" s="116" t="e">
        <f>Interims!#REF!</f>
        <v>#REF!</v>
      </c>
      <c r="G1542" s="116">
        <f>Content!M4</f>
        <v>-8.1994800283620828E-2</v>
      </c>
      <c r="H1542" s="116">
        <f>Content!N4</f>
        <v>-0.15811208831949919</v>
      </c>
      <c r="I1542" s="111" t="s">
        <v>1749</v>
      </c>
    </row>
    <row r="1543" spans="2:9" ht="15.75">
      <c r="B1543" s="66" t="str">
        <f>B1532</f>
        <v>Net Subsc</v>
      </c>
      <c r="C1543" s="116">
        <f>Interims!DO9</f>
        <v>0.13124820109373503</v>
      </c>
      <c r="D1543" s="116">
        <f>Interims!DP9</f>
        <v>0.27595367123578773</v>
      </c>
      <c r="E1543" s="116">
        <f>Interims!DQ9</f>
        <v>0.27223835645907268</v>
      </c>
      <c r="F1543" s="116" t="e">
        <f>Interims!#REF!</f>
        <v>#REF!</v>
      </c>
      <c r="G1543" s="116">
        <f>Content!M12</f>
        <v>2.0243751291055601E-2</v>
      </c>
      <c r="H1543" s="116">
        <f>Content!N12</f>
        <v>0.1067422555173112</v>
      </c>
      <c r="I1543" s="111" t="s">
        <v>1750</v>
      </c>
    </row>
    <row r="1544" spans="2:9" ht="15.75">
      <c r="B1544" s="67" t="str">
        <f>B1533</f>
        <v>Lic, syndication</v>
      </c>
      <c r="C1544" s="123">
        <f>Interims!DO10</f>
        <v>0.15441939439675512</v>
      </c>
      <c r="D1544" s="123">
        <f>Interims!DP10</f>
        <v>0.20496490772030174</v>
      </c>
      <c r="E1544" s="123">
        <f>Interims!DQ10</f>
        <v>0.14617708575412514</v>
      </c>
      <c r="F1544" s="123" t="e">
        <f>Interims!#REF!</f>
        <v>#REF!</v>
      </c>
      <c r="G1544" s="123">
        <f>Content!M18</f>
        <v>-8.0790799353673837E-3</v>
      </c>
      <c r="H1544" s="123">
        <f>Content!N18</f>
        <v>3.4591797623610532E-2</v>
      </c>
      <c r="I1544" s="111" t="s">
        <v>1751</v>
      </c>
    </row>
    <row r="1545" spans="2:9" ht="15.75">
      <c r="B1545" s="66" t="str">
        <f>B1535</f>
        <v>Content</v>
      </c>
      <c r="C1545" s="116">
        <f>Interims!DO7</f>
        <v>8.3489925521554875E-2</v>
      </c>
      <c r="D1545" s="116">
        <f>(Interims!AQ7-Interims!AQ11)/Interims!AL7-1</f>
        <v>0.14512314416969008</v>
      </c>
      <c r="E1545" s="116">
        <f>(Interims!AR7-Interims!AR11)/Interims!AM7-1</f>
        <v>8.4112149532710179E-2</v>
      </c>
      <c r="F1545" s="116" t="e">
        <f>Interims!#REF!</f>
        <v>#REF!</v>
      </c>
      <c r="G1545" s="116">
        <f>Content!M23</f>
        <v>-0.10825612834608334</v>
      </c>
      <c r="H1545" s="116">
        <f>Content!N23</f>
        <v>-6.2720934376383153E-2</v>
      </c>
      <c r="I1545" s="66"/>
    </row>
    <row r="1546" spans="2:9" ht="15.75">
      <c r="B1546" s="66"/>
      <c r="C1546" s="66"/>
      <c r="D1546" s="66"/>
      <c r="E1546" s="66"/>
      <c r="F1546" s="66"/>
      <c r="I1546" s="66"/>
    </row>
    <row r="1547" spans="2:9" ht="15.75">
      <c r="B1547" s="66" t="str">
        <f>B1537</f>
        <v>EBITDA</v>
      </c>
      <c r="C1547" s="116">
        <f>Interims!DO29</f>
        <v>7.6949515008019498E-2</v>
      </c>
      <c r="D1547" s="116">
        <f>(Interims!AQ29-Interims!AQ54)/Interims!AL29-1</f>
        <v>0.34824652287212343</v>
      </c>
      <c r="E1547" s="116">
        <f>(Interims!AR29-Interims!AR54)/Interims!AM29-1</f>
        <v>0.19402985074626877</v>
      </c>
      <c r="F1547" s="116" t="e">
        <f>Interims!#REF!</f>
        <v>#REF!</v>
      </c>
      <c r="G1547" s="116">
        <f>Content!M27/(Content!L27-Interims!AQ54-Interims!AR54)-1</f>
        <v>-0.14964658364187144</v>
      </c>
      <c r="H1547" s="116">
        <f>Content!N28</f>
        <v>-2.1469284357188201E-2</v>
      </c>
      <c r="I1547" s="111" t="s">
        <v>1752</v>
      </c>
    </row>
    <row r="1550" spans="2:9" ht="15.75" thickBot="1">
      <c r="B1550" s="563" t="s">
        <v>1753</v>
      </c>
      <c r="C1550" s="563">
        <v>2018</v>
      </c>
      <c r="D1550" s="563">
        <v>2019</v>
      </c>
      <c r="E1550" s="563">
        <v>2020</v>
      </c>
    </row>
    <row r="1551" spans="2:9">
      <c r="B1551" s="530" t="s">
        <v>33</v>
      </c>
      <c r="C1551" s="531">
        <f>Master!Q132/Master!Q$7</f>
        <v>5262.8571428571431</v>
      </c>
      <c r="D1551" s="531">
        <f>Master!R132/Master!R$7</f>
        <v>5228.6025974025979</v>
      </c>
      <c r="E1551" s="531">
        <f>Master!S132/Master!S$7</f>
        <v>4522.2672253258843</v>
      </c>
    </row>
    <row r="1552" spans="2:9">
      <c r="B1552" s="530" t="s">
        <v>34</v>
      </c>
      <c r="C1552" s="531">
        <f>Master!Q140/Master!Q$7</f>
        <v>1899.8701298701299</v>
      </c>
      <c r="D1552" s="531">
        <f>Master!R140/Master!R$7</f>
        <v>1985.3558441558441</v>
      </c>
      <c r="E1552" s="531">
        <f>Master!S140/Master!S$7</f>
        <v>1806.810986964618</v>
      </c>
    </row>
    <row r="1553" spans="2:5">
      <c r="B1553" s="530" t="s">
        <v>36</v>
      </c>
      <c r="C1553" s="531">
        <f>Master!Q117/Master!Q$7</f>
        <v>930.47012987012999</v>
      </c>
      <c r="D1553" s="531">
        <f>Master!R117/Master!R$7</f>
        <v>994.85584415584412</v>
      </c>
      <c r="E1553" s="531">
        <f>Master!S117/Master!S$7</f>
        <v>867.41098696461813</v>
      </c>
    </row>
    <row r="1554" spans="2:5">
      <c r="B1554" s="530" t="s">
        <v>154</v>
      </c>
      <c r="C1554" s="531">
        <f>Valuation!N33</f>
        <v>-329.16623376623386</v>
      </c>
      <c r="D1554" s="531">
        <f>Valuation!O33</f>
        <v>80.985714285714238</v>
      </c>
      <c r="E1554" s="531">
        <f>Valuation!P33</f>
        <v>63.197765363128397</v>
      </c>
    </row>
    <row r="1555" spans="2:5">
      <c r="B1555" s="530" t="s">
        <v>1754</v>
      </c>
      <c r="C1555" s="535">
        <f>Valuation!N33/Valuation!N7</f>
        <v>-0.56915661925990646</v>
      </c>
      <c r="D1555" s="535">
        <f>Valuation!O33/Valuation!O7</f>
        <v>0.14170660842009514</v>
      </c>
      <c r="E1555" s="535">
        <f>Valuation!P33/Valuation!P7</f>
        <v>0.11021909767945033</v>
      </c>
    </row>
    <row r="1556" spans="2:5">
      <c r="B1556" s="530" t="s">
        <v>248</v>
      </c>
      <c r="C1556" s="535">
        <f>Valuation!N42</f>
        <v>9.0909090909090912E-2</v>
      </c>
      <c r="D1556" s="535">
        <f>Valuation!O42</f>
        <v>0</v>
      </c>
      <c r="E1556" s="535">
        <f>Valuation!P42</f>
        <v>8.1471135940409681E-2</v>
      </c>
    </row>
    <row r="1557" spans="2:5" ht="15.75" thickBot="1">
      <c r="B1557" s="529" t="s">
        <v>1755</v>
      </c>
      <c r="C1557" s="529"/>
      <c r="D1557" s="529"/>
      <c r="E1557" s="529"/>
    </row>
    <row r="1558" spans="2:5">
      <c r="B1558" s="530" t="s">
        <v>22</v>
      </c>
      <c r="C1558" s="532">
        <f>Valuation!N44</f>
        <v>2.7326230761117687</v>
      </c>
      <c r="D1558" s="532">
        <f>Valuation!O44</f>
        <v>3.1505464513264547</v>
      </c>
      <c r="E1558" s="532">
        <f>Valuation!P44</f>
        <v>3.118291510112432</v>
      </c>
    </row>
    <row r="1559" spans="2:5">
      <c r="B1559" s="530" t="s">
        <v>26</v>
      </c>
      <c r="C1559" s="532">
        <f>Valuation!N46</f>
        <v>8.3488986322214682</v>
      </c>
      <c r="D1559" s="532">
        <f>Valuation!O46</f>
        <v>8.2267578917777193</v>
      </c>
      <c r="E1559" s="532">
        <f>Valuation!P46</f>
        <v>37.585668798100755</v>
      </c>
    </row>
    <row r="1560" spans="2:5">
      <c r="B1560" s="530" t="s">
        <v>27</v>
      </c>
      <c r="C1560" s="532">
        <f>Valuation!N52</f>
        <v>10.407044771856173</v>
      </c>
      <c r="D1560" s="532">
        <f>Valuation!O52</f>
        <v>6.8246491813278878</v>
      </c>
      <c r="E1560" s="532">
        <f>Valuation!P52</f>
        <v>7.1033948825758007</v>
      </c>
    </row>
    <row r="1561" spans="2:5" ht="15.75" thickBot="1">
      <c r="B1561" s="533" t="s">
        <v>1756</v>
      </c>
      <c r="C1561" s="534">
        <f>Valuation!N50</f>
        <v>3.1026993484331366E-2</v>
      </c>
      <c r="D1561" s="534">
        <f>Valuation!O50</f>
        <v>0</v>
      </c>
      <c r="E1561" s="534">
        <f>Valuation!P50</f>
        <v>2.7805848443825828E-2</v>
      </c>
    </row>
    <row r="1563" spans="2:5">
      <c r="E1563" s="264" t="s">
        <v>1757</v>
      </c>
    </row>
    <row r="1564" spans="2:5">
      <c r="B1564" s="61" t="s">
        <v>1758</v>
      </c>
      <c r="C1564" s="61">
        <v>2016</v>
      </c>
      <c r="D1564" s="61">
        <f>C1564+1</f>
        <v>2017</v>
      </c>
      <c r="E1564" s="61">
        <f>D1564+1</f>
        <v>2018</v>
      </c>
    </row>
    <row r="1565" spans="2:5">
      <c r="B1565" t="s">
        <v>1590</v>
      </c>
      <c r="C1565">
        <f>C1567*C1571</f>
        <v>80</v>
      </c>
      <c r="D1565" s="4">
        <f>(1+D1566)*C1565</f>
        <v>87.12</v>
      </c>
      <c r="E1565" s="4">
        <f>E1571-E1568</f>
        <v>74.942126838678561</v>
      </c>
    </row>
    <row r="1566" spans="2:5">
      <c r="B1566" t="s">
        <v>395</v>
      </c>
      <c r="D1566" s="10">
        <v>8.8999999999999996E-2</v>
      </c>
      <c r="E1566" s="10">
        <f>E1565/D1565-1</f>
        <v>-0.13978274978559968</v>
      </c>
    </row>
    <row r="1567" spans="2:5">
      <c r="B1567" t="s">
        <v>592</v>
      </c>
      <c r="C1567" s="8">
        <v>0.8</v>
      </c>
      <c r="D1567" s="8">
        <f>D1565/D1571</f>
        <v>0.97649750663642065</v>
      </c>
      <c r="E1567" s="8">
        <f>E1565/E1571</f>
        <v>0.79999999999999993</v>
      </c>
    </row>
    <row r="1568" spans="2:5">
      <c r="B1568" t="s">
        <v>1759</v>
      </c>
      <c r="C1568">
        <f>C1571-C1565</f>
        <v>20</v>
      </c>
      <c r="D1568" s="4">
        <f>D1571-D1565</f>
        <v>2.0968176650935249</v>
      </c>
      <c r="E1568" s="4">
        <f>E1570*E1571</f>
        <v>18.73553170966964</v>
      </c>
    </row>
    <row r="1569" spans="2:12">
      <c r="B1569" t="s">
        <v>395</v>
      </c>
      <c r="D1569" s="8">
        <f>D1568/C1568-1</f>
        <v>-0.89515911674532378</v>
      </c>
      <c r="E1569" s="8">
        <f>E1568/D1568-1</f>
        <v>7.9352221805294523</v>
      </c>
    </row>
    <row r="1570" spans="2:12">
      <c r="B1570" t="s">
        <v>592</v>
      </c>
      <c r="C1570" s="8">
        <f>100%-C1567</f>
        <v>0.19999999999999996</v>
      </c>
      <c r="D1570" s="8">
        <f>100%-D1567</f>
        <v>2.3502493363579346E-2</v>
      </c>
      <c r="E1570" s="8">
        <v>0.2</v>
      </c>
    </row>
    <row r="1571" spans="2:12">
      <c r="B1571" t="s">
        <v>85</v>
      </c>
      <c r="C1571">
        <v>100</v>
      </c>
      <c r="D1571">
        <f>(1+D1572)*C1571</f>
        <v>89.216817665093529</v>
      </c>
      <c r="E1571">
        <f>(1+E1572)*D1571</f>
        <v>93.677658548348205</v>
      </c>
    </row>
    <row r="1572" spans="2:12">
      <c r="B1572" t="s">
        <v>192</v>
      </c>
      <c r="D1572" s="10">
        <f>Content!K4</f>
        <v>-0.10783182334906471</v>
      </c>
      <c r="E1572" s="10">
        <v>0.05</v>
      </c>
    </row>
    <row r="1575" spans="2:12" ht="15.75">
      <c r="B1575" s="67" t="s">
        <v>1760</v>
      </c>
      <c r="C1575" s="123">
        <v>0</v>
      </c>
      <c r="D1575" s="123">
        <v>2.5000000000000001E-2</v>
      </c>
      <c r="E1575" s="123">
        <v>0.05</v>
      </c>
      <c r="F1575" s="123">
        <v>7.4999999999999997E-2</v>
      </c>
      <c r="G1575" s="123">
        <v>0.1</v>
      </c>
    </row>
    <row r="1576" spans="2:12" ht="15.75">
      <c r="B1576" s="66" t="s">
        <v>1761</v>
      </c>
      <c r="C1576" s="125">
        <f>(C1575)*Content!$K$3</f>
        <v>0</v>
      </c>
      <c r="D1576" s="125">
        <f>(D1575)*Content!$K$3</f>
        <v>517.97500000000002</v>
      </c>
      <c r="E1576" s="125">
        <f>(E1575)*Content!$K$3</f>
        <v>1035.95</v>
      </c>
      <c r="F1576" s="125">
        <f>(F1575)*Content!$K$3</f>
        <v>1553.925</v>
      </c>
      <c r="G1576" s="125">
        <f>(G1575)*Content!$K$3</f>
        <v>2071.9</v>
      </c>
    </row>
    <row r="1577" spans="2:12" ht="15.75">
      <c r="B1577" s="66" t="s">
        <v>1762</v>
      </c>
      <c r="C1577" s="125">
        <f>C1576-$E$1576</f>
        <v>-1035.95</v>
      </c>
      <c r="D1577" s="125">
        <f>D1576-$E$1576</f>
        <v>-517.97500000000002</v>
      </c>
      <c r="E1577" s="125">
        <f>E1576-$E$1576</f>
        <v>0</v>
      </c>
      <c r="F1577" s="125">
        <f>F1576-$E$1576</f>
        <v>517.97499999999991</v>
      </c>
      <c r="G1577" s="125">
        <f>G1576-$E$1576</f>
        <v>1035.95</v>
      </c>
    </row>
    <row r="1578" spans="2:12" ht="15.75">
      <c r="B1578" s="66" t="s">
        <v>1763</v>
      </c>
      <c r="C1578" s="116">
        <f>C1577/Content!$L$27</f>
        <v>-6.9737462133961634E-2</v>
      </c>
      <c r="D1578" s="116">
        <f>D1577/Content!$L$27</f>
        <v>-3.4868731066980817E-2</v>
      </c>
      <c r="E1578" s="116">
        <f>E1577/Content!$L$27</f>
        <v>0</v>
      </c>
      <c r="F1578" s="116">
        <f>F1577/Content!$L$27</f>
        <v>3.486873106698081E-2</v>
      </c>
      <c r="G1578" s="116">
        <f>G1577/Content!$L$27</f>
        <v>6.9737462133961634E-2</v>
      </c>
    </row>
    <row r="1579" spans="2:12" ht="15.75">
      <c r="B1579" s="66" t="s">
        <v>1764</v>
      </c>
      <c r="C1579" s="116">
        <f>C1577/Master!$Q$140</f>
        <v>-2.8325927951329551E-2</v>
      </c>
      <c r="D1579" s="116">
        <f>D1577/Master!$Q$140</f>
        <v>-1.4162963975664775E-2</v>
      </c>
      <c r="E1579" s="116">
        <f>E1577/Master!$Q$140</f>
        <v>0</v>
      </c>
      <c r="F1579" s="116">
        <f>F1577/Master!$Q$140</f>
        <v>1.4162963975664774E-2</v>
      </c>
      <c r="G1579" s="116">
        <f>G1577/Master!$Q$140</f>
        <v>2.8325927951329551E-2</v>
      </c>
    </row>
    <row r="1581" spans="2:12" ht="15.75">
      <c r="B1581" s="67" t="s">
        <v>1765</v>
      </c>
      <c r="C1581" s="68" t="s">
        <v>739</v>
      </c>
      <c r="D1581" s="68" t="s">
        <v>740</v>
      </c>
      <c r="E1581" s="68" t="e">
        <f>#REF!</f>
        <v>#REF!</v>
      </c>
      <c r="F1581" s="68" t="e">
        <f>#REF!</f>
        <v>#REF!</v>
      </c>
      <c r="G1581" s="68" t="e">
        <f>#REF!</f>
        <v>#REF!</v>
      </c>
      <c r="H1581" s="536" t="e">
        <f>#REF!</f>
        <v>#REF!</v>
      </c>
      <c r="I1581" s="537" t="str">
        <f>C1530</f>
        <v>Q1 18</v>
      </c>
      <c r="J1581" s="537" t="str">
        <f>D1530</f>
        <v>Q2 18</v>
      </c>
      <c r="K1581" s="537" t="str">
        <f>E1530</f>
        <v>Q3 18</v>
      </c>
      <c r="L1581" s="538" t="str">
        <f>F1530</f>
        <v>Q4 18e</v>
      </c>
    </row>
    <row r="1582" spans="2:12" ht="15.75">
      <c r="B1582" s="66" t="s">
        <v>6</v>
      </c>
      <c r="C1582" s="71">
        <f>Interims!AH269</f>
        <v>20.4950000000008</v>
      </c>
      <c r="D1582" s="71">
        <f>Interims!AI269</f>
        <v>-34.4950000000008</v>
      </c>
      <c r="E1582" s="71">
        <f>Interims!AK269</f>
        <v>-67.623999999999995</v>
      </c>
      <c r="F1582" s="71">
        <f>Interims!AL269</f>
        <v>25.465000000000146</v>
      </c>
      <c r="G1582" s="71">
        <f>Interims!AM269</f>
        <v>30.972999999999502</v>
      </c>
      <c r="H1582" s="539" t="e">
        <f>Interims!#REF!</f>
        <v>#REF!</v>
      </c>
      <c r="I1582" s="71" t="e">
        <f>Interims!#REF!</f>
        <v>#REF!</v>
      </c>
      <c r="J1582" s="71" t="e">
        <f>Interims!#REF!</f>
        <v>#REF!</v>
      </c>
      <c r="K1582" s="71" t="e">
        <f>Interims!#REF!</f>
        <v>#REF!</v>
      </c>
      <c r="L1582" s="540" t="e">
        <f>Interims!#REF!</f>
        <v>#REF!</v>
      </c>
    </row>
    <row r="1583" spans="2:12" ht="15.75">
      <c r="B1583" s="66" t="s">
        <v>44</v>
      </c>
      <c r="C1583" s="71">
        <f>Interims!AH270</f>
        <v>87.960000000000036</v>
      </c>
      <c r="D1583" s="71">
        <f>Interims!AI270</f>
        <v>65.740000000000236</v>
      </c>
      <c r="E1583" s="71">
        <f>Interims!AK270</f>
        <v>45.057000000000002</v>
      </c>
      <c r="F1583" s="71">
        <f>Interims!AL270</f>
        <v>119.03099999999995</v>
      </c>
      <c r="G1583" s="71">
        <f>Interims!AM270</f>
        <v>144.53200000000015</v>
      </c>
      <c r="H1583" s="539" t="e">
        <f>Interims!#REF!</f>
        <v>#REF!</v>
      </c>
      <c r="I1583" s="71" t="e">
        <f>Interims!#REF!</f>
        <v>#REF!</v>
      </c>
      <c r="J1583" s="71" t="e">
        <f>Interims!#REF!</f>
        <v>#REF!</v>
      </c>
      <c r="K1583" s="71" t="e">
        <f>Interims!#REF!</f>
        <v>#REF!</v>
      </c>
      <c r="L1583" s="540" t="e">
        <f>Interims!#REF!</f>
        <v>#REF!</v>
      </c>
    </row>
    <row r="1584" spans="2:12" ht="15.75">
      <c r="B1584" s="67" t="s">
        <v>518</v>
      </c>
      <c r="C1584" s="76">
        <f>Interims!AH271</f>
        <v>40.893000000000029</v>
      </c>
      <c r="D1584" s="76">
        <f>Interims!AI271</f>
        <v>20.906999999999698</v>
      </c>
      <c r="E1584" s="76">
        <f>Interims!AK271</f>
        <v>2.8479999999999999</v>
      </c>
      <c r="F1584" s="76">
        <f>Interims!AL271</f>
        <v>14.82300000000032</v>
      </c>
      <c r="G1584" s="76">
        <f>Interims!AM271</f>
        <v>23.264999999999873</v>
      </c>
      <c r="H1584" s="541" t="e">
        <f>Interims!#REF!</f>
        <v>#REF!</v>
      </c>
      <c r="I1584" s="76" t="e">
        <f>Interims!#REF!</f>
        <v>#REF!</v>
      </c>
      <c r="J1584" s="76" t="e">
        <f>Interims!#REF!</f>
        <v>#REF!</v>
      </c>
      <c r="K1584" s="76" t="e">
        <f>Interims!#REF!</f>
        <v>#REF!</v>
      </c>
      <c r="L1584" s="542" t="e">
        <f>Interims!#REF!</f>
        <v>#REF!</v>
      </c>
    </row>
    <row r="1585" spans="2:12" ht="15.75">
      <c r="B1585" s="66" t="s">
        <v>222</v>
      </c>
      <c r="C1585" s="71">
        <f>Interims!AH273</f>
        <v>149.34799999999996</v>
      </c>
      <c r="D1585" s="71">
        <f>Interims!AI273</f>
        <v>52.152000000000044</v>
      </c>
      <c r="E1585" s="71">
        <f>Interims!AK273</f>
        <v>-19.718999999999994</v>
      </c>
      <c r="F1585" s="71">
        <f>Interims!AL273</f>
        <v>159.31899999999951</v>
      </c>
      <c r="G1585" s="71">
        <f>Interims!AM273</f>
        <v>198.77000000000044</v>
      </c>
      <c r="H1585" s="539" t="e">
        <f>Interims!#REF!</f>
        <v>#REF!</v>
      </c>
      <c r="I1585" s="71" t="e">
        <f>Interims!#REF!</f>
        <v>#REF!</v>
      </c>
      <c r="J1585" s="71" t="e">
        <f>Interims!#REF!</f>
        <v>#REF!</v>
      </c>
      <c r="K1585" s="71" t="e">
        <f>Interims!#REF!</f>
        <v>#REF!</v>
      </c>
      <c r="L1585" s="540" t="e">
        <f>Interims!#REF!</f>
        <v>#REF!</v>
      </c>
    </row>
    <row r="1586" spans="2:12" ht="15.75">
      <c r="B1586" s="66"/>
      <c r="E1586" s="66"/>
      <c r="F1586" s="66"/>
      <c r="G1586" s="66"/>
      <c r="H1586" s="543"/>
      <c r="I1586" s="66"/>
      <c r="J1586" s="66"/>
      <c r="K1586" s="66"/>
      <c r="L1586" s="544"/>
    </row>
    <row r="1587" spans="2:12" ht="15.75">
      <c r="B1587" s="66" t="s">
        <v>848</v>
      </c>
      <c r="C1587" s="125">
        <f>Interims!AH14</f>
        <v>8155.2</v>
      </c>
      <c r="D1587" s="125">
        <f>Interims!AI14</f>
        <v>8313.2000000000007</v>
      </c>
      <c r="E1587" s="125">
        <f>Interims!AK14</f>
        <v>8096.3</v>
      </c>
      <c r="F1587" s="125">
        <f>Interims!AL14</f>
        <v>8036.7</v>
      </c>
      <c r="G1587" s="125">
        <f>Interims!AM14</f>
        <v>8322.5</v>
      </c>
      <c r="H1587" s="545" t="e">
        <f>Interims!#REF!</f>
        <v>#REF!</v>
      </c>
      <c r="I1587" s="125" t="e">
        <f>Interims!#REF!</f>
        <v>#REF!</v>
      </c>
      <c r="J1587" s="125" t="e">
        <f>Interims!#REF!</f>
        <v>#REF!</v>
      </c>
      <c r="K1587" s="125" t="e">
        <f>Interims!#REF!</f>
        <v>#REF!</v>
      </c>
      <c r="L1587" s="546" t="e">
        <f>Interims!#REF!</f>
        <v>#REF!</v>
      </c>
    </row>
    <row r="1588" spans="2:12" ht="15.75">
      <c r="B1588" s="66" t="s">
        <v>732</v>
      </c>
      <c r="C1588" s="116">
        <f>Interims!DG14</f>
        <v>0.11806964628461758</v>
      </c>
      <c r="D1588" s="116">
        <f>Interims!DH14</f>
        <v>9.8162507760796158E-2</v>
      </c>
      <c r="E1588" s="116">
        <f>Interims!DJ14</f>
        <v>6.2353203605778562E-2</v>
      </c>
      <c r="F1588" s="116">
        <f>Interims!DK14</f>
        <v>3.0068827623332073E-2</v>
      </c>
      <c r="G1588" s="116">
        <f>Interims!DL14</f>
        <v>2.0514518344123989E-2</v>
      </c>
      <c r="H1588" s="547" t="e">
        <f>Interims!#REF!</f>
        <v>#REF!</v>
      </c>
      <c r="I1588" s="123" t="e">
        <f>Interims!#REF!</f>
        <v>#REF!</v>
      </c>
      <c r="J1588" s="123" t="e">
        <f>Interims!#REF!</f>
        <v>#REF!</v>
      </c>
      <c r="K1588" s="123" t="e">
        <f>Interims!#REF!</f>
        <v>#REF!</v>
      </c>
      <c r="L1588" s="548" t="e">
        <f>Interims!#REF!</f>
        <v>#REF!</v>
      </c>
    </row>
    <row r="1589" spans="2:12" ht="15.75">
      <c r="B1589" s="66"/>
      <c r="C1589" s="66"/>
      <c r="D1589" s="66"/>
      <c r="E1589" s="66"/>
      <c r="F1589" s="66"/>
      <c r="G1589" s="66"/>
      <c r="H1589" s="66"/>
      <c r="I1589" s="66"/>
      <c r="J1589" s="66"/>
    </row>
    <row r="1590" spans="2:12" ht="15.75">
      <c r="B1590" s="66" t="s">
        <v>1766</v>
      </c>
      <c r="C1590" s="66"/>
      <c r="D1590" s="66"/>
      <c r="E1590" s="66"/>
      <c r="F1590" s="66"/>
      <c r="G1590" s="66"/>
      <c r="H1590" s="66"/>
      <c r="I1590" s="66"/>
      <c r="J1590" s="66"/>
    </row>
    <row r="1592" spans="2:12" ht="15.75" thickBot="1">
      <c r="B1592" s="529" t="s">
        <v>1753</v>
      </c>
      <c r="C1592" s="529"/>
      <c r="D1592" s="529"/>
      <c r="E1592" s="529"/>
    </row>
    <row r="1593" spans="2:12">
      <c r="B1593" s="530" t="s">
        <v>33</v>
      </c>
      <c r="C1593" s="531">
        <f>Master!Q28/Master!Q$7</f>
        <v>5262.8571428571431</v>
      </c>
      <c r="D1593" s="531">
        <f>Master!R28/Master!R$7</f>
        <v>5228.6025974025979</v>
      </c>
      <c r="E1593" s="531">
        <f>Master!S28/Master!S$7</f>
        <v>4522.2672253258843</v>
      </c>
    </row>
    <row r="1594" spans="2:12">
      <c r="B1594" s="530" t="s">
        <v>34</v>
      </c>
      <c r="C1594" s="531">
        <f>Master!Q63/Master!Q$7</f>
        <v>1899.8701298701299</v>
      </c>
      <c r="D1594" s="531">
        <f>Master!R63/Master!R$7</f>
        <v>1985.3558441558441</v>
      </c>
      <c r="E1594" s="531">
        <f>Master!S63/Master!S$7</f>
        <v>1806.810986964618</v>
      </c>
    </row>
    <row r="1595" spans="2:12">
      <c r="B1595" s="530" t="s">
        <v>36</v>
      </c>
      <c r="C1595" s="531">
        <f>Master!Q117/Master!Q$7</f>
        <v>930.47012987012999</v>
      </c>
      <c r="D1595" s="531">
        <f>Master!R117/Master!R$7</f>
        <v>994.85584415584412</v>
      </c>
      <c r="E1595" s="531">
        <f>Master!S117/Master!S$7</f>
        <v>867.41098696461813</v>
      </c>
    </row>
    <row r="1596" spans="2:12">
      <c r="B1596" s="530" t="s">
        <v>154</v>
      </c>
      <c r="C1596" s="531">
        <f>Valuation!N33</f>
        <v>-329.16623376623386</v>
      </c>
      <c r="D1596" s="531">
        <f>Valuation!O33</f>
        <v>80.985714285714238</v>
      </c>
      <c r="E1596" s="531">
        <f>Valuation!P33</f>
        <v>63.197765363128397</v>
      </c>
    </row>
    <row r="1597" spans="2:12">
      <c r="B1597" s="530" t="s">
        <v>1754</v>
      </c>
      <c r="C1597" s="552">
        <f>C1596/Valuation!N7</f>
        <v>-0.56915661925990646</v>
      </c>
      <c r="D1597" s="552">
        <f>D1596/Valuation!O7</f>
        <v>0.14170660842009514</v>
      </c>
      <c r="E1597" s="552">
        <f>E1596/Valuation!P7</f>
        <v>0.11021909767945033</v>
      </c>
    </row>
    <row r="1598" spans="2:12">
      <c r="B1598" s="530" t="s">
        <v>248</v>
      </c>
      <c r="C1598" s="552">
        <f>Valuation!N42</f>
        <v>9.0909090909090912E-2</v>
      </c>
      <c r="D1598" s="552">
        <f>Valuation!O42</f>
        <v>0</v>
      </c>
      <c r="E1598" s="552">
        <f>Valuation!P42</f>
        <v>8.1471135940409681E-2</v>
      </c>
    </row>
    <row r="1599" spans="2:12" ht="15.75" thickBot="1">
      <c r="B1599" s="529" t="s">
        <v>1755</v>
      </c>
      <c r="C1599" s="529"/>
      <c r="D1599" s="529"/>
      <c r="E1599" s="529"/>
    </row>
    <row r="1600" spans="2:12">
      <c r="B1600" s="530" t="s">
        <v>22</v>
      </c>
      <c r="C1600" s="532">
        <f>Valuation!N44</f>
        <v>2.7326230761117687</v>
      </c>
      <c r="D1600" s="532">
        <f>Valuation!O44</f>
        <v>3.1505464513264547</v>
      </c>
      <c r="E1600" s="532">
        <f>Valuation!P44</f>
        <v>3.118291510112432</v>
      </c>
    </row>
    <row r="1601" spans="2:11">
      <c r="B1601" s="530" t="s">
        <v>26</v>
      </c>
      <c r="C1601" s="532">
        <f>Valuation!N46</f>
        <v>8.3488986322214682</v>
      </c>
      <c r="D1601" s="532">
        <f>Valuation!O46</f>
        <v>8.2267578917777193</v>
      </c>
      <c r="E1601" s="532">
        <f>Valuation!P46</f>
        <v>37.585668798100755</v>
      </c>
    </row>
    <row r="1602" spans="2:11">
      <c r="B1602" s="530" t="s">
        <v>27</v>
      </c>
      <c r="C1602" s="532">
        <f>Valuation!N52</f>
        <v>10.407044771856173</v>
      </c>
      <c r="D1602" s="532">
        <f>Valuation!O52</f>
        <v>6.8246491813278878</v>
      </c>
      <c r="E1602" s="532">
        <f>Valuation!P52</f>
        <v>7.1033948825758007</v>
      </c>
    </row>
    <row r="1603" spans="2:11" ht="15.75" thickBot="1">
      <c r="B1603" s="533" t="s">
        <v>1756</v>
      </c>
      <c r="C1603" s="534">
        <f>Valuation!N50</f>
        <v>3.1026993484331366E-2</v>
      </c>
      <c r="D1603" s="534">
        <f>Valuation!O50</f>
        <v>0</v>
      </c>
      <c r="E1603" s="534">
        <f>Valuation!P50</f>
        <v>2.7805848443825828E-2</v>
      </c>
    </row>
    <row r="1605" spans="2:11" ht="15.75">
      <c r="B1605" s="66"/>
    </row>
    <row r="1606" spans="2:11">
      <c r="B1606" s="61"/>
      <c r="C1606" s="61">
        <v>2016</v>
      </c>
      <c r="D1606" s="61">
        <f t="shared" ref="D1606:J1606" si="110">C1606+1</f>
        <v>2017</v>
      </c>
      <c r="E1606" s="61">
        <f t="shared" si="110"/>
        <v>2018</v>
      </c>
      <c r="F1606" s="61">
        <f t="shared" si="110"/>
        <v>2019</v>
      </c>
      <c r="G1606" s="61">
        <f t="shared" si="110"/>
        <v>2020</v>
      </c>
      <c r="H1606" s="61">
        <f t="shared" si="110"/>
        <v>2021</v>
      </c>
      <c r="I1606" s="61">
        <f t="shared" si="110"/>
        <v>2022</v>
      </c>
      <c r="J1606" s="61">
        <f t="shared" si="110"/>
        <v>2023</v>
      </c>
    </row>
    <row r="1607" spans="2:11">
      <c r="B1607" t="s">
        <v>1767</v>
      </c>
      <c r="C1607" s="8">
        <f>Cable!K245</f>
        <v>0.11946307782493171</v>
      </c>
      <c r="D1607" s="8">
        <f>Cable!L245</f>
        <v>3.6260331874224061E-2</v>
      </c>
      <c r="E1607" s="8">
        <f>Cable!M245</f>
        <v>9.6374969740982808E-2</v>
      </c>
      <c r="F1607" s="8">
        <f>Cable!N245</f>
        <v>0.15093975105566759</v>
      </c>
      <c r="G1607" s="8">
        <f>Cable!O245</f>
        <v>8.7887871085319702E-2</v>
      </c>
      <c r="H1607" s="8">
        <f>Cable!P245</f>
        <v>5.849613486425187E-2</v>
      </c>
      <c r="I1607" s="8">
        <f>Cable!Q245</f>
        <v>8.1402056188035754E-3</v>
      </c>
      <c r="J1607" s="8">
        <f>Cable!R245</f>
        <v>8.0703464857740936E-3</v>
      </c>
    </row>
    <row r="1608" spans="2:11">
      <c r="B1608" t="s">
        <v>557</v>
      </c>
      <c r="C1608" s="8">
        <v>0.18306039996252865</v>
      </c>
      <c r="D1608" s="8">
        <v>2.841687019413297E-2</v>
      </c>
      <c r="E1608" s="8">
        <v>0.1169965557024355</v>
      </c>
      <c r="F1608" s="8">
        <v>0.10164037679249538</v>
      </c>
      <c r="G1608" s="8">
        <v>8.0131243509477867E-2</v>
      </c>
      <c r="H1608" s="8">
        <v>6.8463495887985726E-2</v>
      </c>
      <c r="I1608" s="8">
        <v>5.9127286528392498E-2</v>
      </c>
      <c r="J1608" s="8">
        <v>6.1316912096065046E-2</v>
      </c>
      <c r="K1608" s="8"/>
    </row>
    <row r="1611" spans="2:11">
      <c r="B1611" t="s">
        <v>1768</v>
      </c>
      <c r="C1611" s="3" t="s">
        <v>883</v>
      </c>
      <c r="D1611" s="3" t="s">
        <v>884</v>
      </c>
      <c r="E1611" s="3" t="s">
        <v>745</v>
      </c>
      <c r="F1611" s="3" t="s">
        <v>746</v>
      </c>
    </row>
    <row r="1612" spans="2:11">
      <c r="B1612" t="s">
        <v>1769</v>
      </c>
      <c r="C1612" s="8">
        <f>C1614-C1613</f>
        <v>8.1968771537894947E-2</v>
      </c>
      <c r="D1612" s="8">
        <f>D1614-D1613</f>
        <v>5.9765876103799576E-2</v>
      </c>
      <c r="E1612" s="8">
        <f>E1614-E1613</f>
        <v>3.5003149072234896E-2</v>
      </c>
      <c r="F1612" s="8">
        <f>F1614-F1613</f>
        <v>0.14099573198524834</v>
      </c>
    </row>
    <row r="1613" spans="2:11">
      <c r="B1613" s="61" t="s">
        <v>1770</v>
      </c>
      <c r="C1613" s="457">
        <v>0</v>
      </c>
      <c r="D1613" s="457">
        <v>0</v>
      </c>
      <c r="E1613" s="457">
        <v>0</v>
      </c>
      <c r="F1613" s="457">
        <v>-0.05</v>
      </c>
    </row>
    <row r="1614" spans="2:11">
      <c r="B1614" t="s">
        <v>85</v>
      </c>
      <c r="C1614" s="8">
        <f>Interims!CU8</f>
        <v>8.1968771537894947E-2</v>
      </c>
      <c r="D1614" s="8">
        <f>Interims!CV8</f>
        <v>5.9765876103799576E-2</v>
      </c>
      <c r="E1614" s="8">
        <f>Interims!DO8</f>
        <v>3.5003149072234896E-2</v>
      </c>
      <c r="F1614" s="8">
        <f>Interims!DP8</f>
        <v>9.0995731985248351E-2</v>
      </c>
    </row>
    <row r="1628" spans="2:14" ht="15.75">
      <c r="B1628" s="66"/>
      <c r="C1628" s="66"/>
      <c r="D1628" s="66"/>
      <c r="E1628" s="66"/>
      <c r="F1628" s="66"/>
      <c r="G1628" s="66"/>
      <c r="H1628" s="66"/>
      <c r="I1628" s="66"/>
      <c r="J1628" s="66"/>
      <c r="K1628" s="66"/>
      <c r="L1628" s="66"/>
      <c r="M1628" s="66"/>
      <c r="N1628" s="66"/>
    </row>
    <row r="1629" spans="2:14" ht="15.75">
      <c r="B1629" s="66"/>
      <c r="C1629" s="66"/>
      <c r="D1629" s="66"/>
      <c r="E1629" s="66"/>
      <c r="F1629" s="66"/>
      <c r="G1629" s="66"/>
      <c r="H1629" s="391" t="s">
        <v>732</v>
      </c>
      <c r="I1629" s="391" t="s">
        <v>732</v>
      </c>
      <c r="J1629" s="391" t="s">
        <v>732</v>
      </c>
      <c r="K1629" s="391" t="s">
        <v>732</v>
      </c>
      <c r="L1629" s="66"/>
      <c r="M1629" s="66"/>
      <c r="N1629" s="66"/>
    </row>
    <row r="1630" spans="2:14" ht="15.75">
      <c r="B1630" s="217" t="s">
        <v>1609</v>
      </c>
      <c r="C1630" s="388" t="s">
        <v>745</v>
      </c>
      <c r="D1630" s="388" t="s">
        <v>746</v>
      </c>
      <c r="E1630" s="388" t="s">
        <v>1771</v>
      </c>
      <c r="F1630" s="388" t="s">
        <v>1745</v>
      </c>
      <c r="H1630" s="388" t="s">
        <v>745</v>
      </c>
      <c r="I1630" s="388" t="s">
        <v>746</v>
      </c>
      <c r="J1630" s="388" t="s">
        <v>1771</v>
      </c>
      <c r="K1630" s="388" t="s">
        <v>1745</v>
      </c>
      <c r="L1630" s="66"/>
      <c r="M1630" s="66"/>
      <c r="N1630" s="66"/>
    </row>
    <row r="1631" spans="2:14" ht="15.75">
      <c r="B1631" s="66" t="str">
        <f>Interims!A7</f>
        <v>Content</v>
      </c>
      <c r="C1631" s="125">
        <f>Interims!AP7</f>
        <v>7899.4</v>
      </c>
      <c r="D1631" s="125">
        <f>Interims!AQ7</f>
        <v>10971.400000000001</v>
      </c>
      <c r="E1631" s="125" t="e">
        <f>Interims!#REF!</f>
        <v>#REF!</v>
      </c>
      <c r="F1631" s="125" t="e">
        <f>Interims!#REF!</f>
        <v>#REF!</v>
      </c>
      <c r="H1631" s="116">
        <f>Interims!DO7</f>
        <v>8.3489925521554875E-2</v>
      </c>
      <c r="I1631" s="116">
        <f>Interims!DP7</f>
        <v>0.35853589073663628</v>
      </c>
      <c r="J1631" s="116" t="e">
        <f>Interims!#REF!</f>
        <v>#REF!</v>
      </c>
      <c r="K1631" s="116" t="e">
        <f>Interims!#REF!</f>
        <v>#REF!</v>
      </c>
      <c r="L1631" s="66"/>
      <c r="M1631" s="66"/>
      <c r="N1631" s="66"/>
    </row>
    <row r="1632" spans="2:14" ht="15.75">
      <c r="B1632" s="66" t="str">
        <f>Interims!A8</f>
        <v>Advertising</v>
      </c>
      <c r="C1632" s="125">
        <f>Interims!AP8</f>
        <v>4272.7</v>
      </c>
      <c r="D1632" s="125">
        <f>Interims!AQ8</f>
        <v>5265.8</v>
      </c>
      <c r="E1632" s="125" t="e">
        <f>Interims!#REF!</f>
        <v>#REF!</v>
      </c>
      <c r="F1632" s="125" t="e">
        <f>Interims!#REF!</f>
        <v>#REF!</v>
      </c>
      <c r="H1632" s="116">
        <f>Interims!DO8</f>
        <v>3.5003149072234896E-2</v>
      </c>
      <c r="I1632" s="116">
        <f>Interims!DP8</f>
        <v>9.0995731985248351E-2</v>
      </c>
      <c r="J1632" s="116" t="e">
        <f>Interims!#REF!</f>
        <v>#REF!</v>
      </c>
      <c r="K1632" s="116" t="e">
        <f>Interims!#REF!</f>
        <v>#REF!</v>
      </c>
      <c r="L1632" s="66"/>
      <c r="M1632" s="66"/>
      <c r="N1632" s="66"/>
    </row>
    <row r="1633" spans="2:14" ht="15.75">
      <c r="B1633" s="66" t="str">
        <f>Interims!A9</f>
        <v>Network Subscription Revenue</v>
      </c>
      <c r="C1633" s="125">
        <f>Interims!AP9</f>
        <v>1179.0999999999999</v>
      </c>
      <c r="D1633" s="125">
        <f>Interims!AQ9</f>
        <v>1200.8</v>
      </c>
      <c r="E1633" s="125" t="e">
        <f>Interims!#REF!</f>
        <v>#REF!</v>
      </c>
      <c r="F1633" s="125" t="e">
        <f>Interims!#REF!</f>
        <v>#REF!</v>
      </c>
      <c r="H1633" s="116">
        <f>Interims!DO9</f>
        <v>0.13124820109373503</v>
      </c>
      <c r="I1633" s="116">
        <f>Interims!DP9</f>
        <v>0.27595367123578773</v>
      </c>
      <c r="J1633" s="116" t="e">
        <f>Interims!#REF!</f>
        <v>#REF!</v>
      </c>
      <c r="K1633" s="116" t="e">
        <f>Interims!#REF!</f>
        <v>#REF!</v>
      </c>
      <c r="L1633" s="66"/>
      <c r="M1633" s="66"/>
      <c r="N1633" s="66"/>
    </row>
    <row r="1634" spans="2:14" ht="15.75">
      <c r="B1634" s="66" t="str">
        <f>Interims!A10</f>
        <v>Licensing and Syndication</v>
      </c>
      <c r="C1634" s="125">
        <f>Interims!AP10</f>
        <v>2447.6</v>
      </c>
      <c r="D1634" s="125">
        <f>Interims!AQ10</f>
        <v>2781.3</v>
      </c>
      <c r="E1634" s="125" t="e">
        <f>Interims!#REF!</f>
        <v>#REF!</v>
      </c>
      <c r="F1634" s="125" t="e">
        <f>Interims!#REF!</f>
        <v>#REF!</v>
      </c>
      <c r="H1634" s="116">
        <f>Interims!DO10</f>
        <v>0.15441939439675512</v>
      </c>
      <c r="I1634" s="116">
        <f>Interims!DP10</f>
        <v>0.20496490772030174</v>
      </c>
      <c r="J1634" s="116" t="e">
        <f>Interims!#REF!</f>
        <v>#REF!</v>
      </c>
      <c r="K1634" s="116" t="e">
        <f>Interims!#REF!</f>
        <v>#REF!</v>
      </c>
      <c r="L1634" s="66"/>
      <c r="M1634" s="66"/>
      <c r="N1634" s="66"/>
    </row>
    <row r="1635" spans="2:14" ht="15.75">
      <c r="B1635" s="66" t="str">
        <f>Interims!A11</f>
        <v>World Cup digital</v>
      </c>
      <c r="C1635" s="125">
        <f>Interims!AP11</f>
        <v>0</v>
      </c>
      <c r="D1635" s="125">
        <f>Interims!AQ11</f>
        <v>1723.5</v>
      </c>
      <c r="E1635" s="125" t="e">
        <f>Interims!#REF!</f>
        <v>#REF!</v>
      </c>
      <c r="F1635" s="125" t="e">
        <f>Interims!#REF!</f>
        <v>#REF!</v>
      </c>
      <c r="H1635" s="116"/>
      <c r="I1635" s="116"/>
      <c r="J1635" s="116"/>
      <c r="K1635" s="116"/>
      <c r="L1635" s="66"/>
      <c r="M1635" s="66"/>
      <c r="N1635" s="66"/>
    </row>
    <row r="1636" spans="2:14" ht="15.75">
      <c r="B1636" s="66"/>
      <c r="C1636" s="125"/>
      <c r="D1636" s="125"/>
      <c r="E1636" s="125"/>
      <c r="F1636" s="125"/>
      <c r="H1636" s="116"/>
      <c r="I1636" s="116"/>
      <c r="J1636" s="116"/>
      <c r="K1636" s="116"/>
      <c r="L1636" s="66"/>
      <c r="M1636" s="66"/>
      <c r="N1636" s="66"/>
    </row>
    <row r="1637" spans="2:14" ht="15.75">
      <c r="B1637" s="66" t="str">
        <f>Interims!A16</f>
        <v>Satellite (Sky)</v>
      </c>
      <c r="C1637" s="125">
        <f>Interims!AP16</f>
        <v>5474.2</v>
      </c>
      <c r="D1637" s="125">
        <f>Interims!AQ16</f>
        <v>5658.8</v>
      </c>
      <c r="E1637" s="125" t="e">
        <f>Interims!#REF!</f>
        <v>#REF!</v>
      </c>
      <c r="F1637" s="125" t="e">
        <f>Interims!#REF!</f>
        <v>#REF!</v>
      </c>
      <c r="H1637" s="116">
        <f>Interims!DO16</f>
        <v>-1.1984261632314253E-2</v>
      </c>
      <c r="I1637" s="116">
        <f>Interims!DP16</f>
        <v>2.9954447969655629E-3</v>
      </c>
      <c r="J1637" s="116" t="e">
        <f>Interims!#REF!</f>
        <v>#REF!</v>
      </c>
      <c r="K1637" s="116" t="e">
        <f>Interims!#REF!</f>
        <v>#REF!</v>
      </c>
      <c r="L1637" s="66"/>
      <c r="M1637" s="66"/>
      <c r="N1637" s="66"/>
    </row>
    <row r="1638" spans="2:14" ht="15.75">
      <c r="B1638" s="66" t="str">
        <f>Interims!A14</f>
        <v>Cable and Telecom (old disclosure)</v>
      </c>
      <c r="C1638" s="125">
        <f>Interims!AP14</f>
        <v>8669.7000000000007</v>
      </c>
      <c r="D1638" s="125">
        <f>Interims!AQ14</f>
        <v>8825.7000000000007</v>
      </c>
      <c r="E1638" s="125" t="e">
        <f>Interims!#REF!</f>
        <v>#REF!</v>
      </c>
      <c r="F1638" s="125" t="e">
        <f>Interims!#REF!</f>
        <v>#REF!</v>
      </c>
      <c r="H1638" s="116">
        <f>Interims!DO14</f>
        <v>7.082247446364387E-2</v>
      </c>
      <c r="I1638" s="116">
        <f>Interims!DP14</f>
        <v>9.8174623912800074E-2</v>
      </c>
      <c r="J1638" s="116" t="e">
        <f>Interims!#REF!</f>
        <v>#REF!</v>
      </c>
      <c r="K1638" s="116" t="e">
        <f>Interims!#REF!</f>
        <v>#REF!</v>
      </c>
      <c r="L1638" s="66"/>
      <c r="M1638" s="66"/>
      <c r="N1638" s="66"/>
    </row>
    <row r="1639" spans="2:14" ht="15.75">
      <c r="B1639" s="67" t="str">
        <f>Interims!A18</f>
        <v>Other Businesses</v>
      </c>
      <c r="C1639" s="154">
        <f>Interims!AP18</f>
        <v>1778.4</v>
      </c>
      <c r="D1639" s="154">
        <f>Interims!AQ18</f>
        <v>2312.6</v>
      </c>
      <c r="E1639" s="154" t="e">
        <f>Interims!#REF!</f>
        <v>#REF!</v>
      </c>
      <c r="F1639" s="154" t="e">
        <f>Interims!#REF!</f>
        <v>#REF!</v>
      </c>
      <c r="H1639" s="123">
        <f>Interims!DO18</f>
        <v>-0.1024528111436358</v>
      </c>
      <c r="I1639" s="123">
        <f>Interims!DP18</f>
        <v>5.376834047206791E-2</v>
      </c>
      <c r="J1639" s="123" t="e">
        <f>Interims!#REF!</f>
        <v>#REF!</v>
      </c>
      <c r="K1639" s="123" t="e">
        <f>Interims!#REF!</f>
        <v>#REF!</v>
      </c>
      <c r="L1639" s="66"/>
      <c r="M1639" s="66"/>
      <c r="N1639" s="66"/>
    </row>
    <row r="1640" spans="2:14" ht="15.75">
      <c r="B1640" s="66" t="str">
        <f>Interims!A19</f>
        <v>Segment Net Sales</v>
      </c>
      <c r="C1640" s="125">
        <f>Interims!AP19</f>
        <v>23821.7</v>
      </c>
      <c r="D1640" s="125">
        <f>Interims!AQ19</f>
        <v>27768.5</v>
      </c>
      <c r="E1640" s="125" t="e">
        <f>Interims!#REF!</f>
        <v>#REF!</v>
      </c>
      <c r="F1640" s="125" t="e">
        <f>Interims!#REF!</f>
        <v>#REF!</v>
      </c>
      <c r="H1640" s="116">
        <f>Interims!DO19</f>
        <v>3.9840237461259864E-2</v>
      </c>
      <c r="I1640" s="116">
        <f>Interims!DP19</f>
        <v>0.15947989694811082</v>
      </c>
      <c r="J1640" s="116" t="e">
        <f>Interims!#REF!</f>
        <v>#REF!</v>
      </c>
      <c r="K1640" s="116" t="e">
        <f>Interims!#REF!</f>
        <v>#REF!</v>
      </c>
      <c r="L1640" s="66"/>
      <c r="M1640" s="66"/>
      <c r="N1640" s="66"/>
    </row>
    <row r="1641" spans="2:14" ht="15.75">
      <c r="B1641" s="67" t="str">
        <f>Interims!A20</f>
        <v>Intersegment Operations</v>
      </c>
      <c r="C1641" s="154">
        <f>Interims!AP20</f>
        <v>-1009.7</v>
      </c>
      <c r="D1641" s="154">
        <f>Interims!AQ20</f>
        <v>-1066.7</v>
      </c>
      <c r="E1641" s="154" t="e">
        <f>Interims!#REF!</f>
        <v>#REF!</v>
      </c>
      <c r="F1641" s="154" t="e">
        <f>Interims!#REF!</f>
        <v>#REF!</v>
      </c>
      <c r="H1641" s="67"/>
      <c r="I1641" s="67"/>
      <c r="J1641" s="67"/>
      <c r="K1641" s="67"/>
      <c r="L1641" s="66"/>
      <c r="M1641" s="66"/>
      <c r="N1641" s="66"/>
    </row>
    <row r="1642" spans="2:14" ht="15.75">
      <c r="B1642" s="74" t="str">
        <f>Interims!A21</f>
        <v>Consolidated Net Sales</v>
      </c>
      <c r="C1642" s="470">
        <f>Interims!AP21</f>
        <v>22812</v>
      </c>
      <c r="D1642" s="470">
        <f>Interims!AQ21</f>
        <v>26701.8</v>
      </c>
      <c r="E1642" s="470" t="e">
        <f>Interims!#REF!</f>
        <v>#REF!</v>
      </c>
      <c r="F1642" s="470" t="e">
        <f>Interims!#REF!</f>
        <v>#REF!</v>
      </c>
      <c r="G1642" s="42"/>
      <c r="H1642" s="127">
        <f>Interims!DO21</f>
        <v>2.862863043409658E-2</v>
      </c>
      <c r="I1642" s="127">
        <f>Interims!DP21</f>
        <v>0.15283786234230501</v>
      </c>
      <c r="J1642" s="127" t="e">
        <f>Interims!#REF!</f>
        <v>#REF!</v>
      </c>
      <c r="K1642" s="127" t="e">
        <f>Interims!#REF!</f>
        <v>#REF!</v>
      </c>
      <c r="L1642" s="66"/>
      <c r="M1642" s="66"/>
      <c r="N1642" s="66"/>
    </row>
    <row r="1643" spans="2:14" ht="15.75">
      <c r="B1643" s="66"/>
      <c r="C1643" s="125"/>
      <c r="D1643" s="125"/>
      <c r="E1643" s="125"/>
      <c r="F1643" s="125"/>
      <c r="H1643" s="66"/>
      <c r="I1643" s="66"/>
      <c r="J1643" s="66"/>
      <c r="K1643" s="66"/>
      <c r="L1643" s="66"/>
      <c r="M1643" s="66"/>
      <c r="N1643" s="66"/>
    </row>
    <row r="1644" spans="2:14" ht="15.75">
      <c r="B1644" s="217" t="s">
        <v>920</v>
      </c>
      <c r="C1644" s="388" t="str">
        <f>C1630</f>
        <v>Q1 18</v>
      </c>
      <c r="D1644" s="388" t="str">
        <f>D1630</f>
        <v>Q2 18</v>
      </c>
      <c r="E1644" s="388" t="str">
        <f>E1630</f>
        <v>Q3 18e</v>
      </c>
      <c r="F1644" s="388" t="str">
        <f>F1630</f>
        <v>Q4 18e</v>
      </c>
      <c r="G1644" s="66"/>
      <c r="H1644" s="388" t="str">
        <f>H1630</f>
        <v>Q1 18</v>
      </c>
      <c r="I1644" s="388" t="str">
        <f>I1630</f>
        <v>Q2 18</v>
      </c>
      <c r="J1644" s="388" t="str">
        <f>J1630</f>
        <v>Q3 18e</v>
      </c>
      <c r="K1644" s="388" t="str">
        <f>K1630</f>
        <v>Q4 18e</v>
      </c>
      <c r="L1644" s="66"/>
      <c r="M1644" s="66"/>
      <c r="N1644" s="66"/>
    </row>
    <row r="1645" spans="2:14" ht="15.75">
      <c r="B1645" s="66" t="str">
        <f>Interims!A29</f>
        <v>Content</v>
      </c>
      <c r="C1645" s="125">
        <f>Interims!AP29</f>
        <v>2820.1</v>
      </c>
      <c r="D1645" s="125">
        <f>Interims!AQ29</f>
        <v>4294.3</v>
      </c>
      <c r="E1645" s="125" t="e">
        <f>Interims!#REF!</f>
        <v>#REF!</v>
      </c>
      <c r="F1645" s="125" t="e">
        <f>Interims!#REF!</f>
        <v>#REF!</v>
      </c>
      <c r="G1645" s="66"/>
      <c r="H1645" s="69">
        <f>Interims!DO29</f>
        <v>7.6949515008019498E-2</v>
      </c>
      <c r="I1645" s="69">
        <f>Interims!DP29</f>
        <v>0.34824652287212343</v>
      </c>
      <c r="J1645" s="69" t="e">
        <f>Interims!#REF!</f>
        <v>#REF!</v>
      </c>
      <c r="K1645" s="69" t="e">
        <f>Interims!#REF!</f>
        <v>#REF!</v>
      </c>
      <c r="L1645" s="66"/>
      <c r="M1645" s="66"/>
      <c r="N1645" s="66"/>
    </row>
    <row r="1646" spans="2:14" ht="15.75">
      <c r="B1646" s="66" t="str">
        <f>Interims!A31</f>
        <v>Satellite (Sky)</v>
      </c>
      <c r="C1646" s="125">
        <f>Interims!AP31</f>
        <v>2441.9</v>
      </c>
      <c r="D1646" s="125">
        <f>Interims!AQ31</f>
        <v>2540.9</v>
      </c>
      <c r="E1646" s="125" t="e">
        <f>Interims!#REF!</f>
        <v>#REF!</v>
      </c>
      <c r="F1646" s="125" t="e">
        <f>Interims!#REF!</f>
        <v>#REF!</v>
      </c>
      <c r="H1646" s="69">
        <f>Interims!DO31</f>
        <v>-9.8933625268621261E-3</v>
      </c>
      <c r="I1646" s="69">
        <f>Interims!DP31</f>
        <v>-4.3299823035505836E-2</v>
      </c>
      <c r="J1646" s="69" t="e">
        <f>Interims!#REF!</f>
        <v>#REF!</v>
      </c>
      <c r="K1646" s="69" t="e">
        <f>Interims!#REF!</f>
        <v>#REF!</v>
      </c>
    </row>
    <row r="1647" spans="2:14" ht="15.75">
      <c r="B1647" s="66" t="str">
        <f>Interims!A32</f>
        <v>Cable and Telecom</v>
      </c>
      <c r="C1647" s="125">
        <f>Interims!AP32</f>
        <v>3664.9</v>
      </c>
      <c r="D1647" s="125">
        <f>Interims!AQ32</f>
        <v>3724.4</v>
      </c>
      <c r="E1647" s="125" t="e">
        <f>Interims!#REF!</f>
        <v>#REF!</v>
      </c>
      <c r="F1647" s="125" t="e">
        <f>Interims!#REF!</f>
        <v>#REF!</v>
      </c>
      <c r="H1647" s="69">
        <f>Interims!DO32</f>
        <v>7.8768433756218226E-2</v>
      </c>
      <c r="I1647" s="69">
        <f>Interims!DP32</f>
        <v>8.1951021119600176E-2</v>
      </c>
      <c r="J1647" s="69" t="e">
        <f>Interims!#REF!</f>
        <v>#REF!</v>
      </c>
      <c r="K1647" s="69" t="e">
        <f>Interims!#REF!</f>
        <v>#REF!</v>
      </c>
    </row>
    <row r="1648" spans="2:14" ht="15.75">
      <c r="B1648" s="67" t="str">
        <f>Interims!A33</f>
        <v>Other Businesses</v>
      </c>
      <c r="C1648" s="154">
        <f>Interims!AP33</f>
        <v>203.9</v>
      </c>
      <c r="D1648" s="154">
        <f>Interims!AQ33</f>
        <v>193.2</v>
      </c>
      <c r="E1648" s="154" t="e">
        <f>Interims!#REF!</f>
        <v>#REF!</v>
      </c>
      <c r="F1648" s="154" t="e">
        <f>Interims!#REF!</f>
        <v>#REF!</v>
      </c>
      <c r="H1648" s="73">
        <f>Interims!DO33</f>
        <v>1.6514954486345901</v>
      </c>
      <c r="I1648" s="73">
        <f>Interims!DP33</f>
        <v>0.41954445260837625</v>
      </c>
      <c r="J1648" s="73" t="e">
        <f>Interims!#REF!</f>
        <v>#REF!</v>
      </c>
      <c r="K1648" s="73" t="e">
        <f>Interims!#REF!</f>
        <v>#REF!</v>
      </c>
    </row>
    <row r="1649" spans="2:11" ht="15.75">
      <c r="B1649" s="66" t="str">
        <f>Interims!A34</f>
        <v>Operating Segment Income</v>
      </c>
      <c r="C1649" s="125">
        <f>Interims!AP34</f>
        <v>9130.7999999999993</v>
      </c>
      <c r="D1649" s="125">
        <f>Interims!AQ34</f>
        <v>10752.800000000001</v>
      </c>
      <c r="E1649" s="125" t="e">
        <f>Interims!#REF!</f>
        <v>#REF!</v>
      </c>
      <c r="F1649" s="125" t="e">
        <f>Interims!#REF!</f>
        <v>#REF!</v>
      </c>
      <c r="H1649" s="69">
        <f>Interims!DO34</f>
        <v>6.6794405953896963E-2</v>
      </c>
      <c r="I1649" s="69">
        <f>Interims!DP34</f>
        <v>0.14155891033399182</v>
      </c>
      <c r="J1649" s="69" t="e">
        <f>Interims!#REF!</f>
        <v>#REF!</v>
      </c>
      <c r="K1649" s="69" t="e">
        <f>Interims!#REF!</f>
        <v>#REF!</v>
      </c>
    </row>
    <row r="1650" spans="2:11" ht="15.75">
      <c r="B1650" s="67" t="str">
        <f>Interims!A35</f>
        <v>Corporate Expenses</v>
      </c>
      <c r="C1650" s="154">
        <f>Interims!AP35</f>
        <v>-551.70000000000005</v>
      </c>
      <c r="D1650" s="154">
        <f>Interims!AQ35</f>
        <v>-520.29999999999995</v>
      </c>
      <c r="E1650" s="154" t="e">
        <f>Interims!#REF!</f>
        <v>#REF!</v>
      </c>
      <c r="F1650" s="154" t="e">
        <f>Interims!#REF!</f>
        <v>#REF!</v>
      </c>
      <c r="H1650" s="73">
        <f>Interims!DO35</f>
        <v>-4.9939727914585785E-2</v>
      </c>
      <c r="I1650" s="73">
        <f>Interims!DP35</f>
        <v>-6.0660769091893885E-2</v>
      </c>
      <c r="J1650" s="73" t="e">
        <f>Interims!#REF!</f>
        <v>#REF!</v>
      </c>
      <c r="K1650" s="73" t="e">
        <f>Interims!#REF!</f>
        <v>#REF!</v>
      </c>
    </row>
    <row r="1651" spans="2:11" ht="15.75">
      <c r="B1651" s="66" t="str">
        <f>Interims!A36</f>
        <v>OIBDA post corp expenses</v>
      </c>
      <c r="C1651" s="125">
        <f>Interims!AP36</f>
        <v>8579.0999999999985</v>
      </c>
      <c r="D1651" s="125">
        <f>Interims!AQ36</f>
        <v>10232.500000000002</v>
      </c>
      <c r="E1651" s="125" t="e">
        <f>Interims!#REF!</f>
        <v>#REF!</v>
      </c>
      <c r="F1651" s="125" t="e">
        <f>Interims!#REF!</f>
        <v>#REF!</v>
      </c>
      <c r="H1651" s="69">
        <f>Interims!DO36</f>
        <v>7.5290785119823234E-2</v>
      </c>
      <c r="I1651" s="69">
        <f>Interims!DP36</f>
        <v>0.1541932209125263</v>
      </c>
      <c r="J1651" s="69" t="e">
        <f>Interims!#REF!</f>
        <v>#REF!</v>
      </c>
      <c r="K1651" s="69" t="e">
        <f>Interims!#REF!</f>
        <v>#REF!</v>
      </c>
    </row>
    <row r="1652" spans="2:11" ht="15.75">
      <c r="B1652" s="67" t="str">
        <f>Interims!A37</f>
        <v>Other Expense, net</v>
      </c>
      <c r="C1652" s="154">
        <f>Interims!AP37</f>
        <v>-154.1</v>
      </c>
      <c r="D1652" s="154">
        <f>Interims!AQ37</f>
        <v>-275.90000000000009</v>
      </c>
      <c r="E1652" s="154" t="e">
        <f>Interims!#REF!</f>
        <v>#REF!</v>
      </c>
      <c r="F1652" s="154" t="e">
        <f>Interims!#REF!</f>
        <v>#REF!</v>
      </c>
      <c r="H1652" s="73">
        <f>Interims!DO37</f>
        <v>-0.60858521717043434</v>
      </c>
      <c r="I1652" s="73">
        <f>Interims!DP37</f>
        <v>-0.25613372876786167</v>
      </c>
      <c r="J1652" s="73" t="e">
        <f>Interims!#REF!</f>
        <v>#REF!</v>
      </c>
      <c r="K1652" s="73" t="e">
        <f>Interims!#REF!</f>
        <v>#REF!</v>
      </c>
    </row>
    <row r="1653" spans="2:11" ht="15.75">
      <c r="B1653" s="74" t="str">
        <f>Interims!A38</f>
        <v>Clean OIBDA</v>
      </c>
      <c r="C1653" s="470">
        <f>Interims!AP38</f>
        <v>8424.9999999999982</v>
      </c>
      <c r="D1653" s="470">
        <f>Interims!AQ38</f>
        <v>9956.6000000000022</v>
      </c>
      <c r="E1653" s="470" t="e">
        <f>Interims!#REF!</f>
        <v>#REF!</v>
      </c>
      <c r="F1653" s="470" t="e">
        <f>Interims!#REF!</f>
        <v>#REF!</v>
      </c>
      <c r="H1653" s="152">
        <f>Interims!DO38</f>
        <v>0.11078882487112174</v>
      </c>
      <c r="I1653" s="152">
        <f>Interims!DP38</f>
        <v>0.17210934005132694</v>
      </c>
      <c r="J1653" s="152" t="e">
        <f>Interims!#REF!</f>
        <v>#REF!</v>
      </c>
      <c r="K1653" s="152" t="e">
        <f>Interims!#REF!</f>
        <v>#REF!</v>
      </c>
    </row>
    <row r="1656" spans="2:11" ht="15.75">
      <c r="B1656" s="67" t="s">
        <v>1772</v>
      </c>
      <c r="C1656" s="68" t="s">
        <v>822</v>
      </c>
      <c r="D1656" s="68" t="s">
        <v>48</v>
      </c>
      <c r="E1656" s="68" t="s">
        <v>1773</v>
      </c>
    </row>
    <row r="1657" spans="2:11" ht="15.75">
      <c r="B1657" s="66" t="s">
        <v>1645</v>
      </c>
      <c r="C1657" s="125">
        <v>5473.2</v>
      </c>
      <c r="D1657" s="125">
        <v>3034</v>
      </c>
      <c r="E1657" s="69">
        <f t="shared" ref="E1657:E1663" si="111">D1657/C1657</f>
        <v>0.55433749908645769</v>
      </c>
    </row>
    <row r="1658" spans="2:11" ht="15.75">
      <c r="B1658" s="66" t="s">
        <v>1639</v>
      </c>
      <c r="C1658" s="125">
        <v>2159</v>
      </c>
      <c r="D1658" s="125">
        <v>2724.9</v>
      </c>
      <c r="E1658" s="69">
        <f t="shared" si="111"/>
        <v>1.2621120889300603</v>
      </c>
    </row>
    <row r="1659" spans="2:11" ht="15.75">
      <c r="B1659" s="66" t="s">
        <v>1774</v>
      </c>
      <c r="C1659" s="125">
        <v>1168.5</v>
      </c>
      <c r="D1659" s="125">
        <v>129.4</v>
      </c>
      <c r="E1659" s="69">
        <f t="shared" si="111"/>
        <v>0.11074026529738983</v>
      </c>
    </row>
    <row r="1660" spans="2:11" ht="15.75">
      <c r="B1660" s="66" t="s">
        <v>1775</v>
      </c>
      <c r="C1660" s="125">
        <v>435.1</v>
      </c>
      <c r="D1660" s="125">
        <v>64.2</v>
      </c>
      <c r="E1660" s="69">
        <f t="shared" si="111"/>
        <v>0.14755228683061364</v>
      </c>
    </row>
    <row r="1661" spans="2:11" ht="15.75">
      <c r="B1661" s="66" t="s">
        <v>1648</v>
      </c>
      <c r="C1661" s="125">
        <v>7164.6</v>
      </c>
      <c r="D1661" s="125">
        <v>292.89999999999998</v>
      </c>
      <c r="E1661" s="69">
        <f t="shared" si="111"/>
        <v>4.0881556541886493E-2</v>
      </c>
    </row>
    <row r="1662" spans="2:11" ht="15.75">
      <c r="B1662" s="66" t="s">
        <v>1646</v>
      </c>
      <c r="C1662" s="125">
        <v>657.4</v>
      </c>
      <c r="D1662" s="125">
        <v>81.2</v>
      </c>
      <c r="E1662" s="69">
        <f t="shared" si="111"/>
        <v>0.12351688469729237</v>
      </c>
    </row>
    <row r="1663" spans="2:11" ht="15.75">
      <c r="B1663" s="67" t="s">
        <v>1776</v>
      </c>
      <c r="C1663" s="154">
        <v>853.2</v>
      </c>
      <c r="D1663" s="154">
        <v>99</v>
      </c>
      <c r="E1663" s="73">
        <f t="shared" si="111"/>
        <v>0.1160337552742616</v>
      </c>
    </row>
    <row r="1665" spans="2:10" ht="15.75">
      <c r="B1665" s="66"/>
      <c r="C1665" s="125"/>
      <c r="D1665" s="125"/>
      <c r="E1665" s="69"/>
    </row>
    <row r="1666" spans="2:10" ht="15.75">
      <c r="B1666" s="67"/>
      <c r="C1666" s="67">
        <f>'SKY Mex'!P98</f>
        <v>2019</v>
      </c>
      <c r="D1666" s="67">
        <f>'SKY Mex'!Q98</f>
        <v>2020</v>
      </c>
      <c r="E1666" s="67">
        <f>'SKY Mex'!R98</f>
        <v>2021</v>
      </c>
      <c r="F1666" s="67">
        <f>'SKY Mex'!S98</f>
        <v>2022</v>
      </c>
      <c r="G1666" s="67">
        <f>'SKY Mex'!T98</f>
        <v>2023</v>
      </c>
      <c r="H1666" s="67">
        <f>'SKY Mex'!U98</f>
        <v>2024</v>
      </c>
      <c r="I1666" s="67">
        <f>'SKY Mex'!V98</f>
        <v>2025</v>
      </c>
    </row>
    <row r="1667" spans="2:10" ht="15.75">
      <c r="B1667" s="66" t="s">
        <v>894</v>
      </c>
      <c r="C1667" s="71">
        <f>'SKY Mex'!O116</f>
        <v>0</v>
      </c>
      <c r="D1667" s="71">
        <f>'SKY Mex'!P116</f>
        <v>386</v>
      </c>
      <c r="E1667" s="71">
        <f>'SKY Mex'!Q116</f>
        <v>666</v>
      </c>
      <c r="F1667" s="71">
        <f>'SKY Mex'!R116</f>
        <v>727.226</v>
      </c>
      <c r="G1667" s="71">
        <f>'SKY Mex'!S116</f>
        <v>640.29399999999998</v>
      </c>
      <c r="H1667" s="71">
        <f>'SKY Mex'!T116</f>
        <v>515.08900000000006</v>
      </c>
      <c r="I1667" s="71">
        <f>'SKY Mex'!U116</f>
        <v>350.88499999999999</v>
      </c>
    </row>
    <row r="1668" spans="2:10" ht="15.75">
      <c r="B1668" s="66" t="s">
        <v>1777</v>
      </c>
      <c r="C1668" s="125">
        <f>'SKY Mex'!O130</f>
        <v>0</v>
      </c>
      <c r="D1668" s="125">
        <f>'SKY Mex'!P130</f>
        <v>576.59136000000012</v>
      </c>
      <c r="E1668" s="125">
        <f>'SKY Mex'!Q130</f>
        <v>1571.4355200000002</v>
      </c>
      <c r="F1668" s="125">
        <f>'SKY Mex'!R130</f>
        <v>2081.1452697600007</v>
      </c>
      <c r="G1668" s="125">
        <f>'SKY Mex'!S130</f>
        <v>2042.7466752000005</v>
      </c>
      <c r="H1668" s="125">
        <f>'SKY Mex'!T130</f>
        <v>1725.8649100800003</v>
      </c>
      <c r="I1668" s="125">
        <f>'SKY Mex'!U130</f>
        <v>1293.5573222400001</v>
      </c>
    </row>
    <row r="1671" spans="2:10" ht="15.75">
      <c r="D1671" s="67">
        <f>Cable!K1</f>
        <v>2016</v>
      </c>
      <c r="E1671" s="67">
        <f>Cable!L1</f>
        <v>2017</v>
      </c>
      <c r="F1671" s="67">
        <f>Cable!M1</f>
        <v>2018</v>
      </c>
      <c r="G1671" s="67">
        <f>Cable!N1</f>
        <v>2019</v>
      </c>
      <c r="H1671" s="67">
        <f>Cable!O1</f>
        <v>2020</v>
      </c>
      <c r="I1671" s="67">
        <f>Cable!P1</f>
        <v>2021</v>
      </c>
      <c r="J1671" s="67">
        <f>Cable!Q1</f>
        <v>2022</v>
      </c>
    </row>
    <row r="1672" spans="2:10" ht="15.75">
      <c r="C1672" t="s">
        <v>1460</v>
      </c>
      <c r="D1672" s="69">
        <f>Cable!K245</f>
        <v>0.11946307782493171</v>
      </c>
      <c r="E1672" s="69">
        <f>Cable!L245</f>
        <v>3.6260331874224061E-2</v>
      </c>
      <c r="F1672" s="69">
        <f>Cable!M245</f>
        <v>9.6374969740982808E-2</v>
      </c>
      <c r="G1672" s="69">
        <f>Cable!N245-G1673</f>
        <v>0.10093975105566759</v>
      </c>
      <c r="H1672" s="69">
        <f>Cable!O245</f>
        <v>8.7887871085319702E-2</v>
      </c>
      <c r="I1672" s="69">
        <f>Cable!P245</f>
        <v>5.849613486425187E-2</v>
      </c>
      <c r="J1672" s="69">
        <f>Cable!Q245</f>
        <v>8.1402056188035754E-3</v>
      </c>
    </row>
    <row r="1673" spans="2:10" ht="15.75">
      <c r="C1673" t="s">
        <v>1778</v>
      </c>
      <c r="D1673" s="69">
        <v>0</v>
      </c>
      <c r="E1673" s="69">
        <v>0</v>
      </c>
      <c r="F1673" s="69">
        <v>0</v>
      </c>
      <c r="G1673" s="69">
        <v>0.05</v>
      </c>
      <c r="H1673" s="69">
        <v>0</v>
      </c>
      <c r="I1673" s="69">
        <v>0</v>
      </c>
      <c r="J1673" s="69">
        <v>0</v>
      </c>
    </row>
    <row r="1691" spans="3:12">
      <c r="C1691" t="s">
        <v>52</v>
      </c>
    </row>
    <row r="1692" spans="3:12" ht="15.75">
      <c r="C1692" s="67"/>
      <c r="D1692" s="67">
        <v>2015</v>
      </c>
      <c r="E1692" s="67">
        <f t="shared" ref="E1692:L1692" si="112">D1692+1</f>
        <v>2016</v>
      </c>
      <c r="F1692" s="67">
        <f t="shared" si="112"/>
        <v>2017</v>
      </c>
      <c r="G1692" s="67">
        <f t="shared" si="112"/>
        <v>2018</v>
      </c>
      <c r="H1692" s="67">
        <f t="shared" si="112"/>
        <v>2019</v>
      </c>
      <c r="I1692" s="67">
        <f t="shared" si="112"/>
        <v>2020</v>
      </c>
      <c r="J1692" s="67">
        <f t="shared" si="112"/>
        <v>2021</v>
      </c>
      <c r="K1692" s="67">
        <f t="shared" si="112"/>
        <v>2022</v>
      </c>
      <c r="L1692" s="67">
        <f t="shared" si="112"/>
        <v>2023</v>
      </c>
    </row>
    <row r="1693" spans="3:12" ht="15.75">
      <c r="C1693" s="66" t="s">
        <v>540</v>
      </c>
      <c r="D1693" s="69">
        <f>Cable!J282</f>
        <v>0.40036084989276299</v>
      </c>
      <c r="E1693" s="69">
        <f>Cable!K282</f>
        <v>0.4150340528540431</v>
      </c>
      <c r="F1693" s="69">
        <f>Cable!L282</f>
        <v>0.42468530622125394</v>
      </c>
      <c r="G1693" s="69">
        <f>Cable!M282</f>
        <v>0.42234979162641789</v>
      </c>
      <c r="H1693" s="69">
        <f>Cable!N282</f>
        <v>0.42679008201045515</v>
      </c>
      <c r="I1693" s="69">
        <f>Cable!O282</f>
        <v>0.41656398579587411</v>
      </c>
      <c r="J1693" s="69">
        <f>Cable!P282</f>
        <v>0.4224202378547674</v>
      </c>
      <c r="K1693" s="69">
        <f>Cable!Q282</f>
        <v>0.41111464560293148</v>
      </c>
      <c r="L1693" s="69">
        <f>Cable!R282</f>
        <v>0.38374058706008912</v>
      </c>
    </row>
    <row r="1694" spans="3:12" ht="15.75">
      <c r="C1694" s="66" t="s">
        <v>228</v>
      </c>
      <c r="D1694" s="69">
        <f>Cable!J301</f>
        <v>0.60007666305114737</v>
      </c>
      <c r="E1694" s="69">
        <f>Cable!K301</f>
        <v>0.58172590901679444</v>
      </c>
      <c r="F1694" s="69">
        <f>Cable!L301</f>
        <v>0.32008986928104577</v>
      </c>
      <c r="G1694" s="69">
        <f>Cable!M301</f>
        <v>0.35330361824855794</v>
      </c>
      <c r="H1694" s="69">
        <f>Cable!N301</f>
        <v>0.310939523284255</v>
      </c>
      <c r="I1694" s="69">
        <f>Cable!O301</f>
        <v>0.31367444690094803</v>
      </c>
      <c r="J1694" s="69">
        <f>Cable!P301</f>
        <v>0.36096736547868669</v>
      </c>
      <c r="K1694" s="69">
        <f>Cable!Q301</f>
        <v>0.26830336818709483</v>
      </c>
      <c r="L1694" s="69">
        <f>Cable!R301</f>
        <v>0.22958045182111572</v>
      </c>
    </row>
    <row r="1695" spans="3:12" ht="15.75">
      <c r="C1695" s="66" t="s">
        <v>231</v>
      </c>
      <c r="D1695" s="69">
        <f>Cable!J306</f>
        <v>-0.19971581315838433</v>
      </c>
      <c r="E1695" s="69">
        <f>Cable!K306</f>
        <v>-0.16669185616275137</v>
      </c>
      <c r="F1695" s="69">
        <f>Cable!L306</f>
        <v>0.10459543694020819</v>
      </c>
      <c r="G1695" s="69">
        <f>Cable!M306</f>
        <v>6.9046173377859968E-2</v>
      </c>
      <c r="H1695" s="69">
        <f>Cable!N306</f>
        <v>0.11585055872620016</v>
      </c>
      <c r="I1695" s="69">
        <f>Cable!O306</f>
        <v>0.10288953889492605</v>
      </c>
      <c r="J1695" s="69">
        <f>Cable!P306</f>
        <v>6.14528723760807E-2</v>
      </c>
      <c r="K1695" s="69">
        <f>Cable!Q306</f>
        <v>0.14281127741583663</v>
      </c>
      <c r="L1695" s="69">
        <f>Cable!R306</f>
        <v>0.1541601352389734</v>
      </c>
    </row>
    <row r="1698" spans="1:6">
      <c r="B1698" t="s">
        <v>1779</v>
      </c>
      <c r="E1698" s="3"/>
    </row>
    <row r="1700" spans="1:6" ht="15.75">
      <c r="B1700" s="217"/>
      <c r="C1700" s="388" t="s">
        <v>1780</v>
      </c>
      <c r="D1700" s="388" t="s">
        <v>1781</v>
      </c>
      <c r="E1700" s="388" t="s">
        <v>1782</v>
      </c>
      <c r="F1700" s="388" t="s">
        <v>1783</v>
      </c>
    </row>
    <row r="1701" spans="1:6" ht="15.75">
      <c r="B1701" s="66" t="s">
        <v>481</v>
      </c>
      <c r="C1701" s="112">
        <v>36.880000000000003</v>
      </c>
      <c r="D1701" s="112">
        <v>95.47</v>
      </c>
      <c r="E1701" s="112">
        <v>24.09</v>
      </c>
      <c r="F1701" s="112">
        <v>3.89</v>
      </c>
    </row>
    <row r="1702" spans="1:6" ht="15.75">
      <c r="B1702" s="66" t="s">
        <v>1784</v>
      </c>
      <c r="C1702" s="112">
        <v>32.07</v>
      </c>
      <c r="D1702" s="112">
        <v>78.510000000000005</v>
      </c>
      <c r="E1702" s="112">
        <v>23.3</v>
      </c>
      <c r="F1702" s="112">
        <v>3.18</v>
      </c>
    </row>
    <row r="1703" spans="1:6" ht="15.75">
      <c r="B1703" s="66" t="s">
        <v>468</v>
      </c>
      <c r="C1703" s="112">
        <v>20.12</v>
      </c>
      <c r="D1703" s="112">
        <v>43.53</v>
      </c>
      <c r="E1703" s="112">
        <v>16.89</v>
      </c>
      <c r="F1703" s="112">
        <v>3.16</v>
      </c>
    </row>
    <row r="1704" spans="1:6" ht="15.75">
      <c r="B1704" s="66" t="s">
        <v>1785</v>
      </c>
      <c r="C1704" s="112">
        <v>17.89</v>
      </c>
      <c r="D1704" s="112">
        <v>40.1</v>
      </c>
      <c r="E1704" s="112">
        <v>13.53</v>
      </c>
      <c r="F1704" s="112">
        <v>4.3899999999999997</v>
      </c>
    </row>
    <row r="1705" spans="1:6" ht="15.75">
      <c r="B1705" s="67" t="s">
        <v>466</v>
      </c>
      <c r="C1705" s="405">
        <v>14.04</v>
      </c>
      <c r="D1705" s="405">
        <v>36.24</v>
      </c>
      <c r="E1705" s="405">
        <v>9.0500000000000007</v>
      </c>
      <c r="F1705" s="405">
        <v>1.84</v>
      </c>
    </row>
    <row r="1708" spans="1:6" ht="15.75">
      <c r="A1708" s="66" t="s">
        <v>94</v>
      </c>
      <c r="B1708" s="125">
        <f>Interims!AU7</f>
        <v>7184.9</v>
      </c>
    </row>
    <row r="1709" spans="1:6" ht="15.75">
      <c r="A1709" s="66" t="s">
        <v>97</v>
      </c>
      <c r="B1709" s="125">
        <f>Interims!AU16</f>
        <v>5281.6</v>
      </c>
    </row>
    <row r="1710" spans="1:6" ht="15.75">
      <c r="A1710" s="66" t="s">
        <v>1786</v>
      </c>
      <c r="B1710" s="125">
        <f>Interims!AU129</f>
        <v>8874.2000000000007</v>
      </c>
    </row>
    <row r="1711" spans="1:6" ht="15.75">
      <c r="A1711" s="66" t="s">
        <v>1787</v>
      </c>
      <c r="B1711" s="125">
        <f>Interims!AU130-Interims!AU132</f>
        <v>1023.8999999999992</v>
      </c>
    </row>
    <row r="1712" spans="1:6" ht="15.75">
      <c r="A1712" s="66" t="s">
        <v>107</v>
      </c>
      <c r="B1712" s="125">
        <f>Interims!AU18</f>
        <v>2260.3000000000002</v>
      </c>
    </row>
    <row r="1713" spans="1:14" ht="15.75">
      <c r="A1713" s="67" t="s">
        <v>703</v>
      </c>
      <c r="B1713" s="154">
        <f>Interims!AU20</f>
        <v>-1229.7</v>
      </c>
    </row>
    <row r="1714" spans="1:14" ht="15.75">
      <c r="A1714" s="66"/>
      <c r="B1714" s="125">
        <f>SUM(B1708:B1713)</f>
        <v>23395.199999999997</v>
      </c>
    </row>
    <row r="1723" spans="1:14">
      <c r="B1723" t="s">
        <v>1788</v>
      </c>
    </row>
    <row r="1724" spans="1:14" ht="15.75">
      <c r="B1724" s="66"/>
      <c r="C1724" s="68" t="s">
        <v>741</v>
      </c>
      <c r="D1724" s="68" t="s">
        <v>742</v>
      </c>
      <c r="E1724" s="68" t="s">
        <v>743</v>
      </c>
      <c r="F1724" s="68" t="s">
        <v>744</v>
      </c>
      <c r="G1724" s="68" t="s">
        <v>745</v>
      </c>
      <c r="H1724" s="68" t="s">
        <v>746</v>
      </c>
      <c r="I1724" s="68" t="s">
        <v>747</v>
      </c>
      <c r="J1724" s="68" t="s">
        <v>748</v>
      </c>
      <c r="K1724" s="68" t="s">
        <v>749</v>
      </c>
      <c r="L1724" s="68" t="s">
        <v>750</v>
      </c>
      <c r="M1724" s="68" t="s">
        <v>751</v>
      </c>
      <c r="N1724" s="68" t="s">
        <v>752</v>
      </c>
    </row>
    <row r="1725" spans="1:14" ht="15.75">
      <c r="B1725" s="66" t="s">
        <v>120</v>
      </c>
      <c r="C1725" s="112">
        <f>Interims!AK210</f>
        <v>72.599999999999994</v>
      </c>
      <c r="D1725" s="112">
        <f>Interims!AL210</f>
        <v>81.900000000000006</v>
      </c>
      <c r="E1725" s="112">
        <f>Interims!AM210</f>
        <v>80.599999999999994</v>
      </c>
      <c r="F1725" s="112">
        <f>Interims!AN210</f>
        <v>78.8</v>
      </c>
      <c r="G1725" s="112">
        <f>Interims!AP210</f>
        <v>95.5</v>
      </c>
      <c r="H1725" s="112">
        <f>Interims!AQ210</f>
        <v>102.6</v>
      </c>
      <c r="I1725" s="112">
        <f>Interims!AR210</f>
        <v>97.6</v>
      </c>
      <c r="J1725" s="112">
        <f>Interims!AS210</f>
        <v>88</v>
      </c>
      <c r="K1725" s="112">
        <f>Interims!AU210</f>
        <v>88</v>
      </c>
      <c r="L1725" s="112" t="e">
        <f>Interims!#REF!</f>
        <v>#REF!</v>
      </c>
      <c r="M1725" s="112" t="e">
        <f>Interims!#REF!</f>
        <v>#REF!</v>
      </c>
      <c r="N1725" s="112" t="e">
        <f>Interims!#REF!</f>
        <v>#REF!</v>
      </c>
    </row>
    <row r="1726" spans="1:14" ht="15.75">
      <c r="B1726" s="66" t="s">
        <v>1789</v>
      </c>
      <c r="C1726" s="112">
        <f>C1725</f>
        <v>72.599999999999994</v>
      </c>
      <c r="D1726" s="112">
        <f>D1725</f>
        <v>81.900000000000006</v>
      </c>
      <c r="E1726" s="112">
        <f>E1725</f>
        <v>80.599999999999994</v>
      </c>
      <c r="F1726" s="112">
        <f>F1725</f>
        <v>78.8</v>
      </c>
      <c r="G1726" s="569">
        <f>G1725-0.36*C1725</f>
        <v>69.364000000000004</v>
      </c>
      <c r="H1726" s="569">
        <f>H1725-0.36*D1725</f>
        <v>73.115999999999985</v>
      </c>
      <c r="I1726" s="569">
        <f>I1725-0.36*E1725</f>
        <v>68.584000000000003</v>
      </c>
      <c r="J1726" s="258">
        <f>J1725-0.36*F1725+10</f>
        <v>69.632000000000005</v>
      </c>
      <c r="K1726" s="112">
        <f>K1725</f>
        <v>88</v>
      </c>
      <c r="L1726" s="112" t="e">
        <f>L1725</f>
        <v>#REF!</v>
      </c>
      <c r="M1726" s="112" t="e">
        <f>M1725</f>
        <v>#REF!</v>
      </c>
      <c r="N1726" s="112" t="e">
        <f>N1725</f>
        <v>#REF!</v>
      </c>
    </row>
    <row r="1727" spans="1:14" ht="15.75">
      <c r="B1727" s="66" t="s">
        <v>732</v>
      </c>
      <c r="G1727" s="69">
        <f t="shared" ref="G1727:N1727" si="113">G1726/C1725-1</f>
        <v>-4.457300275482079E-2</v>
      </c>
      <c r="H1727" s="69">
        <f t="shared" si="113"/>
        <v>-0.10725274725274747</v>
      </c>
      <c r="I1727" s="69">
        <f t="shared" si="113"/>
        <v>-0.14908188585607929</v>
      </c>
      <c r="J1727" s="69">
        <f t="shared" si="113"/>
        <v>-0.11634517766497454</v>
      </c>
      <c r="K1727" s="69">
        <f t="shared" si="113"/>
        <v>-7.8534031413612593E-2</v>
      </c>
      <c r="L1727" s="69" t="e">
        <f t="shared" si="113"/>
        <v>#REF!</v>
      </c>
      <c r="M1727" s="69" t="e">
        <f t="shared" si="113"/>
        <v>#REF!</v>
      </c>
      <c r="N1727" s="69" t="e">
        <f t="shared" si="113"/>
        <v>#REF!</v>
      </c>
    </row>
    <row r="1748" spans="2:3" ht="15.75">
      <c r="B1748" s="74" t="s">
        <v>1790</v>
      </c>
      <c r="C1748" s="66"/>
    </row>
    <row r="1749" spans="2:3" ht="15.75">
      <c r="B1749" s="66"/>
      <c r="C1749" s="66"/>
    </row>
    <row r="1750" spans="2:3" ht="15.75">
      <c r="B1750" s="66" t="s">
        <v>1481</v>
      </c>
      <c r="C1750" s="572">
        <v>10</v>
      </c>
    </row>
    <row r="1751" spans="2:3" ht="15.75">
      <c r="B1751" s="66" t="s">
        <v>34</v>
      </c>
      <c r="C1751" s="125">
        <f>Univision!L17</f>
        <v>977.79849999999999</v>
      </c>
    </row>
    <row r="1752" spans="2:3" ht="15.75">
      <c r="B1752" s="66" t="s">
        <v>77</v>
      </c>
      <c r="C1752" s="125">
        <f>C1751*C1750</f>
        <v>9777.9850000000006</v>
      </c>
    </row>
    <row r="1753" spans="2:3" ht="15.75">
      <c r="B1753" s="66" t="s">
        <v>78</v>
      </c>
      <c r="C1753" s="125">
        <f>Univision!AM257</f>
        <v>7446.4000000000005</v>
      </c>
    </row>
    <row r="1754" spans="2:3" ht="15.75">
      <c r="B1754" s="66" t="s">
        <v>79</v>
      </c>
      <c r="C1754" s="125">
        <f>C1752-C1753</f>
        <v>2331.585</v>
      </c>
    </row>
    <row r="1755" spans="2:3" ht="15.75">
      <c r="B1755" s="66" t="s">
        <v>1791</v>
      </c>
      <c r="C1755" s="69">
        <v>0.74</v>
      </c>
    </row>
    <row r="1756" spans="2:3" ht="15.75">
      <c r="B1756" s="66" t="s">
        <v>1792</v>
      </c>
      <c r="C1756" s="125">
        <f>C1754*C1755</f>
        <v>1725.3729000000001</v>
      </c>
    </row>
    <row r="1757" spans="2:3" ht="15.75">
      <c r="B1757" s="66" t="s">
        <v>142</v>
      </c>
      <c r="C1757" s="460">
        <v>19.5</v>
      </c>
    </row>
    <row r="1758" spans="2:3" ht="15.75">
      <c r="B1758" s="66" t="s">
        <v>1793</v>
      </c>
      <c r="C1758" s="125">
        <f>C1756*C1757</f>
        <v>33644.771550000005</v>
      </c>
    </row>
    <row r="1759" spans="2:3" ht="15.75">
      <c r="B1759" s="66"/>
      <c r="C1759" s="66"/>
    </row>
    <row r="1760" spans="2:3" ht="15.75">
      <c r="B1760" s="66" t="s">
        <v>549</v>
      </c>
      <c r="C1760" s="125">
        <f>C1758</f>
        <v>33644.771550000005</v>
      </c>
    </row>
    <row r="1761" spans="2:12" ht="15.75">
      <c r="B1761" s="66" t="s">
        <v>1041</v>
      </c>
      <c r="C1761" s="117">
        <v>6.5000000000000002E-2</v>
      </c>
    </row>
    <row r="1762" spans="2:12" ht="15.75">
      <c r="B1762" s="66" t="s">
        <v>1041</v>
      </c>
      <c r="C1762" s="125">
        <f>C1761*C1760</f>
        <v>2186.9101507500004</v>
      </c>
      <c r="D1762" s="125">
        <f>C1762</f>
        <v>2186.9101507500004</v>
      </c>
      <c r="E1762" s="125">
        <f>D1762</f>
        <v>2186.9101507500004</v>
      </c>
      <c r="F1762" s="125">
        <f>E1762</f>
        <v>2186.9101507500004</v>
      </c>
    </row>
    <row r="1763" spans="2:12" ht="15.75">
      <c r="B1763" s="66" t="s">
        <v>1794</v>
      </c>
      <c r="C1763" s="125">
        <f>C1762</f>
        <v>2186.9101507500004</v>
      </c>
      <c r="D1763" s="125">
        <f>C1763+D1762</f>
        <v>4373.8203015000008</v>
      </c>
      <c r="E1763" s="125">
        <f>D1763+E1762</f>
        <v>6560.7304522500017</v>
      </c>
      <c r="F1763" s="125">
        <f>E1763+F1762</f>
        <v>8747.6406030000016</v>
      </c>
    </row>
    <row r="1764" spans="2:12" ht="15.75">
      <c r="B1764" s="66"/>
      <c r="C1764" s="125"/>
      <c r="D1764" s="125"/>
      <c r="E1764" s="125"/>
      <c r="F1764" s="125"/>
    </row>
    <row r="1765" spans="2:12" ht="15.75">
      <c r="B1765" s="217" t="s">
        <v>1795</v>
      </c>
      <c r="C1765" s="217">
        <v>2019</v>
      </c>
      <c r="D1765" s="217">
        <f>C1765+1</f>
        <v>2020</v>
      </c>
      <c r="E1765" s="217">
        <f>D1765+1</f>
        <v>2021</v>
      </c>
      <c r="F1765" s="217">
        <f>E1765+1</f>
        <v>2022</v>
      </c>
    </row>
    <row r="1766" spans="2:12" ht="15.75">
      <c r="B1766" s="66" t="s">
        <v>33</v>
      </c>
      <c r="C1766" s="125">
        <f>Master!R132</f>
        <v>100650.6</v>
      </c>
      <c r="D1766" s="125">
        <f>Master!S132</f>
        <v>97138.3</v>
      </c>
      <c r="E1766" s="125">
        <f>Master!T132</f>
        <v>103521.8</v>
      </c>
      <c r="F1766" s="125">
        <f>Master!U132</f>
        <v>75526.600000000006</v>
      </c>
    </row>
    <row r="1767" spans="2:12" ht="15.75">
      <c r="B1767" s="66" t="s">
        <v>34</v>
      </c>
      <c r="C1767" s="125">
        <f>Master!R140</f>
        <v>38218.1</v>
      </c>
      <c r="D1767" s="125">
        <f>Master!S140</f>
        <v>38810.299999999996</v>
      </c>
      <c r="E1767" s="125">
        <f>Master!T140</f>
        <v>43601.599999999999</v>
      </c>
      <c r="F1767" s="125">
        <f>Master!U140</f>
        <v>25536.03</v>
      </c>
    </row>
    <row r="1768" spans="2:12" ht="15.75">
      <c r="B1768" s="66" t="s">
        <v>35</v>
      </c>
      <c r="C1768" s="125">
        <f>Master!R87</f>
        <v>19067.125</v>
      </c>
      <c r="D1768" s="125">
        <f>Master!S87</f>
        <v>20178.311999999998</v>
      </c>
      <c r="E1768" s="125">
        <f>Master!T87</f>
        <v>23310.092270413064</v>
      </c>
      <c r="F1768" s="125">
        <f>Master!U87</f>
        <v>17214.16</v>
      </c>
    </row>
    <row r="1769" spans="2:12" ht="15.75">
      <c r="B1769" s="66" t="s">
        <v>36</v>
      </c>
      <c r="C1769" s="125">
        <f>C1767-C1768</f>
        <v>19150.974999999999</v>
      </c>
      <c r="D1769" s="125">
        <f>D1767-D1768</f>
        <v>18631.987999999998</v>
      </c>
      <c r="E1769" s="125">
        <f>E1767-E1768</f>
        <v>20291.507729586934</v>
      </c>
      <c r="F1769" s="125">
        <f>F1767-F1768</f>
        <v>8321.869999999999</v>
      </c>
    </row>
    <row r="1770" spans="2:12" ht="15.75">
      <c r="B1770" s="66" t="s">
        <v>154</v>
      </c>
      <c r="C1770" s="125">
        <f>Valuation!O33*Valuation!O19</f>
        <v>1558.974999999999</v>
      </c>
      <c r="D1770" s="125">
        <f>Valuation!P33*Valuation!P19</f>
        <v>1357.487999999998</v>
      </c>
      <c r="E1770" s="125">
        <f>Valuation!Q33*Valuation!Q19</f>
        <v>-3236.6662704130695</v>
      </c>
      <c r="F1770" s="125">
        <f>Valuation!R33*Valuation!R19</f>
        <v>-13936.812500000005</v>
      </c>
    </row>
    <row r="1771" spans="2:12" ht="15.75">
      <c r="B1771" s="66" t="s">
        <v>271</v>
      </c>
      <c r="C1771" s="125">
        <f>Master!R221</f>
        <v>104172.40000000001</v>
      </c>
      <c r="D1771" s="125">
        <f>Master!S221</f>
        <v>102787.20000000001</v>
      </c>
      <c r="E1771" s="125">
        <f>Master!T221</f>
        <v>109644.49999999999</v>
      </c>
      <c r="F1771" s="125">
        <f>Master!U221</f>
        <v>62478.7</v>
      </c>
      <c r="I1771">
        <f>C1765</f>
        <v>2019</v>
      </c>
      <c r="J1771">
        <f>D1765</f>
        <v>2020</v>
      </c>
      <c r="K1771">
        <f>E1765</f>
        <v>2021</v>
      </c>
      <c r="L1771">
        <f>F1765</f>
        <v>2022</v>
      </c>
    </row>
    <row r="1772" spans="2:12" ht="15.75">
      <c r="B1772" s="66" t="s">
        <v>797</v>
      </c>
      <c r="C1772" s="570">
        <f>C1771/C1767</f>
        <v>2.725734664988579</v>
      </c>
      <c r="D1772" s="570">
        <f>D1771/D1767</f>
        <v>2.6484515708458845</v>
      </c>
      <c r="E1772" s="570">
        <f>E1771/E1767</f>
        <v>2.5146898278962238</v>
      </c>
      <c r="F1772" s="570">
        <f>F1771/F1767</f>
        <v>2.4466880717167077</v>
      </c>
      <c r="H1772" t="s">
        <v>1796</v>
      </c>
      <c r="I1772" s="573">
        <f>C1772</f>
        <v>2.725734664988579</v>
      </c>
      <c r="J1772" s="573">
        <f>D1772</f>
        <v>2.6484515708458845</v>
      </c>
      <c r="K1772" s="573">
        <f>E1772</f>
        <v>2.5146898278962238</v>
      </c>
      <c r="L1772" s="573">
        <f>F1772</f>
        <v>2.4466880717167077</v>
      </c>
    </row>
    <row r="1773" spans="2:12" ht="15.75">
      <c r="B1773" s="66"/>
      <c r="C1773" s="66"/>
      <c r="D1773" s="66"/>
      <c r="E1773" s="66"/>
      <c r="F1773" s="66"/>
      <c r="H1773" t="s">
        <v>1797</v>
      </c>
      <c r="I1773" s="573">
        <f>C1793</f>
        <v>5.6193374606588637</v>
      </c>
      <c r="J1773" s="573">
        <f>D1793</f>
        <v>5.9892424517785043</v>
      </c>
      <c r="K1773" s="573">
        <f>E1793</f>
        <v>5.1040494013230866</v>
      </c>
      <c r="L1773" s="573">
        <f>F1793</f>
        <v>5.8445242024154958</v>
      </c>
    </row>
    <row r="1774" spans="2:12" ht="15.75">
      <c r="B1774" s="74" t="s">
        <v>1798</v>
      </c>
      <c r="C1774" s="66"/>
      <c r="D1774" s="66"/>
      <c r="E1774" s="66"/>
      <c r="F1774" s="66"/>
    </row>
    <row r="1775" spans="2:12" ht="15.75">
      <c r="B1775" s="66" t="str">
        <f>B1766</f>
        <v>Revenue</v>
      </c>
      <c r="C1775" s="125">
        <f>Univision!L5*Master!R7</f>
        <v>51568.825000000004</v>
      </c>
      <c r="D1775" s="125">
        <f>Univision!M5*Master!S7</f>
        <v>54600.012000000002</v>
      </c>
      <c r="E1775" s="125">
        <f>Univision!N5*Master!T7</f>
        <v>58009.236780901003</v>
      </c>
      <c r="F1775" s="125">
        <f>Univision!O5*Master!U7</f>
        <v>66133.406643750001</v>
      </c>
    </row>
    <row r="1776" spans="2:12" ht="15.75">
      <c r="B1776" s="66" t="str">
        <f>B1767</f>
        <v>EBITDA</v>
      </c>
      <c r="C1776" s="125">
        <f>Univision!L17*Master!R7</f>
        <v>18822.621125000001</v>
      </c>
      <c r="D1776" s="125">
        <f>Univision!M17*Master!S7</f>
        <v>18018.003960000002</v>
      </c>
      <c r="E1776" s="125">
        <f>Univision!N17*Master!T7</f>
        <v>20883.325241124363</v>
      </c>
      <c r="F1776" s="125">
        <f>Univision!O17*Master!U7</f>
        <v>23477.359358531248</v>
      </c>
    </row>
    <row r="1777" spans="2:6" ht="15.75">
      <c r="B1777" s="66" t="str">
        <f>B1768</f>
        <v>Capex</v>
      </c>
      <c r="C1777" s="125">
        <f>Univision!L52*Master!R7</f>
        <v>1686.7515080539122</v>
      </c>
      <c r="D1777" s="125">
        <f>Univision!M52*Master!S7</f>
        <v>1785.8978284023672</v>
      </c>
      <c r="E1777" s="125">
        <f>Univision!N52*Master!T7</f>
        <v>1897.409289842094</v>
      </c>
      <c r="F1777" s="125">
        <f>Univision!O52*Master!U7</f>
        <v>2163.1406841068788</v>
      </c>
    </row>
    <row r="1778" spans="2:6" ht="15.75">
      <c r="B1778" s="66" t="str">
        <f>B1769</f>
        <v>OpFCF</v>
      </c>
      <c r="C1778" s="125">
        <f>C1776-C1777</f>
        <v>17135.869616946089</v>
      </c>
      <c r="D1778" s="125">
        <f>D1776-D1777</f>
        <v>16232.106131597635</v>
      </c>
      <c r="E1778" s="125">
        <f>E1776-E1777</f>
        <v>18985.91595128227</v>
      </c>
      <c r="F1778" s="125">
        <f>F1776-F1777</f>
        <v>21314.21867442437</v>
      </c>
    </row>
    <row r="1779" spans="2:6" ht="15.75">
      <c r="B1779" s="66" t="s">
        <v>1041</v>
      </c>
      <c r="C1779" s="125">
        <f>-(Univision!L35+Univision!L37)*Master!R7</f>
        <v>9939.4622916778371</v>
      </c>
      <c r="D1779" s="125">
        <f>-(Univision!M35+Univision!M37)*Master!S7</f>
        <v>10289.358843221273</v>
      </c>
      <c r="E1779" s="125">
        <f>-(Univision!N35+Univision!N37)*Master!T7</f>
        <v>9151.7482554934486</v>
      </c>
      <c r="F1779" s="125">
        <f>-(Univision!O35+Univision!O37)*Master!U7</f>
        <v>7871.3134784285421</v>
      </c>
    </row>
    <row r="1780" spans="2:6" ht="15.75">
      <c r="B1780" s="66" t="s">
        <v>114</v>
      </c>
      <c r="C1780" s="125">
        <f>-Univision!L46*Master!R7</f>
        <v>2116.7273420695656</v>
      </c>
      <c r="D1780" s="125">
        <f>-Univision!M46*Master!S7</f>
        <v>1651.5600457798064</v>
      </c>
      <c r="E1780" s="125">
        <f>-Univision!N46*Master!T7</f>
        <v>2983.1924226002607</v>
      </c>
      <c r="F1780" s="125">
        <f>-Univision!O46*Master!U7</f>
        <v>4177.1304590607069</v>
      </c>
    </row>
    <row r="1781" spans="2:6" ht="15.75">
      <c r="B1781" s="66" t="s">
        <v>154</v>
      </c>
      <c r="C1781" s="125">
        <f>C1778-C1779-C1780</f>
        <v>5079.6799831986864</v>
      </c>
      <c r="D1781" s="125">
        <f>D1778-D1779-D1780</f>
        <v>4291.1872425965557</v>
      </c>
      <c r="E1781" s="125">
        <f>E1778-E1779-E1780</f>
        <v>6850.9752731885601</v>
      </c>
      <c r="F1781" s="125">
        <f>F1778-F1779-F1780</f>
        <v>9265.77473693512</v>
      </c>
    </row>
    <row r="1782" spans="2:6" ht="15.75">
      <c r="B1782" s="66" t="s">
        <v>271</v>
      </c>
      <c r="C1782" s="125">
        <f>Univision!L96*Master!R7</f>
        <v>138437.15833556736</v>
      </c>
      <c r="D1782" s="125">
        <f>Univision!M96*Master!S7</f>
        <v>150730.43056383971</v>
      </c>
      <c r="E1782" s="125">
        <f>Univision!N96*Master!T7</f>
        <v>136025.93961368178</v>
      </c>
      <c r="F1782" s="125">
        <f>Univision!O96*Master!U7</f>
        <v>126124.14158212718</v>
      </c>
    </row>
    <row r="1783" spans="2:6" ht="15.75">
      <c r="B1783" s="66"/>
      <c r="C1783" s="125"/>
      <c r="D1783" s="125"/>
      <c r="E1783" s="125"/>
      <c r="F1783" s="125"/>
    </row>
    <row r="1784" spans="2:6" ht="15.75">
      <c r="B1784" s="66" t="s">
        <v>1788</v>
      </c>
      <c r="C1784" s="125">
        <f>Content!M58*Master!R7</f>
        <v>7490.1750000000002</v>
      </c>
      <c r="D1784" s="125">
        <f>Content!N58*Master!S7</f>
        <v>8151.66</v>
      </c>
      <c r="E1784" s="125">
        <f>Content!O58*Master!T7</f>
        <v>8475.2907062732393</v>
      </c>
      <c r="F1784" s="125">
        <f>Content!P58*Master!U7</f>
        <v>9490.0259956661102</v>
      </c>
    </row>
    <row r="1785" spans="2:6" ht="15.75">
      <c r="B1785" s="66"/>
      <c r="C1785" s="125"/>
      <c r="D1785" s="125"/>
      <c r="E1785" s="125"/>
      <c r="F1785" s="125"/>
    </row>
    <row r="1786" spans="2:6" ht="15.75">
      <c r="B1786" s="74" t="s">
        <v>1797</v>
      </c>
      <c r="C1786" s="125"/>
      <c r="D1786" s="125"/>
      <c r="E1786" s="125"/>
      <c r="F1786" s="125"/>
    </row>
    <row r="1787" spans="2:6" ht="15.75">
      <c r="B1787" s="66" t="str">
        <f>B1775</f>
        <v>Revenue</v>
      </c>
      <c r="C1787" s="125">
        <f>C1766+C1775-C1784</f>
        <v>144729.25000000003</v>
      </c>
      <c r="D1787" s="125">
        <f>D1766+D1775-D1784</f>
        <v>143586.652</v>
      </c>
      <c r="E1787" s="125">
        <f>E1766+E1775-E1784</f>
        <v>153055.74607462779</v>
      </c>
      <c r="F1787" s="125">
        <f>F1766+F1775-F1784</f>
        <v>132169.9806480839</v>
      </c>
    </row>
    <row r="1788" spans="2:6" ht="15.75">
      <c r="B1788" s="66" t="str">
        <f>B1776</f>
        <v>EBITDA</v>
      </c>
      <c r="C1788" s="125">
        <f>C1767+C1776-C1784</f>
        <v>49550.546124999993</v>
      </c>
      <c r="D1788" s="125">
        <f>D1767+D1776-D1784</f>
        <v>48676.643960000001</v>
      </c>
      <c r="E1788" s="125">
        <f>E1767+E1776-E1784</f>
        <v>56009.634534851124</v>
      </c>
      <c r="F1788" s="125">
        <f>F1767+F1776-F1784</f>
        <v>39523.363362865137</v>
      </c>
    </row>
    <row r="1789" spans="2:6" ht="15.75">
      <c r="B1789" s="66" t="str">
        <f>B1777</f>
        <v>Capex</v>
      </c>
      <c r="C1789" s="125">
        <f>C1768+C1777</f>
        <v>20753.876508053912</v>
      </c>
      <c r="D1789" s="125">
        <f>D1768+D1777</f>
        <v>21964.209828402367</v>
      </c>
      <c r="E1789" s="125">
        <f>E1768+E1777</f>
        <v>25207.501560255158</v>
      </c>
      <c r="F1789" s="125">
        <f>F1768+F1777</f>
        <v>19377.300684106878</v>
      </c>
    </row>
    <row r="1790" spans="2:6" ht="15.75">
      <c r="B1790" s="66" t="str">
        <f>B1778</f>
        <v>OpFCF</v>
      </c>
      <c r="C1790" s="125">
        <f>C1788-C1789</f>
        <v>28796.669616946081</v>
      </c>
      <c r="D1790" s="125">
        <f>D1788-D1789</f>
        <v>26712.434131597634</v>
      </c>
      <c r="E1790" s="125">
        <f>E1788-E1789</f>
        <v>30802.132974595967</v>
      </c>
      <c r="F1790" s="125">
        <f>F1788-F1789</f>
        <v>20146.062678758259</v>
      </c>
    </row>
    <row r="1791" spans="2:6" ht="15.75">
      <c r="B1791" s="66" t="str">
        <f>B1770</f>
        <v>EFCF</v>
      </c>
      <c r="C1791" s="125">
        <f>C1770+C1781-C1784*(1-0.21)-C1762</f>
        <v>-1465.4934175513158</v>
      </c>
      <c r="D1791" s="125">
        <f>D1770+D1781-D1784*(1-0.21)-D1762</f>
        <v>-2978.0463081534476</v>
      </c>
      <c r="E1791" s="125">
        <f>E1770+E1781-E1784*(1-0.21)-E1762</f>
        <v>-5268.080805930369</v>
      </c>
      <c r="F1791" s="125">
        <f>F1770+F1781-F1784*(1-0.21)-F1762</f>
        <v>-14355.068450391112</v>
      </c>
    </row>
    <row r="1792" spans="2:6" ht="15.75">
      <c r="B1792" s="66" t="str">
        <f>B1771</f>
        <v>Net debt</v>
      </c>
      <c r="C1792" s="125">
        <f>C1771+C1782+$C$1760+C1763</f>
        <v>278441.24003631738</v>
      </c>
      <c r="D1792" s="125">
        <f>D1771+D1782+$C$1760+D1763</f>
        <v>291536.22241533973</v>
      </c>
      <c r="E1792" s="125">
        <f>E1771+E1782+$C$1760+E1763</f>
        <v>285875.94161593175</v>
      </c>
      <c r="F1792" s="125">
        <f>F1771+F1782+$C$1760+F1763</f>
        <v>230995.25373512719</v>
      </c>
    </row>
    <row r="1793" spans="2:13" ht="15.75">
      <c r="B1793" s="66" t="s">
        <v>797</v>
      </c>
      <c r="C1793" s="570">
        <f>C1792/C1788</f>
        <v>5.6193374606588637</v>
      </c>
      <c r="D1793" s="570">
        <f>D1792/D1788</f>
        <v>5.9892424517785043</v>
      </c>
      <c r="E1793" s="570">
        <f>E1792/E1788</f>
        <v>5.1040494013230866</v>
      </c>
      <c r="F1793" s="570">
        <f>F1792/F1788</f>
        <v>5.8445242024154958</v>
      </c>
    </row>
    <row r="1794" spans="2:13" ht="15.75">
      <c r="B1794" s="66"/>
      <c r="C1794" s="125"/>
      <c r="D1794" s="125"/>
      <c r="E1794" s="125"/>
      <c r="F1794" s="125"/>
      <c r="I1794" s="8"/>
    </row>
    <row r="1795" spans="2:13" ht="15.75">
      <c r="B1795" s="74"/>
      <c r="C1795" s="470"/>
      <c r="D1795" s="470"/>
      <c r="E1795" s="470"/>
      <c r="F1795" s="470"/>
      <c r="G1795" s="42"/>
      <c r="H1795" s="391" t="s">
        <v>1069</v>
      </c>
      <c r="I1795" s="391" t="s">
        <v>1069</v>
      </c>
      <c r="J1795" s="391" t="s">
        <v>1069</v>
      </c>
      <c r="K1795" s="391" t="s">
        <v>1069</v>
      </c>
    </row>
    <row r="1796" spans="2:13" ht="15.75">
      <c r="B1796" s="217" t="s">
        <v>1799</v>
      </c>
      <c r="C1796" s="217">
        <v>2018</v>
      </c>
      <c r="D1796" s="217">
        <f>C1796+1</f>
        <v>2019</v>
      </c>
      <c r="E1796" s="217">
        <f>D1796+1</f>
        <v>2020</v>
      </c>
      <c r="F1796" s="217">
        <f>E1796+1</f>
        <v>2021</v>
      </c>
      <c r="G1796" s="42"/>
      <c r="H1796" s="217">
        <v>2018</v>
      </c>
      <c r="I1796" s="217">
        <f>H1796+1</f>
        <v>2019</v>
      </c>
      <c r="J1796" s="217">
        <f>I1796+1</f>
        <v>2020</v>
      </c>
      <c r="K1796" s="217">
        <f>J1796+1</f>
        <v>2021</v>
      </c>
    </row>
    <row r="1797" spans="2:13" ht="15.75">
      <c r="B1797" s="66" t="s">
        <v>189</v>
      </c>
      <c r="C1797" s="125">
        <f>Master!Q13/Master!Q$7</f>
        <v>1098.9610389610389</v>
      </c>
      <c r="D1797" s="125">
        <f>Master!R13/Master!R$7</f>
        <v>1008.8519480519482</v>
      </c>
      <c r="E1797" s="125">
        <f>Master!S13/Master!S$7</f>
        <v>761.16387337057722</v>
      </c>
      <c r="F1797" s="125">
        <f>Master!T13/Master!T$7</f>
        <v>944.61463063139627</v>
      </c>
      <c r="H1797" s="116">
        <f t="shared" ref="H1797:H1806" si="114">C1797/C$1806</f>
        <v>0.24477617784318206</v>
      </c>
      <c r="I1797" s="116">
        <f t="shared" ref="I1797:I1806" si="115">D1797/D$1806</f>
        <v>0.22804075842821345</v>
      </c>
      <c r="J1797" s="116">
        <f t="shared" ref="J1797:J1806" si="116">E1797/E$1806</f>
        <v>0.20250456523639829</v>
      </c>
      <c r="K1797" s="116">
        <f t="shared" ref="K1797:K1806" si="117">F1797/F$1806</f>
        <v>0.22090932924952891</v>
      </c>
      <c r="M1797" s="8">
        <f>I1797/I$1800</f>
        <v>0.55813124723382979</v>
      </c>
    </row>
    <row r="1798" spans="2:13" ht="15.75">
      <c r="B1798" s="66" t="s">
        <v>1800</v>
      </c>
      <c r="C1798" s="125">
        <f>Content!L58</f>
        <v>383.6</v>
      </c>
      <c r="D1798" s="125">
        <f>Content!M58</f>
        <v>389.1</v>
      </c>
      <c r="E1798" s="125">
        <f>Content!N58</f>
        <v>379.5</v>
      </c>
      <c r="F1798" s="125">
        <f>Content!O58</f>
        <v>417.8</v>
      </c>
      <c r="H1798" s="116">
        <f t="shared" si="114"/>
        <v>8.5440828647951286E-2</v>
      </c>
      <c r="I1798" s="116">
        <f t="shared" si="115"/>
        <v>8.7952111581638057E-2</v>
      </c>
      <c r="J1798" s="116">
        <f t="shared" si="116"/>
        <v>0.10096443774571791</v>
      </c>
      <c r="K1798" s="116">
        <f t="shared" si="117"/>
        <v>9.7707482784552088E-2</v>
      </c>
      <c r="M1798" s="8">
        <f>I1798/I$1800</f>
        <v>0.21526336814636418</v>
      </c>
    </row>
    <row r="1799" spans="2:13" ht="15.75">
      <c r="B1799" s="67" t="s">
        <v>1535</v>
      </c>
      <c r="C1799" s="154">
        <f>C1800-C1797-C1798</f>
        <v>556.45194805194808</v>
      </c>
      <c r="D1799" s="154">
        <f>D1800-D1797-D1798</f>
        <v>409.60129870129867</v>
      </c>
      <c r="E1799" s="154">
        <f>E1800-E1797-E1798</f>
        <v>377.63221601489772</v>
      </c>
      <c r="F1799" s="154">
        <f>F1800-F1797-F1798</f>
        <v>409.38604741320131</v>
      </c>
      <c r="H1799" s="123">
        <f t="shared" si="114"/>
        <v>0.12394086429698953</v>
      </c>
      <c r="I1799" s="123">
        <f t="shared" si="115"/>
        <v>9.2586222378207336E-2</v>
      </c>
      <c r="J1799" s="123">
        <f t="shared" si="116"/>
        <v>0.10046752138238113</v>
      </c>
      <c r="K1799" s="123">
        <f t="shared" si="117"/>
        <v>9.5739780229442781E-2</v>
      </c>
      <c r="M1799" s="8">
        <f>I1799/I$1800</f>
        <v>0.22660538461980603</v>
      </c>
    </row>
    <row r="1800" spans="2:13" ht="15.75">
      <c r="B1800" s="66" t="s">
        <v>1610</v>
      </c>
      <c r="C1800" s="125">
        <f>Master!Q17/Master!Q$7</f>
        <v>2039.012987012987</v>
      </c>
      <c r="D1800" s="125">
        <f>Master!R17/Master!R$7</f>
        <v>1807.5532467532469</v>
      </c>
      <c r="E1800" s="125">
        <f>Master!S17/Master!S$7</f>
        <v>1518.2960893854749</v>
      </c>
      <c r="F1800" s="125">
        <f>Master!T17/Master!T$7</f>
        <v>1771.8006780445976</v>
      </c>
      <c r="H1800" s="116">
        <f t="shared" si="114"/>
        <v>0.45415787078812286</v>
      </c>
      <c r="I1800" s="116">
        <f t="shared" si="115"/>
        <v>0.40857909238805884</v>
      </c>
      <c r="J1800" s="116">
        <f t="shared" si="116"/>
        <v>0.40393652436449734</v>
      </c>
      <c r="K1800" s="116">
        <f t="shared" si="117"/>
        <v>0.41435659226352378</v>
      </c>
    </row>
    <row r="1801" spans="2:13" ht="15.75">
      <c r="B1801" s="66" t="s">
        <v>1801</v>
      </c>
      <c r="C1801" s="125">
        <f>Master!Q23*0.587/Master!Q$7</f>
        <v>670.91812987012986</v>
      </c>
      <c r="D1801" s="125">
        <f>Master!R23*0.587/Master!R$7</f>
        <v>650.94488311688303</v>
      </c>
      <c r="E1801" s="125">
        <f>Master!S23*0.587/Master!S$7</f>
        <v>604.89147579143389</v>
      </c>
      <c r="F1801" s="125">
        <f>Master!T23*0.587/Master!T$7</f>
        <v>637.38141852309013</v>
      </c>
      <c r="H1801" s="116">
        <f t="shared" si="114"/>
        <v>0.14943639460645905</v>
      </c>
      <c r="I1801" s="116">
        <f t="shared" si="115"/>
        <v>0.14713949368643647</v>
      </c>
      <c r="J1801" s="116">
        <f t="shared" si="116"/>
        <v>0.16092892687868157</v>
      </c>
      <c r="K1801" s="116">
        <f t="shared" si="117"/>
        <v>0.14905920052067548</v>
      </c>
    </row>
    <row r="1802" spans="2:13" ht="15.75">
      <c r="B1802" s="66" t="s">
        <v>1802</v>
      </c>
      <c r="C1802" s="125">
        <f>Master!Q21*0.84/Master!Q$7</f>
        <v>1581.0763636363636</v>
      </c>
      <c r="D1802" s="125">
        <f>Master!R21*0.84/Master!R$7</f>
        <v>1819.7236363636364</v>
      </c>
      <c r="E1802" s="125">
        <f>Master!S21*0.84/Master!S$7</f>
        <v>1774.1324022346366</v>
      </c>
      <c r="F1802" s="125">
        <f>Master!T21*0.84/Master!T$7</f>
        <v>1988.4900094725633</v>
      </c>
      <c r="H1802" s="116">
        <f t="shared" si="114"/>
        <v>0.35215973583102306</v>
      </c>
      <c r="I1802" s="116">
        <f t="shared" si="115"/>
        <v>0.41133008561603362</v>
      </c>
      <c r="J1802" s="116">
        <f t="shared" si="116"/>
        <v>0.47200073907267442</v>
      </c>
      <c r="K1802" s="116">
        <f t="shared" si="117"/>
        <v>0.46503196114838269</v>
      </c>
    </row>
    <row r="1803" spans="2:13" ht="15.75">
      <c r="B1803" s="67" t="s">
        <v>195</v>
      </c>
      <c r="C1803" s="154">
        <f>Master!Q25/Master!Q$7</f>
        <v>448.6233766233766</v>
      </c>
      <c r="D1803" s="154">
        <f>Master!R25/Master!R$7</f>
        <v>425.98441558441561</v>
      </c>
      <c r="E1803" s="154">
        <f>Master!S25/Master!S$7</f>
        <v>199.06890130353818</v>
      </c>
      <c r="F1803" s="154">
        <f>Master!T25/Master!T$7</f>
        <v>247.91574151489172</v>
      </c>
      <c r="H1803" s="123">
        <f t="shared" si="114"/>
        <v>9.9923756646358788E-2</v>
      </c>
      <c r="I1803" s="123">
        <f t="shared" si="115"/>
        <v>9.6289459911383699E-2</v>
      </c>
      <c r="J1803" s="123">
        <f t="shared" si="116"/>
        <v>5.2961474816257036E-2</v>
      </c>
      <c r="K1803" s="123">
        <f t="shared" si="117"/>
        <v>5.7978035055255499E-2</v>
      </c>
    </row>
    <row r="1804" spans="2:13" ht="15.75">
      <c r="B1804" s="66" t="s">
        <v>196</v>
      </c>
      <c r="C1804" s="125">
        <f>C1800+C1801+C1802+C1803</f>
        <v>4739.6308571428563</v>
      </c>
      <c r="D1804" s="125">
        <f>D1800+D1801+D1802+D1803</f>
        <v>4704.2061818181819</v>
      </c>
      <c r="E1804" s="125">
        <f>E1800+E1801+E1802+E1803</f>
        <v>4096.3888687150838</v>
      </c>
      <c r="F1804" s="125">
        <f>F1800+F1801+F1802+F1803</f>
        <v>4645.5878475551435</v>
      </c>
      <c r="H1804" s="116">
        <f t="shared" si="114"/>
        <v>1.0556777578719636</v>
      </c>
      <c r="I1804" s="116">
        <f t="shared" si="115"/>
        <v>1.0633381316019126</v>
      </c>
      <c r="J1804" s="116">
        <f t="shared" si="116"/>
        <v>1.0898276651321104</v>
      </c>
      <c r="K1804" s="116">
        <f t="shared" si="117"/>
        <v>1.0864257889878377</v>
      </c>
    </row>
    <row r="1805" spans="2:13" ht="15.75">
      <c r="B1805" s="67" t="s">
        <v>197</v>
      </c>
      <c r="C1805" s="154">
        <f>Master!Q27/Master!Q$7</f>
        <v>-249.97402597402598</v>
      </c>
      <c r="D1805" s="154">
        <f>Master!R27/Master!R$7</f>
        <v>-280.20779220779218</v>
      </c>
      <c r="E1805" s="154">
        <f>Master!S27/Master!S$7</f>
        <v>-337.63966480446925</v>
      </c>
      <c r="F1805" s="154">
        <f>Master!T27/Master!T$7</f>
        <v>-369.55915360893374</v>
      </c>
      <c r="H1805" s="123">
        <f t="shared" si="114"/>
        <v>-5.5677757871963704E-2</v>
      </c>
      <c r="I1805" s="123">
        <f t="shared" si="115"/>
        <v>-6.3338131601912581E-2</v>
      </c>
      <c r="J1805" s="123">
        <f t="shared" si="116"/>
        <v>-8.9827665132110407E-2</v>
      </c>
      <c r="K1805" s="123">
        <f t="shared" si="117"/>
        <v>-8.6425788987837565E-2</v>
      </c>
    </row>
    <row r="1806" spans="2:13" ht="15.75">
      <c r="B1806" s="66" t="s">
        <v>198</v>
      </c>
      <c r="C1806" s="125">
        <f>C1804+C1805</f>
        <v>4489.6568311688306</v>
      </c>
      <c r="D1806" s="125">
        <f>D1804+D1805</f>
        <v>4423.9983896103895</v>
      </c>
      <c r="E1806" s="125">
        <f>E1804+E1805</f>
        <v>3758.7492039106146</v>
      </c>
      <c r="F1806" s="125">
        <f>F1804+F1805</f>
        <v>4276.0286939462094</v>
      </c>
      <c r="H1806" s="116">
        <f t="shared" si="114"/>
        <v>1</v>
      </c>
      <c r="I1806" s="116">
        <f t="shared" si="115"/>
        <v>1</v>
      </c>
      <c r="J1806" s="116">
        <f t="shared" si="116"/>
        <v>1</v>
      </c>
      <c r="K1806" s="116">
        <f t="shared" si="117"/>
        <v>1</v>
      </c>
    </row>
    <row r="1807" spans="2:13" ht="15.75">
      <c r="B1807" s="66"/>
      <c r="C1807" s="66"/>
      <c r="D1807" s="66"/>
      <c r="E1807" s="66"/>
      <c r="F1807" s="66"/>
    </row>
    <row r="1808" spans="2:13" ht="15.75">
      <c r="B1808" s="74"/>
      <c r="C1808" s="470"/>
      <c r="D1808" s="470"/>
      <c r="E1808" s="470"/>
      <c r="F1808" s="470"/>
      <c r="G1808" s="42"/>
      <c r="H1808" s="391" t="s">
        <v>1069</v>
      </c>
      <c r="I1808" s="391" t="s">
        <v>1069</v>
      </c>
      <c r="J1808" s="391" t="s">
        <v>1069</v>
      </c>
      <c r="K1808" s="391" t="s">
        <v>1069</v>
      </c>
    </row>
    <row r="1809" spans="2:11" ht="15.75">
      <c r="B1809" s="217" t="s">
        <v>1803</v>
      </c>
      <c r="C1809" s="217">
        <v>2018</v>
      </c>
      <c r="D1809" s="217">
        <f>C1809+1</f>
        <v>2019</v>
      </c>
      <c r="E1809" s="217">
        <f>D1809+1</f>
        <v>2020</v>
      </c>
      <c r="F1809" s="217">
        <f>E1809+1</f>
        <v>2021</v>
      </c>
      <c r="G1809" s="42"/>
      <c r="H1809" s="217">
        <v>2018</v>
      </c>
      <c r="I1809" s="217">
        <f>H1809+1</f>
        <v>2019</v>
      </c>
      <c r="J1809" s="217">
        <f>I1809+1</f>
        <v>2020</v>
      </c>
      <c r="K1809" s="217">
        <f>J1809+1</f>
        <v>2021</v>
      </c>
    </row>
    <row r="1810" spans="2:11" ht="15.75">
      <c r="B1810" s="66" t="s">
        <v>94</v>
      </c>
      <c r="C1810" s="125">
        <f>Master!Q53/Master!Q$7</f>
        <v>771.68831168831173</v>
      </c>
      <c r="D1810" s="125">
        <f>Master!R53/Master!R$7</f>
        <v>656.20779220779218</v>
      </c>
      <c r="E1810" s="125">
        <f>Master!S53/Master!S$7</f>
        <v>575.45623836126629</v>
      </c>
      <c r="F1810" s="125">
        <f>Master!T53/Master!T$7</f>
        <v>679.25294830758833</v>
      </c>
      <c r="H1810" s="116">
        <f t="shared" ref="H1810:K1816" si="118">C1810/C$1816</f>
        <v>0.49368152453640385</v>
      </c>
      <c r="I1810" s="116">
        <f t="shared" si="118"/>
        <v>0.39970323490345844</v>
      </c>
      <c r="J1810" s="116">
        <f t="shared" si="118"/>
        <v>0.3861122705703664</v>
      </c>
      <c r="K1810" s="116">
        <f t="shared" si="118"/>
        <v>0.37398457650585298</v>
      </c>
    </row>
    <row r="1811" spans="2:11" ht="15.75">
      <c r="B1811" s="66" t="str">
        <f>B1801</f>
        <v>Sky (58.7%)</v>
      </c>
      <c r="C1811" s="125">
        <f>Master!Q55*0.587/Master!Q$7</f>
        <v>297.83007792207786</v>
      </c>
      <c r="D1811" s="125">
        <f>Master!R55*0.587/Master!R$7</f>
        <v>278.13127272727274</v>
      </c>
      <c r="E1811" s="125">
        <f>Master!S55*0.587/Master!S$7</f>
        <v>249.66082867783982</v>
      </c>
      <c r="F1811" s="125">
        <f>Master!T55*0.587/Master!T$7</f>
        <v>246.08514520643513</v>
      </c>
      <c r="H1811" s="116">
        <f t="shared" si="118"/>
        <v>0.19053444855175505</v>
      </c>
      <c r="I1811" s="116">
        <f t="shared" si="118"/>
        <v>0.16941275424797808</v>
      </c>
      <c r="J1811" s="116">
        <f t="shared" si="118"/>
        <v>0.1675142313302419</v>
      </c>
      <c r="K1811" s="116">
        <f t="shared" si="118"/>
        <v>0.13549009841431681</v>
      </c>
    </row>
    <row r="1812" spans="2:11" ht="15.75">
      <c r="B1812" s="66" t="str">
        <f>B1802</f>
        <v>Cable and Telecom (blended 84%)</v>
      </c>
      <c r="C1812" s="125">
        <f>Master!Q56*0.84/Master!Q$7</f>
        <v>667.76727272727271</v>
      </c>
      <c r="D1812" s="125">
        <f>Master!R56*0.84/Master!R$7</f>
        <v>776.64</v>
      </c>
      <c r="E1812" s="125">
        <f>Master!S56*0.84/Master!S$7</f>
        <v>739.03966480446923</v>
      </c>
      <c r="F1812" s="125">
        <f>Master!T56*0.84/Master!T$7</f>
        <v>839.97842277322877</v>
      </c>
      <c r="H1812" s="116">
        <f t="shared" si="118"/>
        <v>0.42719885767645194</v>
      </c>
      <c r="I1812" s="116">
        <f t="shared" si="118"/>
        <v>0.47305978996531611</v>
      </c>
      <c r="J1812" s="116">
        <f t="shared" si="118"/>
        <v>0.49587138690479277</v>
      </c>
      <c r="K1812" s="116">
        <f t="shared" si="118"/>
        <v>0.46247716038274406</v>
      </c>
    </row>
    <row r="1813" spans="2:11" ht="15.75">
      <c r="B1813" s="66" t="str">
        <f>B1803</f>
        <v>Other Businesses</v>
      </c>
      <c r="C1813" s="125">
        <f>Master!Q57/Master!Q$7</f>
        <v>39.168831168831169</v>
      </c>
      <c r="D1813" s="125">
        <f>Master!R57/Master!R$7</f>
        <v>76.051948051948045</v>
      </c>
      <c r="E1813" s="125">
        <f>Master!S57/Master!S$7</f>
        <v>5.4236499068901303</v>
      </c>
      <c r="F1813" s="125">
        <f>Master!T57/Master!T$7</f>
        <v>44.726482328142453</v>
      </c>
      <c r="H1813" s="116">
        <f t="shared" si="118"/>
        <v>2.5057951497842373E-2</v>
      </c>
      <c r="I1813" s="116">
        <f t="shared" si="118"/>
        <v>4.6324060789951167E-2</v>
      </c>
      <c r="J1813" s="116">
        <f t="shared" si="118"/>
        <v>3.6390912822347812E-3</v>
      </c>
      <c r="K1813" s="116">
        <f t="shared" si="118"/>
        <v>2.4625604634861777E-2</v>
      </c>
    </row>
    <row r="1814" spans="2:11" ht="15.75">
      <c r="B1814" s="66" t="str">
        <f>Master!B61</f>
        <v>Corporate Expenses</v>
      </c>
      <c r="C1814" s="125">
        <f>Master!Q61/Master!Q$7</f>
        <v>-111.94805194805195</v>
      </c>
      <c r="D1814" s="125">
        <f>Master!R61/Master!R$7</f>
        <v>-98.077922077922082</v>
      </c>
      <c r="E1814" s="125">
        <f>Master!S61/Master!S$7</f>
        <v>-87.658286778398519</v>
      </c>
      <c r="F1814" s="125">
        <f>Master!T61/Master!T$7</f>
        <v>-108.62427401086951</v>
      </c>
      <c r="H1814" s="116">
        <f t="shared" si="118"/>
        <v>-7.1617885249138355E-2</v>
      </c>
      <c r="I1814" s="116">
        <f t="shared" si="118"/>
        <v>-5.9740318832942493E-2</v>
      </c>
      <c r="J1814" s="116">
        <f t="shared" si="118"/>
        <v>-5.8815836698024641E-2</v>
      </c>
      <c r="K1814" s="116">
        <f t="shared" si="118"/>
        <v>-5.9806590778042464E-2</v>
      </c>
    </row>
    <row r="1815" spans="2:11" ht="15.75">
      <c r="B1815" s="67" t="str">
        <f>Master!B62</f>
        <v>Other expenses</v>
      </c>
      <c r="C1815" s="154">
        <f>Master!Q62/Master!Q$7</f>
        <v>-101.37662337662339</v>
      </c>
      <c r="D1815" s="154">
        <f>Master!R62/Master!R$7</f>
        <v>-47.215584415584416</v>
      </c>
      <c r="E1815" s="154">
        <f>Master!S62/Master!S$7</f>
        <v>8.4636871508379894</v>
      </c>
      <c r="F1815" s="154">
        <f>Master!T62/Master!T$7</f>
        <v>114.84053039969213</v>
      </c>
      <c r="H1815" s="123">
        <f t="shared" si="118"/>
        <v>-6.4854897013314858E-2</v>
      </c>
      <c r="I1815" s="123">
        <f t="shared" si="118"/>
        <v>-2.8759521073761351E-2</v>
      </c>
      <c r="J1815" s="123">
        <f t="shared" si="118"/>
        <v>5.6788566103886983E-3</v>
      </c>
      <c r="K1815" s="123">
        <f t="shared" si="118"/>
        <v>6.3229150840266715E-2</v>
      </c>
    </row>
    <row r="1816" spans="2:11" ht="15.75">
      <c r="B1816" s="66" t="str">
        <f>Master!B63</f>
        <v>Clean EBITDA</v>
      </c>
      <c r="C1816" s="125">
        <f>C1810+C1811+C1812+C1813+C1814+C1815</f>
        <v>1563.1298181818181</v>
      </c>
      <c r="D1816" s="125">
        <f>D1810+D1811+D1812+D1813+D1814+D1815</f>
        <v>1641.7375064935065</v>
      </c>
      <c r="E1816" s="125">
        <f>E1810+E1811+E1812+E1813+E1814+E1815</f>
        <v>1490.3857821229051</v>
      </c>
      <c r="F1816" s="125">
        <f>F1810+F1811+F1812+F1813+F1814+F1815</f>
        <v>1816.2592550042175</v>
      </c>
      <c r="H1816" s="116">
        <f t="shared" si="118"/>
        <v>1</v>
      </c>
      <c r="I1816" s="116">
        <f t="shared" si="118"/>
        <v>1</v>
      </c>
      <c r="J1816" s="116">
        <f t="shared" si="118"/>
        <v>1</v>
      </c>
      <c r="K1816" s="116">
        <f t="shared" si="118"/>
        <v>1</v>
      </c>
    </row>
    <row r="1817" spans="2:11" ht="15.75">
      <c r="B1817" s="66"/>
      <c r="C1817" s="125"/>
      <c r="D1817" s="125"/>
      <c r="E1817" s="125"/>
      <c r="F1817" s="125"/>
      <c r="H1817" s="116"/>
      <c r="I1817" s="116"/>
      <c r="J1817" s="116"/>
      <c r="K1817" s="116"/>
    </row>
    <row r="1818" spans="2:11" ht="15.75">
      <c r="B1818" s="66"/>
      <c r="C1818" s="470"/>
      <c r="D1818" s="470"/>
      <c r="E1818" s="470"/>
      <c r="F1818" s="470"/>
      <c r="G1818" s="42"/>
      <c r="H1818" s="391" t="s">
        <v>1069</v>
      </c>
      <c r="I1818" s="391" t="s">
        <v>1069</v>
      </c>
      <c r="J1818" s="391" t="s">
        <v>1069</v>
      </c>
      <c r="K1818" s="391" t="s">
        <v>1069</v>
      </c>
    </row>
    <row r="1819" spans="2:11" ht="15.75">
      <c r="B1819" s="217" t="s">
        <v>1804</v>
      </c>
      <c r="C1819" s="217">
        <v>2018</v>
      </c>
      <c r="D1819" s="217">
        <f>C1819+1</f>
        <v>2019</v>
      </c>
      <c r="E1819" s="217">
        <f>D1819+1</f>
        <v>2020</v>
      </c>
      <c r="F1819" s="217">
        <f>E1819+1</f>
        <v>2021</v>
      </c>
      <c r="G1819" s="42"/>
      <c r="H1819" s="217">
        <v>2018</v>
      </c>
      <c r="I1819" s="217">
        <f>H1819+1</f>
        <v>2019</v>
      </c>
      <c r="J1819" s="217">
        <f>I1819+1</f>
        <v>2020</v>
      </c>
      <c r="K1819" s="217">
        <f>J1819+1</f>
        <v>2021</v>
      </c>
    </row>
    <row r="1820" spans="2:11" ht="15.75">
      <c r="B1820" s="66" t="s">
        <v>1805</v>
      </c>
      <c r="C1820" s="125">
        <f>Master!Q82/Master!Q$7</f>
        <v>94.8</v>
      </c>
      <c r="D1820" s="125">
        <f>Master!R82/Master!R$7</f>
        <v>107.80000000000001</v>
      </c>
      <c r="E1820" s="125">
        <f>Master!S82/Master!S$7</f>
        <v>26.7</v>
      </c>
      <c r="F1820" s="125">
        <f>Master!T82/Master!T$7</f>
        <v>50.5</v>
      </c>
      <c r="H1820" s="116">
        <f t="shared" ref="H1820:K1823" si="119">C1820/C$1823</f>
        <v>0.12209647373019669</v>
      </c>
      <c r="I1820" s="116">
        <f t="shared" si="119"/>
        <v>0.17221963147235486</v>
      </c>
      <c r="J1820" s="116">
        <f t="shared" si="119"/>
        <v>3.6571965821237881E-2</v>
      </c>
      <c r="K1820" s="116">
        <f t="shared" si="119"/>
        <v>5.53991276776565E-2</v>
      </c>
    </row>
    <row r="1821" spans="2:11" ht="15.75">
      <c r="B1821" s="66" t="str">
        <f>B1811</f>
        <v>Sky (58.7%)</v>
      </c>
      <c r="C1821" s="125">
        <f>Master!Q83*0.587/Master!Q$7</f>
        <v>123.03519999999997</v>
      </c>
      <c r="D1821" s="125">
        <f>Master!R83*0.587/Master!R$7</f>
        <v>122.74169999999999</v>
      </c>
      <c r="E1821" s="125">
        <f>Master!S83*0.587/Master!S$7</f>
        <v>146.8674</v>
      </c>
      <c r="F1821" s="125">
        <f>Master!T83*0.587/Master!T$7</f>
        <v>143.28669999999997</v>
      </c>
      <c r="H1821" s="116">
        <f t="shared" si="119"/>
        <v>0.15846164625199888</v>
      </c>
      <c r="I1821" s="116">
        <f t="shared" si="119"/>
        <v>0.1960902628969419</v>
      </c>
      <c r="J1821" s="116">
        <f t="shared" si="119"/>
        <v>0.2011696454327368</v>
      </c>
      <c r="K1821" s="116">
        <f t="shared" si="119"/>
        <v>0.15718729084772401</v>
      </c>
    </row>
    <row r="1822" spans="2:11" ht="15.75">
      <c r="B1822" s="67" t="str">
        <f>B1812</f>
        <v>Cable and Telecom (blended 84%)</v>
      </c>
      <c r="C1822" s="154">
        <f>Master!Q84*0.84/Master!Q$7</f>
        <v>558.59999999999991</v>
      </c>
      <c r="D1822" s="125">
        <f>Master!R84*0.587/Master!R$7</f>
        <v>395.40319999999997</v>
      </c>
      <c r="E1822" s="154">
        <f>Master!S84*0.84/Master!S$7</f>
        <v>556.49999999999989</v>
      </c>
      <c r="F1822" s="154">
        <f>Master!T84*0.84/Master!T$7</f>
        <v>717.78</v>
      </c>
      <c r="H1822" s="123">
        <f t="shared" si="119"/>
        <v>0.7194418800178044</v>
      </c>
      <c r="I1822" s="123">
        <f t="shared" si="119"/>
        <v>0.63169010563070327</v>
      </c>
      <c r="J1822" s="123">
        <f t="shared" si="119"/>
        <v>0.76225838874602536</v>
      </c>
      <c r="K1822" s="123">
        <f t="shared" si="119"/>
        <v>0.78741358147461948</v>
      </c>
    </row>
    <row r="1823" spans="2:11" ht="15.75">
      <c r="B1823" s="66" t="s">
        <v>35</v>
      </c>
      <c r="C1823" s="125">
        <f>C1820+C1821+C1822</f>
        <v>776.4351999999999</v>
      </c>
      <c r="D1823" s="125">
        <f>D1820+D1821+D1822</f>
        <v>625.94489999999996</v>
      </c>
      <c r="E1823" s="125">
        <f>E1820+E1821+E1822</f>
        <v>730.06739999999991</v>
      </c>
      <c r="F1823" s="125">
        <f>F1820+F1821+F1822</f>
        <v>911.56669999999997</v>
      </c>
      <c r="H1823" s="116">
        <f t="shared" si="119"/>
        <v>1</v>
      </c>
      <c r="I1823" s="116">
        <f t="shared" si="119"/>
        <v>1</v>
      </c>
      <c r="J1823" s="116">
        <f t="shared" si="119"/>
        <v>1</v>
      </c>
      <c r="K1823" s="116">
        <f t="shared" si="119"/>
        <v>1</v>
      </c>
    </row>
    <row r="1824" spans="2:11" ht="15.75">
      <c r="B1824" s="66"/>
      <c r="C1824" s="470"/>
      <c r="D1824" s="470"/>
      <c r="E1824" s="470"/>
      <c r="F1824" s="470"/>
      <c r="G1824" s="42"/>
    </row>
    <row r="1825" spans="2:15" ht="15.75">
      <c r="B1825" s="66"/>
      <c r="C1825" s="470"/>
      <c r="D1825" s="470"/>
      <c r="E1825" s="470"/>
      <c r="F1825" s="470"/>
      <c r="G1825" s="42"/>
      <c r="H1825" s="391" t="s">
        <v>1069</v>
      </c>
      <c r="I1825" s="391" t="s">
        <v>1069</v>
      </c>
      <c r="J1825" s="391" t="s">
        <v>1069</v>
      </c>
      <c r="K1825" s="391" t="s">
        <v>1069</v>
      </c>
    </row>
    <row r="1826" spans="2:15" ht="15.75">
      <c r="B1826" s="217" t="s">
        <v>1806</v>
      </c>
      <c r="C1826" s="217">
        <v>2018</v>
      </c>
      <c r="D1826" s="217">
        <f>C1826+1</f>
        <v>2019</v>
      </c>
      <c r="E1826" s="217">
        <f>D1826+1</f>
        <v>2020</v>
      </c>
      <c r="F1826" s="217">
        <f>E1826+1</f>
        <v>2021</v>
      </c>
      <c r="G1826" s="42"/>
      <c r="H1826" s="217">
        <v>2018</v>
      </c>
      <c r="I1826" s="217">
        <f>H1826+1</f>
        <v>2019</v>
      </c>
      <c r="J1826" s="217">
        <f>I1826+1</f>
        <v>2020</v>
      </c>
      <c r="K1826" s="217">
        <f>J1826+1</f>
        <v>2021</v>
      </c>
    </row>
    <row r="1827" spans="2:15" ht="15.75">
      <c r="B1827" s="66" t="str">
        <f>B1820</f>
        <v>Content / other</v>
      </c>
      <c r="C1827" s="125">
        <f>(C1810+C1813+C1814+C1815)-C1820</f>
        <v>502.73246753246764</v>
      </c>
      <c r="D1827" s="125">
        <f>(D1810+D1813+D1814+D1815)-D1820</f>
        <v>479.1662337662338</v>
      </c>
      <c r="E1827" s="125">
        <f>(E1810+E1813+E1814+E1815)-E1820</f>
        <v>474.98528864059585</v>
      </c>
      <c r="F1827" s="125">
        <f>(F1810+F1813+F1814+F1815)-F1820</f>
        <v>679.69568702455342</v>
      </c>
      <c r="H1827" s="116">
        <f t="shared" ref="H1827:K1830" si="120">C1827/C$1830</f>
        <v>0.63904398976869281</v>
      </c>
      <c r="I1827" s="116">
        <f t="shared" si="120"/>
        <v>0.47171659913956743</v>
      </c>
      <c r="J1827" s="116">
        <f t="shared" si="120"/>
        <v>0.62471893328999484</v>
      </c>
      <c r="K1827" s="116">
        <f t="shared" si="120"/>
        <v>0.75130018840641932</v>
      </c>
    </row>
    <row r="1828" spans="2:15" ht="15.75">
      <c r="B1828" s="66" t="str">
        <f>B1821</f>
        <v>Sky (58.7%)</v>
      </c>
      <c r="C1828" s="125">
        <f t="shared" ref="C1828:F1829" si="121">C1811-C1821</f>
        <v>174.79487792207789</v>
      </c>
      <c r="D1828" s="125">
        <f t="shared" si="121"/>
        <v>155.38957272727276</v>
      </c>
      <c r="E1828" s="125">
        <f t="shared" si="121"/>
        <v>102.79342867783981</v>
      </c>
      <c r="F1828" s="125">
        <f t="shared" si="121"/>
        <v>102.79844520643516</v>
      </c>
      <c r="H1828" s="116">
        <f t="shared" si="120"/>
        <v>0.2221889839872781</v>
      </c>
      <c r="I1828" s="116">
        <f t="shared" si="120"/>
        <v>0.15297371897958001</v>
      </c>
      <c r="J1828" s="116">
        <f t="shared" si="120"/>
        <v>0.13519787380495468</v>
      </c>
      <c r="K1828" s="116">
        <f t="shared" si="120"/>
        <v>0.11362804373465409</v>
      </c>
    </row>
    <row r="1829" spans="2:15" ht="15.75">
      <c r="B1829" s="67" t="str">
        <f>B1822</f>
        <v>Cable and Telecom (blended 84%)</v>
      </c>
      <c r="C1829" s="154">
        <f t="shared" si="121"/>
        <v>109.1672727272728</v>
      </c>
      <c r="D1829" s="154">
        <f t="shared" si="121"/>
        <v>381.23680000000002</v>
      </c>
      <c r="E1829" s="154">
        <f t="shared" si="121"/>
        <v>182.53966480446934</v>
      </c>
      <c r="F1829" s="154">
        <f t="shared" si="121"/>
        <v>122.1984227732288</v>
      </c>
      <c r="H1829" s="123">
        <f t="shared" si="120"/>
        <v>0.13876702624402906</v>
      </c>
      <c r="I1829" s="123">
        <f t="shared" si="120"/>
        <v>0.37530968188085256</v>
      </c>
      <c r="J1829" s="123">
        <f t="shared" si="120"/>
        <v>0.24008319290505056</v>
      </c>
      <c r="K1829" s="123">
        <f t="shared" si="120"/>
        <v>0.13507176785892655</v>
      </c>
    </row>
    <row r="1830" spans="2:15" ht="15.75">
      <c r="B1830" s="66" t="s">
        <v>36</v>
      </c>
      <c r="C1830" s="125">
        <f>C1827+C1828+C1829</f>
        <v>786.69461818181833</v>
      </c>
      <c r="D1830" s="125">
        <f>D1827+D1828+D1829</f>
        <v>1015.7926064935066</v>
      </c>
      <c r="E1830" s="125">
        <f>E1827+E1828+E1829</f>
        <v>760.31838212290495</v>
      </c>
      <c r="F1830" s="125">
        <f>F1827+F1828+F1829</f>
        <v>904.69255500421741</v>
      </c>
      <c r="H1830" s="116">
        <f t="shared" si="120"/>
        <v>1</v>
      </c>
      <c r="I1830" s="116">
        <f t="shared" si="120"/>
        <v>1</v>
      </c>
      <c r="J1830" s="116">
        <f t="shared" si="120"/>
        <v>1</v>
      </c>
      <c r="K1830" s="116">
        <f t="shared" si="120"/>
        <v>1</v>
      </c>
    </row>
    <row r="1832" spans="2:15">
      <c r="B1832" s="577"/>
      <c r="C1832" s="578"/>
      <c r="D1832" s="579" t="s">
        <v>1288</v>
      </c>
      <c r="E1832" s="579" t="s">
        <v>1288</v>
      </c>
      <c r="F1832" s="579" t="s">
        <v>1288</v>
      </c>
      <c r="G1832" s="145"/>
      <c r="L1832" s="578"/>
      <c r="M1832" s="579" t="s">
        <v>1288</v>
      </c>
      <c r="N1832" s="579" t="s">
        <v>1288</v>
      </c>
      <c r="O1832" s="579" t="s">
        <v>1288</v>
      </c>
    </row>
    <row r="1833" spans="2:15">
      <c r="B1833" s="580" t="s">
        <v>1807</v>
      </c>
      <c r="C1833" s="574" t="s">
        <v>1808</v>
      </c>
      <c r="D1833" s="574" t="s">
        <v>1809</v>
      </c>
      <c r="E1833" s="574" t="s">
        <v>1810</v>
      </c>
      <c r="F1833" s="574" t="s">
        <v>1811</v>
      </c>
      <c r="G1833" s="581" t="s">
        <v>518</v>
      </c>
      <c r="H1833" s="574" t="s">
        <v>6</v>
      </c>
      <c r="I1833" s="574" t="s">
        <v>1812</v>
      </c>
      <c r="L1833" s="574" t="s">
        <v>1808</v>
      </c>
      <c r="M1833" s="574" t="s">
        <v>1809</v>
      </c>
      <c r="N1833" s="574" t="s">
        <v>1810</v>
      </c>
      <c r="O1833" s="574" t="s">
        <v>1811</v>
      </c>
    </row>
    <row r="1834" spans="2:15">
      <c r="B1834" s="582"/>
      <c r="G1834" s="132"/>
    </row>
    <row r="1835" spans="2:15">
      <c r="B1835" s="583" t="s">
        <v>1813</v>
      </c>
      <c r="G1835" s="132"/>
    </row>
    <row r="1836" spans="2:15">
      <c r="B1836" s="582" t="s">
        <v>466</v>
      </c>
      <c r="C1836">
        <v>20</v>
      </c>
      <c r="D1836">
        <v>349</v>
      </c>
      <c r="F1836">
        <f>D1836</f>
        <v>349</v>
      </c>
      <c r="G1836" s="132"/>
      <c r="L1836">
        <v>20</v>
      </c>
      <c r="M1836">
        <v>349</v>
      </c>
      <c r="O1836">
        <f>M1836</f>
        <v>349</v>
      </c>
    </row>
    <row r="1837" spans="2:15">
      <c r="B1837" s="582" t="s">
        <v>466</v>
      </c>
      <c r="C1837">
        <v>30</v>
      </c>
      <c r="D1837">
        <v>399</v>
      </c>
      <c r="F1837">
        <f>D1837</f>
        <v>399</v>
      </c>
      <c r="G1837" s="132"/>
    </row>
    <row r="1838" spans="2:15">
      <c r="B1838" s="582" t="s">
        <v>466</v>
      </c>
      <c r="C1838">
        <v>100</v>
      </c>
      <c r="D1838">
        <v>549</v>
      </c>
      <c r="F1838">
        <f>D1838</f>
        <v>549</v>
      </c>
      <c r="G1838" s="132"/>
      <c r="L1838">
        <v>100</v>
      </c>
      <c r="M1838">
        <v>549</v>
      </c>
      <c r="O1838">
        <f>M1838</f>
        <v>549</v>
      </c>
    </row>
    <row r="1839" spans="2:15">
      <c r="B1839" s="582" t="s">
        <v>466</v>
      </c>
      <c r="C1839">
        <v>200</v>
      </c>
      <c r="D1839">
        <v>899</v>
      </c>
      <c r="F1839">
        <f>D1839</f>
        <v>899</v>
      </c>
      <c r="G1839" s="132"/>
    </row>
    <row r="1840" spans="2:15">
      <c r="B1840" s="582"/>
      <c r="D1840" t="s">
        <v>57</v>
      </c>
      <c r="G1840" s="132"/>
    </row>
    <row r="1841" spans="2:15">
      <c r="B1841" s="583" t="s">
        <v>1814</v>
      </c>
      <c r="G1841" s="132"/>
      <c r="H1841" s="3"/>
      <c r="I1841" s="3"/>
    </row>
    <row r="1842" spans="2:15">
      <c r="B1842" s="582" t="s">
        <v>466</v>
      </c>
      <c r="C1842">
        <v>20</v>
      </c>
      <c r="D1842">
        <v>389</v>
      </c>
      <c r="E1842">
        <v>389</v>
      </c>
      <c r="F1842" s="4">
        <f>((E1842*3)+(D1842*9))/12</f>
        <v>389</v>
      </c>
      <c r="G1842" s="133" t="s">
        <v>1292</v>
      </c>
      <c r="I1842" s="136" t="s">
        <v>1815</v>
      </c>
      <c r="J1842" s="3"/>
      <c r="L1842">
        <v>10</v>
      </c>
      <c r="M1842">
        <v>389</v>
      </c>
      <c r="O1842" s="4">
        <f>M1842</f>
        <v>389</v>
      </c>
    </row>
    <row r="1843" spans="2:15">
      <c r="B1843" s="582" t="s">
        <v>466</v>
      </c>
      <c r="C1843">
        <v>30</v>
      </c>
      <c r="D1843">
        <v>435</v>
      </c>
      <c r="E1843">
        <v>389</v>
      </c>
      <c r="F1843" s="4">
        <f>((E1843*3)+(D1843*9))/12</f>
        <v>423.5</v>
      </c>
      <c r="G1843" s="133" t="s">
        <v>1292</v>
      </c>
      <c r="I1843" s="136" t="s">
        <v>1815</v>
      </c>
      <c r="J1843" s="3"/>
      <c r="L1843">
        <v>20</v>
      </c>
      <c r="M1843">
        <v>435</v>
      </c>
      <c r="N1843">
        <v>389</v>
      </c>
      <c r="O1843" s="4">
        <f>(9*M1843+3*N1843)/12</f>
        <v>423.5</v>
      </c>
    </row>
    <row r="1844" spans="2:15">
      <c r="B1844" s="582" t="s">
        <v>466</v>
      </c>
      <c r="C1844">
        <v>40</v>
      </c>
      <c r="D1844">
        <v>499</v>
      </c>
      <c r="E1844">
        <v>435</v>
      </c>
      <c r="F1844" s="4">
        <f>((E1844*3)+(D1844*9))/12</f>
        <v>483</v>
      </c>
      <c r="G1844" s="133" t="s">
        <v>1292</v>
      </c>
      <c r="I1844" s="136" t="s">
        <v>1815</v>
      </c>
      <c r="J1844" s="3"/>
      <c r="O1844" s="4"/>
    </row>
    <row r="1845" spans="2:15">
      <c r="B1845" s="582" t="s">
        <v>466</v>
      </c>
      <c r="C1845">
        <v>150</v>
      </c>
      <c r="D1845">
        <v>599</v>
      </c>
      <c r="E1845">
        <v>499</v>
      </c>
      <c r="F1845" s="4">
        <f>((E1845*3)+(D1845*9))/12</f>
        <v>574</v>
      </c>
      <c r="G1845" s="133" t="s">
        <v>1292</v>
      </c>
      <c r="I1845" s="136" t="s">
        <v>1815</v>
      </c>
      <c r="J1845" s="3"/>
      <c r="L1845">
        <v>50</v>
      </c>
      <c r="M1845">
        <v>599</v>
      </c>
      <c r="N1845">
        <v>499</v>
      </c>
      <c r="O1845" s="4">
        <f>(9*M1845+3*N1845)/12</f>
        <v>574</v>
      </c>
    </row>
    <row r="1846" spans="2:15">
      <c r="B1846" s="582" t="s">
        <v>466</v>
      </c>
      <c r="C1846">
        <v>200</v>
      </c>
      <c r="D1846">
        <v>999</v>
      </c>
      <c r="E1846">
        <v>999</v>
      </c>
      <c r="F1846" s="4">
        <f>((E1846*3)+(D1846*9))/12</f>
        <v>999</v>
      </c>
      <c r="G1846" s="133" t="s">
        <v>1292</v>
      </c>
      <c r="I1846" s="136" t="s">
        <v>1815</v>
      </c>
      <c r="J1846" s="3"/>
      <c r="L1846">
        <v>200</v>
      </c>
      <c r="M1846">
        <v>999</v>
      </c>
      <c r="O1846" s="4">
        <f>M1846</f>
        <v>999</v>
      </c>
    </row>
    <row r="1847" spans="2:15">
      <c r="B1847" s="582"/>
      <c r="F1847" s="4"/>
      <c r="G1847" s="133"/>
      <c r="H1847" s="3"/>
      <c r="I1847" s="3"/>
      <c r="O1847" s="4"/>
    </row>
    <row r="1848" spans="2:15">
      <c r="B1848" s="582" t="s">
        <v>557</v>
      </c>
      <c r="C1848">
        <v>30</v>
      </c>
      <c r="D1848">
        <v>399</v>
      </c>
      <c r="E1848">
        <v>349</v>
      </c>
      <c r="F1848">
        <f>E1848</f>
        <v>349</v>
      </c>
      <c r="G1848" s="133" t="s">
        <v>1292</v>
      </c>
      <c r="H1848" s="3"/>
      <c r="I1848" s="136" t="s">
        <v>1816</v>
      </c>
      <c r="L1848">
        <v>30</v>
      </c>
      <c r="M1848">
        <v>449</v>
      </c>
      <c r="O1848">
        <f>M1848</f>
        <v>449</v>
      </c>
    </row>
    <row r="1849" spans="2:15">
      <c r="B1849" s="582" t="s">
        <v>557</v>
      </c>
      <c r="C1849">
        <v>50</v>
      </c>
      <c r="D1849">
        <v>449</v>
      </c>
      <c r="E1849">
        <v>399</v>
      </c>
      <c r="F1849">
        <f>E1849</f>
        <v>399</v>
      </c>
      <c r="G1849" s="133" t="s">
        <v>1292</v>
      </c>
      <c r="H1849" s="3"/>
      <c r="I1849" s="136" t="s">
        <v>1816</v>
      </c>
      <c r="L1849">
        <v>50</v>
      </c>
      <c r="M1849">
        <v>549</v>
      </c>
      <c r="O1849">
        <f>M1849</f>
        <v>549</v>
      </c>
    </row>
    <row r="1850" spans="2:15">
      <c r="B1850" s="582" t="s">
        <v>557</v>
      </c>
      <c r="C1850">
        <v>100</v>
      </c>
      <c r="D1850">
        <v>549</v>
      </c>
      <c r="E1850">
        <v>499</v>
      </c>
      <c r="F1850">
        <f>E1850</f>
        <v>499</v>
      </c>
      <c r="G1850" s="133" t="s">
        <v>1292</v>
      </c>
      <c r="H1850" s="3"/>
      <c r="I1850" s="136" t="s">
        <v>1816</v>
      </c>
    </row>
    <row r="1851" spans="2:15">
      <c r="B1851" s="582" t="s">
        <v>557</v>
      </c>
      <c r="C1851">
        <v>200</v>
      </c>
      <c r="D1851">
        <v>749</v>
      </c>
      <c r="E1851">
        <v>699</v>
      </c>
      <c r="F1851">
        <f>E1851</f>
        <v>699</v>
      </c>
      <c r="G1851" s="133" t="s">
        <v>1292</v>
      </c>
      <c r="H1851" s="3"/>
      <c r="I1851" s="136" t="s">
        <v>1816</v>
      </c>
    </row>
    <row r="1852" spans="2:15">
      <c r="B1852" s="582" t="s">
        <v>557</v>
      </c>
      <c r="C1852">
        <v>500</v>
      </c>
      <c r="D1852">
        <v>1149</v>
      </c>
      <c r="E1852">
        <v>1099</v>
      </c>
      <c r="F1852">
        <f>E1852</f>
        <v>1099</v>
      </c>
      <c r="G1852" s="133" t="s">
        <v>1292</v>
      </c>
      <c r="H1852" s="3"/>
      <c r="I1852" s="136" t="s">
        <v>1816</v>
      </c>
    </row>
    <row r="1853" spans="2:15">
      <c r="B1853" s="582"/>
      <c r="G1853" s="133"/>
      <c r="H1853" s="3"/>
      <c r="I1853" s="3"/>
    </row>
    <row r="1854" spans="2:15">
      <c r="B1854" s="582" t="s">
        <v>937</v>
      </c>
      <c r="C1854">
        <v>5</v>
      </c>
      <c r="D1854">
        <v>230</v>
      </c>
      <c r="F1854">
        <f>D1854</f>
        <v>230</v>
      </c>
      <c r="G1854" s="133" t="s">
        <v>1292</v>
      </c>
      <c r="H1854" s="3"/>
      <c r="I1854" s="3"/>
    </row>
    <row r="1855" spans="2:15">
      <c r="B1855" s="582" t="s">
        <v>937</v>
      </c>
      <c r="C1855">
        <v>30</v>
      </c>
      <c r="D1855">
        <v>370</v>
      </c>
      <c r="F1855">
        <f>D1855</f>
        <v>370</v>
      </c>
      <c r="G1855" s="133" t="s">
        <v>1292</v>
      </c>
      <c r="H1855" s="3"/>
      <c r="I1855" s="3"/>
      <c r="L1855">
        <v>15</v>
      </c>
      <c r="M1855">
        <v>400</v>
      </c>
      <c r="O1855">
        <f>M1855</f>
        <v>400</v>
      </c>
    </row>
    <row r="1856" spans="2:15">
      <c r="B1856" s="582" t="s">
        <v>937</v>
      </c>
      <c r="C1856">
        <v>60</v>
      </c>
      <c r="D1856">
        <v>470</v>
      </c>
      <c r="F1856">
        <f>D1856</f>
        <v>470</v>
      </c>
      <c r="G1856" s="133" t="s">
        <v>1292</v>
      </c>
      <c r="H1856" s="3"/>
      <c r="I1856" s="3"/>
      <c r="L1856">
        <v>25</v>
      </c>
      <c r="M1856">
        <v>440</v>
      </c>
      <c r="O1856">
        <f>M1856</f>
        <v>440</v>
      </c>
    </row>
    <row r="1857" spans="2:15">
      <c r="B1857" s="582" t="s">
        <v>937</v>
      </c>
      <c r="C1857">
        <v>125</v>
      </c>
      <c r="D1857">
        <v>550</v>
      </c>
      <c r="F1857">
        <f>D1857</f>
        <v>550</v>
      </c>
      <c r="G1857" s="133" t="s">
        <v>1292</v>
      </c>
      <c r="H1857" s="3"/>
      <c r="I1857" s="3"/>
      <c r="L1857">
        <v>55</v>
      </c>
      <c r="M1857">
        <v>550</v>
      </c>
      <c r="O1857">
        <f>M1857</f>
        <v>550</v>
      </c>
    </row>
    <row r="1858" spans="2:15">
      <c r="B1858" s="582"/>
      <c r="G1858" s="133"/>
      <c r="H1858" s="3"/>
      <c r="I1858" s="3"/>
    </row>
    <row r="1859" spans="2:15">
      <c r="B1859" s="582" t="s">
        <v>469</v>
      </c>
      <c r="C1859">
        <v>40</v>
      </c>
      <c r="D1859">
        <v>549</v>
      </c>
      <c r="E1859">
        <v>479</v>
      </c>
      <c r="F1859">
        <f t="shared" ref="F1859:F1864" si="122">((D1859*6)+(E1859*6))/12</f>
        <v>514</v>
      </c>
      <c r="G1859" s="133" t="s">
        <v>1292</v>
      </c>
      <c r="H1859" s="3"/>
      <c r="I1859" s="136" t="s">
        <v>1817</v>
      </c>
      <c r="L1859">
        <v>40</v>
      </c>
      <c r="M1859">
        <v>549</v>
      </c>
      <c r="N1859">
        <v>499</v>
      </c>
      <c r="O1859">
        <f t="shared" ref="O1859:O1864" si="123">N1859</f>
        <v>499</v>
      </c>
    </row>
    <row r="1860" spans="2:15">
      <c r="B1860" s="582" t="s">
        <v>469</v>
      </c>
      <c r="C1860">
        <v>80</v>
      </c>
      <c r="D1860">
        <v>649</v>
      </c>
      <c r="E1860">
        <v>579</v>
      </c>
      <c r="F1860">
        <f t="shared" si="122"/>
        <v>614</v>
      </c>
      <c r="G1860" s="133" t="s">
        <v>1292</v>
      </c>
      <c r="H1860" s="3"/>
      <c r="I1860" s="136" t="s">
        <v>1817</v>
      </c>
      <c r="L1860">
        <v>80</v>
      </c>
      <c r="M1860">
        <v>649</v>
      </c>
      <c r="N1860">
        <v>599</v>
      </c>
      <c r="O1860">
        <f t="shared" si="123"/>
        <v>599</v>
      </c>
    </row>
    <row r="1861" spans="2:15">
      <c r="B1861" s="582" t="s">
        <v>469</v>
      </c>
      <c r="C1861">
        <v>150</v>
      </c>
      <c r="D1861">
        <v>929</v>
      </c>
      <c r="E1861">
        <v>809</v>
      </c>
      <c r="F1861">
        <f t="shared" si="122"/>
        <v>869</v>
      </c>
      <c r="G1861" s="133" t="s">
        <v>1292</v>
      </c>
      <c r="H1861" s="3"/>
      <c r="I1861" s="136" t="s">
        <v>1817</v>
      </c>
      <c r="L1861">
        <v>150</v>
      </c>
      <c r="M1861">
        <v>889</v>
      </c>
      <c r="N1861">
        <v>809</v>
      </c>
      <c r="O1861">
        <f t="shared" si="123"/>
        <v>809</v>
      </c>
    </row>
    <row r="1862" spans="2:15">
      <c r="B1862" s="582" t="s">
        <v>469</v>
      </c>
      <c r="C1862">
        <v>250</v>
      </c>
      <c r="D1862">
        <v>1179</v>
      </c>
      <c r="E1862">
        <v>1039</v>
      </c>
      <c r="F1862">
        <f t="shared" si="122"/>
        <v>1109</v>
      </c>
      <c r="G1862" s="133" t="s">
        <v>1292</v>
      </c>
      <c r="H1862" s="3"/>
      <c r="I1862" s="136" t="s">
        <v>1817</v>
      </c>
      <c r="L1862">
        <v>250</v>
      </c>
      <c r="M1862">
        <v>1119</v>
      </c>
      <c r="N1862">
        <v>1039</v>
      </c>
      <c r="O1862">
        <f t="shared" si="123"/>
        <v>1039</v>
      </c>
    </row>
    <row r="1863" spans="2:15">
      <c r="B1863" s="582" t="s">
        <v>469</v>
      </c>
      <c r="C1863">
        <v>350</v>
      </c>
      <c r="D1863">
        <v>1429</v>
      </c>
      <c r="E1863">
        <v>1279</v>
      </c>
      <c r="F1863">
        <f t="shared" si="122"/>
        <v>1354</v>
      </c>
      <c r="G1863" s="133" t="s">
        <v>1292</v>
      </c>
      <c r="H1863" s="3"/>
      <c r="I1863" s="136" t="s">
        <v>1817</v>
      </c>
      <c r="L1863">
        <v>350</v>
      </c>
      <c r="M1863">
        <v>1359</v>
      </c>
      <c r="N1863">
        <v>1279</v>
      </c>
      <c r="O1863">
        <f t="shared" si="123"/>
        <v>1279</v>
      </c>
    </row>
    <row r="1864" spans="2:15">
      <c r="B1864" s="150" t="s">
        <v>469</v>
      </c>
      <c r="C1864" s="61">
        <v>500</v>
      </c>
      <c r="D1864" s="61">
        <v>1629</v>
      </c>
      <c r="E1864" s="61">
        <v>1469</v>
      </c>
      <c r="F1864" s="61">
        <f t="shared" si="122"/>
        <v>1549</v>
      </c>
      <c r="G1864" s="134" t="s">
        <v>1292</v>
      </c>
      <c r="H1864" s="3"/>
      <c r="I1864" s="136" t="s">
        <v>1817</v>
      </c>
      <c r="L1864" s="61">
        <v>500</v>
      </c>
      <c r="M1864" s="61">
        <v>1549</v>
      </c>
      <c r="N1864" s="61">
        <v>1469</v>
      </c>
      <c r="O1864" s="61">
        <f t="shared" si="123"/>
        <v>1469</v>
      </c>
    </row>
    <row r="1865" spans="2:15">
      <c r="G1865" s="3"/>
      <c r="H1865" s="3"/>
      <c r="I1865" s="3"/>
    </row>
    <row r="1866" spans="2:15">
      <c r="B1866" s="577"/>
      <c r="C1866" s="578"/>
      <c r="D1866" s="579" t="s">
        <v>1288</v>
      </c>
      <c r="E1866" s="579" t="s">
        <v>1288</v>
      </c>
      <c r="F1866" s="579" t="s">
        <v>1288</v>
      </c>
      <c r="G1866" s="578"/>
      <c r="H1866" s="135"/>
      <c r="I1866" s="3"/>
    </row>
    <row r="1867" spans="2:15">
      <c r="B1867" s="580" t="s">
        <v>1807</v>
      </c>
      <c r="C1867" s="574" t="s">
        <v>1808</v>
      </c>
      <c r="D1867" s="574" t="s">
        <v>1809</v>
      </c>
      <c r="E1867" s="574" t="s">
        <v>1810</v>
      </c>
      <c r="F1867" s="574" t="s">
        <v>1811</v>
      </c>
      <c r="G1867" s="574" t="s">
        <v>518</v>
      </c>
      <c r="H1867" s="581" t="s">
        <v>1818</v>
      </c>
      <c r="I1867" s="3"/>
    </row>
    <row r="1868" spans="2:15">
      <c r="B1868" s="584"/>
      <c r="C1868" s="576"/>
      <c r="D1868" s="576"/>
      <c r="E1868" s="576"/>
      <c r="F1868" s="576"/>
      <c r="G1868" s="576"/>
      <c r="H1868" s="133"/>
      <c r="I1868" s="3"/>
    </row>
    <row r="1869" spans="2:15">
      <c r="B1869" s="583" t="s">
        <v>1819</v>
      </c>
      <c r="G1869" s="3"/>
      <c r="H1869" s="133"/>
      <c r="I1869" s="3"/>
    </row>
    <row r="1870" spans="2:15">
      <c r="B1870" s="582" t="s">
        <v>1820</v>
      </c>
      <c r="C1870">
        <f>C1842</f>
        <v>20</v>
      </c>
      <c r="D1870">
        <f>D1842+$D$1916</f>
        <v>605</v>
      </c>
      <c r="F1870" s="4">
        <f>D1870</f>
        <v>605</v>
      </c>
      <c r="G1870" s="3"/>
      <c r="H1870" s="133" t="str">
        <f>H1916</f>
        <v>57 channels</v>
      </c>
      <c r="I1870" s="3"/>
    </row>
    <row r="1871" spans="2:15">
      <c r="B1871" s="582" t="s">
        <v>1820</v>
      </c>
      <c r="C1871">
        <v>50</v>
      </c>
      <c r="D1871">
        <f>D1845+$D$1916</f>
        <v>815</v>
      </c>
      <c r="E1871">
        <f>E1845+$D$1917</f>
        <v>780</v>
      </c>
      <c r="F1871" s="4">
        <f>(9*D1871+3*E1871)/12</f>
        <v>806.25</v>
      </c>
      <c r="G1871" s="3"/>
      <c r="H1871" s="133" t="str">
        <f>H1916</f>
        <v>57 channels</v>
      </c>
      <c r="I1871" s="3"/>
    </row>
    <row r="1872" spans="2:15">
      <c r="B1872" s="582" t="s">
        <v>1821</v>
      </c>
      <c r="C1872">
        <f>C1871</f>
        <v>50</v>
      </c>
      <c r="D1872">
        <f>D1845+$D$1917</f>
        <v>880</v>
      </c>
      <c r="E1872">
        <f>E1845+$D$1917</f>
        <v>780</v>
      </c>
      <c r="F1872" s="4">
        <f>(9*D1872+3*E1872)/12</f>
        <v>855</v>
      </c>
      <c r="G1872" s="3"/>
      <c r="H1872" s="133" t="str">
        <f>H1917</f>
        <v>74 channels</v>
      </c>
      <c r="I1872" s="3"/>
    </row>
    <row r="1873" spans="2:9">
      <c r="B1873" s="583"/>
      <c r="G1873" s="3"/>
      <c r="H1873" s="133"/>
      <c r="I1873" s="3"/>
    </row>
    <row r="1874" spans="2:9">
      <c r="B1874" s="582" t="s">
        <v>557</v>
      </c>
      <c r="C1874">
        <v>20</v>
      </c>
      <c r="D1874">
        <v>549</v>
      </c>
      <c r="F1874">
        <f>D1874</f>
        <v>549</v>
      </c>
      <c r="G1874" s="3" t="s">
        <v>1292</v>
      </c>
      <c r="H1874" s="133" t="s">
        <v>1822</v>
      </c>
      <c r="I1874" s="3"/>
    </row>
    <row r="1875" spans="2:9">
      <c r="B1875" s="582" t="s">
        <v>557</v>
      </c>
      <c r="C1875">
        <v>50</v>
      </c>
      <c r="D1875">
        <v>649</v>
      </c>
      <c r="F1875">
        <f>D1875</f>
        <v>649</v>
      </c>
      <c r="G1875" s="3" t="s">
        <v>1292</v>
      </c>
      <c r="H1875" s="133" t="s">
        <v>1822</v>
      </c>
      <c r="I1875" s="3"/>
    </row>
    <row r="1876" spans="2:9">
      <c r="B1876" s="582" t="s">
        <v>557</v>
      </c>
      <c r="C1876">
        <v>80</v>
      </c>
      <c r="D1876">
        <v>749</v>
      </c>
      <c r="F1876">
        <f>D1876</f>
        <v>749</v>
      </c>
      <c r="G1876" s="3" t="s">
        <v>1292</v>
      </c>
      <c r="H1876" s="133" t="s">
        <v>1823</v>
      </c>
      <c r="I1876" s="3"/>
    </row>
    <row r="1877" spans="2:9">
      <c r="B1877" s="582" t="s">
        <v>557</v>
      </c>
      <c r="C1877">
        <v>100</v>
      </c>
      <c r="D1877">
        <v>999</v>
      </c>
      <c r="F1877">
        <f>D1877</f>
        <v>999</v>
      </c>
      <c r="G1877" s="3" t="s">
        <v>1292</v>
      </c>
      <c r="H1877" s="133" t="s">
        <v>1824</v>
      </c>
      <c r="I1877" s="3"/>
    </row>
    <row r="1878" spans="2:9">
      <c r="B1878" s="582" t="s">
        <v>557</v>
      </c>
      <c r="C1878">
        <v>100</v>
      </c>
      <c r="D1878">
        <v>999</v>
      </c>
      <c r="F1878">
        <f>D1878</f>
        <v>999</v>
      </c>
      <c r="G1878" s="3" t="s">
        <v>1292</v>
      </c>
      <c r="H1878" s="133" t="s">
        <v>1824</v>
      </c>
      <c r="I1878" s="3"/>
    </row>
    <row r="1879" spans="2:9">
      <c r="B1879" s="582"/>
      <c r="G1879" s="3"/>
      <c r="H1879" s="133"/>
      <c r="I1879" s="3"/>
    </row>
    <row r="1880" spans="2:9">
      <c r="B1880" s="582" t="s">
        <v>937</v>
      </c>
      <c r="C1880">
        <v>25</v>
      </c>
      <c r="D1880">
        <v>560</v>
      </c>
      <c r="F1880">
        <f>D1880</f>
        <v>560</v>
      </c>
      <c r="G1880" s="3" t="s">
        <v>1292</v>
      </c>
      <c r="H1880" s="133" t="s">
        <v>1825</v>
      </c>
      <c r="I1880" s="3" t="s">
        <v>1826</v>
      </c>
    </row>
    <row r="1881" spans="2:9">
      <c r="B1881" s="582" t="s">
        <v>937</v>
      </c>
      <c r="C1881">
        <v>55</v>
      </c>
      <c r="D1881">
        <v>790</v>
      </c>
      <c r="F1881">
        <f>D1881</f>
        <v>790</v>
      </c>
      <c r="G1881" s="3" t="s">
        <v>1292</v>
      </c>
      <c r="H1881" s="133" t="s">
        <v>1827</v>
      </c>
      <c r="I1881" s="3" t="s">
        <v>1826</v>
      </c>
    </row>
    <row r="1882" spans="2:9">
      <c r="B1882" s="582"/>
      <c r="G1882" s="3"/>
      <c r="H1882" s="133"/>
      <c r="I1882" s="3"/>
    </row>
    <row r="1883" spans="2:9">
      <c r="B1883" s="582" t="s">
        <v>1828</v>
      </c>
      <c r="C1883">
        <v>20</v>
      </c>
      <c r="D1883">
        <v>670</v>
      </c>
      <c r="F1883">
        <f>D1883</f>
        <v>670</v>
      </c>
      <c r="G1883" s="3" t="s">
        <v>1292</v>
      </c>
      <c r="H1883" s="133" t="s">
        <v>1829</v>
      </c>
      <c r="I1883" s="3"/>
    </row>
    <row r="1884" spans="2:9">
      <c r="B1884" s="582" t="s">
        <v>1830</v>
      </c>
      <c r="C1884">
        <v>35</v>
      </c>
      <c r="D1884">
        <v>760</v>
      </c>
      <c r="F1884">
        <f>D1884</f>
        <v>760</v>
      </c>
      <c r="G1884" s="3" t="s">
        <v>1292</v>
      </c>
      <c r="H1884" s="133" t="s">
        <v>1831</v>
      </c>
      <c r="I1884" s="3"/>
    </row>
    <row r="1885" spans="2:9">
      <c r="B1885" s="582" t="s">
        <v>1832</v>
      </c>
      <c r="C1885">
        <v>65</v>
      </c>
      <c r="D1885">
        <v>990</v>
      </c>
      <c r="F1885">
        <f>D1885</f>
        <v>990</v>
      </c>
      <c r="G1885" s="3" t="s">
        <v>1292</v>
      </c>
      <c r="H1885" s="133" t="s">
        <v>1833</v>
      </c>
      <c r="I1885" s="3"/>
    </row>
    <row r="1886" spans="2:9">
      <c r="B1886" s="582" t="s">
        <v>1834</v>
      </c>
      <c r="C1886">
        <v>100</v>
      </c>
      <c r="D1886">
        <v>1340</v>
      </c>
      <c r="F1886">
        <f>D1886</f>
        <v>1340</v>
      </c>
      <c r="G1886" s="3" t="s">
        <v>1292</v>
      </c>
      <c r="H1886" s="133" t="s">
        <v>1835</v>
      </c>
      <c r="I1886" s="3"/>
    </row>
    <row r="1887" spans="2:9">
      <c r="B1887" s="582"/>
      <c r="G1887" s="3"/>
      <c r="H1887" s="133"/>
      <c r="I1887" s="3"/>
    </row>
    <row r="1888" spans="2:9">
      <c r="B1888" s="582" t="s">
        <v>469</v>
      </c>
      <c r="C1888">
        <v>40</v>
      </c>
      <c r="D1888">
        <v>669</v>
      </c>
      <c r="E1888">
        <v>619</v>
      </c>
      <c r="F1888">
        <f t="shared" ref="F1888:F1893" si="124">E1888</f>
        <v>619</v>
      </c>
      <c r="G1888" s="3" t="s">
        <v>1292</v>
      </c>
      <c r="H1888" s="133" t="s">
        <v>1836</v>
      </c>
      <c r="I1888" s="3" t="s">
        <v>1837</v>
      </c>
    </row>
    <row r="1889" spans="2:9">
      <c r="B1889" s="582" t="s">
        <v>469</v>
      </c>
      <c r="C1889">
        <v>80</v>
      </c>
      <c r="D1889">
        <v>759</v>
      </c>
      <c r="E1889">
        <v>709</v>
      </c>
      <c r="F1889">
        <f t="shared" si="124"/>
        <v>709</v>
      </c>
      <c r="G1889" s="3" t="s">
        <v>1292</v>
      </c>
      <c r="H1889" s="133" t="s">
        <v>1836</v>
      </c>
      <c r="I1889" s="3" t="s">
        <v>1837</v>
      </c>
    </row>
    <row r="1890" spans="2:9">
      <c r="B1890" s="582" t="s">
        <v>469</v>
      </c>
      <c r="C1890">
        <v>150</v>
      </c>
      <c r="D1890">
        <v>1019</v>
      </c>
      <c r="E1890">
        <v>939</v>
      </c>
      <c r="F1890">
        <f t="shared" si="124"/>
        <v>939</v>
      </c>
      <c r="G1890" s="3" t="s">
        <v>1292</v>
      </c>
      <c r="H1890" s="133" t="s">
        <v>1836</v>
      </c>
      <c r="I1890" s="3" t="s">
        <v>1837</v>
      </c>
    </row>
    <row r="1891" spans="2:9">
      <c r="B1891" s="582" t="s">
        <v>469</v>
      </c>
      <c r="C1891">
        <v>250</v>
      </c>
      <c r="D1891">
        <v>1329</v>
      </c>
      <c r="E1891">
        <v>1249</v>
      </c>
      <c r="F1891">
        <f t="shared" si="124"/>
        <v>1249</v>
      </c>
      <c r="G1891" s="3" t="s">
        <v>1292</v>
      </c>
      <c r="H1891" s="133" t="s">
        <v>1836</v>
      </c>
      <c r="I1891" s="3" t="s">
        <v>1837</v>
      </c>
    </row>
    <row r="1892" spans="2:9">
      <c r="B1892" s="582" t="s">
        <v>469</v>
      </c>
      <c r="C1892">
        <v>350</v>
      </c>
      <c r="D1892">
        <v>1569</v>
      </c>
      <c r="E1892">
        <v>1489</v>
      </c>
      <c r="F1892">
        <f t="shared" si="124"/>
        <v>1489</v>
      </c>
      <c r="G1892" s="3" t="s">
        <v>1292</v>
      </c>
      <c r="H1892" s="133" t="s">
        <v>1836</v>
      </c>
      <c r="I1892" s="3" t="s">
        <v>1837</v>
      </c>
    </row>
    <row r="1893" spans="2:9">
      <c r="B1893" s="150" t="s">
        <v>469</v>
      </c>
      <c r="C1893" s="61">
        <v>500</v>
      </c>
      <c r="D1893" s="61">
        <v>1759</v>
      </c>
      <c r="E1893" s="61">
        <v>1679</v>
      </c>
      <c r="F1893" s="61">
        <f t="shared" si="124"/>
        <v>1679</v>
      </c>
      <c r="G1893" s="130" t="s">
        <v>1292</v>
      </c>
      <c r="H1893" s="134" t="s">
        <v>1836</v>
      </c>
      <c r="I1893" s="3" t="s">
        <v>1837</v>
      </c>
    </row>
    <row r="1895" spans="2:9">
      <c r="B1895" s="121" t="s">
        <v>1812</v>
      </c>
    </row>
    <row r="1896" spans="2:9">
      <c r="B1896" s="2" t="s">
        <v>1838</v>
      </c>
      <c r="C1896" s="3"/>
    </row>
    <row r="1897" spans="2:9">
      <c r="B1897" t="s">
        <v>557</v>
      </c>
      <c r="C1897" s="5">
        <v>44774</v>
      </c>
    </row>
    <row r="1898" spans="2:9">
      <c r="B1898" t="s">
        <v>1839</v>
      </c>
      <c r="C1898" s="5">
        <v>44774</v>
      </c>
    </row>
    <row r="1899" spans="2:9">
      <c r="B1899" t="s">
        <v>466</v>
      </c>
      <c r="C1899" s="5">
        <v>44774</v>
      </c>
    </row>
    <row r="1900" spans="2:9">
      <c r="B1900" t="s">
        <v>469</v>
      </c>
      <c r="C1900" s="5">
        <v>44774</v>
      </c>
    </row>
    <row r="1901" spans="2:9">
      <c r="B1901" s="2" t="s">
        <v>1840</v>
      </c>
    </row>
    <row r="1902" spans="2:9">
      <c r="B1902" t="str">
        <f>B1898</f>
        <v>Izzy (TV)</v>
      </c>
      <c r="D1902" s="136" t="s">
        <v>1841</v>
      </c>
    </row>
    <row r="1903" spans="2:9">
      <c r="B1903" t="str">
        <f>B1900</f>
        <v>Total Play</v>
      </c>
      <c r="D1903" t="s">
        <v>1842</v>
      </c>
    </row>
    <row r="1905" spans="1:9">
      <c r="B1905" s="585"/>
      <c r="C1905" s="586"/>
      <c r="D1905" s="586" t="str">
        <f t="shared" ref="D1905:F1906" si="125">D1866</f>
        <v>MXN</v>
      </c>
      <c r="E1905" s="586" t="str">
        <f t="shared" si="125"/>
        <v>MXN</v>
      </c>
      <c r="F1905" s="586" t="str">
        <f t="shared" si="125"/>
        <v>MXN</v>
      </c>
      <c r="G1905" s="586"/>
      <c r="H1905" s="587"/>
    </row>
    <row r="1906" spans="1:9">
      <c r="B1906" s="580" t="s">
        <v>1843</v>
      </c>
      <c r="C1906" s="149" t="str">
        <f>C1867</f>
        <v>Mbps</v>
      </c>
      <c r="D1906" s="149" t="str">
        <f t="shared" si="125"/>
        <v>Headline</v>
      </c>
      <c r="E1906" s="149" t="str">
        <f t="shared" si="125"/>
        <v>Promo</v>
      </c>
      <c r="F1906" s="149" t="str">
        <f t="shared" si="125"/>
        <v>12m</v>
      </c>
      <c r="G1906" s="149" t="str">
        <f>G1867</f>
        <v>Voice</v>
      </c>
      <c r="H1906" s="581" t="str">
        <f>H1867</f>
        <v>TV  offering</v>
      </c>
    </row>
    <row r="1907" spans="1:9">
      <c r="B1907" s="588" t="s">
        <v>1844</v>
      </c>
      <c r="H1907" s="133"/>
    </row>
    <row r="1908" spans="1:9">
      <c r="B1908" s="582" t="s">
        <v>1845</v>
      </c>
      <c r="C1908">
        <v>5</v>
      </c>
      <c r="D1908">
        <v>199</v>
      </c>
      <c r="H1908" s="133"/>
    </row>
    <row r="1909" spans="1:9">
      <c r="B1909" s="582" t="s">
        <v>1845</v>
      </c>
      <c r="C1909">
        <v>10</v>
      </c>
      <c r="D1909">
        <v>349</v>
      </c>
      <c r="H1909" s="133"/>
    </row>
    <row r="1910" spans="1:9">
      <c r="B1910" s="582" t="s">
        <v>1845</v>
      </c>
      <c r="C1910">
        <v>20</v>
      </c>
      <c r="D1910">
        <v>599</v>
      </c>
      <c r="H1910" s="133"/>
    </row>
    <row r="1911" spans="1:9">
      <c r="B1911" s="582"/>
      <c r="H1911" s="133"/>
    </row>
    <row r="1912" spans="1:9">
      <c r="B1912" s="582" t="s">
        <v>1846</v>
      </c>
      <c r="C1912">
        <v>5</v>
      </c>
      <c r="D1912">
        <v>225</v>
      </c>
      <c r="H1912" s="132"/>
      <c r="I1912" s="3" t="s">
        <v>1847</v>
      </c>
    </row>
    <row r="1913" spans="1:9">
      <c r="B1913" s="582" t="s">
        <v>1846</v>
      </c>
      <c r="C1913">
        <v>10</v>
      </c>
      <c r="D1913">
        <v>375</v>
      </c>
      <c r="H1913" s="132"/>
      <c r="I1913" s="3" t="s">
        <v>1847</v>
      </c>
    </row>
    <row r="1914" spans="1:9">
      <c r="A1914" t="s">
        <v>57</v>
      </c>
      <c r="B1914" s="582"/>
      <c r="H1914" s="132"/>
      <c r="I1914" s="3"/>
    </row>
    <row r="1915" spans="1:9">
      <c r="B1915" s="588" t="s">
        <v>1848</v>
      </c>
      <c r="H1915" s="132"/>
    </row>
    <row r="1916" spans="1:9">
      <c r="B1916" s="582" t="s">
        <v>1849</v>
      </c>
      <c r="D1916">
        <v>216</v>
      </c>
      <c r="H1916" s="133" t="s">
        <v>1850</v>
      </c>
    </row>
    <row r="1917" spans="1:9">
      <c r="B1917" s="582" t="s">
        <v>1851</v>
      </c>
      <c r="D1917">
        <v>281</v>
      </c>
      <c r="H1917" s="133" t="s">
        <v>1852</v>
      </c>
    </row>
    <row r="1918" spans="1:9">
      <c r="B1918" s="582" t="s">
        <v>1853</v>
      </c>
      <c r="D1918" s="3" t="s">
        <v>1854</v>
      </c>
      <c r="H1918" s="133" t="s">
        <v>1855</v>
      </c>
    </row>
    <row r="1919" spans="1:9">
      <c r="B1919" s="582" t="s">
        <v>1856</v>
      </c>
      <c r="D1919">
        <v>582</v>
      </c>
      <c r="H1919" s="133" t="s">
        <v>1857</v>
      </c>
    </row>
    <row r="1920" spans="1:9">
      <c r="B1920" s="582"/>
      <c r="H1920" s="133"/>
    </row>
    <row r="1921" spans="2:8">
      <c r="B1921" s="588" t="s">
        <v>1858</v>
      </c>
      <c r="H1921" s="132"/>
    </row>
    <row r="1922" spans="2:8">
      <c r="B1922" s="582" t="s">
        <v>1859</v>
      </c>
      <c r="C1922">
        <v>5</v>
      </c>
      <c r="D1922">
        <v>415</v>
      </c>
      <c r="H1922" s="133" t="s">
        <v>1850</v>
      </c>
    </row>
    <row r="1923" spans="2:8">
      <c r="B1923" s="582" t="s">
        <v>1859</v>
      </c>
      <c r="C1923">
        <v>10</v>
      </c>
      <c r="D1923">
        <v>565</v>
      </c>
      <c r="H1923" s="133" t="s">
        <v>1850</v>
      </c>
    </row>
    <row r="1924" spans="2:8">
      <c r="B1924" s="582" t="s">
        <v>1859</v>
      </c>
      <c r="C1924">
        <v>20</v>
      </c>
      <c r="D1924">
        <v>815</v>
      </c>
      <c r="H1924" s="133" t="s">
        <v>1850</v>
      </c>
    </row>
    <row r="1925" spans="2:8">
      <c r="B1925" s="582"/>
      <c r="H1925" s="133"/>
    </row>
    <row r="1926" spans="2:8">
      <c r="B1926" s="582" t="s">
        <v>1860</v>
      </c>
      <c r="C1926">
        <v>5</v>
      </c>
      <c r="D1926">
        <v>510</v>
      </c>
      <c r="F1926" s="4"/>
      <c r="H1926" s="133" t="s">
        <v>1861</v>
      </c>
    </row>
    <row r="1927" spans="2:8">
      <c r="B1927" s="582" t="s">
        <v>1860</v>
      </c>
      <c r="C1927">
        <v>10</v>
      </c>
      <c r="D1927">
        <v>605</v>
      </c>
      <c r="F1927" s="4"/>
      <c r="H1927" s="133" t="s">
        <v>1861</v>
      </c>
    </row>
    <row r="1928" spans="2:8">
      <c r="B1928" s="582" t="s">
        <v>1862</v>
      </c>
      <c r="C1928">
        <v>5</v>
      </c>
      <c r="D1928">
        <v>600</v>
      </c>
      <c r="H1928" s="133" t="s">
        <v>1863</v>
      </c>
    </row>
    <row r="1929" spans="2:8">
      <c r="B1929" s="582" t="s">
        <v>1862</v>
      </c>
      <c r="C1929">
        <v>10</v>
      </c>
      <c r="D1929">
        <v>695</v>
      </c>
      <c r="H1929" s="133" t="s">
        <v>1863</v>
      </c>
    </row>
    <row r="1930" spans="2:8">
      <c r="B1930" s="582" t="s">
        <v>1864</v>
      </c>
      <c r="C1930">
        <v>5</v>
      </c>
      <c r="D1930">
        <v>995</v>
      </c>
      <c r="H1930" s="133" t="s">
        <v>1865</v>
      </c>
    </row>
    <row r="1931" spans="2:8">
      <c r="B1931" s="150" t="s">
        <v>1864</v>
      </c>
      <c r="C1931" s="61">
        <v>10</v>
      </c>
      <c r="D1931" s="61">
        <v>1090</v>
      </c>
      <c r="E1931" s="61"/>
      <c r="F1931" s="61"/>
      <c r="G1931" s="61"/>
      <c r="H1931" s="134" t="s">
        <v>1865</v>
      </c>
    </row>
    <row r="1933" spans="2:8">
      <c r="B1933" s="121" t="s">
        <v>1812</v>
      </c>
    </row>
    <row r="1934" spans="2:8">
      <c r="B1934" s="121"/>
    </row>
    <row r="1935" spans="2:8">
      <c r="B1935" s="121"/>
    </row>
    <row r="1936" spans="2:8">
      <c r="B1936" s="42" t="s">
        <v>1866</v>
      </c>
    </row>
    <row r="1938" spans="2:10">
      <c r="B1938" t="s">
        <v>1867</v>
      </c>
      <c r="C1938" s="575">
        <v>10</v>
      </c>
    </row>
    <row r="1939" spans="2:10">
      <c r="B1939" t="s">
        <v>1868</v>
      </c>
      <c r="C1939" s="575">
        <v>4000</v>
      </c>
    </row>
    <row r="1940" spans="2:10">
      <c r="B1940" t="s">
        <v>1869</v>
      </c>
      <c r="C1940">
        <f>C1939/C1938</f>
        <v>400</v>
      </c>
    </row>
    <row r="1941" spans="2:10">
      <c r="B1941" t="s">
        <v>1870</v>
      </c>
      <c r="C1941" s="8">
        <f>C1940/SOP!G33</f>
        <v>0.60563269464103064</v>
      </c>
    </row>
    <row r="1943" spans="2:10" ht="15.75" thickBot="1">
      <c r="B1943" s="42" t="s">
        <v>1871</v>
      </c>
    </row>
    <row r="1944" spans="2:10">
      <c r="D1944" s="3" t="s">
        <v>1872</v>
      </c>
      <c r="E1944" s="3"/>
      <c r="F1944" s="3"/>
      <c r="G1944" s="3" t="s">
        <v>1873</v>
      </c>
      <c r="H1944" s="3"/>
      <c r="I1944" s="592" t="s">
        <v>1874</v>
      </c>
      <c r="J1944" s="593" t="s">
        <v>1874</v>
      </c>
    </row>
    <row r="1945" spans="2:10">
      <c r="B1945" s="61" t="s">
        <v>1875</v>
      </c>
      <c r="C1945" s="61" t="s">
        <v>1876</v>
      </c>
      <c r="D1945" s="130" t="s">
        <v>1877</v>
      </c>
      <c r="E1945" s="130" t="s">
        <v>1878</v>
      </c>
      <c r="F1945" s="130" t="s">
        <v>85</v>
      </c>
      <c r="G1945" s="130" t="s">
        <v>1877</v>
      </c>
      <c r="H1945" s="130" t="s">
        <v>1879</v>
      </c>
      <c r="I1945" s="594" t="s">
        <v>1869</v>
      </c>
      <c r="J1945" s="595" t="s">
        <v>139</v>
      </c>
    </row>
    <row r="1946" spans="2:10">
      <c r="B1946" t="s">
        <v>436</v>
      </c>
      <c r="C1946" t="s">
        <v>1880</v>
      </c>
      <c r="D1946" s="122">
        <f>Master!Q512</f>
        <v>116207.2</v>
      </c>
      <c r="E1946" s="122">
        <f>Master!Q515</f>
        <v>5972.2</v>
      </c>
      <c r="F1946" s="122">
        <f>D1946+E1946</f>
        <v>122179.4</v>
      </c>
      <c r="G1946" s="122"/>
      <c r="H1946" s="122"/>
      <c r="I1946" s="596">
        <v>52991.825705000003</v>
      </c>
      <c r="J1946" s="597">
        <f>I1946/F1946</f>
        <v>0.4337214432629396</v>
      </c>
    </row>
    <row r="1947" spans="2:10">
      <c r="B1947" t="s">
        <v>437</v>
      </c>
      <c r="C1947" t="s">
        <v>1880</v>
      </c>
      <c r="D1947" s="122">
        <f>Master!Q519</f>
        <v>53116.1</v>
      </c>
      <c r="E1947" s="122">
        <f>Master!Q522</f>
        <v>4903.6000000000004</v>
      </c>
      <c r="F1947" s="122">
        <f>D1947+E1947</f>
        <v>58019.7</v>
      </c>
      <c r="G1947" s="122"/>
      <c r="H1947" s="122"/>
      <c r="I1947" s="596">
        <v>67.814604000000003</v>
      </c>
      <c r="J1947" s="597">
        <f>I1947/F1947</f>
        <v>1.1688203144793925E-3</v>
      </c>
    </row>
    <row r="1948" spans="2:10">
      <c r="B1948" t="s">
        <v>1881</v>
      </c>
      <c r="C1948" t="s">
        <v>1882</v>
      </c>
      <c r="D1948" s="122">
        <f>Master!Q526</f>
        <v>84502.9</v>
      </c>
      <c r="E1948" s="122">
        <f>Master!Q529</f>
        <v>4051.2</v>
      </c>
      <c r="F1948" s="122">
        <f>D1948+E1948</f>
        <v>88554.099999999991</v>
      </c>
      <c r="G1948" s="122"/>
      <c r="H1948" s="122"/>
      <c r="I1948" s="596">
        <v>107.88687</v>
      </c>
      <c r="J1948" s="597">
        <f>I1948/F1948</f>
        <v>1.2183159221312171E-3</v>
      </c>
    </row>
    <row r="1949" spans="2:10">
      <c r="B1949" s="61" t="s">
        <v>439</v>
      </c>
      <c r="C1949" s="61" t="s">
        <v>1883</v>
      </c>
      <c r="D1949" s="449">
        <f>Master!Q533</f>
        <v>84502.9</v>
      </c>
      <c r="E1949" s="449">
        <f>Master!Q536</f>
        <v>4051.2</v>
      </c>
      <c r="F1949" s="449">
        <f>D1949+E1949</f>
        <v>88554.099999999991</v>
      </c>
      <c r="G1949" s="449"/>
      <c r="H1949" s="449"/>
      <c r="I1949" s="598">
        <v>107.88687</v>
      </c>
      <c r="J1949" s="599">
        <f>I1949/F1949</f>
        <v>1.2183159221312171E-3</v>
      </c>
    </row>
    <row r="1950" spans="2:10" ht="15.75" thickBot="1">
      <c r="B1950" t="s">
        <v>85</v>
      </c>
      <c r="D1950" s="122">
        <f>SUM(D1946:D1949)</f>
        <v>338329.1</v>
      </c>
      <c r="E1950" s="122">
        <f>SUM(E1946:E1949)</f>
        <v>18978.2</v>
      </c>
      <c r="F1950" s="122">
        <f>SUM(F1946:F1949)</f>
        <v>357307.29999999993</v>
      </c>
      <c r="G1950" s="122">
        <f>D1950/117</f>
        <v>2891.7017094017092</v>
      </c>
      <c r="H1950" s="122">
        <f>G1950/5</f>
        <v>578.34034188034184</v>
      </c>
      <c r="I1950" s="600">
        <f>SUM(I1946:I1949)</f>
        <v>53275.414049000006</v>
      </c>
      <c r="J1950" s="601">
        <f>I1950/F1950</f>
        <v>0.14910250657907079</v>
      </c>
    </row>
    <row r="1952" spans="2:10">
      <c r="D1952" s="3" t="s">
        <v>1884</v>
      </c>
      <c r="E1952" s="3" t="s">
        <v>1884</v>
      </c>
      <c r="F1952" s="3" t="s">
        <v>1885</v>
      </c>
      <c r="G1952" s="3" t="s">
        <v>1878</v>
      </c>
      <c r="H1952" s="3" t="s">
        <v>1886</v>
      </c>
    </row>
    <row r="1953" spans="2:8">
      <c r="B1953" s="61" t="s">
        <v>1875</v>
      </c>
      <c r="C1953" s="137" t="s">
        <v>1887</v>
      </c>
      <c r="D1953" s="130" t="s">
        <v>1877</v>
      </c>
      <c r="E1953" s="130" t="s">
        <v>1878</v>
      </c>
      <c r="F1953" s="130" t="s">
        <v>1888</v>
      </c>
      <c r="G1953" s="130" t="s">
        <v>1888</v>
      </c>
      <c r="H1953" s="130" t="s">
        <v>1889</v>
      </c>
    </row>
    <row r="1954" spans="2:8">
      <c r="B1954" t="str">
        <f>B1946</f>
        <v>A</v>
      </c>
      <c r="C1954" s="136">
        <v>25</v>
      </c>
      <c r="D1954" s="122">
        <f t="shared" ref="D1954:E1957" si="126">D1955</f>
        <v>2414.4</v>
      </c>
      <c r="E1954" s="122">
        <f t="shared" si="126"/>
        <v>115.7</v>
      </c>
      <c r="F1954" s="122">
        <f>C1954*D1954</f>
        <v>60360</v>
      </c>
      <c r="G1954" s="122">
        <f>C1954*E1954</f>
        <v>2892.5</v>
      </c>
      <c r="H1954" s="122">
        <f>F1946-(F1954+G1954)</f>
        <v>58926.899999999994</v>
      </c>
    </row>
    <row r="1955" spans="2:8">
      <c r="B1955" t="str">
        <f>B1947</f>
        <v>B</v>
      </c>
      <c r="C1955" s="136">
        <v>22</v>
      </c>
      <c r="D1955" s="122">
        <f t="shared" si="126"/>
        <v>2414.4</v>
      </c>
      <c r="E1955" s="122">
        <f t="shared" si="126"/>
        <v>115.7</v>
      </c>
      <c r="F1955" s="122">
        <f>C1955*D1955</f>
        <v>53116.800000000003</v>
      </c>
      <c r="G1955" s="122">
        <f>C1955*E1955</f>
        <v>2545.4</v>
      </c>
      <c r="H1955" s="122">
        <f>F1947-(F1955+G1955)</f>
        <v>2357.4999999999927</v>
      </c>
    </row>
    <row r="1956" spans="2:8">
      <c r="B1956" t="str">
        <f>B1948</f>
        <v>D (div pref)</v>
      </c>
      <c r="C1956" s="136">
        <v>35</v>
      </c>
      <c r="D1956" s="122">
        <f t="shared" si="126"/>
        <v>2414.4</v>
      </c>
      <c r="E1956" s="122">
        <f t="shared" si="126"/>
        <v>115.7</v>
      </c>
      <c r="F1956" s="122">
        <f>C1956*D1956</f>
        <v>84504</v>
      </c>
      <c r="G1956" s="122">
        <f>C1956*E1956</f>
        <v>4049.5</v>
      </c>
      <c r="H1956" s="122">
        <f>F1948-(F1956+G1956)</f>
        <v>0.59999999999126885</v>
      </c>
    </row>
    <row r="1957" spans="2:8">
      <c r="B1957" s="61" t="str">
        <f>B1949</f>
        <v>L</v>
      </c>
      <c r="C1957" s="137">
        <v>35</v>
      </c>
      <c r="D1957" s="449">
        <f t="shared" si="126"/>
        <v>2414.4</v>
      </c>
      <c r="E1957" s="449">
        <f t="shared" si="126"/>
        <v>115.7</v>
      </c>
      <c r="F1957" s="449">
        <f>C1957*D1957</f>
        <v>84504</v>
      </c>
      <c r="G1957" s="449">
        <f>C1957*E1957</f>
        <v>4049.5</v>
      </c>
      <c r="H1957" s="449">
        <f>F1949-(F1957+G1957)</f>
        <v>0.59999999999126885</v>
      </c>
    </row>
    <row r="1958" spans="2:8">
      <c r="B1958" t="str">
        <f>B1950</f>
        <v>Total</v>
      </c>
      <c r="C1958" s="136">
        <f>SUM(C1954:C1957)</f>
        <v>117</v>
      </c>
      <c r="D1958" s="122">
        <v>2414.4</v>
      </c>
      <c r="E1958" s="122">
        <v>115.7</v>
      </c>
      <c r="F1958" s="122">
        <f>SUM(F1954:F1957)</f>
        <v>282484.8</v>
      </c>
      <c r="G1958" s="122">
        <f>SUM(G1954:G1957)</f>
        <v>13536.9</v>
      </c>
      <c r="H1958" s="122">
        <f>SUM(H1954:H1957)</f>
        <v>61285.599999999969</v>
      </c>
    </row>
    <row r="1959" spans="2:8">
      <c r="D1959" s="122"/>
      <c r="E1959" s="122"/>
    </row>
    <row r="1960" spans="2:8">
      <c r="B1960" s="2" t="s">
        <v>433</v>
      </c>
    </row>
    <row r="1961" spans="2:8">
      <c r="B1961" t="s">
        <v>1890</v>
      </c>
    </row>
    <row r="1962" spans="2:8">
      <c r="B1962" t="s">
        <v>1891</v>
      </c>
    </row>
    <row r="1963" spans="2:8">
      <c r="B1963" t="s">
        <v>1892</v>
      </c>
    </row>
    <row r="1964" spans="2:8">
      <c r="B1964" t="s">
        <v>1893</v>
      </c>
    </row>
    <row r="1965" spans="2:8">
      <c r="B1965" s="2"/>
    </row>
    <row r="1966" spans="2:8">
      <c r="B1966" s="2" t="s">
        <v>1894</v>
      </c>
    </row>
    <row r="1967" spans="2:8">
      <c r="B1967" t="s">
        <v>1895</v>
      </c>
      <c r="C1967" s="122">
        <f>H1950</f>
        <v>578.34034188034184</v>
      </c>
    </row>
    <row r="1968" spans="2:8">
      <c r="B1968" t="s">
        <v>1896</v>
      </c>
      <c r="C1968" s="4">
        <v>321.10000000000002</v>
      </c>
    </row>
    <row r="1969" spans="2:6">
      <c r="B1969" s="61"/>
      <c r="C1969" s="589" t="s">
        <v>436</v>
      </c>
      <c r="D1969" s="130" t="s">
        <v>437</v>
      </c>
      <c r="E1969" s="130" t="s">
        <v>1897</v>
      </c>
      <c r="F1969" s="130" t="s">
        <v>438</v>
      </c>
    </row>
    <row r="1970" spans="2:6">
      <c r="B1970" t="s">
        <v>1898</v>
      </c>
      <c r="C1970" s="122">
        <f>$C$1968*5</f>
        <v>1605.5</v>
      </c>
      <c r="D1970" s="122">
        <f>$C$1968*5</f>
        <v>1605.5</v>
      </c>
      <c r="E1970" s="122">
        <f>$C$1968*5</f>
        <v>1605.5</v>
      </c>
      <c r="F1970" s="122">
        <f>$C$1968*5</f>
        <v>1605.5</v>
      </c>
    </row>
    <row r="1971" spans="2:6">
      <c r="B1971" t="s">
        <v>1899</v>
      </c>
      <c r="C1971" s="122">
        <f>C1970*C1954</f>
        <v>40137.5</v>
      </c>
      <c r="D1971" s="122">
        <f>D1970*C1955</f>
        <v>35321</v>
      </c>
      <c r="E1971" s="122">
        <f>E1970*C1956</f>
        <v>56192.5</v>
      </c>
      <c r="F1971" s="122">
        <f>F1970*C1957</f>
        <v>56192.5</v>
      </c>
    </row>
    <row r="1972" spans="2:6">
      <c r="B1972" t="s">
        <v>1900</v>
      </c>
      <c r="C1972" s="10">
        <f>C1971/F1946</f>
        <v>0.32851282622111422</v>
      </c>
      <c r="D1972" s="10">
        <f>D1971/F1947</f>
        <v>0.60877598470864214</v>
      </c>
      <c r="E1972" s="10">
        <f>E1971/F1948</f>
        <v>0.63455559934548489</v>
      </c>
      <c r="F1972" s="10">
        <f>F1971/F1949</f>
        <v>0.63455559934548489</v>
      </c>
    </row>
    <row r="1973" spans="2:6">
      <c r="B1973" t="s">
        <v>1901</v>
      </c>
      <c r="C1973" s="122">
        <f>F1946-C1971</f>
        <v>82041.899999999994</v>
      </c>
      <c r="D1973" s="122">
        <f>F1947-D1971</f>
        <v>22698.699999999997</v>
      </c>
      <c r="E1973" s="122">
        <f>F1948-E1971</f>
        <v>32361.599999999991</v>
      </c>
      <c r="F1973" s="122">
        <f>F1949-F1971</f>
        <v>32361.599999999991</v>
      </c>
    </row>
    <row r="1974" spans="2:6" ht="15.75" thickBot="1">
      <c r="B1974" t="s">
        <v>1902</v>
      </c>
      <c r="C1974" s="10">
        <f>I1946/C1973</f>
        <v>0.64591173174926475</v>
      </c>
      <c r="D1974" s="10">
        <f>I1947/D1973</f>
        <v>2.9875985849409882E-3</v>
      </c>
      <c r="E1974" s="10">
        <f>I1948/E1973</f>
        <v>3.3337928285375267E-3</v>
      </c>
      <c r="F1974" s="10">
        <f>I1949/F1973</f>
        <v>3.3337928285375267E-3</v>
      </c>
    </row>
    <row r="1975" spans="2:6" ht="15.75" thickBot="1">
      <c r="B1975" s="590" t="s">
        <v>1903</v>
      </c>
      <c r="C1975" s="591">
        <f>(I1946+I1947)/(C1973+D1973)</f>
        <v>0.50658140500436322</v>
      </c>
      <c r="E1975" s="10"/>
      <c r="F1975" s="10"/>
    </row>
    <row r="1977" spans="2:6">
      <c r="B1977" s="42" t="s">
        <v>1904</v>
      </c>
    </row>
    <row r="1979" spans="2:6">
      <c r="B1979" t="s">
        <v>1905</v>
      </c>
      <c r="C1979" s="456">
        <v>0.3</v>
      </c>
    </row>
    <row r="1980" spans="2:6">
      <c r="B1980" t="s">
        <v>1906</v>
      </c>
      <c r="C1980" s="419">
        <f>C1979*H1950</f>
        <v>173.50210256410256</v>
      </c>
    </row>
    <row r="1981" spans="2:6">
      <c r="B1981" t="s">
        <v>1231</v>
      </c>
      <c r="C1981" s="549">
        <v>12.5</v>
      </c>
    </row>
    <row r="1982" spans="2:6">
      <c r="B1982" t="s">
        <v>1907</v>
      </c>
      <c r="C1982" s="122">
        <f>C1980*C1981</f>
        <v>2168.7762820512821</v>
      </c>
    </row>
    <row r="1983" spans="2:6">
      <c r="C1983" s="419"/>
    </row>
    <row r="1984" spans="2:6">
      <c r="B1984" t="s">
        <v>1908</v>
      </c>
      <c r="C1984" s="419">
        <f>C1980*5</f>
        <v>867.51051282051276</v>
      </c>
    </row>
    <row r="1985" spans="2:6">
      <c r="B1985" s="2" t="s">
        <v>1909</v>
      </c>
      <c r="C1985" s="419"/>
    </row>
    <row r="1986" spans="2:6">
      <c r="B1986" t="str">
        <f>B1946</f>
        <v>A</v>
      </c>
      <c r="C1986" s="122">
        <f>$C$1984*C1954</f>
        <v>21687.76282051282</v>
      </c>
    </row>
    <row r="1987" spans="2:6">
      <c r="B1987" t="str">
        <f>B1947</f>
        <v>B</v>
      </c>
      <c r="C1987" s="122">
        <f>$C$1984*C1955</f>
        <v>19085.231282051282</v>
      </c>
    </row>
    <row r="1988" spans="2:6">
      <c r="B1988" t="str">
        <f>B1948</f>
        <v>D (div pref)</v>
      </c>
      <c r="C1988" s="122">
        <f>$C$1984*C1956</f>
        <v>30362.867948717947</v>
      </c>
    </row>
    <row r="1989" spans="2:6">
      <c r="B1989" t="str">
        <f>B1949</f>
        <v>L</v>
      </c>
      <c r="C1989" s="122">
        <f>$C$1984*C1957</f>
        <v>30362.867948717947</v>
      </c>
    </row>
    <row r="1991" spans="2:6">
      <c r="B1991" s="61"/>
      <c r="C1991" s="589" t="str">
        <f>C1969</f>
        <v>A</v>
      </c>
      <c r="D1991" s="589" t="str">
        <f>D1969</f>
        <v>B</v>
      </c>
      <c r="E1991" s="589" t="str">
        <f>E1969</f>
        <v>C</v>
      </c>
      <c r="F1991" s="589" t="str">
        <f>F1969</f>
        <v>D</v>
      </c>
    </row>
    <row r="1992" spans="2:6">
      <c r="B1992" t="s">
        <v>1910</v>
      </c>
      <c r="C1992" s="122">
        <f>F1946+C1986</f>
        <v>143867.16282051281</v>
      </c>
      <c r="D1992" s="122">
        <f>F1947+C1987</f>
        <v>77104.931282051286</v>
      </c>
      <c r="E1992" s="122">
        <f>F1948+C1988</f>
        <v>118916.96794871794</v>
      </c>
      <c r="F1992" s="122">
        <f>F1949+C1989</f>
        <v>118916.96794871794</v>
      </c>
    </row>
    <row r="1993" spans="2:6">
      <c r="B1993" t="s">
        <v>1911</v>
      </c>
      <c r="C1993" s="122">
        <f>C1971+C1986</f>
        <v>61825.26282051282</v>
      </c>
      <c r="D1993" s="122">
        <f>D1971+C1987</f>
        <v>54406.231282051282</v>
      </c>
      <c r="E1993" s="122">
        <f>E1971+C1988</f>
        <v>86555.367948717947</v>
      </c>
      <c r="F1993" s="122">
        <f>F1971+C1989</f>
        <v>86555.367948717947</v>
      </c>
    </row>
    <row r="1994" spans="2:6">
      <c r="B1994" t="s">
        <v>1912</v>
      </c>
      <c r="C1994" s="122">
        <f>C1992-C1993</f>
        <v>82041.899999999994</v>
      </c>
      <c r="D1994" s="122">
        <f>D1992-D1993</f>
        <v>22698.700000000004</v>
      </c>
      <c r="E1994" s="122">
        <f>E1992-E1993</f>
        <v>32361.599999999991</v>
      </c>
      <c r="F1994" s="122">
        <f>F1992-F1993</f>
        <v>32361.599999999991</v>
      </c>
    </row>
    <row r="1995" spans="2:6">
      <c r="B1995" t="s">
        <v>1902</v>
      </c>
      <c r="C1995" s="10">
        <f>I1946/C1994</f>
        <v>0.64591173174926475</v>
      </c>
      <c r="D1995" s="10">
        <f>I1947/D1994</f>
        <v>2.9875985849409873E-3</v>
      </c>
      <c r="E1995" s="10">
        <f>I1948/E1994</f>
        <v>3.3337928285375267E-3</v>
      </c>
      <c r="F1995" s="10">
        <f>I1949/F1994</f>
        <v>3.3337928285375267E-3</v>
      </c>
    </row>
    <row r="1996" spans="2:6">
      <c r="B1996" t="s">
        <v>1903</v>
      </c>
      <c r="C1996" s="10">
        <f>(I1946+I1947)/(C1994+D1994)</f>
        <v>0.50658140500436311</v>
      </c>
      <c r="E1996" s="10"/>
      <c r="F1996" s="10"/>
    </row>
    <row r="1997" spans="2:6">
      <c r="B1997" t="s">
        <v>1913</v>
      </c>
      <c r="C1997" s="122">
        <f>C1986</f>
        <v>21687.76282051282</v>
      </c>
      <c r="D1997" s="122">
        <f>C1987</f>
        <v>19085.231282051282</v>
      </c>
      <c r="E1997" s="122">
        <f>C1988</f>
        <v>30362.867948717947</v>
      </c>
      <c r="F1997" s="122">
        <f>C1989</f>
        <v>30362.867948717947</v>
      </c>
    </row>
    <row r="1998" spans="2:6">
      <c r="B1998" t="s">
        <v>592</v>
      </c>
      <c r="C1998" s="10">
        <f>C1997/C1992</f>
        <v>0.15074852659442689</v>
      </c>
      <c r="D1998" s="10">
        <f>D1997/D1992</f>
        <v>0.24752283627926661</v>
      </c>
      <c r="E1998" s="10">
        <f>E1997/E1992</f>
        <v>0.25532830572851228</v>
      </c>
      <c r="F1998" s="10">
        <f>F1997/F1992</f>
        <v>0.25532830572851228</v>
      </c>
    </row>
    <row r="2000" spans="2:6">
      <c r="B2000" t="s">
        <v>1914</v>
      </c>
    </row>
    <row r="2002" spans="1:4">
      <c r="B2002" s="42" t="s">
        <v>557</v>
      </c>
      <c r="D2002" t="s">
        <v>557</v>
      </c>
    </row>
    <row r="2003" spans="1:4">
      <c r="B2003" t="s">
        <v>1915</v>
      </c>
      <c r="C2003" s="8">
        <v>0.37</v>
      </c>
      <c r="D2003">
        <f t="shared" ref="D2003:D2009" si="127">C2003*D$2010</f>
        <v>2358.0099999999998</v>
      </c>
    </row>
    <row r="2004" spans="1:4">
      <c r="B2004" t="s">
        <v>1916</v>
      </c>
      <c r="C2004" s="8">
        <v>0.26</v>
      </c>
      <c r="D2004">
        <f t="shared" si="127"/>
        <v>1656.98</v>
      </c>
    </row>
    <row r="2005" spans="1:4">
      <c r="B2005" t="s">
        <v>1917</v>
      </c>
      <c r="C2005" s="8">
        <v>0.14000000000000001</v>
      </c>
      <c r="D2005">
        <f t="shared" si="127"/>
        <v>892.22000000000014</v>
      </c>
    </row>
    <row r="2006" spans="1:4">
      <c r="B2006" t="s">
        <v>1918</v>
      </c>
      <c r="C2006" s="8">
        <v>0.1</v>
      </c>
      <c r="D2006">
        <f t="shared" si="127"/>
        <v>637.30000000000007</v>
      </c>
    </row>
    <row r="2007" spans="1:4">
      <c r="B2007" t="s">
        <v>1919</v>
      </c>
      <c r="C2007" s="8">
        <v>7.0000000000000007E-2</v>
      </c>
      <c r="D2007">
        <f t="shared" si="127"/>
        <v>446.11000000000007</v>
      </c>
    </row>
    <row r="2008" spans="1:4">
      <c r="B2008" t="s">
        <v>1920</v>
      </c>
      <c r="C2008" s="8">
        <v>0.04</v>
      </c>
      <c r="D2008">
        <f t="shared" si="127"/>
        <v>254.92000000000002</v>
      </c>
    </row>
    <row r="2009" spans="1:4">
      <c r="B2009" t="s">
        <v>1921</v>
      </c>
      <c r="C2009" s="8">
        <v>0.02</v>
      </c>
      <c r="D2009">
        <f t="shared" si="127"/>
        <v>127.46000000000001</v>
      </c>
    </row>
    <row r="2010" spans="1:4">
      <c r="B2010" t="s">
        <v>1922</v>
      </c>
      <c r="D2010">
        <v>6373</v>
      </c>
    </row>
    <row r="2012" spans="1:4">
      <c r="B2012" t="s">
        <v>894</v>
      </c>
      <c r="D2012">
        <v>3626</v>
      </c>
    </row>
    <row r="2013" spans="1:4">
      <c r="B2013" t="s">
        <v>1923</v>
      </c>
      <c r="D2013">
        <f>D2004*1000/D2012</f>
        <v>456.97186982901269</v>
      </c>
    </row>
    <row r="2014" spans="1:4">
      <c r="A2014">
        <v>19.5</v>
      </c>
      <c r="B2014" t="s">
        <v>1924</v>
      </c>
      <c r="D2014" s="4">
        <f>D2013/A2014</f>
        <v>23.434454863026293</v>
      </c>
    </row>
    <row r="2016" spans="1:4">
      <c r="B2016" s="42" t="s">
        <v>937</v>
      </c>
    </row>
    <row r="2017" spans="2:35">
      <c r="B2017" t="s">
        <v>1916</v>
      </c>
      <c r="C2017" s="8">
        <v>0.5</v>
      </c>
      <c r="D2017">
        <f>C2017*D2019</f>
        <v>6483.4000000000005</v>
      </c>
    </row>
    <row r="2018" spans="2:35">
      <c r="B2018" t="s">
        <v>107</v>
      </c>
      <c r="C2018" s="8">
        <f>100%-C2017</f>
        <v>0.5</v>
      </c>
      <c r="D2018">
        <f>D2019-D2017</f>
        <v>6483.4000000000005</v>
      </c>
    </row>
    <row r="2019" spans="2:35">
      <c r="C2019" s="8"/>
      <c r="D2019">
        <f>Master!R84</f>
        <v>12966.800000000001</v>
      </c>
    </row>
    <row r="2020" spans="2:35">
      <c r="C2020" s="8"/>
    </row>
    <row r="2021" spans="2:35">
      <c r="B2021" t="s">
        <v>894</v>
      </c>
      <c r="C2021" s="8"/>
      <c r="D2021" s="4">
        <f>Interims!AU265</f>
        <v>5397.1592155889284</v>
      </c>
    </row>
    <row r="2022" spans="2:35">
      <c r="B2022" t="s">
        <v>1923</v>
      </c>
      <c r="D2022">
        <f>D2017*1000/D2021</f>
        <v>1201.2615787345351</v>
      </c>
    </row>
    <row r="2023" spans="2:35">
      <c r="B2023" t="s">
        <v>1924</v>
      </c>
      <c r="D2023" s="4">
        <f>D2022/A2014</f>
        <v>61.603157883822313</v>
      </c>
    </row>
    <row r="2024" spans="2:35">
      <c r="Z2024" s="644" t="s">
        <v>857</v>
      </c>
    </row>
    <row r="2025" spans="2:35">
      <c r="B2025" s="149" t="s">
        <v>228</v>
      </c>
      <c r="C2025" s="149">
        <f>D2025-1</f>
        <v>2009</v>
      </c>
      <c r="D2025" s="149">
        <f>E2025-1</f>
        <v>2010</v>
      </c>
      <c r="E2025" s="149">
        <v>2011</v>
      </c>
      <c r="F2025" s="149">
        <f t="shared" ref="F2025:T2025" si="128">E2025+1</f>
        <v>2012</v>
      </c>
      <c r="G2025" s="149">
        <f t="shared" si="128"/>
        <v>2013</v>
      </c>
      <c r="H2025" s="149">
        <f t="shared" si="128"/>
        <v>2014</v>
      </c>
      <c r="I2025" s="149">
        <f t="shared" si="128"/>
        <v>2015</v>
      </c>
      <c r="J2025" s="149">
        <f t="shared" si="128"/>
        <v>2016</v>
      </c>
      <c r="K2025" s="149">
        <f t="shared" si="128"/>
        <v>2017</v>
      </c>
      <c r="L2025" s="149">
        <f t="shared" si="128"/>
        <v>2018</v>
      </c>
      <c r="M2025" s="149">
        <f t="shared" si="128"/>
        <v>2019</v>
      </c>
      <c r="N2025" s="149">
        <f t="shared" si="128"/>
        <v>2020</v>
      </c>
      <c r="O2025" s="149">
        <f t="shared" si="128"/>
        <v>2021</v>
      </c>
      <c r="P2025" s="149">
        <f t="shared" si="128"/>
        <v>2022</v>
      </c>
      <c r="Q2025" s="149">
        <f t="shared" si="128"/>
        <v>2023</v>
      </c>
      <c r="R2025" s="149">
        <f t="shared" si="128"/>
        <v>2024</v>
      </c>
      <c r="S2025" s="149">
        <f t="shared" si="128"/>
        <v>2025</v>
      </c>
      <c r="T2025" s="149">
        <f t="shared" si="128"/>
        <v>2026</v>
      </c>
    </row>
    <row r="2026" spans="2:35">
      <c r="B2026" t="s">
        <v>468</v>
      </c>
      <c r="C2026" s="8">
        <v>0.21986947063089196</v>
      </c>
      <c r="D2026" s="8">
        <v>0.20109202290584632</v>
      </c>
      <c r="E2026" s="8">
        <v>0.23930173354345982</v>
      </c>
      <c r="F2026" s="8">
        <v>0.22112064163974601</v>
      </c>
      <c r="G2026" s="8">
        <v>0.1986491855383393</v>
      </c>
      <c r="H2026" s="8">
        <v>0.20357298474945534</v>
      </c>
      <c r="I2026" s="8">
        <v>0.25863845572576766</v>
      </c>
      <c r="J2026" s="8">
        <v>0.28743291855870734</v>
      </c>
      <c r="K2026" s="8">
        <v>0.27141782842598483</v>
      </c>
      <c r="L2026" s="8">
        <v>0.29600344721136035</v>
      </c>
      <c r="M2026" s="8">
        <v>0.30249027957785596</v>
      </c>
      <c r="N2026" s="8">
        <v>0.36103292677478444</v>
      </c>
      <c r="O2026" s="8">
        <v>0.38428890963708695</v>
      </c>
      <c r="P2026" s="8">
        <v>0.4</v>
      </c>
      <c r="Q2026" s="8">
        <v>0.4</v>
      </c>
      <c r="R2026" s="8">
        <v>0.35</v>
      </c>
      <c r="S2026" s="8">
        <v>0.3</v>
      </c>
      <c r="T2026" s="8">
        <v>0.25</v>
      </c>
      <c r="U2026" s="10"/>
      <c r="V2026" s="10"/>
      <c r="W2026" s="10"/>
      <c r="X2026" s="10"/>
      <c r="Y2026" s="10"/>
      <c r="Z2026" s="10"/>
      <c r="AA2026" s="8"/>
      <c r="AB2026" s="8"/>
      <c r="AC2026" s="8"/>
      <c r="AD2026" s="8"/>
      <c r="AE2026" s="8"/>
      <c r="AF2026" s="8"/>
      <c r="AG2026" s="8"/>
      <c r="AH2026" s="8"/>
      <c r="AI2026" s="8"/>
    </row>
    <row r="2027" spans="2:35">
      <c r="B2027" t="s">
        <v>467</v>
      </c>
      <c r="C2027" s="10"/>
      <c r="D2027" s="10">
        <f>Master!I105</f>
        <v>0.46824499331313169</v>
      </c>
      <c r="E2027" s="10">
        <f>Master!J105</f>
        <v>0.37040644205523848</v>
      </c>
      <c r="F2027" s="10">
        <f>Master!K105</f>
        <v>0.38456301700662798</v>
      </c>
      <c r="G2027" s="10">
        <f>Master!L105</f>
        <v>0.44663126940042475</v>
      </c>
      <c r="H2027" s="10">
        <f>Master!M105</f>
        <v>0.44684098160212443</v>
      </c>
      <c r="I2027" s="10">
        <f>Master!N105</f>
        <v>0.60007666305114737</v>
      </c>
      <c r="J2027" s="10">
        <f>Master!O105</f>
        <v>0.58172590901679444</v>
      </c>
      <c r="K2027" s="10">
        <f>Master!P105</f>
        <v>0.32008986928104577</v>
      </c>
      <c r="L2027" s="10">
        <f>Master!Q105</f>
        <v>0.35330361824855794</v>
      </c>
      <c r="M2027" s="10">
        <f>Master!R105</f>
        <v>0.310939523284255</v>
      </c>
      <c r="N2027" s="10">
        <f>Master!S105</f>
        <v>0.31367444690094803</v>
      </c>
      <c r="O2027" s="10">
        <f>Master!T105</f>
        <v>0.36096736547868669</v>
      </c>
      <c r="P2027" s="10">
        <f>Master!U105</f>
        <v>0.26830336818709483</v>
      </c>
      <c r="Q2027" s="10">
        <f>Master!V105</f>
        <v>0.22958045182111572</v>
      </c>
      <c r="R2027" s="10">
        <f>Master!W105</f>
        <v>0.1541442829109784</v>
      </c>
      <c r="S2027" s="10">
        <f>Master!X105</f>
        <v>0.22237841618192322</v>
      </c>
      <c r="T2027" s="10">
        <f>Master!Y105</f>
        <v>0.27021648645819862</v>
      </c>
    </row>
    <row r="2029" spans="2:35">
      <c r="B2029" s="42" t="s">
        <v>231</v>
      </c>
    </row>
    <row r="2030" spans="2:35">
      <c r="B2030" t="s">
        <v>1925</v>
      </c>
      <c r="C2030" s="10">
        <v>0.21099999999999999</v>
      </c>
      <c r="D2030" s="10">
        <v>0.20841656678652284</v>
      </c>
      <c r="E2030" s="10">
        <v>0.19238695599466601</v>
      </c>
      <c r="F2030" s="10">
        <v>0.19962125431658684</v>
      </c>
      <c r="G2030" s="10">
        <v>0.23400874056416368</v>
      </c>
      <c r="H2030" s="10">
        <v>0.21882352941176469</v>
      </c>
      <c r="I2030" s="10">
        <v>0.14274919282819262</v>
      </c>
      <c r="J2030" s="10">
        <v>0.12036327180515421</v>
      </c>
      <c r="K2030" s="10">
        <v>0.17487129056516457</v>
      </c>
      <c r="L2030" s="10">
        <v>0.18490826301708171</v>
      </c>
      <c r="M2030" s="10">
        <v>0.17751556391219472</v>
      </c>
      <c r="N2030" s="10">
        <v>0.1717370584131023</v>
      </c>
    </row>
    <row r="2031" spans="2:35">
      <c r="B2031" t="s">
        <v>6</v>
      </c>
      <c r="C2031" s="10">
        <f>(Master!H56-Master!H84)/Master!H21</f>
        <v>-2.7538223487020785E-2</v>
      </c>
      <c r="D2031" s="10">
        <f>(Master!I56-Master!I84)/Master!I21</f>
        <v>-0.13754126390276111</v>
      </c>
      <c r="E2031" s="10">
        <f>(Cable!F271-Cable!F289)/Cable!F244</f>
        <v>-1.992167446499548E-2</v>
      </c>
      <c r="F2031" s="10">
        <f>(Cable!G271-Cable!G289)/Cable!G244</f>
        <v>-1.1239274520885842E-2</v>
      </c>
      <c r="G2031" s="10">
        <f>(Cable!H271-Cable!H289)/Cable!H244</f>
        <v>-8.8858263122272227E-2</v>
      </c>
      <c r="H2031" s="10">
        <f>(Cable!I271-Cable!I289)/Cable!I244</f>
        <v>-7.0338870527100111E-2</v>
      </c>
      <c r="I2031" s="10">
        <f>(Cable!J271-Cable!J289)/Cable!J244</f>
        <v>-0.19971581315838433</v>
      </c>
      <c r="J2031" s="10">
        <f>(Cable!K271-Cable!K289)/Cable!K244</f>
        <v>-0.16669185616275137</v>
      </c>
      <c r="K2031" s="10">
        <f>(Cable!L271-Cable!L289)/Cable!L244</f>
        <v>0.10459543694020819</v>
      </c>
      <c r="L2031" s="10">
        <f>(Cable!M271-Cable!M289)/Cable!M244</f>
        <v>6.9046173377859968E-2</v>
      </c>
      <c r="M2031" s="10">
        <f>(Cable!N271-Cable!N289)/Cable!N244</f>
        <v>0.11585055872620016</v>
      </c>
      <c r="N2031" s="10">
        <f>(Cable!O271-Cable!O289)/Cable!O244</f>
        <v>0.10288953889492605</v>
      </c>
    </row>
    <row r="2033" spans="2:4">
      <c r="B2033">
        <v>2019</v>
      </c>
      <c r="C2033" t="s">
        <v>231</v>
      </c>
      <c r="D2033" t="s">
        <v>228</v>
      </c>
    </row>
    <row r="2034" spans="2:4">
      <c r="B2034" t="s">
        <v>1926</v>
      </c>
      <c r="C2034" s="10">
        <v>0.33100000000000002</v>
      </c>
      <c r="D2034" s="10">
        <v>0.20399999999999999</v>
      </c>
    </row>
    <row r="2035" spans="2:4">
      <c r="B2035" t="s">
        <v>1927</v>
      </c>
      <c r="C2035" s="10">
        <v>0.32300000000000001</v>
      </c>
      <c r="D2035" s="10">
        <v>0.215</v>
      </c>
    </row>
    <row r="2036" spans="2:4">
      <c r="B2036" t="s">
        <v>1928</v>
      </c>
      <c r="C2036" s="10">
        <v>0.29799999999999999</v>
      </c>
      <c r="D2036" s="10">
        <v>0.13700000000000001</v>
      </c>
    </row>
    <row r="2037" spans="2:4">
      <c r="B2037" t="s">
        <v>1929</v>
      </c>
      <c r="C2037" s="10">
        <f>(49%-22%)</f>
        <v>0.27</v>
      </c>
      <c r="D2037" s="10">
        <v>0.22</v>
      </c>
    </row>
    <row r="2038" spans="2:4">
      <c r="B2038" t="s">
        <v>1930</v>
      </c>
      <c r="C2038" s="10">
        <v>0.20899999999999999</v>
      </c>
      <c r="D2038" s="10">
        <v>0.155</v>
      </c>
    </row>
    <row r="2039" spans="2:4">
      <c r="B2039" t="s">
        <v>1931</v>
      </c>
      <c r="C2039" s="10">
        <v>0.18</v>
      </c>
      <c r="D2039" s="10">
        <v>0.23</v>
      </c>
    </row>
    <row r="2040" spans="2:4">
      <c r="B2040" t="s">
        <v>557</v>
      </c>
      <c r="C2040" s="10">
        <f>M2030</f>
        <v>0.17751556391219472</v>
      </c>
      <c r="D2040" s="10">
        <f>M2026</f>
        <v>0.30249027957785596</v>
      </c>
    </row>
    <row r="2041" spans="2:4">
      <c r="B2041" t="s">
        <v>1932</v>
      </c>
      <c r="C2041" s="10">
        <v>0.16131512148268015</v>
      </c>
      <c r="D2041" s="10">
        <v>0.23867089565378335</v>
      </c>
    </row>
    <row r="2042" spans="2:4">
      <c r="B2042" t="s">
        <v>937</v>
      </c>
      <c r="C2042" s="10">
        <f>M2031</f>
        <v>0.11585055872620016</v>
      </c>
      <c r="D2042" s="10">
        <f>M2027</f>
        <v>0.310939523284255</v>
      </c>
    </row>
    <row r="2068" spans="2:21">
      <c r="B2068" s="149" t="s">
        <v>1933</v>
      </c>
      <c r="C2068" s="149">
        <v>2018</v>
      </c>
      <c r="D2068" s="149">
        <f t="shared" ref="D2068:J2068" si="129">C2068+1</f>
        <v>2019</v>
      </c>
      <c r="E2068" s="149">
        <f t="shared" si="129"/>
        <v>2020</v>
      </c>
      <c r="F2068" s="149">
        <f t="shared" si="129"/>
        <v>2021</v>
      </c>
      <c r="G2068" s="149">
        <f t="shared" si="129"/>
        <v>2022</v>
      </c>
      <c r="H2068" s="149">
        <f t="shared" si="129"/>
        <v>2023</v>
      </c>
      <c r="I2068" s="149">
        <f t="shared" si="129"/>
        <v>2024</v>
      </c>
      <c r="J2068" s="149">
        <f t="shared" si="129"/>
        <v>2025</v>
      </c>
      <c r="L2068" s="149" t="s">
        <v>1934</v>
      </c>
    </row>
    <row r="2069" spans="2:21">
      <c r="B2069" t="s">
        <v>1935</v>
      </c>
      <c r="C2069" s="122">
        <v>2102.1770000000006</v>
      </c>
      <c r="D2069" s="122">
        <v>1947.8409004383952</v>
      </c>
      <c r="E2069" s="122">
        <v>2188.3925210189741</v>
      </c>
      <c r="F2069" s="122">
        <v>2523.6633579052045</v>
      </c>
      <c r="G2069" s="122">
        <v>2926.337628367773</v>
      </c>
      <c r="H2069" s="122">
        <v>3447.5348227139202</v>
      </c>
      <c r="I2069" s="122">
        <v>4304.0946881249329</v>
      </c>
      <c r="J2069" s="122">
        <v>4941.1156643657696</v>
      </c>
      <c r="K2069" s="10"/>
      <c r="L2069" s="122">
        <v>90</v>
      </c>
      <c r="M2069" s="10"/>
      <c r="N2069" s="10"/>
    </row>
    <row r="2070" spans="2:21">
      <c r="B2070" t="s">
        <v>1936</v>
      </c>
      <c r="C2070" s="122">
        <v>2102.1770000000006</v>
      </c>
      <c r="D2070" s="122">
        <v>1947.8409004383952</v>
      </c>
      <c r="E2070" s="122">
        <v>2188.3925210189764</v>
      </c>
      <c r="F2070" s="122">
        <v>2523.6633579052282</v>
      </c>
      <c r="G2070" s="122">
        <v>2666.9892658966473</v>
      </c>
      <c r="H2070" s="122">
        <v>2901.8103627824576</v>
      </c>
      <c r="I2070" s="122">
        <v>3141.0990014069866</v>
      </c>
      <c r="J2070" s="122">
        <v>3403.860517199962</v>
      </c>
      <c r="K2070" s="10"/>
      <c r="L2070" s="122">
        <v>74</v>
      </c>
      <c r="M2070" s="10"/>
      <c r="N2070" s="10"/>
    </row>
    <row r="2071" spans="2:21">
      <c r="B2071" t="s">
        <v>1937</v>
      </c>
      <c r="C2071" s="10">
        <f t="shared" ref="C2071:J2071" si="130">C2070/C2069-1</f>
        <v>0</v>
      </c>
      <c r="D2071" s="10">
        <f t="shared" si="130"/>
        <v>0</v>
      </c>
      <c r="E2071" s="10">
        <f t="shared" si="130"/>
        <v>0</v>
      </c>
      <c r="F2071" s="10">
        <f t="shared" si="130"/>
        <v>9.3258734068513149E-15</v>
      </c>
      <c r="G2071" s="10">
        <f t="shared" si="130"/>
        <v>-8.8625577567337244E-2</v>
      </c>
      <c r="H2071" s="10">
        <f t="shared" si="130"/>
        <v>-0.15829411100824353</v>
      </c>
      <c r="I2071" s="10">
        <f t="shared" si="130"/>
        <v>-0.27020680793261131</v>
      </c>
      <c r="J2071" s="10">
        <f t="shared" si="130"/>
        <v>-0.3111149893235956</v>
      </c>
      <c r="K2071" s="10"/>
      <c r="L2071" s="122"/>
      <c r="M2071" s="10"/>
      <c r="N2071" s="10"/>
    </row>
    <row r="2072" spans="2:21">
      <c r="C2072" s="10"/>
      <c r="D2072" s="10"/>
      <c r="E2072" s="10"/>
      <c r="F2072" s="10"/>
      <c r="G2072" s="10"/>
      <c r="H2072" s="10"/>
      <c r="I2072" s="10"/>
      <c r="J2072" s="10"/>
      <c r="K2072" s="10"/>
      <c r="L2072" s="10"/>
      <c r="M2072" s="10"/>
      <c r="N2072" s="10"/>
    </row>
    <row r="2073" spans="2:21">
      <c r="B2073" s="42" t="s">
        <v>1795</v>
      </c>
      <c r="C2073" s="10"/>
      <c r="D2073" s="10"/>
      <c r="E2073" s="10"/>
      <c r="F2073" s="10"/>
      <c r="G2073" s="10"/>
      <c r="H2073" s="10"/>
      <c r="I2073" s="10"/>
      <c r="J2073" s="10"/>
      <c r="K2073" s="10"/>
      <c r="L2073" s="10"/>
      <c r="M2073" s="10"/>
      <c r="N2073" s="10"/>
    </row>
    <row r="2074" spans="2:21">
      <c r="B2074" s="42" t="s">
        <v>154</v>
      </c>
      <c r="C2074" s="10"/>
      <c r="D2074" s="10"/>
      <c r="E2074" s="10"/>
      <c r="F2074" s="10"/>
      <c r="G2074" s="10"/>
      <c r="H2074" s="10"/>
      <c r="I2074" s="10"/>
      <c r="J2074" s="10"/>
      <c r="K2074" s="10"/>
      <c r="L2074" s="10"/>
      <c r="M2074" s="10"/>
      <c r="N2074" s="10"/>
    </row>
    <row r="2075" spans="2:21">
      <c r="B2075" t="s">
        <v>1938</v>
      </c>
      <c r="C2075" s="122">
        <f>Valuation!N33*Master!Q7</f>
        <v>-6336.4500000000016</v>
      </c>
      <c r="D2075" s="122">
        <f>Valuation!O33*Master!R7</f>
        <v>1558.974999999999</v>
      </c>
      <c r="E2075" s="122">
        <f>Valuation!P33*Master!S7</f>
        <v>1357.487999999998</v>
      </c>
      <c r="F2075" s="122">
        <f>Valuation!Q33*Master!T7</f>
        <v>-3236.6662704130695</v>
      </c>
      <c r="G2075" s="122">
        <f>Valuation!R33*Master!U7</f>
        <v>-13936.812500000005</v>
      </c>
      <c r="H2075" s="122">
        <f>Valuation!S33*Master!V7</f>
        <v>-4291.4649999999983</v>
      </c>
      <c r="I2075" s="122">
        <f>Valuation!T33*Master!W7</f>
        <v>1536.2404999999965</v>
      </c>
      <c r="J2075" s="122">
        <f>Valuation!U33*Master!X7</f>
        <v>3731.4521500000001</v>
      </c>
      <c r="L2075" s="427">
        <v>14</v>
      </c>
      <c r="N2075" s="122">
        <f>Valuation!AN33*Master!AL7</f>
        <v>0</v>
      </c>
      <c r="O2075" s="122">
        <f>Valuation!AO33*Master!AM7</f>
        <v>0</v>
      </c>
      <c r="P2075" s="122">
        <f>Valuation!AP33*Master!AN7</f>
        <v>0</v>
      </c>
      <c r="Q2075" s="122">
        <f>Valuation!AQ33*Master!AO7</f>
        <v>0</v>
      </c>
      <c r="R2075" s="122">
        <f>Valuation!AR33*Master!AP7</f>
        <v>0</v>
      </c>
      <c r="S2075" s="122">
        <f>Valuation!AS33*Master!AQ7</f>
        <v>0</v>
      </c>
      <c r="T2075" s="122">
        <f>Valuation!AT33*Master!AR7</f>
        <v>0</v>
      </c>
      <c r="U2075" s="122">
        <f>Valuation!AU33*Master!AS7</f>
        <v>0</v>
      </c>
    </row>
    <row r="2076" spans="2:21">
      <c r="B2076" t="s">
        <v>1939</v>
      </c>
      <c r="C2076" s="122">
        <v>-6336.4500000000016</v>
      </c>
      <c r="D2076" s="122">
        <v>-4.6510387079082092</v>
      </c>
      <c r="E2076" s="122">
        <v>1517.0293172625968</v>
      </c>
      <c r="F2076" s="122">
        <v>3951.0360586831716</v>
      </c>
      <c r="G2076" s="122">
        <v>5022.9242943414829</v>
      </c>
      <c r="H2076" s="122">
        <v>6089.4407536125009</v>
      </c>
      <c r="I2076" s="122">
        <v>6415.1246092898173</v>
      </c>
      <c r="J2076" s="122">
        <v>7300.8630329600619</v>
      </c>
      <c r="L2076">
        <v>11.5</v>
      </c>
    </row>
    <row r="2077" spans="2:21">
      <c r="B2077" t="s">
        <v>1937</v>
      </c>
      <c r="C2077" s="10">
        <f t="shared" ref="C2077:J2077" si="131">C2076/C2075-1</f>
        <v>0</v>
      </c>
      <c r="D2077" s="10">
        <f t="shared" si="131"/>
        <v>-1.002983395312887</v>
      </c>
      <c r="E2077" s="10">
        <f t="shared" si="131"/>
        <v>0.11752687114921012</v>
      </c>
      <c r="F2077" s="10">
        <f t="shared" si="131"/>
        <v>-2.220711599092029</v>
      </c>
      <c r="G2077" s="10">
        <f t="shared" si="131"/>
        <v>-1.3604069649599921</v>
      </c>
      <c r="H2077" s="10">
        <f t="shared" si="131"/>
        <v>-2.4189654939775815</v>
      </c>
      <c r="I2077" s="10">
        <f t="shared" si="131"/>
        <v>3.1758595801177174</v>
      </c>
      <c r="J2077" s="10">
        <f t="shared" si="131"/>
        <v>0.95657420743290555</v>
      </c>
    </row>
    <row r="2078" spans="2:21">
      <c r="C2078" s="122"/>
      <c r="D2078" s="122"/>
      <c r="E2078" s="122"/>
      <c r="F2078" s="122"/>
      <c r="G2078" s="122"/>
      <c r="H2078" s="122"/>
      <c r="I2078" s="122"/>
      <c r="J2078" s="122"/>
    </row>
    <row r="2079" spans="2:21">
      <c r="B2079" s="42" t="s">
        <v>36</v>
      </c>
    </row>
    <row r="2080" spans="2:21">
      <c r="B2080" t="s">
        <v>1940</v>
      </c>
      <c r="C2080" s="122">
        <f>Master!Q115</f>
        <v>2501.75</v>
      </c>
      <c r="D2080" s="122">
        <f>Master!R115</f>
        <v>4831.1999999999989</v>
      </c>
      <c r="E2080" s="122">
        <f>Master!S115</f>
        <v>4667.7999999999993</v>
      </c>
      <c r="F2080" s="122">
        <f>Master!T115</f>
        <v>2951.0222390845338</v>
      </c>
      <c r="G2080" s="122">
        <f>Master!U115</f>
        <v>6913.7510000000002</v>
      </c>
      <c r="H2080" s="122">
        <f>Master!V115</f>
        <v>7523.4</v>
      </c>
      <c r="I2080" s="122">
        <f>Master!W115</f>
        <v>11180.239999999998</v>
      </c>
      <c r="J2080" s="122">
        <f>Master!X115</f>
        <v>8884.8522989824014</v>
      </c>
      <c r="K2080" s="10"/>
      <c r="L2080" s="427"/>
      <c r="N2080" s="10"/>
      <c r="O2080" s="10"/>
      <c r="P2080" s="10"/>
    </row>
    <row r="2081" spans="2:21">
      <c r="B2081" t="s">
        <v>1941</v>
      </c>
      <c r="C2081" s="122">
        <v>2501.75</v>
      </c>
      <c r="D2081" s="122">
        <v>4375.1347499999993</v>
      </c>
      <c r="E2081" s="122">
        <v>6187.6905750000005</v>
      </c>
      <c r="F2081" s="122">
        <v>7672.7363130000012</v>
      </c>
      <c r="G2081" s="122">
        <v>8286.5552180400009</v>
      </c>
      <c r="H2081" s="122">
        <v>8949.4796354831997</v>
      </c>
      <c r="I2081" s="122">
        <v>9665.4380063218559</v>
      </c>
      <c r="J2081" s="122">
        <v>10438.673046827604</v>
      </c>
      <c r="N2081" s="122">
        <f>Master!AJ115</f>
        <v>0</v>
      </c>
      <c r="O2081" s="122">
        <f>Master!AK115</f>
        <v>0</v>
      </c>
      <c r="P2081" s="122">
        <f>Master!AL115</f>
        <v>0</v>
      </c>
      <c r="Q2081" s="122">
        <f>Master!AM115</f>
        <v>0</v>
      </c>
      <c r="R2081" s="122">
        <f>Master!AN115</f>
        <v>0</v>
      </c>
      <c r="S2081" s="122">
        <f>Master!AO115</f>
        <v>0</v>
      </c>
      <c r="T2081" s="122">
        <f>Master!AP115</f>
        <v>0</v>
      </c>
      <c r="U2081" s="122">
        <f>Master!AQ115</f>
        <v>0</v>
      </c>
    </row>
    <row r="2082" spans="2:21">
      <c r="B2082" t="s">
        <v>1937</v>
      </c>
      <c r="C2082" s="10">
        <f t="shared" ref="C2082:J2082" si="132">C2081/C2080-1</f>
        <v>0</v>
      </c>
      <c r="D2082" s="10">
        <f t="shared" si="132"/>
        <v>-9.4399993790362569E-2</v>
      </c>
      <c r="E2082" s="10">
        <f t="shared" si="132"/>
        <v>0.32561176035819894</v>
      </c>
      <c r="F2082" s="10">
        <f t="shared" si="132"/>
        <v>1.6000265980307344</v>
      </c>
      <c r="G2082" s="10">
        <f t="shared" si="132"/>
        <v>0.19856142028256452</v>
      </c>
      <c r="H2082" s="10">
        <f t="shared" si="132"/>
        <v>0.18955254744971684</v>
      </c>
      <c r="I2082" s="10">
        <f t="shared" si="132"/>
        <v>-0.13548921970173644</v>
      </c>
      <c r="J2082" s="10">
        <f t="shared" si="132"/>
        <v>0.17488425193327806</v>
      </c>
    </row>
    <row r="2087" spans="2:21">
      <c r="B2087" s="61"/>
      <c r="C2087" s="61">
        <v>2019</v>
      </c>
      <c r="D2087" s="61">
        <f>C2087+1</f>
        <v>2020</v>
      </c>
      <c r="E2087" s="61">
        <f>D2087+1</f>
        <v>2021</v>
      </c>
    </row>
    <row r="2088" spans="2:21">
      <c r="B2088" t="s">
        <v>467</v>
      </c>
      <c r="C2088" s="10">
        <f>Valuation!O49</f>
        <v>4.8364030177506873E-2</v>
      </c>
      <c r="D2088" s="10">
        <f>Valuation!P49</f>
        <v>3.7617439481041064E-2</v>
      </c>
      <c r="E2088" s="10">
        <f>Valuation!Q49</f>
        <v>-9.4972804531638755E-2</v>
      </c>
    </row>
    <row r="2089" spans="2:21">
      <c r="B2089" t="s">
        <v>557</v>
      </c>
      <c r="C2089" s="10">
        <v>2.7311924902426496E-2</v>
      </c>
      <c r="D2089" s="10">
        <v>3.250484201899792E-2</v>
      </c>
      <c r="E2089" s="10">
        <v>3.9391165704192418E-2</v>
      </c>
    </row>
    <row r="2107" spans="2:4">
      <c r="B2107" t="s">
        <v>1942</v>
      </c>
    </row>
    <row r="2110" spans="2:4" ht="16.5" thickBot="1">
      <c r="B2110" s="67"/>
      <c r="C2110" s="111" t="s">
        <v>22</v>
      </c>
      <c r="D2110" s="68" t="s">
        <v>1943</v>
      </c>
    </row>
    <row r="2111" spans="2:4" ht="16.5" thickBot="1">
      <c r="B2111" s="66" t="str">
        <f>SOP!B5</f>
        <v xml:space="preserve">Content </v>
      </c>
      <c r="C2111" s="608">
        <f>SOP!D5</f>
        <v>0</v>
      </c>
      <c r="D2111" s="125">
        <f>SOP!G5</f>
        <v>0</v>
      </c>
    </row>
    <row r="2112" spans="2:4" ht="16.5" thickBot="1">
      <c r="B2112" s="66" t="str">
        <f>SOP!B6</f>
        <v>Satellite (Sky)</v>
      </c>
      <c r="C2112" s="156">
        <f>SOP!D6</f>
        <v>0.48297999764214611</v>
      </c>
      <c r="D2112" s="125">
        <f>SOP!G6-SOP!G22</f>
        <v>79.649478842948312</v>
      </c>
    </row>
    <row r="2113" spans="2:5" ht="16.5" thickBot="1">
      <c r="B2113" s="66" t="str">
        <f>SOP!B7</f>
        <v>Cable Cos</v>
      </c>
      <c r="C2113" s="604">
        <f>SOP!D7</f>
        <v>4.0477934163275453</v>
      </c>
      <c r="D2113" s="125">
        <f>SOP!G7-SOP!G23</f>
        <v>3877.6244347259653</v>
      </c>
    </row>
    <row r="2114" spans="2:5" ht="15.75">
      <c r="B2114" s="66" t="str">
        <f>SOP!B10</f>
        <v>HQ/other central</v>
      </c>
      <c r="C2114" s="156">
        <f>SOP!D10</f>
        <v>10.534985929460747</v>
      </c>
      <c r="D2114" s="125">
        <f>SOP!G10</f>
        <v>-870.70977192211467</v>
      </c>
    </row>
    <row r="2115" spans="2:5" ht="15.75">
      <c r="B2115" s="66" t="s">
        <v>1944</v>
      </c>
      <c r="C2115" s="156">
        <v>8.5</v>
      </c>
      <c r="D2115" s="125">
        <f>SOP!G15+SOP!G16</f>
        <v>1190.505509002171</v>
      </c>
    </row>
    <row r="2116" spans="2:5" ht="15.75">
      <c r="B2116" s="67" t="s">
        <v>107</v>
      </c>
      <c r="C2116" s="67"/>
      <c r="D2116" s="67" t="e">
        <f>SOP!#REF!+SOP!G18</f>
        <v>#REF!</v>
      </c>
    </row>
    <row r="2117" spans="2:5" ht="16.5">
      <c r="B2117" s="66" t="s">
        <v>1945</v>
      </c>
      <c r="C2117" s="115"/>
      <c r="D2117" s="125" t="e">
        <f>SUM(D2111:D2116)</f>
        <v>#REF!</v>
      </c>
    </row>
    <row r="2118" spans="2:5" ht="16.5">
      <c r="B2118" s="66"/>
      <c r="C2118" s="115"/>
      <c r="D2118" s="125"/>
    </row>
    <row r="2119" spans="2:5" ht="15.75">
      <c r="B2119" s="66" t="s">
        <v>1946</v>
      </c>
      <c r="C2119" s="66"/>
      <c r="D2119" s="125">
        <f ca="1">SOP!G28</f>
        <v>3147.336304565541</v>
      </c>
    </row>
    <row r="2120" spans="2:5" ht="15.75">
      <c r="B2120" s="66" t="s">
        <v>1947</v>
      </c>
      <c r="C2120" s="66"/>
      <c r="D2120" s="125">
        <f>SOP!G29+SOP!G30</f>
        <v>334.57364137009824</v>
      </c>
    </row>
    <row r="2121" spans="2:5" ht="16.5" thickBot="1">
      <c r="B2121" s="66" t="s">
        <v>79</v>
      </c>
      <c r="C2121" s="66"/>
      <c r="D2121" s="125">
        <f ca="1">SOP!G31</f>
        <v>1341.8951602372181</v>
      </c>
    </row>
    <row r="2122" spans="2:5" ht="16.5" thickBot="1">
      <c r="B2122" s="602" t="s">
        <v>1948</v>
      </c>
      <c r="C2122" s="558"/>
      <c r="D2122" s="603">
        <f ca="1">SOP!G42</f>
        <v>2.1807837624824744</v>
      </c>
    </row>
    <row r="2124" spans="2:5">
      <c r="D2124" t="s">
        <v>662</v>
      </c>
      <c r="E2124" t="s">
        <v>10</v>
      </c>
    </row>
    <row r="2125" spans="2:5">
      <c r="C2125" s="264" t="s">
        <v>1949</v>
      </c>
      <c r="D2125">
        <v>18</v>
      </c>
    </row>
    <row r="2126" spans="2:5">
      <c r="C2126" s="264" t="s">
        <v>1950</v>
      </c>
      <c r="D2126">
        <v>623</v>
      </c>
    </row>
    <row r="2127" spans="2:5">
      <c r="C2127" s="264" t="s">
        <v>1951</v>
      </c>
      <c r="D2127">
        <v>105</v>
      </c>
    </row>
    <row r="2128" spans="2:5">
      <c r="C2128" s="264" t="s">
        <v>1952</v>
      </c>
      <c r="D2128">
        <v>361</v>
      </c>
    </row>
    <row r="2129" spans="2:5">
      <c r="C2129" s="264" t="s">
        <v>1953</v>
      </c>
      <c r="D2129">
        <v>184</v>
      </c>
    </row>
    <row r="2130" spans="2:5">
      <c r="C2130" s="264" t="s">
        <v>1954</v>
      </c>
      <c r="D2130">
        <v>527</v>
      </c>
    </row>
    <row r="2131" spans="2:5">
      <c r="C2131" s="264" t="s">
        <v>1955</v>
      </c>
      <c r="D2131">
        <v>0</v>
      </c>
      <c r="E2131">
        <f>D2131</f>
        <v>0</v>
      </c>
    </row>
    <row r="2132" spans="2:5">
      <c r="C2132" s="264" t="s">
        <v>1956</v>
      </c>
      <c r="D2132">
        <v>0</v>
      </c>
      <c r="E2132">
        <f>D2132</f>
        <v>0</v>
      </c>
    </row>
    <row r="2133" spans="2:5">
      <c r="C2133" s="264" t="s">
        <v>1957</v>
      </c>
      <c r="D2133">
        <v>237</v>
      </c>
      <c r="E2133">
        <f>D2133</f>
        <v>237</v>
      </c>
    </row>
    <row r="2134" spans="2:5">
      <c r="C2134" s="264" t="s">
        <v>1958</v>
      </c>
      <c r="D2134">
        <v>0</v>
      </c>
      <c r="E2134">
        <f>D2134</f>
        <v>0</v>
      </c>
    </row>
    <row r="2135" spans="2:5">
      <c r="C2135" s="264" t="s">
        <v>1959</v>
      </c>
      <c r="D2135">
        <v>0</v>
      </c>
      <c r="E2135">
        <v>300</v>
      </c>
    </row>
    <row r="2136" spans="2:5">
      <c r="C2136" s="264" t="s">
        <v>1958</v>
      </c>
      <c r="D2136">
        <v>0</v>
      </c>
      <c r="E2136">
        <f>D2136</f>
        <v>0</v>
      </c>
    </row>
    <row r="2137" spans="2:5">
      <c r="C2137" s="606">
        <v>2037</v>
      </c>
      <c r="D2137">
        <v>237</v>
      </c>
    </row>
    <row r="2138" spans="2:5">
      <c r="C2138" s="606">
        <v>2040</v>
      </c>
      <c r="D2138">
        <v>0</v>
      </c>
      <c r="E2138">
        <v>600</v>
      </c>
    </row>
    <row r="2139" spans="2:5">
      <c r="C2139" s="606">
        <v>2043</v>
      </c>
      <c r="D2139">
        <v>342</v>
      </c>
    </row>
    <row r="2140" spans="2:5">
      <c r="C2140" s="606">
        <v>2045</v>
      </c>
      <c r="E2140">
        <v>1000</v>
      </c>
    </row>
    <row r="2141" spans="2:5">
      <c r="C2141" s="606">
        <v>2046</v>
      </c>
      <c r="E2141">
        <v>900</v>
      </c>
    </row>
    <row r="2142" spans="2:5">
      <c r="C2142" s="136">
        <v>2049</v>
      </c>
      <c r="E2142">
        <v>750</v>
      </c>
    </row>
    <row r="2144" spans="2:5">
      <c r="B2144" t="s">
        <v>1960</v>
      </c>
    </row>
    <row r="2146" spans="1:5">
      <c r="C2146">
        <v>2020</v>
      </c>
      <c r="E2146" t="s">
        <v>1961</v>
      </c>
    </row>
    <row r="2147" spans="1:5">
      <c r="C2147" t="s">
        <v>22</v>
      </c>
      <c r="D2147" t="s">
        <v>1962</v>
      </c>
    </row>
    <row r="2148" spans="1:5">
      <c r="A2148" t="s">
        <v>1644</v>
      </c>
      <c r="B2148" t="s">
        <v>1963</v>
      </c>
      <c r="C2148">
        <v>3.7</v>
      </c>
      <c r="D2148" s="10">
        <v>2E-3</v>
      </c>
      <c r="E2148" s="10">
        <v>0.161</v>
      </c>
    </row>
    <row r="2149" spans="1:5">
      <c r="A2149" t="s">
        <v>1645</v>
      </c>
      <c r="B2149" t="s">
        <v>1964</v>
      </c>
      <c r="C2149">
        <v>7.1</v>
      </c>
      <c r="D2149" s="10">
        <v>0.01</v>
      </c>
      <c r="E2149" s="10">
        <v>0.20399999999999999</v>
      </c>
    </row>
    <row r="2150" spans="1:5">
      <c r="A2150" t="s">
        <v>1965</v>
      </c>
      <c r="B2150" t="s">
        <v>1966</v>
      </c>
      <c r="C2150">
        <v>4.5999999999999996</v>
      </c>
      <c r="D2150" s="10">
        <v>-3.0000000000000001E-3</v>
      </c>
      <c r="E2150" s="10">
        <v>0.18</v>
      </c>
    </row>
    <row r="2151" spans="1:5">
      <c r="A2151" t="s">
        <v>1967</v>
      </c>
      <c r="B2151" t="s">
        <v>1968</v>
      </c>
      <c r="C2151">
        <v>4.3</v>
      </c>
      <c r="D2151" s="10">
        <v>4.7E-2</v>
      </c>
      <c r="E2151" s="10">
        <v>0.19400000000000001</v>
      </c>
    </row>
    <row r="2152" spans="1:5">
      <c r="A2152" t="s">
        <v>1305</v>
      </c>
      <c r="B2152" t="s">
        <v>1969</v>
      </c>
      <c r="C2152">
        <v>3.9</v>
      </c>
      <c r="D2152" s="10">
        <v>3.2000000000000001E-2</v>
      </c>
      <c r="E2152" s="10">
        <v>0.16300000000000001</v>
      </c>
    </row>
    <row r="2153" spans="1:5">
      <c r="A2153" t="s">
        <v>1649</v>
      </c>
      <c r="B2153" t="s">
        <v>1970</v>
      </c>
      <c r="C2153">
        <v>3.1</v>
      </c>
      <c r="D2153" s="10">
        <v>8.0000000000000002E-3</v>
      </c>
      <c r="E2153" s="10">
        <v>0.108</v>
      </c>
    </row>
    <row r="2155" spans="1:5">
      <c r="B2155" t="s">
        <v>1971</v>
      </c>
      <c r="C2155">
        <v>10.7</v>
      </c>
      <c r="D2155" s="10">
        <v>0.223</v>
      </c>
      <c r="E2155" s="10">
        <v>0.20300000000000001</v>
      </c>
    </row>
    <row r="2156" spans="1:5">
      <c r="B2156" t="s">
        <v>1972</v>
      </c>
      <c r="C2156">
        <v>11.2</v>
      </c>
      <c r="D2156" s="10">
        <v>4.2999999999999997E-2</v>
      </c>
      <c r="E2156" s="10">
        <v>0.123</v>
      </c>
    </row>
    <row r="2158" spans="1:5">
      <c r="B2158" t="s">
        <v>1328</v>
      </c>
      <c r="C2158">
        <v>8.5</v>
      </c>
    </row>
    <row r="2159" spans="1:5">
      <c r="B2159" t="s">
        <v>1321</v>
      </c>
      <c r="C2159">
        <v>19.7</v>
      </c>
    </row>
    <row r="2162" spans="2:3">
      <c r="B2162" t="s">
        <v>1321</v>
      </c>
      <c r="C2162">
        <v>18.5</v>
      </c>
    </row>
    <row r="2163" spans="2:3">
      <c r="B2163" t="s">
        <v>1973</v>
      </c>
      <c r="C2163" s="419">
        <v>15</v>
      </c>
    </row>
    <row r="2164" spans="2:3">
      <c r="B2164" t="s">
        <v>1328</v>
      </c>
      <c r="C2164">
        <v>8.5</v>
      </c>
    </row>
    <row r="2165" spans="2:3">
      <c r="B2165" t="s">
        <v>1964</v>
      </c>
      <c r="C2165">
        <v>7.1</v>
      </c>
    </row>
    <row r="2166" spans="2:3">
      <c r="B2166" t="s">
        <v>1969</v>
      </c>
      <c r="C2166" s="419">
        <v>5</v>
      </c>
    </row>
    <row r="2167" spans="2:3">
      <c r="B2167" t="s">
        <v>1974</v>
      </c>
      <c r="C2167">
        <v>4.5</v>
      </c>
    </row>
    <row r="2177" spans="2:7">
      <c r="B2177" s="61" t="s">
        <v>662</v>
      </c>
      <c r="C2177" s="130">
        <v>2015</v>
      </c>
      <c r="D2177" s="130">
        <v>2016</v>
      </c>
      <c r="E2177" s="130">
        <f>D2177+1</f>
        <v>2017</v>
      </c>
      <c r="F2177" s="130">
        <f>E2177+1</f>
        <v>2018</v>
      </c>
      <c r="G2177" s="130">
        <v>2019</v>
      </c>
    </row>
    <row r="2178" spans="2:7">
      <c r="B2178" t="s">
        <v>399</v>
      </c>
      <c r="C2178">
        <v>922.8</v>
      </c>
      <c r="D2178">
        <v>2112</v>
      </c>
      <c r="E2178">
        <v>1223</v>
      </c>
      <c r="F2178">
        <v>1597</v>
      </c>
    </row>
    <row r="2179" spans="2:7">
      <c r="B2179" t="s">
        <v>1975</v>
      </c>
      <c r="C2179">
        <v>712</v>
      </c>
      <c r="D2179">
        <v>676</v>
      </c>
      <c r="E2179">
        <v>426</v>
      </c>
      <c r="F2179">
        <v>428</v>
      </c>
    </row>
    <row r="2180" spans="2:7">
      <c r="B2180" s="61" t="s">
        <v>107</v>
      </c>
      <c r="C2180" s="61"/>
      <c r="D2180" s="61"/>
      <c r="E2180" s="61"/>
      <c r="F2180" s="61">
        <v>5754</v>
      </c>
      <c r="G2180" s="61"/>
    </row>
    <row r="2181" spans="2:7">
      <c r="B2181" t="s">
        <v>1976</v>
      </c>
      <c r="C2181" s="4">
        <f>C2178+C2179+C2180</f>
        <v>1634.8</v>
      </c>
      <c r="D2181">
        <f>D2178+D2179+D2180</f>
        <v>2788</v>
      </c>
      <c r="E2181">
        <f>E2178+E2179+E2180</f>
        <v>1649</v>
      </c>
      <c r="F2181">
        <f>F2178+F2179+F2180</f>
        <v>7779</v>
      </c>
      <c r="G2181" s="4">
        <v>2093.5</v>
      </c>
    </row>
    <row r="2182" spans="2:7">
      <c r="B2182" t="s">
        <v>396</v>
      </c>
      <c r="C2182" s="10">
        <f>C2181/Master!N132</f>
        <v>1.8566301730795438E-2</v>
      </c>
      <c r="D2182" s="10">
        <f>D2181/Master!O132</f>
        <v>2.8954982687246722E-2</v>
      </c>
      <c r="E2182" s="10">
        <f>E2181/Master!P132</f>
        <v>1.7491381596393529E-2</v>
      </c>
      <c r="F2182" s="10">
        <f>F2181/Master!Q132</f>
        <v>7.6784127924193077E-2</v>
      </c>
      <c r="G2182" s="10">
        <f>G2181/Master!R132</f>
        <v>2.0799677299489519E-2</v>
      </c>
    </row>
    <row r="2183" spans="2:7">
      <c r="B2183" t="s">
        <v>1977</v>
      </c>
      <c r="C2183" s="10">
        <f>Master!N106</f>
        <v>0.28934831690364787</v>
      </c>
      <c r="D2183" s="10">
        <f>Master!O106</f>
        <v>0.28989338168856987</v>
      </c>
      <c r="E2183" s="10">
        <f>Master!P106</f>
        <v>0.17736229116945104</v>
      </c>
      <c r="F2183" s="10">
        <f>Master!Q106</f>
        <v>0.18419652551574375</v>
      </c>
      <c r="G2183" s="10">
        <f>Master!R106</f>
        <v>0.18943876141821309</v>
      </c>
    </row>
    <row r="2185" spans="2:7">
      <c r="B2185" s="607" t="s">
        <v>1978</v>
      </c>
    </row>
    <row r="2189" spans="2:7">
      <c r="B2189" s="42" t="s">
        <v>1979</v>
      </c>
    </row>
    <row r="2190" spans="2:7">
      <c r="B2190" t="s">
        <v>1980</v>
      </c>
      <c r="C2190">
        <f>C2193-C2192-C2191</f>
        <v>1644</v>
      </c>
      <c r="D2190" s="8">
        <f>C2190/C$2193</f>
        <v>8.7196350906969339E-2</v>
      </c>
    </row>
    <row r="2191" spans="2:7">
      <c r="B2191" t="s">
        <v>1981</v>
      </c>
      <c r="C2191">
        <v>16589</v>
      </c>
      <c r="D2191" s="8">
        <f>C2191/C$2193</f>
        <v>0.87986634135992359</v>
      </c>
    </row>
    <row r="2192" spans="2:7">
      <c r="B2192" s="61" t="s">
        <v>1982</v>
      </c>
      <c r="C2192" s="61">
        <v>621</v>
      </c>
      <c r="D2192" s="457">
        <f>C2192/C$2193</f>
        <v>3.2937307733107032E-2</v>
      </c>
    </row>
    <row r="2193" spans="2:4">
      <c r="B2193" t="s">
        <v>894</v>
      </c>
      <c r="C2193">
        <v>18854</v>
      </c>
      <c r="D2193" s="8">
        <f>C2193/C$2193</f>
        <v>1</v>
      </c>
    </row>
    <row r="2195" spans="2:4">
      <c r="B2195" t="s">
        <v>1983</v>
      </c>
      <c r="C2195" s="4">
        <f>C$2193*D2195</f>
        <v>7164.52</v>
      </c>
      <c r="D2195" s="8">
        <v>0.38</v>
      </c>
    </row>
    <row r="2196" spans="2:4">
      <c r="B2196" t="s">
        <v>1984</v>
      </c>
      <c r="C2196" s="4">
        <f>C$2193*D2196</f>
        <v>6975.98</v>
      </c>
      <c r="D2196" s="8">
        <v>0.37</v>
      </c>
    </row>
    <row r="2197" spans="2:4">
      <c r="B2197" t="s">
        <v>1985</v>
      </c>
      <c r="C2197" s="4">
        <f>C$2193*D2197</f>
        <v>4147.88</v>
      </c>
      <c r="D2197" s="8">
        <v>0.22</v>
      </c>
    </row>
    <row r="2198" spans="2:4">
      <c r="B2198" t="s">
        <v>107</v>
      </c>
      <c r="C2198" s="4">
        <f>C$2193*D2198</f>
        <v>565.62000000000046</v>
      </c>
      <c r="D2198" s="8">
        <f>100%-D2197-D2196-D2195</f>
        <v>3.0000000000000027E-2</v>
      </c>
    </row>
    <row r="2200" spans="2:4">
      <c r="B2200" t="s">
        <v>1986</v>
      </c>
      <c r="C2200">
        <v>1386</v>
      </c>
    </row>
    <row r="2201" spans="2:4">
      <c r="B2201" t="s">
        <v>1987</v>
      </c>
      <c r="C2201" s="4">
        <f>C2197-C2200</f>
        <v>2761.88</v>
      </c>
    </row>
    <row r="2203" spans="2:4">
      <c r="B2203" t="s">
        <v>1988</v>
      </c>
      <c r="C2203">
        <v>9722</v>
      </c>
    </row>
    <row r="2204" spans="2:4">
      <c r="B2204" t="s">
        <v>592</v>
      </c>
      <c r="C2204" s="8">
        <f>C2201/C2203</f>
        <v>0.28408557909895082</v>
      </c>
    </row>
    <row r="2207" spans="2:4" ht="15.75">
      <c r="B2207" s="611" t="s">
        <v>1989</v>
      </c>
    </row>
    <row r="2209" spans="2:11" ht="15.75">
      <c r="B2209" s="217" t="s">
        <v>1532</v>
      </c>
      <c r="C2209" s="217">
        <v>2020</v>
      </c>
      <c r="D2209" s="217">
        <f>C2209+1</f>
        <v>2021</v>
      </c>
      <c r="E2209" s="217">
        <f>D2209+1</f>
        <v>2022</v>
      </c>
      <c r="F2209" s="217">
        <f>E2209+1</f>
        <v>2023</v>
      </c>
      <c r="G2209" s="217">
        <f>F2209+1</f>
        <v>2024</v>
      </c>
      <c r="H2209" s="217">
        <f>G2209+1</f>
        <v>2025</v>
      </c>
      <c r="J2209" t="s">
        <v>57</v>
      </c>
      <c r="K2209" t="s">
        <v>57</v>
      </c>
    </row>
    <row r="2210" spans="2:11" ht="15.75">
      <c r="B2210" s="66" t="s">
        <v>33</v>
      </c>
      <c r="C2210" s="125">
        <f>Master!S132</f>
        <v>97138.3</v>
      </c>
      <c r="D2210" s="125">
        <f>Master!T132</f>
        <v>103521.8</v>
      </c>
      <c r="E2210" s="125">
        <f>Master!U132</f>
        <v>75526.600000000006</v>
      </c>
      <c r="F2210" s="125">
        <f>Master!V132</f>
        <v>73767.900000000009</v>
      </c>
      <c r="G2210" s="125">
        <f>Master!W132</f>
        <v>62260.864000000001</v>
      </c>
      <c r="H2210" s="125">
        <f>Master!X132</f>
        <v>58878.2</v>
      </c>
    </row>
    <row r="2211" spans="2:11" ht="15.75">
      <c r="B2211" s="66" t="s">
        <v>34</v>
      </c>
      <c r="C2211" s="125">
        <f>Master!S140</f>
        <v>38810.299999999996</v>
      </c>
      <c r="D2211" s="125">
        <f>Master!T140</f>
        <v>43601.599999999999</v>
      </c>
      <c r="E2211" s="125">
        <f>Master!U140</f>
        <v>25536.03</v>
      </c>
      <c r="F2211" s="125">
        <f>Master!V140</f>
        <v>24124.600000000002</v>
      </c>
      <c r="G2211" s="125">
        <f>Master!W140</f>
        <v>17692.015999999996</v>
      </c>
      <c r="H2211" s="125">
        <f>Master!X140</f>
        <v>21385.4</v>
      </c>
    </row>
    <row r="2212" spans="2:11" ht="15.75">
      <c r="B2212" s="66" t="s">
        <v>548</v>
      </c>
      <c r="C2212" s="69">
        <f t="shared" ref="C2212:H2212" si="133">C2211/C2210</f>
        <v>0.39953653708166598</v>
      </c>
      <c r="D2212" s="69">
        <f t="shared" si="133"/>
        <v>0.4211827846888288</v>
      </c>
      <c r="E2212" s="69">
        <f t="shared" si="133"/>
        <v>0.33810644196878975</v>
      </c>
      <c r="F2212" s="69">
        <f t="shared" si="133"/>
        <v>0.32703384534465535</v>
      </c>
      <c r="G2212" s="69">
        <f t="shared" si="133"/>
        <v>0.28415950026006698</v>
      </c>
      <c r="H2212" s="69">
        <f t="shared" si="133"/>
        <v>0.36321422869585013</v>
      </c>
    </row>
    <row r="2213" spans="2:11" ht="15.75">
      <c r="B2213" s="66" t="s">
        <v>35</v>
      </c>
      <c r="C2213" s="125">
        <f>Master!S87</f>
        <v>20178.311999999998</v>
      </c>
      <c r="D2213" s="125">
        <f>Master!T87</f>
        <v>23310.092270413064</v>
      </c>
      <c r="E2213" s="125">
        <f>Master!U87</f>
        <v>17214.16</v>
      </c>
      <c r="F2213" s="125">
        <f>Master!V87</f>
        <v>14503.380000000001</v>
      </c>
      <c r="G2213" s="125">
        <f>Master!W87</f>
        <v>9097.5</v>
      </c>
      <c r="H2213" s="125">
        <f>Master!X87</f>
        <v>12186.6</v>
      </c>
    </row>
    <row r="2214" spans="2:11" ht="15.75">
      <c r="B2214" s="66" t="s">
        <v>396</v>
      </c>
      <c r="C2214" s="69">
        <f t="shared" ref="C2214:H2214" si="134">C2213/C2210</f>
        <v>0.20772766251828576</v>
      </c>
      <c r="D2214" s="69">
        <f t="shared" si="134"/>
        <v>0.22517085551461685</v>
      </c>
      <c r="E2214" s="69">
        <f t="shared" si="134"/>
        <v>0.22792181827329708</v>
      </c>
      <c r="F2214" s="69">
        <f t="shared" si="134"/>
        <v>0.1966082808376001</v>
      </c>
      <c r="G2214" s="69">
        <f t="shared" si="134"/>
        <v>0.14611907730673315</v>
      </c>
      <c r="H2214" s="69">
        <f t="shared" si="134"/>
        <v>0.20697983294326255</v>
      </c>
    </row>
    <row r="2215" spans="2:11" ht="15.75">
      <c r="B2215" s="66" t="s">
        <v>36</v>
      </c>
      <c r="C2215" s="125">
        <f t="shared" ref="C2215:H2215" si="135">C2211-C2213</f>
        <v>18631.987999999998</v>
      </c>
      <c r="D2215" s="125">
        <f t="shared" si="135"/>
        <v>20291.507729586934</v>
      </c>
      <c r="E2215" s="125">
        <f t="shared" si="135"/>
        <v>8321.869999999999</v>
      </c>
      <c r="F2215" s="125">
        <f t="shared" si="135"/>
        <v>9621.2200000000012</v>
      </c>
      <c r="G2215" s="125">
        <f t="shared" si="135"/>
        <v>8594.515999999996</v>
      </c>
      <c r="H2215" s="125">
        <f t="shared" si="135"/>
        <v>9198.8000000000011</v>
      </c>
    </row>
    <row r="2216" spans="2:11" ht="15.75">
      <c r="B2216" s="66" t="s">
        <v>154</v>
      </c>
      <c r="C2216" s="125">
        <f>Valuation!P33*Master!S7</f>
        <v>1357.487999999998</v>
      </c>
      <c r="D2216" s="125">
        <f>Valuation!Q33*Master!T7</f>
        <v>-3236.6662704130695</v>
      </c>
      <c r="E2216" s="125">
        <f>Valuation!R33*Master!U7</f>
        <v>-13936.812500000005</v>
      </c>
      <c r="F2216" s="125">
        <f>Valuation!S33*Master!V7</f>
        <v>-4291.4649999999983</v>
      </c>
      <c r="G2216" s="125">
        <f>Valuation!T33*Master!W7</f>
        <v>1536.2404999999965</v>
      </c>
      <c r="H2216" s="125">
        <f>Valuation!U33*Master!X7</f>
        <v>3731.4521500000001</v>
      </c>
    </row>
    <row r="2218" spans="2:11" ht="14.45" hidden="1" customHeight="1" outlineLevel="1">
      <c r="B2218" s="217" t="s">
        <v>1734</v>
      </c>
      <c r="C2218" s="217">
        <v>2020</v>
      </c>
      <c r="D2218" s="217">
        <f>C2218+1</f>
        <v>2021</v>
      </c>
      <c r="E2218" s="217">
        <f>D2218+1</f>
        <v>2022</v>
      </c>
      <c r="F2218" s="217">
        <f>E2218+1</f>
        <v>2023</v>
      </c>
      <c r="G2218" s="217">
        <f>F2218+1</f>
        <v>2024</v>
      </c>
      <c r="H2218" s="217">
        <f>G2218+1</f>
        <v>2025</v>
      </c>
    </row>
    <row r="2219" spans="2:11" ht="14.45" hidden="1" customHeight="1" outlineLevel="1">
      <c r="B2219" s="66" t="s">
        <v>33</v>
      </c>
      <c r="C2219" s="125">
        <v>101664.11236501508</v>
      </c>
      <c r="D2219" s="125">
        <v>108349.94564843849</v>
      </c>
      <c r="E2219" s="125">
        <v>113327.80027238613</v>
      </c>
      <c r="F2219" s="125">
        <v>118455.54038206671</v>
      </c>
      <c r="G2219" s="125">
        <v>124134.22314422559</v>
      </c>
      <c r="H2219" s="125">
        <v>130225.19513741269</v>
      </c>
    </row>
    <row r="2220" spans="2:11" ht="14.45" hidden="1" customHeight="1" outlineLevel="1">
      <c r="B2220" s="66" t="s">
        <v>34</v>
      </c>
      <c r="C2220" s="125">
        <v>35100.521751586399</v>
      </c>
      <c r="D2220" s="125">
        <v>38804.797323296065</v>
      </c>
      <c r="E2220" s="125">
        <v>41563.970069080598</v>
      </c>
      <c r="F2220" s="125">
        <v>43853.037780901337</v>
      </c>
      <c r="G2220" s="125">
        <v>46467.802662390342</v>
      </c>
      <c r="H2220" s="125">
        <v>49374.441520201268</v>
      </c>
    </row>
    <row r="2221" spans="2:11" ht="14.45" hidden="1" customHeight="1" outlineLevel="1">
      <c r="B2221" s="66" t="s">
        <v>548</v>
      </c>
      <c r="C2221" s="69">
        <v>0.33975179484401685</v>
      </c>
      <c r="D2221" s="69">
        <v>0.35791063710199356</v>
      </c>
      <c r="E2221" s="69">
        <v>0.36480068535217497</v>
      </c>
      <c r="F2221" s="69">
        <v>0.36806239576342298</v>
      </c>
      <c r="G2221" s="69">
        <v>0.37202438156976381</v>
      </c>
      <c r="H2221" s="69">
        <v>0.37668949805990409</v>
      </c>
    </row>
    <row r="2222" spans="2:11" ht="14.45" hidden="1" customHeight="1" outlineLevel="1">
      <c r="B2222" s="66" t="s">
        <v>35</v>
      </c>
      <c r="C2222" s="125">
        <v>17934.229992162724</v>
      </c>
      <c r="D2222" s="125">
        <v>18711.458637459804</v>
      </c>
      <c r="E2222" s="125">
        <v>18945.198731231532</v>
      </c>
      <c r="F2222" s="125">
        <v>19196.064929590342</v>
      </c>
      <c r="G2222" s="125">
        <v>20009.745084137823</v>
      </c>
      <c r="H2222" s="125">
        <v>21154.453366864549</v>
      </c>
    </row>
    <row r="2223" spans="2:11" ht="14.45" hidden="1" customHeight="1" outlineLevel="1">
      <c r="B2223" s="66" t="s">
        <v>396</v>
      </c>
      <c r="C2223" s="69">
        <v>0.16405251358220324</v>
      </c>
      <c r="D2223" s="69">
        <v>0.15299162807636565</v>
      </c>
      <c r="E2223" s="69">
        <v>0.1561818117323811</v>
      </c>
      <c r="F2223" s="69">
        <v>0.15728905949882552</v>
      </c>
      <c r="G2223" s="69">
        <v>0.16124866388313197</v>
      </c>
      <c r="H2223" s="69">
        <v>0.16245995800662236</v>
      </c>
    </row>
    <row r="2224" spans="2:11" ht="14.45" hidden="1" customHeight="1" outlineLevel="1">
      <c r="B2224" s="66" t="s">
        <v>36</v>
      </c>
      <c r="C2224" s="125">
        <v>17738.43670354638</v>
      </c>
      <c r="D2224" s="125">
        <v>22207.303785425556</v>
      </c>
      <c r="E2224" s="125">
        <v>23580.840753864053</v>
      </c>
      <c r="F2224" s="125">
        <v>24912.267826549796</v>
      </c>
      <c r="G2224" s="125">
        <v>26117.597645473994</v>
      </c>
      <c r="H2224" s="125">
        <v>27859.447398331948</v>
      </c>
    </row>
    <row r="2225" spans="2:13" ht="14.45" hidden="1" customHeight="1" outlineLevel="1">
      <c r="B2225" s="66" t="s">
        <v>154</v>
      </c>
      <c r="C2225" s="125">
        <v>213.67095894076178</v>
      </c>
      <c r="D2225" s="125">
        <v>2270.788439603748</v>
      </c>
      <c r="E2225" s="125">
        <v>4333.769627125881</v>
      </c>
      <c r="F2225" s="125">
        <v>6209.4474458430723</v>
      </c>
      <c r="G2225" s="125">
        <v>7468.905592296097</v>
      </c>
      <c r="H2225" s="125">
        <v>8712.9426312116229</v>
      </c>
    </row>
    <row r="2226" spans="2:13" ht="14.45" hidden="1" customHeight="1" outlineLevel="1">
      <c r="B2226" s="66"/>
      <c r="C2226" s="66"/>
      <c r="D2226" s="66"/>
      <c r="E2226" s="66"/>
      <c r="F2226" s="66"/>
      <c r="G2226" s="66"/>
      <c r="H2226" s="66"/>
    </row>
    <row r="2227" spans="2:13" ht="15.75" collapsed="1">
      <c r="B2227" s="217" t="s">
        <v>205</v>
      </c>
      <c r="C2227" s="217">
        <v>2020</v>
      </c>
      <c r="D2227" s="217">
        <f>C2227+1</f>
        <v>2021</v>
      </c>
      <c r="E2227" s="217">
        <f>D2227+1</f>
        <v>2022</v>
      </c>
      <c r="F2227" s="217">
        <f>E2227+1</f>
        <v>2023</v>
      </c>
      <c r="G2227" s="217">
        <f>F2227+1</f>
        <v>2024</v>
      </c>
      <c r="H2227" s="217">
        <f>G2227+1</f>
        <v>2025</v>
      </c>
    </row>
    <row r="2228" spans="2:13" ht="15.75">
      <c r="B2228" s="66" t="s">
        <v>33</v>
      </c>
      <c r="C2228" s="116">
        <f t="shared" ref="C2228:H2229" si="136">C2210/C2219-1</f>
        <v>-4.4517305662056916E-2</v>
      </c>
      <c r="D2228" s="116">
        <f t="shared" si="136"/>
        <v>-4.4560665162715396E-2</v>
      </c>
      <c r="E2228" s="116">
        <f t="shared" si="136"/>
        <v>-0.33355628699692408</v>
      </c>
      <c r="F2228" s="116">
        <f t="shared" si="136"/>
        <v>-0.37725242937503056</v>
      </c>
      <c r="G2228" s="116">
        <f t="shared" si="136"/>
        <v>-0.49843916993251658</v>
      </c>
      <c r="H2228" s="116">
        <f t="shared" si="136"/>
        <v>-0.54787397371244373</v>
      </c>
    </row>
    <row r="2229" spans="2:13" ht="15.75">
      <c r="B2229" s="66" t="s">
        <v>34</v>
      </c>
      <c r="C2229" s="116">
        <f t="shared" si="136"/>
        <v>0.10569011693525421</v>
      </c>
      <c r="D2229" s="116">
        <f t="shared" si="136"/>
        <v>0.12361365108391431</v>
      </c>
      <c r="E2229" s="116">
        <f t="shared" si="136"/>
        <v>-0.3856210088314872</v>
      </c>
      <c r="F2229" s="116">
        <f t="shared" si="136"/>
        <v>-0.4498761951103275</v>
      </c>
      <c r="G2229" s="116">
        <f t="shared" si="136"/>
        <v>-0.61926290923329175</v>
      </c>
      <c r="H2229" s="116">
        <f t="shared" si="136"/>
        <v>-0.5668730755921505</v>
      </c>
    </row>
    <row r="2230" spans="2:13" ht="15.75">
      <c r="B2230" s="66" t="s">
        <v>35</v>
      </c>
      <c r="C2230" s="116">
        <f t="shared" ref="C2230:H2230" si="137">C2213/C2222-1</f>
        <v>0.12512842808517233</v>
      </c>
      <c r="D2230" s="116">
        <f t="shared" si="137"/>
        <v>0.24576564136731327</v>
      </c>
      <c r="E2230" s="116">
        <f t="shared" si="137"/>
        <v>-9.137084048518751E-2</v>
      </c>
      <c r="F2230" s="116">
        <f t="shared" si="137"/>
        <v>-0.24446077603939875</v>
      </c>
      <c r="G2230" s="116">
        <f t="shared" si="137"/>
        <v>-0.54534653181505077</v>
      </c>
      <c r="H2230" s="116">
        <f t="shared" si="137"/>
        <v>-0.42392271789501401</v>
      </c>
    </row>
    <row r="2231" spans="2:13" ht="15.75">
      <c r="B2231" s="66" t="s">
        <v>36</v>
      </c>
      <c r="C2231" s="116">
        <f t="shared" ref="C2231:H2231" si="138">C2215/C2224-1</f>
        <v>5.0373734246545787E-2</v>
      </c>
      <c r="D2231" s="116">
        <f t="shared" si="138"/>
        <v>-8.6268737274443064E-2</v>
      </c>
      <c r="E2231" s="116">
        <f t="shared" si="138"/>
        <v>-0.64709188756824365</v>
      </c>
      <c r="F2231" s="116">
        <f t="shared" si="138"/>
        <v>-0.61379589899293063</v>
      </c>
      <c r="G2231" s="116">
        <f t="shared" si="138"/>
        <v>-0.67093007110899539</v>
      </c>
      <c r="H2231" s="116">
        <f t="shared" si="138"/>
        <v>-0.6698139820048703</v>
      </c>
    </row>
    <row r="2232" spans="2:13" ht="15.75">
      <c r="B2232" s="66"/>
      <c r="C2232" s="116"/>
      <c r="D2232" s="116"/>
      <c r="E2232" s="116"/>
      <c r="F2232" s="116"/>
      <c r="G2232" s="116"/>
      <c r="H2232" s="116"/>
    </row>
    <row r="2234" spans="2:13" ht="15.75">
      <c r="B2234" s="70" t="s">
        <v>1990</v>
      </c>
      <c r="C2234" s="217">
        <v>2020</v>
      </c>
      <c r="D2234" s="217">
        <f t="shared" ref="D2234:K2234" si="139">C2234+1</f>
        <v>2021</v>
      </c>
      <c r="E2234" s="217">
        <f t="shared" si="139"/>
        <v>2022</v>
      </c>
      <c r="F2234" s="217">
        <f t="shared" si="139"/>
        <v>2023</v>
      </c>
      <c r="G2234" s="217">
        <f t="shared" si="139"/>
        <v>2024</v>
      </c>
      <c r="H2234" s="217">
        <f t="shared" si="139"/>
        <v>2025</v>
      </c>
      <c r="I2234" s="217">
        <f t="shared" si="139"/>
        <v>2026</v>
      </c>
      <c r="J2234" s="217">
        <f t="shared" si="139"/>
        <v>2027</v>
      </c>
      <c r="K2234" s="217">
        <f t="shared" si="139"/>
        <v>2028</v>
      </c>
      <c r="L2234" s="388" t="s">
        <v>1991</v>
      </c>
    </row>
    <row r="2235" spans="2:13" ht="15.75">
      <c r="B2235" s="66" t="s">
        <v>1992</v>
      </c>
      <c r="C2235" s="125">
        <f>C2240</f>
        <v>57373</v>
      </c>
    </row>
    <row r="2236" spans="2:13" ht="15.75">
      <c r="B2236" s="66" t="s">
        <v>463</v>
      </c>
      <c r="C2236" s="125">
        <v>10249</v>
      </c>
      <c r="D2236" s="125">
        <v>0</v>
      </c>
      <c r="E2236" s="125">
        <v>4641</v>
      </c>
      <c r="F2236" s="125">
        <v>7990</v>
      </c>
      <c r="G2236" s="125">
        <v>10000</v>
      </c>
      <c r="H2236" s="125">
        <v>11843</v>
      </c>
      <c r="I2236" s="125">
        <v>5921</v>
      </c>
      <c r="J2236" s="125">
        <v>4500</v>
      </c>
      <c r="K2236" s="125">
        <v>0</v>
      </c>
      <c r="L2236" s="125">
        <v>81075</v>
      </c>
      <c r="M2236" s="125">
        <f>SUM(C2236:L2236)</f>
        <v>136219</v>
      </c>
    </row>
    <row r="2237" spans="2:13" ht="15.75">
      <c r="B2237" s="66" t="s">
        <v>1255</v>
      </c>
      <c r="C2237" s="125">
        <f>C2236</f>
        <v>10249</v>
      </c>
      <c r="D2237" s="125">
        <f t="shared" ref="D2237:K2237" si="140">C2237+D2236</f>
        <v>10249</v>
      </c>
      <c r="E2237" s="125">
        <f t="shared" si="140"/>
        <v>14890</v>
      </c>
      <c r="F2237" s="125">
        <f t="shared" si="140"/>
        <v>22880</v>
      </c>
      <c r="G2237" s="125">
        <f t="shared" si="140"/>
        <v>32880</v>
      </c>
      <c r="H2237" s="125">
        <f t="shared" si="140"/>
        <v>44723</v>
      </c>
      <c r="I2237" s="125">
        <f t="shared" si="140"/>
        <v>50644</v>
      </c>
      <c r="J2237" s="125">
        <f t="shared" si="140"/>
        <v>55144</v>
      </c>
      <c r="K2237" s="125">
        <f t="shared" si="140"/>
        <v>55144</v>
      </c>
      <c r="L2237" s="125">
        <f>J2237+L2236</f>
        <v>136219</v>
      </c>
      <c r="M2237" s="125"/>
    </row>
    <row r="2238" spans="2:13" ht="15.75">
      <c r="B2238" s="66" t="s">
        <v>1707</v>
      </c>
      <c r="C2238" s="69">
        <f t="shared" ref="C2238:L2238" si="141">C2237/$M$2236</f>
        <v>7.5239136977954618E-2</v>
      </c>
      <c r="D2238" s="69">
        <f t="shared" si="141"/>
        <v>7.5239136977954618E-2</v>
      </c>
      <c r="E2238" s="69">
        <f t="shared" si="141"/>
        <v>0.10930927403666155</v>
      </c>
      <c r="F2238" s="69">
        <f t="shared" si="141"/>
        <v>0.16796482135384933</v>
      </c>
      <c r="G2238" s="69">
        <f t="shared" si="141"/>
        <v>0.24137601949801424</v>
      </c>
      <c r="H2238" s="69">
        <f t="shared" si="141"/>
        <v>0.32831690146014875</v>
      </c>
      <c r="I2238" s="69">
        <f t="shared" si="141"/>
        <v>0.37178367188130879</v>
      </c>
      <c r="J2238" s="69">
        <f t="shared" si="141"/>
        <v>0.404818711046183</v>
      </c>
      <c r="K2238" s="69">
        <f t="shared" si="141"/>
        <v>0.404818711046183</v>
      </c>
      <c r="L2238" s="69">
        <f t="shared" si="141"/>
        <v>1</v>
      </c>
      <c r="M2238" s="125"/>
    </row>
    <row r="2239" spans="2:13" ht="15.75">
      <c r="B2239" s="66"/>
      <c r="D2239" s="125"/>
      <c r="E2239" s="125"/>
      <c r="F2239" s="125"/>
      <c r="G2239" s="125"/>
      <c r="H2239" s="125"/>
      <c r="I2239" s="125"/>
      <c r="J2239" s="125"/>
      <c r="K2239" s="125"/>
      <c r="L2239" s="125"/>
      <c r="M2239" s="125"/>
    </row>
    <row r="2240" spans="2:13" ht="15.75">
      <c r="B2240" s="66" t="s">
        <v>1993</v>
      </c>
      <c r="C2240" s="124">
        <v>57373</v>
      </c>
    </row>
    <row r="2241" spans="2:12" ht="15.75">
      <c r="B2241" s="66" t="s">
        <v>154</v>
      </c>
    </row>
    <row r="2243" spans="2:12" ht="15.75">
      <c r="B2243" s="61"/>
      <c r="C2243" s="217">
        <f t="shared" ref="C2243:L2243" si="142">C2234</f>
        <v>2020</v>
      </c>
      <c r="D2243" s="217">
        <f t="shared" si="142"/>
        <v>2021</v>
      </c>
      <c r="E2243" s="217">
        <f t="shared" si="142"/>
        <v>2022</v>
      </c>
      <c r="F2243" s="217">
        <f t="shared" si="142"/>
        <v>2023</v>
      </c>
      <c r="G2243" s="217">
        <f t="shared" si="142"/>
        <v>2024</v>
      </c>
      <c r="H2243" s="217">
        <f t="shared" si="142"/>
        <v>2025</v>
      </c>
      <c r="I2243" s="217">
        <f t="shared" si="142"/>
        <v>2026</v>
      </c>
      <c r="J2243" s="217">
        <f t="shared" si="142"/>
        <v>2027</v>
      </c>
      <c r="K2243" s="217">
        <f t="shared" si="142"/>
        <v>2028</v>
      </c>
      <c r="L2243" s="217" t="str">
        <f t="shared" si="142"/>
        <v>&gt;2029</v>
      </c>
    </row>
    <row r="2244" spans="2:12" ht="15.75">
      <c r="B2244" s="66" t="s">
        <v>6</v>
      </c>
      <c r="C2244" s="69">
        <f t="shared" ref="C2244:L2244" si="143">C2238</f>
        <v>7.5239136977954618E-2</v>
      </c>
      <c r="D2244" s="69">
        <f t="shared" si="143"/>
        <v>7.5239136977954618E-2</v>
      </c>
      <c r="E2244" s="69">
        <f t="shared" si="143"/>
        <v>0.10930927403666155</v>
      </c>
      <c r="F2244" s="69">
        <f t="shared" si="143"/>
        <v>0.16796482135384933</v>
      </c>
      <c r="G2244" s="69">
        <f t="shared" si="143"/>
        <v>0.24137601949801424</v>
      </c>
      <c r="H2244" s="69">
        <f t="shared" si="143"/>
        <v>0.32831690146014875</v>
      </c>
      <c r="I2244" s="69">
        <f t="shared" si="143"/>
        <v>0.37178367188130879</v>
      </c>
      <c r="J2244" s="69">
        <f t="shared" si="143"/>
        <v>0.404818711046183</v>
      </c>
      <c r="K2244" s="69">
        <f t="shared" si="143"/>
        <v>0.404818711046183</v>
      </c>
      <c r="L2244" s="69">
        <f t="shared" si="143"/>
        <v>1</v>
      </c>
    </row>
    <row r="2245" spans="2:12" ht="15.75">
      <c r="B2245" s="66" t="s">
        <v>1994</v>
      </c>
      <c r="C2245" s="69">
        <v>0.17100857357816673</v>
      </c>
      <c r="D2245" s="69">
        <v>0.2731358461551181</v>
      </c>
      <c r="E2245" s="69">
        <v>0.4393954676609923</v>
      </c>
      <c r="F2245" s="69">
        <v>0.47676700867279026</v>
      </c>
      <c r="G2245" s="69">
        <v>0.52520896546592477</v>
      </c>
      <c r="H2245" s="69">
        <v>0.53066728398634178</v>
      </c>
      <c r="I2245" s="69">
        <v>0.57747720188833684</v>
      </c>
      <c r="J2245" s="69">
        <v>0.61311253131381616</v>
      </c>
      <c r="K2245" s="69">
        <v>0.63624713731780114</v>
      </c>
      <c r="L2245" s="69">
        <v>1</v>
      </c>
    </row>
    <row r="2250" spans="2:12" ht="15.75">
      <c r="B2250" s="149"/>
      <c r="C2250" s="217">
        <v>2019</v>
      </c>
      <c r="D2250" s="217">
        <f>C2250+1</f>
        <v>2020</v>
      </c>
      <c r="E2250" s="217">
        <v>2021</v>
      </c>
      <c r="G2250" s="217" t="s">
        <v>1995</v>
      </c>
    </row>
    <row r="2251" spans="2:12" ht="15.75">
      <c r="B2251" s="66" t="s">
        <v>1066</v>
      </c>
      <c r="C2251" s="116">
        <v>2.3E-2</v>
      </c>
      <c r="D2251" s="116">
        <v>-6.0999999999999999E-2</v>
      </c>
      <c r="E2251" s="116">
        <v>4.4999999999999998E-2</v>
      </c>
      <c r="G2251" s="116">
        <f t="shared" ref="G2251:G2282" si="144">D2251-C2251</f>
        <v>-8.3999999999999991E-2</v>
      </c>
    </row>
    <row r="2252" spans="2:12" ht="15.75">
      <c r="B2252" s="66" t="s">
        <v>1648</v>
      </c>
      <c r="C2252" s="116">
        <v>6.0000000000000001E-3</v>
      </c>
      <c r="D2252" s="116">
        <v>-7.0000000000000007E-2</v>
      </c>
      <c r="E2252" s="116">
        <v>5.1999999999999998E-2</v>
      </c>
      <c r="G2252" s="116">
        <f t="shared" si="144"/>
        <v>-7.6000000000000012E-2</v>
      </c>
    </row>
    <row r="2253" spans="2:12" ht="15.75">
      <c r="B2253" s="66" t="s">
        <v>1649</v>
      </c>
      <c r="C2253" s="116">
        <v>1.2999999999999999E-2</v>
      </c>
      <c r="D2253" s="116">
        <v>-7.1999999999999995E-2</v>
      </c>
      <c r="E2253" s="116">
        <v>4.4999999999999998E-2</v>
      </c>
      <c r="G2253" s="116">
        <f t="shared" si="144"/>
        <v>-8.4999999999999992E-2</v>
      </c>
    </row>
    <row r="2254" spans="2:12" ht="15.75">
      <c r="B2254" s="66" t="s">
        <v>1647</v>
      </c>
      <c r="C2254" s="116">
        <v>3.0000000000000001E-3</v>
      </c>
      <c r="D2254" s="116">
        <v>-9.0999999999999998E-2</v>
      </c>
      <c r="E2254" s="116">
        <v>4.8000000000000001E-2</v>
      </c>
      <c r="G2254" s="116">
        <f t="shared" si="144"/>
        <v>-9.4E-2</v>
      </c>
    </row>
    <row r="2255" spans="2:12" ht="15.75">
      <c r="B2255" s="66" t="s">
        <v>1644</v>
      </c>
      <c r="C2255" s="116">
        <v>0.02</v>
      </c>
      <c r="D2255" s="116">
        <v>-0.08</v>
      </c>
      <c r="E2255" s="116">
        <v>4.2999999999999997E-2</v>
      </c>
      <c r="G2255" s="116">
        <f t="shared" si="144"/>
        <v>-0.1</v>
      </c>
    </row>
    <row r="2256" spans="2:12" ht="15.75">
      <c r="B2256" s="66" t="s">
        <v>1719</v>
      </c>
      <c r="C2256" s="116">
        <v>7.0000000000000001E-3</v>
      </c>
      <c r="D2256" s="116">
        <v>-5.1999999999999998E-2</v>
      </c>
      <c r="E2256" s="116">
        <v>0.03</v>
      </c>
      <c r="G2256" s="116">
        <f t="shared" si="144"/>
        <v>-5.8999999999999997E-2</v>
      </c>
    </row>
    <row r="2257" spans="2:7" ht="15.75">
      <c r="B2257" s="66" t="s">
        <v>1645</v>
      </c>
      <c r="C2257" s="116">
        <v>1.4E-2</v>
      </c>
      <c r="D2257" s="116">
        <v>-6.5000000000000002E-2</v>
      </c>
      <c r="E2257" s="116">
        <v>0.04</v>
      </c>
      <c r="G2257" s="116">
        <f t="shared" si="144"/>
        <v>-7.9000000000000001E-2</v>
      </c>
    </row>
    <row r="2258" spans="2:7" ht="15.75">
      <c r="B2258" s="66" t="s">
        <v>1067</v>
      </c>
      <c r="C2258" s="116">
        <v>-1E-3</v>
      </c>
      <c r="D2258" s="116">
        <v>-6.6000000000000003E-2</v>
      </c>
      <c r="E2258" s="116">
        <v>0.03</v>
      </c>
      <c r="G2258" s="116">
        <f t="shared" si="144"/>
        <v>-6.5000000000000002E-2</v>
      </c>
    </row>
    <row r="2259" spans="2:7" ht="15.75">
      <c r="B2259" s="66" t="s">
        <v>1720</v>
      </c>
      <c r="C2259" s="116">
        <v>1.0999999999999999E-2</v>
      </c>
      <c r="D2259" s="116">
        <v>-5.2999999999999999E-2</v>
      </c>
      <c r="E2259" s="116">
        <v>2.9000000000000001E-2</v>
      </c>
      <c r="G2259" s="116">
        <f t="shared" si="144"/>
        <v>-6.4000000000000001E-2</v>
      </c>
    </row>
    <row r="2260" spans="2:7" ht="15.75">
      <c r="B2260" s="66" t="s">
        <v>1996</v>
      </c>
      <c r="C2260" s="116">
        <v>1.0999999999999999E-2</v>
      </c>
      <c r="D2260" s="116">
        <v>-4.4999999999999998E-2</v>
      </c>
      <c r="E2260" s="116">
        <v>5.2999999999999999E-2</v>
      </c>
      <c r="G2260" s="116">
        <f t="shared" si="144"/>
        <v>-5.5999999999999994E-2</v>
      </c>
    </row>
    <row r="2261" spans="2:7" ht="15.75">
      <c r="B2261" s="66" t="s">
        <v>1997</v>
      </c>
      <c r="C2261" s="116">
        <v>2.1999999999999999E-2</v>
      </c>
      <c r="D2261" s="116">
        <v>-4.4999999999999998E-2</v>
      </c>
      <c r="E2261" s="116">
        <v>5.1999999999999998E-2</v>
      </c>
      <c r="G2261" s="116">
        <f t="shared" si="144"/>
        <v>-6.7000000000000004E-2</v>
      </c>
    </row>
    <row r="2262" spans="2:7" ht="15.75">
      <c r="B2262" s="66" t="s">
        <v>1998</v>
      </c>
      <c r="C2262" s="116">
        <v>3.3000000000000002E-2</v>
      </c>
      <c r="D2262" s="116">
        <v>-2.4E-2</v>
      </c>
      <c r="E2262" s="116">
        <v>3.6999999999999998E-2</v>
      </c>
      <c r="G2262" s="116">
        <f t="shared" si="144"/>
        <v>-5.7000000000000002E-2</v>
      </c>
    </row>
    <row r="2263" spans="2:7" ht="15.75">
      <c r="B2263" s="66" t="s">
        <v>1453</v>
      </c>
      <c r="C2263" s="116">
        <v>3.2000000000000001E-2</v>
      </c>
      <c r="D2263" s="116">
        <v>-2.4E-2</v>
      </c>
      <c r="E2263" s="116">
        <v>0.04</v>
      </c>
      <c r="G2263" s="116">
        <f t="shared" si="144"/>
        <v>-5.6000000000000001E-2</v>
      </c>
    </row>
    <row r="2264" spans="2:7" ht="15.75">
      <c r="B2264" s="66" t="s">
        <v>1722</v>
      </c>
      <c r="C2264" s="116">
        <v>6.0999999999999999E-2</v>
      </c>
      <c r="D2264" s="116">
        <v>1.2E-2</v>
      </c>
      <c r="E2264" s="116">
        <v>9.1999999999999998E-2</v>
      </c>
      <c r="G2264" s="116">
        <f t="shared" si="144"/>
        <v>-4.9000000000000002E-2</v>
      </c>
    </row>
    <row r="2265" spans="2:7" ht="15.75">
      <c r="B2265" s="66" t="s">
        <v>1723</v>
      </c>
      <c r="C2265" s="116">
        <v>4.2000000000000003E-2</v>
      </c>
      <c r="D2265" s="116">
        <v>1.9E-2</v>
      </c>
      <c r="E2265" s="116">
        <v>7.3999999999999996E-2</v>
      </c>
      <c r="G2265" s="116">
        <f t="shared" si="144"/>
        <v>-2.3000000000000003E-2</v>
      </c>
    </row>
    <row r="2266" spans="2:7" ht="15.75">
      <c r="B2266" s="66" t="s">
        <v>1999</v>
      </c>
      <c r="C2266" s="116">
        <v>2.4E-2</v>
      </c>
      <c r="D2266" s="116">
        <v>-6.7000000000000004E-2</v>
      </c>
      <c r="E2266" s="116">
        <v>0.06</v>
      </c>
      <c r="G2266" s="116">
        <f t="shared" si="144"/>
        <v>-9.0999999999999998E-2</v>
      </c>
    </row>
    <row r="2267" spans="2:7" ht="15.75">
      <c r="B2267" s="66" t="s">
        <v>2000</v>
      </c>
      <c r="C2267" s="116">
        <v>2.1999999999999999E-2</v>
      </c>
      <c r="D2267" s="116">
        <v>-3.4000000000000002E-2</v>
      </c>
      <c r="E2267" s="116">
        <v>2.4E-2</v>
      </c>
      <c r="G2267" s="116">
        <f t="shared" si="144"/>
        <v>-5.6000000000000001E-2</v>
      </c>
    </row>
    <row r="2268" spans="2:7" ht="15.75">
      <c r="B2268" s="66" t="s">
        <v>2001</v>
      </c>
      <c r="C2268" s="116">
        <v>3.1E-2</v>
      </c>
      <c r="D2268" s="116">
        <v>-1.6E-2</v>
      </c>
      <c r="E2268" s="116">
        <v>4.1000000000000002E-2</v>
      </c>
      <c r="G2268" s="116">
        <f t="shared" si="144"/>
        <v>-4.7E-2</v>
      </c>
    </row>
    <row r="2269" spans="2:7" ht="15.75">
      <c r="B2269" s="66" t="s">
        <v>2002</v>
      </c>
      <c r="C2269" s="116">
        <v>0.05</v>
      </c>
      <c r="D2269" s="116">
        <v>5.0000000000000001E-3</v>
      </c>
      <c r="E2269" s="116">
        <v>8.2000000000000003E-2</v>
      </c>
      <c r="G2269" s="116">
        <f t="shared" si="144"/>
        <v>-4.5000000000000005E-2</v>
      </c>
    </row>
    <row r="2270" spans="2:7" ht="15.75">
      <c r="B2270" s="66" t="s">
        <v>2003</v>
      </c>
      <c r="C2270" s="116">
        <v>4.2999999999999997E-2</v>
      </c>
      <c r="D2270" s="116">
        <v>-1.7000000000000001E-2</v>
      </c>
      <c r="E2270" s="116">
        <v>0.09</v>
      </c>
      <c r="G2270" s="116">
        <f t="shared" si="144"/>
        <v>-0.06</v>
      </c>
    </row>
    <row r="2271" spans="2:7" ht="15.75">
      <c r="B2271" s="141" t="s">
        <v>2004</v>
      </c>
      <c r="C2271" s="116">
        <v>1.4E-2</v>
      </c>
      <c r="D2271" s="116">
        <v>-7.4999999999999997E-2</v>
      </c>
      <c r="E2271" s="116">
        <v>5.8000000000000003E-2</v>
      </c>
      <c r="G2271" s="116">
        <f t="shared" si="144"/>
        <v>-8.8999999999999996E-2</v>
      </c>
    </row>
    <row r="2272" spans="2:7" ht="15.75">
      <c r="B2272" s="141" t="s">
        <v>2005</v>
      </c>
      <c r="C2272" s="116">
        <v>8.9999999999999993E-3</v>
      </c>
      <c r="D2272" s="116">
        <v>-4.5999999999999999E-2</v>
      </c>
      <c r="E2272" s="116">
        <v>3.5999999999999997E-2</v>
      </c>
      <c r="G2272" s="116">
        <f t="shared" si="144"/>
        <v>-5.5E-2</v>
      </c>
    </row>
    <row r="2273" spans="2:7" ht="15.75">
      <c r="B2273" s="141" t="s">
        <v>2006</v>
      </c>
      <c r="C2273" s="116">
        <v>2.8000000000000001E-2</v>
      </c>
      <c r="D2273" s="116">
        <v>-2.9000000000000001E-2</v>
      </c>
      <c r="E2273" s="116">
        <v>2.9000000000000001E-2</v>
      </c>
      <c r="G2273" s="116">
        <f t="shared" si="144"/>
        <v>-5.7000000000000002E-2</v>
      </c>
    </row>
    <row r="2274" spans="2:7" ht="15.75">
      <c r="B2274" s="141" t="s">
        <v>2007</v>
      </c>
      <c r="C2274" s="116">
        <v>2.1000000000000001E-2</v>
      </c>
      <c r="D2274" s="116">
        <v>-3.3000000000000002E-2</v>
      </c>
      <c r="E2274" s="116">
        <v>0.03</v>
      </c>
      <c r="G2274" s="116">
        <f t="shared" si="144"/>
        <v>-5.4000000000000006E-2</v>
      </c>
    </row>
    <row r="2275" spans="2:7" ht="15.75">
      <c r="B2275" s="141" t="s">
        <v>2008</v>
      </c>
      <c r="C2275" s="116">
        <v>1E-3</v>
      </c>
      <c r="D2275" s="116">
        <v>-6.3E-2</v>
      </c>
      <c r="E2275" s="116">
        <v>3.9E-2</v>
      </c>
      <c r="G2275" s="116">
        <f t="shared" si="144"/>
        <v>-6.4000000000000001E-2</v>
      </c>
    </row>
    <row r="2276" spans="2:7" ht="15.75">
      <c r="B2276" s="141" t="s">
        <v>2009</v>
      </c>
      <c r="C2276" s="116">
        <v>3.5999999999999997E-2</v>
      </c>
      <c r="D2276" s="116">
        <v>-0.02</v>
      </c>
      <c r="E2276" s="116">
        <v>5.5E-2</v>
      </c>
      <c r="G2276" s="116">
        <f t="shared" si="144"/>
        <v>-5.5999999999999994E-2</v>
      </c>
    </row>
    <row r="2277" spans="2:7" ht="15.75">
      <c r="B2277" s="141" t="s">
        <v>2010</v>
      </c>
      <c r="C2277" s="116">
        <v>2.7E-2</v>
      </c>
      <c r="D2277" s="116">
        <v>-2.4E-2</v>
      </c>
      <c r="E2277" s="116">
        <v>4.1000000000000002E-2</v>
      </c>
      <c r="G2277" s="116">
        <f t="shared" si="144"/>
        <v>-5.1000000000000004E-2</v>
      </c>
    </row>
    <row r="2278" spans="2:7" ht="15.75">
      <c r="B2278" s="141" t="s">
        <v>2011</v>
      </c>
      <c r="C2278" s="116">
        <v>0.03</v>
      </c>
      <c r="D2278" s="116">
        <v>-0.02</v>
      </c>
      <c r="E2278" s="116">
        <v>0.04</v>
      </c>
      <c r="G2278" s="116">
        <f t="shared" si="144"/>
        <v>-0.05</v>
      </c>
    </row>
    <row r="2279" spans="2:7" ht="15.75">
      <c r="B2279" s="141" t="s">
        <v>2012</v>
      </c>
      <c r="C2279" s="116">
        <v>2E-3</v>
      </c>
      <c r="D2279" s="116">
        <v>-0.01</v>
      </c>
      <c r="E2279" s="116">
        <v>0.04</v>
      </c>
      <c r="G2279" s="116">
        <f t="shared" si="144"/>
        <v>-1.2E-2</v>
      </c>
    </row>
    <row r="2280" spans="2:7" ht="15.75">
      <c r="B2280" s="66" t="s">
        <v>2013</v>
      </c>
      <c r="C2280" s="116">
        <v>-3.9E-2</v>
      </c>
      <c r="D2280" s="116">
        <v>-0.06</v>
      </c>
      <c r="E2280" s="116">
        <v>0</v>
      </c>
      <c r="G2280" s="116">
        <f t="shared" si="144"/>
        <v>-2.0999999999999998E-2</v>
      </c>
    </row>
    <row r="2281" spans="2:7" ht="15.75">
      <c r="B2281" s="66" t="s">
        <v>2014</v>
      </c>
      <c r="C2281" s="116">
        <v>2.4E-2</v>
      </c>
      <c r="D2281" s="116">
        <v>-5.3999999999999999E-2</v>
      </c>
      <c r="E2281" s="116">
        <v>4.4999999999999998E-2</v>
      </c>
      <c r="G2281" s="116">
        <f t="shared" si="144"/>
        <v>-7.8E-2</v>
      </c>
    </row>
    <row r="2282" spans="2:7" ht="15.75">
      <c r="B2282" s="66" t="s">
        <v>2015</v>
      </c>
      <c r="C2282" s="116">
        <v>5.8999999999999997E-2</v>
      </c>
      <c r="D2282" s="116">
        <v>6.0000000000000001E-3</v>
      </c>
      <c r="E2282" s="116">
        <v>7.5999999999999998E-2</v>
      </c>
      <c r="G2282" s="116">
        <f t="shared" si="144"/>
        <v>-5.2999999999999999E-2</v>
      </c>
    </row>
    <row r="2283" spans="2:7" ht="15.75">
      <c r="B2283" s="66"/>
      <c r="C2283" s="66"/>
      <c r="D2283" s="66"/>
      <c r="E2283" s="66"/>
    </row>
    <row r="2284" spans="2:7" ht="15.75">
      <c r="B2284" s="66"/>
      <c r="C2284" s="66"/>
      <c r="D2284" s="66"/>
      <c r="E2284" s="66"/>
    </row>
    <row r="2285" spans="2:7" ht="15.75">
      <c r="B2285" s="66"/>
      <c r="C2285" s="66"/>
      <c r="D2285" s="66"/>
      <c r="E2285" s="66"/>
    </row>
    <row r="2286" spans="2:7" ht="15.75">
      <c r="B2286" s="66" t="s">
        <v>1644</v>
      </c>
      <c r="C2286" s="116">
        <v>-0.1</v>
      </c>
    </row>
    <row r="2287" spans="2:7" ht="15.75">
      <c r="B2287" s="66" t="s">
        <v>1647</v>
      </c>
      <c r="C2287" s="116">
        <v>-9.4E-2</v>
      </c>
    </row>
    <row r="2288" spans="2:7" ht="15.75">
      <c r="B2288" s="66" t="s">
        <v>1999</v>
      </c>
      <c r="C2288" s="116">
        <f>G2266</f>
        <v>-9.0999999999999998E-2</v>
      </c>
    </row>
    <row r="2289" spans="2:3" ht="15.75">
      <c r="B2289" s="66" t="s">
        <v>1649</v>
      </c>
      <c r="C2289" s="116">
        <v>-8.4999999999999992E-2</v>
      </c>
    </row>
    <row r="2290" spans="2:3" ht="15.75">
      <c r="B2290" s="66" t="s">
        <v>1066</v>
      </c>
      <c r="C2290" s="116">
        <v>-8.3999999999999991E-2</v>
      </c>
    </row>
    <row r="2291" spans="2:3" ht="15.75">
      <c r="B2291" s="66" t="s">
        <v>1645</v>
      </c>
      <c r="C2291" s="116">
        <v>-7.9000000000000001E-2</v>
      </c>
    </row>
    <row r="2292" spans="2:3" ht="15.75">
      <c r="B2292" s="66" t="str">
        <f>B2281</f>
        <v>El Salvador</v>
      </c>
      <c r="C2292" s="116">
        <f>G2281</f>
        <v>-7.8E-2</v>
      </c>
    </row>
    <row r="2293" spans="2:3" ht="15.75">
      <c r="B2293" s="66" t="s">
        <v>1648</v>
      </c>
      <c r="C2293" s="116">
        <v>-7.6000000000000012E-2</v>
      </c>
    </row>
    <row r="2294" spans="2:3" ht="15.75">
      <c r="B2294" s="66" t="s">
        <v>1997</v>
      </c>
      <c r="C2294" s="116">
        <v>-6.7000000000000004E-2</v>
      </c>
    </row>
    <row r="2295" spans="2:3" ht="15.75">
      <c r="B2295" s="66" t="s">
        <v>1067</v>
      </c>
      <c r="C2295" s="116">
        <v>-6.5000000000000002E-2</v>
      </c>
    </row>
    <row r="2296" spans="2:3" ht="15.75">
      <c r="B2296" s="66" t="s">
        <v>1720</v>
      </c>
      <c r="C2296" s="116">
        <v>-6.4000000000000001E-2</v>
      </c>
    </row>
    <row r="2297" spans="2:3" ht="15.75">
      <c r="B2297" s="66" t="str">
        <f>B2270</f>
        <v>Malaysia</v>
      </c>
      <c r="C2297" s="116">
        <f>G2270</f>
        <v>-0.06</v>
      </c>
    </row>
    <row r="2298" spans="2:3" ht="15.75">
      <c r="B2298" s="66" t="s">
        <v>1719</v>
      </c>
      <c r="C2298" s="116">
        <v>-5.8999999999999997E-2</v>
      </c>
    </row>
    <row r="2299" spans="2:3" ht="15.75">
      <c r="B2299" s="66" t="s">
        <v>1998</v>
      </c>
      <c r="C2299" s="116">
        <v>-5.7000000000000002E-2</v>
      </c>
    </row>
    <row r="2300" spans="2:3" ht="15.75">
      <c r="B2300" s="66" t="str">
        <f>B2276</f>
        <v>Guatemala</v>
      </c>
      <c r="C2300" s="116">
        <f>G2276</f>
        <v>-5.5999999999999994E-2</v>
      </c>
    </row>
    <row r="2301" spans="2:3" ht="15.75">
      <c r="B2301" s="66" t="s">
        <v>1453</v>
      </c>
      <c r="C2301" s="116">
        <v>-5.6000000000000001E-2</v>
      </c>
    </row>
    <row r="2302" spans="2:3" ht="15.75">
      <c r="B2302" s="66" t="s">
        <v>1996</v>
      </c>
      <c r="C2302" s="116">
        <v>-5.5999999999999994E-2</v>
      </c>
    </row>
    <row r="2303" spans="2:3" ht="15.75">
      <c r="B2303" s="66" t="s">
        <v>2000</v>
      </c>
      <c r="C2303" s="116">
        <v>-5.6000000000000001E-2</v>
      </c>
    </row>
    <row r="2304" spans="2:3" ht="15.75">
      <c r="B2304" s="66" t="str">
        <f>B2282</f>
        <v>Philippines</v>
      </c>
      <c r="C2304" s="116">
        <f>G2282</f>
        <v>-5.2999999999999999E-2</v>
      </c>
    </row>
    <row r="2305" spans="2:3" ht="15.75">
      <c r="B2305" s="66" t="str">
        <f>B2277</f>
        <v>Honduras</v>
      </c>
      <c r="C2305" s="116">
        <f>G2277</f>
        <v>-5.1000000000000004E-2</v>
      </c>
    </row>
    <row r="2306" spans="2:3" ht="15.75">
      <c r="B2306" s="66" t="s">
        <v>1722</v>
      </c>
      <c r="C2306" s="116">
        <v>-4.9000000000000002E-2</v>
      </c>
    </row>
    <row r="2307" spans="2:3" ht="15.75">
      <c r="B2307" s="66" t="s">
        <v>2016</v>
      </c>
      <c r="C2307" s="116">
        <f>G2268</f>
        <v>-4.7E-2</v>
      </c>
    </row>
    <row r="2308" spans="2:3" ht="15.75">
      <c r="B2308" s="66" t="str">
        <f>B2269</f>
        <v>Indonesia</v>
      </c>
      <c r="C2308" s="116">
        <f>G2269</f>
        <v>-4.5000000000000005E-2</v>
      </c>
    </row>
    <row r="2309" spans="2:3" ht="15.75">
      <c r="B2309" s="66" t="s">
        <v>1723</v>
      </c>
      <c r="C2309" s="116">
        <v>-2.3000000000000003E-2</v>
      </c>
    </row>
    <row r="2310" spans="2:3" ht="15.75">
      <c r="B2310" s="66" t="str">
        <f>B2280</f>
        <v>Nicaragua</v>
      </c>
      <c r="C2310" s="116">
        <f>G2280</f>
        <v>-2.0999999999999998E-2</v>
      </c>
    </row>
    <row r="2323" spans="2:4">
      <c r="B2323" t="s">
        <v>94</v>
      </c>
    </row>
    <row r="2325" spans="2:4">
      <c r="B2325" s="61"/>
      <c r="C2325" s="61">
        <v>2020</v>
      </c>
      <c r="D2325" s="61">
        <v>2021</v>
      </c>
    </row>
    <row r="2326" spans="2:4">
      <c r="B2326" t="s">
        <v>2017</v>
      </c>
      <c r="C2326" s="122">
        <f>Content!N3</f>
        <v>16349.8</v>
      </c>
      <c r="D2326" s="122">
        <f>Content!O3</f>
        <v>19162</v>
      </c>
    </row>
    <row r="2327" spans="2:4">
      <c r="B2327" s="61" t="s">
        <v>107</v>
      </c>
      <c r="C2327" s="449">
        <f>C2328-C2326</f>
        <v>16263.2</v>
      </c>
      <c r="D2327" s="449">
        <f>C2327</f>
        <v>16263.2</v>
      </c>
    </row>
    <row r="2328" spans="2:4">
      <c r="B2328" t="s">
        <v>94</v>
      </c>
      <c r="C2328" s="122">
        <f>Master!S17</f>
        <v>32613</v>
      </c>
    </row>
    <row r="2330" spans="2:4">
      <c r="B2330" t="s">
        <v>202</v>
      </c>
      <c r="C2330" s="122">
        <f>C2328-C2332</f>
        <v>20252.2</v>
      </c>
    </row>
    <row r="2332" spans="2:4">
      <c r="B2332" t="s">
        <v>34</v>
      </c>
      <c r="C2332" s="122">
        <f>Content!N27</f>
        <v>12360.8</v>
      </c>
    </row>
    <row r="2333" spans="2:4">
      <c r="B2333" t="s">
        <v>834</v>
      </c>
    </row>
    <row r="2335" spans="2:4">
      <c r="B2335" s="121" t="s">
        <v>2018</v>
      </c>
    </row>
    <row r="2337" spans="2:10">
      <c r="B2337" t="s">
        <v>79</v>
      </c>
      <c r="D2337" s="122">
        <f>Valuation!Q10</f>
        <v>1680.0124153846155</v>
      </c>
    </row>
    <row r="2338" spans="2:10">
      <c r="B2338" s="61" t="s">
        <v>271</v>
      </c>
      <c r="C2338" s="61"/>
      <c r="D2338" s="449">
        <f>Valuation!P15</f>
        <v>4785.2513966480456</v>
      </c>
    </row>
    <row r="2339" spans="2:10">
      <c r="B2339" t="s">
        <v>77</v>
      </c>
      <c r="D2339" s="122">
        <f>D2337+D2338</f>
        <v>6465.263812032661</v>
      </c>
    </row>
    <row r="2340" spans="2:10">
      <c r="B2340" s="61" t="s">
        <v>2019</v>
      </c>
      <c r="C2340" s="61"/>
      <c r="D2340" s="449">
        <v>3000</v>
      </c>
    </row>
    <row r="2341" spans="2:10">
      <c r="B2341" t="s">
        <v>77</v>
      </c>
      <c r="D2341" s="122">
        <f>D2339-D2340</f>
        <v>3465.263812032661</v>
      </c>
      <c r="F2341" t="s">
        <v>2020</v>
      </c>
      <c r="G2341" t="s">
        <v>34</v>
      </c>
      <c r="H2341" t="s">
        <v>77</v>
      </c>
      <c r="I2341" t="s">
        <v>78</v>
      </c>
      <c r="J2341" t="s">
        <v>79</v>
      </c>
    </row>
    <row r="2342" spans="2:10">
      <c r="B2342" t="s">
        <v>906</v>
      </c>
      <c r="D2342" s="615">
        <f>0.45*6000</f>
        <v>2700</v>
      </c>
      <c r="F2342">
        <v>8.75</v>
      </c>
      <c r="G2342">
        <v>1600</v>
      </c>
      <c r="H2342">
        <f>F2342*G2342</f>
        <v>14000</v>
      </c>
      <c r="I2342">
        <f>5*G2342</f>
        <v>8000</v>
      </c>
      <c r="J2342">
        <f>H2342-I2342</f>
        <v>6000</v>
      </c>
    </row>
    <row r="2343" spans="2:10" ht="15.75" thickBot="1">
      <c r="B2343" s="613" t="s">
        <v>77</v>
      </c>
      <c r="C2343" s="613"/>
      <c r="D2343" s="614">
        <f>D2341-D2342</f>
        <v>765.26381203266101</v>
      </c>
    </row>
    <row r="2344" spans="2:10" ht="15.75" thickTop="1"/>
    <row r="2345" spans="2:10">
      <c r="B2345" t="s">
        <v>34</v>
      </c>
      <c r="D2345" s="122">
        <f>(Master!T63-Master!T53)/20</f>
        <v>1491.1299999999999</v>
      </c>
    </row>
    <row r="2346" spans="2:10">
      <c r="B2346" t="s">
        <v>22</v>
      </c>
      <c r="D2346" s="419">
        <f>D2343/D2345</f>
        <v>0.513210660393568</v>
      </c>
    </row>
    <row r="2348" spans="2:10">
      <c r="B2348" t="s">
        <v>182</v>
      </c>
    </row>
    <row r="2349" spans="2:10">
      <c r="B2349" t="s">
        <v>2021</v>
      </c>
    </row>
    <row r="2350" spans="2:10">
      <c r="B2350" t="s">
        <v>2022</v>
      </c>
    </row>
    <row r="2351" spans="2:10">
      <c r="B2351" t="s">
        <v>85</v>
      </c>
      <c r="D2351">
        <f>0.45*1600</f>
        <v>720</v>
      </c>
    </row>
    <row r="2352" spans="2:10">
      <c r="B2352" t="s">
        <v>52</v>
      </c>
      <c r="D2352" s="4">
        <f>Master!T21/20*SOP!C7</f>
        <v>2012.0353300159495</v>
      </c>
    </row>
    <row r="2353" spans="2:15">
      <c r="B2353" s="61" t="s">
        <v>97</v>
      </c>
      <c r="C2353" s="61"/>
      <c r="D2353" s="420">
        <f>Master!T23/20*SOP!C6</f>
        <v>1101.33</v>
      </c>
    </row>
    <row r="2354" spans="2:15">
      <c r="B2354" t="s">
        <v>85</v>
      </c>
      <c r="D2354" s="4">
        <f>SUM(D2351:D2353)</f>
        <v>3833.3653300159494</v>
      </c>
    </row>
    <row r="2356" spans="2:15">
      <c r="B2356" t="s">
        <v>22</v>
      </c>
      <c r="D2356">
        <f>D2341/D2354</f>
        <v>0.90397431857042521</v>
      </c>
    </row>
    <row r="2358" spans="2:15">
      <c r="B2358" t="s">
        <v>120</v>
      </c>
    </row>
    <row r="2360" spans="2:15">
      <c r="B2360" t="s">
        <v>2023</v>
      </c>
      <c r="C2360" s="8">
        <v>0.36</v>
      </c>
    </row>
    <row r="2361" spans="2:15">
      <c r="B2361" t="s">
        <v>2024</v>
      </c>
      <c r="C2361" s="8">
        <v>0.2</v>
      </c>
    </row>
    <row r="2362" spans="2:15">
      <c r="B2362" t="s">
        <v>2025</v>
      </c>
      <c r="C2362" s="8">
        <f>C2360-C2361</f>
        <v>0.15999999999999998</v>
      </c>
    </row>
    <row r="2363" spans="2:15">
      <c r="C2363" s="419"/>
    </row>
    <row r="2364" spans="2:15">
      <c r="B2364" t="s">
        <v>2026</v>
      </c>
      <c r="C2364" s="8">
        <f>100%-C2360</f>
        <v>0.64</v>
      </c>
    </row>
    <row r="2365" spans="2:15">
      <c r="K2365" s="122" t="e">
        <f>VOD!#REF!-VOD!#REF!</f>
        <v>#REF!</v>
      </c>
    </row>
    <row r="2366" spans="2:15">
      <c r="N2366" s="42">
        <v>2020</v>
      </c>
    </row>
    <row r="2367" spans="2:15">
      <c r="M2367" t="s">
        <v>2027</v>
      </c>
      <c r="N2367">
        <v>0</v>
      </c>
      <c r="O2367" s="4">
        <f>(Master!S17/Master!S7)</f>
        <v>1518.2960893854749</v>
      </c>
    </row>
    <row r="2368" spans="2:15">
      <c r="M2368" t="s">
        <v>2028</v>
      </c>
      <c r="N2368" s="4">
        <f>O2367</f>
        <v>1518.2960893854749</v>
      </c>
      <c r="O2368" s="4">
        <v>2541.9</v>
      </c>
    </row>
    <row r="2369" spans="13:15">
      <c r="M2369" t="s">
        <v>2029</v>
      </c>
      <c r="N2369" s="4">
        <f>N2368+O2368-O2369</f>
        <v>3680.6960893854748</v>
      </c>
      <c r="O2369" s="4">
        <f>Content!N58</f>
        <v>379.5</v>
      </c>
    </row>
    <row r="2370" spans="13:15">
      <c r="M2370" t="s">
        <v>2030</v>
      </c>
      <c r="N2370">
        <v>0</v>
      </c>
      <c r="O2370">
        <v>4000</v>
      </c>
    </row>
    <row r="2371" spans="13:15">
      <c r="O2371" s="8"/>
    </row>
    <row r="2396" ht="14.45" hidden="1" customHeight="1" outlineLevel="1"/>
    <row r="2397" ht="14.45" hidden="1" customHeight="1" outlineLevel="1"/>
    <row r="2398" ht="14.45" hidden="1" customHeight="1" outlineLevel="1"/>
    <row r="2399" ht="14.45" hidden="1" customHeight="1" outlineLevel="1"/>
    <row r="2400" collapsed="1"/>
    <row r="2409" spans="15:15">
      <c r="O2409" s="644" t="s">
        <v>2031</v>
      </c>
    </row>
    <row r="2424" spans="2:6">
      <c r="B2424" s="61"/>
      <c r="C2424" s="149">
        <v>2022</v>
      </c>
      <c r="D2424" s="149">
        <f>C2424+1</f>
        <v>2023</v>
      </c>
      <c r="E2424" s="149">
        <f>D2424+1</f>
        <v>2024</v>
      </c>
      <c r="F2424" s="149">
        <f>E2424+1</f>
        <v>2025</v>
      </c>
    </row>
    <row r="2425" spans="2:6">
      <c r="B2425" t="s">
        <v>467</v>
      </c>
      <c r="C2425" s="10" t="e">
        <f>Valuation!#REF!</f>
        <v>#REF!</v>
      </c>
      <c r="D2425" s="10" t="e">
        <f>Valuation!#REF!</f>
        <v>#REF!</v>
      </c>
      <c r="E2425" s="10" t="e">
        <f>Valuation!#REF!</f>
        <v>#REF!</v>
      </c>
      <c r="F2425" s="10" t="e">
        <f>Valuation!#REF!</f>
        <v>#REF!</v>
      </c>
    </row>
    <row r="2426" spans="2:6">
      <c r="B2426" t="s">
        <v>557</v>
      </c>
      <c r="C2426" s="10">
        <v>6.0013973533836015E-2</v>
      </c>
      <c r="D2426" s="10">
        <v>8.6874233194689301E-2</v>
      </c>
      <c r="E2426" s="10">
        <v>0.10095876668215135</v>
      </c>
      <c r="F2426" s="10">
        <v>0.11652029328818996</v>
      </c>
    </row>
    <row r="2429" spans="2:6">
      <c r="B2429" t="s">
        <v>2032</v>
      </c>
      <c r="C2429" s="8">
        <f>Master!T17/Master!T28</f>
        <v>0.34719160601921528</v>
      </c>
    </row>
    <row r="2431" spans="2:6">
      <c r="B2431" s="149" t="s">
        <v>2033</v>
      </c>
      <c r="C2431" s="149">
        <v>2022</v>
      </c>
      <c r="D2431" s="149">
        <f>C2431+1</f>
        <v>2023</v>
      </c>
      <c r="E2431" s="149">
        <f>D2431+1</f>
        <v>2024</v>
      </c>
      <c r="F2431" s="149">
        <f>E2431+1</f>
        <v>2025</v>
      </c>
    </row>
    <row r="2432" spans="2:6">
      <c r="B2432" t="s">
        <v>33</v>
      </c>
      <c r="C2432" s="122">
        <f>Master!U28-Master!U17</f>
        <v>75526.600000000006</v>
      </c>
      <c r="D2432" s="122">
        <f>Master!V28-Master!V17</f>
        <v>73767.900000000009</v>
      </c>
      <c r="E2432" s="122">
        <f>Master!W28-Master!W17</f>
        <v>62260.864000000001</v>
      </c>
      <c r="F2432" s="122">
        <f>Master!X28-Master!X17</f>
        <v>58878.2</v>
      </c>
    </row>
    <row r="2433" spans="2:6">
      <c r="B2433" t="s">
        <v>34</v>
      </c>
      <c r="C2433" s="122">
        <f>Master!U63-Master!U53</f>
        <v>25536.03</v>
      </c>
      <c r="D2433" s="122">
        <f>Master!V63-Master!V53</f>
        <v>24124.600000000002</v>
      </c>
      <c r="E2433" s="122">
        <f>Master!W63-Master!W53</f>
        <v>17692.015999999996</v>
      </c>
      <c r="F2433" s="122">
        <f>Master!X63-Master!X53</f>
        <v>21385.4</v>
      </c>
    </row>
    <row r="2434" spans="2:6">
      <c r="B2434" t="s">
        <v>35</v>
      </c>
      <c r="C2434" s="122">
        <f>Master!U87-Master!U82</f>
        <v>16872.29</v>
      </c>
      <c r="D2434" s="122">
        <f>Master!V87-Master!V82</f>
        <v>13844.94</v>
      </c>
      <c r="E2434" s="122">
        <f>Master!W87-Master!W82</f>
        <v>9097.5</v>
      </c>
      <c r="F2434" s="122">
        <f>Master!X87-Master!X82</f>
        <v>12186.6</v>
      </c>
    </row>
    <row r="2435" spans="2:6">
      <c r="B2435" t="s">
        <v>36</v>
      </c>
      <c r="C2435" s="122">
        <f>C2433-C2434</f>
        <v>8663.739999999998</v>
      </c>
      <c r="D2435" s="122">
        <f>D2433-D2434</f>
        <v>10279.660000000002</v>
      </c>
      <c r="E2435" s="122">
        <f>E2433-E2434</f>
        <v>8594.515999999996</v>
      </c>
      <c r="F2435" s="122">
        <f>F2433-F2434</f>
        <v>9198.8000000000011</v>
      </c>
    </row>
    <row r="2436" spans="2:6">
      <c r="B2436" t="s">
        <v>2034</v>
      </c>
      <c r="C2436" s="122">
        <f>Master!U148</f>
        <v>9206.2000000000007</v>
      </c>
      <c r="D2436" s="122">
        <f>Master!V148</f>
        <v>4751.5079999999998</v>
      </c>
      <c r="E2436" s="122">
        <f>Master!W148</f>
        <v>4695.1710000000003</v>
      </c>
      <c r="F2436" s="122">
        <f>Master!X148</f>
        <v>4140.2860000000001</v>
      </c>
    </row>
    <row r="2437" spans="2:6">
      <c r="B2437" t="s">
        <v>2035</v>
      </c>
      <c r="C2437" s="615" t="e">
        <f>SOP!#REF!*20*5%</f>
        <v>#REF!</v>
      </c>
      <c r="D2437" s="122" t="e">
        <f>C2437</f>
        <v>#REF!</v>
      </c>
      <c r="E2437" s="122" t="e">
        <f>D2437</f>
        <v>#REF!</v>
      </c>
      <c r="F2437" s="122" t="e">
        <f>E2437</f>
        <v>#REF!</v>
      </c>
    </row>
    <row r="2438" spans="2:6">
      <c r="B2438" t="s">
        <v>114</v>
      </c>
      <c r="C2438" s="122">
        <f>-Master!U156*(1-$C$2429)</f>
        <v>-631.52684033701109</v>
      </c>
      <c r="D2438" s="122">
        <f>-Master!V156*(1-$C$2429)</f>
        <v>1593.4400088676975</v>
      </c>
      <c r="E2438" s="122">
        <f>-Master!W156*(1-$C$2429)</f>
        <v>449.51537358604662</v>
      </c>
      <c r="F2438" s="122">
        <f>-Master!X156*(1-$C$2429)</f>
        <v>-15.667401455538833</v>
      </c>
    </row>
    <row r="2439" spans="2:6">
      <c r="B2439" s="61" t="s">
        <v>2036</v>
      </c>
      <c r="C2439" s="449">
        <f>VOD!G213*Master!V7*0.45</f>
        <v>-6708.1229999999987</v>
      </c>
      <c r="D2439" s="449">
        <f>VOD!H213*Master!W7*0.45</f>
        <v>5580.0360000000019</v>
      </c>
      <c r="E2439" s="449">
        <f>VOD!I213*Master!X7*0.45</f>
        <v>5953.3136999999988</v>
      </c>
      <c r="F2439" s="449">
        <f>VOD!J213*Master!AI7*0.45</f>
        <v>0</v>
      </c>
    </row>
    <row r="2440" spans="2:6">
      <c r="B2440" t="s">
        <v>154</v>
      </c>
      <c r="C2440" s="122" t="e">
        <f>C2435-C2436+C2437-C2438+C2439</f>
        <v>#REF!</v>
      </c>
      <c r="D2440" s="122" t="e">
        <f>D2435-D2436+D2437-D2438+D2439</f>
        <v>#REF!</v>
      </c>
      <c r="E2440" s="122" t="e">
        <f>E2435-E2436+E2437-E2438+E2439</f>
        <v>#REF!</v>
      </c>
      <c r="F2440" s="122" t="e">
        <f>F2435-F2436+F2437-F2438+F2439</f>
        <v>#REF!</v>
      </c>
    </row>
    <row r="2441" spans="2:6">
      <c r="C2441" s="122"/>
    </row>
    <row r="2442" spans="2:6">
      <c r="B2442" t="s">
        <v>2037</v>
      </c>
      <c r="C2442" s="122">
        <f>Master!U199</f>
        <v>62478.7</v>
      </c>
    </row>
    <row r="2443" spans="2:6">
      <c r="B2443" t="s">
        <v>2038</v>
      </c>
      <c r="C2443" s="122">
        <f>3000*20</f>
        <v>60000</v>
      </c>
    </row>
    <row r="2444" spans="2:6">
      <c r="B2444" t="s">
        <v>271</v>
      </c>
      <c r="C2444" s="122">
        <f>C2442-C2443</f>
        <v>2478.6999999999971</v>
      </c>
    </row>
    <row r="2445" spans="2:6">
      <c r="B2445" t="s">
        <v>41</v>
      </c>
      <c r="C2445" s="151">
        <f>C2444/C2433</f>
        <v>9.7066771929700785E-2</v>
      </c>
    </row>
    <row r="2447" spans="2:6">
      <c r="B2447" s="42" t="s">
        <v>2039</v>
      </c>
    </row>
    <row r="2448" spans="2:6">
      <c r="B2448" t="s">
        <v>34</v>
      </c>
      <c r="C2448" s="122">
        <f>C2433+(SOP!$C$17*VOD!F165*20)</f>
        <v>40746.03</v>
      </c>
    </row>
    <row r="2449" spans="2:3">
      <c r="B2449" t="s">
        <v>271</v>
      </c>
      <c r="C2449" s="122">
        <f>C2444+(SOP!$C$17*VOD!F215*20)</f>
        <v>87858.099999999991</v>
      </c>
    </row>
    <row r="2450" spans="2:3">
      <c r="B2450" t="str">
        <f>B2445</f>
        <v>Net debt to EBITDA</v>
      </c>
      <c r="C2450" s="435">
        <f>C2449/C2448</f>
        <v>2.156237061622936</v>
      </c>
    </row>
    <row r="2452" spans="2:3">
      <c r="B2452" s="121" t="s">
        <v>2040</v>
      </c>
    </row>
    <row r="2453" spans="2:3">
      <c r="B2453" s="61"/>
      <c r="C2453" s="574" t="s">
        <v>2041</v>
      </c>
    </row>
    <row r="2454" spans="2:3">
      <c r="B2454" t="s">
        <v>1383</v>
      </c>
      <c r="C2454">
        <v>75</v>
      </c>
    </row>
    <row r="2455" spans="2:3">
      <c r="B2455" t="s">
        <v>2042</v>
      </c>
      <c r="C2455">
        <v>50</v>
      </c>
    </row>
    <row r="2456" spans="2:3">
      <c r="B2456" t="s">
        <v>2043</v>
      </c>
      <c r="C2456">
        <v>45</v>
      </c>
    </row>
    <row r="2457" spans="2:3">
      <c r="B2457" t="s">
        <v>2044</v>
      </c>
      <c r="C2457">
        <v>40</v>
      </c>
    </row>
    <row r="2458" spans="2:3">
      <c r="B2458" t="s">
        <v>2045</v>
      </c>
      <c r="C2458">
        <v>35</v>
      </c>
    </row>
    <row r="2459" spans="2:3">
      <c r="B2459" t="s">
        <v>2046</v>
      </c>
      <c r="C2459">
        <v>15</v>
      </c>
    </row>
    <row r="2460" spans="2:3">
      <c r="B2460" t="s">
        <v>2047</v>
      </c>
      <c r="C2460">
        <v>15</v>
      </c>
    </row>
    <row r="2461" spans="2:3">
      <c r="B2461" t="s">
        <v>1381</v>
      </c>
      <c r="C2461">
        <v>8.5</v>
      </c>
    </row>
    <row r="2462" spans="2:3">
      <c r="B2462" t="s">
        <v>2048</v>
      </c>
      <c r="C2462">
        <v>8.5</v>
      </c>
    </row>
    <row r="2463" spans="2:3">
      <c r="B2463" t="s">
        <v>2049</v>
      </c>
      <c r="C2463">
        <v>4.5</v>
      </c>
    </row>
    <row r="2464" spans="2:3">
      <c r="B2464" s="61" t="s">
        <v>2050</v>
      </c>
      <c r="C2464" s="61">
        <v>1.5</v>
      </c>
    </row>
    <row r="2465" spans="2:3">
      <c r="B2465" s="42" t="s">
        <v>85</v>
      </c>
      <c r="C2465" s="42">
        <f>SUM(C2454:C2464)</f>
        <v>298</v>
      </c>
    </row>
    <row r="2468" spans="2:3">
      <c r="B2468" s="42" t="s">
        <v>817</v>
      </c>
      <c r="C2468" s="576" t="s">
        <v>2051</v>
      </c>
    </row>
    <row r="2469" spans="2:3">
      <c r="B2469" t="str">
        <f>Cable!B54</f>
        <v>Telmex</v>
      </c>
      <c r="C2469" s="122">
        <f>Cable!U54-Cable!P54</f>
        <v>7000</v>
      </c>
    </row>
    <row r="2470" spans="2:3">
      <c r="B2470" t="str">
        <f>Cable!B55</f>
        <v>Televisa</v>
      </c>
      <c r="C2470" s="122">
        <f>Cable!U55-Cable!P55</f>
        <v>3000</v>
      </c>
    </row>
    <row r="2471" spans="2:3">
      <c r="B2471" t="str">
        <f>Cable!B56</f>
        <v>Megacable</v>
      </c>
      <c r="C2471" s="122">
        <f>Cable!U56-Cable!P56</f>
        <v>8619</v>
      </c>
    </row>
    <row r="2472" spans="2:3">
      <c r="B2472" t="str">
        <f>Cable!B57</f>
        <v>Total Play</v>
      </c>
      <c r="C2472" s="122">
        <f>Cable!U57-Cable!P57</f>
        <v>3152.8191999999981</v>
      </c>
    </row>
    <row r="2474" spans="2:3">
      <c r="B2474" s="42" t="s">
        <v>578</v>
      </c>
      <c r="C2474" s="646">
        <f>Cable!U181-Cable!P181</f>
        <v>0.1100000000000001</v>
      </c>
    </row>
    <row r="2476" spans="2:3">
      <c r="B2476" s="42" t="s">
        <v>1122</v>
      </c>
      <c r="C2476" s="576" t="s">
        <v>2051</v>
      </c>
    </row>
    <row r="2477" spans="2:3">
      <c r="B2477" s="1" t="s">
        <v>2052</v>
      </c>
      <c r="C2477" s="643">
        <f>Cable!U76-Cable!P76</f>
        <v>3360</v>
      </c>
    </row>
    <row r="2478" spans="2:3">
      <c r="B2478" s="1" t="s">
        <v>2053</v>
      </c>
      <c r="C2478" s="643">
        <f>Cable!U82-Cable!P82</f>
        <v>-3214.5564003785457</v>
      </c>
    </row>
    <row r="2479" spans="2:3">
      <c r="B2479" t="str">
        <f>B2470</f>
        <v>Televisa</v>
      </c>
      <c r="C2479" s="122">
        <f>Cable!U77-Cable!P77</f>
        <v>63.898000000000138</v>
      </c>
    </row>
    <row r="2480" spans="2:3">
      <c r="B2480" t="str">
        <f>B2471</f>
        <v>Megacable</v>
      </c>
      <c r="C2480" s="122">
        <f>Cable!U78-Cable!P78</f>
        <v>2167.6589999999997</v>
      </c>
    </row>
    <row r="2481" spans="2:13">
      <c r="B2481" t="str">
        <f>B2472</f>
        <v>Total Play</v>
      </c>
      <c r="C2481" s="122">
        <f>Cable!U79-Cable!P79</f>
        <v>2311.4799999999996</v>
      </c>
    </row>
    <row r="2483" spans="2:13">
      <c r="B2483" s="42" t="s">
        <v>2054</v>
      </c>
      <c r="C2483" s="576" t="s">
        <v>2051</v>
      </c>
    </row>
    <row r="2484" spans="2:13">
      <c r="B2484" t="str">
        <f>B2470</f>
        <v>Televisa</v>
      </c>
      <c r="C2484" s="8">
        <f>C2479/C2470</f>
        <v>2.1299333333333378E-2</v>
      </c>
    </row>
    <row r="2485" spans="2:13">
      <c r="B2485" t="str">
        <f>B2471</f>
        <v>Megacable</v>
      </c>
      <c r="C2485" s="8">
        <f>C2480/C2471</f>
        <v>0.25149773755656102</v>
      </c>
    </row>
    <row r="2486" spans="2:13">
      <c r="B2486" t="str">
        <f>B2472</f>
        <v>Total Play</v>
      </c>
      <c r="C2486" s="8">
        <f>C2481/C2472</f>
        <v>0.73314701965783546</v>
      </c>
    </row>
    <row r="2487" spans="2:13">
      <c r="C2487" s="122"/>
    </row>
    <row r="2488" spans="2:13">
      <c r="B2488" s="149" t="s">
        <v>2054</v>
      </c>
      <c r="C2488" s="574">
        <v>2020</v>
      </c>
      <c r="D2488" s="574">
        <v>2021</v>
      </c>
      <c r="E2488" s="574">
        <f t="shared" ref="E2488:M2488" si="145">D2488+1</f>
        <v>2022</v>
      </c>
      <c r="F2488" s="574">
        <f t="shared" si="145"/>
        <v>2023</v>
      </c>
      <c r="G2488" s="574">
        <f t="shared" si="145"/>
        <v>2024</v>
      </c>
      <c r="H2488" s="574">
        <f t="shared" si="145"/>
        <v>2025</v>
      </c>
      <c r="I2488" s="574">
        <f t="shared" si="145"/>
        <v>2026</v>
      </c>
      <c r="J2488" s="574">
        <f t="shared" si="145"/>
        <v>2027</v>
      </c>
      <c r="K2488" s="574">
        <f t="shared" si="145"/>
        <v>2028</v>
      </c>
      <c r="L2488" s="574">
        <f t="shared" si="145"/>
        <v>2029</v>
      </c>
      <c r="M2488" s="574">
        <f t="shared" si="145"/>
        <v>2030</v>
      </c>
    </row>
    <row r="2489" spans="2:13">
      <c r="B2489" t="str">
        <f>B2484</f>
        <v>Televisa</v>
      </c>
      <c r="C2489" s="10">
        <f>Cable!O87</f>
        <v>0.36717017423007425</v>
      </c>
      <c r="D2489" s="10">
        <f>Cable!P87</f>
        <v>0.36037021223470667</v>
      </c>
      <c r="E2489" s="10">
        <f>Cable!Q87</f>
        <v>0.37257504456327989</v>
      </c>
      <c r="F2489" s="10">
        <f>Cable!R87</f>
        <v>0.34215578231292521</v>
      </c>
      <c r="G2489" s="10">
        <f>Cable!S87</f>
        <v>0.33012606666666666</v>
      </c>
      <c r="H2489" s="10">
        <f>Cable!T87</f>
        <v>0.32347644880174292</v>
      </c>
      <c r="I2489" s="10">
        <f>Cable!U87</f>
        <v>0.31597369658119656</v>
      </c>
      <c r="J2489" s="10">
        <f>Cable!V87</f>
        <v>0.30896371069182388</v>
      </c>
      <c r="K2489" s="10">
        <f>Cable!W87</f>
        <v>0.30199054629629635</v>
      </c>
      <c r="L2489" s="10">
        <f>Cable!X87</f>
        <v>0.29553946510101009</v>
      </c>
      <c r="M2489" s="10">
        <f>Cable!Y87</f>
        <v>0.28947506639632936</v>
      </c>
    </row>
    <row r="2490" spans="2:13">
      <c r="B2490" t="str">
        <f>B2485</f>
        <v>Megacable</v>
      </c>
      <c r="C2490" s="10">
        <f>Cable!O88</f>
        <v>0.43919597989949749</v>
      </c>
      <c r="D2490" s="10">
        <f>Cable!P88</f>
        <v>0.4340056432229073</v>
      </c>
      <c r="E2490" s="10">
        <f>Cable!Q88</f>
        <v>0.38044982698961938</v>
      </c>
      <c r="F2490" s="10">
        <f>Cable!R88</f>
        <v>0.32037828734292007</v>
      </c>
      <c r="G2490" s="10">
        <f>Cable!S88</f>
        <v>0.31908843941784232</v>
      </c>
      <c r="H2490" s="10">
        <f>Cable!T88</f>
        <v>0.32157069558836648</v>
      </c>
      <c r="I2490" s="10">
        <f>Cable!U88</f>
        <v>0.32869680396050582</v>
      </c>
      <c r="J2490" s="10">
        <f>Cable!V88</f>
        <v>0.33330955366042542</v>
      </c>
      <c r="K2490" s="10">
        <f>Cable!W88</f>
        <v>0.33550981257148166</v>
      </c>
      <c r="L2490" s="10">
        <f>Cable!X88</f>
        <v>0.33744662964350758</v>
      </c>
      <c r="M2490" s="10">
        <f>Cable!Y88</f>
        <v>0.33913030200904803</v>
      </c>
    </row>
    <row r="2491" spans="2:13">
      <c r="B2491" t="str">
        <f>B2486</f>
        <v>Total Play</v>
      </c>
      <c r="C2491" s="10">
        <f>Cable!O89</f>
        <v>0.19869918699186992</v>
      </c>
      <c r="D2491" s="10">
        <f>Cable!P89</f>
        <v>0.23530612244897958</v>
      </c>
      <c r="E2491" s="10">
        <f>Cable!Q89</f>
        <v>0.24809600738518348</v>
      </c>
      <c r="F2491" s="10">
        <f>Cable!R89</f>
        <v>0.27219912285698011</v>
      </c>
      <c r="G2491" s="10">
        <f>Cable!S89</f>
        <v>0.29150843307254287</v>
      </c>
      <c r="H2491" s="10">
        <f>Cable!T89</f>
        <v>0.3074241215532274</v>
      </c>
      <c r="I2491" s="10">
        <f>Cable!U89</f>
        <v>0.32316912726030411</v>
      </c>
      <c r="J2491" s="10">
        <f>Cable!V89</f>
        <v>0.33584024397810536</v>
      </c>
      <c r="K2491" s="10">
        <f>Cable!W89</f>
        <v>0.34546020396187105</v>
      </c>
      <c r="L2491" s="10">
        <f>Cable!X89</f>
        <v>0.35403846669292582</v>
      </c>
      <c r="M2491" s="10">
        <f>Cable!Y89</f>
        <v>0.36229741974167035</v>
      </c>
    </row>
    <row r="2493" spans="2:13">
      <c r="B2493" s="149" t="s">
        <v>587</v>
      </c>
      <c r="C2493" s="574">
        <v>2020</v>
      </c>
      <c r="D2493" s="574">
        <v>2021</v>
      </c>
      <c r="E2493" s="574">
        <f t="shared" ref="E2493:M2493" si="146">D2493+1</f>
        <v>2022</v>
      </c>
      <c r="F2493" s="574">
        <f t="shared" si="146"/>
        <v>2023</v>
      </c>
      <c r="G2493" s="574">
        <f t="shared" si="146"/>
        <v>2024</v>
      </c>
      <c r="H2493" s="574">
        <f t="shared" si="146"/>
        <v>2025</v>
      </c>
      <c r="I2493" s="574">
        <f t="shared" si="146"/>
        <v>2026</v>
      </c>
      <c r="J2493" s="574">
        <f t="shared" si="146"/>
        <v>2027</v>
      </c>
      <c r="K2493" s="574">
        <f t="shared" si="146"/>
        <v>2028</v>
      </c>
      <c r="L2493" s="574">
        <f t="shared" si="146"/>
        <v>2029</v>
      </c>
      <c r="M2493" s="574">
        <f t="shared" si="146"/>
        <v>2030</v>
      </c>
    </row>
    <row r="2494" spans="2:13">
      <c r="B2494" t="s">
        <v>2055</v>
      </c>
      <c r="C2494" s="647">
        <f>Cable!Q154-Cable!P154</f>
        <v>-12</v>
      </c>
      <c r="D2494" s="647">
        <f>Cable!R154-Cable!Q154</f>
        <v>464</v>
      </c>
      <c r="E2494" s="647">
        <f>Cable!S154-Cable!R154</f>
        <v>-67.194583813092322</v>
      </c>
      <c r="F2494" s="647">
        <f>Cable!T154-Cable!S154</f>
        <v>-101.57451539193607</v>
      </c>
      <c r="G2494" s="647">
        <f>Cable!U154-Cable!T154</f>
        <v>-137.78730117351733</v>
      </c>
      <c r="H2494" s="647">
        <f>Cable!V154-Cable!U154</f>
        <v>-175.90429116547602</v>
      </c>
      <c r="I2494" s="647">
        <f>Cable!W154-Cable!V154</f>
        <v>-271.09284227954777</v>
      </c>
      <c r="J2494" s="647">
        <f>Cable!X154-Cable!W154</f>
        <v>-308.01199352906951</v>
      </c>
      <c r="K2494" s="647">
        <f>Cable!Y154-Cable!X154</f>
        <v>-396.4211315186767</v>
      </c>
      <c r="L2494" s="647">
        <f>Cable!AE154-Cable!Y154</f>
        <v>-9031.0133411286843</v>
      </c>
      <c r="M2494" s="647">
        <f>Cable!AF154-Cable!AE154</f>
        <v>0</v>
      </c>
    </row>
    <row r="2495" spans="2:13">
      <c r="B2495" t="str">
        <f>B2489</f>
        <v>Televisa</v>
      </c>
      <c r="C2495" s="647">
        <f>Cable!Q77-Cable!P77</f>
        <v>335.04899999999998</v>
      </c>
      <c r="D2495" s="647">
        <f>Cable!R77-Cable!Q77</f>
        <v>-305.72000000000025</v>
      </c>
      <c r="E2495" s="647">
        <f>Cable!S77-Cable!R77</f>
        <v>-52.224999999999454</v>
      </c>
      <c r="F2495" s="647">
        <f>Cable!T77-Cable!S77</f>
        <v>41.793999999999869</v>
      </c>
      <c r="G2495" s="647">
        <f>Cable!U77-Cable!T77</f>
        <v>45</v>
      </c>
      <c r="H2495" s="647">
        <f>Cable!V77-Cable!U77</f>
        <v>50</v>
      </c>
      <c r="I2495" s="647">
        <f>Cable!W77-Cable!V77</f>
        <v>55</v>
      </c>
      <c r="J2495" s="647">
        <f>Cable!X77-Cable!W77</f>
        <v>60</v>
      </c>
      <c r="K2495" s="647">
        <f>Cable!Y77-Cable!X77</f>
        <v>60</v>
      </c>
      <c r="L2495" s="647">
        <f>Cable!AE77-Cable!Y77</f>
        <v>-5938</v>
      </c>
      <c r="M2495" s="647">
        <f>Cable!AF77-Cable!AE77</f>
        <v>0</v>
      </c>
    </row>
    <row r="2496" spans="2:13">
      <c r="B2496" t="str">
        <f>B2490</f>
        <v>Megacable</v>
      </c>
      <c r="C2496" s="647">
        <f>Cable!Q78-Cable!P78</f>
        <v>304.10699999999997</v>
      </c>
      <c r="D2496" s="647">
        <f>Cable!R78-Cable!Q78</f>
        <v>584</v>
      </c>
      <c r="E2496" s="647">
        <f>Cable!S78-Cable!R78</f>
        <v>529.55199999999968</v>
      </c>
      <c r="F2496" s="647">
        <f>Cable!T78-Cable!S78</f>
        <v>450</v>
      </c>
      <c r="G2496" s="647">
        <f>Cable!U78-Cable!T78</f>
        <v>300</v>
      </c>
      <c r="H2496" s="647">
        <f>Cable!V78-Cable!U78</f>
        <v>200</v>
      </c>
      <c r="I2496" s="647">
        <f>Cable!W78-Cable!V78</f>
        <v>150</v>
      </c>
      <c r="J2496" s="647">
        <f>Cable!X78-Cable!W78</f>
        <v>150</v>
      </c>
      <c r="K2496" s="647">
        <f>Cable!Y78-Cable!X78</f>
        <v>150</v>
      </c>
      <c r="L2496" s="647">
        <f>Cable!AE78-Cable!Y78</f>
        <v>-6651.5519999999997</v>
      </c>
      <c r="M2496" s="647">
        <f>Cable!AF78-Cable!AE78</f>
        <v>0</v>
      </c>
    </row>
    <row r="2497" spans="2:13">
      <c r="B2497" s="61" t="str">
        <f>B2491</f>
        <v>Total Play</v>
      </c>
      <c r="C2497" s="648">
        <f>Cable!Q79-Cable!P79</f>
        <v>839</v>
      </c>
      <c r="D2497" s="648">
        <f>Cable!R79-Cable!Q79</f>
        <v>482</v>
      </c>
      <c r="E2497" s="648">
        <f>Cable!S79-Cable!R79</f>
        <v>370.47999999999956</v>
      </c>
      <c r="F2497" s="648">
        <f>Cable!T79-Cable!S79</f>
        <v>320</v>
      </c>
      <c r="G2497" s="648">
        <f>Cable!U79-Cable!T79</f>
        <v>300</v>
      </c>
      <c r="H2497" s="648">
        <f>Cable!V79-Cable!U79</f>
        <v>250</v>
      </c>
      <c r="I2497" s="648">
        <f>Cable!W79-Cable!V79</f>
        <v>200</v>
      </c>
      <c r="J2497" s="648">
        <f>Cable!X79-Cable!W79</f>
        <v>200</v>
      </c>
      <c r="K2497" s="648">
        <f>Cable!Y79-Cable!X79</f>
        <v>200</v>
      </c>
      <c r="L2497" s="648">
        <f>Cable!AE79-Cable!Y79</f>
        <v>-6619.48</v>
      </c>
      <c r="M2497" s="648">
        <f>Cable!AF79-Cable!AE79</f>
        <v>0</v>
      </c>
    </row>
    <row r="2498" spans="2:13">
      <c r="B2498" t="s">
        <v>2056</v>
      </c>
      <c r="C2498" s="122">
        <f t="shared" ref="C2498:H2498" si="147">SUM(C2494:C2497)</f>
        <v>1466.1559999999999</v>
      </c>
      <c r="D2498" s="122">
        <f t="shared" si="147"/>
        <v>1224.2799999999997</v>
      </c>
      <c r="E2498" s="122">
        <f t="shared" si="147"/>
        <v>780.61241618690747</v>
      </c>
      <c r="F2498" s="122">
        <f t="shared" si="147"/>
        <v>710.21948460806379</v>
      </c>
      <c r="G2498" s="122">
        <f t="shared" si="147"/>
        <v>507.21269882648267</v>
      </c>
      <c r="H2498" s="122">
        <f t="shared" si="147"/>
        <v>324.09570883452398</v>
      </c>
      <c r="I2498" s="122">
        <f>SUM(I2494:I2497)</f>
        <v>133.90715772045223</v>
      </c>
      <c r="J2498" s="122">
        <f>SUM(J2494:J2497)</f>
        <v>101.98800647093049</v>
      </c>
      <c r="K2498" s="122">
        <f>SUM(K2494:K2497)</f>
        <v>13.578868481323298</v>
      </c>
      <c r="L2498" s="122">
        <f>SUM(L2494:L2497)</f>
        <v>-28240.045341128684</v>
      </c>
      <c r="M2498" s="122">
        <f>SUM(M2494:M2497)</f>
        <v>0</v>
      </c>
    </row>
    <row r="2500" spans="2:13">
      <c r="B2500" t="s">
        <v>2057</v>
      </c>
      <c r="C2500" s="573">
        <f>Cable!O58/Cable!O131</f>
        <v>1.4808681672025723</v>
      </c>
      <c r="D2500" s="573">
        <f>Cable!P58/Cable!P131</f>
        <v>1.6414160519513272</v>
      </c>
      <c r="E2500" s="573">
        <f>Cable!Q58/Cable!Q131</f>
        <v>1.8262824958493578</v>
      </c>
      <c r="F2500" s="573">
        <f>Cable!R58/Cable!R131</f>
        <v>1.9875123323026811</v>
      </c>
      <c r="G2500" s="573">
        <f>Cable!S58/Cable!S131</f>
        <v>2.0527472114933643</v>
      </c>
      <c r="H2500" s="573">
        <f>Cable!T58/Cable!T131</f>
        <v>2.1006348777777721</v>
      </c>
      <c r="I2500" s="573">
        <f>Cable!U58/Cable!U131</f>
        <v>2.1083129995750713</v>
      </c>
      <c r="J2500" s="573">
        <f>Cable!V58/Cable!V131</f>
        <v>2.1011471280729745</v>
      </c>
      <c r="K2500" s="573">
        <f>Cable!W58/Cable!W131</f>
        <v>2.0936986840677383</v>
      </c>
      <c r="L2500" s="573">
        <f>Cable!X58/Cable!X131</f>
        <v>2.0870493515772686</v>
      </c>
      <c r="M2500" s="573">
        <f>Cable!Y58/Cable!Y131</f>
        <v>2.0801195956870866</v>
      </c>
    </row>
    <row r="2527" spans="2:7">
      <c r="C2527" s="42">
        <v>2021</v>
      </c>
      <c r="D2527" s="42">
        <f>C2527+1</f>
        <v>2022</v>
      </c>
      <c r="E2527" s="42">
        <f>D2527+1</f>
        <v>2023</v>
      </c>
      <c r="F2527" s="42">
        <f>E2527+1</f>
        <v>2024</v>
      </c>
      <c r="G2527" s="42">
        <f>F2527+1</f>
        <v>2025</v>
      </c>
    </row>
    <row r="2528" spans="2:7">
      <c r="B2528" t="s">
        <v>2058</v>
      </c>
      <c r="C2528" s="8">
        <f>Cable!P181</f>
        <v>0.65348874598070739</v>
      </c>
      <c r="D2528" s="8">
        <f>Cable!Q181</f>
        <v>0.67848874598070741</v>
      </c>
      <c r="E2528" s="8">
        <f>Cable!R181</f>
        <v>0.70348874598070743</v>
      </c>
      <c r="F2528" s="8">
        <f>Cable!S181</f>
        <v>0.72348874598070745</v>
      </c>
      <c r="G2528" s="8">
        <f>Cable!T181</f>
        <v>0.74348874598070747</v>
      </c>
    </row>
    <row r="2544" spans="2:12">
      <c r="B2544" s="149" t="s">
        <v>2059</v>
      </c>
      <c r="C2544" s="149">
        <f>C2561</f>
        <v>2021</v>
      </c>
      <c r="D2544" s="149">
        <f t="shared" ref="D2544:L2544" si="148">D2561</f>
        <v>2022</v>
      </c>
      <c r="E2544" s="149">
        <f t="shared" si="148"/>
        <v>2023</v>
      </c>
      <c r="F2544" s="149">
        <f t="shared" si="148"/>
        <v>2024</v>
      </c>
      <c r="G2544" s="149">
        <f t="shared" si="148"/>
        <v>2025</v>
      </c>
      <c r="H2544" s="149">
        <f t="shared" si="148"/>
        <v>2026</v>
      </c>
      <c r="I2544" s="149">
        <f t="shared" si="148"/>
        <v>2027</v>
      </c>
      <c r="J2544" s="149">
        <f t="shared" si="148"/>
        <v>2028</v>
      </c>
      <c r="K2544" s="149">
        <f t="shared" si="148"/>
        <v>2029</v>
      </c>
      <c r="L2544" s="149">
        <f t="shared" si="148"/>
        <v>2030</v>
      </c>
    </row>
    <row r="2545" spans="2:12">
      <c r="B2545" s="190" t="str">
        <f>B2562</f>
        <v>US SVOD</v>
      </c>
      <c r="C2545" s="654">
        <f>VOD!E26</f>
        <v>0</v>
      </c>
      <c r="D2545" s="654">
        <f>VOD!F26</f>
        <v>0.36299999999999999</v>
      </c>
      <c r="E2545" s="654">
        <f>VOD!G26</f>
        <v>2.8725000000000001</v>
      </c>
      <c r="F2545" s="654">
        <f>VOD!H26</f>
        <v>3.4255000000000004</v>
      </c>
      <c r="G2545" s="654">
        <f>VOD!I26</f>
        <v>3.7169999999999996</v>
      </c>
      <c r="H2545" s="654">
        <f>VOD!J26</f>
        <v>3.9710000000000001</v>
      </c>
      <c r="I2545" s="654">
        <f>VOD!K26</f>
        <v>4.2300000000000004</v>
      </c>
      <c r="J2545" s="654">
        <f>VOD!L26</f>
        <v>4.28</v>
      </c>
      <c r="K2545" s="654">
        <f>VOD!M26</f>
        <v>4.33</v>
      </c>
      <c r="L2545" s="654">
        <f>VOD!N26</f>
        <v>4.38</v>
      </c>
    </row>
    <row r="2546" spans="2:12">
      <c r="B2546" t="str">
        <f>B2563</f>
        <v>LatAm SVOD</v>
      </c>
      <c r="C2546" s="419">
        <f>VOD!E92</f>
        <v>0</v>
      </c>
      <c r="D2546" s="419">
        <f>VOD!F92</f>
        <v>0.10319999999999999</v>
      </c>
      <c r="E2546" s="419">
        <f>VOD!G92</f>
        <v>2.5305</v>
      </c>
      <c r="F2546" s="419">
        <f>VOD!H92</f>
        <v>3.1468500000000001</v>
      </c>
      <c r="G2546" s="419">
        <f>VOD!I92</f>
        <v>3.80985</v>
      </c>
      <c r="H2546" s="419">
        <f>VOD!J92</f>
        <v>4.5195000000000007</v>
      </c>
      <c r="I2546" s="419">
        <f>VOD!K92</f>
        <v>5.1480000000000006</v>
      </c>
      <c r="J2546" s="419">
        <f>VOD!L92</f>
        <v>5.7375000000000007</v>
      </c>
      <c r="K2546" s="419">
        <f>VOD!M92</f>
        <v>6.3570000000000011</v>
      </c>
      <c r="L2546" s="419">
        <f>VOD!N92</f>
        <v>7.0065000000000017</v>
      </c>
    </row>
    <row r="2547" spans="2:12">
      <c r="B2547" s="190" t="str">
        <f>B2564</f>
        <v>US AVOD</v>
      </c>
      <c r="C2547" s="654">
        <f>VOD!E38</f>
        <v>5</v>
      </c>
      <c r="D2547" s="654">
        <f>VOD!F38</f>
        <v>7</v>
      </c>
      <c r="E2547" s="654">
        <f>VOD!G38</f>
        <v>10</v>
      </c>
      <c r="F2547" s="654">
        <f>VOD!H38</f>
        <v>13</v>
      </c>
      <c r="G2547" s="654">
        <f>VOD!I38</f>
        <v>14</v>
      </c>
      <c r="H2547" s="654">
        <f>VOD!J38</f>
        <v>15</v>
      </c>
      <c r="I2547" s="654">
        <f>VOD!K38</f>
        <v>16</v>
      </c>
      <c r="J2547" s="654">
        <f>VOD!L38</f>
        <v>17</v>
      </c>
      <c r="K2547" s="654">
        <f>VOD!M38</f>
        <v>18</v>
      </c>
      <c r="L2547" s="654">
        <f>VOD!N38</f>
        <v>19</v>
      </c>
    </row>
    <row r="2548" spans="2:12">
      <c r="B2548" s="61" t="str">
        <f>B2565</f>
        <v>LatAm AVOD</v>
      </c>
      <c r="C2548" s="465">
        <f>VOD!E102</f>
        <v>1</v>
      </c>
      <c r="D2548" s="465">
        <f>VOD!F102</f>
        <v>3</v>
      </c>
      <c r="E2548" s="465">
        <f>VOD!G102</f>
        <v>28</v>
      </c>
      <c r="F2548" s="465">
        <f>VOD!H102</f>
        <v>33</v>
      </c>
      <c r="G2548" s="465">
        <f>VOD!I102</f>
        <v>38</v>
      </c>
      <c r="H2548" s="465">
        <f>VOD!J102</f>
        <v>43</v>
      </c>
      <c r="I2548" s="465">
        <f>VOD!K102</f>
        <v>47</v>
      </c>
      <c r="J2548" s="465">
        <f>VOD!L102</f>
        <v>50</v>
      </c>
      <c r="K2548" s="465">
        <f>VOD!M102</f>
        <v>52</v>
      </c>
      <c r="L2548" s="465">
        <f>VOD!N102</f>
        <v>54</v>
      </c>
    </row>
    <row r="2549" spans="2:12">
      <c r="B2549" s="650" t="s">
        <v>2060</v>
      </c>
      <c r="C2549" s="655">
        <f>C2545+C2546+C2547+C2548</f>
        <v>6</v>
      </c>
      <c r="D2549" s="655">
        <f t="shared" ref="D2549:L2549" si="149">D2545+D2546+D2547+D2548</f>
        <v>10.466200000000001</v>
      </c>
      <c r="E2549" s="655">
        <f t="shared" si="149"/>
        <v>43.402999999999999</v>
      </c>
      <c r="F2549" s="655">
        <f t="shared" si="149"/>
        <v>52.57235</v>
      </c>
      <c r="G2549" s="655">
        <f t="shared" si="149"/>
        <v>59.526849999999996</v>
      </c>
      <c r="H2549" s="655">
        <f t="shared" si="149"/>
        <v>66.490499999999997</v>
      </c>
      <c r="I2549" s="655">
        <f t="shared" si="149"/>
        <v>72.378</v>
      </c>
      <c r="J2549" s="655">
        <f t="shared" si="149"/>
        <v>77.017499999999998</v>
      </c>
      <c r="K2549" s="655">
        <f t="shared" si="149"/>
        <v>80.686999999999998</v>
      </c>
      <c r="L2549" s="655">
        <f t="shared" si="149"/>
        <v>84.386499999999998</v>
      </c>
    </row>
    <row r="2550" spans="2:12">
      <c r="B2550" s="42"/>
      <c r="C2550" s="658"/>
      <c r="D2550" s="658"/>
      <c r="E2550" s="658"/>
      <c r="F2550" s="658"/>
      <c r="G2550" s="658"/>
      <c r="H2550" s="658"/>
      <c r="I2550" s="658"/>
      <c r="J2550" s="658"/>
      <c r="K2550" s="658"/>
      <c r="L2550" s="658"/>
    </row>
    <row r="2551" spans="2:12">
      <c r="B2551" s="650" t="s">
        <v>2061</v>
      </c>
      <c r="C2551" s="656">
        <v>600</v>
      </c>
      <c r="D2551" s="656">
        <v>600</v>
      </c>
      <c r="E2551" s="656">
        <v>600</v>
      </c>
      <c r="F2551" s="656">
        <v>600</v>
      </c>
      <c r="G2551" s="656">
        <v>600</v>
      </c>
      <c r="H2551" s="656">
        <v>600</v>
      </c>
      <c r="I2551" s="656">
        <v>600</v>
      </c>
      <c r="J2551" s="656">
        <v>600</v>
      </c>
      <c r="K2551" s="656">
        <v>600</v>
      </c>
      <c r="L2551" s="656">
        <v>600</v>
      </c>
    </row>
    <row r="2552" spans="2:12">
      <c r="B2552" s="42" t="s">
        <v>2062</v>
      </c>
      <c r="C2552" s="4">
        <f>C2551/3.5</f>
        <v>171.42857142857142</v>
      </c>
      <c r="D2552" s="4">
        <f t="shared" ref="D2552:L2552" si="150">D2551/3.5</f>
        <v>171.42857142857142</v>
      </c>
      <c r="E2552" s="4">
        <f t="shared" si="150"/>
        <v>171.42857142857142</v>
      </c>
      <c r="F2552" s="4">
        <f t="shared" si="150"/>
        <v>171.42857142857142</v>
      </c>
      <c r="G2552" s="4">
        <f t="shared" si="150"/>
        <v>171.42857142857142</v>
      </c>
      <c r="H2552" s="4">
        <f t="shared" si="150"/>
        <v>171.42857142857142</v>
      </c>
      <c r="I2552" s="4">
        <f t="shared" si="150"/>
        <v>171.42857142857142</v>
      </c>
      <c r="J2552" s="4">
        <f t="shared" si="150"/>
        <v>171.42857142857142</v>
      </c>
      <c r="K2552" s="4">
        <f t="shared" si="150"/>
        <v>171.42857142857142</v>
      </c>
      <c r="L2552" s="4">
        <f t="shared" si="150"/>
        <v>171.42857142857142</v>
      </c>
    </row>
    <row r="2553" spans="2:12">
      <c r="B2553" s="650" t="s">
        <v>2063</v>
      </c>
      <c r="C2553" s="653">
        <f>C2549/C2552</f>
        <v>3.5000000000000003E-2</v>
      </c>
      <c r="D2553" s="653">
        <f t="shared" ref="D2553:L2553" si="151">D2549/D2552</f>
        <v>6.1052833333333341E-2</v>
      </c>
      <c r="E2553" s="653">
        <f t="shared" si="151"/>
        <v>0.25318416666666665</v>
      </c>
      <c r="F2553" s="653">
        <f t="shared" si="151"/>
        <v>0.30667204166666667</v>
      </c>
      <c r="G2553" s="653">
        <f t="shared" si="151"/>
        <v>0.34723995833333332</v>
      </c>
      <c r="H2553" s="653">
        <f t="shared" si="151"/>
        <v>0.38786124999999999</v>
      </c>
      <c r="I2553" s="653">
        <f t="shared" si="151"/>
        <v>0.42220500000000005</v>
      </c>
      <c r="J2553" s="653">
        <f t="shared" si="151"/>
        <v>0.44926874999999999</v>
      </c>
      <c r="K2553" s="653">
        <f t="shared" si="151"/>
        <v>0.47067416666666667</v>
      </c>
      <c r="L2553" s="653">
        <f t="shared" si="151"/>
        <v>0.49225458333333338</v>
      </c>
    </row>
    <row r="2555" spans="2:12">
      <c r="B2555" s="652" t="s">
        <v>2064</v>
      </c>
      <c r="C2555" s="652">
        <f>C2544</f>
        <v>2021</v>
      </c>
      <c r="D2555" s="652">
        <f t="shared" ref="D2555:L2555" si="152">D2544</f>
        <v>2022</v>
      </c>
      <c r="E2555" s="652">
        <f t="shared" si="152"/>
        <v>2023</v>
      </c>
      <c r="F2555" s="652">
        <f t="shared" si="152"/>
        <v>2024</v>
      </c>
      <c r="G2555" s="652">
        <f t="shared" si="152"/>
        <v>2025</v>
      </c>
      <c r="H2555" s="652">
        <f t="shared" si="152"/>
        <v>2026</v>
      </c>
      <c r="I2555" s="652">
        <f t="shared" si="152"/>
        <v>2027</v>
      </c>
      <c r="J2555" s="652">
        <f t="shared" si="152"/>
        <v>2028</v>
      </c>
      <c r="K2555" s="652">
        <f t="shared" si="152"/>
        <v>2029</v>
      </c>
      <c r="L2555" s="652">
        <f t="shared" si="152"/>
        <v>2030</v>
      </c>
    </row>
    <row r="2556" spans="2:12">
      <c r="B2556" t="str">
        <f>B2545</f>
        <v>US SVOD</v>
      </c>
      <c r="C2556" s="419">
        <f>VOD!E29</f>
        <v>6.5785335689045938</v>
      </c>
      <c r="D2556" s="419">
        <f>VOD!F29</f>
        <v>6.7758895759717319</v>
      </c>
      <c r="E2556" s="419">
        <f>VOD!G29</f>
        <v>6.9791662632508835</v>
      </c>
      <c r="F2556" s="419">
        <f>VOD!H29</f>
        <v>7.1885412511484104</v>
      </c>
      <c r="G2556" s="419">
        <f>VOD!I29</f>
        <v>7.404197488682863</v>
      </c>
      <c r="H2556" s="419">
        <f>VOD!J29</f>
        <v>7.6263234133433491</v>
      </c>
      <c r="I2556" s="419">
        <f>VOD!K29</f>
        <v>7.8551131157436487</v>
      </c>
      <c r="J2556" s="419">
        <f>VOD!L29</f>
        <v>8.0907665092159586</v>
      </c>
      <c r="K2556" s="419">
        <f>VOD!M29</f>
        <v>8.3334895044924373</v>
      </c>
      <c r="L2556" s="419">
        <f>VOD!N29</f>
        <v>8.5834941896272117</v>
      </c>
    </row>
    <row r="2557" spans="2:12">
      <c r="B2557" s="190" t="str">
        <f>B2546</f>
        <v>LatAm SVOD</v>
      </c>
      <c r="C2557" s="654">
        <f>VOD!E86</f>
        <v>6.5785335689045938</v>
      </c>
      <c r="D2557" s="654">
        <f>VOD!F86</f>
        <v>6.7758895759717319</v>
      </c>
      <c r="E2557" s="654">
        <f>VOD!G86</f>
        <v>6.9791662632508835</v>
      </c>
      <c r="F2557" s="654">
        <f>VOD!H86</f>
        <v>7.1885412511484104</v>
      </c>
      <c r="G2557" s="654">
        <f>VOD!I86</f>
        <v>7.404197488682863</v>
      </c>
      <c r="H2557" s="654">
        <f>VOD!J86</f>
        <v>7.6263234133433491</v>
      </c>
      <c r="I2557" s="654">
        <f>VOD!K86</f>
        <v>7.8551131157436487</v>
      </c>
      <c r="J2557" s="654">
        <f>VOD!L86</f>
        <v>8.0907665092159586</v>
      </c>
      <c r="K2557" s="654">
        <f>VOD!M86</f>
        <v>8.3334895044924373</v>
      </c>
      <c r="L2557" s="654">
        <f>VOD!N86</f>
        <v>8.5834941896272117</v>
      </c>
    </row>
    <row r="2558" spans="2:12">
      <c r="B2558" t="str">
        <f>B2547</f>
        <v>US AVOD</v>
      </c>
      <c r="C2558" s="419">
        <f>VOD!E55</f>
        <v>1</v>
      </c>
      <c r="D2558" s="419">
        <f>VOD!F55</f>
        <v>1.1875</v>
      </c>
      <c r="E2558" s="419">
        <f>VOD!G55</f>
        <v>1.223125</v>
      </c>
      <c r="F2558" s="419">
        <f>VOD!H55</f>
        <v>1.25981875</v>
      </c>
      <c r="G2558" s="419">
        <f>VOD!I55</f>
        <v>1.2976133125</v>
      </c>
      <c r="H2558" s="419">
        <f>VOD!J55</f>
        <v>1.336541711875</v>
      </c>
      <c r="I2558" s="419">
        <f>VOD!K55</f>
        <v>1.37663796323125</v>
      </c>
      <c r="J2558" s="419">
        <f>VOD!L55</f>
        <v>1.4179371021281875</v>
      </c>
      <c r="K2558" s="419">
        <f>VOD!M55</f>
        <v>1.460475215192033</v>
      </c>
      <c r="L2558" s="419">
        <f>VOD!N55</f>
        <v>1.5042894716477941</v>
      </c>
    </row>
    <row r="2559" spans="2:12">
      <c r="B2559" s="190" t="str">
        <f>B2548</f>
        <v>LatAm AVOD</v>
      </c>
      <c r="C2559" s="654">
        <f>VOD!E108</f>
        <v>0.75</v>
      </c>
      <c r="D2559" s="654">
        <f>VOD!F108</f>
        <v>0.890625</v>
      </c>
      <c r="E2559" s="654">
        <f>VOD!G108</f>
        <v>0.91734375000000001</v>
      </c>
      <c r="F2559" s="654">
        <f>VOD!H108</f>
        <v>0.94486406249999999</v>
      </c>
      <c r="G2559" s="654">
        <f>VOD!I108</f>
        <v>0.97320998437499995</v>
      </c>
      <c r="H2559" s="654">
        <f>VOD!J108</f>
        <v>1.00240628390625</v>
      </c>
      <c r="I2559" s="654">
        <f>VOD!K108</f>
        <v>1.0324784724234375</v>
      </c>
      <c r="J2559" s="654">
        <f>VOD!L108</f>
        <v>1.0634528265961407</v>
      </c>
      <c r="K2559" s="654">
        <f>VOD!M108</f>
        <v>1.0953564113940248</v>
      </c>
      <c r="L2559" s="654">
        <f>VOD!N108</f>
        <v>1.1282171037358455</v>
      </c>
    </row>
    <row r="2561" spans="2:12">
      <c r="B2561" s="652" t="str">
        <f>VOD!B119</f>
        <v>Revenue, USD million</v>
      </c>
      <c r="C2561" s="652">
        <f>VOD!E119</f>
        <v>2021</v>
      </c>
      <c r="D2561" s="652">
        <f>VOD!F119</f>
        <v>2022</v>
      </c>
      <c r="E2561" s="652">
        <f>VOD!G119</f>
        <v>2023</v>
      </c>
      <c r="F2561" s="652">
        <f>VOD!H119</f>
        <v>2024</v>
      </c>
      <c r="G2561" s="652">
        <f>VOD!I119</f>
        <v>2025</v>
      </c>
      <c r="H2561" s="652">
        <f>VOD!J119</f>
        <v>2026</v>
      </c>
      <c r="I2561" s="652">
        <f>VOD!K119</f>
        <v>2027</v>
      </c>
      <c r="J2561" s="652">
        <f>VOD!L119</f>
        <v>2028</v>
      </c>
      <c r="K2561" s="652">
        <f>VOD!M119</f>
        <v>2029</v>
      </c>
      <c r="L2561" s="652">
        <f>VOD!N119</f>
        <v>2030</v>
      </c>
    </row>
    <row r="2562" spans="2:12">
      <c r="B2562" t="str">
        <f>VOD!B120</f>
        <v>US SVOD</v>
      </c>
      <c r="C2562" s="122">
        <f>VOD!E120</f>
        <v>0</v>
      </c>
      <c r="D2562" s="122">
        <f>VOD!F120</f>
        <v>14.757887496466431</v>
      </c>
      <c r="E2562" s="122">
        <f>VOD!G120</f>
        <v>135.48655466848942</v>
      </c>
      <c r="F2562" s="122">
        <f>VOD!H120</f>
        <v>271.64059679839613</v>
      </c>
      <c r="G2562" s="122">
        <f>VOD!I120</f>
        <v>317.30688337750411</v>
      </c>
      <c r="H2562" s="122">
        <f>VOD!J120</f>
        <v>351.78704641070198</v>
      </c>
      <c r="I2562" s="122">
        <f>VOD!K120</f>
        <v>386.51869597328198</v>
      </c>
      <c r="J2562" s="122">
        <f>VOD!L120</f>
        <v>413.11453796056691</v>
      </c>
      <c r="K2562" s="122">
        <f>VOD!M120</f>
        <v>430.50806780207927</v>
      </c>
      <c r="L2562" s="122">
        <f>VOD!N120</f>
        <v>448.57340634991817</v>
      </c>
    </row>
    <row r="2563" spans="2:12">
      <c r="B2563" s="190" t="str">
        <f>VOD!B121</f>
        <v>LatAm SVOD</v>
      </c>
      <c r="C2563" s="649">
        <f>VOD!E121</f>
        <v>0</v>
      </c>
      <c r="D2563" s="649">
        <f>VOD!F121</f>
        <v>3.7760677428975264</v>
      </c>
      <c r="E2563" s="649">
        <f>VOD!G121</f>
        <v>88.228944900114499</v>
      </c>
      <c r="F2563" s="649">
        <f>VOD!H121</f>
        <v>195.89695042659568</v>
      </c>
      <c r="G2563" s="649">
        <f>VOD!I121</f>
        <v>247.24214721369637</v>
      </c>
      <c r="H2563" s="649">
        <f>VOD!J121</f>
        <v>304.90712123007091</v>
      </c>
      <c r="I2563" s="649">
        <f>VOD!K121</f>
        <v>364.50866902296832</v>
      </c>
      <c r="J2563" s="649">
        <f>VOD!L121</f>
        <v>422.74578641313752</v>
      </c>
      <c r="K2563" s="649">
        <f>VOD!M121</f>
        <v>483.78906629800224</v>
      </c>
      <c r="L2563" s="649">
        <f>VOD!N121</f>
        <v>550.58651809479977</v>
      </c>
    </row>
    <row r="2564" spans="2:12">
      <c r="B2564" t="str">
        <f>VOD!B122</f>
        <v>US AVOD</v>
      </c>
      <c r="C2564" s="122">
        <f>VOD!E122</f>
        <v>30</v>
      </c>
      <c r="D2564" s="122">
        <f>VOD!F122</f>
        <v>85.5</v>
      </c>
      <c r="E2564" s="122">
        <f>VOD!G122</f>
        <v>124.75874999999999</v>
      </c>
      <c r="F2564" s="122">
        <f>VOD!H122</f>
        <v>173.85498749999999</v>
      </c>
      <c r="G2564" s="122">
        <f>VOD!I122</f>
        <v>210.21335662499999</v>
      </c>
      <c r="H2564" s="122">
        <f>VOD!J122</f>
        <v>232.55825786625002</v>
      </c>
      <c r="I2564" s="122">
        <f>VOD!K122</f>
        <v>256.05466116101252</v>
      </c>
      <c r="J2564" s="122">
        <f>VOD!L122</f>
        <v>280.75154622138109</v>
      </c>
      <c r="K2564" s="122">
        <f>VOD!M122</f>
        <v>306.69979519032694</v>
      </c>
      <c r="L2564" s="122">
        <f>VOD!N122</f>
        <v>333.95226270581031</v>
      </c>
    </row>
    <row r="2565" spans="2:12">
      <c r="B2565" s="396" t="str">
        <f>VOD!B123</f>
        <v>LatAm AVOD</v>
      </c>
      <c r="C2565" s="657">
        <f>VOD!E123</f>
        <v>9</v>
      </c>
      <c r="D2565" s="657">
        <f>VOD!F123</f>
        <v>21.375</v>
      </c>
      <c r="E2565" s="657">
        <f>VOD!G123</f>
        <v>170.62593749999999</v>
      </c>
      <c r="F2565" s="657">
        <f>VOD!H123</f>
        <v>345.82024687500001</v>
      </c>
      <c r="G2565" s="657">
        <f>VOD!I123</f>
        <v>414.58745334374998</v>
      </c>
      <c r="H2565" s="657">
        <f>VOD!J123</f>
        <v>487.16945397843745</v>
      </c>
      <c r="I2565" s="657">
        <f>VOD!K123</f>
        <v>557.53837510865628</v>
      </c>
      <c r="J2565" s="657">
        <f>VOD!L123</f>
        <v>618.92954507895388</v>
      </c>
      <c r="K2565" s="657">
        <f>VOD!M123</f>
        <v>670.35812377314323</v>
      </c>
      <c r="L2565" s="657">
        <f>VOD!N123</f>
        <v>717.54607797599772</v>
      </c>
    </row>
    <row r="2566" spans="2:12">
      <c r="B2566" s="42" t="str">
        <f>VOD!B124</f>
        <v>Total TelevisaUnivision VOD revenue</v>
      </c>
      <c r="C2566" s="642">
        <f>VOD!E124</f>
        <v>39</v>
      </c>
      <c r="D2566" s="642">
        <f>VOD!F124</f>
        <v>125.40895523936396</v>
      </c>
      <c r="E2566" s="642">
        <f>VOD!G124</f>
        <v>519.10018706860387</v>
      </c>
      <c r="F2566" s="642">
        <f>VOD!H124</f>
        <v>987.21278159999179</v>
      </c>
      <c r="G2566" s="642">
        <f>VOD!I124</f>
        <v>1189.3498405599503</v>
      </c>
      <c r="H2566" s="642">
        <f>VOD!J124</f>
        <v>1376.4218794854605</v>
      </c>
      <c r="I2566" s="642">
        <f>VOD!K124</f>
        <v>1564.6204012659191</v>
      </c>
      <c r="J2566" s="642">
        <f>VOD!L124</f>
        <v>1735.5414156740394</v>
      </c>
      <c r="K2566" s="642">
        <f>VOD!M124</f>
        <v>1891.3550530635516</v>
      </c>
      <c r="L2566" s="642">
        <f>VOD!N124</f>
        <v>2050.6582651265262</v>
      </c>
    </row>
    <row r="2567" spans="2:12">
      <c r="B2567" s="190"/>
      <c r="C2567" s="190"/>
      <c r="D2567" s="190"/>
      <c r="E2567" s="190"/>
      <c r="F2567" s="190"/>
      <c r="G2567" s="190"/>
      <c r="H2567" s="190"/>
      <c r="I2567" s="190"/>
      <c r="J2567" s="190"/>
      <c r="K2567" s="190"/>
      <c r="L2567" s="190"/>
    </row>
    <row r="2568" spans="2:12">
      <c r="B2568" s="149" t="str">
        <f>VOD!B126</f>
        <v>% split of revs</v>
      </c>
      <c r="C2568" s="149">
        <f>VOD!E126</f>
        <v>2021</v>
      </c>
      <c r="D2568" s="149">
        <f>VOD!F126</f>
        <v>2022</v>
      </c>
      <c r="E2568" s="149">
        <f>VOD!G126</f>
        <v>2023</v>
      </c>
      <c r="F2568" s="149">
        <f>VOD!H126</f>
        <v>2024</v>
      </c>
      <c r="G2568" s="149">
        <f>VOD!I126</f>
        <v>2025</v>
      </c>
      <c r="H2568" s="149">
        <f>VOD!J126</f>
        <v>2026</v>
      </c>
      <c r="I2568" s="149">
        <f>VOD!K126</f>
        <v>2027</v>
      </c>
      <c r="J2568" s="149">
        <f>VOD!L126</f>
        <v>2028</v>
      </c>
      <c r="K2568" s="149">
        <f>VOD!M126</f>
        <v>2029</v>
      </c>
      <c r="L2568" s="149">
        <f>VOD!N126</f>
        <v>2030</v>
      </c>
    </row>
    <row r="2569" spans="2:12">
      <c r="B2569" s="190" t="str">
        <f>VOD!B127</f>
        <v>US SVOD</v>
      </c>
      <c r="C2569" s="653">
        <f>VOD!E127</f>
        <v>0</v>
      </c>
      <c r="D2569" s="653">
        <f>VOD!F127</f>
        <v>0.11767809936936748</v>
      </c>
      <c r="E2569" s="653">
        <f>VOD!G127</f>
        <v>0.2610027082317033</v>
      </c>
      <c r="F2569" s="653">
        <f>VOD!H127</f>
        <v>0.27515911651604003</v>
      </c>
      <c r="G2569" s="653">
        <f>VOD!I127</f>
        <v>0.26679020129864806</v>
      </c>
      <c r="H2569" s="653">
        <f>VOD!J127</f>
        <v>0.25558083001572773</v>
      </c>
      <c r="I2569" s="653">
        <f>VOD!K127</f>
        <v>0.247036722556189</v>
      </c>
      <c r="J2569" s="653">
        <f>VOD!L127</f>
        <v>0.23803208280116087</v>
      </c>
      <c r="K2569" s="653">
        <f>VOD!M127</f>
        <v>0.22761885300422952</v>
      </c>
      <c r="L2569" s="653">
        <f>VOD!N127</f>
        <v>0.21874605534152278</v>
      </c>
    </row>
    <row r="2570" spans="2:12">
      <c r="B2570" t="str">
        <f>VOD!B128</f>
        <v>LatAm SVOD</v>
      </c>
      <c r="C2570" s="8">
        <f>VOD!E128</f>
        <v>0</v>
      </c>
      <c r="D2570" s="8">
        <f>VOD!F128</f>
        <v>3.0110032698145595E-2</v>
      </c>
      <c r="E2570" s="8">
        <f>VOD!G128</f>
        <v>0.16996515720471939</v>
      </c>
      <c r="F2570" s="8">
        <f>VOD!H128</f>
        <v>0.19843437410636267</v>
      </c>
      <c r="G2570" s="8">
        <f>VOD!I128</f>
        <v>0.20788008606222527</v>
      </c>
      <c r="H2570" s="8">
        <f>VOD!J128</f>
        <v>0.22152155946841859</v>
      </c>
      <c r="I2570" s="8">
        <f>VOD!K128</f>
        <v>0.23296939547001172</v>
      </c>
      <c r="J2570" s="8">
        <f>VOD!L128</f>
        <v>0.24358150292193056</v>
      </c>
      <c r="K2570" s="8">
        <f>VOD!M128</f>
        <v>0.25578966017743598</v>
      </c>
      <c r="L2570" s="8">
        <f>VOD!N128</f>
        <v>0.26849257502240553</v>
      </c>
    </row>
    <row r="2571" spans="2:12">
      <c r="B2571" s="190" t="str">
        <f>VOD!B129</f>
        <v>US AVOD</v>
      </c>
      <c r="C2571" s="653">
        <f>VOD!E129</f>
        <v>0.76923076923076927</v>
      </c>
      <c r="D2571" s="653">
        <f>VOD!F129</f>
        <v>0.68176949434598955</v>
      </c>
      <c r="E2571" s="653">
        <f>VOD!G129</f>
        <v>0.2403365537287159</v>
      </c>
      <c r="F2571" s="653">
        <f>VOD!H129</f>
        <v>0.17610690495541437</v>
      </c>
      <c r="G2571" s="653">
        <f>VOD!I129</f>
        <v>0.17674644537391182</v>
      </c>
      <c r="H2571" s="653">
        <f>VOD!J129</f>
        <v>0.16895855938673821</v>
      </c>
      <c r="I2571" s="653">
        <f>VOD!K129</f>
        <v>0.16365289686485054</v>
      </c>
      <c r="J2571" s="653">
        <f>VOD!L129</f>
        <v>0.16176597324953174</v>
      </c>
      <c r="K2571" s="653">
        <f>VOD!M129</f>
        <v>0.16215876267840096</v>
      </c>
      <c r="L2571" s="653">
        <f>VOD!N129</f>
        <v>0.16285125044235751</v>
      </c>
    </row>
    <row r="2572" spans="2:12">
      <c r="B2572" s="61" t="str">
        <f>VOD!B130</f>
        <v>LatAm AVOD</v>
      </c>
      <c r="C2572" s="457">
        <f>VOD!E130</f>
        <v>0.23076923076923078</v>
      </c>
      <c r="D2572" s="457">
        <f>VOD!F130</f>
        <v>0.17044237358649739</v>
      </c>
      <c r="E2572" s="457">
        <f>VOD!G130</f>
        <v>0.32869558083486144</v>
      </c>
      <c r="F2572" s="457">
        <f>VOD!H130</f>
        <v>0.35029960442218294</v>
      </c>
      <c r="G2572" s="457">
        <f>VOD!I130</f>
        <v>0.34858326726521499</v>
      </c>
      <c r="H2572" s="457">
        <f>VOD!J130</f>
        <v>0.35393905112911533</v>
      </c>
      <c r="I2572" s="457">
        <f>VOD!K130</f>
        <v>0.35634098510894874</v>
      </c>
      <c r="J2572" s="457">
        <f>VOD!L130</f>
        <v>0.35662044102737683</v>
      </c>
      <c r="K2572" s="457">
        <f>VOD!M130</f>
        <v>0.3544327241399336</v>
      </c>
      <c r="L2572" s="457">
        <f>VOD!N130</f>
        <v>0.34991011919371406</v>
      </c>
    </row>
    <row r="2573" spans="2:12">
      <c r="B2573" s="650" t="str">
        <f>VOD!B131</f>
        <v>Total TelevisaUnivision VOD revenue</v>
      </c>
      <c r="C2573" s="659">
        <f>VOD!E131</f>
        <v>1</v>
      </c>
      <c r="D2573" s="659">
        <f>VOD!F131</f>
        <v>1</v>
      </c>
      <c r="E2573" s="659">
        <f>VOD!G131</f>
        <v>1</v>
      </c>
      <c r="F2573" s="659">
        <f>VOD!H131</f>
        <v>1</v>
      </c>
      <c r="G2573" s="659">
        <f>VOD!I131</f>
        <v>1</v>
      </c>
      <c r="H2573" s="659">
        <f>VOD!J131</f>
        <v>1</v>
      </c>
      <c r="I2573" s="659">
        <f>VOD!K131</f>
        <v>1</v>
      </c>
      <c r="J2573" s="659">
        <f>VOD!L131</f>
        <v>1</v>
      </c>
      <c r="K2573" s="659">
        <f>VOD!M131</f>
        <v>1</v>
      </c>
      <c r="L2573" s="659">
        <f>VOD!N131</f>
        <v>1</v>
      </c>
    </row>
    <row r="2574" spans="2:12">
      <c r="B2574" s="42"/>
      <c r="C2574" s="8"/>
      <c r="D2574" s="8"/>
      <c r="E2574" s="8"/>
      <c r="F2574" s="8"/>
      <c r="G2574" s="8"/>
      <c r="H2574" s="8"/>
      <c r="I2574" s="8"/>
      <c r="J2574" s="8"/>
      <c r="K2574" s="8"/>
      <c r="L2574" s="8"/>
    </row>
    <row r="2575" spans="2:12">
      <c r="B2575" s="42"/>
      <c r="C2575" s="8"/>
      <c r="D2575" s="8"/>
      <c r="E2575" s="8"/>
      <c r="F2575" s="8"/>
      <c r="G2575" s="8"/>
      <c r="H2575" s="8"/>
      <c r="I2575" s="8"/>
      <c r="J2575" s="8"/>
      <c r="K2575" s="8"/>
      <c r="L2575" s="8"/>
    </row>
    <row r="2576" spans="2:12">
      <c r="B2576" s="42"/>
      <c r="C2576" s="8"/>
      <c r="D2576" s="8"/>
      <c r="E2576" s="8"/>
      <c r="F2576" s="8"/>
      <c r="G2576" s="8"/>
      <c r="H2576" s="8"/>
      <c r="I2576" s="8"/>
      <c r="J2576" s="8"/>
      <c r="K2576" s="8"/>
      <c r="L2576" s="8"/>
    </row>
    <row r="2577" spans="2:12">
      <c r="B2577" s="42"/>
      <c r="C2577" s="8"/>
      <c r="D2577" s="8"/>
      <c r="E2577" s="8"/>
      <c r="F2577" s="8"/>
      <c r="G2577" s="8"/>
      <c r="H2577" s="8"/>
      <c r="I2577" s="8"/>
      <c r="J2577" s="8"/>
      <c r="K2577" s="8"/>
      <c r="L2577" s="8"/>
    </row>
    <row r="2578" spans="2:12">
      <c r="B2578" s="149"/>
      <c r="C2578" s="149"/>
      <c r="D2578" s="149"/>
      <c r="E2578" s="149"/>
      <c r="F2578" s="149"/>
      <c r="G2578" s="149"/>
      <c r="H2578" s="149"/>
      <c r="I2578" s="149"/>
      <c r="J2578" s="149"/>
      <c r="K2578" s="149"/>
      <c r="L2578" s="149"/>
    </row>
    <row r="2579" spans="2:12">
      <c r="B2579" s="149" t="str">
        <f>VOD!B133</f>
        <v>TelevisaUnivision, USD million</v>
      </c>
      <c r="C2579" s="149">
        <f>VOD!E133</f>
        <v>2021</v>
      </c>
      <c r="D2579" s="149">
        <f>VOD!F133</f>
        <v>2022</v>
      </c>
      <c r="E2579" s="149">
        <f>VOD!G133</f>
        <v>2023</v>
      </c>
      <c r="F2579" s="149">
        <f>VOD!H133</f>
        <v>2024</v>
      </c>
      <c r="G2579" s="149">
        <f>VOD!I133</f>
        <v>2025</v>
      </c>
      <c r="H2579" s="149">
        <f>VOD!J133</f>
        <v>2026</v>
      </c>
      <c r="I2579" s="149">
        <f>VOD!K133</f>
        <v>2027</v>
      </c>
      <c r="J2579" s="149">
        <f>VOD!L133</f>
        <v>2028</v>
      </c>
      <c r="K2579" s="149">
        <f>VOD!M133</f>
        <v>2029</v>
      </c>
      <c r="L2579" s="149">
        <f>VOD!N133</f>
        <v>2030</v>
      </c>
    </row>
    <row r="2580" spans="2:12">
      <c r="B2580" s="650" t="s">
        <v>222</v>
      </c>
      <c r="C2580" s="649"/>
      <c r="D2580" s="649"/>
      <c r="E2580" s="649"/>
      <c r="F2580" s="649"/>
      <c r="G2580" s="649"/>
      <c r="H2580" s="649"/>
      <c r="I2580" s="649"/>
      <c r="J2580" s="649"/>
      <c r="K2580" s="649"/>
      <c r="L2580" s="649"/>
    </row>
    <row r="2581" spans="2:12">
      <c r="B2581" t="str">
        <f>VOD!B135</f>
        <v xml:space="preserve"> of which Mexico core</v>
      </c>
      <c r="C2581" s="122">
        <f>VOD!E135</f>
        <v>1354.0006780445976</v>
      </c>
      <c r="D2581" s="122">
        <f>VOD!F135</f>
        <v>1456.2955223803181</v>
      </c>
      <c r="E2581" s="122">
        <f>VOD!G135</f>
        <v>1508.7499064656981</v>
      </c>
      <c r="F2581" s="122">
        <f>VOD!H135</f>
        <v>1334.6936092000042</v>
      </c>
      <c r="G2581" s="122">
        <f>VOD!I135</f>
        <v>1334.6936092000042</v>
      </c>
      <c r="H2581" s="122">
        <f>VOD!J135</f>
        <v>1361.3874813840043</v>
      </c>
      <c r="I2581" s="122">
        <f>VOD!K135</f>
        <v>1320.5458569424841</v>
      </c>
      <c r="J2581" s="122">
        <f>VOD!L135</f>
        <v>1280.9294812342096</v>
      </c>
      <c r="K2581" s="122">
        <f>VOD!M135</f>
        <v>1242.5015967971833</v>
      </c>
      <c r="L2581" s="122">
        <f>VOD!N135</f>
        <v>1205.2265488932678</v>
      </c>
    </row>
    <row r="2582" spans="2:12">
      <c r="B2582" s="190" t="str">
        <f>VOD!B136</f>
        <v xml:space="preserve"> of which UNI  core</v>
      </c>
      <c r="C2582" s="649">
        <f>VOD!E136</f>
        <v>2859.6375000000003</v>
      </c>
      <c r="D2582" s="649">
        <f>VOD!F136</f>
        <v>3130.2955223803178</v>
      </c>
      <c r="E2582" s="649">
        <f>VOD!G136</f>
        <v>2900.1499064656978</v>
      </c>
      <c r="F2582" s="649">
        <f>VOD!H136</f>
        <v>2733.5936092000038</v>
      </c>
      <c r="G2582" s="649">
        <f>VOD!I136</f>
        <v>2815.6014174760039</v>
      </c>
      <c r="H2582" s="649">
        <f>VOD!J136</f>
        <v>2900.0694600002839</v>
      </c>
      <c r="I2582" s="649">
        <f>VOD!K136</f>
        <v>2987.0715438002926</v>
      </c>
      <c r="J2582" s="649">
        <f>VOD!L136</f>
        <v>3076.6836901143015</v>
      </c>
      <c r="K2582" s="649">
        <f>VOD!M136</f>
        <v>3168.9842008177307</v>
      </c>
      <c r="L2582" s="649">
        <f>VOD!N136</f>
        <v>3264.0537268422627</v>
      </c>
    </row>
    <row r="2583" spans="2:12">
      <c r="B2583" s="61" t="str">
        <f>VOD!B137</f>
        <v xml:space="preserve"> of which VOD</v>
      </c>
      <c r="C2583" s="449">
        <f>VOD!E137</f>
        <v>0</v>
      </c>
      <c r="D2583" s="449">
        <f>VOD!F137</f>
        <v>125.40895523936396</v>
      </c>
      <c r="E2583" s="449">
        <f>VOD!G137</f>
        <v>519.10018706860387</v>
      </c>
      <c r="F2583" s="449">
        <f>VOD!H137</f>
        <v>987.21278159999179</v>
      </c>
      <c r="G2583" s="449">
        <f>VOD!I137</f>
        <v>1189.3498405599503</v>
      </c>
      <c r="H2583" s="449">
        <f>VOD!J137</f>
        <v>1376.4218794854605</v>
      </c>
      <c r="I2583" s="449">
        <f>VOD!K137</f>
        <v>1564.6204012659191</v>
      </c>
      <c r="J2583" s="449">
        <f>VOD!L137</f>
        <v>1735.5414156740394</v>
      </c>
      <c r="K2583" s="449">
        <f>VOD!M137</f>
        <v>1891.3550530635516</v>
      </c>
      <c r="L2583" s="449">
        <f>VOD!N137</f>
        <v>2050.6582651265262</v>
      </c>
    </row>
    <row r="2584" spans="2:12">
      <c r="B2584" s="650" t="s">
        <v>85</v>
      </c>
      <c r="C2584" s="651">
        <f>VOD!E138</f>
        <v>4213.6381780445981</v>
      </c>
      <c r="D2584" s="651">
        <f>VOD!F138</f>
        <v>4712</v>
      </c>
      <c r="E2584" s="651">
        <f>VOD!G138</f>
        <v>4928</v>
      </c>
      <c r="F2584" s="651">
        <f>VOD!H138</f>
        <v>5055.5</v>
      </c>
      <c r="G2584" s="651">
        <f>VOD!I138</f>
        <v>4827.2</v>
      </c>
      <c r="H2584" s="651">
        <f>VOD!J138</f>
        <v>5090.3629999999994</v>
      </c>
      <c r="I2584" s="651">
        <f>VOD!K138</f>
        <v>5231.6203299999997</v>
      </c>
      <c r="J2584" s="651">
        <f>VOD!L138</f>
        <v>5421.1465359000003</v>
      </c>
      <c r="K2584" s="651">
        <f>VOD!M138</f>
        <v>5580.9609319770007</v>
      </c>
      <c r="L2584" s="651">
        <f>VOD!N138</f>
        <v>5727.0168384768731</v>
      </c>
    </row>
    <row r="2585" spans="2:12">
      <c r="B2585" t="str">
        <f>VOD!B139</f>
        <v>% growth</v>
      </c>
      <c r="C2585" s="8">
        <f>VOD!E139</f>
        <v>0.14479383130708379</v>
      </c>
      <c r="D2585" s="8">
        <f>VOD!F139</f>
        <v>0.11827352062456242</v>
      </c>
      <c r="E2585" s="8">
        <f>VOD!G139</f>
        <v>4.5840407470288724E-2</v>
      </c>
      <c r="F2585" s="8">
        <f>VOD!H139</f>
        <v>2.5872564935064846E-2</v>
      </c>
      <c r="G2585" s="8">
        <f>VOD!I139</f>
        <v>-4.5158738008109989E-2</v>
      </c>
      <c r="H2585" s="8">
        <f>VOD!J139</f>
        <v>5.4516697050049689E-2</v>
      </c>
      <c r="I2585" s="8">
        <f>VOD!K139</f>
        <v>2.7749952213624196E-2</v>
      </c>
      <c r="J2585" s="8">
        <f>VOD!L139</f>
        <v>3.6227056618231446E-2</v>
      </c>
      <c r="K2585" s="8">
        <f>VOD!M139</f>
        <v>2.9479814835971396E-2</v>
      </c>
      <c r="L2585" s="8">
        <f>VOD!N139</f>
        <v>2.6170386834823089E-2</v>
      </c>
    </row>
    <row r="2586" spans="2:12">
      <c r="B2586" s="190" t="str">
        <f>VOD!B140</f>
        <v>VOD as %</v>
      </c>
      <c r="C2586" s="653">
        <f>VOD!E140</f>
        <v>0</v>
      </c>
      <c r="D2586" s="653">
        <f>VOD!F140</f>
        <v>2.6614803743498294E-2</v>
      </c>
      <c r="E2586" s="653">
        <f>VOD!G140</f>
        <v>0.10533688860970046</v>
      </c>
      <c r="F2586" s="653">
        <f>VOD!H140</f>
        <v>0.19527500377806187</v>
      </c>
      <c r="G2586" s="653">
        <f>VOD!I140</f>
        <v>0.24638503491878322</v>
      </c>
      <c r="H2586" s="653">
        <f>VOD!J140</f>
        <v>0.27039758844024692</v>
      </c>
      <c r="I2586" s="653">
        <f>VOD!K140</f>
        <v>0.29906994440973111</v>
      </c>
      <c r="J2586" s="653">
        <f>VOD!L140</f>
        <v>0.32014287091870886</v>
      </c>
      <c r="K2586" s="653">
        <f>VOD!M140</f>
        <v>0.33889415749655816</v>
      </c>
      <c r="L2586" s="653">
        <f>VOD!N140</f>
        <v>0.35806744121113993</v>
      </c>
    </row>
    <row r="2587" spans="2:12">
      <c r="C2587" s="122"/>
      <c r="D2587" s="122"/>
      <c r="E2587" s="122"/>
      <c r="F2587" s="122"/>
      <c r="G2587" s="122"/>
      <c r="H2587" s="122"/>
      <c r="I2587" s="122"/>
      <c r="J2587" s="122"/>
      <c r="K2587" s="122"/>
      <c r="L2587" s="122"/>
    </row>
    <row r="2588" spans="2:12">
      <c r="B2588" s="650" t="str">
        <f>VOD!B165</f>
        <v>EBITDA (pf for synergies)</v>
      </c>
      <c r="C2588" s="651">
        <f>VOD!E165</f>
        <v>1650</v>
      </c>
      <c r="D2588" s="651">
        <f>VOD!F165</f>
        <v>1690</v>
      </c>
      <c r="E2588" s="651">
        <f>VOD!G165</f>
        <v>1615.2</v>
      </c>
      <c r="F2588" s="651">
        <f>VOD!H165</f>
        <v>1569.5</v>
      </c>
      <c r="G2588" s="651">
        <f>VOD!I165</f>
        <v>1606.1999999999998</v>
      </c>
      <c r="H2588" s="651">
        <f>VOD!J165</f>
        <v>1627.7879999999996</v>
      </c>
      <c r="I2588" s="651">
        <f>VOD!K165</f>
        <v>1630.5423299999998</v>
      </c>
      <c r="J2588" s="651">
        <f>VOD!L165</f>
        <v>1685.0281109000002</v>
      </c>
      <c r="K2588" s="651">
        <f>VOD!M165</f>
        <v>1714.0783621020009</v>
      </c>
      <c r="L2588" s="651">
        <f>VOD!N165</f>
        <v>1734.4605850809362</v>
      </c>
    </row>
    <row r="2589" spans="2:12">
      <c r="B2589" t="str">
        <f>VOD!B166</f>
        <v>% margin</v>
      </c>
      <c r="C2589" s="8">
        <f>VOD!E166</f>
        <v>0.39158559189951786</v>
      </c>
      <c r="D2589" s="8">
        <f>VOD!F166</f>
        <v>0.35865874363327677</v>
      </c>
      <c r="E2589" s="8">
        <f>VOD!G166</f>
        <v>0.32775974025974025</v>
      </c>
      <c r="F2589" s="8">
        <f>VOD!H166</f>
        <v>0.31045396103253881</v>
      </c>
      <c r="G2589" s="8">
        <f>VOD!I166</f>
        <v>0.33273947630096118</v>
      </c>
      <c r="H2589" s="8">
        <f>VOD!J166</f>
        <v>0.31977837336944337</v>
      </c>
      <c r="I2589" s="8">
        <f>VOD!K166</f>
        <v>0.31167061582238326</v>
      </c>
      <c r="J2589" s="8">
        <f>VOD!L166</f>
        <v>0.3108250440642733</v>
      </c>
      <c r="K2589" s="8">
        <f>VOD!M166</f>
        <v>0.30712961136870126</v>
      </c>
      <c r="L2589" s="8">
        <f>VOD!N166</f>
        <v>0.30285585567480611</v>
      </c>
    </row>
    <row r="2590" spans="2:12">
      <c r="B2590" s="190"/>
      <c r="C2590" s="649"/>
      <c r="D2590" s="649"/>
      <c r="E2590" s="649"/>
      <c r="F2590" s="649"/>
      <c r="G2590" s="649"/>
      <c r="H2590" s="649"/>
      <c r="I2590" s="649"/>
      <c r="J2590" s="649"/>
      <c r="K2590" s="649"/>
      <c r="L2590" s="649"/>
    </row>
    <row r="2591" spans="2:12">
      <c r="B2591" t="str">
        <f>VOD!B168</f>
        <v>OpEx</v>
      </c>
      <c r="C2591" s="122"/>
      <c r="D2591" s="122">
        <f>VOD!F168</f>
        <v>3022</v>
      </c>
      <c r="E2591" s="122">
        <f>VOD!G168</f>
        <v>3312.8</v>
      </c>
      <c r="F2591" s="122">
        <f>VOD!H168</f>
        <v>3486</v>
      </c>
      <c r="G2591" s="122">
        <f>VOD!I168</f>
        <v>3221</v>
      </c>
      <c r="H2591" s="122">
        <f>VOD!J168</f>
        <v>3462.5749999999998</v>
      </c>
      <c r="I2591" s="122">
        <f>VOD!K168</f>
        <v>3601.078</v>
      </c>
      <c r="J2591" s="122">
        <f>VOD!L168</f>
        <v>3736.1184250000001</v>
      </c>
      <c r="K2591" s="122">
        <f>VOD!M168</f>
        <v>3866.8825698749997</v>
      </c>
      <c r="L2591" s="122">
        <f>VOD!N168</f>
        <v>3992.5562533959369</v>
      </c>
    </row>
    <row r="2592" spans="2:12">
      <c r="B2592" s="190" t="str">
        <f>VOD!B169</f>
        <v>% change</v>
      </c>
      <c r="C2592" s="649"/>
      <c r="D2592" s="653">
        <f>VOD!F169</f>
        <v>0.1787934919525247</v>
      </c>
      <c r="E2592" s="653">
        <f>VOD!G169</f>
        <v>9.6227663798808871E-2</v>
      </c>
      <c r="F2592" s="653">
        <f>VOD!H169</f>
        <v>5.2282057474040133E-2</v>
      </c>
      <c r="G2592" s="653">
        <f>VOD!I169</f>
        <v>-7.6018359150889281E-2</v>
      </c>
      <c r="H2592" s="653">
        <f>VOD!J169</f>
        <v>7.4999999999999997E-2</v>
      </c>
      <c r="I2592" s="653">
        <f>VOD!K169</f>
        <v>0.04</v>
      </c>
      <c r="J2592" s="653">
        <f>VOD!L169</f>
        <v>3.7499999999999999E-2</v>
      </c>
      <c r="K2592" s="653">
        <f>VOD!M169</f>
        <v>3.5000000000000003E-2</v>
      </c>
      <c r="L2592" s="653">
        <f>VOD!N169</f>
        <v>3.2500000000000001E-2</v>
      </c>
    </row>
    <row r="2593" spans="2:14">
      <c r="C2593" s="122"/>
      <c r="D2593" s="122"/>
      <c r="E2593" s="122"/>
      <c r="F2593" s="122"/>
      <c r="G2593" s="122"/>
      <c r="H2593" s="122"/>
      <c r="I2593" s="122"/>
      <c r="J2593" s="122"/>
      <c r="K2593" s="122"/>
      <c r="L2593" s="122"/>
    </row>
    <row r="2594" spans="2:14">
      <c r="B2594" s="190" t="str">
        <f>VOD!B205</f>
        <v>Capex</v>
      </c>
      <c r="C2594" s="649"/>
      <c r="D2594" s="649">
        <f>VOD!F205</f>
        <v>159</v>
      </c>
      <c r="E2594" s="649">
        <f>VOD!G205</f>
        <v>168</v>
      </c>
      <c r="F2594" s="649">
        <f>VOD!H205</f>
        <v>115</v>
      </c>
      <c r="G2594" s="649">
        <f>VOD!I205</f>
        <v>119.4</v>
      </c>
      <c r="H2594" s="649">
        <f>VOD!J205</f>
        <v>152.71088999999998</v>
      </c>
      <c r="I2594" s="649">
        <f>VOD!K205</f>
        <v>156.94860989999998</v>
      </c>
      <c r="J2594" s="649">
        <f>VOD!L205</f>
        <v>162.63439607699999</v>
      </c>
      <c r="K2594" s="649">
        <f>VOD!M205</f>
        <v>167.42882795931001</v>
      </c>
      <c r="L2594" s="649">
        <f>VOD!N205</f>
        <v>171.81050515430618</v>
      </c>
    </row>
    <row r="2595" spans="2:14">
      <c r="B2595" t="str">
        <f>VOD!B206</f>
        <v>as % sales</v>
      </c>
      <c r="C2595" s="122"/>
      <c r="D2595" s="8">
        <f>VOD!F206</f>
        <v>3.3743633276740237E-2</v>
      </c>
      <c r="E2595" s="8">
        <f>VOD!G206</f>
        <v>3.4090909090909088E-2</v>
      </c>
      <c r="F2595" s="8">
        <f>VOD!H206</f>
        <v>2.2747502719810107E-2</v>
      </c>
      <c r="G2595" s="8">
        <f>VOD!I206</f>
        <v>2.4734835929731525E-2</v>
      </c>
      <c r="H2595" s="8">
        <f>VOD!J206</f>
        <v>0.03</v>
      </c>
      <c r="I2595" s="8">
        <f>VOD!K206</f>
        <v>0.03</v>
      </c>
      <c r="J2595" s="8">
        <f>VOD!L206</f>
        <v>0.03</v>
      </c>
      <c r="K2595" s="8">
        <f>VOD!M206</f>
        <v>0.03</v>
      </c>
      <c r="L2595" s="8">
        <f>VOD!N206</f>
        <v>0.03</v>
      </c>
    </row>
    <row r="2596" spans="2:14">
      <c r="B2596" s="190"/>
      <c r="C2596" s="649"/>
      <c r="D2596" s="649"/>
      <c r="E2596" s="649"/>
      <c r="F2596" s="649"/>
      <c r="G2596" s="649"/>
      <c r="H2596" s="649"/>
      <c r="I2596" s="649"/>
      <c r="J2596" s="649"/>
      <c r="K2596" s="649"/>
      <c r="L2596" s="649"/>
    </row>
    <row r="2597" spans="2:14">
      <c r="B2597" t="str">
        <f>VOD!B213</f>
        <v>EFCF</v>
      </c>
      <c r="C2597" s="122"/>
      <c r="D2597" s="122">
        <f>VOD!F213</f>
        <v>-60</v>
      </c>
      <c r="E2597" s="122">
        <f>VOD!G213</f>
        <v>-842.19999999999982</v>
      </c>
      <c r="F2597" s="122">
        <f>VOD!H213</f>
        <v>677.60000000000014</v>
      </c>
      <c r="G2597" s="122">
        <f>VOD!I213</f>
        <v>689.39999999999986</v>
      </c>
      <c r="H2597" s="122">
        <f>VOD!J213</f>
        <v>745.82483439999953</v>
      </c>
      <c r="I2597" s="122">
        <f>VOD!K213</f>
        <v>809.81865287279982</v>
      </c>
      <c r="J2597" s="122">
        <f>VOD!L213</f>
        <v>888.40708080031527</v>
      </c>
      <c r="K2597" s="122">
        <f>VOD!M213</f>
        <v>951.71066934218925</v>
      </c>
      <c r="L2597" s="122">
        <f>VOD!N213</f>
        <v>1011.2335099777069</v>
      </c>
    </row>
    <row r="2598" spans="2:14">
      <c r="B2598" s="190"/>
      <c r="C2598" s="649"/>
      <c r="D2598" s="649"/>
      <c r="E2598" s="649"/>
      <c r="F2598" s="649"/>
      <c r="G2598" s="649"/>
      <c r="H2598" s="649"/>
      <c r="I2598" s="649"/>
      <c r="J2598" s="649"/>
      <c r="K2598" s="649"/>
      <c r="L2598" s="649"/>
    </row>
    <row r="2599" spans="2:14">
      <c r="B2599" t="str">
        <f>VOD!B215</f>
        <v>Net debt</v>
      </c>
      <c r="C2599" s="122"/>
      <c r="D2599" s="122">
        <f>VOD!F215</f>
        <v>9486.5999999999985</v>
      </c>
      <c r="E2599" s="122">
        <f>VOD!G215</f>
        <v>9658.7000000000007</v>
      </c>
      <c r="F2599" s="122">
        <f>VOD!H215</f>
        <v>9158.7000000000007</v>
      </c>
      <c r="G2599" s="122">
        <f>VOD!I215</f>
        <v>8889.8000000000011</v>
      </c>
      <c r="H2599" s="122">
        <f>VOD!J215</f>
        <v>8197.0260628000015</v>
      </c>
      <c r="I2599" s="122">
        <f>VOD!K215</f>
        <v>7472.555711192681</v>
      </c>
      <c r="J2599" s="122">
        <f>VOD!L215</f>
        <v>6691.5890905072765</v>
      </c>
      <c r="K2599" s="122">
        <f>VOD!M215</f>
        <v>5864.891135876298</v>
      </c>
      <c r="L2599" s="122">
        <f>VOD!N215</f>
        <v>4995.3023871809728</v>
      </c>
    </row>
    <row r="2600" spans="2:14">
      <c r="B2600" s="190" t="str">
        <f>VOD!B216</f>
        <v>Net debt to EBITDA</v>
      </c>
      <c r="C2600" s="649"/>
      <c r="D2600" s="660">
        <f>VOD!F216</f>
        <v>5.6133727810650882</v>
      </c>
      <c r="E2600" s="660">
        <f>VOD!G216</f>
        <v>5.9798786527984156</v>
      </c>
      <c r="F2600" s="660">
        <f>VOD!H216</f>
        <v>5.8354252946798351</v>
      </c>
      <c r="G2600" s="660">
        <f>VOD!I216</f>
        <v>5.5346781222761807</v>
      </c>
      <c r="H2600" s="660">
        <f>VOD!J216</f>
        <v>5.035684046571177</v>
      </c>
      <c r="I2600" s="660">
        <f>VOD!K216</f>
        <v>4.5828652060769759</v>
      </c>
      <c r="J2600" s="660">
        <f>VOD!L216</f>
        <v>3.9712032382256179</v>
      </c>
      <c r="K2600" s="660">
        <f>VOD!M216</f>
        <v>3.4216003571062474</v>
      </c>
      <c r="L2600" s="660">
        <f>VOD!N216</f>
        <v>2.8800322302785992</v>
      </c>
    </row>
    <row r="2601" spans="2:14">
      <c r="C2601" s="122"/>
      <c r="D2601" s="122"/>
      <c r="E2601" s="122"/>
      <c r="F2601" s="122"/>
      <c r="G2601" s="122"/>
      <c r="H2601" s="122"/>
      <c r="I2601" s="122"/>
      <c r="J2601" s="122"/>
      <c r="K2601" s="122"/>
      <c r="L2601" s="122"/>
    </row>
    <row r="2602" spans="2:14">
      <c r="C2602" s="122"/>
      <c r="D2602" s="122"/>
      <c r="E2602" s="122"/>
      <c r="F2602" s="122"/>
      <c r="G2602" s="122"/>
      <c r="H2602" s="122"/>
      <c r="I2602" s="122"/>
      <c r="J2602" s="122"/>
      <c r="K2602" s="122"/>
      <c r="L2602" s="122"/>
    </row>
    <row r="2603" spans="2:14">
      <c r="C2603" s="122"/>
      <c r="D2603" s="122"/>
      <c r="E2603" s="122"/>
      <c r="F2603" s="122"/>
      <c r="G2603" s="122"/>
      <c r="H2603" s="122"/>
      <c r="I2603" s="122"/>
      <c r="J2603" s="122"/>
      <c r="K2603" s="122"/>
      <c r="L2603" s="122"/>
    </row>
    <row r="2604" spans="2:14">
      <c r="B2604" t="s">
        <v>2065</v>
      </c>
      <c r="C2604" s="122"/>
      <c r="D2604" s="122"/>
      <c r="E2604" s="122"/>
      <c r="F2604" s="122"/>
      <c r="G2604" s="122"/>
      <c r="H2604" s="122"/>
      <c r="I2604" s="122"/>
      <c r="J2604" s="122"/>
      <c r="K2604" s="122"/>
      <c r="L2604" s="122"/>
    </row>
    <row r="2605" spans="2:14">
      <c r="C2605" s="122"/>
      <c r="D2605" s="122"/>
      <c r="E2605" s="122"/>
      <c r="F2605" s="122"/>
      <c r="G2605" s="122"/>
      <c r="H2605" s="122"/>
      <c r="I2605" s="122"/>
      <c r="J2605" s="122"/>
      <c r="K2605" s="122"/>
      <c r="L2605" s="122"/>
    </row>
    <row r="2606" spans="2:14">
      <c r="B2606" s="149" t="s">
        <v>1062</v>
      </c>
      <c r="C2606" s="673" t="s">
        <v>749</v>
      </c>
      <c r="D2606" s="673" t="s">
        <v>750</v>
      </c>
      <c r="E2606" s="673" t="s">
        <v>751</v>
      </c>
      <c r="F2606" s="673" t="s">
        <v>752</v>
      </c>
      <c r="G2606" s="673" t="s">
        <v>753</v>
      </c>
      <c r="H2606" s="673" t="s">
        <v>754</v>
      </c>
      <c r="I2606" s="673" t="s">
        <v>755</v>
      </c>
      <c r="J2606" s="673" t="s">
        <v>756</v>
      </c>
      <c r="K2606" s="673" t="s">
        <v>757</v>
      </c>
      <c r="L2606" s="673" t="s">
        <v>758</v>
      </c>
      <c r="M2606" s="673" t="s">
        <v>759</v>
      </c>
      <c r="N2606" s="673" t="s">
        <v>760</v>
      </c>
    </row>
    <row r="2607" spans="2:14">
      <c r="B2607" t="s">
        <v>2066</v>
      </c>
      <c r="C2607" s="4">
        <f>1995-E2607-D2607</f>
        <v>602.89999999999986</v>
      </c>
      <c r="D2607" s="4">
        <v>710.7</v>
      </c>
      <c r="E2607" s="4">
        <v>681.4</v>
      </c>
      <c r="F2607" s="4">
        <v>692.9</v>
      </c>
      <c r="G2607" s="4">
        <f>1819-I2607-H2607</f>
        <v>660.40000000000009</v>
      </c>
      <c r="H2607" s="4">
        <v>531</v>
      </c>
      <c r="I2607" s="4">
        <v>627.6</v>
      </c>
      <c r="J2607" s="4">
        <v>722.9</v>
      </c>
      <c r="K2607" s="4">
        <f>2088.6-M2607-L2607</f>
        <v>633.69999999999982</v>
      </c>
      <c r="L2607" s="4">
        <v>700.2</v>
      </c>
      <c r="M2607" s="4">
        <v>754.7</v>
      </c>
      <c r="N2607" s="4">
        <v>752.4</v>
      </c>
    </row>
    <row r="2608" spans="2:14">
      <c r="B2608" t="s">
        <v>2067</v>
      </c>
      <c r="C2608" s="4"/>
      <c r="D2608" s="4"/>
      <c r="E2608" s="4"/>
      <c r="F2608" s="4">
        <v>676.6</v>
      </c>
      <c r="G2608" s="4"/>
      <c r="H2608" s="4"/>
      <c r="I2608" s="4"/>
      <c r="J2608" s="4">
        <v>651.29999999999995</v>
      </c>
      <c r="K2608" s="4"/>
      <c r="L2608" s="4"/>
      <c r="M2608" s="4"/>
      <c r="N2608" s="4">
        <v>724.2</v>
      </c>
    </row>
    <row r="2609" spans="2:14">
      <c r="C2609" s="4"/>
      <c r="D2609" s="4"/>
      <c r="E2609" s="4"/>
      <c r="F2609" s="4"/>
      <c r="G2609" s="4"/>
      <c r="H2609" s="4"/>
      <c r="I2609" s="4"/>
      <c r="J2609" s="4"/>
      <c r="K2609" s="4"/>
      <c r="L2609" s="4"/>
      <c r="M2609" s="8">
        <f>M2607/E2607-1</f>
        <v>0.10757264455532733</v>
      </c>
      <c r="N2609" s="8"/>
    </row>
    <row r="2610" spans="2:14">
      <c r="M2610" s="8">
        <f>M2607/E2607-1</f>
        <v>0.10757264455532733</v>
      </c>
      <c r="N2610" s="8">
        <f>(N2608/F2608)^(1/2)-1</f>
        <v>3.4578058337779494E-2</v>
      </c>
    </row>
    <row r="2611" spans="2:14">
      <c r="B2611" t="s">
        <v>34</v>
      </c>
      <c r="C2611" s="4">
        <f>727-E2611-D2611</f>
        <v>204.3</v>
      </c>
      <c r="D2611" s="4">
        <v>265.7</v>
      </c>
      <c r="E2611" s="4">
        <v>257</v>
      </c>
      <c r="F2611" s="4">
        <v>230.4</v>
      </c>
      <c r="G2611" s="4">
        <f>737.7-I2611-H2611</f>
        <v>251.10000000000002</v>
      </c>
      <c r="H2611" s="4">
        <v>242.8</v>
      </c>
      <c r="I2611" s="4">
        <v>243.8</v>
      </c>
      <c r="J2611" s="4">
        <v>230.4</v>
      </c>
      <c r="K2611" s="4">
        <f>785.8-M2611-L2611</f>
        <v>252.99999999999994</v>
      </c>
      <c r="L2611" s="4">
        <v>268.8</v>
      </c>
      <c r="M2611" s="4">
        <v>264</v>
      </c>
      <c r="N2611" s="4">
        <v>229</v>
      </c>
    </row>
    <row r="2612" spans="2:14">
      <c r="B2612" t="s">
        <v>548</v>
      </c>
      <c r="C2612" s="10">
        <f t="shared" ref="C2612:N2612" si="153">C2611/C2607</f>
        <v>0.33886216619671594</v>
      </c>
      <c r="D2612" s="10">
        <f t="shared" si="153"/>
        <v>0.37385676093991838</v>
      </c>
      <c r="E2612" s="10">
        <f t="shared" si="153"/>
        <v>0.37716466099207513</v>
      </c>
      <c r="F2612" s="10">
        <f t="shared" si="153"/>
        <v>0.33251551450425748</v>
      </c>
      <c r="G2612" s="10">
        <f t="shared" si="153"/>
        <v>0.38022410660205935</v>
      </c>
      <c r="H2612" s="10">
        <f t="shared" si="153"/>
        <v>0.45725047080979286</v>
      </c>
      <c r="I2612" s="10">
        <f t="shared" si="153"/>
        <v>0.38846398980242192</v>
      </c>
      <c r="J2612" s="10">
        <f t="shared" si="153"/>
        <v>0.31871628164338084</v>
      </c>
      <c r="K2612" s="10">
        <f t="shared" si="153"/>
        <v>0.39924254379043717</v>
      </c>
      <c r="L2612" s="10">
        <f t="shared" si="153"/>
        <v>0.38389031705227078</v>
      </c>
      <c r="M2612" s="10">
        <f t="shared" si="153"/>
        <v>0.34980787067709024</v>
      </c>
      <c r="N2612" s="10">
        <f t="shared" si="153"/>
        <v>0.30435938330675172</v>
      </c>
    </row>
    <row r="2613" spans="2:14">
      <c r="B2613" t="s">
        <v>2068</v>
      </c>
      <c r="C2613" s="10"/>
      <c r="D2613" s="10"/>
      <c r="E2613" s="10"/>
      <c r="F2613" s="4">
        <v>216.9</v>
      </c>
      <c r="G2613" s="10"/>
      <c r="H2613" s="10"/>
      <c r="I2613" s="10"/>
      <c r="J2613" s="4">
        <v>174.3</v>
      </c>
      <c r="K2613" s="10"/>
      <c r="L2613" s="10"/>
      <c r="M2613" s="10"/>
      <c r="N2613" s="4">
        <v>234</v>
      </c>
    </row>
    <row r="2614" spans="2:14">
      <c r="C2614" s="10"/>
      <c r="D2614" s="10"/>
      <c r="E2614" s="10"/>
      <c r="F2614" s="4"/>
      <c r="G2614" s="10"/>
      <c r="H2614" s="10"/>
      <c r="I2614" s="10"/>
      <c r="J2614" s="4"/>
      <c r="K2614" s="10"/>
      <c r="L2614" s="10"/>
      <c r="M2614" s="10"/>
      <c r="N2614" s="8">
        <f>(N2613/F2613)^(1/2)-1</f>
        <v>3.8671350463590493E-2</v>
      </c>
    </row>
    <row r="2615" spans="2:14">
      <c r="M2615" s="8"/>
      <c r="N2615" s="8"/>
    </row>
    <row r="2632" spans="2:14">
      <c r="B2632" s="149" t="s">
        <v>2069</v>
      </c>
      <c r="C2632" s="673" t="s">
        <v>749</v>
      </c>
      <c r="D2632" s="673" t="s">
        <v>750</v>
      </c>
      <c r="E2632" s="673" t="s">
        <v>751</v>
      </c>
      <c r="F2632" s="673" t="s">
        <v>752</v>
      </c>
      <c r="G2632" s="673" t="s">
        <v>753</v>
      </c>
      <c r="H2632" s="673" t="s">
        <v>754</v>
      </c>
      <c r="I2632" s="673" t="s">
        <v>755</v>
      </c>
      <c r="J2632" s="673" t="s">
        <v>756</v>
      </c>
      <c r="K2632" s="673" t="s">
        <v>757</v>
      </c>
      <c r="L2632" s="673" t="s">
        <v>758</v>
      </c>
      <c r="M2632" s="673" t="s">
        <v>759</v>
      </c>
      <c r="N2632" s="673" t="s">
        <v>760</v>
      </c>
    </row>
    <row r="2633" spans="2:14">
      <c r="B2633" t="s">
        <v>2066</v>
      </c>
      <c r="C2633" s="122">
        <f>Interims!AU8</f>
        <v>3681.9</v>
      </c>
      <c r="D2633" s="122">
        <f>Interims!AV8</f>
        <v>4370.3</v>
      </c>
      <c r="E2633" s="122">
        <f>Interims!AW8</f>
        <v>4786.8999999999996</v>
      </c>
      <c r="F2633" s="122">
        <f>Interims!AX8</f>
        <v>6620.6</v>
      </c>
      <c r="G2633" s="122">
        <f>Interims!AZ8</f>
        <v>2635.1</v>
      </c>
      <c r="H2633" s="122">
        <f>Interims!BA8</f>
        <v>2922.2</v>
      </c>
      <c r="I2633" s="122">
        <f>Interims!BB8</f>
        <v>4164.3999999999996</v>
      </c>
      <c r="J2633" s="122">
        <f>Interims!BC8</f>
        <v>6628.1</v>
      </c>
      <c r="K2633" s="122">
        <f>Interims!BE8</f>
        <v>3374.9</v>
      </c>
      <c r="L2633" s="122">
        <f>Interims!BF8</f>
        <v>3860</v>
      </c>
      <c r="M2633" s="122">
        <f>Interims!BG8</f>
        <v>4823.8</v>
      </c>
      <c r="N2633" s="122">
        <f>Interims!BH8</f>
        <v>7103.2</v>
      </c>
    </row>
    <row r="2634" spans="2:14">
      <c r="M2634" s="8">
        <f>(M2633/E2633)^(1/2)-1</f>
        <v>3.8468697389275608E-3</v>
      </c>
      <c r="N2634" s="8">
        <f>(N2633/F2633)^(1/2)-1</f>
        <v>3.5805819367442426E-2</v>
      </c>
    </row>
    <row r="2635" spans="2:14">
      <c r="B2635" t="s">
        <v>34</v>
      </c>
      <c r="C2635" s="122">
        <f>Interims!AU29</f>
        <v>2267.3000000000002</v>
      </c>
      <c r="D2635" s="122">
        <f>Interims!AV29</f>
        <v>2928.3</v>
      </c>
      <c r="E2635" s="122">
        <f>Interims!AW29</f>
        <v>3112.3</v>
      </c>
      <c r="F2635" s="122">
        <f>Interims!AX29</f>
        <v>4545</v>
      </c>
      <c r="G2635" s="122">
        <f>Interims!AZ29</f>
        <v>1613.9</v>
      </c>
      <c r="H2635" s="122">
        <f>Interims!BA29</f>
        <v>2080.8000000000002</v>
      </c>
      <c r="I2635" s="122">
        <f>Interims!BB29</f>
        <v>3294.7</v>
      </c>
      <c r="J2635" s="122">
        <f>Interims!BC29</f>
        <v>5371.3999999999987</v>
      </c>
      <c r="K2635" s="122">
        <f>Interims!BE29</f>
        <v>2376.5</v>
      </c>
      <c r="L2635" s="122">
        <f>Interims!BF29</f>
        <v>2569.1999999999998</v>
      </c>
      <c r="M2635" s="122">
        <f>Interims!BG29</f>
        <v>3389.6</v>
      </c>
      <c r="N2635" s="122">
        <f>Interims!BH29</f>
        <v>5443.7</v>
      </c>
    </row>
    <row r="2636" spans="2:14">
      <c r="B2636" t="s">
        <v>548</v>
      </c>
      <c r="C2636" s="10">
        <f t="shared" ref="C2636:M2636" si="154">C2635/C2633</f>
        <v>0.61579619218338366</v>
      </c>
      <c r="D2636" s="10">
        <f t="shared" si="154"/>
        <v>0.67004553463148986</v>
      </c>
      <c r="E2636" s="10">
        <f t="shared" si="154"/>
        <v>0.6501702563245525</v>
      </c>
      <c r="F2636" s="10">
        <f t="shared" si="154"/>
        <v>0.68649367126846506</v>
      </c>
      <c r="G2636" s="10">
        <f t="shared" si="154"/>
        <v>0.6124625251413609</v>
      </c>
      <c r="H2636" s="10">
        <f t="shared" si="154"/>
        <v>0.71206625145438374</v>
      </c>
      <c r="I2636" s="10">
        <f t="shared" si="154"/>
        <v>0.79115839016424938</v>
      </c>
      <c r="J2636" s="10">
        <f t="shared" si="154"/>
        <v>0.81039815331693821</v>
      </c>
      <c r="K2636" s="10">
        <f t="shared" si="154"/>
        <v>0.7041690124151827</v>
      </c>
      <c r="L2636" s="10">
        <f t="shared" si="154"/>
        <v>0.66559585492227979</v>
      </c>
      <c r="M2636" s="10">
        <f t="shared" si="154"/>
        <v>0.70268253244330192</v>
      </c>
      <c r="N2636" s="10">
        <f>N2635/N2633</f>
        <v>0.76637290235386868</v>
      </c>
    </row>
    <row r="2637" spans="2:14">
      <c r="M2637" s="8">
        <f>(M2635/E2635)^(1/2)-1</f>
        <v>4.3598627182253713E-2</v>
      </c>
      <c r="N2637" s="8">
        <f>(N2635/F2635)^(1/2)-1</f>
        <v>9.4410239981944644E-2</v>
      </c>
    </row>
    <row r="2638" spans="2:14">
      <c r="M2638" t="s">
        <v>2070</v>
      </c>
    </row>
    <row r="2640" spans="2:14">
      <c r="B2640" s="674" t="s">
        <v>2071</v>
      </c>
      <c r="C2640" s="675">
        <v>44.914763490184605</v>
      </c>
    </row>
    <row r="2641" spans="2:3">
      <c r="B2641" s="674" t="s">
        <v>2072</v>
      </c>
      <c r="C2641" s="675">
        <v>27.085035611675288</v>
      </c>
    </row>
    <row r="2642" spans="2:3">
      <c r="B2642" s="674" t="s">
        <v>2073</v>
      </c>
      <c r="C2642" s="675">
        <v>21.974654764575551</v>
      </c>
    </row>
    <row r="2643" spans="2:3">
      <c r="B2643" s="674" t="s">
        <v>2074</v>
      </c>
      <c r="C2643" s="675">
        <v>16.307631569913145</v>
      </c>
    </row>
    <row r="2644" spans="2:3">
      <c r="B2644" s="674" t="s">
        <v>2075</v>
      </c>
      <c r="C2644" s="675">
        <f>SOP!E17/(VOD!F165+200)</f>
        <v>6.0704921934818721</v>
      </c>
    </row>
    <row r="2645" spans="2:3">
      <c r="B2645" s="674" t="s">
        <v>2076</v>
      </c>
      <c r="C2645" s="675">
        <v>9.7866363740804889</v>
      </c>
    </row>
    <row r="2646" spans="2:3">
      <c r="B2646" s="674" t="s">
        <v>2077</v>
      </c>
      <c r="C2646" s="675">
        <v>8.8185511466711954</v>
      </c>
    </row>
    <row r="2647" spans="2:3">
      <c r="B2647" s="674" t="s">
        <v>2078</v>
      </c>
      <c r="C2647" s="675">
        <v>8.6043233432247472</v>
      </c>
    </row>
    <row r="2648" spans="2:3">
      <c r="B2648" s="674" t="s">
        <v>2079</v>
      </c>
      <c r="C2648" s="675">
        <v>8.139847260516575</v>
      </c>
    </row>
    <row r="2649" spans="2:3">
      <c r="B2649" s="674" t="s">
        <v>2080</v>
      </c>
      <c r="C2649" s="675">
        <f>Valuation!R63/(Valuation!R65+200)</f>
        <v>4.3487176915804371</v>
      </c>
    </row>
    <row r="2650" spans="2:3">
      <c r="B2650" s="674" t="s">
        <v>468</v>
      </c>
      <c r="C2650" s="675">
        <v>4.8</v>
      </c>
    </row>
    <row r="2676" spans="2:11" ht="15.75">
      <c r="B2676" s="43" t="s">
        <v>2081</v>
      </c>
      <c r="C2676" s="43">
        <v>2022</v>
      </c>
      <c r="D2676" s="43">
        <v>2023</v>
      </c>
      <c r="E2676" s="43">
        <v>2024</v>
      </c>
      <c r="F2676" s="43">
        <v>2025</v>
      </c>
      <c r="G2676" s="43">
        <v>2026</v>
      </c>
      <c r="H2676" s="43">
        <v>2027</v>
      </c>
      <c r="I2676" s="43">
        <v>2028</v>
      </c>
      <c r="J2676" s="43">
        <v>2029</v>
      </c>
      <c r="K2676" s="43">
        <v>2030</v>
      </c>
    </row>
    <row r="2677" spans="2:11">
      <c r="B2677" s="52" t="s">
        <v>193</v>
      </c>
    </row>
    <row r="2678" spans="2:11" ht="15.75">
      <c r="B2678" s="52" t="s">
        <v>70</v>
      </c>
      <c r="C2678" s="51">
        <v>21508.841286446906</v>
      </c>
      <c r="D2678" s="51">
        <v>21289.484652366478</v>
      </c>
      <c r="E2678" s="51">
        <v>20774.331297444234</v>
      </c>
      <c r="F2678" s="51">
        <v>20485.348051837296</v>
      </c>
      <c r="G2678" s="51">
        <v>20176.100448229099</v>
      </c>
      <c r="H2678" s="51">
        <v>19849.773462033321</v>
      </c>
      <c r="I2678" s="51">
        <v>19542.231457506074</v>
      </c>
      <c r="J2678" s="51">
        <v>19252.973066975108</v>
      </c>
      <c r="K2678" s="51">
        <v>18981.509463482376</v>
      </c>
    </row>
    <row r="2679" spans="2:11" ht="15.75">
      <c r="B2679" s="52" t="s">
        <v>194</v>
      </c>
      <c r="C2679" s="51">
        <v>50614.372203749997</v>
      </c>
      <c r="D2679" s="51">
        <v>54663.521980049998</v>
      </c>
      <c r="E2679" s="51">
        <v>57943.333298853002</v>
      </c>
      <c r="F2679" s="51">
        <v>60840.499963795657</v>
      </c>
      <c r="G2679" s="51">
        <v>63882.524961985444</v>
      </c>
      <c r="H2679" s="51">
        <v>66437.825960464863</v>
      </c>
      <c r="I2679" s="51">
        <v>69095.338998883453</v>
      </c>
      <c r="J2679" s="51">
        <v>71859.152558838789</v>
      </c>
      <c r="K2679" s="51">
        <v>74733.518661192342</v>
      </c>
    </row>
    <row r="2680" spans="2:11" ht="15.75">
      <c r="B2680" s="52" t="s">
        <v>195</v>
      </c>
      <c r="C2680" s="51">
        <v>7500</v>
      </c>
      <c r="D2680" s="51">
        <v>7575</v>
      </c>
      <c r="E2680" s="51">
        <v>7650.75</v>
      </c>
      <c r="F2680" s="51">
        <v>7727.2574999999997</v>
      </c>
      <c r="G2680" s="51">
        <v>7804.5300749999997</v>
      </c>
      <c r="H2680" s="51">
        <v>7882.5753757499997</v>
      </c>
      <c r="I2680" s="51">
        <v>7961.4011295074997</v>
      </c>
      <c r="J2680" s="51">
        <v>8041.0151408025749</v>
      </c>
      <c r="K2680" s="51">
        <v>8121.4252922106007</v>
      </c>
    </row>
    <row r="2681" spans="2:11">
      <c r="B2681" s="53" t="s">
        <v>196</v>
      </c>
      <c r="C2681" s="676">
        <v>79623.213490196911</v>
      </c>
      <c r="D2681" s="676">
        <v>83528.00663241648</v>
      </c>
      <c r="E2681" s="676">
        <v>86368.41459629724</v>
      </c>
      <c r="F2681" s="676">
        <v>89053.105515632953</v>
      </c>
      <c r="G2681" s="676">
        <v>91863.155485214549</v>
      </c>
      <c r="H2681" s="676">
        <v>94170.17479824819</v>
      </c>
      <c r="I2681" s="676">
        <v>96598.97158589703</v>
      </c>
      <c r="J2681" s="676">
        <v>99153.140766616474</v>
      </c>
      <c r="K2681" s="676">
        <v>101836.45341688531</v>
      </c>
    </row>
    <row r="2683" spans="2:11" ht="15.75">
      <c r="B2683" s="43" t="s">
        <v>211</v>
      </c>
      <c r="C2683" s="475">
        <v>26981.093394431715</v>
      </c>
      <c r="D2683" s="475">
        <v>28372.790568090753</v>
      </c>
      <c r="E2683" s="475">
        <v>29615.475703141863</v>
      </c>
      <c r="F2683" s="475">
        <v>30619.433698718341</v>
      </c>
      <c r="G2683" s="475">
        <v>31674.782734026234</v>
      </c>
      <c r="H2683" s="475">
        <v>32523.654741673272</v>
      </c>
      <c r="I2683" s="475">
        <v>33422.028792379184</v>
      </c>
      <c r="J2683" s="475">
        <v>34371.217499849226</v>
      </c>
      <c r="K2683" s="475">
        <v>35372.632249258961</v>
      </c>
    </row>
    <row r="2685" spans="2:11" ht="15.75">
      <c r="B2685" s="44" t="s">
        <v>212</v>
      </c>
      <c r="C2685" s="51">
        <v>1309.7618152636753</v>
      </c>
      <c r="D2685" s="51">
        <v>1350.3136573429827</v>
      </c>
      <c r="E2685" s="51">
        <v>1381.8189654064095</v>
      </c>
      <c r="F2685" s="51">
        <v>1400.6493323050831</v>
      </c>
      <c r="G2685" s="51">
        <v>1420.5147159812495</v>
      </c>
      <c r="H2685" s="51">
        <v>1429.9842790196267</v>
      </c>
      <c r="I2685" s="51">
        <v>1440.6701505939634</v>
      </c>
      <c r="J2685" s="51">
        <v>1452.5346235847776</v>
      </c>
      <c r="K2685" s="51">
        <v>1465.5437392422978</v>
      </c>
    </row>
    <row r="2687" spans="2:11" ht="15.75">
      <c r="B2687" s="44" t="s">
        <v>35</v>
      </c>
      <c r="C2687" s="51"/>
      <c r="D2687" s="51"/>
      <c r="E2687" s="51"/>
      <c r="F2687" s="51"/>
      <c r="G2687" s="51"/>
      <c r="H2687" s="51"/>
      <c r="I2687" s="51"/>
      <c r="J2687" s="51"/>
      <c r="K2687" s="51"/>
    </row>
    <row r="2688" spans="2:11" ht="15.75">
      <c r="B2688" s="45" t="s">
        <v>220</v>
      </c>
      <c r="C2688" s="51">
        <v>888.68944359372904</v>
      </c>
      <c r="D2688" s="51">
        <v>788.54957101248328</v>
      </c>
      <c r="E2688" s="51">
        <v>722.21616687589801</v>
      </c>
      <c r="F2688" s="51">
        <v>725.7891116690879</v>
      </c>
      <c r="G2688" s="51">
        <v>737.75415272846135</v>
      </c>
      <c r="H2688" s="51">
        <v>744.15779298441601</v>
      </c>
      <c r="I2688" s="51">
        <v>751.10932653394707</v>
      </c>
      <c r="J2688" s="51">
        <v>758.59862207476817</v>
      </c>
      <c r="K2688" s="51">
        <v>766.61634027771686</v>
      </c>
    </row>
    <row r="2690" spans="2:11" ht="15.75">
      <c r="B2690" s="44" t="s">
        <v>228</v>
      </c>
      <c r="C2690" s="44"/>
      <c r="D2690" s="44"/>
      <c r="E2690" s="44"/>
      <c r="F2690" s="44"/>
      <c r="G2690" s="44"/>
      <c r="H2690" s="44"/>
      <c r="I2690" s="44"/>
      <c r="J2690" s="44"/>
      <c r="K2690" s="44"/>
    </row>
    <row r="2691" spans="2:11" ht="15.75">
      <c r="B2691" s="45" t="s">
        <v>218</v>
      </c>
      <c r="C2691" s="677">
        <v>0.03</v>
      </c>
      <c r="D2691" s="677">
        <v>0.03</v>
      </c>
      <c r="E2691" s="677">
        <v>0.03</v>
      </c>
      <c r="F2691" s="677">
        <v>0.03</v>
      </c>
      <c r="G2691" s="677">
        <v>0.03</v>
      </c>
      <c r="H2691" s="677">
        <v>0.03</v>
      </c>
      <c r="I2691" s="677">
        <v>0.03</v>
      </c>
      <c r="J2691" s="677">
        <v>0.03</v>
      </c>
      <c r="K2691" s="677">
        <v>0.03</v>
      </c>
    </row>
    <row r="2692" spans="2:11" ht="15.75">
      <c r="B2692" s="45" t="s">
        <v>70</v>
      </c>
      <c r="C2692" s="677">
        <v>0.2157774089831036</v>
      </c>
      <c r="D2692" s="677">
        <v>0.16204047994740145</v>
      </c>
      <c r="E2692" s="677">
        <v>0.13146882349722797</v>
      </c>
      <c r="F2692" s="677">
        <v>0.12113448895171013</v>
      </c>
      <c r="G2692" s="677">
        <v>0.11877231821387012</v>
      </c>
      <c r="H2692" s="677">
        <v>0.11631624759349553</v>
      </c>
      <c r="I2692" s="677">
        <v>0.11380327824316269</v>
      </c>
      <c r="J2692" s="677">
        <v>0.11123729005002944</v>
      </c>
      <c r="K2692" s="677">
        <v>0.10862246592422838</v>
      </c>
    </row>
    <row r="2693" spans="2:11" ht="15.75">
      <c r="B2693" s="49" t="s">
        <v>194</v>
      </c>
      <c r="C2693" s="678">
        <v>0.27</v>
      </c>
      <c r="D2693" s="678">
        <v>0.24</v>
      </c>
      <c r="E2693" s="678">
        <v>0.22000000000000003</v>
      </c>
      <c r="F2693" s="678">
        <v>0.22</v>
      </c>
      <c r="G2693" s="678">
        <v>0.22</v>
      </c>
      <c r="H2693" s="678">
        <v>0.22</v>
      </c>
      <c r="I2693" s="678">
        <v>0.22</v>
      </c>
      <c r="J2693" s="678">
        <v>0.22</v>
      </c>
      <c r="K2693" s="678">
        <v>0.22000000000000003</v>
      </c>
    </row>
    <row r="2694" spans="2:11" ht="15.75">
      <c r="B2694" s="45" t="s">
        <v>85</v>
      </c>
      <c r="C2694" s="47">
        <v>0.25611209057983708</v>
      </c>
      <c r="D2694" s="47">
        <v>0.22096160473617557</v>
      </c>
      <c r="E2694" s="47">
        <v>0.19963301359838209</v>
      </c>
      <c r="F2694" s="47">
        <v>0.19846396142948389</v>
      </c>
      <c r="G2694" s="47">
        <v>0.19947604620036821</v>
      </c>
      <c r="H2694" s="47">
        <v>0.20020378200435784</v>
      </c>
      <c r="I2694" s="47">
        <v>0.2009330809215554</v>
      </c>
      <c r="J2694" s="47">
        <v>0.20166314570937671</v>
      </c>
      <c r="K2694" s="47">
        <v>0.20239321115705045</v>
      </c>
    </row>
    <row r="2696" spans="2:11" ht="15.75">
      <c r="B2696" s="399" t="s">
        <v>229</v>
      </c>
      <c r="C2696" s="679">
        <v>8674.0908564008951</v>
      </c>
      <c r="D2696" s="679">
        <v>11803.786981976451</v>
      </c>
      <c r="E2696" s="679">
        <v>14136.765482777566</v>
      </c>
      <c r="F2696" s="679">
        <v>14753.041539426073</v>
      </c>
      <c r="G2696" s="679">
        <v>15224.265019637367</v>
      </c>
      <c r="H2696" s="679">
        <v>15598.481865686334</v>
      </c>
      <c r="I2696" s="679">
        <v>15997.084208573971</v>
      </c>
      <c r="J2696" s="679">
        <v>16420.555387528177</v>
      </c>
      <c r="K2696" s="679">
        <v>16869.439778909109</v>
      </c>
    </row>
    <row r="2698" spans="2:11" ht="15.75">
      <c r="B2698" s="43" t="s">
        <v>2082</v>
      </c>
      <c r="C2698" s="43">
        <v>2022</v>
      </c>
      <c r="D2698" s="43">
        <v>2023</v>
      </c>
      <c r="E2698" s="43">
        <v>2024</v>
      </c>
      <c r="F2698" s="43">
        <v>2025</v>
      </c>
      <c r="G2698" s="43">
        <v>2026</v>
      </c>
      <c r="H2698" s="43">
        <v>2027</v>
      </c>
      <c r="I2698" s="43">
        <v>2028</v>
      </c>
      <c r="J2698" s="43">
        <v>2029</v>
      </c>
      <c r="K2698" s="43">
        <v>2030</v>
      </c>
    </row>
    <row r="2699" spans="2:11" ht="15.75">
      <c r="B2699" s="52" t="s">
        <v>193</v>
      </c>
      <c r="C2699" s="51"/>
      <c r="D2699" s="51"/>
      <c r="E2699" s="51"/>
      <c r="F2699" s="51"/>
      <c r="G2699" s="51"/>
      <c r="H2699" s="51"/>
      <c r="I2699" s="51"/>
      <c r="J2699" s="51"/>
      <c r="K2699" s="51"/>
    </row>
    <row r="2700" spans="2:11" ht="15.75">
      <c r="B2700" s="52" t="s">
        <v>70</v>
      </c>
      <c r="C2700" s="51">
        <v>21508.841286446906</v>
      </c>
      <c r="D2700" s="51">
        <v>21289.484652366478</v>
      </c>
      <c r="E2700" s="51">
        <v>20774.331297444234</v>
      </c>
      <c r="F2700" s="51">
        <v>20485.348051837296</v>
      </c>
      <c r="G2700" s="51">
        <v>20176.100448229099</v>
      </c>
      <c r="H2700" s="51">
        <v>19849.773462033321</v>
      </c>
      <c r="I2700" s="51">
        <v>19542.231457506074</v>
      </c>
      <c r="J2700" s="51">
        <v>19252.973066975108</v>
      </c>
      <c r="K2700" s="51">
        <v>18981.509463482376</v>
      </c>
    </row>
    <row r="2701" spans="2:11" ht="15.75">
      <c r="B2701" s="52" t="s">
        <v>194</v>
      </c>
      <c r="C2701" s="51">
        <v>50614.372203749997</v>
      </c>
      <c r="D2701" s="51">
        <v>54663.521980049998</v>
      </c>
      <c r="E2701" s="51">
        <v>57943.333298853002</v>
      </c>
      <c r="F2701" s="51">
        <v>60840.499963795657</v>
      </c>
      <c r="G2701" s="51">
        <v>63882.524961985444</v>
      </c>
      <c r="H2701" s="51">
        <v>66437.825960464863</v>
      </c>
      <c r="I2701" s="51">
        <v>69095.338998883453</v>
      </c>
      <c r="J2701" s="51">
        <v>71859.152558838789</v>
      </c>
      <c r="K2701" s="51">
        <v>74733.518661192342</v>
      </c>
    </row>
    <row r="2702" spans="2:11" ht="15.75">
      <c r="B2702" s="52" t="s">
        <v>195</v>
      </c>
      <c r="C2702" s="51">
        <v>7500</v>
      </c>
      <c r="D2702" s="51">
        <v>7575</v>
      </c>
      <c r="E2702" s="51">
        <v>7650.75</v>
      </c>
      <c r="F2702" s="51">
        <v>7727.2574999999997</v>
      </c>
      <c r="G2702" s="51">
        <v>7804.5300749999997</v>
      </c>
      <c r="H2702" s="51">
        <v>7882.5753757499997</v>
      </c>
      <c r="I2702" s="51">
        <v>7961.4011295074997</v>
      </c>
      <c r="J2702" s="51">
        <v>8041.0151408025749</v>
      </c>
      <c r="K2702" s="51">
        <v>8121.4252922106007</v>
      </c>
    </row>
    <row r="2703" spans="2:11">
      <c r="B2703" s="53" t="s">
        <v>196</v>
      </c>
      <c r="C2703" s="676">
        <v>79623.213490196911</v>
      </c>
      <c r="D2703" s="676">
        <v>83528.00663241648</v>
      </c>
      <c r="E2703" s="676">
        <v>86368.41459629724</v>
      </c>
      <c r="F2703" s="676">
        <v>89053.105515632953</v>
      </c>
      <c r="G2703" s="676">
        <v>91863.155485214549</v>
      </c>
      <c r="H2703" s="676">
        <v>94170.17479824819</v>
      </c>
      <c r="I2703" s="676">
        <v>96598.97158589703</v>
      </c>
      <c r="J2703" s="676">
        <v>99153.140766616474</v>
      </c>
      <c r="K2703" s="676">
        <v>101836.45341688531</v>
      </c>
    </row>
    <row r="2705" spans="2:11" ht="15.75">
      <c r="B2705" s="43" t="s">
        <v>211</v>
      </c>
      <c r="C2705" s="475">
        <f>Master!U63</f>
        <v>25536.03</v>
      </c>
      <c r="D2705" s="475">
        <f>Master!V63</f>
        <v>24124.600000000002</v>
      </c>
      <c r="E2705" s="475">
        <f>Master!W63</f>
        <v>17692.015999999996</v>
      </c>
      <c r="F2705" s="475">
        <f>Master!X63</f>
        <v>21385.4</v>
      </c>
      <c r="G2705" s="475">
        <f>Master!Y63</f>
        <v>21683.037436526331</v>
      </c>
      <c r="H2705" s="475">
        <f>Master!Z63</f>
        <v>21241.153183097853</v>
      </c>
      <c r="I2705" s="475">
        <f>Master!AA63</f>
        <v>20722.529360417931</v>
      </c>
      <c r="J2705" s="475">
        <f>Master!AB63</f>
        <v>20756.802080019293</v>
      </c>
      <c r="K2705" s="475">
        <f>Master!AC63</f>
        <v>21103.824961091603</v>
      </c>
    </row>
    <row r="2707" spans="2:11" ht="15.75">
      <c r="B2707" s="44" t="s">
        <v>212</v>
      </c>
      <c r="C2707" s="51">
        <f>Master!U68</f>
        <v>1269.8175037294877</v>
      </c>
      <c r="D2707" s="51">
        <f>Master!V68</f>
        <v>1362.9717514124295</v>
      </c>
      <c r="E2707" s="51">
        <f>Master!W68</f>
        <v>966.77683060109268</v>
      </c>
      <c r="F2707" s="51">
        <f>Master!X68</f>
        <v>1114.4033350703492</v>
      </c>
      <c r="G2707" s="51">
        <f>Master!Y68</f>
        <v>1248.6632557746232</v>
      </c>
      <c r="H2707" s="51">
        <f>Master!Z68</f>
        <v>1199.2317871252098</v>
      </c>
      <c r="I2707" s="51">
        <f>Master!AA68</f>
        <v>1147.0111309830852</v>
      </c>
      <c r="J2707" s="51">
        <f>Master!AB68</f>
        <v>1126.3805467189595</v>
      </c>
      <c r="K2707" s="51">
        <f>Master!AC68</f>
        <v>1122.7568190019381</v>
      </c>
    </row>
    <row r="2709" spans="2:11" ht="15.75">
      <c r="B2709" s="44" t="s">
        <v>35</v>
      </c>
      <c r="C2709" s="51">
        <f>Master!U87</f>
        <v>17214.16</v>
      </c>
      <c r="D2709" s="51">
        <f>Master!V87</f>
        <v>14503.380000000001</v>
      </c>
      <c r="E2709" s="51">
        <f>Master!W87</f>
        <v>9097.5</v>
      </c>
      <c r="F2709" s="51">
        <f>Master!X87</f>
        <v>12186.6</v>
      </c>
      <c r="G2709" s="51">
        <f>Master!Y87</f>
        <v>14278.20668726951</v>
      </c>
      <c r="H2709" s="51">
        <f>Master!Z87</f>
        <v>11169.233759721894</v>
      </c>
      <c r="I2709" s="51">
        <f>Master!AA87</f>
        <v>10295.922991520487</v>
      </c>
      <c r="J2709" s="51">
        <f>Master!AB87</f>
        <v>10007.361481214053</v>
      </c>
      <c r="K2709" s="51">
        <f>Master!AC87</f>
        <v>9842.9993612570379</v>
      </c>
    </row>
    <row r="2710" spans="2:11" ht="15.75">
      <c r="B2710" s="45" t="s">
        <v>220</v>
      </c>
      <c r="C2710" s="51">
        <f>Master!U94</f>
        <v>856</v>
      </c>
      <c r="D2710" s="51">
        <f>Master!V94</f>
        <v>828.5</v>
      </c>
      <c r="E2710" s="51">
        <f>Master!W94</f>
        <v>492.99999999999994</v>
      </c>
      <c r="F2710" s="51">
        <f>Master!X94</f>
        <v>645</v>
      </c>
      <c r="G2710" s="51">
        <f>Master!Y94</f>
        <v>822.24052330950258</v>
      </c>
      <c r="H2710" s="51">
        <f>Master!Z94</f>
        <v>630.59194795265978</v>
      </c>
      <c r="I2710" s="51">
        <f>Master!AA94</f>
        <v>569.88884269967753</v>
      </c>
      <c r="J2710" s="51">
        <f>Master!AB94</f>
        <v>543.05558500626523</v>
      </c>
      <c r="K2710" s="51">
        <f>Master!AC94</f>
        <v>523.66311190781551</v>
      </c>
    </row>
    <row r="2712" spans="2:11" ht="15.75">
      <c r="B2712" s="44" t="s">
        <v>228</v>
      </c>
      <c r="C2712" s="44"/>
      <c r="D2712" s="44"/>
      <c r="E2712" s="44"/>
      <c r="F2712" s="44"/>
      <c r="G2712" s="44"/>
      <c r="H2712" s="44"/>
      <c r="I2712" s="44"/>
      <c r="J2712" s="44"/>
      <c r="K2712" s="44"/>
    </row>
    <row r="2713" spans="2:11" ht="15.75">
      <c r="B2713" s="45" t="s">
        <v>218</v>
      </c>
      <c r="C2713" s="677">
        <f>Master!U103</f>
        <v>5.0454558871277172E-2</v>
      </c>
      <c r="D2713" s="677">
        <f>Master!V103</f>
        <v>8.9217094387685839E-2</v>
      </c>
      <c r="E2713" s="677">
        <f>Master!W103</f>
        <v>0</v>
      </c>
      <c r="F2713" s="677">
        <f>Master!X103</f>
        <v>0</v>
      </c>
      <c r="G2713" s="677">
        <f>Master!Y103</f>
        <v>0</v>
      </c>
      <c r="H2713" s="677">
        <f>Master!Z103</f>
        <v>0</v>
      </c>
      <c r="I2713" s="677">
        <f>Master!AA103</f>
        <v>0</v>
      </c>
      <c r="J2713" s="677">
        <f>Master!AB103</f>
        <v>0</v>
      </c>
      <c r="K2713" s="677">
        <f>Master!AC103</f>
        <v>0</v>
      </c>
    </row>
    <row r="2714" spans="2:11" ht="15.75">
      <c r="B2714" s="45" t="s">
        <v>70</v>
      </c>
      <c r="C2714" s="677">
        <f>Master!U104</f>
        <v>0.19092585672845272</v>
      </c>
      <c r="D2714" s="677">
        <f>Master!V104</f>
        <v>0.15017400996292335</v>
      </c>
      <c r="E2714" s="677">
        <f>Master!W104</f>
        <v>0.10139144778412605</v>
      </c>
      <c r="F2714" s="677">
        <f>Master!X104</f>
        <v>0.1321680486393805</v>
      </c>
      <c r="G2714" s="677">
        <f>Master!Y104</f>
        <v>0.13</v>
      </c>
      <c r="H2714" s="677">
        <f>Master!Z104</f>
        <v>0.13</v>
      </c>
      <c r="I2714" s="677">
        <f>Master!AA104</f>
        <v>0.13</v>
      </c>
      <c r="J2714" s="677">
        <f>Master!AB104</f>
        <v>0.13</v>
      </c>
      <c r="K2714" s="677">
        <f>Master!AC104</f>
        <v>0.13</v>
      </c>
    </row>
    <row r="2715" spans="2:11" ht="15.75">
      <c r="B2715" s="49" t="s">
        <v>194</v>
      </c>
      <c r="C2715" s="678">
        <f>Master!U105</f>
        <v>0.26830336818709483</v>
      </c>
      <c r="D2715" s="678">
        <f>Master!V105</f>
        <v>0.22958045182111572</v>
      </c>
      <c r="E2715" s="678">
        <f>Master!W105</f>
        <v>0.1541442829109784</v>
      </c>
      <c r="F2715" s="678">
        <f>Master!X105</f>
        <v>0.22237841618192322</v>
      </c>
      <c r="G2715" s="678">
        <f>Master!Y105</f>
        <v>0.27021648645819862</v>
      </c>
      <c r="H2715" s="678">
        <f>Master!Z105</f>
        <v>0.20960972971981692</v>
      </c>
      <c r="I2715" s="678">
        <f>Master!AA105</f>
        <v>0.19677303506053007</v>
      </c>
      <c r="J2715" s="678">
        <f>Master!AB105</f>
        <v>0.19124739853911743</v>
      </c>
      <c r="K2715" s="678">
        <f>Master!AC105</f>
        <v>0.18633404204551848</v>
      </c>
    </row>
    <row r="2716" spans="2:11" ht="15.75">
      <c r="B2716" s="45" t="s">
        <v>85</v>
      </c>
      <c r="C2716" s="47">
        <f>Master!U106</f>
        <v>0.22792181827329708</v>
      </c>
      <c r="D2716" s="47">
        <f>Master!V106</f>
        <v>0.1966082808376001</v>
      </c>
      <c r="E2716" s="47">
        <f>Master!W106</f>
        <v>0.14611907730673315</v>
      </c>
      <c r="F2716" s="47">
        <f>Master!X106</f>
        <v>0.20697983294326255</v>
      </c>
      <c r="G2716" s="47">
        <f>Master!Y106</f>
        <v>0.25013464885861597</v>
      </c>
      <c r="H2716" s="47">
        <f>Master!Z106</f>
        <v>0.20342106412768107</v>
      </c>
      <c r="I2716" s="47">
        <f>Master!AA106</f>
        <v>0.19618352464367766</v>
      </c>
      <c r="J2716" s="47">
        <f>Master!AB106</f>
        <v>0.19278090453177588</v>
      </c>
      <c r="K2716" s="47">
        <f>Master!AC106</f>
        <v>0.1888287414640448</v>
      </c>
    </row>
    <row r="2718" spans="2:11" ht="15.75">
      <c r="B2718" s="399" t="s">
        <v>229</v>
      </c>
      <c r="C2718" s="679">
        <f>Master!U117</f>
        <v>8321.8700000000008</v>
      </c>
      <c r="D2718" s="679">
        <f>Master!V117</f>
        <v>9621.2200000000012</v>
      </c>
      <c r="E2718" s="679">
        <f>Master!W117</f>
        <v>8670.1159999999982</v>
      </c>
      <c r="F2718" s="679">
        <f>Master!X117</f>
        <v>9198.8000000000011</v>
      </c>
      <c r="G2718" s="679">
        <f>Master!Y117</f>
        <v>7404.8307492568201</v>
      </c>
      <c r="H2718" s="679">
        <f>Master!Z117</f>
        <v>10071.919423375959</v>
      </c>
      <c r="I2718" s="679">
        <f>Master!AA117</f>
        <v>10426.606368897445</v>
      </c>
      <c r="J2718" s="679">
        <f>Master!AB117</f>
        <v>10749.44059880524</v>
      </c>
      <c r="K2718" s="679">
        <f>Master!AC117</f>
        <v>11260.825599834565</v>
      </c>
    </row>
    <row r="2721" spans="2:19">
      <c r="B2721" s="564">
        <v>44621</v>
      </c>
    </row>
    <row r="2723" spans="2:19" ht="15.75">
      <c r="C2723" s="391" t="s">
        <v>1197</v>
      </c>
      <c r="D2723" s="391" t="s">
        <v>1197</v>
      </c>
      <c r="E2723" s="391" t="s">
        <v>1197</v>
      </c>
      <c r="F2723" s="391" t="s">
        <v>1197</v>
      </c>
      <c r="G2723" s="391" t="s">
        <v>1197</v>
      </c>
      <c r="I2723" s="391" t="s">
        <v>1199</v>
      </c>
      <c r="J2723" s="391" t="s">
        <v>1199</v>
      </c>
      <c r="K2723" s="391" t="s">
        <v>1199</v>
      </c>
      <c r="L2723" s="391" t="s">
        <v>1199</v>
      </c>
      <c r="M2723" s="391" t="s">
        <v>1199</v>
      </c>
      <c r="O2723" s="391" t="s">
        <v>2083</v>
      </c>
      <c r="P2723" s="391" t="s">
        <v>2083</v>
      </c>
      <c r="Q2723" s="391" t="s">
        <v>2083</v>
      </c>
      <c r="R2723" s="391" t="s">
        <v>2083</v>
      </c>
      <c r="S2723" s="391" t="s">
        <v>2083</v>
      </c>
    </row>
    <row r="2724" spans="2:19" ht="15.75">
      <c r="B2724" s="680" t="s">
        <v>2069</v>
      </c>
      <c r="C2724" s="680">
        <f>C2676</f>
        <v>2022</v>
      </c>
      <c r="D2724" s="680">
        <f>D2676</f>
        <v>2023</v>
      </c>
      <c r="E2724" s="680">
        <f>E2676</f>
        <v>2024</v>
      </c>
      <c r="F2724" s="680">
        <f>F2676</f>
        <v>2025</v>
      </c>
      <c r="G2724" s="680">
        <f>G2676</f>
        <v>2026</v>
      </c>
      <c r="H2724" s="190"/>
      <c r="I2724" s="680">
        <f>C2724</f>
        <v>2022</v>
      </c>
      <c r="J2724" s="680">
        <f>D2724</f>
        <v>2023</v>
      </c>
      <c r="K2724" s="680">
        <f>E2724</f>
        <v>2024</v>
      </c>
      <c r="L2724" s="680">
        <f>F2724</f>
        <v>2025</v>
      </c>
      <c r="M2724" s="680">
        <f>G2724</f>
        <v>2026</v>
      </c>
      <c r="N2724" s="190"/>
      <c r="O2724" s="680">
        <f>I2724</f>
        <v>2022</v>
      </c>
      <c r="P2724" s="680">
        <f>J2724</f>
        <v>2023</v>
      </c>
      <c r="Q2724" s="680">
        <f>K2724</f>
        <v>2024</v>
      </c>
      <c r="R2724" s="680">
        <f>L2724</f>
        <v>2025</v>
      </c>
      <c r="S2724" s="680">
        <f>M2724</f>
        <v>2026</v>
      </c>
    </row>
    <row r="2725" spans="2:19" ht="15.75">
      <c r="B2725" s="74" t="s">
        <v>33</v>
      </c>
      <c r="C2725" s="66"/>
      <c r="D2725" s="66"/>
      <c r="E2725" s="66"/>
      <c r="F2725" s="66"/>
      <c r="G2725" s="66"/>
      <c r="I2725" s="66"/>
      <c r="J2725" s="66"/>
      <c r="K2725" s="66"/>
      <c r="L2725" s="66"/>
      <c r="M2725" s="66"/>
      <c r="O2725" s="66"/>
      <c r="P2725" s="66"/>
      <c r="Q2725" s="66"/>
      <c r="R2725" s="66"/>
      <c r="S2725" s="66"/>
    </row>
    <row r="2726" spans="2:19" ht="15.75">
      <c r="B2726" s="183" t="s">
        <v>97</v>
      </c>
      <c r="C2726" s="184">
        <f>Master!U23</f>
        <v>20339</v>
      </c>
      <c r="D2726" s="184">
        <f>Master!V23</f>
        <v>17585.2</v>
      </c>
      <c r="E2726" s="184">
        <f>Master!W23</f>
        <v>15034.7</v>
      </c>
      <c r="F2726" s="184">
        <f>Master!X23</f>
        <v>12397</v>
      </c>
      <c r="G2726" s="184">
        <f>Master!Y23</f>
        <v>9545.69</v>
      </c>
      <c r="H2726" s="190"/>
      <c r="I2726" s="184">
        <v>21508.841286446906</v>
      </c>
      <c r="J2726" s="184">
        <v>21289.484652366478</v>
      </c>
      <c r="K2726" s="184">
        <v>20774.331297444234</v>
      </c>
      <c r="L2726" s="184">
        <v>20485.348051837296</v>
      </c>
      <c r="M2726" s="184">
        <v>20176.100448229099</v>
      </c>
      <c r="N2726" s="190"/>
      <c r="O2726" s="189">
        <f t="shared" ref="O2726:S2729" si="155">C2726/I2726-1</f>
        <v>-5.4388856696992005E-2</v>
      </c>
      <c r="P2726" s="189">
        <f t="shared" si="155"/>
        <v>-0.17399597561205971</v>
      </c>
      <c r="Q2726" s="189">
        <f t="shared" si="155"/>
        <v>-0.27628476773884669</v>
      </c>
      <c r="R2726" s="189">
        <f t="shared" si="155"/>
        <v>-0.39483576414567512</v>
      </c>
      <c r="S2726" s="189">
        <f t="shared" si="155"/>
        <v>-0.52688132057560977</v>
      </c>
    </row>
    <row r="2727" spans="2:19" ht="15.75">
      <c r="B2727" s="66" t="s">
        <v>52</v>
      </c>
      <c r="C2727" s="125">
        <f>Master!U21</f>
        <v>48411.8</v>
      </c>
      <c r="D2727" s="125">
        <f>Master!V21</f>
        <v>48802.5</v>
      </c>
      <c r="E2727" s="125">
        <f>Master!W21</f>
        <v>47393</v>
      </c>
      <c r="F2727" s="125">
        <f>Master!X21</f>
        <v>46569.1</v>
      </c>
      <c r="G2727" s="125">
        <f>Master!Y21</f>
        <v>47536.392599999992</v>
      </c>
      <c r="I2727" s="125">
        <v>50614.372203749997</v>
      </c>
      <c r="J2727" s="125">
        <v>54663.521980049998</v>
      </c>
      <c r="K2727" s="125">
        <v>57943.333298853002</v>
      </c>
      <c r="L2727" s="125">
        <v>60840.499963795657</v>
      </c>
      <c r="M2727" s="125">
        <v>63882.524961985444</v>
      </c>
      <c r="O2727" s="116">
        <f t="shared" si="155"/>
        <v>-4.3516734631883991E-2</v>
      </c>
      <c r="P2727" s="116">
        <f t="shared" si="155"/>
        <v>-0.10721998451159143</v>
      </c>
      <c r="Q2727" s="116">
        <f t="shared" si="155"/>
        <v>-0.18208019280557763</v>
      </c>
      <c r="R2727" s="116">
        <f t="shared" si="155"/>
        <v>-0.23457072134989254</v>
      </c>
      <c r="S2727" s="116">
        <f t="shared" si="155"/>
        <v>-0.25587799436093894</v>
      </c>
    </row>
    <row r="2728" spans="2:19" ht="15.75">
      <c r="B2728" s="185" t="s">
        <v>107</v>
      </c>
      <c r="C2728" s="186">
        <f>C2729-C2726-C2727</f>
        <v>6775.8000000000029</v>
      </c>
      <c r="D2728" s="186">
        <f>D2729-D2726-D2727</f>
        <v>7380.2000000000116</v>
      </c>
      <c r="E2728" s="186">
        <f>E2729-E2726-E2727</f>
        <v>-166.83599999999569</v>
      </c>
      <c r="F2728" s="186">
        <f>F2729-F2726-F2727</f>
        <v>-87.900000000001455</v>
      </c>
      <c r="G2728" s="186">
        <f>G2729-G2726-G2727</f>
        <v>0</v>
      </c>
      <c r="H2728" s="190"/>
      <c r="I2728" s="186">
        <f>I2729-I2726-I2727</f>
        <v>1979.691863134045</v>
      </c>
      <c r="J2728" s="186">
        <f>J2729-J2726-J2727</f>
        <v>1783.971046792889</v>
      </c>
      <c r="K2728" s="186">
        <f>K2729-K2726-K2727</f>
        <v>1662.7944658660708</v>
      </c>
      <c r="L2728" s="186">
        <f>L2729-L2726-L2727</f>
        <v>1553.1713077659151</v>
      </c>
      <c r="M2728" s="186">
        <f>M2729-M2726-M2727</f>
        <v>1435.6220333062665</v>
      </c>
      <c r="N2728" s="190"/>
      <c r="O2728" s="681">
        <f t="shared" si="155"/>
        <v>2.422653861532396</v>
      </c>
      <c r="P2728" s="681">
        <f t="shared" si="155"/>
        <v>3.1369505481984543</v>
      </c>
      <c r="Q2728" s="681">
        <f t="shared" si="155"/>
        <v>-1.1003347096859013</v>
      </c>
      <c r="R2728" s="681">
        <f t="shared" si="155"/>
        <v>-1.0565938860449573</v>
      </c>
      <c r="S2728" s="681">
        <f t="shared" si="155"/>
        <v>-1</v>
      </c>
    </row>
    <row r="2729" spans="2:19" ht="15.75">
      <c r="B2729" s="74" t="s">
        <v>222</v>
      </c>
      <c r="C2729" s="470">
        <f>Master!U28</f>
        <v>75526.600000000006</v>
      </c>
      <c r="D2729" s="470">
        <f>Master!V28</f>
        <v>73767.900000000009</v>
      </c>
      <c r="E2729" s="470">
        <f>Master!W28</f>
        <v>62260.864000000001</v>
      </c>
      <c r="F2729" s="470">
        <f>Master!X28</f>
        <v>58878.2</v>
      </c>
      <c r="G2729" s="470">
        <f>Master!Y28</f>
        <v>57082.082599999994</v>
      </c>
      <c r="I2729" s="470">
        <v>74102.905353330949</v>
      </c>
      <c r="J2729" s="470">
        <v>77736.977679209362</v>
      </c>
      <c r="K2729" s="470">
        <v>80380.459062163311</v>
      </c>
      <c r="L2729" s="470">
        <v>82879.019323398868</v>
      </c>
      <c r="M2729" s="470">
        <v>85494.247443520813</v>
      </c>
      <c r="O2729" s="127">
        <f t="shared" si="155"/>
        <v>1.9212399836156413E-2</v>
      </c>
      <c r="P2729" s="127">
        <f t="shared" si="155"/>
        <v>-5.1057782251172856E-2</v>
      </c>
      <c r="Q2729" s="127">
        <f t="shared" si="155"/>
        <v>-0.22542288602943006</v>
      </c>
      <c r="R2729" s="127">
        <f t="shared" si="155"/>
        <v>-0.28958860178770029</v>
      </c>
      <c r="S2729" s="127">
        <f t="shared" si="155"/>
        <v>-0.33232838106786611</v>
      </c>
    </row>
    <row r="2730" spans="2:19" ht="15.75">
      <c r="B2730" s="183"/>
      <c r="C2730" s="183"/>
      <c r="D2730" s="183"/>
      <c r="E2730" s="183"/>
      <c r="F2730" s="183"/>
      <c r="G2730" s="183"/>
      <c r="H2730" s="190"/>
      <c r="I2730" s="183"/>
      <c r="J2730" s="183"/>
      <c r="K2730" s="183"/>
      <c r="L2730" s="183"/>
      <c r="M2730" s="183"/>
      <c r="N2730" s="190"/>
      <c r="O2730" s="183"/>
      <c r="P2730" s="183"/>
      <c r="Q2730" s="183"/>
      <c r="R2730" s="183"/>
      <c r="S2730" s="183"/>
    </row>
    <row r="2731" spans="2:19" ht="15.75">
      <c r="B2731" s="74" t="s">
        <v>34</v>
      </c>
      <c r="C2731" s="66"/>
      <c r="D2731" s="66"/>
      <c r="E2731" s="66"/>
      <c r="F2731" s="66"/>
      <c r="G2731" s="66"/>
      <c r="I2731" s="66"/>
      <c r="J2731" s="66"/>
      <c r="K2731" s="66"/>
      <c r="L2731" s="66"/>
      <c r="M2731" s="66"/>
      <c r="O2731" s="66"/>
      <c r="P2731" s="66"/>
      <c r="Q2731" s="66"/>
      <c r="R2731" s="66"/>
      <c r="S2731" s="66"/>
    </row>
    <row r="2732" spans="2:19" ht="15.75">
      <c r="B2732" s="183" t="s">
        <v>97</v>
      </c>
      <c r="C2732" s="184">
        <f>Master!U55</f>
        <v>6416.33</v>
      </c>
      <c r="D2732" s="184">
        <f>Master!V55</f>
        <v>5731.4</v>
      </c>
      <c r="E2732" s="184">
        <f>Master!W55</f>
        <v>4672.3159999999998</v>
      </c>
      <c r="F2732" s="184">
        <f>Master!X55</f>
        <v>3781.085</v>
      </c>
      <c r="G2732" s="184">
        <f>Master!Y55</f>
        <v>2863.7069999999999</v>
      </c>
      <c r="H2732" s="190"/>
      <c r="I2732" s="184">
        <v>8407.6289298754655</v>
      </c>
      <c r="J2732" s="184">
        <v>8132.2190562702544</v>
      </c>
      <c r="K2732" s="184">
        <v>7870.5536381121346</v>
      </c>
      <c r="L2732" s="184">
        <v>7727.4529698746237</v>
      </c>
      <c r="M2732" s="184">
        <v>7576.7670997693967</v>
      </c>
      <c r="N2732" s="190"/>
      <c r="O2732" s="189">
        <f t="shared" ref="O2732:S2735" si="156">C2732/I2732-1</f>
        <v>-0.23684429302054855</v>
      </c>
      <c r="P2732" s="189">
        <f t="shared" si="156"/>
        <v>-0.29522311679726954</v>
      </c>
      <c r="Q2732" s="189">
        <f t="shared" si="156"/>
        <v>-0.40635484937490096</v>
      </c>
      <c r="R2732" s="189">
        <f t="shared" si="156"/>
        <v>-0.51069453094822947</v>
      </c>
      <c r="S2732" s="189">
        <f t="shared" si="156"/>
        <v>-0.62204104174098762</v>
      </c>
    </row>
    <row r="2733" spans="2:19" ht="15.75">
      <c r="B2733" s="66" t="s">
        <v>52</v>
      </c>
      <c r="C2733" s="125">
        <f>Master!U56</f>
        <v>19902.8</v>
      </c>
      <c r="D2733" s="125">
        <f>Master!V56</f>
        <v>18727.5</v>
      </c>
      <c r="E2733" s="125">
        <f>Master!W56</f>
        <v>18485.599999999999</v>
      </c>
      <c r="F2733" s="125">
        <f>Master!X56</f>
        <v>19240.815000000002</v>
      </c>
      <c r="G2733" s="125">
        <f>Master!Y56</f>
        <v>20254.536453000001</v>
      </c>
      <c r="I2733" s="125">
        <v>21004.964464556248</v>
      </c>
      <c r="J2733" s="125">
        <v>22412.044011820497</v>
      </c>
      <c r="K2733" s="125">
        <v>23756.766652529728</v>
      </c>
      <c r="L2733" s="125">
        <v>24944.604985156217</v>
      </c>
      <c r="M2733" s="125">
        <v>26191.835234414029</v>
      </c>
      <c r="O2733" s="116">
        <f t="shared" si="156"/>
        <v>-5.2471617670005521E-2</v>
      </c>
      <c r="P2733" s="116">
        <f t="shared" si="156"/>
        <v>-0.16440017741698187</v>
      </c>
      <c r="Q2733" s="116">
        <f t="shared" si="156"/>
        <v>-0.22188064266600993</v>
      </c>
      <c r="R2733" s="116">
        <f t="shared" si="156"/>
        <v>-0.22865826051566529</v>
      </c>
      <c r="S2733" s="116">
        <f t="shared" si="156"/>
        <v>-0.22668509969904216</v>
      </c>
    </row>
    <row r="2734" spans="2:19" ht="15.75">
      <c r="B2734" s="185" t="s">
        <v>107</v>
      </c>
      <c r="C2734" s="186">
        <f>C2735-C2732-C2733</f>
        <v>-783.10000000000218</v>
      </c>
      <c r="D2734" s="186">
        <f>D2735-D2732-D2733</f>
        <v>-334.29999999999563</v>
      </c>
      <c r="E2734" s="186">
        <f>E2735-E2732-E2733</f>
        <v>-5465.9000000000015</v>
      </c>
      <c r="F2734" s="186">
        <f>F2735-F2732-F2733</f>
        <v>-1636.5</v>
      </c>
      <c r="G2734" s="186">
        <f>G2735-G2732-G2733</f>
        <v>-1435.2060164736686</v>
      </c>
      <c r="H2734" s="190"/>
      <c r="I2734" s="186">
        <f>I2735-I2732-I2733</f>
        <v>-2431.4999999999964</v>
      </c>
      <c r="J2734" s="186">
        <f>J2735-J2732-J2733</f>
        <v>-2171.4724999999999</v>
      </c>
      <c r="K2734" s="186">
        <f>K2735-K2732-K2733</f>
        <v>-2011.8445874999998</v>
      </c>
      <c r="L2734" s="186">
        <f>L2735-L2732-L2733</f>
        <v>-2052.6242563124979</v>
      </c>
      <c r="M2734" s="186">
        <f>M2735-M2732-M2733</f>
        <v>-2093.8196001571923</v>
      </c>
      <c r="N2734" s="190"/>
      <c r="O2734" s="681">
        <f t="shared" si="156"/>
        <v>-0.67793543080402907</v>
      </c>
      <c r="P2734" s="681">
        <f t="shared" si="156"/>
        <v>-0.84604916709744393</v>
      </c>
      <c r="Q2734" s="681">
        <f t="shared" si="156"/>
        <v>1.7168599572555214</v>
      </c>
      <c r="R2734" s="681">
        <f t="shared" si="156"/>
        <v>-0.20272792501247039</v>
      </c>
      <c r="S2734" s="681">
        <f t="shared" si="156"/>
        <v>-0.31455125533932282</v>
      </c>
    </row>
    <row r="2735" spans="2:19" ht="15.75">
      <c r="B2735" s="74" t="s">
        <v>222</v>
      </c>
      <c r="C2735" s="470">
        <f>Master!U63</f>
        <v>25536.03</v>
      </c>
      <c r="D2735" s="470">
        <f>Master!V63</f>
        <v>24124.600000000002</v>
      </c>
      <c r="E2735" s="470">
        <f>Master!W63</f>
        <v>17692.015999999996</v>
      </c>
      <c r="F2735" s="470">
        <f>Master!X63</f>
        <v>21385.4</v>
      </c>
      <c r="G2735" s="470">
        <f>Master!Y63</f>
        <v>21683.037436526331</v>
      </c>
      <c r="I2735" s="470">
        <v>26981.093394431715</v>
      </c>
      <c r="J2735" s="470">
        <v>28372.790568090753</v>
      </c>
      <c r="K2735" s="470">
        <v>29615.475703141863</v>
      </c>
      <c r="L2735" s="470">
        <v>30619.433698718341</v>
      </c>
      <c r="M2735" s="470">
        <v>31674.782734026234</v>
      </c>
      <c r="O2735" s="127">
        <f t="shared" si="156"/>
        <v>-5.3558370422821522E-2</v>
      </c>
      <c r="P2735" s="127">
        <f t="shared" si="156"/>
        <v>-0.14972762576510357</v>
      </c>
      <c r="Q2735" s="127">
        <f t="shared" si="156"/>
        <v>-0.40260908933760342</v>
      </c>
      <c r="R2735" s="127">
        <f t="shared" si="156"/>
        <v>-0.30157428088243365</v>
      </c>
      <c r="S2735" s="127">
        <f t="shared" si="156"/>
        <v>-0.31544795054794161</v>
      </c>
    </row>
    <row r="2736" spans="2:19" ht="15.75">
      <c r="B2736" s="183"/>
      <c r="C2736" s="183"/>
      <c r="D2736" s="183"/>
      <c r="E2736" s="183"/>
      <c r="F2736" s="183"/>
      <c r="G2736" s="183"/>
      <c r="H2736" s="190"/>
      <c r="I2736" s="183"/>
      <c r="J2736" s="183"/>
      <c r="K2736" s="183"/>
      <c r="L2736" s="183"/>
      <c r="M2736" s="183"/>
      <c r="N2736" s="190"/>
      <c r="O2736" s="183"/>
      <c r="P2736" s="183"/>
      <c r="Q2736" s="183"/>
      <c r="R2736" s="183"/>
      <c r="S2736" s="183"/>
    </row>
    <row r="2737" spans="2:19" ht="15.75">
      <c r="B2737" s="74" t="s">
        <v>35</v>
      </c>
      <c r="C2737" s="66"/>
      <c r="D2737" s="66"/>
      <c r="E2737" s="66"/>
      <c r="F2737" s="66"/>
      <c r="G2737" s="66"/>
      <c r="I2737" s="66"/>
      <c r="J2737" s="66"/>
      <c r="K2737" s="66"/>
      <c r="L2737" s="66"/>
      <c r="M2737" s="66"/>
      <c r="O2737" s="66"/>
      <c r="P2737" s="66"/>
      <c r="Q2737" s="66"/>
      <c r="R2737" s="66"/>
      <c r="S2737" s="66"/>
    </row>
    <row r="2738" spans="2:19" ht="15.75">
      <c r="B2738" s="183" t="s">
        <v>97</v>
      </c>
      <c r="C2738" s="184">
        <f>Master!U83</f>
        <v>3883.241</v>
      </c>
      <c r="D2738" s="184">
        <f>Master!V83</f>
        <v>2640.8399999999997</v>
      </c>
      <c r="E2738" s="184">
        <f>Master!W83</f>
        <v>1524.39</v>
      </c>
      <c r="F2738" s="184">
        <f>Master!X83</f>
        <v>1638.4872989824</v>
      </c>
      <c r="G2738" s="184">
        <f>Master!Y83</f>
        <v>1240.9397000000001</v>
      </c>
      <c r="H2738" s="190"/>
      <c r="I2738" s="184">
        <v>4641.1220430183184</v>
      </c>
      <c r="J2738" s="184">
        <v>3449.7583109023012</v>
      </c>
      <c r="K2738" s="184">
        <v>2731.1768946166349</v>
      </c>
      <c r="L2738" s="184">
        <v>2481.4821672572216</v>
      </c>
      <c r="M2738" s="184">
        <v>2396.3622227520741</v>
      </c>
      <c r="N2738" s="190"/>
      <c r="O2738" s="189">
        <f t="shared" ref="O2738:S2739" si="157">C2738/I2738-1</f>
        <v>-0.16329694328086153</v>
      </c>
      <c r="P2738" s="189">
        <f t="shared" si="157"/>
        <v>-0.23448550246139566</v>
      </c>
      <c r="Q2738" s="189">
        <f t="shared" si="157"/>
        <v>-0.4418559987803452</v>
      </c>
      <c r="R2738" s="189">
        <f t="shared" si="157"/>
        <v>-0.33971425601924932</v>
      </c>
      <c r="S2738" s="189">
        <f t="shared" si="157"/>
        <v>-0.48215687586042089</v>
      </c>
    </row>
    <row r="2739" spans="2:19" ht="15.75">
      <c r="B2739" s="66" t="s">
        <v>52</v>
      </c>
      <c r="C2739" s="125">
        <f>Master!U84</f>
        <v>12989.048999999999</v>
      </c>
      <c r="D2739" s="125">
        <f>Master!V84</f>
        <v>11204.1</v>
      </c>
      <c r="E2739" s="125">
        <f>Master!W84</f>
        <v>7305.36</v>
      </c>
      <c r="F2739" s="125">
        <f>Master!X84</f>
        <v>10355.962701017601</v>
      </c>
      <c r="G2739" s="125">
        <f>Master!Y84</f>
        <v>12845.11698726951</v>
      </c>
      <c r="I2739" s="125">
        <v>13665.8804950125</v>
      </c>
      <c r="J2739" s="125">
        <v>13119.245275211999</v>
      </c>
      <c r="K2739" s="125">
        <v>12747.533325747661</v>
      </c>
      <c r="L2739" s="125">
        <v>13384.909992035045</v>
      </c>
      <c r="M2739" s="125">
        <v>14054.155491636799</v>
      </c>
      <c r="O2739" s="116">
        <f t="shared" si="157"/>
        <v>-4.9527104767198682E-2</v>
      </c>
      <c r="P2739" s="116">
        <f t="shared" si="157"/>
        <v>-0.14597983611378518</v>
      </c>
      <c r="Q2739" s="116">
        <f t="shared" si="157"/>
        <v>-0.42691971746059121</v>
      </c>
      <c r="R2739" s="116">
        <f t="shared" si="157"/>
        <v>-0.22629567870235057</v>
      </c>
      <c r="S2739" s="116">
        <f t="shared" si="157"/>
        <v>-8.6027118818113979E-2</v>
      </c>
    </row>
    <row r="2740" spans="2:19" ht="15.75">
      <c r="B2740" s="185" t="s">
        <v>107</v>
      </c>
      <c r="C2740" s="186"/>
      <c r="D2740" s="186"/>
      <c r="E2740" s="186"/>
      <c r="F2740" s="186"/>
      <c r="G2740" s="186"/>
      <c r="H2740" s="190"/>
      <c r="I2740" s="186"/>
      <c r="J2740" s="186"/>
      <c r="K2740" s="186"/>
      <c r="L2740" s="186"/>
      <c r="M2740" s="186"/>
      <c r="N2740" s="190"/>
      <c r="O2740" s="681"/>
      <c r="P2740" s="681"/>
      <c r="Q2740" s="681"/>
      <c r="R2740" s="681"/>
      <c r="S2740" s="681"/>
    </row>
    <row r="2741" spans="2:19" ht="15.75">
      <c r="B2741" s="74" t="s">
        <v>222</v>
      </c>
      <c r="C2741" s="470">
        <f>Master!U87</f>
        <v>17214.16</v>
      </c>
      <c r="D2741" s="470">
        <f>Master!V87</f>
        <v>14503.380000000001</v>
      </c>
      <c r="E2741" s="470">
        <f>Master!W87</f>
        <v>9097.5</v>
      </c>
      <c r="F2741" s="470">
        <f>Master!X87</f>
        <v>12186.6</v>
      </c>
      <c r="G2741" s="470">
        <f>Master!Y87</f>
        <v>14278.20668726951</v>
      </c>
      <c r="I2741" s="470">
        <f>SUM(I2738:I2740)</f>
        <v>18307.002538030818</v>
      </c>
      <c r="J2741" s="470">
        <f>SUM(J2738:J2740)</f>
        <v>16569.003586114301</v>
      </c>
      <c r="K2741" s="470">
        <f>SUM(K2738:K2740)</f>
        <v>15478.710220364297</v>
      </c>
      <c r="L2741" s="470">
        <f>SUM(L2738:L2740)</f>
        <v>15866.392159292267</v>
      </c>
      <c r="M2741" s="470">
        <f>SUM(M2738:M2740)</f>
        <v>16450.517714388872</v>
      </c>
      <c r="O2741" s="127">
        <f>C2741/I2741-1</f>
        <v>-5.9695328919114776E-2</v>
      </c>
      <c r="P2741" s="127">
        <f>D2741/J2741-1</f>
        <v>-0.12466794248541302</v>
      </c>
      <c r="Q2741" s="127">
        <f>E2741/K2741-1</f>
        <v>-0.41225723135309866</v>
      </c>
      <c r="R2741" s="127">
        <f>F2741/L2741-1</f>
        <v>-0.23192368638998817</v>
      </c>
      <c r="S2741" s="127">
        <f>G2741/M2741-1</f>
        <v>-0.13205122567171812</v>
      </c>
    </row>
    <row r="2742" spans="2:19" ht="15.75">
      <c r="B2742" s="183"/>
      <c r="C2742" s="183"/>
      <c r="D2742" s="183"/>
      <c r="E2742" s="183"/>
      <c r="F2742" s="183"/>
      <c r="G2742" s="183"/>
      <c r="H2742" s="190"/>
      <c r="I2742" s="183"/>
      <c r="J2742" s="183"/>
      <c r="K2742" s="183"/>
      <c r="L2742" s="183"/>
      <c r="M2742" s="183"/>
      <c r="N2742" s="190"/>
      <c r="O2742" s="183"/>
      <c r="P2742" s="183"/>
      <c r="Q2742" s="183"/>
      <c r="R2742" s="183"/>
      <c r="S2742" s="183"/>
    </row>
    <row r="2743" spans="2:19" ht="15.75">
      <c r="B2743" s="74" t="s">
        <v>36</v>
      </c>
      <c r="C2743" s="66"/>
      <c r="D2743" s="66"/>
      <c r="E2743" s="66"/>
      <c r="F2743" s="66"/>
      <c r="G2743" s="66"/>
      <c r="I2743" s="66"/>
      <c r="J2743" s="66"/>
      <c r="K2743" s="66"/>
      <c r="L2743" s="66"/>
      <c r="M2743" s="66"/>
      <c r="O2743" s="66"/>
      <c r="P2743" s="66"/>
      <c r="Q2743" s="66"/>
      <c r="R2743" s="66"/>
      <c r="S2743" s="66"/>
    </row>
    <row r="2744" spans="2:19" ht="15.75">
      <c r="B2744" s="183" t="s">
        <v>97</v>
      </c>
      <c r="C2744" s="184">
        <f t="shared" ref="C2744:G2747" si="158">C2732-C2738</f>
        <v>2533.0889999999999</v>
      </c>
      <c r="D2744" s="184">
        <f t="shared" si="158"/>
        <v>3090.56</v>
      </c>
      <c r="E2744" s="184">
        <f t="shared" si="158"/>
        <v>3147.9259999999995</v>
      </c>
      <c r="F2744" s="184">
        <f t="shared" si="158"/>
        <v>2142.5977010176002</v>
      </c>
      <c r="G2744" s="184">
        <f t="shared" si="158"/>
        <v>1622.7672999999998</v>
      </c>
      <c r="H2744" s="190"/>
      <c r="I2744" s="184">
        <f t="shared" ref="I2744:M2747" si="159">I2732-I2738</f>
        <v>3766.506886857147</v>
      </c>
      <c r="J2744" s="184">
        <f t="shared" si="159"/>
        <v>4682.4607453679528</v>
      </c>
      <c r="K2744" s="184">
        <f t="shared" si="159"/>
        <v>5139.3767434954998</v>
      </c>
      <c r="L2744" s="184">
        <f t="shared" si="159"/>
        <v>5245.9708026174021</v>
      </c>
      <c r="M2744" s="184">
        <f t="shared" si="159"/>
        <v>5180.4048770173231</v>
      </c>
      <c r="N2744" s="190"/>
      <c r="O2744" s="189">
        <f t="shared" ref="O2744:S2747" si="160">C2744/I2744-1</f>
        <v>-0.32746996724233712</v>
      </c>
      <c r="P2744" s="189">
        <f t="shared" si="160"/>
        <v>-0.33997097507816043</v>
      </c>
      <c r="Q2744" s="189">
        <f t="shared" si="160"/>
        <v>-0.38748876427787105</v>
      </c>
      <c r="R2744" s="189">
        <f t="shared" si="160"/>
        <v>-0.59157269805074364</v>
      </c>
      <c r="S2744" s="189">
        <f t="shared" si="160"/>
        <v>-0.68674894365895078</v>
      </c>
    </row>
    <row r="2745" spans="2:19" ht="15.75">
      <c r="B2745" s="66" t="s">
        <v>52</v>
      </c>
      <c r="C2745" s="125">
        <f t="shared" si="158"/>
        <v>6913.7510000000002</v>
      </c>
      <c r="D2745" s="125">
        <f t="shared" si="158"/>
        <v>7523.4</v>
      </c>
      <c r="E2745" s="125">
        <f t="shared" si="158"/>
        <v>11180.239999999998</v>
      </c>
      <c r="F2745" s="125">
        <f t="shared" si="158"/>
        <v>8884.8522989824014</v>
      </c>
      <c r="G2745" s="125">
        <f t="shared" si="158"/>
        <v>7409.4194657304906</v>
      </c>
      <c r="I2745" s="125">
        <f t="shared" si="159"/>
        <v>7339.083969543748</v>
      </c>
      <c r="J2745" s="125">
        <f t="shared" si="159"/>
        <v>9292.7987366084981</v>
      </c>
      <c r="K2745" s="125">
        <f t="shared" si="159"/>
        <v>11009.233326782067</v>
      </c>
      <c r="L2745" s="125">
        <f t="shared" si="159"/>
        <v>11559.694993121171</v>
      </c>
      <c r="M2745" s="125">
        <f t="shared" si="159"/>
        <v>12137.679742777231</v>
      </c>
      <c r="O2745" s="116">
        <f t="shared" si="160"/>
        <v>-5.7954503764887422E-2</v>
      </c>
      <c r="P2745" s="116">
        <f t="shared" si="160"/>
        <v>-0.19040536513914197</v>
      </c>
      <c r="Q2745" s="116">
        <f t="shared" si="160"/>
        <v>1.5533022885610537E-2</v>
      </c>
      <c r="R2745" s="116">
        <f t="shared" si="160"/>
        <v>-0.23139388156266139</v>
      </c>
      <c r="S2745" s="116">
        <f t="shared" si="160"/>
        <v>-0.38955223545590634</v>
      </c>
    </row>
    <row r="2746" spans="2:19" ht="15.75">
      <c r="B2746" s="185" t="s">
        <v>107</v>
      </c>
      <c r="C2746" s="186">
        <f t="shared" si="158"/>
        <v>-783.10000000000218</v>
      </c>
      <c r="D2746" s="186">
        <f t="shared" si="158"/>
        <v>-334.29999999999563</v>
      </c>
      <c r="E2746" s="186">
        <f t="shared" si="158"/>
        <v>-5465.9000000000015</v>
      </c>
      <c r="F2746" s="186">
        <f t="shared" si="158"/>
        <v>-1636.5</v>
      </c>
      <c r="G2746" s="186">
        <f t="shared" si="158"/>
        <v>-1435.2060164736686</v>
      </c>
      <c r="H2746" s="190"/>
      <c r="I2746" s="186">
        <f t="shared" si="159"/>
        <v>-2431.4999999999964</v>
      </c>
      <c r="J2746" s="186">
        <f t="shared" si="159"/>
        <v>-2171.4724999999999</v>
      </c>
      <c r="K2746" s="186">
        <f t="shared" si="159"/>
        <v>-2011.8445874999998</v>
      </c>
      <c r="L2746" s="186">
        <f t="shared" si="159"/>
        <v>-2052.6242563124979</v>
      </c>
      <c r="M2746" s="186">
        <f t="shared" si="159"/>
        <v>-2093.8196001571923</v>
      </c>
      <c r="N2746" s="190"/>
      <c r="O2746" s="681">
        <f t="shared" si="160"/>
        <v>-0.67793543080402907</v>
      </c>
      <c r="P2746" s="681">
        <f t="shared" si="160"/>
        <v>-0.84604916709744393</v>
      </c>
      <c r="Q2746" s="681">
        <f t="shared" si="160"/>
        <v>1.7168599572555214</v>
      </c>
      <c r="R2746" s="681">
        <f t="shared" si="160"/>
        <v>-0.20272792501247039</v>
      </c>
      <c r="S2746" s="681">
        <f t="shared" si="160"/>
        <v>-0.31455125533932282</v>
      </c>
    </row>
    <row r="2747" spans="2:19" ht="15.75">
      <c r="B2747" s="74" t="s">
        <v>222</v>
      </c>
      <c r="C2747" s="470">
        <f t="shared" si="158"/>
        <v>8321.869999999999</v>
      </c>
      <c r="D2747" s="470">
        <f t="shared" si="158"/>
        <v>9621.2200000000012</v>
      </c>
      <c r="E2747" s="470">
        <f t="shared" si="158"/>
        <v>8594.515999999996</v>
      </c>
      <c r="F2747" s="470">
        <f t="shared" si="158"/>
        <v>9198.8000000000011</v>
      </c>
      <c r="G2747" s="470">
        <f t="shared" si="158"/>
        <v>7404.8307492568201</v>
      </c>
      <c r="I2747" s="470">
        <f t="shared" si="159"/>
        <v>8674.0908564008969</v>
      </c>
      <c r="J2747" s="470">
        <f t="shared" si="159"/>
        <v>11803.786981976453</v>
      </c>
      <c r="K2747" s="470">
        <f t="shared" si="159"/>
        <v>14136.765482777566</v>
      </c>
      <c r="L2747" s="470">
        <f t="shared" si="159"/>
        <v>14753.041539426074</v>
      </c>
      <c r="M2747" s="470">
        <f t="shared" si="159"/>
        <v>15224.265019637362</v>
      </c>
      <c r="O2747" s="127">
        <f t="shared" si="160"/>
        <v>-4.0606083361575895E-2</v>
      </c>
      <c r="P2747" s="127">
        <f t="shared" si="160"/>
        <v>-0.18490396220374672</v>
      </c>
      <c r="Q2747" s="127">
        <f t="shared" si="160"/>
        <v>-0.39204508906436486</v>
      </c>
      <c r="R2747" s="127">
        <f t="shared" si="160"/>
        <v>-0.37648111574707499</v>
      </c>
      <c r="S2747" s="127">
        <f t="shared" si="160"/>
        <v>-0.51361653651552097</v>
      </c>
    </row>
    <row r="2748" spans="2:19" ht="15.75">
      <c r="B2748" s="183"/>
      <c r="C2748" s="183"/>
      <c r="D2748" s="183"/>
      <c r="E2748" s="183"/>
      <c r="F2748" s="183"/>
      <c r="G2748" s="183"/>
      <c r="H2748" s="190"/>
      <c r="I2748" s="183"/>
      <c r="J2748" s="183"/>
      <c r="K2748" s="183"/>
      <c r="L2748" s="183"/>
      <c r="M2748" s="183"/>
      <c r="N2748" s="190"/>
      <c r="O2748" s="183"/>
      <c r="P2748" s="183"/>
      <c r="Q2748" s="183"/>
      <c r="R2748" s="183"/>
      <c r="S2748" s="183"/>
    </row>
    <row r="2749" spans="2:19" ht="15.75">
      <c r="B2749" s="217" t="s">
        <v>2084</v>
      </c>
      <c r="C2749" s="682">
        <f>Valuation!R33</f>
        <v>-693.02896568871233</v>
      </c>
      <c r="D2749" s="682">
        <f>Valuation!S33</f>
        <v>-242.45564971751406</v>
      </c>
      <c r="E2749" s="682">
        <f>Valuation!T33</f>
        <v>83.947568306010737</v>
      </c>
      <c r="F2749" s="682">
        <f>Valuation!U33</f>
        <v>194.44774101094319</v>
      </c>
      <c r="G2749" s="682">
        <f ca="1">Valuation!V33</f>
        <v>-4.4238166140593478</v>
      </c>
      <c r="H2749" s="61"/>
      <c r="I2749" s="682">
        <v>189.69210276000837</v>
      </c>
      <c r="J2749" s="682">
        <v>391.04323375710391</v>
      </c>
      <c r="K2749" s="682">
        <v>578.16996221669547</v>
      </c>
      <c r="L2749" s="682">
        <v>662.24886744273567</v>
      </c>
      <c r="M2749" s="682">
        <v>639.46606680007812</v>
      </c>
      <c r="N2749" s="61"/>
      <c r="O2749" s="123">
        <f>C2749/I2749-1</f>
        <v>-4.6534413167716728</v>
      </c>
      <c r="P2749" s="123">
        <f>D2749/J2749-1</f>
        <v>-1.6200226184404847</v>
      </c>
      <c r="Q2749" s="123">
        <f>E2749/K2749-1</f>
        <v>-0.85480468756253447</v>
      </c>
      <c r="R2749" s="123">
        <f>F2749/L2749-1</f>
        <v>-0.70638267489712692</v>
      </c>
      <c r="S2749" s="123">
        <f ca="1">G2749/M2749-1</f>
        <v>-1.006917984931079</v>
      </c>
    </row>
    <row r="2750" spans="2:19" ht="15.75">
      <c r="B2750" s="66"/>
      <c r="C2750" s="66"/>
      <c r="D2750" s="66"/>
      <c r="E2750" s="66"/>
      <c r="F2750" s="66"/>
      <c r="G2750" s="66"/>
    </row>
    <row r="2751" spans="2:19">
      <c r="B2751" s="564">
        <v>44652</v>
      </c>
    </row>
    <row r="2753" spans="2:19" ht="15.75">
      <c r="C2753" s="391" t="s">
        <v>1197</v>
      </c>
      <c r="D2753" s="391" t="s">
        <v>1197</v>
      </c>
      <c r="E2753" s="391" t="s">
        <v>1197</v>
      </c>
      <c r="F2753" s="391" t="s">
        <v>1197</v>
      </c>
      <c r="G2753" s="391" t="s">
        <v>1197</v>
      </c>
      <c r="I2753" s="391" t="s">
        <v>1199</v>
      </c>
      <c r="J2753" s="391" t="s">
        <v>1199</v>
      </c>
      <c r="K2753" s="391" t="s">
        <v>1199</v>
      </c>
      <c r="L2753" s="391" t="s">
        <v>1199</v>
      </c>
      <c r="M2753" s="391" t="s">
        <v>1199</v>
      </c>
      <c r="O2753" s="391" t="s">
        <v>2083</v>
      </c>
      <c r="P2753" s="391" t="s">
        <v>2083</v>
      </c>
      <c r="Q2753" s="391" t="s">
        <v>2083</v>
      </c>
      <c r="R2753" s="391" t="s">
        <v>2083</v>
      </c>
      <c r="S2753" s="391" t="s">
        <v>2083</v>
      </c>
    </row>
    <row r="2754" spans="2:19" ht="15.75">
      <c r="B2754" s="680" t="s">
        <v>2069</v>
      </c>
      <c r="C2754" s="680">
        <f>C2724</f>
        <v>2022</v>
      </c>
      <c r="D2754" s="680">
        <f>D2724</f>
        <v>2023</v>
      </c>
      <c r="E2754" s="680">
        <f>E2724</f>
        <v>2024</v>
      </c>
      <c r="F2754" s="680">
        <f>F2724</f>
        <v>2025</v>
      </c>
      <c r="G2754" s="680">
        <f>G2724</f>
        <v>2026</v>
      </c>
      <c r="H2754" s="190"/>
      <c r="I2754" s="680">
        <f>I2724</f>
        <v>2022</v>
      </c>
      <c r="J2754" s="680">
        <f>J2724</f>
        <v>2023</v>
      </c>
      <c r="K2754" s="680">
        <f>K2724</f>
        <v>2024</v>
      </c>
      <c r="L2754" s="680">
        <f>L2724</f>
        <v>2025</v>
      </c>
      <c r="M2754" s="680">
        <f>M2724</f>
        <v>2026</v>
      </c>
      <c r="N2754" s="190"/>
      <c r="O2754" s="680">
        <f>O2724</f>
        <v>2022</v>
      </c>
      <c r="P2754" s="680">
        <f>P2724</f>
        <v>2023</v>
      </c>
      <c r="Q2754" s="680">
        <f>Q2724</f>
        <v>2024</v>
      </c>
      <c r="R2754" s="680">
        <f>R2724</f>
        <v>2025</v>
      </c>
      <c r="S2754" s="680">
        <f>S2724</f>
        <v>2026</v>
      </c>
    </row>
    <row r="2755" spans="2:19" ht="15.75">
      <c r="B2755" s="74" t="s">
        <v>33</v>
      </c>
      <c r="C2755" s="66"/>
      <c r="D2755" s="66"/>
      <c r="E2755" s="66"/>
      <c r="F2755" s="66"/>
      <c r="G2755" s="66"/>
      <c r="I2755" s="66"/>
      <c r="J2755" s="66"/>
      <c r="K2755" s="66"/>
      <c r="L2755" s="66"/>
      <c r="M2755" s="66"/>
      <c r="O2755" s="66"/>
      <c r="P2755" s="66"/>
      <c r="Q2755" s="66"/>
      <c r="R2755" s="66"/>
      <c r="S2755" s="66"/>
    </row>
    <row r="2756" spans="2:19" ht="15.75">
      <c r="B2756" s="183" t="s">
        <v>97</v>
      </c>
      <c r="C2756" s="184">
        <f>Master!U$23</f>
        <v>20339</v>
      </c>
      <c r="D2756" s="184">
        <f>Master!V$23</f>
        <v>17585.2</v>
      </c>
      <c r="E2756" s="184">
        <f>Master!W$23</f>
        <v>15034.7</v>
      </c>
      <c r="F2756" s="184">
        <f>Master!X23</f>
        <v>12397</v>
      </c>
      <c r="G2756" s="184">
        <f>Master!Y23</f>
        <v>9545.69</v>
      </c>
      <c r="H2756" s="190"/>
      <c r="I2756" s="184">
        <v>21272.640122267498</v>
      </c>
      <c r="J2756" s="184">
        <v>21146.17168611124</v>
      </c>
      <c r="K2756" s="184">
        <v>20638.815841151201</v>
      </c>
      <c r="L2756" s="184">
        <v>20354.590158232815</v>
      </c>
      <c r="M2756" s="184">
        <v>20050.264151977171</v>
      </c>
      <c r="N2756" s="190"/>
      <c r="O2756" s="189">
        <f t="shared" ref="O2756:S2759" si="161">C2756/I2756-1</f>
        <v>-4.3889245382861208E-2</v>
      </c>
      <c r="P2756" s="189">
        <f t="shared" si="161"/>
        <v>-0.1683979369395775</v>
      </c>
      <c r="Q2756" s="189">
        <f t="shared" si="161"/>
        <v>-0.27153281875684454</v>
      </c>
      <c r="R2756" s="189">
        <f t="shared" si="161"/>
        <v>-0.39094818890343563</v>
      </c>
      <c r="S2756" s="189">
        <f t="shared" si="161"/>
        <v>-0.52391200795932191</v>
      </c>
    </row>
    <row r="2757" spans="2:19" ht="15.75">
      <c r="B2757" s="66" t="s">
        <v>52</v>
      </c>
      <c r="C2757" s="125">
        <f>Master!U$21</f>
        <v>48411.8</v>
      </c>
      <c r="D2757" s="125">
        <f>Master!V$21</f>
        <v>48802.5</v>
      </c>
      <c r="E2757" s="125">
        <f>Master!W$21</f>
        <v>47393</v>
      </c>
      <c r="F2757" s="125">
        <f>Master!X21</f>
        <v>46569.1</v>
      </c>
      <c r="G2757" s="125">
        <f>Master!Y21</f>
        <v>47536.392599999992</v>
      </c>
      <c r="I2757" s="125">
        <v>50662.049500000001</v>
      </c>
      <c r="J2757" s="125">
        <v>54715.013460000002</v>
      </c>
      <c r="K2757" s="125">
        <v>57997.914267600005</v>
      </c>
      <c r="L2757" s="125">
        <v>60897.809980980004</v>
      </c>
      <c r="M2757" s="125">
        <v>63942.700480029009</v>
      </c>
      <c r="O2757" s="116">
        <f t="shared" si="161"/>
        <v>-4.4416866712034597E-2</v>
      </c>
      <c r="P2757" s="116">
        <f t="shared" si="161"/>
        <v>-0.10806016641707328</v>
      </c>
      <c r="Q2757" s="116">
        <f t="shared" si="161"/>
        <v>-0.18284992488987384</v>
      </c>
      <c r="R2757" s="116">
        <f t="shared" si="161"/>
        <v>-0.23529105538368689</v>
      </c>
      <c r="S2757" s="116">
        <f t="shared" si="161"/>
        <v>-0.25657827643912445</v>
      </c>
    </row>
    <row r="2758" spans="2:19" ht="15.75">
      <c r="B2758" s="185" t="s">
        <v>107</v>
      </c>
      <c r="C2758" s="186">
        <f>C2759-C2756-C2757</f>
        <v>6775.8000000000029</v>
      </c>
      <c r="D2758" s="186">
        <f>D2759-D2756-D2757</f>
        <v>7380.2000000000116</v>
      </c>
      <c r="E2758" s="186">
        <f>E2759-E2756-E2757</f>
        <v>-166.83599999999569</v>
      </c>
      <c r="F2758" s="186">
        <f>F2759-F2756-F2757</f>
        <v>-87.900000000001455</v>
      </c>
      <c r="G2758" s="186">
        <f>G2759-G2756-G2757</f>
        <v>0</v>
      </c>
      <c r="H2758" s="190"/>
      <c r="I2758" s="186">
        <v>1203.5733891986165</v>
      </c>
      <c r="J2758" s="186">
        <v>1218.1725866873312</v>
      </c>
      <c r="K2758" s="186">
        <v>1094.1577105953038</v>
      </c>
      <c r="L2758" s="186">
        <v>981.57272436901258</v>
      </c>
      <c r="M2758" s="186">
        <v>861.1944645575204</v>
      </c>
      <c r="N2758" s="190"/>
      <c r="O2758" s="681">
        <f t="shared" si="161"/>
        <v>4.6297356362386681</v>
      </c>
      <c r="P2758" s="681">
        <f t="shared" si="161"/>
        <v>5.0584190455882343</v>
      </c>
      <c r="Q2758" s="681">
        <f t="shared" si="161"/>
        <v>-1.1524789327758103</v>
      </c>
      <c r="R2758" s="681">
        <f t="shared" si="161"/>
        <v>-1.0895501655840187</v>
      </c>
      <c r="S2758" s="681">
        <f t="shared" si="161"/>
        <v>-1</v>
      </c>
    </row>
    <row r="2759" spans="2:19" ht="15.75">
      <c r="B2759" s="74" t="s">
        <v>222</v>
      </c>
      <c r="C2759" s="470">
        <f>Master!U$28</f>
        <v>75526.600000000006</v>
      </c>
      <c r="D2759" s="470">
        <f>Master!V$28</f>
        <v>73767.900000000009</v>
      </c>
      <c r="E2759" s="470">
        <f>Master!W$28</f>
        <v>62260.864000000001</v>
      </c>
      <c r="F2759" s="470">
        <f>Master!X28</f>
        <v>58878.2</v>
      </c>
      <c r="G2759" s="470">
        <f>Master!Y28</f>
        <v>57082.082599999994</v>
      </c>
      <c r="I2759" s="470">
        <v>73138.263011466115</v>
      </c>
      <c r="J2759" s="470">
        <v>77079.357732798569</v>
      </c>
      <c r="K2759" s="470">
        <v>79730.887819346506</v>
      </c>
      <c r="L2759" s="470">
        <v>82233.972863581832</v>
      </c>
      <c r="M2759" s="470">
        <v>84854.159096563701</v>
      </c>
      <c r="O2759" s="127">
        <f t="shared" si="161"/>
        <v>3.2655095844420945E-2</v>
      </c>
      <c r="P2759" s="127">
        <f t="shared" si="161"/>
        <v>-4.2961667432128592E-2</v>
      </c>
      <c r="Q2759" s="127">
        <f t="shared" si="161"/>
        <v>-0.21911237033920805</v>
      </c>
      <c r="R2759" s="127">
        <f t="shared" si="161"/>
        <v>-0.28401610733713167</v>
      </c>
      <c r="S2759" s="127">
        <f t="shared" si="161"/>
        <v>-0.32729187104381285</v>
      </c>
    </row>
    <row r="2760" spans="2:19" ht="15.75">
      <c r="B2760" s="183"/>
      <c r="C2760" s="183"/>
      <c r="D2760" s="183"/>
      <c r="E2760" s="183"/>
      <c r="F2760" s="183"/>
      <c r="G2760" s="183"/>
      <c r="H2760" s="190"/>
      <c r="I2760" s="183"/>
      <c r="J2760" s="183"/>
      <c r="K2760" s="183"/>
      <c r="L2760" s="183"/>
      <c r="M2760" s="183"/>
      <c r="N2760" s="190"/>
      <c r="O2760" s="183"/>
      <c r="P2760" s="183"/>
      <c r="Q2760" s="183"/>
      <c r="R2760" s="183"/>
      <c r="S2760" s="183"/>
    </row>
    <row r="2761" spans="2:19" ht="15.75">
      <c r="B2761" s="74" t="s">
        <v>34</v>
      </c>
      <c r="C2761" s="66"/>
      <c r="D2761" s="66"/>
      <c r="E2761" s="66"/>
      <c r="F2761" s="66"/>
      <c r="G2761" s="66"/>
      <c r="I2761" s="66"/>
      <c r="J2761" s="66"/>
      <c r="K2761" s="66"/>
      <c r="L2761" s="66"/>
      <c r="M2761" s="66"/>
      <c r="O2761" s="66"/>
      <c r="P2761" s="66"/>
      <c r="Q2761" s="66"/>
      <c r="R2761" s="66"/>
      <c r="S2761" s="66"/>
    </row>
    <row r="2762" spans="2:19" ht="15.75">
      <c r="B2762" s="183" t="s">
        <v>97</v>
      </c>
      <c r="C2762" s="184">
        <f>Master!U$55</f>
        <v>6416.33</v>
      </c>
      <c r="D2762" s="184">
        <f>Master!V$55</f>
        <v>5731.4</v>
      </c>
      <c r="E2762" s="184">
        <f>Master!W$55</f>
        <v>4672.3159999999998</v>
      </c>
      <c r="F2762" s="184">
        <f>Master!X55</f>
        <v>3781.085</v>
      </c>
      <c r="G2762" s="184">
        <f>Master!Y55</f>
        <v>2863.7069999999999</v>
      </c>
      <c r="H2762" s="190"/>
      <c r="I2762" s="184">
        <v>8309.6054467410122</v>
      </c>
      <c r="J2762" s="184">
        <v>8073.4607401056073</v>
      </c>
      <c r="K2762" s="184">
        <v>7814.9923010319917</v>
      </c>
      <c r="L2762" s="184">
        <v>7673.8422334967863</v>
      </c>
      <c r="M2762" s="184">
        <v>7525.1742183061078</v>
      </c>
      <c r="N2762" s="190"/>
      <c r="O2762" s="189">
        <f t="shared" ref="O2762:S2765" si="162">C2762/I2762-1</f>
        <v>-0.22784179813056538</v>
      </c>
      <c r="P2762" s="189">
        <f t="shared" si="162"/>
        <v>-0.29009377954502469</v>
      </c>
      <c r="Q2762" s="189">
        <f t="shared" si="162"/>
        <v>-0.40213427985296835</v>
      </c>
      <c r="R2762" s="189">
        <f t="shared" si="162"/>
        <v>-0.50727616167357015</v>
      </c>
      <c r="S2762" s="189">
        <f t="shared" si="162"/>
        <v>-0.61944974070718439</v>
      </c>
    </row>
    <row r="2763" spans="2:19" ht="15.75">
      <c r="B2763" s="66" t="s">
        <v>52</v>
      </c>
      <c r="C2763" s="125">
        <f>Master!U$56</f>
        <v>19902.8</v>
      </c>
      <c r="D2763" s="125">
        <f>Master!V$56</f>
        <v>18727.5</v>
      </c>
      <c r="E2763" s="125">
        <f>Master!W$56</f>
        <v>18485.599999999999</v>
      </c>
      <c r="F2763" s="125">
        <f>Master!X56</f>
        <v>19240.815000000002</v>
      </c>
      <c r="G2763" s="125">
        <f>Master!Y56</f>
        <v>20254.536453000001</v>
      </c>
      <c r="I2763" s="125">
        <v>21024.750542499998</v>
      </c>
      <c r="J2763" s="125">
        <v>22433.155518600001</v>
      </c>
      <c r="K2763" s="125">
        <v>23779.144849716002</v>
      </c>
      <c r="L2763" s="125">
        <v>24968.1020922018</v>
      </c>
      <c r="M2763" s="125">
        <v>26216.507196811894</v>
      </c>
      <c r="O2763" s="116">
        <f t="shared" si="162"/>
        <v>-5.3363322443805372E-2</v>
      </c>
      <c r="P2763" s="116">
        <f t="shared" si="162"/>
        <v>-0.16518654789904752</v>
      </c>
      <c r="Q2763" s="116">
        <f t="shared" si="162"/>
        <v>-0.22261291914285242</v>
      </c>
      <c r="R2763" s="116">
        <f t="shared" si="162"/>
        <v>-0.2293841586778268</v>
      </c>
      <c r="S2763" s="116">
        <f t="shared" si="162"/>
        <v>-0.2274128547733052</v>
      </c>
    </row>
    <row r="2764" spans="2:19" ht="15.75">
      <c r="B2764" s="185" t="s">
        <v>107</v>
      </c>
      <c r="C2764" s="186">
        <f>C2765-C2762-C2763</f>
        <v>-783.10000000000218</v>
      </c>
      <c r="D2764" s="186">
        <f>D2765-D2762-D2763</f>
        <v>-334.29999999999563</v>
      </c>
      <c r="E2764" s="186">
        <f>E2765-E2762-E2763</f>
        <v>-5465.9000000000015</v>
      </c>
      <c r="F2764" s="186">
        <f>F2765-F2762-F2763</f>
        <v>-1636.5</v>
      </c>
      <c r="G2764" s="186">
        <f>G2765-G2762-G2763</f>
        <v>-1435.2060164736686</v>
      </c>
      <c r="H2764" s="190"/>
      <c r="I2764" s="186">
        <v>-2736.552499999998</v>
      </c>
      <c r="J2764" s="186">
        <v>-2278.1007874999959</v>
      </c>
      <c r="K2764" s="186">
        <v>-2120.0722993124982</v>
      </c>
      <c r="L2764" s="186">
        <v>-2162.4753838021861</v>
      </c>
      <c r="M2764" s="186">
        <v>-2205.3184945592184</v>
      </c>
      <c r="N2764" s="190"/>
      <c r="O2764" s="681">
        <f t="shared" si="162"/>
        <v>-0.71383702669691051</v>
      </c>
      <c r="P2764" s="681">
        <f t="shared" si="162"/>
        <v>-0.85325495613086599</v>
      </c>
      <c r="Q2764" s="681">
        <f t="shared" si="162"/>
        <v>1.5781667926006562</v>
      </c>
      <c r="R2764" s="681">
        <f t="shared" si="162"/>
        <v>-0.24322837972721179</v>
      </c>
      <c r="S2764" s="681">
        <f t="shared" si="162"/>
        <v>-0.34920691953815663</v>
      </c>
    </row>
    <row r="2765" spans="2:19" ht="15.75">
      <c r="B2765" s="74" t="s">
        <v>222</v>
      </c>
      <c r="C2765" s="470">
        <f>Master!U$63</f>
        <v>25536.03</v>
      </c>
      <c r="D2765" s="470">
        <f>Master!V$63</f>
        <v>24124.600000000002</v>
      </c>
      <c r="E2765" s="470">
        <f>Master!W$63</f>
        <v>17692.015999999996</v>
      </c>
      <c r="F2765" s="470">
        <f>Master!X63</f>
        <v>21385.4</v>
      </c>
      <c r="G2765" s="470">
        <f>Master!Y63</f>
        <v>21683.037436526331</v>
      </c>
      <c r="I2765" s="470">
        <v>26597.803489241014</v>
      </c>
      <c r="J2765" s="470">
        <v>28228.51547120561</v>
      </c>
      <c r="K2765" s="470">
        <v>29474.064851435494</v>
      </c>
      <c r="L2765" s="470">
        <v>30479.468941896401</v>
      </c>
      <c r="M2765" s="470">
        <v>31536.362920558782</v>
      </c>
      <c r="O2765" s="127">
        <f t="shared" si="162"/>
        <v>-3.9919592972047835E-2</v>
      </c>
      <c r="P2765" s="127">
        <f t="shared" si="162"/>
        <v>-0.14538190913340066</v>
      </c>
      <c r="Q2765" s="127">
        <f t="shared" si="162"/>
        <v>-0.39974292350997764</v>
      </c>
      <c r="R2765" s="127">
        <f t="shared" si="162"/>
        <v>-0.29836704042424744</v>
      </c>
      <c r="S2765" s="127">
        <f t="shared" si="162"/>
        <v>-0.31244330580711954</v>
      </c>
    </row>
    <row r="2766" spans="2:19" ht="15.75">
      <c r="B2766" s="183"/>
      <c r="C2766" s="183"/>
      <c r="D2766" s="183"/>
      <c r="E2766" s="183"/>
      <c r="F2766" s="183"/>
      <c r="G2766" s="183"/>
      <c r="H2766" s="190"/>
      <c r="I2766" s="183"/>
      <c r="J2766" s="183"/>
      <c r="K2766" s="183"/>
      <c r="L2766" s="183"/>
      <c r="M2766" s="183"/>
      <c r="N2766" s="190"/>
      <c r="O2766" s="183"/>
      <c r="P2766" s="183"/>
      <c r="Q2766" s="183"/>
      <c r="R2766" s="183"/>
      <c r="S2766" s="183"/>
    </row>
    <row r="2767" spans="2:19" ht="15.75">
      <c r="B2767" s="74" t="s">
        <v>35</v>
      </c>
      <c r="C2767" s="66"/>
      <c r="D2767" s="66"/>
      <c r="E2767" s="66"/>
      <c r="F2767" s="66"/>
      <c r="G2767" s="66"/>
      <c r="I2767" s="66"/>
      <c r="J2767" s="66"/>
      <c r="K2767" s="66"/>
      <c r="L2767" s="66"/>
      <c r="M2767" s="66"/>
      <c r="O2767" s="66"/>
      <c r="P2767" s="66"/>
      <c r="Q2767" s="66"/>
      <c r="R2767" s="66"/>
      <c r="S2767" s="66"/>
    </row>
    <row r="2768" spans="2:19" ht="15.75">
      <c r="B2768" s="183" t="s">
        <v>97</v>
      </c>
      <c r="C2768" s="184">
        <f>Master!U$83</f>
        <v>3883.241</v>
      </c>
      <c r="D2768" s="184">
        <f>Master!V$83</f>
        <v>2640.8399999999997</v>
      </c>
      <c r="E2768" s="184">
        <f>Master!W$83</f>
        <v>1524.39</v>
      </c>
      <c r="F2768" s="184">
        <f>Master!X83</f>
        <v>1638.4872989824</v>
      </c>
      <c r="G2768" s="184">
        <f>Master!Y83</f>
        <v>1240.9397000000001</v>
      </c>
      <c r="H2768" s="190"/>
      <c r="I2768" s="184">
        <v>4221.9616244535</v>
      </c>
      <c r="J2768" s="184">
        <v>3776.6180603611356</v>
      </c>
      <c r="K2768" s="184">
        <v>3042.962852995704</v>
      </c>
      <c r="L2768" s="184">
        <v>2623.4029237349223</v>
      </c>
      <c r="M2768" s="184">
        <v>2378.7451412768041</v>
      </c>
      <c r="N2768" s="190"/>
      <c r="O2768" s="189">
        <f t="shared" ref="O2768:S2769" si="163">C2768/I2768-1</f>
        <v>-8.0228257521726021E-2</v>
      </c>
      <c r="P2768" s="189">
        <f t="shared" si="163"/>
        <v>-0.30073945583274797</v>
      </c>
      <c r="Q2768" s="189">
        <f t="shared" si="163"/>
        <v>-0.49904416398008777</v>
      </c>
      <c r="R2768" s="189">
        <f t="shared" si="163"/>
        <v>-0.37543437031407434</v>
      </c>
      <c r="S2768" s="189">
        <f t="shared" si="163"/>
        <v>-0.47832170901086146</v>
      </c>
    </row>
    <row r="2769" spans="2:27" ht="15.75">
      <c r="B2769" s="66" t="s">
        <v>52</v>
      </c>
      <c r="C2769" s="125">
        <f>Master!U$84</f>
        <v>12989.048999999999</v>
      </c>
      <c r="D2769" s="125">
        <f>Master!V$84</f>
        <v>11204.1</v>
      </c>
      <c r="E2769" s="125">
        <f>Master!W$84</f>
        <v>7305.36</v>
      </c>
      <c r="F2769" s="125">
        <f>Master!X84</f>
        <v>10355.962701017601</v>
      </c>
      <c r="G2769" s="125">
        <f>Master!Y84</f>
        <v>12845.11698726951</v>
      </c>
      <c r="I2769" s="125">
        <v>12792.167498750001</v>
      </c>
      <c r="J2769" s="125">
        <v>12858.0281631</v>
      </c>
      <c r="K2769" s="125">
        <v>12759.541138872</v>
      </c>
      <c r="L2769" s="125">
        <v>13397.518195815601</v>
      </c>
      <c r="M2769" s="125">
        <v>14067.394105606381</v>
      </c>
      <c r="O2769" s="116">
        <f t="shared" si="163"/>
        <v>1.5390785124509643E-2</v>
      </c>
      <c r="P2769" s="116">
        <f t="shared" si="163"/>
        <v>-0.12863000003736547</v>
      </c>
      <c r="Q2769" s="116">
        <f t="shared" si="163"/>
        <v>-0.42745903473407931</v>
      </c>
      <c r="R2769" s="116">
        <f t="shared" si="163"/>
        <v>-0.22702380025488289</v>
      </c>
      <c r="S2769" s="116">
        <f t="shared" si="163"/>
        <v>-8.6887245012190917E-2</v>
      </c>
    </row>
    <row r="2770" spans="2:27" ht="15.75">
      <c r="B2770" s="185" t="s">
        <v>107</v>
      </c>
      <c r="C2770" s="186"/>
      <c r="D2770" s="186"/>
      <c r="E2770" s="186"/>
      <c r="F2770" s="186"/>
      <c r="G2770" s="186"/>
      <c r="H2770" s="190"/>
      <c r="I2770" s="186"/>
      <c r="J2770" s="186"/>
      <c r="K2770" s="186"/>
      <c r="L2770" s="186"/>
      <c r="M2770" s="186"/>
      <c r="N2770" s="190"/>
      <c r="O2770" s="681"/>
      <c r="P2770" s="681"/>
      <c r="Q2770" s="681"/>
      <c r="R2770" s="681"/>
      <c r="S2770" s="681"/>
    </row>
    <row r="2771" spans="2:27" ht="15.75">
      <c r="B2771" s="74" t="s">
        <v>222</v>
      </c>
      <c r="C2771" s="470">
        <f>Master!U$87</f>
        <v>17214.16</v>
      </c>
      <c r="D2771" s="470">
        <f>Master!V$87</f>
        <v>14503.380000000001</v>
      </c>
      <c r="E2771" s="470">
        <f>Master!W$87</f>
        <v>9097.5</v>
      </c>
      <c r="F2771" s="470">
        <f>Master!X87</f>
        <v>12186.6</v>
      </c>
      <c r="G2771" s="470">
        <f>Master!Y87</f>
        <v>14278.20668726951</v>
      </c>
      <c r="I2771" s="470">
        <v>17014.1291232035</v>
      </c>
      <c r="J2771" s="470">
        <v>16634.646223461135</v>
      </c>
      <c r="K2771" s="470">
        <v>15802.503991867705</v>
      </c>
      <c r="L2771" s="470">
        <v>16020.921119550523</v>
      </c>
      <c r="M2771" s="470">
        <v>16446.139246883184</v>
      </c>
      <c r="O2771" s="127">
        <f>C2771/I2771-1</f>
        <v>1.1756750836203755E-2</v>
      </c>
      <c r="P2771" s="127">
        <f>D2771/J2771-1</f>
        <v>-0.12812212504136355</v>
      </c>
      <c r="Q2771" s="127">
        <f>E2771/K2771-1</f>
        <v>-0.42430009796664114</v>
      </c>
      <c r="R2771" s="127">
        <f>F2771/L2771-1</f>
        <v>-0.23933212647002267</v>
      </c>
      <c r="S2771" s="127">
        <f>G2771/M2771-1</f>
        <v>-0.13182015104393163</v>
      </c>
    </row>
    <row r="2772" spans="2:27" ht="15.75">
      <c r="B2772" s="183"/>
      <c r="C2772" s="183"/>
      <c r="D2772" s="183"/>
      <c r="E2772" s="183"/>
      <c r="F2772" s="183"/>
      <c r="G2772" s="183"/>
      <c r="H2772" s="190"/>
      <c r="I2772" s="183"/>
      <c r="J2772" s="183"/>
      <c r="K2772" s="183"/>
      <c r="L2772" s="183"/>
      <c r="M2772" s="183"/>
      <c r="N2772" s="190"/>
      <c r="O2772" s="183"/>
      <c r="P2772" s="183"/>
      <c r="Q2772" s="183"/>
      <c r="R2772" s="183"/>
      <c r="S2772" s="183"/>
    </row>
    <row r="2773" spans="2:27" ht="15.75">
      <c r="B2773" s="74" t="s">
        <v>36</v>
      </c>
      <c r="C2773" s="66"/>
      <c r="D2773" s="66"/>
      <c r="E2773" s="66"/>
      <c r="F2773" s="66"/>
      <c r="G2773" s="66"/>
      <c r="I2773" s="66"/>
      <c r="J2773" s="66"/>
      <c r="K2773" s="66"/>
      <c r="L2773" s="66"/>
      <c r="M2773" s="66"/>
      <c r="O2773" s="66"/>
      <c r="P2773" s="66"/>
      <c r="Q2773" s="66"/>
      <c r="R2773" s="66"/>
      <c r="S2773" s="66"/>
    </row>
    <row r="2774" spans="2:27" ht="15.75">
      <c r="B2774" s="183" t="s">
        <v>97</v>
      </c>
      <c r="C2774" s="184">
        <f t="shared" ref="C2774:G2777" si="164">C2762-C2768</f>
        <v>2533.0889999999999</v>
      </c>
      <c r="D2774" s="184">
        <f t="shared" si="164"/>
        <v>3090.56</v>
      </c>
      <c r="E2774" s="184">
        <f t="shared" si="164"/>
        <v>3147.9259999999995</v>
      </c>
      <c r="F2774" s="184">
        <f t="shared" si="164"/>
        <v>2142.5977010176002</v>
      </c>
      <c r="G2774" s="184">
        <f t="shared" si="164"/>
        <v>1622.7672999999998</v>
      </c>
      <c r="H2774" s="190"/>
      <c r="I2774" s="184">
        <v>4087.6438222875122</v>
      </c>
      <c r="J2774" s="184">
        <v>4296.8426797444718</v>
      </c>
      <c r="K2774" s="184">
        <v>4772.0294480362882</v>
      </c>
      <c r="L2774" s="184">
        <v>5050.439309761864</v>
      </c>
      <c r="M2774" s="184">
        <v>5146.4290770293037</v>
      </c>
      <c r="N2774" s="190"/>
      <c r="O2774" s="189">
        <f t="shared" ref="O2774:S2777" si="165">C2774/I2774-1</f>
        <v>-0.38030584118201327</v>
      </c>
      <c r="P2774" s="189">
        <f t="shared" si="165"/>
        <v>-0.28073698984394935</v>
      </c>
      <c r="Q2774" s="189">
        <f t="shared" si="165"/>
        <v>-0.34033810262939901</v>
      </c>
      <c r="R2774" s="189">
        <f t="shared" si="165"/>
        <v>-0.57576013300937445</v>
      </c>
      <c r="S2774" s="189">
        <f t="shared" si="165"/>
        <v>-0.68468091647408524</v>
      </c>
    </row>
    <row r="2775" spans="2:27" ht="15.75">
      <c r="B2775" s="66" t="s">
        <v>52</v>
      </c>
      <c r="C2775" s="125">
        <f t="shared" si="164"/>
        <v>6913.7510000000002</v>
      </c>
      <c r="D2775" s="125">
        <f t="shared" si="164"/>
        <v>7523.4</v>
      </c>
      <c r="E2775" s="125">
        <f t="shared" si="164"/>
        <v>11180.239999999998</v>
      </c>
      <c r="F2775" s="125">
        <f t="shared" si="164"/>
        <v>8884.8522989824014</v>
      </c>
      <c r="G2775" s="125">
        <f t="shared" si="164"/>
        <v>7409.4194657304906</v>
      </c>
      <c r="I2775" s="125">
        <v>8232.5830437499972</v>
      </c>
      <c r="J2775" s="125">
        <v>9575.1273555000007</v>
      </c>
      <c r="K2775" s="125">
        <v>11019.603710844001</v>
      </c>
      <c r="L2775" s="125">
        <v>11570.583896386199</v>
      </c>
      <c r="M2775" s="125">
        <v>12149.113091205512</v>
      </c>
      <c r="O2775" s="116">
        <f t="shared" si="165"/>
        <v>-0.16019662804995649</v>
      </c>
      <c r="P2775" s="116">
        <f t="shared" si="165"/>
        <v>-0.21427676931330619</v>
      </c>
      <c r="Q2775" s="116">
        <f t="shared" si="165"/>
        <v>1.4577319962778779E-2</v>
      </c>
      <c r="R2775" s="116">
        <f t="shared" si="165"/>
        <v>-0.23211720527281454</v>
      </c>
      <c r="S2775" s="116">
        <f t="shared" si="165"/>
        <v>-0.39012671870722693</v>
      </c>
    </row>
    <row r="2776" spans="2:27" ht="15.75">
      <c r="B2776" s="185" t="s">
        <v>107</v>
      </c>
      <c r="C2776" s="186">
        <f t="shared" si="164"/>
        <v>-783.10000000000218</v>
      </c>
      <c r="D2776" s="186">
        <f t="shared" si="164"/>
        <v>-334.29999999999563</v>
      </c>
      <c r="E2776" s="186">
        <f t="shared" si="164"/>
        <v>-5465.9000000000015</v>
      </c>
      <c r="F2776" s="186">
        <f t="shared" si="164"/>
        <v>-1636.5</v>
      </c>
      <c r="G2776" s="186">
        <f t="shared" si="164"/>
        <v>-1435.2060164736686</v>
      </c>
      <c r="H2776" s="190"/>
      <c r="I2776" s="186">
        <v>-2736.552499999998</v>
      </c>
      <c r="J2776" s="186">
        <v>-2278.1007874999959</v>
      </c>
      <c r="K2776" s="186">
        <v>-2120.0722993124982</v>
      </c>
      <c r="L2776" s="186">
        <v>-2162.4753838021861</v>
      </c>
      <c r="M2776" s="186">
        <v>-2205.3184945592184</v>
      </c>
      <c r="N2776" s="190"/>
      <c r="O2776" s="681">
        <f t="shared" si="165"/>
        <v>-0.71383702669691051</v>
      </c>
      <c r="P2776" s="681">
        <f t="shared" si="165"/>
        <v>-0.85325495613086599</v>
      </c>
      <c r="Q2776" s="681">
        <f t="shared" si="165"/>
        <v>1.5781667926006562</v>
      </c>
      <c r="R2776" s="681">
        <f t="shared" si="165"/>
        <v>-0.24322837972721179</v>
      </c>
      <c r="S2776" s="681">
        <f t="shared" si="165"/>
        <v>-0.34920691953815663</v>
      </c>
    </row>
    <row r="2777" spans="2:27" ht="15.75">
      <c r="B2777" s="74" t="s">
        <v>222</v>
      </c>
      <c r="C2777" s="470">
        <f t="shared" si="164"/>
        <v>8321.869999999999</v>
      </c>
      <c r="D2777" s="470">
        <f t="shared" si="164"/>
        <v>9621.2200000000012</v>
      </c>
      <c r="E2777" s="470">
        <f t="shared" si="164"/>
        <v>8594.515999999996</v>
      </c>
      <c r="F2777" s="470">
        <f t="shared" si="164"/>
        <v>9198.8000000000011</v>
      </c>
      <c r="G2777" s="470">
        <f t="shared" si="164"/>
        <v>7404.8307492568201</v>
      </c>
      <c r="I2777" s="470">
        <v>9583.6743660375141</v>
      </c>
      <c r="J2777" s="470">
        <v>11593.869247744475</v>
      </c>
      <c r="K2777" s="470">
        <v>13671.56085956779</v>
      </c>
      <c r="L2777" s="470">
        <v>14458.547822345878</v>
      </c>
      <c r="M2777" s="470">
        <v>15090.223673675599</v>
      </c>
      <c r="O2777" s="127">
        <f t="shared" si="165"/>
        <v>-0.13166185722138879</v>
      </c>
      <c r="P2777" s="127">
        <f t="shared" si="165"/>
        <v>-0.17014589397135405</v>
      </c>
      <c r="Q2777" s="127">
        <f t="shared" si="165"/>
        <v>-0.3713580996141137</v>
      </c>
      <c r="R2777" s="127">
        <f t="shared" si="165"/>
        <v>-0.36378119621507676</v>
      </c>
      <c r="S2777" s="127">
        <f t="shared" si="165"/>
        <v>-0.50929615694336561</v>
      </c>
    </row>
    <row r="2778" spans="2:27" ht="15.75">
      <c r="B2778" s="183"/>
      <c r="C2778" s="183"/>
      <c r="D2778" s="183"/>
      <c r="E2778" s="183"/>
      <c r="F2778" s="183"/>
      <c r="G2778" s="183"/>
      <c r="H2778" s="190"/>
      <c r="I2778" s="183"/>
      <c r="J2778" s="183"/>
      <c r="K2778" s="183"/>
      <c r="L2778" s="183"/>
      <c r="M2778" s="183"/>
      <c r="N2778" s="190"/>
      <c r="O2778" s="183"/>
      <c r="P2778" s="183"/>
      <c r="Q2778" s="183"/>
      <c r="R2778" s="183"/>
      <c r="S2778" s="183"/>
    </row>
    <row r="2779" spans="2:27" ht="15.75">
      <c r="B2779" s="217" t="s">
        <v>2084</v>
      </c>
      <c r="C2779" s="682">
        <f>Valuation!R$33</f>
        <v>-693.02896568871233</v>
      </c>
      <c r="D2779" s="682">
        <f>Valuation!S$33</f>
        <v>-242.45564971751406</v>
      </c>
      <c r="E2779" s="682">
        <f>Valuation!T$33</f>
        <v>83.947568306010737</v>
      </c>
      <c r="F2779" s="682">
        <f>Valuation!U33</f>
        <v>194.44774101094319</v>
      </c>
      <c r="G2779" s="682">
        <f ca="1">Valuation!V33</f>
        <v>-4.4238166140593478</v>
      </c>
      <c r="H2779" s="61"/>
      <c r="I2779" s="682">
        <v>290.84548554380831</v>
      </c>
      <c r="J2779" s="682">
        <v>367.57764492950014</v>
      </c>
      <c r="K2779" s="682">
        <v>549.59752110310694</v>
      </c>
      <c r="L2779" s="682">
        <v>641.3361954928497</v>
      </c>
      <c r="M2779" s="682">
        <v>619.62360740360668</v>
      </c>
      <c r="N2779" s="61"/>
      <c r="O2779" s="123">
        <f>C2779/I2779-1</f>
        <v>-3.3828080549124615</v>
      </c>
      <c r="P2779" s="123">
        <f>D2779/J2779-1</f>
        <v>-1.6596039042690314</v>
      </c>
      <c r="Q2779" s="123">
        <f>E2779/K2779-1</f>
        <v>-0.84725628285673837</v>
      </c>
      <c r="R2779" s="123">
        <f>F2779/L2779-1</f>
        <v>-0.69680840972726432</v>
      </c>
      <c r="S2779" s="123">
        <f ca="1">G2779/M2779-1</f>
        <v>-1.0071395223829454</v>
      </c>
    </row>
    <row r="2780" spans="2:27" ht="15.75">
      <c r="B2780" s="66"/>
      <c r="C2780" s="66"/>
      <c r="D2780" s="66"/>
      <c r="E2780" s="66"/>
      <c r="F2780" s="66"/>
      <c r="G2780" s="66"/>
    </row>
    <row r="2781" spans="2:27" ht="15.75">
      <c r="B2781" s="66"/>
      <c r="C2781" s="66"/>
      <c r="D2781" s="66"/>
      <c r="E2781" s="66"/>
      <c r="F2781" s="66"/>
      <c r="G2781" s="66"/>
    </row>
    <row r="2782" spans="2:27">
      <c r="B2782" s="564" t="s">
        <v>2085</v>
      </c>
    </row>
    <row r="2784" spans="2:27" ht="15.75">
      <c r="C2784" s="391" t="s">
        <v>1197</v>
      </c>
      <c r="D2784" s="391" t="s">
        <v>1197</v>
      </c>
      <c r="E2784" s="391" t="s">
        <v>1197</v>
      </c>
      <c r="F2784" s="391" t="s">
        <v>1197</v>
      </c>
      <c r="G2784" s="391" t="s">
        <v>1197</v>
      </c>
      <c r="I2784" s="391" t="s">
        <v>1199</v>
      </c>
      <c r="J2784" s="391" t="s">
        <v>1199</v>
      </c>
      <c r="K2784" s="391" t="s">
        <v>1199</v>
      </c>
      <c r="L2784" s="391" t="s">
        <v>1199</v>
      </c>
      <c r="M2784" s="391" t="s">
        <v>1199</v>
      </c>
      <c r="O2784" s="391" t="s">
        <v>2083</v>
      </c>
      <c r="P2784" s="391" t="s">
        <v>2083</v>
      </c>
      <c r="Q2784" s="391" t="s">
        <v>2083</v>
      </c>
      <c r="U2784" s="391" t="s">
        <v>856</v>
      </c>
      <c r="V2784" s="391" t="s">
        <v>856</v>
      </c>
      <c r="W2784" s="391" t="s">
        <v>856</v>
      </c>
      <c r="Y2784" s="391" t="s">
        <v>2083</v>
      </c>
      <c r="Z2784" s="391" t="s">
        <v>2083</v>
      </c>
      <c r="AA2784" s="391" t="s">
        <v>2083</v>
      </c>
    </row>
    <row r="2785" spans="2:27" ht="15.75">
      <c r="B2785" s="680" t="s">
        <v>2069</v>
      </c>
      <c r="C2785" s="680">
        <f>C$2754</f>
        <v>2022</v>
      </c>
      <c r="D2785" s="680">
        <f>D$2754</f>
        <v>2023</v>
      </c>
      <c r="E2785" s="680">
        <f>E$2754</f>
        <v>2024</v>
      </c>
      <c r="F2785" s="680">
        <f>F2755</f>
        <v>0</v>
      </c>
      <c r="G2785" s="680">
        <f>G2755</f>
        <v>0</v>
      </c>
      <c r="H2785" s="190"/>
      <c r="I2785" s="680">
        <f>I$2754</f>
        <v>2022</v>
      </c>
      <c r="J2785" s="680">
        <f>J$2754</f>
        <v>2023</v>
      </c>
      <c r="K2785" s="680">
        <f>K$2754</f>
        <v>2024</v>
      </c>
      <c r="L2785" s="680">
        <f>L2755</f>
        <v>0</v>
      </c>
      <c r="M2785" s="680">
        <f>M2755</f>
        <v>0</v>
      </c>
      <c r="N2785" s="190"/>
      <c r="O2785" s="680">
        <f>O$2754</f>
        <v>2022</v>
      </c>
      <c r="P2785" s="680">
        <f>P$2754</f>
        <v>2023</v>
      </c>
      <c r="Q2785" s="680">
        <f>Q$2754</f>
        <v>2024</v>
      </c>
      <c r="U2785" s="680">
        <f>I2785</f>
        <v>2022</v>
      </c>
      <c r="V2785" s="680">
        <f>J2785</f>
        <v>2023</v>
      </c>
      <c r="W2785" s="680">
        <f>K2785</f>
        <v>2024</v>
      </c>
      <c r="X2785" s="190"/>
      <c r="Y2785" s="680">
        <f>U2785</f>
        <v>2022</v>
      </c>
      <c r="Z2785" s="680">
        <f>V2785</f>
        <v>2023</v>
      </c>
      <c r="AA2785" s="680">
        <f>W2785</f>
        <v>2024</v>
      </c>
    </row>
    <row r="2786" spans="2:27" ht="15.75">
      <c r="B2786" s="74" t="s">
        <v>33</v>
      </c>
      <c r="C2786" s="66"/>
      <c r="D2786" s="66"/>
      <c r="E2786" s="66"/>
      <c r="F2786" s="66"/>
      <c r="G2786" s="66"/>
      <c r="I2786" s="66"/>
      <c r="J2786" s="66"/>
      <c r="K2786" s="66"/>
      <c r="L2786" s="66"/>
      <c r="M2786" s="66"/>
      <c r="O2786" s="66"/>
      <c r="P2786" s="66"/>
      <c r="Q2786" s="66"/>
      <c r="U2786" s="66"/>
      <c r="V2786" s="66"/>
      <c r="W2786" s="66"/>
      <c r="Y2786" s="66"/>
      <c r="Z2786" s="66"/>
      <c r="AA2786" s="66"/>
    </row>
    <row r="2787" spans="2:27" ht="15.75">
      <c r="B2787" s="183" t="s">
        <v>97</v>
      </c>
      <c r="C2787" s="184">
        <f>Master!U$23</f>
        <v>20339</v>
      </c>
      <c r="D2787" s="184">
        <f>Master!V$23</f>
        <v>17585.2</v>
      </c>
      <c r="E2787" s="184">
        <f>Master!W$23</f>
        <v>15034.7</v>
      </c>
      <c r="F2787" s="184">
        <f>Master!X75</f>
        <v>0</v>
      </c>
      <c r="G2787" s="184">
        <f>Master!Y75</f>
        <v>0</v>
      </c>
      <c r="H2787" s="190"/>
      <c r="I2787" s="184">
        <v>21272.640122267498</v>
      </c>
      <c r="J2787" s="184">
        <v>21146.17168611124</v>
      </c>
      <c r="K2787" s="184">
        <v>20638.815841151201</v>
      </c>
      <c r="L2787" s="184">
        <v>20354.590158232815</v>
      </c>
      <c r="M2787" s="184">
        <v>20050.264151977171</v>
      </c>
      <c r="N2787" s="190"/>
      <c r="O2787" s="189">
        <f t="shared" ref="O2787:Q2790" si="166">C2787/I2787-1</f>
        <v>-4.3889245382861208E-2</v>
      </c>
      <c r="P2787" s="189">
        <f t="shared" si="166"/>
        <v>-0.1683979369395775</v>
      </c>
      <c r="Q2787" s="189">
        <f t="shared" si="166"/>
        <v>-0.27153281875684454</v>
      </c>
      <c r="U2787" s="184">
        <v>21410.243386883849</v>
      </c>
      <c r="V2787" s="184">
        <v>21641.039744294649</v>
      </c>
      <c r="W2787" s="184">
        <v>22291.221882654299</v>
      </c>
      <c r="X2787" s="190"/>
      <c r="Y2787" s="189">
        <f t="shared" ref="Y2787:AA2790" si="167">C2787/U2787-1</f>
        <v>-5.0034152696279199E-2</v>
      </c>
      <c r="Z2787" s="189">
        <f t="shared" si="167"/>
        <v>-0.18741427363091057</v>
      </c>
      <c r="AA2787" s="189">
        <f t="shared" si="167"/>
        <v>-0.32553271062726674</v>
      </c>
    </row>
    <row r="2788" spans="2:27" ht="15.75">
      <c r="B2788" s="66" t="s">
        <v>52</v>
      </c>
      <c r="C2788" s="125">
        <f>Master!U$21</f>
        <v>48411.8</v>
      </c>
      <c r="D2788" s="125">
        <f>Master!V$21</f>
        <v>48802.5</v>
      </c>
      <c r="E2788" s="125">
        <f>Master!W$21</f>
        <v>47393</v>
      </c>
      <c r="F2788" s="125">
        <f>Master!X76</f>
        <v>0.39100889633174929</v>
      </c>
      <c r="G2788" s="125">
        <f>Master!Y76</f>
        <v>0.40500000000000003</v>
      </c>
      <c r="I2788" s="125">
        <v>49221.422500000001</v>
      </c>
      <c r="J2788" s="125">
        <v>51682.493625000003</v>
      </c>
      <c r="K2788" s="125">
        <v>54783.443242500005</v>
      </c>
      <c r="L2788" s="125">
        <v>60897.809980980004</v>
      </c>
      <c r="M2788" s="125">
        <v>63942.700480029009</v>
      </c>
      <c r="O2788" s="116">
        <f t="shared" si="166"/>
        <v>-1.6448579884094094E-2</v>
      </c>
      <c r="P2788" s="116">
        <f t="shared" si="166"/>
        <v>-5.5724742035413E-2</v>
      </c>
      <c r="Q2788" s="116">
        <f t="shared" si="166"/>
        <v>-0.13490286124926576</v>
      </c>
      <c r="U2788" s="125">
        <v>49671.342522528699</v>
      </c>
      <c r="V2788" s="125">
        <v>53212.297921591351</v>
      </c>
      <c r="W2788" s="125">
        <v>56726.832902245253</v>
      </c>
      <c r="Y2788" s="116">
        <f t="shared" si="167"/>
        <v>-2.5357529282753366E-2</v>
      </c>
      <c r="Z2788" s="116">
        <f t="shared" si="167"/>
        <v>-8.2871781408298095E-2</v>
      </c>
      <c r="AA2788" s="116">
        <f t="shared" si="167"/>
        <v>-0.16453999676537234</v>
      </c>
    </row>
    <row r="2789" spans="2:27" ht="15.75">
      <c r="B2789" s="185" t="s">
        <v>107</v>
      </c>
      <c r="C2789" s="186">
        <f>C2790-C2787-C2788</f>
        <v>6775.8000000000029</v>
      </c>
      <c r="D2789" s="186">
        <f>D2790-D2787-D2788</f>
        <v>7380.2000000000116</v>
      </c>
      <c r="E2789" s="186">
        <f>E2790-E2787-E2788</f>
        <v>-166.83599999999569</v>
      </c>
      <c r="F2789" s="186">
        <f>F2790-F2787-F2788</f>
        <v>-0.39100889633174929</v>
      </c>
      <c r="G2789" s="186">
        <f>G2790-G2787-G2788</f>
        <v>-0.40500000000000003</v>
      </c>
      <c r="H2789" s="190"/>
      <c r="I2789" s="186">
        <v>5899.9999999999927</v>
      </c>
      <c r="J2789" s="186">
        <v>5968.5427718050341</v>
      </c>
      <c r="K2789" s="186">
        <v>6004.1267755090448</v>
      </c>
      <c r="L2789" s="186">
        <v>981.57272436901258</v>
      </c>
      <c r="M2789" s="186">
        <v>861.1944645575204</v>
      </c>
      <c r="N2789" s="190"/>
      <c r="O2789" s="681">
        <f t="shared" si="166"/>
        <v>0.14844067796610361</v>
      </c>
      <c r="P2789" s="681">
        <f t="shared" si="166"/>
        <v>0.23651622886302248</v>
      </c>
      <c r="Q2789" s="681">
        <f t="shared" si="166"/>
        <v>-1.0277868882916534</v>
      </c>
      <c r="U2789" s="186">
        <v>6450.7275</v>
      </c>
      <c r="V2789" s="186">
        <v>6773.2638749999996</v>
      </c>
      <c r="W2789" s="186">
        <v>7076.0561287500004</v>
      </c>
      <c r="X2789" s="190"/>
      <c r="Y2789" s="681">
        <f t="shared" si="167"/>
        <v>5.0393153330380525E-2</v>
      </c>
      <c r="Z2789" s="681">
        <f t="shared" si="167"/>
        <v>8.9607630265255533E-2</v>
      </c>
      <c r="AA2789" s="681">
        <f t="shared" si="167"/>
        <v>-1.0235775405062351</v>
      </c>
    </row>
    <row r="2790" spans="2:27" ht="15.75">
      <c r="B2790" s="74" t="s">
        <v>222</v>
      </c>
      <c r="C2790" s="470">
        <f>Master!U$28</f>
        <v>75526.600000000006</v>
      </c>
      <c r="D2790" s="470">
        <f>Master!V$28</f>
        <v>73767.900000000009</v>
      </c>
      <c r="E2790" s="470">
        <f>Master!W$28</f>
        <v>62260.864000000001</v>
      </c>
      <c r="F2790" s="470">
        <f>Master!X82</f>
        <v>0</v>
      </c>
      <c r="G2790" s="470">
        <f>Master!Y82</f>
        <v>0</v>
      </c>
      <c r="I2790" s="470">
        <v>76394.062622267491</v>
      </c>
      <c r="J2790" s="470">
        <v>78797.208082916273</v>
      </c>
      <c r="K2790" s="470">
        <v>81426.385859160247</v>
      </c>
      <c r="L2790" s="470">
        <v>82233.972863581832</v>
      </c>
      <c r="M2790" s="470">
        <v>84854.159096563701</v>
      </c>
      <c r="O2790" s="127">
        <f t="shared" si="166"/>
        <v>-1.1355105259379661E-2</v>
      </c>
      <c r="P2790" s="127">
        <f t="shared" si="166"/>
        <v>-6.3825968016837042E-2</v>
      </c>
      <c r="Q2790" s="127">
        <f t="shared" si="166"/>
        <v>-0.23537237539082279</v>
      </c>
      <c r="U2790" s="470">
        <v>76286.855545129205</v>
      </c>
      <c r="V2790" s="470">
        <v>80282.497654927196</v>
      </c>
      <c r="W2790" s="470">
        <v>84710.580305988857</v>
      </c>
      <c r="Y2790" s="127">
        <f t="shared" si="167"/>
        <v>-9.9657475681305119E-3</v>
      </c>
      <c r="Z2790" s="127">
        <f t="shared" si="167"/>
        <v>-8.1145926512257271E-2</v>
      </c>
      <c r="AA2790" s="127">
        <f t="shared" si="167"/>
        <v>-0.26501667471638968</v>
      </c>
    </row>
    <row r="2791" spans="2:27" ht="15.75">
      <c r="B2791" s="183"/>
      <c r="C2791" s="183"/>
      <c r="D2791" s="183"/>
      <c r="E2791" s="183"/>
      <c r="F2791" s="183"/>
      <c r="G2791" s="183"/>
      <c r="H2791" s="190"/>
      <c r="I2791" s="183"/>
      <c r="J2791" s="183"/>
      <c r="K2791" s="183"/>
      <c r="L2791" s="183"/>
      <c r="M2791" s="183"/>
      <c r="N2791" s="190"/>
      <c r="O2791" s="183"/>
      <c r="P2791" s="183"/>
      <c r="Q2791" s="183"/>
      <c r="U2791" s="183"/>
      <c r="V2791" s="183"/>
      <c r="W2791" s="183"/>
      <c r="X2791" s="190"/>
      <c r="Y2791" s="183"/>
      <c r="Z2791" s="183"/>
      <c r="AA2791" s="183"/>
    </row>
    <row r="2792" spans="2:27" ht="15.75">
      <c r="B2792" s="74" t="s">
        <v>34</v>
      </c>
      <c r="C2792" s="66"/>
      <c r="D2792" s="66"/>
      <c r="E2792" s="66"/>
      <c r="F2792" s="66"/>
      <c r="G2792" s="66"/>
      <c r="I2792" s="66"/>
      <c r="J2792" s="66"/>
      <c r="K2792" s="66"/>
      <c r="L2792" s="66"/>
      <c r="M2792" s="66"/>
      <c r="O2792" s="66"/>
      <c r="P2792" s="66"/>
      <c r="Q2792" s="66"/>
      <c r="U2792" s="66"/>
      <c r="V2792" s="66"/>
      <c r="W2792" s="66"/>
      <c r="Y2792" s="66"/>
      <c r="Z2792" s="66"/>
      <c r="AA2792" s="66"/>
    </row>
    <row r="2793" spans="2:27" ht="15.75">
      <c r="B2793" s="183" t="s">
        <v>97</v>
      </c>
      <c r="C2793" s="184">
        <f>Master!U$55</f>
        <v>6416.33</v>
      </c>
      <c r="D2793" s="184">
        <f>Master!V$55</f>
        <v>5731.4</v>
      </c>
      <c r="E2793" s="184">
        <f>Master!W$55</f>
        <v>4672.3159999999998</v>
      </c>
      <c r="F2793" s="184">
        <f>Master!X94</f>
        <v>645</v>
      </c>
      <c r="G2793" s="184">
        <f>Master!Y94</f>
        <v>822.24052330950258</v>
      </c>
      <c r="H2793" s="190"/>
      <c r="I2793" s="184">
        <v>7850.6102436843248</v>
      </c>
      <c r="J2793" s="184">
        <v>7897.8492632444959</v>
      </c>
      <c r="K2793" s="184">
        <v>7648.9356626204799</v>
      </c>
      <c r="L2793" s="184">
        <v>7673.8422334967863</v>
      </c>
      <c r="M2793" s="184">
        <v>7525.1742183061078</v>
      </c>
      <c r="N2793" s="190"/>
      <c r="O2793" s="189">
        <f t="shared" ref="O2793:Q2796" si="168">C2793/I2793-1</f>
        <v>-0.18269665658643253</v>
      </c>
      <c r="P2793" s="189">
        <f t="shared" si="168"/>
        <v>-0.27430876318782804</v>
      </c>
      <c r="Q2793" s="189">
        <f t="shared" si="168"/>
        <v>-0.389154752231333</v>
      </c>
      <c r="U2793" s="184">
        <v>7868.6041143876446</v>
      </c>
      <c r="V2793" s="184">
        <v>8522.4995344598447</v>
      </c>
      <c r="W2793" s="184">
        <v>9004.5869710134757</v>
      </c>
      <c r="X2793" s="190"/>
      <c r="Y2793" s="189">
        <f t="shared" ref="Y2793:AA2796" si="169">C2793/U2793-1</f>
        <v>-0.18456566034783473</v>
      </c>
      <c r="Z2793" s="189">
        <f t="shared" si="169"/>
        <v>-0.32749776320600821</v>
      </c>
      <c r="AA2793" s="189">
        <f t="shared" si="169"/>
        <v>-0.48111823284726118</v>
      </c>
    </row>
    <row r="2794" spans="2:27" ht="15.75">
      <c r="B2794" s="66" t="s">
        <v>52</v>
      </c>
      <c r="C2794" s="125">
        <f>Master!U$56</f>
        <v>19902.8</v>
      </c>
      <c r="D2794" s="125">
        <f>Master!V$56</f>
        <v>18727.5</v>
      </c>
      <c r="E2794" s="125">
        <f>Master!W$56</f>
        <v>18485.599999999999</v>
      </c>
      <c r="F2794" s="125">
        <f>Master!X96</f>
        <v>645</v>
      </c>
      <c r="G2794" s="125">
        <f>Master!Y96</f>
        <v>822.24052330950258</v>
      </c>
      <c r="I2794" s="125">
        <v>20796.05100625</v>
      </c>
      <c r="J2794" s="125">
        <v>21784.171062937501</v>
      </c>
      <c r="K2794" s="125">
        <v>23036.437883471252</v>
      </c>
      <c r="L2794" s="125">
        <v>24968.1020922018</v>
      </c>
      <c r="M2794" s="125">
        <v>26216.507196811894</v>
      </c>
      <c r="O2794" s="116">
        <f t="shared" si="168"/>
        <v>-4.2952914761631655E-2</v>
      </c>
      <c r="P2794" s="116">
        <f t="shared" si="168"/>
        <v>-0.14031615222384886</v>
      </c>
      <c r="Q2794" s="116">
        <f t="shared" si="168"/>
        <v>-0.19754954765539079</v>
      </c>
      <c r="U2794" s="125">
        <v>21017.0902427687</v>
      </c>
      <c r="V2794" s="125">
        <v>22910.858889366649</v>
      </c>
      <c r="W2794" s="125">
        <v>24688.04111693905</v>
      </c>
      <c r="Y2794" s="116">
        <f t="shared" si="169"/>
        <v>-5.3018292727371796E-2</v>
      </c>
      <c r="Z2794" s="116">
        <f t="shared" si="169"/>
        <v>-0.18259284427386624</v>
      </c>
      <c r="AA2794" s="116">
        <f t="shared" si="169"/>
        <v>-0.25123261451000301</v>
      </c>
    </row>
    <row r="2795" spans="2:27" ht="15.75">
      <c r="B2795" s="185" t="s">
        <v>107</v>
      </c>
      <c r="C2795" s="186">
        <f>C2796-C2793-C2794</f>
        <v>-783.10000000000218</v>
      </c>
      <c r="D2795" s="186">
        <f>D2796-D2793-D2794</f>
        <v>-334.29999999999563</v>
      </c>
      <c r="E2795" s="186">
        <f>E2796-E2793-E2794</f>
        <v>-5465.9000000000015</v>
      </c>
      <c r="F2795" s="186">
        <f>F2796-F2793-F2794</f>
        <v>-1289.7930201670567</v>
      </c>
      <c r="G2795" s="186">
        <f>G2796-G2793-G2794</f>
        <v>-1644.2309119701465</v>
      </c>
      <c r="H2795" s="190"/>
      <c r="I2795" s="186">
        <v>-1042.4500000000007</v>
      </c>
      <c r="J2795" s="186">
        <v>-1080.5867499999949</v>
      </c>
      <c r="K2795" s="186">
        <v>-1118.9205512499975</v>
      </c>
      <c r="L2795" s="186">
        <v>-2162.4753838021861</v>
      </c>
      <c r="M2795" s="186">
        <v>-2205.3184945592184</v>
      </c>
      <c r="N2795" s="190"/>
      <c r="O2795" s="681">
        <f t="shared" si="168"/>
        <v>-0.24878891073912257</v>
      </c>
      <c r="P2795" s="681">
        <f t="shared" si="168"/>
        <v>-0.69063103910907919</v>
      </c>
      <c r="Q2795" s="681">
        <f t="shared" si="168"/>
        <v>3.8849759653567837</v>
      </c>
      <c r="U2795" s="186">
        <v>1224.4033722026149</v>
      </c>
      <c r="V2795" s="186">
        <v>1431.0058058127449</v>
      </c>
      <c r="W2795" s="186">
        <v>1512.9526496077549</v>
      </c>
      <c r="X2795" s="190"/>
      <c r="Y2795" s="681">
        <f t="shared" si="169"/>
        <v>-1.6395768075934491</v>
      </c>
      <c r="Z2795" s="681">
        <f t="shared" si="169"/>
        <v>-1.2336119103375187</v>
      </c>
      <c r="AA2795" s="681">
        <f t="shared" si="169"/>
        <v>-4.6127369891034462</v>
      </c>
    </row>
    <row r="2796" spans="2:27" ht="15.75">
      <c r="B2796" s="74" t="s">
        <v>222</v>
      </c>
      <c r="C2796" s="470">
        <f>Master!U$63</f>
        <v>25536.03</v>
      </c>
      <c r="D2796" s="470">
        <f>Master!V$63</f>
        <v>24124.600000000002</v>
      </c>
      <c r="E2796" s="470">
        <f>Master!W$63</f>
        <v>17692.015999999996</v>
      </c>
      <c r="F2796" s="470">
        <f>Master!X106</f>
        <v>0.20697983294326255</v>
      </c>
      <c r="G2796" s="470">
        <f>Master!Y106</f>
        <v>0.25013464885861597</v>
      </c>
      <c r="I2796" s="470">
        <v>27604.211249934324</v>
      </c>
      <c r="J2796" s="470">
        <v>28601.433576182</v>
      </c>
      <c r="K2796" s="470">
        <v>29566.452994841733</v>
      </c>
      <c r="L2796" s="470">
        <v>30479.468941896401</v>
      </c>
      <c r="M2796" s="470">
        <v>31536.362920558782</v>
      </c>
      <c r="O2796" s="127">
        <f t="shared" si="168"/>
        <v>-7.4922671443446665E-2</v>
      </c>
      <c r="P2796" s="127">
        <f t="shared" si="168"/>
        <v>-0.15652479671194197</v>
      </c>
      <c r="Q2796" s="127">
        <f t="shared" si="168"/>
        <v>-0.40161858430950081</v>
      </c>
      <c r="U2796" s="470">
        <v>28360.440664047201</v>
      </c>
      <c r="V2796" s="470">
        <v>30299.029494041151</v>
      </c>
      <c r="W2796" s="470">
        <v>32496.256317837</v>
      </c>
      <c r="Y2796" s="127">
        <f t="shared" si="169"/>
        <v>-9.9589801777224651E-2</v>
      </c>
      <c r="Z2796" s="127">
        <f t="shared" si="169"/>
        <v>-0.2037830781099923</v>
      </c>
      <c r="AA2796" s="127">
        <f t="shared" si="169"/>
        <v>-0.4555675636307388</v>
      </c>
    </row>
    <row r="2797" spans="2:27" ht="15.75">
      <c r="B2797" s="183"/>
      <c r="C2797" s="183"/>
      <c r="D2797" s="183"/>
      <c r="E2797" s="183"/>
      <c r="F2797" s="183"/>
      <c r="G2797" s="183"/>
      <c r="H2797" s="190"/>
      <c r="I2797" s="183"/>
      <c r="J2797" s="183"/>
      <c r="K2797" s="183"/>
      <c r="L2797" s="183"/>
      <c r="M2797" s="183"/>
      <c r="N2797" s="190"/>
      <c r="O2797" s="183"/>
      <c r="P2797" s="183"/>
      <c r="Q2797" s="183"/>
      <c r="U2797" s="183"/>
      <c r="V2797" s="183"/>
      <c r="W2797" s="183"/>
      <c r="X2797" s="190"/>
      <c r="Y2797" s="183"/>
      <c r="Z2797" s="183"/>
      <c r="AA2797" s="183"/>
    </row>
    <row r="2798" spans="2:27" ht="15.75">
      <c r="B2798" s="74" t="s">
        <v>35</v>
      </c>
      <c r="C2798" s="66"/>
      <c r="D2798" s="66"/>
      <c r="E2798" s="66"/>
      <c r="F2798" s="66"/>
      <c r="G2798" s="66"/>
      <c r="I2798" s="66"/>
      <c r="J2798" s="66"/>
      <c r="K2798" s="66"/>
      <c r="L2798" s="66"/>
      <c r="M2798" s="66"/>
      <c r="O2798" s="66"/>
      <c r="P2798" s="66"/>
      <c r="Q2798" s="66"/>
      <c r="U2798" s="66"/>
      <c r="V2798" s="66"/>
      <c r="W2798" s="66"/>
      <c r="Y2798" s="66"/>
      <c r="Z2798" s="66"/>
      <c r="AA2798" s="66"/>
    </row>
    <row r="2799" spans="2:27" ht="15.75">
      <c r="B2799" s="183" t="s">
        <v>97</v>
      </c>
      <c r="C2799" s="184">
        <f>Master!U$83</f>
        <v>3883.241</v>
      </c>
      <c r="D2799" s="184">
        <f>Master!V$83</f>
        <v>2640.8399999999997</v>
      </c>
      <c r="E2799" s="184">
        <f>Master!W$83</f>
        <v>1524.39</v>
      </c>
      <c r="F2799" s="184">
        <f>Master!X125</f>
        <v>0.15623439575258757</v>
      </c>
      <c r="G2799" s="184">
        <f>Master!Y125</f>
        <v>0.1297225050660086</v>
      </c>
      <c r="H2799" s="190"/>
      <c r="I2799" s="184">
        <v>4221.9616244535</v>
      </c>
      <c r="J2799" s="184">
        <v>3776.6180603611356</v>
      </c>
      <c r="K2799" s="184">
        <v>3042.962852995704</v>
      </c>
      <c r="L2799" s="184">
        <v>2623.4029237349223</v>
      </c>
      <c r="M2799" s="184">
        <v>2378.7451412768041</v>
      </c>
      <c r="N2799" s="190"/>
      <c r="O2799" s="189">
        <f t="shared" ref="O2799:Q2800" si="170">C2799/I2799-1</f>
        <v>-8.0228257521726021E-2</v>
      </c>
      <c r="P2799" s="189">
        <f t="shared" si="170"/>
        <v>-0.30073945583274797</v>
      </c>
      <c r="Q2799" s="189">
        <f t="shared" si="170"/>
        <v>-0.49904416398008777</v>
      </c>
      <c r="U2799" s="184">
        <v>4770.0999519317238</v>
      </c>
      <c r="V2799" s="184">
        <v>4641.5483896216501</v>
      </c>
      <c r="W2799" s="184">
        <v>4619.4262693078826</v>
      </c>
      <c r="X2799" s="190"/>
      <c r="Y2799" s="189">
        <f t="shared" ref="Y2799:AA2800" si="171">C2799/U2799-1</f>
        <v>-0.18592041275205917</v>
      </c>
      <c r="Z2799" s="189">
        <f t="shared" si="171"/>
        <v>-0.43104331177396937</v>
      </c>
      <c r="AA2799" s="189">
        <f t="shared" si="171"/>
        <v>-0.67000447433737353</v>
      </c>
    </row>
    <row r="2800" spans="2:27" ht="15.75">
      <c r="B2800" s="66" t="s">
        <v>52</v>
      </c>
      <c r="C2800" s="125">
        <f>Master!U$84</f>
        <v>12989.048999999999</v>
      </c>
      <c r="D2800" s="125">
        <f>Master!V$84</f>
        <v>11204.1</v>
      </c>
      <c r="E2800" s="125">
        <f>Master!W$84</f>
        <v>7305.36</v>
      </c>
      <c r="F2800" s="125">
        <f>Master!X126</f>
        <v>0</v>
      </c>
      <c r="G2800" s="125">
        <f>Master!Y126</f>
        <v>0</v>
      </c>
      <c r="I2800" s="125">
        <v>12428.409181250001</v>
      </c>
      <c r="J2800" s="125">
        <v>12145.386001875</v>
      </c>
      <c r="K2800" s="125">
        <v>12052.357513350002</v>
      </c>
      <c r="L2800" s="125">
        <v>13397.518195815601</v>
      </c>
      <c r="M2800" s="125">
        <v>14067.394105606381</v>
      </c>
      <c r="O2800" s="116">
        <f t="shared" si="170"/>
        <v>4.510953981108079E-2</v>
      </c>
      <c r="P2800" s="116">
        <f t="shared" si="170"/>
        <v>-7.7501530353146775E-2</v>
      </c>
      <c r="Q2800" s="116">
        <f t="shared" si="170"/>
        <v>-0.3938646449951313</v>
      </c>
      <c r="U2800" s="125">
        <v>16627.819721217755</v>
      </c>
      <c r="V2800" s="125">
        <v>16904.713874546476</v>
      </c>
      <c r="W2800" s="125">
        <v>16650.2852466277</v>
      </c>
      <c r="Y2800" s="116">
        <f t="shared" si="171"/>
        <v>-0.21883631060628717</v>
      </c>
      <c r="Z2800" s="116">
        <f t="shared" si="171"/>
        <v>-0.33722037041572894</v>
      </c>
      <c r="AA2800" s="116">
        <f t="shared" si="171"/>
        <v>-0.56124715632246569</v>
      </c>
    </row>
    <row r="2801" spans="2:27" ht="15.75">
      <c r="B2801" s="185" t="s">
        <v>107</v>
      </c>
      <c r="C2801" s="186"/>
      <c r="D2801" s="186"/>
      <c r="E2801" s="186"/>
      <c r="F2801" s="186"/>
      <c r="G2801" s="186"/>
      <c r="H2801" s="190"/>
      <c r="I2801" s="186"/>
      <c r="J2801" s="186"/>
      <c r="K2801" s="186"/>
      <c r="L2801" s="186"/>
      <c r="M2801" s="186"/>
      <c r="N2801" s="190"/>
      <c r="O2801" s="681"/>
      <c r="P2801" s="681"/>
      <c r="Q2801" s="681"/>
      <c r="U2801" s="186"/>
      <c r="V2801" s="186"/>
      <c r="W2801" s="186"/>
      <c r="X2801" s="190"/>
      <c r="Y2801" s="681"/>
      <c r="Z2801" s="681"/>
      <c r="AA2801" s="681"/>
    </row>
    <row r="2802" spans="2:27" ht="15.75">
      <c r="B2802" s="74" t="s">
        <v>222</v>
      </c>
      <c r="C2802" s="470">
        <f>Master!U$87</f>
        <v>17214.16</v>
      </c>
      <c r="D2802" s="470">
        <f>Master!V$87</f>
        <v>14503.380000000001</v>
      </c>
      <c r="E2802" s="470">
        <f>Master!W$87</f>
        <v>9097.5</v>
      </c>
      <c r="F2802" s="470">
        <f>Master!X171</f>
        <v>2025</v>
      </c>
      <c r="G2802" s="470">
        <f>Master!Y171</f>
        <v>2026</v>
      </c>
      <c r="I2802" s="470">
        <v>16650.3708057035</v>
      </c>
      <c r="J2802" s="470">
        <v>15922.004062236136</v>
      </c>
      <c r="K2802" s="470">
        <v>15095.320366345706</v>
      </c>
      <c r="L2802" s="470">
        <v>16020.921119550523</v>
      </c>
      <c r="M2802" s="470">
        <v>16446.139246883184</v>
      </c>
      <c r="O2802" s="127">
        <f>C2802/I2802-1</f>
        <v>3.3860458777493108E-2</v>
      </c>
      <c r="P2802" s="127">
        <f>D2802/J2802-1</f>
        <v>-8.9098335654921201E-2</v>
      </c>
      <c r="Q2802" s="127">
        <f>E2802/K2802-1</f>
        <v>-0.39732978305763944</v>
      </c>
      <c r="U2802" s="470">
        <v>18725.801645243599</v>
      </c>
      <c r="V2802" s="470">
        <v>18921.102459710099</v>
      </c>
      <c r="W2802" s="470">
        <v>19979.909307101902</v>
      </c>
      <c r="Y2802" s="127">
        <f>C2802/U2802-1</f>
        <v>-8.0725069819777784E-2</v>
      </c>
      <c r="Z2802" s="127">
        <f>D2802/V2802-1</f>
        <v>-0.23348123974895407</v>
      </c>
      <c r="AA2802" s="127">
        <f>E2802/W2802-1</f>
        <v>-0.54466760283209725</v>
      </c>
    </row>
    <row r="2803" spans="2:27" ht="15.75">
      <c r="B2803" s="183"/>
      <c r="C2803" s="183"/>
      <c r="D2803" s="183"/>
      <c r="E2803" s="183"/>
      <c r="F2803" s="183"/>
      <c r="G2803" s="183"/>
      <c r="H2803" s="190"/>
      <c r="I2803" s="183"/>
      <c r="J2803" s="183"/>
      <c r="K2803" s="183"/>
      <c r="L2803" s="183"/>
      <c r="M2803" s="183"/>
      <c r="N2803" s="190"/>
      <c r="O2803" s="183"/>
      <c r="P2803" s="183"/>
      <c r="Q2803" s="183"/>
      <c r="U2803" s="183"/>
      <c r="V2803" s="183"/>
      <c r="W2803" s="183"/>
      <c r="X2803" s="190"/>
      <c r="Y2803" s="183"/>
      <c r="Z2803" s="183"/>
      <c r="AA2803" s="183"/>
    </row>
    <row r="2804" spans="2:27" ht="15.75">
      <c r="B2804" s="74" t="s">
        <v>36</v>
      </c>
      <c r="C2804" s="66"/>
      <c r="D2804" s="66"/>
      <c r="E2804" s="66"/>
      <c r="F2804" s="66"/>
      <c r="G2804" s="66"/>
      <c r="I2804" s="66"/>
      <c r="J2804" s="66"/>
      <c r="K2804" s="66"/>
      <c r="L2804" s="66"/>
      <c r="M2804" s="66"/>
      <c r="O2804" s="66"/>
      <c r="P2804" s="66"/>
      <c r="Q2804" s="66"/>
      <c r="U2804" s="66"/>
      <c r="V2804" s="66"/>
      <c r="W2804" s="66"/>
      <c r="Y2804" s="66"/>
      <c r="Z2804" s="66"/>
      <c r="AA2804" s="66"/>
    </row>
    <row r="2805" spans="2:27" ht="15.75">
      <c r="B2805" s="183" t="s">
        <v>97</v>
      </c>
      <c r="C2805" s="184">
        <f t="shared" ref="C2805:E2808" si="172">C2793-C2799</f>
        <v>2533.0889999999999</v>
      </c>
      <c r="D2805" s="184">
        <f t="shared" si="172"/>
        <v>3090.56</v>
      </c>
      <c r="E2805" s="184">
        <f t="shared" si="172"/>
        <v>3147.9259999999995</v>
      </c>
      <c r="F2805" s="184">
        <f t="shared" ref="F2805:G2808" si="173">F2793-F2799</f>
        <v>644.84376560424744</v>
      </c>
      <c r="G2805" s="184">
        <f t="shared" si="173"/>
        <v>822.11080080443662</v>
      </c>
      <c r="H2805" s="190"/>
      <c r="I2805" s="184">
        <v>3628.6486192308248</v>
      </c>
      <c r="J2805" s="184">
        <v>4121.2312028833603</v>
      </c>
      <c r="K2805" s="184">
        <v>4605.9728096247763</v>
      </c>
      <c r="L2805" s="184">
        <v>5050.439309761864</v>
      </c>
      <c r="M2805" s="184">
        <v>5146.4290770293037</v>
      </c>
      <c r="N2805" s="190"/>
      <c r="O2805" s="189">
        <f t="shared" ref="O2805:Q2808" si="174">C2805/I2805-1</f>
        <v>-0.30191945657803976</v>
      </c>
      <c r="P2805" s="189">
        <f t="shared" si="174"/>
        <v>-0.25008817805763139</v>
      </c>
      <c r="Q2805" s="189">
        <f t="shared" si="174"/>
        <v>-0.31655567018936792</v>
      </c>
      <c r="U2805" s="184">
        <f t="shared" ref="U2805:W2808" si="175">U2793-U2799</f>
        <v>3098.5041624559208</v>
      </c>
      <c r="V2805" s="184">
        <f t="shared" si="175"/>
        <v>3880.9511448381945</v>
      </c>
      <c r="W2805" s="184">
        <f t="shared" si="175"/>
        <v>4385.1607017055931</v>
      </c>
      <c r="X2805" s="190"/>
      <c r="Y2805" s="189">
        <f t="shared" ref="Y2805:AA2808" si="176">C2805/U2805-1</f>
        <v>-0.18248003966138437</v>
      </c>
      <c r="Z2805" s="189">
        <f t="shared" si="176"/>
        <v>-0.20365913286217052</v>
      </c>
      <c r="AA2805" s="189">
        <f t="shared" si="176"/>
        <v>-0.28214124541077257</v>
      </c>
    </row>
    <row r="2806" spans="2:27" ht="15.75">
      <c r="B2806" s="66" t="s">
        <v>52</v>
      </c>
      <c r="C2806" s="125">
        <f t="shared" si="172"/>
        <v>6913.7510000000002</v>
      </c>
      <c r="D2806" s="125">
        <f t="shared" si="172"/>
        <v>7523.4</v>
      </c>
      <c r="E2806" s="125">
        <f t="shared" si="172"/>
        <v>11180.239999999998</v>
      </c>
      <c r="F2806" s="125">
        <f t="shared" si="173"/>
        <v>645</v>
      </c>
      <c r="G2806" s="125">
        <f t="shared" si="173"/>
        <v>822.24052330950258</v>
      </c>
      <c r="I2806" s="125">
        <v>8367.6418249999988</v>
      </c>
      <c r="J2806" s="125">
        <v>9638.785061062501</v>
      </c>
      <c r="K2806" s="125">
        <v>10984.08037012125</v>
      </c>
      <c r="L2806" s="125">
        <v>11570.583896386199</v>
      </c>
      <c r="M2806" s="125">
        <v>12149.113091205512</v>
      </c>
      <c r="O2806" s="116">
        <f t="shared" si="174"/>
        <v>-0.17375156052404273</v>
      </c>
      <c r="P2806" s="116">
        <f t="shared" si="174"/>
        <v>-0.21946594385717311</v>
      </c>
      <c r="Q2806" s="116">
        <f t="shared" si="174"/>
        <v>1.78585392011823E-2</v>
      </c>
      <c r="U2806" s="125">
        <f t="shared" si="175"/>
        <v>4389.270521550945</v>
      </c>
      <c r="V2806" s="125">
        <f t="shared" si="175"/>
        <v>6006.1450148201729</v>
      </c>
      <c r="W2806" s="125">
        <f t="shared" si="175"/>
        <v>8037.75587031135</v>
      </c>
      <c r="Y2806" s="116">
        <f t="shared" si="176"/>
        <v>0.57514807211222707</v>
      </c>
      <c r="Z2806" s="116">
        <f t="shared" si="176"/>
        <v>0.2526171082176667</v>
      </c>
      <c r="AA2806" s="116">
        <f t="shared" si="176"/>
        <v>0.39096536152533345</v>
      </c>
    </row>
    <row r="2807" spans="2:27" ht="15.75">
      <c r="B2807" s="185" t="s">
        <v>107</v>
      </c>
      <c r="C2807" s="186">
        <f t="shared" si="172"/>
        <v>-783.10000000000218</v>
      </c>
      <c r="D2807" s="186">
        <f t="shared" si="172"/>
        <v>-334.29999999999563</v>
      </c>
      <c r="E2807" s="186">
        <f t="shared" si="172"/>
        <v>-5465.9000000000015</v>
      </c>
      <c r="F2807" s="186">
        <f t="shared" si="173"/>
        <v>-1289.7930201670567</v>
      </c>
      <c r="G2807" s="186">
        <f t="shared" si="173"/>
        <v>-1644.2309119701465</v>
      </c>
      <c r="H2807" s="190"/>
      <c r="I2807" s="186">
        <v>-1042.4500000000007</v>
      </c>
      <c r="J2807" s="186">
        <v>-1080.5867499999949</v>
      </c>
      <c r="K2807" s="186">
        <v>-1118.9205512499975</v>
      </c>
      <c r="L2807" s="186">
        <v>-2162.4753838021861</v>
      </c>
      <c r="M2807" s="186">
        <v>-2205.3184945592184</v>
      </c>
      <c r="N2807" s="190"/>
      <c r="O2807" s="681">
        <f t="shared" si="174"/>
        <v>-0.24878891073912257</v>
      </c>
      <c r="P2807" s="681">
        <f t="shared" si="174"/>
        <v>-0.69063103910907919</v>
      </c>
      <c r="Q2807" s="681">
        <f t="shared" si="174"/>
        <v>3.8849759653567837</v>
      </c>
      <c r="U2807" s="186">
        <f t="shared" si="175"/>
        <v>1224.4033722026149</v>
      </c>
      <c r="V2807" s="186">
        <f t="shared" si="175"/>
        <v>1431.0058058127449</v>
      </c>
      <c r="W2807" s="186">
        <f t="shared" si="175"/>
        <v>1512.9526496077549</v>
      </c>
      <c r="X2807" s="190"/>
      <c r="Y2807" s="681">
        <f t="shared" si="176"/>
        <v>-1.6395768075934491</v>
      </c>
      <c r="Z2807" s="681">
        <f t="shared" si="176"/>
        <v>-1.2336119103375187</v>
      </c>
      <c r="AA2807" s="681">
        <f t="shared" si="176"/>
        <v>-4.6127369891034462</v>
      </c>
    </row>
    <row r="2808" spans="2:27" ht="15.75">
      <c r="B2808" s="74" t="s">
        <v>222</v>
      </c>
      <c r="C2808" s="470">
        <f t="shared" si="172"/>
        <v>8321.869999999999</v>
      </c>
      <c r="D2808" s="470">
        <f t="shared" si="172"/>
        <v>9621.2200000000012</v>
      </c>
      <c r="E2808" s="470">
        <f t="shared" si="172"/>
        <v>8594.515999999996</v>
      </c>
      <c r="F2808" s="470">
        <f t="shared" si="173"/>
        <v>-2024.7930201670567</v>
      </c>
      <c r="G2808" s="470">
        <f t="shared" si="173"/>
        <v>-2025.7498653511414</v>
      </c>
      <c r="I2808" s="470">
        <v>10953.840444230824</v>
      </c>
      <c r="J2808" s="470">
        <v>12679.429513945865</v>
      </c>
      <c r="K2808" s="470">
        <v>14471.132628496027</v>
      </c>
      <c r="L2808" s="470">
        <v>14458.547822345878</v>
      </c>
      <c r="M2808" s="470">
        <v>15090.223673675599</v>
      </c>
      <c r="O2808" s="127">
        <f t="shared" si="174"/>
        <v>-0.24027832591052878</v>
      </c>
      <c r="P2808" s="127">
        <f t="shared" si="174"/>
        <v>-0.24119456719895771</v>
      </c>
      <c r="Q2808" s="127">
        <f t="shared" si="174"/>
        <v>-0.4060923757221333</v>
      </c>
      <c r="U2808" s="470">
        <f t="shared" si="175"/>
        <v>9634.6390188036021</v>
      </c>
      <c r="V2808" s="470">
        <f t="shared" si="175"/>
        <v>11377.927034331053</v>
      </c>
      <c r="W2808" s="470">
        <f t="shared" si="175"/>
        <v>12516.347010735099</v>
      </c>
      <c r="Y2808" s="127">
        <f t="shared" si="176"/>
        <v>-0.13625513278094958</v>
      </c>
      <c r="Z2808" s="127">
        <f t="shared" si="176"/>
        <v>-0.15439605378294941</v>
      </c>
      <c r="AA2808" s="127">
        <f t="shared" si="176"/>
        <v>-0.31333671137204822</v>
      </c>
    </row>
    <row r="2809" spans="2:27" ht="15.75">
      <c r="B2809" s="183"/>
      <c r="C2809" s="183"/>
      <c r="D2809" s="183"/>
      <c r="E2809" s="183"/>
      <c r="F2809" s="183"/>
      <c r="G2809" s="183"/>
      <c r="H2809" s="190"/>
      <c r="I2809" s="183"/>
      <c r="J2809" s="183"/>
      <c r="K2809" s="183"/>
      <c r="L2809" s="183"/>
      <c r="M2809" s="183"/>
      <c r="N2809" s="190"/>
      <c r="O2809" s="183"/>
      <c r="P2809" s="183"/>
      <c r="Q2809" s="183"/>
      <c r="U2809" s="183"/>
      <c r="V2809" s="183"/>
      <c r="W2809" s="183"/>
      <c r="X2809" s="190"/>
      <c r="Y2809" s="183"/>
      <c r="Z2809" s="183"/>
      <c r="AA2809" s="183"/>
    </row>
    <row r="2810" spans="2:27" ht="15.75">
      <c r="B2810" s="217" t="s">
        <v>2084</v>
      </c>
      <c r="C2810" s="682">
        <f>Valuation!R$33</f>
        <v>-693.02896568871233</v>
      </c>
      <c r="D2810" s="682">
        <f>Valuation!S$33</f>
        <v>-242.45564971751406</v>
      </c>
      <c r="E2810" s="682">
        <f>Valuation!T$33</f>
        <v>83.947568306010737</v>
      </c>
      <c r="F2810" s="682">
        <f>Valuation!U66</f>
        <v>4.722946933086285</v>
      </c>
      <c r="G2810" s="682">
        <f ca="1">Valuation!V66</f>
        <v>4.3589403889587848</v>
      </c>
      <c r="H2810" s="61"/>
      <c r="I2810" s="682">
        <v>191.95461088007028</v>
      </c>
      <c r="J2810" s="682">
        <v>342.41536776866855</v>
      </c>
      <c r="K2810" s="682">
        <v>506.55541334201956</v>
      </c>
      <c r="L2810" s="682">
        <v>641.3361954928497</v>
      </c>
      <c r="M2810" s="682">
        <v>619.62360740360668</v>
      </c>
      <c r="N2810" s="61"/>
      <c r="O2810" s="123">
        <f>C2810/I2810-1</f>
        <v>-4.6103793626593532</v>
      </c>
      <c r="P2810" s="123">
        <f>D2810/J2810-1</f>
        <v>-1.7080746734513212</v>
      </c>
      <c r="Q2810" s="123">
        <f>E2810/K2810-1</f>
        <v>-0.83427762077960377</v>
      </c>
      <c r="U2810" s="682"/>
      <c r="V2810" s="682"/>
      <c r="W2810" s="682"/>
      <c r="X2810" s="61"/>
      <c r="Y2810" s="123"/>
      <c r="Z2810" s="123"/>
      <c r="AA2810" s="123"/>
    </row>
    <row r="2811" spans="2:27" ht="15.75">
      <c r="B2811" s="66"/>
      <c r="C2811" s="66"/>
      <c r="D2811" s="66"/>
      <c r="E2811" s="66"/>
      <c r="F2811" s="66"/>
      <c r="G2811" s="66"/>
    </row>
    <row r="2812" spans="2:27" ht="15.75">
      <c r="B2812" s="66"/>
      <c r="C2812" s="66"/>
      <c r="D2812" s="66"/>
      <c r="E2812" s="66"/>
      <c r="F2812" s="66"/>
      <c r="G2812" s="66"/>
    </row>
    <row r="2813" spans="2:27" ht="15.75">
      <c r="B2813" s="611" t="s">
        <v>2086</v>
      </c>
      <c r="C2813" s="66"/>
      <c r="D2813" s="66"/>
      <c r="E2813" s="66"/>
      <c r="F2813" s="66"/>
      <c r="G2813" s="66"/>
    </row>
    <row r="2814" spans="2:27" ht="15.75">
      <c r="B2814" s="66"/>
      <c r="C2814" s="111" t="s">
        <v>2087</v>
      </c>
      <c r="D2814" s="111" t="s">
        <v>2088</v>
      </c>
      <c r="E2814" s="66"/>
      <c r="F2814" s="66"/>
      <c r="G2814" s="66"/>
    </row>
    <row r="2815" spans="2:27" ht="15.75">
      <c r="B2815" t="s">
        <v>2089</v>
      </c>
      <c r="C2815" s="71">
        <f>Interims!BJ18+Interims!BK18+Interims!BL18</f>
        <v>5336.5</v>
      </c>
      <c r="D2815" s="71">
        <f>D2817*D2816</f>
        <v>4173.1855999999998</v>
      </c>
      <c r="E2815" s="66"/>
      <c r="F2815" s="66"/>
      <c r="G2815" s="66"/>
    </row>
    <row r="2816" spans="2:27" ht="15.75">
      <c r="B2816" s="66" t="s">
        <v>2090</v>
      </c>
      <c r="C2816" s="71">
        <f>Interims!BJ21+Interims!BK21+Interims!BL21</f>
        <v>56394.399999999994</v>
      </c>
      <c r="D2816" s="4">
        <f>C2816</f>
        <v>56394.399999999994</v>
      </c>
      <c r="E2816" s="71"/>
      <c r="F2816" s="66"/>
      <c r="G2816" s="66"/>
    </row>
    <row r="2817" spans="2:8" ht="15.75">
      <c r="B2817" s="66" t="s">
        <v>379</v>
      </c>
      <c r="C2817" s="116">
        <f>C2815/C2816</f>
        <v>9.4628190033052936E-2</v>
      </c>
      <c r="D2817" s="9">
        <v>7.3999999999999996E-2</v>
      </c>
      <c r="E2817" s="66"/>
      <c r="F2817" s="66"/>
      <c r="G2817" s="66"/>
    </row>
    <row r="2818" spans="2:8" ht="15.75">
      <c r="D2818" s="66"/>
      <c r="E2818" s="66"/>
      <c r="F2818" s="66"/>
      <c r="G2818" s="66"/>
    </row>
    <row r="2819" spans="2:8" ht="15.75">
      <c r="B2819" s="66" t="s">
        <v>2091</v>
      </c>
      <c r="C2819" s="66">
        <f>Interims!BJ33+Interims!BK33+Interims!BL33</f>
        <v>1191.7</v>
      </c>
      <c r="D2819" s="71">
        <f>D2821*D2820</f>
        <v>724.1966000000001</v>
      </c>
      <c r="E2819" s="66"/>
      <c r="F2819" s="66"/>
      <c r="G2819" s="66"/>
    </row>
    <row r="2820" spans="2:8" ht="15.75">
      <c r="B2820" s="66" t="s">
        <v>1612</v>
      </c>
      <c r="C2820" s="66">
        <f>Interims!BJ34+Interims!BK34+Interims!BL34</f>
        <v>21299.9</v>
      </c>
      <c r="D2820" s="4">
        <f>C2820</f>
        <v>21299.9</v>
      </c>
      <c r="E2820" s="66"/>
      <c r="F2820" s="66"/>
      <c r="G2820" s="66"/>
    </row>
    <row r="2821" spans="2:8" ht="15.75">
      <c r="B2821" s="66" t="s">
        <v>379</v>
      </c>
      <c r="C2821" s="116">
        <f>C2819/C2820</f>
        <v>5.5948619477086743E-2</v>
      </c>
      <c r="D2821" s="9">
        <v>3.4000000000000002E-2</v>
      </c>
      <c r="E2821" s="66"/>
      <c r="F2821" s="66"/>
      <c r="G2821" s="66"/>
    </row>
    <row r="2822" spans="2:8" ht="15.75">
      <c r="B2822" s="66"/>
      <c r="D2822" s="66"/>
      <c r="E2822" s="66"/>
      <c r="F2822" s="66"/>
      <c r="G2822" s="66"/>
    </row>
    <row r="2823" spans="2:8" ht="15.75">
      <c r="B2823" s="217" t="s">
        <v>107</v>
      </c>
      <c r="C2823" s="217"/>
      <c r="D2823" s="388" t="s">
        <v>2087</v>
      </c>
      <c r="E2823" s="388" t="s">
        <v>2092</v>
      </c>
      <c r="F2823" s="66"/>
      <c r="G2823" s="66"/>
      <c r="H2823" s="388" t="s">
        <v>2092</v>
      </c>
    </row>
    <row r="2824" spans="2:8" ht="15.75">
      <c r="B2824" s="66" t="s">
        <v>33</v>
      </c>
      <c r="C2824" s="66"/>
      <c r="D2824" s="71">
        <f>D2815</f>
        <v>4173.1855999999998</v>
      </c>
      <c r="E2824" s="71">
        <f>D2824*4/3</f>
        <v>5564.2474666666667</v>
      </c>
      <c r="F2824" s="66"/>
      <c r="G2824" s="66"/>
      <c r="H2824" s="4">
        <f>E2824*1.1</f>
        <v>6120.6722133333342</v>
      </c>
    </row>
    <row r="2825" spans="2:8" ht="15.75">
      <c r="B2825" s="66" t="s">
        <v>34</v>
      </c>
      <c r="C2825" s="66"/>
      <c r="D2825" s="71">
        <f>D2819</f>
        <v>724.1966000000001</v>
      </c>
      <c r="E2825" s="71">
        <f>D2825*4/3</f>
        <v>965.59546666666677</v>
      </c>
      <c r="F2825" s="66"/>
      <c r="G2825" s="66"/>
      <c r="H2825" s="4">
        <f>E2825*1.1</f>
        <v>1062.1550133333335</v>
      </c>
    </row>
    <row r="2826" spans="2:8" ht="15.75">
      <c r="B2826" s="66" t="s">
        <v>834</v>
      </c>
      <c r="C2826" s="66"/>
      <c r="D2826" s="69">
        <f>D2825/D2824</f>
        <v>0.17353567979339335</v>
      </c>
      <c r="E2826" s="69">
        <f>E2825/E2824</f>
        <v>0.17353567979339335</v>
      </c>
      <c r="F2826" s="66"/>
      <c r="G2826" s="66"/>
      <c r="H2826" s="69">
        <f>H2825/H2824</f>
        <v>0.17353567979339332</v>
      </c>
    </row>
    <row r="2827" spans="2:8" ht="15.75">
      <c r="B2827" s="66"/>
      <c r="C2827" s="66"/>
      <c r="D2827" s="66"/>
      <c r="E2827" s="66"/>
      <c r="F2827" s="66"/>
      <c r="G2827" s="66"/>
    </row>
    <row r="2828" spans="2:8" ht="15.75">
      <c r="B2828" s="217" t="s">
        <v>2093</v>
      </c>
      <c r="C2828" s="217"/>
      <c r="D2828" s="388" t="s">
        <v>2087</v>
      </c>
      <c r="E2828" s="388" t="s">
        <v>2092</v>
      </c>
      <c r="F2828" s="66"/>
      <c r="G2828" s="66"/>
      <c r="H2828" s="388" t="s">
        <v>2092</v>
      </c>
    </row>
    <row r="2829" spans="2:8" ht="15.75">
      <c r="B2829" s="66" t="str">
        <f>B2824</f>
        <v>Revenue</v>
      </c>
      <c r="C2829" s="66"/>
      <c r="D2829" s="66"/>
      <c r="E2829" s="66"/>
      <c r="F2829" s="66"/>
      <c r="G2829" s="66"/>
      <c r="H2829" s="4">
        <f>H2824/20</f>
        <v>306.03361066666673</v>
      </c>
    </row>
    <row r="2830" spans="2:8" ht="15.75">
      <c r="B2830" s="66" t="str">
        <f>B2825</f>
        <v>EBITDA</v>
      </c>
      <c r="C2830" s="66"/>
      <c r="D2830" s="66"/>
      <c r="E2830" s="66"/>
      <c r="F2830" s="66"/>
      <c r="G2830" s="66"/>
      <c r="H2830" s="4">
        <f>H2825/20</f>
        <v>53.107750666666675</v>
      </c>
    </row>
    <row r="2831" spans="2:8" ht="15.75">
      <c r="B2831" s="66"/>
      <c r="C2831" s="66"/>
      <c r="D2831" s="66"/>
      <c r="E2831" s="66"/>
      <c r="F2831" s="66"/>
      <c r="G2831" s="66"/>
    </row>
    <row r="2832" spans="2:8" ht="15.75">
      <c r="B2832" s="66" t="s">
        <v>1481</v>
      </c>
      <c r="C2832" s="66"/>
      <c r="D2832" s="66"/>
      <c r="E2832" s="66"/>
      <c r="F2832" s="66"/>
      <c r="G2832" s="66"/>
      <c r="H2832">
        <v>10</v>
      </c>
    </row>
    <row r="2833" spans="2:17" ht="15.75">
      <c r="B2833" s="66" t="s">
        <v>77</v>
      </c>
      <c r="C2833" s="66"/>
      <c r="D2833" s="66"/>
      <c r="E2833" s="66"/>
      <c r="F2833" s="66"/>
      <c r="G2833" s="66"/>
      <c r="H2833">
        <f>H2825*10</f>
        <v>10621.550133333334</v>
      </c>
    </row>
    <row r="2834" spans="2:17" ht="15.75">
      <c r="B2834" s="66"/>
      <c r="C2834" s="66"/>
      <c r="D2834" s="66"/>
      <c r="E2834" s="66"/>
      <c r="F2834" s="66"/>
      <c r="G2834" s="66"/>
    </row>
    <row r="2835" spans="2:17" ht="15.75">
      <c r="B2835" s="66"/>
      <c r="C2835" s="66"/>
      <c r="D2835" s="66"/>
      <c r="E2835" s="66"/>
      <c r="F2835" s="66"/>
      <c r="G2835" s="66"/>
    </row>
    <row r="2836" spans="2:17" ht="15.75">
      <c r="B2836" s="66"/>
      <c r="C2836" s="66"/>
      <c r="D2836" s="66"/>
      <c r="E2836" s="66"/>
      <c r="F2836" s="66"/>
      <c r="G2836" s="66"/>
    </row>
    <row r="2837" spans="2:17" ht="15.75">
      <c r="B2837" s="66"/>
      <c r="C2837" s="66"/>
      <c r="D2837" s="66"/>
      <c r="E2837" s="66"/>
      <c r="F2837" s="66"/>
      <c r="G2837" s="66"/>
    </row>
    <row r="2838" spans="2:17" ht="15.75">
      <c r="B2838" s="66"/>
      <c r="C2838" s="66"/>
      <c r="D2838" s="66"/>
      <c r="E2838" s="66"/>
      <c r="F2838" s="66"/>
      <c r="G2838" s="66"/>
    </row>
    <row r="2839" spans="2:17" ht="15.75">
      <c r="B2839" s="66"/>
      <c r="C2839" s="66"/>
      <c r="D2839" s="66"/>
      <c r="E2839" s="66"/>
      <c r="F2839" s="66"/>
      <c r="G2839" s="66"/>
    </row>
    <row r="2840" spans="2:17" ht="15.75">
      <c r="B2840" s="66"/>
      <c r="C2840" s="66"/>
      <c r="D2840" s="66"/>
      <c r="E2840" s="66"/>
      <c r="F2840" s="66"/>
      <c r="G2840" s="66"/>
    </row>
    <row r="2841" spans="2:17" ht="15.75">
      <c r="B2841" s="66"/>
      <c r="C2841" s="66"/>
      <c r="D2841" s="66"/>
      <c r="E2841" s="66"/>
      <c r="F2841" s="66"/>
      <c r="G2841" s="66"/>
    </row>
    <row r="2842" spans="2:17" ht="15.75">
      <c r="B2842" s="66"/>
      <c r="C2842" s="66"/>
      <c r="D2842" s="66"/>
      <c r="E2842" s="66"/>
      <c r="F2842" s="66"/>
      <c r="G2842" s="66"/>
    </row>
    <row r="2843" spans="2:17" ht="15.75">
      <c r="B2843" s="66"/>
      <c r="C2843" s="66"/>
      <c r="D2843" s="66"/>
      <c r="E2843" s="66"/>
      <c r="F2843" s="66"/>
      <c r="G2843" s="66"/>
    </row>
    <row r="2844" spans="2:17" ht="15.75">
      <c r="B2844" s="66"/>
      <c r="C2844" s="66"/>
      <c r="D2844" s="66"/>
      <c r="E2844" s="66"/>
      <c r="F2844" s="66"/>
      <c r="G2844" s="66"/>
    </row>
    <row r="2845" spans="2:17" ht="15.75">
      <c r="B2845" s="66"/>
      <c r="C2845" s="66"/>
      <c r="D2845" s="66"/>
      <c r="E2845" s="66"/>
      <c r="F2845" s="66"/>
      <c r="G2845" s="66"/>
    </row>
    <row r="2846" spans="2:17">
      <c r="B2846" s="149" t="s">
        <v>2094</v>
      </c>
      <c r="C2846" s="149">
        <v>2012</v>
      </c>
      <c r="D2846" s="149">
        <f t="shared" ref="D2846:Q2846" si="177">C2846+1</f>
        <v>2013</v>
      </c>
      <c r="E2846" s="149">
        <f t="shared" si="177"/>
        <v>2014</v>
      </c>
      <c r="F2846" s="149">
        <f t="shared" si="177"/>
        <v>2015</v>
      </c>
      <c r="G2846" s="149">
        <f t="shared" si="177"/>
        <v>2016</v>
      </c>
      <c r="H2846" s="149">
        <f t="shared" si="177"/>
        <v>2017</v>
      </c>
      <c r="I2846" s="149">
        <f t="shared" si="177"/>
        <v>2018</v>
      </c>
      <c r="J2846" s="149">
        <f t="shared" si="177"/>
        <v>2019</v>
      </c>
      <c r="K2846" s="149">
        <f t="shared" si="177"/>
        <v>2020</v>
      </c>
      <c r="L2846" s="149">
        <f t="shared" si="177"/>
        <v>2021</v>
      </c>
      <c r="M2846" s="149">
        <f t="shared" si="177"/>
        <v>2022</v>
      </c>
      <c r="N2846" s="149">
        <f t="shared" si="177"/>
        <v>2023</v>
      </c>
      <c r="O2846" s="149">
        <f t="shared" si="177"/>
        <v>2024</v>
      </c>
      <c r="P2846" s="149">
        <f t="shared" si="177"/>
        <v>2025</v>
      </c>
      <c r="Q2846" s="149">
        <f t="shared" si="177"/>
        <v>2026</v>
      </c>
    </row>
    <row r="2847" spans="2:17">
      <c r="B2847" t="s">
        <v>468</v>
      </c>
      <c r="C2847" s="4">
        <v>150.37878787878788</v>
      </c>
      <c r="D2847" s="4">
        <v>156.73981191222572</v>
      </c>
      <c r="E2847" s="4">
        <v>175.6390977443609</v>
      </c>
      <c r="F2847" s="4">
        <v>228.18181818181819</v>
      </c>
      <c r="G2847" s="4">
        <v>257.88359788359793</v>
      </c>
      <c r="H2847" s="4">
        <v>253.62162162162161</v>
      </c>
      <c r="I2847" s="4">
        <v>299.64182291666668</v>
      </c>
      <c r="J2847" s="4">
        <v>339.48051948051949</v>
      </c>
      <c r="K2847" s="4">
        <v>404.05</v>
      </c>
      <c r="L2847" s="4">
        <v>466.67157991254754</v>
      </c>
      <c r="M2847" s="4">
        <v>535.71954210949787</v>
      </c>
      <c r="N2847" s="4">
        <v>585.70498024143126</v>
      </c>
      <c r="O2847" s="4">
        <v>559.23877337491319</v>
      </c>
      <c r="P2847" s="4">
        <v>518.91016886716159</v>
      </c>
      <c r="Q2847" s="4">
        <v>460.48231365684933</v>
      </c>
    </row>
    <row r="2848" spans="2:17">
      <c r="B2848" t="s">
        <v>467</v>
      </c>
      <c r="C2848" s="4">
        <f>Master!K92</f>
        <v>455</v>
      </c>
      <c r="D2848" s="4">
        <f>Master!L92</f>
        <v>599.9</v>
      </c>
      <c r="E2848" s="4">
        <f>Master!M92</f>
        <v>702.9</v>
      </c>
      <c r="F2848" s="4">
        <f>Master!N92</f>
        <v>1077.2</v>
      </c>
      <c r="G2848" s="4">
        <f>Master!O92</f>
        <v>984.2</v>
      </c>
      <c r="H2848" s="4">
        <f>Master!P92</f>
        <v>559.70000000000005</v>
      </c>
      <c r="I2848" s="4">
        <f>Master!Q92</f>
        <v>665</v>
      </c>
      <c r="J2848" s="4">
        <f>Master!R92</f>
        <v>673.6</v>
      </c>
      <c r="K2848" s="4">
        <f>Master!S92</f>
        <v>662.5</v>
      </c>
      <c r="L2848" s="4">
        <f>Master!T92</f>
        <v>854.5</v>
      </c>
      <c r="M2848" s="4">
        <f>Master!U92</f>
        <v>645.9</v>
      </c>
      <c r="N2848" s="4">
        <f>Master!V92</f>
        <v>633</v>
      </c>
      <c r="O2848" s="4">
        <f>Master!W92</f>
        <v>399.2</v>
      </c>
      <c r="P2848" s="4">
        <f>Master!X92</f>
        <v>539.65412720258473</v>
      </c>
      <c r="Q2848" s="4">
        <f>Master!Y92</f>
        <v>739.71304274514898</v>
      </c>
    </row>
    <row r="2849" spans="2:7" ht="15.75">
      <c r="B2849" s="66"/>
      <c r="C2849" s="66"/>
      <c r="D2849" s="66"/>
      <c r="E2849" s="66"/>
      <c r="F2849" s="66"/>
      <c r="G2849" s="66"/>
    </row>
    <row r="2850" spans="2:7" ht="15.75">
      <c r="B2850" s="74" t="s">
        <v>2095</v>
      </c>
      <c r="C2850" s="66"/>
      <c r="D2850" s="66"/>
      <c r="E2850" s="66"/>
      <c r="F2850" s="66"/>
      <c r="G2850" s="66"/>
    </row>
    <row r="2851" spans="2:7" ht="15.75">
      <c r="B2851" s="66"/>
      <c r="C2851" s="66"/>
      <c r="D2851" s="66"/>
      <c r="E2851" s="66"/>
      <c r="F2851" s="66"/>
      <c r="G2851" s="66"/>
    </row>
    <row r="2852" spans="2:7" ht="15.75">
      <c r="B2852" s="66" t="s">
        <v>761</v>
      </c>
      <c r="C2852" s="66">
        <v>12.3</v>
      </c>
      <c r="D2852" s="66"/>
      <c r="E2852" s="66"/>
      <c r="F2852" s="66"/>
      <c r="G2852" s="66"/>
    </row>
    <row r="2853" spans="2:7" ht="15.75">
      <c r="B2853" s="66" t="s">
        <v>2096</v>
      </c>
      <c r="C2853" s="66">
        <f>C2852*4</f>
        <v>49.2</v>
      </c>
      <c r="D2853" s="66"/>
      <c r="E2853" s="66"/>
      <c r="F2853" s="66"/>
      <c r="G2853" s="66"/>
    </row>
    <row r="2854" spans="2:7" ht="15.75">
      <c r="B2854" s="66" t="s">
        <v>894</v>
      </c>
      <c r="C2854" s="66">
        <v>1</v>
      </c>
      <c r="D2854" s="66"/>
      <c r="E2854" s="66"/>
      <c r="F2854" s="66"/>
      <c r="G2854" s="66"/>
    </row>
    <row r="2855" spans="2:7" ht="15.75">
      <c r="B2855" s="66" t="s">
        <v>2064</v>
      </c>
      <c r="C2855" s="66">
        <f>C2853/C2854/12</f>
        <v>4.1000000000000005</v>
      </c>
      <c r="D2855" s="66"/>
      <c r="E2855" s="66"/>
      <c r="F2855" s="66"/>
      <c r="G2855" s="66"/>
    </row>
    <row r="2856" spans="2:7" ht="15.75">
      <c r="B2856" s="66"/>
      <c r="C2856" s="66"/>
      <c r="D2856" s="66"/>
      <c r="E2856" s="66"/>
      <c r="F2856" s="66"/>
      <c r="G2856" s="66"/>
    </row>
    <row r="2857" spans="2:7" ht="15.75">
      <c r="B2857" s="66"/>
      <c r="C2857" s="66"/>
      <c r="D2857" s="66"/>
      <c r="E2857" s="66"/>
      <c r="F2857" s="66"/>
      <c r="G2857" s="66"/>
    </row>
    <row r="2858" spans="2:7" ht="15.75">
      <c r="B2858" s="66"/>
      <c r="C2858" s="66"/>
      <c r="D2858" s="66"/>
      <c r="E2858" s="66"/>
      <c r="F2858" s="66"/>
      <c r="G2858" s="66"/>
    </row>
    <row r="2859" spans="2:7" ht="15.75">
      <c r="B2859" s="66"/>
      <c r="C2859" s="66"/>
      <c r="D2859" s="66"/>
      <c r="E2859" s="66"/>
      <c r="F2859" s="66"/>
      <c r="G2859" s="66"/>
    </row>
    <row r="2860" spans="2:7" ht="15.75">
      <c r="B2860" s="66"/>
      <c r="C2860" s="66"/>
      <c r="D2860" s="66"/>
      <c r="E2860" s="66"/>
      <c r="F2860" s="66"/>
      <c r="G2860" s="66"/>
    </row>
    <row r="2861" spans="2:7" ht="15.75">
      <c r="B2861" s="66"/>
      <c r="C2861" s="66"/>
      <c r="D2861" s="66"/>
      <c r="E2861" s="66"/>
      <c r="F2861" s="66"/>
      <c r="G2861" s="66"/>
    </row>
    <row r="2862" spans="2:7" ht="15.75">
      <c r="B2862" s="66"/>
      <c r="C2862" s="66"/>
      <c r="D2862" s="66"/>
      <c r="E2862" s="66"/>
      <c r="F2862" s="66"/>
      <c r="G2862" s="66"/>
    </row>
    <row r="2863" spans="2:7" ht="15.75">
      <c r="B2863" s="66"/>
      <c r="C2863" s="66"/>
      <c r="D2863" s="66"/>
      <c r="E2863" s="66"/>
      <c r="F2863" s="66"/>
      <c r="G2863" s="66"/>
    </row>
    <row r="2864" spans="2:7" ht="15.75">
      <c r="B2864" s="66"/>
      <c r="C2864" s="66"/>
      <c r="D2864" s="66"/>
      <c r="E2864" s="66"/>
      <c r="F2864" s="66"/>
      <c r="G2864" s="66"/>
    </row>
    <row r="2865" spans="2:24" ht="15.75">
      <c r="B2865" s="66" t="s">
        <v>2097</v>
      </c>
      <c r="C2865" s="66"/>
      <c r="D2865" s="66"/>
      <c r="E2865" s="66"/>
      <c r="F2865" s="66"/>
      <c r="G2865" s="66"/>
    </row>
    <row r="2866" spans="2:24" ht="15.75">
      <c r="B2866" s="66"/>
      <c r="C2866" s="66"/>
      <c r="D2866" s="66"/>
      <c r="E2866" s="66"/>
      <c r="F2866" s="66"/>
      <c r="G2866" s="66"/>
    </row>
    <row r="2867" spans="2:24" ht="15.75">
      <c r="B2867" s="74" t="s">
        <v>2098</v>
      </c>
      <c r="C2867" s="66"/>
      <c r="D2867" s="66"/>
      <c r="E2867" s="66"/>
      <c r="F2867" s="66"/>
      <c r="G2867" s="66"/>
    </row>
    <row r="2868" spans="2:24" ht="15.75">
      <c r="B2868" s="149" t="s">
        <v>2099</v>
      </c>
      <c r="C2868" s="217">
        <f>D2868-1</f>
        <v>2022</v>
      </c>
      <c r="D2868" s="217">
        <v>2023</v>
      </c>
      <c r="E2868" s="217">
        <f>D2868+1</f>
        <v>2024</v>
      </c>
      <c r="F2868" s="217">
        <f>E2868+1</f>
        <v>2025</v>
      </c>
      <c r="G2868" s="217">
        <f>F2868+1</f>
        <v>2026</v>
      </c>
      <c r="H2868" s="66"/>
    </row>
    <row r="2869" spans="2:24" ht="15.75">
      <c r="B2869" s="755" t="s">
        <v>33</v>
      </c>
      <c r="C2869" s="756">
        <f>Master!T28-Master!T21-Master!T25</f>
        <v>50471.8</v>
      </c>
      <c r="D2869" s="756">
        <f>Master!U28-Master!U21-Master!U25</f>
        <v>19776.000000000004</v>
      </c>
      <c r="E2869" s="756">
        <f>Master!V28-Master!V21-Master!V25</f>
        <v>17094.80000000001</v>
      </c>
      <c r="F2869" s="756">
        <f>Master!W28-Master!W21-Master!W25</f>
        <v>14867.864000000001</v>
      </c>
      <c r="G2869" s="756">
        <f>Master!X28-Master!X21-Master!X25</f>
        <v>12309.099999999999</v>
      </c>
    </row>
    <row r="2870" spans="2:24" ht="15.75">
      <c r="B2870" s="66" t="s">
        <v>34</v>
      </c>
      <c r="C2870" s="125">
        <f>Master!U63-Master!U56-50*Master!U7</f>
        <v>4627.7299999999996</v>
      </c>
      <c r="D2870" s="125">
        <f>Master!V63-Master!V56-50*Master!V7</f>
        <v>4512.1000000000022</v>
      </c>
      <c r="E2870" s="125">
        <f>Master!W63-Master!W56-50*Master!W7</f>
        <v>-1708.5840000000026</v>
      </c>
      <c r="F2870" s="125">
        <f>Master!X63-Master!X56-50*Master!X7</f>
        <v>1185.0849999999991</v>
      </c>
      <c r="G2870" s="125">
        <f>Master!Y63-Master!Y56-50*Master!Y7</f>
        <v>560.25098352633006</v>
      </c>
    </row>
    <row r="2871" spans="2:24" ht="15.75">
      <c r="B2871" s="754" t="s">
        <v>35</v>
      </c>
      <c r="C2871" s="756">
        <f>Master!T87-Master!T84-20*Master!U7</f>
        <v>5573.9145094975984</v>
      </c>
      <c r="D2871" s="756">
        <f>Master!U87-Master!U84-20*Master!V7</f>
        <v>3871.1110000000008</v>
      </c>
      <c r="E2871" s="756">
        <f>Master!V87-Master!V84-20*Master!W7</f>
        <v>2933.2800000000007</v>
      </c>
      <c r="F2871" s="756">
        <f>Master!W87-Master!W84-20*Master!X7</f>
        <v>1408.3400000000004</v>
      </c>
      <c r="G2871" s="756">
        <f>Master!X87-Master!X84-20*Master!Y7</f>
        <v>1483.3372989823995</v>
      </c>
    </row>
    <row r="2872" spans="2:24" ht="15.75">
      <c r="B2872" s="66" t="s">
        <v>36</v>
      </c>
      <c r="C2872" s="125">
        <f>C2870-C2871</f>
        <v>-946.18450949759881</v>
      </c>
      <c r="D2872" s="125">
        <f>D2870-D2871</f>
        <v>640.9890000000014</v>
      </c>
      <c r="E2872" s="125">
        <f>E2870-E2871</f>
        <v>-4641.8640000000032</v>
      </c>
      <c r="F2872" s="125">
        <f>F2870-F2871</f>
        <v>-223.25500000000125</v>
      </c>
      <c r="G2872" s="125">
        <f>G2870-G2871</f>
        <v>-923.08631545606943</v>
      </c>
    </row>
    <row r="2873" spans="2:24" ht="15.75">
      <c r="B2873" s="754"/>
      <c r="C2873" s="754"/>
      <c r="D2873" s="754"/>
      <c r="E2873" s="754"/>
      <c r="F2873" s="754"/>
      <c r="G2873" s="754"/>
    </row>
    <row r="2874" spans="2:24" ht="16.5" thickBot="1">
      <c r="B2874" s="66" t="s">
        <v>271</v>
      </c>
      <c r="C2874" s="125">
        <f>Master!U199</f>
        <v>62478.7</v>
      </c>
      <c r="D2874" s="125">
        <f>Master!V199</f>
        <v>63241.117999999988</v>
      </c>
      <c r="E2874" s="66"/>
      <c r="F2874" s="66"/>
      <c r="G2874" s="66"/>
    </row>
    <row r="2875" spans="2:24" ht="16.5" thickBot="1">
      <c r="B2875" s="754" t="s">
        <v>2100</v>
      </c>
      <c r="C2875" s="754"/>
      <c r="D2875" s="757">
        <v>99670</v>
      </c>
      <c r="E2875" s="754"/>
      <c r="F2875" s="754"/>
      <c r="G2875" s="754"/>
    </row>
    <row r="2876" spans="2:24" ht="15.75">
      <c r="B2876" s="66" t="s">
        <v>2101</v>
      </c>
      <c r="C2876" s="66"/>
      <c r="D2876" s="66"/>
      <c r="E2876" s="66"/>
      <c r="F2876" s="66"/>
      <c r="G2876" s="66"/>
    </row>
    <row r="2877" spans="2:24" ht="15.75">
      <c r="B2877" s="754" t="s">
        <v>1132</v>
      </c>
      <c r="C2877" s="754"/>
      <c r="D2877" s="756">
        <f>D2874-D2875</f>
        <v>-36428.882000000012</v>
      </c>
      <c r="E2877" s="754"/>
      <c r="F2877" s="754"/>
      <c r="G2877" s="754"/>
      <c r="U2877" s="685"/>
      <c r="V2877" s="817">
        <v>2023</v>
      </c>
      <c r="W2877" s="685"/>
      <c r="X2877" s="685"/>
    </row>
    <row r="2878" spans="2:24" ht="15.75">
      <c r="B2878" s="67" t="s">
        <v>41</v>
      </c>
      <c r="C2878" s="67"/>
      <c r="D2878" s="758">
        <f>D2877/D2870</f>
        <v>-8.0735981028789237</v>
      </c>
      <c r="E2878" s="67"/>
      <c r="F2878" s="67"/>
      <c r="G2878" s="67"/>
      <c r="U2878" s="1395" t="s">
        <v>203</v>
      </c>
      <c r="V2878" s="1396">
        <f>-('SKY Mex'!T172-'SKY Mex'!T135)</f>
        <v>11853.800000000001</v>
      </c>
      <c r="W2878" s="685"/>
      <c r="X2878" s="685"/>
    </row>
    <row r="2879" spans="2:24" ht="15.75">
      <c r="B2879" s="66"/>
      <c r="C2879" s="66"/>
      <c r="D2879" s="66"/>
      <c r="E2879" s="66"/>
      <c r="F2879" s="66"/>
      <c r="G2879" s="66"/>
      <c r="U2879" s="685" t="s">
        <v>2102</v>
      </c>
      <c r="V2879" s="795">
        <f>'SKY Mex'!T177</f>
        <v>2640.8399999999997</v>
      </c>
      <c r="W2879" s="685"/>
      <c r="X2879" s="685"/>
    </row>
    <row r="2880" spans="2:24" ht="15.75">
      <c r="B2880" s="66"/>
      <c r="C2880" s="66"/>
      <c r="D2880" s="66"/>
      <c r="E2880" s="66"/>
      <c r="F2880" s="66"/>
      <c r="G2880" s="66"/>
      <c r="U2880" s="1395" t="s">
        <v>2103</v>
      </c>
      <c r="V2880" s="1396">
        <f>V2878+V2879</f>
        <v>14494.640000000001</v>
      </c>
      <c r="W2880" s="685"/>
      <c r="X2880" s="685"/>
    </row>
    <row r="2881" spans="2:24" ht="15.75">
      <c r="B2881" s="66"/>
      <c r="C2881" s="66"/>
      <c r="D2881" s="66"/>
      <c r="E2881" s="66"/>
      <c r="F2881" s="66"/>
      <c r="G2881" s="66"/>
      <c r="U2881" s="1405">
        <v>0.15</v>
      </c>
      <c r="V2881" s="795">
        <f>U2881*V2880</f>
        <v>2174.1959999999999</v>
      </c>
      <c r="W2881" s="685"/>
      <c r="X2881" s="685"/>
    </row>
    <row r="2882" spans="2:24" ht="15.75">
      <c r="B2882" s="66"/>
      <c r="C2882" s="66"/>
      <c r="D2882" s="66"/>
      <c r="E2882" s="66"/>
      <c r="F2882" s="66"/>
      <c r="G2882" s="66"/>
      <c r="U2882" s="685" t="s">
        <v>2104</v>
      </c>
      <c r="V2882" s="795">
        <f>28%*V2881</f>
        <v>608.77488000000005</v>
      </c>
      <c r="W2882" s="685"/>
      <c r="X2882" s="685"/>
    </row>
    <row r="2883" spans="2:24" ht="15.75">
      <c r="B2883" s="66"/>
      <c r="C2883" s="66"/>
      <c r="D2883" s="66"/>
      <c r="E2883" s="66"/>
      <c r="F2883" s="66"/>
      <c r="G2883" s="66"/>
      <c r="U2883" s="685" t="s">
        <v>2105</v>
      </c>
      <c r="V2883" s="795">
        <f>V2881-V2882</f>
        <v>1565.42112</v>
      </c>
      <c r="W2883" s="685"/>
      <c r="X2883" s="685"/>
    </row>
    <row r="2884" spans="2:24" ht="15.75">
      <c r="B2884" s="66"/>
      <c r="C2884" s="66"/>
      <c r="D2884" s="66"/>
      <c r="E2884" s="66"/>
      <c r="F2884" s="66"/>
      <c r="G2884" s="66"/>
      <c r="U2884" s="685" t="s">
        <v>2106</v>
      </c>
      <c r="V2884" s="685">
        <v>0</v>
      </c>
      <c r="W2884" s="685"/>
      <c r="X2884" s="685"/>
    </row>
    <row r="2885" spans="2:24" ht="15.75">
      <c r="B2885" s="74" t="s">
        <v>2107</v>
      </c>
      <c r="C2885" s="74">
        <v>2023</v>
      </c>
      <c r="D2885" s="74">
        <f>C2885+1</f>
        <v>2024</v>
      </c>
      <c r="E2885" s="74">
        <f t="shared" ref="E2885:J2885" si="178">D2885+1</f>
        <v>2025</v>
      </c>
      <c r="F2885" s="74">
        <f t="shared" si="178"/>
        <v>2026</v>
      </c>
      <c r="G2885" s="74">
        <f t="shared" si="178"/>
        <v>2027</v>
      </c>
      <c r="H2885" s="74">
        <f t="shared" si="178"/>
        <v>2028</v>
      </c>
      <c r="I2885" s="74">
        <f t="shared" si="178"/>
        <v>2029</v>
      </c>
      <c r="J2885" s="74">
        <f t="shared" si="178"/>
        <v>2030</v>
      </c>
      <c r="K2885" s="66"/>
      <c r="U2885" s="685"/>
      <c r="V2885" s="685"/>
      <c r="W2885" s="685"/>
      <c r="X2885" s="685"/>
    </row>
    <row r="2886" spans="2:24" ht="15.75">
      <c r="B2886" s="66" t="s">
        <v>33</v>
      </c>
      <c r="C2886" s="125">
        <f>Master!V132</f>
        <v>73767.900000000009</v>
      </c>
      <c r="D2886" s="125">
        <f>Master!W132</f>
        <v>62260.864000000001</v>
      </c>
      <c r="E2886" s="125">
        <f>Master!X132</f>
        <v>58878.2</v>
      </c>
      <c r="F2886" s="125">
        <f>Master!Y132</f>
        <v>57082.082599999994</v>
      </c>
      <c r="G2886" s="125">
        <f>Master!Z132</f>
        <v>54906.967513999989</v>
      </c>
      <c r="H2886" s="125">
        <f>Master!AA132</f>
        <v>52481.078674779994</v>
      </c>
      <c r="I2886" s="125">
        <f>Master!AB132</f>
        <v>51910.543243480584</v>
      </c>
      <c r="J2886" s="125">
        <f>Master!AC132</f>
        <v>52126.595162057252</v>
      </c>
      <c r="U2886" s="685"/>
      <c r="V2886" s="685"/>
      <c r="W2886" s="685"/>
      <c r="X2886" s="685"/>
    </row>
    <row r="2887" spans="2:24" ht="15.75">
      <c r="B2887" s="66" t="s">
        <v>34</v>
      </c>
      <c r="C2887" s="125">
        <f>Master!V140</f>
        <v>24124.600000000002</v>
      </c>
      <c r="D2887" s="125">
        <f>Master!W140</f>
        <v>17692.015999999996</v>
      </c>
      <c r="E2887" s="125">
        <f>Master!X140</f>
        <v>21385.4</v>
      </c>
      <c r="F2887" s="125">
        <f>Master!Y140</f>
        <v>21683.037436526331</v>
      </c>
      <c r="G2887" s="125">
        <f>Master!Z140</f>
        <v>21241.153183097853</v>
      </c>
      <c r="H2887" s="125">
        <f>Master!AA140</f>
        <v>20722.529360417931</v>
      </c>
      <c r="I2887" s="125">
        <f>Master!AB140</f>
        <v>20756.802080019293</v>
      </c>
      <c r="J2887" s="125">
        <f>Master!AC140</f>
        <v>21103.824961091603</v>
      </c>
      <c r="U2887" s="685" t="s">
        <v>110</v>
      </c>
      <c r="V2887" s="814">
        <v>0.1</v>
      </c>
      <c r="W2887" s="685"/>
      <c r="X2887" s="685">
        <v>400</v>
      </c>
    </row>
    <row r="2888" spans="2:24" ht="15.75">
      <c r="B2888" s="66" t="s">
        <v>238</v>
      </c>
      <c r="C2888" s="125">
        <f>Master!V145</f>
        <v>2570.2000000000007</v>
      </c>
      <c r="D2888" s="125">
        <f>Master!W145</f>
        <v>-2818.8840000000055</v>
      </c>
      <c r="E2888" s="125">
        <f>Master!X145</f>
        <v>4224.9000000000015</v>
      </c>
      <c r="F2888" s="125">
        <f>Master!Y145</f>
        <v>4659.6015767924764</v>
      </c>
      <c r="G2888" s="125">
        <f>Master!Z145</f>
        <v>4102.8350843358212</v>
      </c>
      <c r="H2888" s="125">
        <f>Master!AA145</f>
        <v>4222.644135365179</v>
      </c>
      <c r="I2888" s="125">
        <f>Master!AB145</f>
        <v>4965.0254080688501</v>
      </c>
      <c r="J2888" s="125">
        <f>Master!AC145</f>
        <v>5942.2700987897188</v>
      </c>
      <c r="U2888" s="685" t="s">
        <v>123</v>
      </c>
      <c r="V2888" s="814">
        <v>0</v>
      </c>
      <c r="W2888" s="685"/>
      <c r="X2888" s="685">
        <f>X2887/(V2887-V2888)</f>
        <v>4000</v>
      </c>
    </row>
    <row r="2889" spans="2:24" ht="15.75">
      <c r="B2889" s="66" t="s">
        <v>2108</v>
      </c>
      <c r="C2889" s="125">
        <f>Master!V161</f>
        <v>-10456.607999999998</v>
      </c>
      <c r="D2889" s="125">
        <f>Master!W161</f>
        <v>-8265.5430000000051</v>
      </c>
      <c r="E2889" s="125">
        <f>Master!X161</f>
        <v>-746.26499999999874</v>
      </c>
      <c r="F2889" s="125">
        <f ca="1">Master!Y161</f>
        <v>-103.15812062515155</v>
      </c>
      <c r="G2889" s="125">
        <f ca="1">Master!Z161</f>
        <v>327.22395879509543</v>
      </c>
      <c r="H2889" s="125">
        <f ca="1">Master!AA161</f>
        <v>796.51613738041533</v>
      </c>
      <c r="I2889" s="125">
        <f ca="1">Master!AB161</f>
        <v>1714.4784485887651</v>
      </c>
      <c r="J2889" s="125">
        <f ca="1">Master!AC161</f>
        <v>2886.3254970141711</v>
      </c>
      <c r="U2889" s="817" t="s">
        <v>373</v>
      </c>
      <c r="V2889" s="818">
        <f>V2883/(V2887-V2888)</f>
        <v>15654.2112</v>
      </c>
      <c r="W2889" s="685" t="s">
        <v>1207</v>
      </c>
      <c r="X2889" s="685"/>
    </row>
    <row r="2890" spans="2:24" ht="15.75">
      <c r="B2890" s="66" t="s">
        <v>35</v>
      </c>
      <c r="C2890" s="125">
        <f>Master!V87</f>
        <v>14503.380000000001</v>
      </c>
      <c r="D2890" s="125">
        <f>Master!W87</f>
        <v>9097.5</v>
      </c>
      <c r="E2890" s="125">
        <f>Master!X87</f>
        <v>12186.6</v>
      </c>
      <c r="F2890" s="125">
        <f>Master!Y87</f>
        <v>14278.20668726951</v>
      </c>
      <c r="G2890" s="125">
        <f>Master!Z87</f>
        <v>11169.233759721894</v>
      </c>
      <c r="H2890" s="125">
        <f>Master!AA87</f>
        <v>10295.922991520487</v>
      </c>
      <c r="I2890" s="125">
        <f>Master!AB87</f>
        <v>10007.361481214053</v>
      </c>
      <c r="J2890" s="125">
        <f>Master!AC87</f>
        <v>9842.9993612570379</v>
      </c>
      <c r="U2890" s="685"/>
      <c r="V2890" s="685"/>
      <c r="W2890" s="685"/>
      <c r="X2890" s="685"/>
    </row>
    <row r="2891" spans="2:24" ht="15.75">
      <c r="B2891" s="66"/>
      <c r="C2891" s="66"/>
      <c r="D2891" s="66"/>
      <c r="E2891" s="66"/>
      <c r="F2891" s="66"/>
      <c r="G2891" s="66"/>
      <c r="U2891" s="685"/>
      <c r="V2891" s="685"/>
      <c r="W2891" s="685"/>
      <c r="X2891" s="685"/>
    </row>
    <row r="2892" spans="2:24" ht="15.75">
      <c r="B2892" s="66"/>
      <c r="C2892" s="66"/>
      <c r="D2892" s="66"/>
      <c r="E2892" s="66"/>
      <c r="F2892" s="66"/>
      <c r="G2892" s="66"/>
      <c r="U2892" s="685"/>
      <c r="V2892" s="685"/>
      <c r="W2892" s="685"/>
      <c r="X2892" s="685"/>
    </row>
    <row r="2893" spans="2:24" ht="15.75">
      <c r="B2893" s="74" t="s">
        <v>1404</v>
      </c>
      <c r="C2893" s="74">
        <v>2023</v>
      </c>
      <c r="D2893" s="74">
        <f>C2893+1</f>
        <v>2024</v>
      </c>
      <c r="E2893" s="74">
        <f t="shared" ref="E2893:J2893" si="179">D2893+1</f>
        <v>2025</v>
      </c>
      <c r="F2893" s="74">
        <f t="shared" si="179"/>
        <v>2026</v>
      </c>
      <c r="G2893" s="74">
        <f t="shared" si="179"/>
        <v>2027</v>
      </c>
      <c r="H2893" s="74">
        <f t="shared" si="179"/>
        <v>2028</v>
      </c>
      <c r="I2893" s="74">
        <f t="shared" si="179"/>
        <v>2029</v>
      </c>
      <c r="J2893" s="74">
        <f t="shared" si="179"/>
        <v>2030</v>
      </c>
      <c r="U2893" s="685" t="s">
        <v>1217</v>
      </c>
      <c r="V2893" s="685">
        <f>Interims!BT199</f>
        <v>16.97</v>
      </c>
      <c r="W2893" s="685"/>
      <c r="X2893" s="685"/>
    </row>
    <row r="2894" spans="2:24" ht="15.75">
      <c r="B2894" s="66" t="s">
        <v>33</v>
      </c>
      <c r="C2894" s="125">
        <v>78733.51681703802</v>
      </c>
      <c r="D2894" s="125">
        <v>81399.735843507893</v>
      </c>
      <c r="E2894" s="125">
        <v>84451.260569111881</v>
      </c>
      <c r="F2894" s="125">
        <v>87108.677060544287</v>
      </c>
      <c r="G2894" s="125">
        <v>89295.473311468828</v>
      </c>
      <c r="H2894" s="125">
        <v>91596.284101216355</v>
      </c>
      <c r="I2894" s="125">
        <v>94014.475453872874</v>
      </c>
      <c r="J2894" s="125">
        <v>96553.578229170351</v>
      </c>
      <c r="U2894" s="685"/>
      <c r="V2894" s="685">
        <f>V2889/V2893</f>
        <v>922.46383028874493</v>
      </c>
      <c r="W2894" s="685" t="s">
        <v>2109</v>
      </c>
      <c r="X2894" s="685"/>
    </row>
    <row r="2895" spans="2:24" ht="15.75">
      <c r="B2895" s="66" t="s">
        <v>34</v>
      </c>
      <c r="C2895" s="125">
        <v>27084.291349668023</v>
      </c>
      <c r="D2895" s="125">
        <v>28066.824243412004</v>
      </c>
      <c r="E2895" s="125">
        <v>29205.916562871254</v>
      </c>
      <c r="F2895" s="125">
        <v>30178.709746940254</v>
      </c>
      <c r="G2895" s="125">
        <v>30954.724734748332</v>
      </c>
      <c r="H2895" s="125">
        <v>32746.022859564408</v>
      </c>
      <c r="I2895" s="125">
        <v>33710.593540937771</v>
      </c>
      <c r="J2895" s="125">
        <v>34724.616324190851</v>
      </c>
      <c r="U2895" s="685" t="s">
        <v>2110</v>
      </c>
      <c r="V2895" s="790">
        <f>V2894/SOP!G33</f>
        <v>1.3966856381166475</v>
      </c>
      <c r="W2895" s="685"/>
      <c r="X2895" s="685"/>
    </row>
    <row r="2896" spans="2:24" ht="15.75">
      <c r="B2896" s="66" t="s">
        <v>238</v>
      </c>
      <c r="C2896" s="125">
        <v>8276.6231254478225</v>
      </c>
      <c r="D2896" s="125">
        <v>10227.877416426334</v>
      </c>
      <c r="E2896" s="125">
        <v>10960.188695263025</v>
      </c>
      <c r="F2896" s="125">
        <v>11949.335209187393</v>
      </c>
      <c r="G2896" s="125">
        <v>12661.324982433982</v>
      </c>
      <c r="H2896" s="125">
        <v>14311.739578528301</v>
      </c>
      <c r="I2896" s="125">
        <v>15069.658226020358</v>
      </c>
      <c r="J2896" s="125">
        <v>15819.35971605013</v>
      </c>
      <c r="U2896" s="685"/>
      <c r="V2896" s="685"/>
      <c r="W2896" s="685"/>
      <c r="X2896" s="685"/>
    </row>
    <row r="2897" spans="2:10" ht="15.75">
      <c r="B2897" s="66" t="s">
        <v>2108</v>
      </c>
      <c r="C2897" s="125">
        <v>4490.0939332041953</v>
      </c>
      <c r="D2897" s="125">
        <v>7007.6790401685021</v>
      </c>
      <c r="E2897" s="125">
        <v>8838.6326584812341</v>
      </c>
      <c r="F2897" s="125">
        <v>10562.782023564661</v>
      </c>
      <c r="G2897" s="125">
        <v>12453.431861324376</v>
      </c>
      <c r="H2897" s="125">
        <v>15118.385012099356</v>
      </c>
      <c r="I2897" s="125">
        <v>17239.677957341151</v>
      </c>
      <c r="J2897" s="125">
        <v>19426.735496503366</v>
      </c>
    </row>
    <row r="2898" spans="2:10" ht="15.75">
      <c r="B2898" s="66" t="s">
        <v>35</v>
      </c>
      <c r="C2898" s="125">
        <v>16328.771105099784</v>
      </c>
      <c r="D2898" s="125">
        <v>15846.806892678089</v>
      </c>
      <c r="E2898" s="125">
        <v>15082.728155505834</v>
      </c>
      <c r="F2898" s="125">
        <v>15480.651039402117</v>
      </c>
      <c r="G2898" s="125">
        <v>15927.23386969471</v>
      </c>
      <c r="H2898" s="125">
        <v>16397.433809233338</v>
      </c>
      <c r="I2898" s="125">
        <v>16892.030927830983</v>
      </c>
      <c r="J2898" s="125">
        <v>17411.840781157</v>
      </c>
    </row>
    <row r="2899" spans="2:10" ht="15.75">
      <c r="B2899" s="66"/>
      <c r="C2899" s="66"/>
      <c r="D2899" s="66"/>
      <c r="E2899" s="66"/>
      <c r="F2899" s="66"/>
      <c r="G2899" s="66"/>
    </row>
    <row r="2900" spans="2:10" ht="15.75">
      <c r="B2900" s="66"/>
      <c r="C2900" s="66"/>
      <c r="D2900" s="66"/>
      <c r="E2900" s="66"/>
      <c r="F2900" s="66"/>
      <c r="G2900" s="66"/>
    </row>
    <row r="2901" spans="2:10" ht="15.75">
      <c r="B2901" s="74" t="s">
        <v>2111</v>
      </c>
      <c r="C2901" s="74">
        <v>2023</v>
      </c>
      <c r="D2901" s="74">
        <f>C2901+1</f>
        <v>2024</v>
      </c>
      <c r="E2901" s="74">
        <f t="shared" ref="E2901:J2901" si="180">D2901+1</f>
        <v>2025</v>
      </c>
      <c r="F2901" s="74">
        <f t="shared" si="180"/>
        <v>2026</v>
      </c>
      <c r="G2901" s="74">
        <f t="shared" si="180"/>
        <v>2027</v>
      </c>
      <c r="H2901" s="74">
        <f t="shared" si="180"/>
        <v>2028</v>
      </c>
      <c r="I2901" s="74">
        <f t="shared" si="180"/>
        <v>2029</v>
      </c>
      <c r="J2901" s="74">
        <f t="shared" si="180"/>
        <v>2030</v>
      </c>
    </row>
    <row r="2902" spans="2:10" ht="15.75">
      <c r="B2902" s="66" t="s">
        <v>33</v>
      </c>
      <c r="C2902" s="69">
        <f>C2886/C2894-1</f>
        <v>-6.3068652560982041E-2</v>
      </c>
      <c r="D2902" s="69">
        <f t="shared" ref="D2902:J2902" si="181">D2886/D2894-1</f>
        <v>-0.23512203872875748</v>
      </c>
      <c r="E2902" s="69">
        <f t="shared" si="181"/>
        <v>-0.30281443280747489</v>
      </c>
      <c r="F2902" s="69">
        <f t="shared" si="181"/>
        <v>-0.34470268030444906</v>
      </c>
      <c r="G2902" s="69">
        <f t="shared" si="181"/>
        <v>-0.3851091720799702</v>
      </c>
      <c r="H2902" s="69">
        <f t="shared" si="181"/>
        <v>-0.42703921682251877</v>
      </c>
      <c r="I2902" s="69">
        <f t="shared" si="181"/>
        <v>-0.4478452068910399</v>
      </c>
      <c r="J2902" s="69">
        <f t="shared" si="181"/>
        <v>-0.46012777446388842</v>
      </c>
    </row>
    <row r="2903" spans="2:10" ht="15.75">
      <c r="B2903" s="66" t="s">
        <v>34</v>
      </c>
      <c r="C2903" s="69">
        <f t="shared" ref="C2903:J2903" si="182">C2887/C2895-1</f>
        <v>-0.10927704592515763</v>
      </c>
      <c r="D2903" s="69">
        <f t="shared" si="182"/>
        <v>-0.36964667443083588</v>
      </c>
      <c r="E2903" s="69">
        <f t="shared" si="182"/>
        <v>-0.26777165325512431</v>
      </c>
      <c r="F2903" s="69">
        <f t="shared" si="182"/>
        <v>-0.28151211173881541</v>
      </c>
      <c r="G2903" s="69">
        <f t="shared" si="182"/>
        <v>-0.31379931932479688</v>
      </c>
      <c r="H2903" s="69">
        <f t="shared" si="182"/>
        <v>-0.36717416190389884</v>
      </c>
      <c r="I2903" s="69">
        <f t="shared" si="182"/>
        <v>-0.3842647102961132</v>
      </c>
      <c r="J2903" s="69">
        <f t="shared" si="182"/>
        <v>-0.39225174544579045</v>
      </c>
    </row>
    <row r="2904" spans="2:10" ht="15.75">
      <c r="B2904" s="66" t="s">
        <v>238</v>
      </c>
      <c r="C2904" s="69">
        <f t="shared" ref="C2904:J2904" si="183">C2888/C2896-1</f>
        <v>-0.68946272398250152</v>
      </c>
      <c r="D2904" s="69">
        <f t="shared" si="183"/>
        <v>-1.2756079179706219</v>
      </c>
      <c r="E2904" s="69">
        <f t="shared" si="183"/>
        <v>-0.61452306000662227</v>
      </c>
      <c r="F2904" s="69">
        <f t="shared" si="183"/>
        <v>-0.61005348873216936</v>
      </c>
      <c r="G2904" s="69">
        <f t="shared" si="183"/>
        <v>-0.67595531352145244</v>
      </c>
      <c r="H2904" s="69">
        <f t="shared" si="183"/>
        <v>-0.70495241950179477</v>
      </c>
      <c r="I2904" s="69">
        <f t="shared" si="183"/>
        <v>-0.67052833358251751</v>
      </c>
      <c r="J2904" s="69">
        <f t="shared" si="183"/>
        <v>-0.62436721805113493</v>
      </c>
    </row>
    <row r="2905" spans="2:10" ht="15.75">
      <c r="B2905" s="66" t="s">
        <v>2108</v>
      </c>
      <c r="C2905" s="69">
        <f t="shared" ref="C2905:J2905" si="184">C2889/C2897-1</f>
        <v>-3.3288172041732795</v>
      </c>
      <c r="D2905" s="69">
        <f t="shared" si="184"/>
        <v>-2.1794979411330542</v>
      </c>
      <c r="E2905" s="69">
        <f t="shared" si="184"/>
        <v>-1.0844321773327585</v>
      </c>
      <c r="F2905" s="69">
        <f t="shared" ca="1" si="184"/>
        <v>-1.0097661885282698</v>
      </c>
      <c r="G2905" s="69">
        <f t="shared" ca="1" si="184"/>
        <v>-0.97372419406643007</v>
      </c>
      <c r="H2905" s="69">
        <f t="shared" ca="1" si="184"/>
        <v>-0.94731473389896093</v>
      </c>
      <c r="I2905" s="69">
        <f t="shared" ca="1" si="184"/>
        <v>-0.90055043645065935</v>
      </c>
      <c r="J2905" s="69">
        <f t="shared" ca="1" si="184"/>
        <v>-0.85142508902055714</v>
      </c>
    </row>
    <row r="2906" spans="2:10" ht="15.75">
      <c r="B2906" s="66" t="s">
        <v>35</v>
      </c>
      <c r="C2906" s="69">
        <f t="shared" ref="C2906:J2906" si="185">C2890/C2898-1</f>
        <v>-0.11178986424334647</v>
      </c>
      <c r="D2906" s="69">
        <f t="shared" si="185"/>
        <v>-0.42590958155718806</v>
      </c>
      <c r="E2906" s="69">
        <f t="shared" si="185"/>
        <v>-0.19201620062671654</v>
      </c>
      <c r="F2906" s="69">
        <f t="shared" si="185"/>
        <v>-7.7674017008204976E-2</v>
      </c>
      <c r="G2906" s="69">
        <f t="shared" si="185"/>
        <v>-0.29873361243385932</v>
      </c>
      <c r="H2906" s="69">
        <f t="shared" si="185"/>
        <v>-0.37210156715358178</v>
      </c>
      <c r="I2906" s="69">
        <f t="shared" si="185"/>
        <v>-0.40756907656816344</v>
      </c>
      <c r="J2906" s="69">
        <f t="shared" si="185"/>
        <v>-0.43469507417566788</v>
      </c>
    </row>
    <row r="2907" spans="2:10" ht="15.75">
      <c r="B2907" s="66"/>
      <c r="C2907" s="66"/>
      <c r="D2907" s="66"/>
      <c r="E2907" s="66"/>
      <c r="F2907" s="66"/>
      <c r="G2907" s="66"/>
    </row>
    <row r="2908" spans="2:10" ht="15.75">
      <c r="B2908" s="66"/>
      <c r="C2908" s="66"/>
      <c r="D2908" s="66"/>
      <c r="E2908" s="66"/>
      <c r="F2908" s="66"/>
      <c r="G2908" s="66"/>
    </row>
    <row r="2909" spans="2:10">
      <c r="B2909" s="804" t="str">
        <f>SOP!B3</f>
        <v>USD m</v>
      </c>
      <c r="C2909" s="805" t="str">
        <f>SOP!C3</f>
        <v>Ownership %</v>
      </c>
      <c r="D2909" s="805" t="str">
        <f>SOP!D3</f>
        <v>x 26 EBITDA</v>
      </c>
      <c r="E2909" s="805" t="str">
        <f>SOP!E3</f>
        <v>100% equity</v>
      </c>
      <c r="F2909" s="805" t="str">
        <f>SOP!F3</f>
        <v>2026 debt</v>
      </c>
      <c r="G2909" s="805" t="str">
        <f>SOP!G3</f>
        <v>100% EV</v>
      </c>
    </row>
    <row r="2910" spans="2:10">
      <c r="B2910" s="793" t="str">
        <f>SOP!B6</f>
        <v>Satellite (Sky)</v>
      </c>
      <c r="C2910" s="892">
        <f>SOP!C6</f>
        <v>1</v>
      </c>
      <c r="D2910" s="893">
        <f>SOP!D6</f>
        <v>0.48297999764214611</v>
      </c>
      <c r="E2910" s="1001">
        <f>SOP!E6</f>
        <v>87.085525119739131</v>
      </c>
      <c r="F2910" s="894">
        <f>SOP!F6</f>
        <v>-7.4360462767908144</v>
      </c>
      <c r="G2910" s="1001">
        <f>SOP!G6</f>
        <v>79.649478842948312</v>
      </c>
    </row>
    <row r="2911" spans="2:10">
      <c r="B2911" s="685" t="str">
        <f>SOP!B10</f>
        <v>HQ/other central</v>
      </c>
      <c r="C2911" s="888">
        <f>SOP!C10</f>
        <v>1</v>
      </c>
      <c r="D2911" s="889">
        <f>SOP!D10</f>
        <v>10.534985929460747</v>
      </c>
      <c r="E2911" s="996">
        <f>SOP!E10</f>
        <v>-870.70977192211467</v>
      </c>
      <c r="F2911" s="890">
        <f>SOP!F10</f>
        <v>0</v>
      </c>
      <c r="G2911" s="996">
        <f>SOP!G10</f>
        <v>-870.70977192211467</v>
      </c>
    </row>
    <row r="2912" spans="2:10">
      <c r="B2912" s="906"/>
      <c r="C2912" s="892"/>
      <c r="D2912" s="898"/>
      <c r="E2912" s="898"/>
      <c r="F2912" s="894"/>
      <c r="G2912" s="894"/>
    </row>
    <row r="2913" spans="2:9">
      <c r="B2913" s="743" t="str">
        <f>SOP!B14</f>
        <v>Plus associates:</v>
      </c>
      <c r="C2913" s="805"/>
      <c r="D2913" s="805" t="str">
        <f>SOP!D14</f>
        <v>x 26 EBITDA</v>
      </c>
      <c r="E2913" s="805" t="str">
        <f>SOP!E14</f>
        <v>EV</v>
      </c>
      <c r="F2913" s="805" t="str">
        <f>SOP!F14</f>
        <v>Debt</v>
      </c>
      <c r="G2913" s="805" t="str">
        <f>SOP!G14</f>
        <v>Equity</v>
      </c>
    </row>
    <row r="2914" spans="2:9">
      <c r="B2914" s="793" t="str">
        <f>SOP!B17</f>
        <v>TelevisaUnivision</v>
      </c>
      <c r="C2914" s="892">
        <f>SOP!C17</f>
        <v>0.45</v>
      </c>
      <c r="D2914" s="893">
        <f>SOP!D17</f>
        <v>7.0483565708069724</v>
      </c>
      <c r="E2914" s="1001">
        <f>SOP!E17</f>
        <v>11473.230245680737</v>
      </c>
      <c r="F2914" s="894">
        <f>SOP!F17</f>
        <v>8197.0260628000015</v>
      </c>
      <c r="G2914" s="1001">
        <f>SOP!G17</f>
        <v>1474.2918822963313</v>
      </c>
    </row>
    <row r="2915" spans="2:9">
      <c r="B2915" s="685" t="str">
        <f>SOP!B18</f>
        <v>GTAC</v>
      </c>
      <c r="C2915" s="888">
        <f>SOP!C18</f>
        <v>0.33</v>
      </c>
      <c r="D2915" s="891"/>
      <c r="E2915" s="996"/>
      <c r="F2915" s="890"/>
      <c r="G2915" s="996">
        <f>SOP!G18</f>
        <v>50</v>
      </c>
    </row>
    <row r="2916" spans="2:9">
      <c r="B2916" s="802" t="s">
        <v>2112</v>
      </c>
      <c r="C2916" s="895">
        <v>0.47499999999999998</v>
      </c>
      <c r="D2916" s="1002">
        <v>4.5999999999999996</v>
      </c>
      <c r="E2916" s="896"/>
      <c r="F2916" s="897"/>
      <c r="G2916" s="1003">
        <v>2604</v>
      </c>
    </row>
    <row r="2917" spans="2:9">
      <c r="B2917" s="685" t="str">
        <f>SOP!B19</f>
        <v>Total</v>
      </c>
      <c r="C2917" s="891"/>
      <c r="D2917" s="891"/>
      <c r="E2917" s="891"/>
      <c r="F2917" s="891"/>
      <c r="G2917" s="996">
        <f>G2914+G2915+G2916</f>
        <v>4128.2918822963311</v>
      </c>
    </row>
    <row r="2918" spans="2:9">
      <c r="B2918" s="793"/>
      <c r="C2918" s="898"/>
      <c r="D2918" s="898"/>
      <c r="E2918" s="898"/>
      <c r="F2918" s="898"/>
      <c r="G2918" s="898"/>
    </row>
    <row r="2919" spans="2:9">
      <c r="B2919" s="685" t="str">
        <f>SOP!B21</f>
        <v>Less minorities:</v>
      </c>
      <c r="C2919" s="891"/>
      <c r="D2919" s="891"/>
      <c r="E2919" s="891"/>
      <c r="F2919" s="891"/>
      <c r="G2919" s="891"/>
    </row>
    <row r="2920" spans="2:9">
      <c r="B2920" s="802" t="str">
        <f>SOP!B22</f>
        <v>Satellite (Sky)</v>
      </c>
      <c r="C2920" s="896"/>
      <c r="D2920" s="896"/>
      <c r="E2920" s="896"/>
      <c r="F2920" s="896"/>
      <c r="G2920" s="1003">
        <f>SOP!G22</f>
        <v>0</v>
      </c>
    </row>
    <row r="2921" spans="2:9">
      <c r="B2921" s="685" t="str">
        <f>SOP!B24</f>
        <v>Total</v>
      </c>
      <c r="C2921" s="891"/>
      <c r="D2921" s="891"/>
      <c r="E2921" s="891"/>
      <c r="F2921" s="891"/>
      <c r="G2921" s="996">
        <f>G2920</f>
        <v>0</v>
      </c>
    </row>
    <row r="2922" spans="2:9">
      <c r="B2922" s="793"/>
      <c r="C2922" s="898"/>
      <c r="D2922" s="898"/>
      <c r="E2922" s="898"/>
      <c r="F2922" s="898"/>
      <c r="G2922" s="898"/>
    </row>
    <row r="2923" spans="2:9">
      <c r="B2923" s="817" t="str">
        <f>SOP!B27</f>
        <v>Total value</v>
      </c>
      <c r="C2923" s="903"/>
      <c r="D2923" s="903"/>
      <c r="E2923" s="903"/>
      <c r="F2923" s="903"/>
      <c r="G2923" s="998">
        <f>G2910+G2911+G2917-G2921</f>
        <v>3337.2315892171646</v>
      </c>
    </row>
    <row r="2924" spans="2:9">
      <c r="B2924" s="793" t="str">
        <f>SOP!B28</f>
        <v>2026e net debt</v>
      </c>
      <c r="C2924" s="898"/>
      <c r="D2924" s="898"/>
      <c r="E2924" s="898"/>
      <c r="F2924" s="898"/>
      <c r="G2924" s="1001">
        <f ca="1">SOP!G28</f>
        <v>3147.336304565541</v>
      </c>
    </row>
    <row r="2925" spans="2:9">
      <c r="B2925" s="685" t="s">
        <v>2113</v>
      </c>
      <c r="C2925" s="891"/>
      <c r="D2925" s="891"/>
      <c r="E2925" s="891"/>
      <c r="F2925" s="891"/>
      <c r="G2925" s="996">
        <f>25000/17</f>
        <v>1470.5882352941176</v>
      </c>
    </row>
    <row r="2926" spans="2:9">
      <c r="B2926" s="793" t="str">
        <f>SOP!B29</f>
        <v>Tax liability</v>
      </c>
      <c r="C2926" s="898"/>
      <c r="D2926" s="898"/>
      <c r="E2926" s="898"/>
      <c r="F2926" s="898"/>
      <c r="G2926" s="1001">
        <f>SOP!G29</f>
        <v>0</v>
      </c>
    </row>
    <row r="2927" spans="2:9">
      <c r="B2927" s="743" t="str">
        <f>SOP!B30</f>
        <v>Future licence / intangibles</v>
      </c>
      <c r="C2927" s="857"/>
      <c r="D2927" s="857"/>
      <c r="E2927" s="857"/>
      <c r="F2927" s="857"/>
      <c r="G2927" s="997">
        <f>SOP!G30</f>
        <v>334.57364137009824</v>
      </c>
    </row>
    <row r="2928" spans="2:9">
      <c r="B2928" s="806" t="str">
        <f>SOP!B31</f>
        <v>Equity value</v>
      </c>
      <c r="C2928" s="815"/>
      <c r="D2928" s="815"/>
      <c r="E2928" s="815"/>
      <c r="F2928" s="815"/>
      <c r="G2928" s="1004">
        <f ca="1">G2923-G2924+G2925-G2926-G2927</f>
        <v>1325.9098785756428</v>
      </c>
      <c r="H2928" s="122">
        <f ca="1">G2928-SOP!G31</f>
        <v>-15.9852816615753</v>
      </c>
      <c r="I2928">
        <f ca="1">H2928*17</f>
        <v>-271.7497882467801</v>
      </c>
    </row>
    <row r="2929" spans="2:7">
      <c r="B2929" s="685"/>
      <c r="C2929" s="891"/>
      <c r="D2929" s="891"/>
      <c r="E2929" s="891"/>
      <c r="F2929" s="891"/>
      <c r="G2929" s="890"/>
    </row>
    <row r="2930" spans="2:7">
      <c r="B2930" s="793" t="str">
        <f>SOP!B33</f>
        <v>Number of shares</v>
      </c>
      <c r="C2930" s="898"/>
      <c r="D2930" s="898"/>
      <c r="E2930" s="898"/>
      <c r="F2930" s="898"/>
      <c r="G2930" s="1001">
        <f>SOP!G33</f>
        <v>660.46632478632478</v>
      </c>
    </row>
    <row r="2931" spans="2:7">
      <c r="B2931" s="817" t="str">
        <f>SOP!B35</f>
        <v>Value per share</v>
      </c>
      <c r="C2931" s="903"/>
      <c r="D2931" s="903"/>
      <c r="E2931" s="903"/>
      <c r="F2931" s="903"/>
      <c r="G2931" s="999">
        <f ca="1">G2928/G2930</f>
        <v>2.0075359315323209</v>
      </c>
    </row>
    <row r="2932" spans="2:7" ht="15.75" thickBot="1">
      <c r="B2932" s="793" t="str">
        <f>SOP!B38</f>
        <v>2026 dividend</v>
      </c>
      <c r="C2932" s="815"/>
      <c r="D2932" s="815"/>
      <c r="E2932" s="815"/>
      <c r="F2932" s="815"/>
      <c r="G2932" s="1005">
        <f>SOP!G38</f>
        <v>0</v>
      </c>
    </row>
    <row r="2933" spans="2:7" ht="15.75" thickBot="1">
      <c r="B2933" s="843" t="str">
        <f>SOP!B42</f>
        <v>Target price, ADR</v>
      </c>
      <c r="C2933" s="904"/>
      <c r="D2933" s="904"/>
      <c r="E2933" s="904"/>
      <c r="F2933" s="904"/>
      <c r="G2933" s="1000">
        <f ca="1">G2931+G2932</f>
        <v>2.0075359315323209</v>
      </c>
    </row>
    <row r="2934" spans="2:7">
      <c r="B2934" s="793" t="str">
        <f>SOP!B43</f>
        <v>Current price</v>
      </c>
      <c r="C2934" s="898"/>
      <c r="D2934" s="898"/>
      <c r="E2934" s="898"/>
      <c r="F2934" s="898"/>
      <c r="G2934" s="1005">
        <f>SOP!G43</f>
        <v>2.93</v>
      </c>
    </row>
    <row r="2935" spans="2:7">
      <c r="B2935" s="743" t="str">
        <f>SOP!B44</f>
        <v>Upside</v>
      </c>
      <c r="C2935" s="857"/>
      <c r="D2935" s="857"/>
      <c r="E2935" s="857"/>
      <c r="F2935" s="857"/>
      <c r="G2935" s="899">
        <f ca="1">G2933/G2934-1</f>
        <v>-0.31483415306064133</v>
      </c>
    </row>
    <row r="2938" spans="2:7">
      <c r="B2938" s="121" t="s">
        <v>251</v>
      </c>
    </row>
    <row r="2940" spans="2:7">
      <c r="B2940" s="149" t="s">
        <v>2069</v>
      </c>
      <c r="C2940" s="574" t="s">
        <v>2114</v>
      </c>
      <c r="D2940" s="574" t="s">
        <v>2115</v>
      </c>
      <c r="E2940" s="574" t="s">
        <v>2116</v>
      </c>
    </row>
    <row r="2941" spans="2:7">
      <c r="B2941" s="755" t="s">
        <v>33</v>
      </c>
      <c r="C2941" s="755">
        <v>4492</v>
      </c>
      <c r="D2941" s="1013">
        <f>C2941*(4/3)</f>
        <v>5989.333333333333</v>
      </c>
      <c r="E2941" s="1014">
        <f>D2941/Master!V132</f>
        <v>8.1191593272051013E-2</v>
      </c>
    </row>
    <row r="2942" spans="2:7">
      <c r="B2942" t="s">
        <v>2117</v>
      </c>
      <c r="C2942">
        <f>C2945+C2944</f>
        <v>814</v>
      </c>
      <c r="D2942" s="122">
        <f>C2942*(4/3)</f>
        <v>1085.3333333333333</v>
      </c>
      <c r="E2942" s="8">
        <f>D2942/Master!V140</f>
        <v>4.4988656115887232E-2</v>
      </c>
    </row>
    <row r="2943" spans="2:7">
      <c r="B2943" s="755" t="s">
        <v>548</v>
      </c>
      <c r="C2943" s="1014">
        <f>C2942/C2941</f>
        <v>0.18121104185218165</v>
      </c>
      <c r="D2943" s="1014">
        <f>D2942/D2941</f>
        <v>0.18121104185218165</v>
      </c>
      <c r="E2943" s="755"/>
    </row>
    <row r="2944" spans="2:7">
      <c r="B2944" t="s">
        <v>552</v>
      </c>
      <c r="C2944">
        <v>300</v>
      </c>
      <c r="D2944" s="122">
        <f>C2944*(4/3)</f>
        <v>400</v>
      </c>
    </row>
    <row r="2945" spans="2:5">
      <c r="B2945" s="755" t="s">
        <v>2118</v>
      </c>
      <c r="C2945" s="755">
        <v>514</v>
      </c>
      <c r="D2945" s="1013">
        <f>D2942-D2944</f>
        <v>685.33333333333326</v>
      </c>
      <c r="E2945" s="1014">
        <f>D2945/Master!V145</f>
        <v>0.26664591601172399</v>
      </c>
    </row>
    <row r="2946" spans="2:5">
      <c r="B2946" t="s">
        <v>548</v>
      </c>
      <c r="C2946" s="8">
        <f>C2945/C2941</f>
        <v>0.11442564559216385</v>
      </c>
      <c r="D2946" s="8">
        <f>D2945/D2941</f>
        <v>0.11442564559216384</v>
      </c>
    </row>
    <row r="2947" spans="2:5">
      <c r="B2947" s="755"/>
      <c r="C2947" s="1014"/>
      <c r="D2947" s="1014"/>
      <c r="E2947" s="755"/>
    </row>
    <row r="2948" spans="2:5">
      <c r="B2948" t="s">
        <v>315</v>
      </c>
      <c r="C2948">
        <v>262</v>
      </c>
      <c r="D2948" s="122">
        <f>C2948*(4/3)</f>
        <v>349.33333333333331</v>
      </c>
    </row>
    <row r="2949" spans="2:5">
      <c r="B2949" s="755" t="s">
        <v>318</v>
      </c>
      <c r="C2949" s="755">
        <v>-175</v>
      </c>
      <c r="D2949" s="1013">
        <f>C2949*(4/3)</f>
        <v>-233.33333333333331</v>
      </c>
      <c r="E2949" s="755"/>
    </row>
    <row r="2950" spans="2:5">
      <c r="C2950" s="8"/>
      <c r="D2950" s="8"/>
    </row>
    <row r="2951" spans="2:5">
      <c r="B2951" s="755" t="s">
        <v>242</v>
      </c>
      <c r="C2951" s="755">
        <f>C2945+C2948+C2949</f>
        <v>601</v>
      </c>
      <c r="D2951" s="1015">
        <f>D2945+D2948+D2949</f>
        <v>801.33333333333326</v>
      </c>
      <c r="E2951" s="1016" t="s">
        <v>2119</v>
      </c>
    </row>
    <row r="2952" spans="2:5">
      <c r="B2952" t="s">
        <v>114</v>
      </c>
      <c r="C2952">
        <v>177</v>
      </c>
      <c r="D2952" s="4">
        <f>C2952*(4/3)</f>
        <v>236</v>
      </c>
      <c r="E2952" s="3"/>
    </row>
    <row r="2953" spans="2:5">
      <c r="B2953" s="755" t="s">
        <v>38</v>
      </c>
      <c r="C2953" s="755">
        <f>C2951-C2952</f>
        <v>424</v>
      </c>
      <c r="D2953" s="1015">
        <f>D2951-D2952</f>
        <v>565.33333333333326</v>
      </c>
      <c r="E2953" s="1016" t="s">
        <v>2119</v>
      </c>
    </row>
    <row r="2955" spans="2:5">
      <c r="B2955" s="755" t="s">
        <v>2120</v>
      </c>
      <c r="C2955" s="1013">
        <v>458.9</v>
      </c>
      <c r="D2955" s="1013">
        <f>C2955*(4/3)</f>
        <v>611.86666666666656</v>
      </c>
      <c r="E2955" s="1017">
        <f>D2955/Master!V87</f>
        <v>4.2187867012149341E-2</v>
      </c>
    </row>
    <row r="2956" spans="2:5">
      <c r="B2956" t="s">
        <v>2121</v>
      </c>
      <c r="C2956" s="122">
        <f>C2942-C2955</f>
        <v>355.1</v>
      </c>
      <c r="D2956" s="122">
        <f>D2942-D2955</f>
        <v>473.4666666666667</v>
      </c>
      <c r="E2956" s="10">
        <f>D2956/Master!V117</f>
        <v>4.9210668362917244E-2</v>
      </c>
    </row>
    <row r="2957" spans="2:5">
      <c r="B2957" s="755"/>
      <c r="C2957" s="755"/>
      <c r="D2957" s="1018"/>
      <c r="E2957" s="755"/>
    </row>
    <row r="2958" spans="2:5">
      <c r="B2958" t="s">
        <v>2122</v>
      </c>
      <c r="D2958" s="4">
        <f>(D2942-C2942)-(D2955-C2955)+(D2948-C2948)+(D2949-C2949)-(D2952-C2952)</f>
        <v>88.366666666666674</v>
      </c>
    </row>
    <row r="2959" spans="2:5">
      <c r="B2959" s="755"/>
      <c r="C2959" s="755"/>
      <c r="D2959" s="1018"/>
      <c r="E2959" s="755"/>
    </row>
    <row r="2960" spans="2:5">
      <c r="B2960" t="s">
        <v>2123</v>
      </c>
      <c r="C2960">
        <v>1177</v>
      </c>
      <c r="D2960" s="4">
        <f>C2960+D2958</f>
        <v>1265.3666666666668</v>
      </c>
    </row>
    <row r="2961" spans="2:9">
      <c r="B2961" s="755" t="s">
        <v>2124</v>
      </c>
      <c r="C2961" s="755">
        <v>128</v>
      </c>
      <c r="D2961" s="755">
        <f>C2961</f>
        <v>128</v>
      </c>
      <c r="E2961" s="755"/>
    </row>
    <row r="2962" spans="2:9">
      <c r="B2962" s="61" t="s">
        <v>2125</v>
      </c>
      <c r="C2962" s="61">
        <v>1063</v>
      </c>
      <c r="D2962" s="61">
        <f>C2962</f>
        <v>1063</v>
      </c>
    </row>
    <row r="2963" spans="2:9">
      <c r="B2963" s="755" t="s">
        <v>271</v>
      </c>
      <c r="C2963" s="755">
        <f>C2962+C2961-C2960</f>
        <v>14</v>
      </c>
      <c r="D2963" s="1015">
        <f>D2962+D2961-D2960</f>
        <v>-74.366666666666788</v>
      </c>
      <c r="E2963" s="755"/>
    </row>
    <row r="2964" spans="2:9" ht="15.75" thickBot="1"/>
    <row r="2965" spans="2:9" ht="15.75" thickBot="1">
      <c r="B2965" s="1019" t="s">
        <v>2126</v>
      </c>
      <c r="C2965" s="1020"/>
      <c r="D2965" s="1021">
        <v>4</v>
      </c>
      <c r="E2965" s="755"/>
    </row>
    <row r="2966" spans="2:9">
      <c r="B2966" t="s">
        <v>77</v>
      </c>
      <c r="D2966" s="4">
        <f>D2965*D2942</f>
        <v>4341.333333333333</v>
      </c>
    </row>
    <row r="2967" spans="2:9">
      <c r="B2967" s="755" t="s">
        <v>2127</v>
      </c>
      <c r="C2967" s="755"/>
      <c r="D2967" s="1018">
        <f>D2966/D2956</f>
        <v>9.1692480991270049</v>
      </c>
      <c r="E2967" s="755"/>
    </row>
    <row r="2968" spans="2:9" ht="15.75" thickBot="1">
      <c r="B2968" t="s">
        <v>79</v>
      </c>
      <c r="D2968" s="4">
        <f>D2966-D2963</f>
        <v>4415.7</v>
      </c>
    </row>
    <row r="2969" spans="2:9" ht="15.75" thickBot="1">
      <c r="B2969" s="1019" t="s">
        <v>2128</v>
      </c>
      <c r="C2969" s="1020"/>
      <c r="D2969" s="1021">
        <f>D2968/D2953</f>
        <v>7.8107900943396231</v>
      </c>
      <c r="E2969" s="755"/>
    </row>
    <row r="2970" spans="2:9" ht="15.75" thickBot="1">
      <c r="B2970" t="s">
        <v>2129</v>
      </c>
      <c r="D2970" s="4">
        <f>D2968/17</f>
        <v>259.74705882352941</v>
      </c>
    </row>
    <row r="2971" spans="2:9" ht="15.75" thickBot="1">
      <c r="B2971" s="1019" t="s">
        <v>2130</v>
      </c>
      <c r="C2971" s="1020"/>
      <c r="D2971" s="1394">
        <f>D2970/SOP!G33</f>
        <v>0.39327827790094105</v>
      </c>
      <c r="E2971" s="755"/>
    </row>
    <row r="2975" spans="2:9">
      <c r="B2975" s="149" t="s">
        <v>662</v>
      </c>
      <c r="C2975" s="149">
        <v>2023</v>
      </c>
      <c r="D2975" s="149">
        <f>C2975+1</f>
        <v>2024</v>
      </c>
      <c r="E2975" s="149">
        <f>D2975+1</f>
        <v>2025</v>
      </c>
      <c r="F2975" s="149">
        <f>E2975+1</f>
        <v>2026</v>
      </c>
      <c r="G2975" s="149">
        <f>F2975+1</f>
        <v>2027</v>
      </c>
      <c r="H2975" s="149">
        <f>G2975+1</f>
        <v>2028</v>
      </c>
      <c r="I2975" s="574" t="s">
        <v>2131</v>
      </c>
    </row>
    <row r="2976" spans="2:9">
      <c r="B2976" t="s">
        <v>97</v>
      </c>
      <c r="C2976" s="122">
        <f>Master!V23</f>
        <v>17585.2</v>
      </c>
      <c r="D2976" s="122">
        <f>Master!W23</f>
        <v>15034.7</v>
      </c>
      <c r="E2976" s="122">
        <f>Master!X23</f>
        <v>12397</v>
      </c>
      <c r="F2976" s="122">
        <f>Master!Y23</f>
        <v>9545.69</v>
      </c>
      <c r="G2976" s="122">
        <f>Master!Z23</f>
        <v>6681.9830000000002</v>
      </c>
      <c r="H2976" s="122">
        <f>Master!AA23</f>
        <v>3340.9915000000001</v>
      </c>
      <c r="I2976" s="10">
        <f>(H2976/D2976)^(1/4)-1</f>
        <v>-0.31341367208544735</v>
      </c>
    </row>
    <row r="2977" spans="2:9">
      <c r="B2977" s="61" t="s">
        <v>937</v>
      </c>
      <c r="C2977" s="449">
        <f>Master!V21</f>
        <v>48802.5</v>
      </c>
      <c r="D2977" s="449">
        <f>Master!W21</f>
        <v>47393</v>
      </c>
      <c r="E2977" s="449">
        <f>Master!X21</f>
        <v>46569.1</v>
      </c>
      <c r="F2977" s="449">
        <f>Master!Y21</f>
        <v>47536.392599999992</v>
      </c>
      <c r="G2977" s="449">
        <f>Master!Z21</f>
        <v>48224.984513999989</v>
      </c>
      <c r="H2977" s="449">
        <f>Master!AA21</f>
        <v>49140.08717477999</v>
      </c>
      <c r="I2977" s="1424">
        <f>(H2977/D2977)^(1/4)-1</f>
        <v>9.0912270933112271E-3</v>
      </c>
    </row>
    <row r="2978" spans="2:9">
      <c r="B2978" t="s">
        <v>1105</v>
      </c>
      <c r="C2978" s="122">
        <f t="shared" ref="C2978:H2978" si="186">C2976+C2977</f>
        <v>66387.7</v>
      </c>
      <c r="D2978" s="122">
        <f t="shared" si="186"/>
        <v>62427.7</v>
      </c>
      <c r="E2978" s="122">
        <f t="shared" si="186"/>
        <v>58966.1</v>
      </c>
      <c r="F2978" s="122">
        <f t="shared" si="186"/>
        <v>57082.082599999994</v>
      </c>
      <c r="G2978" s="122">
        <f t="shared" si="186"/>
        <v>54906.967513999989</v>
      </c>
      <c r="H2978" s="122">
        <f t="shared" si="186"/>
        <v>52481.078674779987</v>
      </c>
      <c r="I2978" s="10">
        <f>(H2978/D2978)^(1/4)-1</f>
        <v>-4.2461258043914762E-2</v>
      </c>
    </row>
    <row r="2980" spans="2:9">
      <c r="B2980" t="str">
        <f>B2976</f>
        <v>SKY</v>
      </c>
      <c r="C2980" s="122">
        <f>Master!V55</f>
        <v>5731.4</v>
      </c>
      <c r="D2980" s="122">
        <f>Master!W55</f>
        <v>4672.3159999999998</v>
      </c>
      <c r="E2980" s="122">
        <f>Master!X55</f>
        <v>3781.085</v>
      </c>
      <c r="F2980" s="122">
        <f>Master!Y55</f>
        <v>2863.7069999999999</v>
      </c>
      <c r="G2980" s="122">
        <f>Master!Z55</f>
        <v>1971.1849849999999</v>
      </c>
      <c r="H2980" s="122">
        <f>Master!AA55</f>
        <v>952.18257749999998</v>
      </c>
      <c r="I2980" s="10">
        <f>(H2980/D2980)^(1/4)-1</f>
        <v>-0.3281118124846274</v>
      </c>
    </row>
    <row r="2981" spans="2:9">
      <c r="B2981" s="61" t="str">
        <f>B2977</f>
        <v>Izzy</v>
      </c>
      <c r="C2981" s="449">
        <f>Master!V56</f>
        <v>18727.5</v>
      </c>
      <c r="D2981" s="449">
        <f>Master!W56</f>
        <v>18485.599999999999</v>
      </c>
      <c r="E2981" s="449">
        <f>Master!X56</f>
        <v>19240.815000000002</v>
      </c>
      <c r="F2981" s="449">
        <f>Master!Y56</f>
        <v>20254.536453000001</v>
      </c>
      <c r="G2981" s="449">
        <f>Master!Z56</f>
        <v>20650.485630767995</v>
      </c>
      <c r="H2981" s="449">
        <f>Master!AA56</f>
        <v>21089.870465907596</v>
      </c>
      <c r="I2981" s="1424">
        <f>(H2981/D2981)^(1/4)-1</f>
        <v>3.3499070194966896E-2</v>
      </c>
    </row>
    <row r="2982" spans="2:9">
      <c r="B2982" t="s">
        <v>34</v>
      </c>
      <c r="C2982" s="122">
        <f t="shared" ref="C2982:H2982" si="187">SUM(C2980:C2981)</f>
        <v>24458.9</v>
      </c>
      <c r="D2982" s="122">
        <f t="shared" si="187"/>
        <v>23157.915999999997</v>
      </c>
      <c r="E2982" s="122">
        <f t="shared" si="187"/>
        <v>23021.9</v>
      </c>
      <c r="F2982" s="122">
        <f t="shared" si="187"/>
        <v>23118.243452999999</v>
      </c>
      <c r="G2982" s="122">
        <f t="shared" si="187"/>
        <v>22621.670615767995</v>
      </c>
      <c r="H2982" s="122">
        <f t="shared" si="187"/>
        <v>22042.053043407595</v>
      </c>
      <c r="I2982" s="10">
        <f>(H2982/D2982)^(1/4)-1</f>
        <v>-1.2270232969572192E-2</v>
      </c>
    </row>
    <row r="2983" spans="2:9">
      <c r="B2983" t="s">
        <v>548</v>
      </c>
      <c r="C2983" s="10">
        <f t="shared" ref="C2983:H2983" si="188">C2982/C2978</f>
        <v>0.36842517514539597</v>
      </c>
      <c r="D2983" s="10">
        <f t="shared" si="188"/>
        <v>0.37095577764357807</v>
      </c>
      <c r="E2983" s="10">
        <f t="shared" si="188"/>
        <v>0.39042602444455377</v>
      </c>
      <c r="F2983" s="10">
        <f t="shared" si="188"/>
        <v>0.40500000000000003</v>
      </c>
      <c r="G2983" s="10">
        <f t="shared" si="188"/>
        <v>0.41199999999999998</v>
      </c>
      <c r="H2983" s="10">
        <f t="shared" si="188"/>
        <v>0.42000000000000004</v>
      </c>
    </row>
    <row r="2985" spans="2:9">
      <c r="B2985" t="str">
        <f>B2980</f>
        <v>SKY</v>
      </c>
      <c r="C2985" s="4">
        <f t="shared" ref="C2985:H2985" si="189">C2976-C2980</f>
        <v>11853.800000000001</v>
      </c>
      <c r="D2985" s="4">
        <f t="shared" si="189"/>
        <v>10362.384000000002</v>
      </c>
      <c r="E2985" s="4">
        <f t="shared" si="189"/>
        <v>8615.9150000000009</v>
      </c>
      <c r="F2985" s="4">
        <f t="shared" si="189"/>
        <v>6681.9830000000002</v>
      </c>
      <c r="G2985" s="4">
        <f t="shared" si="189"/>
        <v>4710.7980150000003</v>
      </c>
      <c r="H2985" s="4">
        <f t="shared" si="189"/>
        <v>2388.8089225000003</v>
      </c>
    </row>
    <row r="2986" spans="2:9">
      <c r="B2986" s="61" t="str">
        <f>B2981</f>
        <v>Izzy</v>
      </c>
      <c r="C2986" s="420">
        <f t="shared" ref="C2986:H2986" si="190">C2977-C2981</f>
        <v>30075</v>
      </c>
      <c r="D2986" s="420">
        <f t="shared" si="190"/>
        <v>28907.4</v>
      </c>
      <c r="E2986" s="420">
        <f t="shared" si="190"/>
        <v>27328.284999999996</v>
      </c>
      <c r="F2986" s="420">
        <f t="shared" si="190"/>
        <v>27281.856146999991</v>
      </c>
      <c r="G2986" s="420">
        <f t="shared" si="190"/>
        <v>27574.498883231994</v>
      </c>
      <c r="H2986" s="420">
        <f t="shared" si="190"/>
        <v>28050.216708872395</v>
      </c>
    </row>
    <row r="2987" spans="2:9">
      <c r="B2987" t="s">
        <v>779</v>
      </c>
      <c r="C2987" s="4">
        <f t="shared" ref="C2987:H2987" si="191">C2978-C2982</f>
        <v>41928.799999999996</v>
      </c>
      <c r="D2987" s="4">
        <f t="shared" si="191"/>
        <v>39269.784</v>
      </c>
      <c r="E2987" s="4">
        <f t="shared" si="191"/>
        <v>35944.199999999997</v>
      </c>
      <c r="F2987" s="4">
        <f t="shared" si="191"/>
        <v>33963.839146999991</v>
      </c>
      <c r="G2987" s="4">
        <f t="shared" si="191"/>
        <v>32285.296898231994</v>
      </c>
      <c r="H2987" s="4">
        <f t="shared" si="191"/>
        <v>30439.025631372391</v>
      </c>
    </row>
    <row r="2988" spans="2:9">
      <c r="C2988" s="4"/>
      <c r="D2988" s="4"/>
      <c r="E2988" s="4"/>
      <c r="F2988" s="4"/>
      <c r="G2988" s="4"/>
      <c r="H2988" s="4"/>
    </row>
    <row r="2989" spans="2:9">
      <c r="B2989" t="str">
        <f>B2980</f>
        <v>SKY</v>
      </c>
      <c r="C2989" s="4">
        <f>Master!V83</f>
        <v>2640.8399999999997</v>
      </c>
      <c r="D2989" s="4">
        <f>Master!W83</f>
        <v>1524.39</v>
      </c>
      <c r="E2989" s="4">
        <f>Master!X83</f>
        <v>1638.4872989824</v>
      </c>
      <c r="F2989" s="4">
        <f>Master!Y83</f>
        <v>1240.9397000000001</v>
      </c>
      <c r="G2989" s="4">
        <f>Master!Z83</f>
        <v>868.65779000000009</v>
      </c>
      <c r="H2989" s="4">
        <f>Master!AA83</f>
        <v>434.32889500000005</v>
      </c>
    </row>
    <row r="2990" spans="2:9">
      <c r="B2990" s="61" t="str">
        <f>B2981</f>
        <v>Izzy</v>
      </c>
      <c r="C2990" s="420">
        <f>Master!V84</f>
        <v>11204.1</v>
      </c>
      <c r="D2990" s="420">
        <f>Master!W84</f>
        <v>7305.36</v>
      </c>
      <c r="E2990" s="420">
        <f>Master!X84</f>
        <v>10355.962701017601</v>
      </c>
      <c r="F2990" s="420">
        <f>Master!Y84</f>
        <v>12845.11698726951</v>
      </c>
      <c r="G2990" s="420">
        <f>Master!Z84</f>
        <v>10108.425969721895</v>
      </c>
      <c r="H2990" s="420">
        <f>Master!AA84</f>
        <v>9669.4440965204867</v>
      </c>
    </row>
    <row r="2991" spans="2:9">
      <c r="B2991" t="s">
        <v>35</v>
      </c>
      <c r="C2991" s="4">
        <f t="shared" ref="C2991:H2991" si="192">SUM(C2989:C2990)</f>
        <v>13844.94</v>
      </c>
      <c r="D2991" s="4">
        <f t="shared" si="192"/>
        <v>8829.75</v>
      </c>
      <c r="E2991" s="4">
        <f t="shared" si="192"/>
        <v>11994.45</v>
      </c>
      <c r="F2991" s="4">
        <f t="shared" si="192"/>
        <v>14086.056687269511</v>
      </c>
      <c r="G2991" s="4">
        <f t="shared" si="192"/>
        <v>10977.083759721894</v>
      </c>
      <c r="H2991" s="4">
        <f t="shared" si="192"/>
        <v>10103.772991520487</v>
      </c>
    </row>
    <row r="2993" spans="2:14">
      <c r="B2993" t="str">
        <f>B2989</f>
        <v>SKY</v>
      </c>
      <c r="C2993" s="4">
        <f t="shared" ref="C2993:H2993" si="193">C2980-C2989</f>
        <v>3090.56</v>
      </c>
      <c r="D2993" s="4">
        <f t="shared" si="193"/>
        <v>3147.9259999999995</v>
      </c>
      <c r="E2993" s="4">
        <f t="shared" si="193"/>
        <v>2142.5977010176002</v>
      </c>
      <c r="F2993" s="4">
        <f t="shared" si="193"/>
        <v>1622.7672999999998</v>
      </c>
      <c r="G2993" s="4">
        <f t="shared" si="193"/>
        <v>1102.5271949999997</v>
      </c>
      <c r="H2993" s="4">
        <f t="shared" si="193"/>
        <v>517.85368249999988</v>
      </c>
    </row>
    <row r="2994" spans="2:14">
      <c r="B2994" s="61" t="str">
        <f>B2990</f>
        <v>Izzy</v>
      </c>
      <c r="C2994" s="420">
        <f t="shared" ref="C2994:H2994" si="194">C2981-C2990</f>
        <v>7523.4</v>
      </c>
      <c r="D2994" s="420">
        <f t="shared" si="194"/>
        <v>11180.239999999998</v>
      </c>
      <c r="E2994" s="420">
        <f t="shared" si="194"/>
        <v>8884.8522989824014</v>
      </c>
      <c r="F2994" s="420">
        <f t="shared" si="194"/>
        <v>7409.4194657304906</v>
      </c>
      <c r="G2994" s="420">
        <f t="shared" si="194"/>
        <v>10542.0596610461</v>
      </c>
      <c r="H2994" s="420">
        <f t="shared" si="194"/>
        <v>11420.426369387109</v>
      </c>
    </row>
    <row r="2995" spans="2:14">
      <c r="B2995" t="s">
        <v>36</v>
      </c>
      <c r="C2995" s="4">
        <f t="shared" ref="C2995:H2995" si="195">C2982-C2991</f>
        <v>10613.960000000001</v>
      </c>
      <c r="D2995" s="4">
        <f t="shared" si="195"/>
        <v>14328.165999999997</v>
      </c>
      <c r="E2995" s="4">
        <f t="shared" si="195"/>
        <v>11027.45</v>
      </c>
      <c r="F2995" s="4">
        <f t="shared" si="195"/>
        <v>9032.1867657304883</v>
      </c>
      <c r="G2995" s="4">
        <f t="shared" si="195"/>
        <v>11644.5868560461</v>
      </c>
      <c r="H2995" s="4">
        <f t="shared" si="195"/>
        <v>11938.280051887108</v>
      </c>
    </row>
    <row r="2996" spans="2:14">
      <c r="B2996" t="s">
        <v>548</v>
      </c>
      <c r="C2996" s="10">
        <f t="shared" ref="C2996:H2996" si="196">C2995/C2978</f>
        <v>0.15987841121171545</v>
      </c>
      <c r="D2996" s="10">
        <f t="shared" si="196"/>
        <v>0.22951616029422833</v>
      </c>
      <c r="E2996" s="10">
        <f t="shared" si="196"/>
        <v>0.1870133856571827</v>
      </c>
      <c r="F2996" s="10">
        <f t="shared" si="196"/>
        <v>0.15823155628401142</v>
      </c>
      <c r="G2996" s="10">
        <f t="shared" si="196"/>
        <v>0.21207849173380416</v>
      </c>
      <c r="H2996" s="10">
        <f t="shared" si="196"/>
        <v>0.22747779491857323</v>
      </c>
    </row>
    <row r="2998" spans="2:14">
      <c r="B2998" s="2" t="s">
        <v>2132</v>
      </c>
    </row>
    <row r="2999" spans="2:14">
      <c r="B2999" s="1" t="s">
        <v>2133</v>
      </c>
    </row>
    <row r="3000" spans="2:14">
      <c r="B3000" s="1" t="s">
        <v>2134</v>
      </c>
    </row>
    <row r="3001" spans="2:14">
      <c r="B3001" t="s">
        <v>779</v>
      </c>
      <c r="D3001">
        <f>400*2</f>
        <v>800</v>
      </c>
      <c r="E3001" s="4">
        <v>1600</v>
      </c>
      <c r="F3001" s="4">
        <v>1600</v>
      </c>
      <c r="G3001" s="4">
        <v>1600</v>
      </c>
      <c r="H3001" s="4">
        <v>1600</v>
      </c>
      <c r="N3001" s="4"/>
    </row>
    <row r="3002" spans="2:14">
      <c r="B3002" s="61" t="s">
        <v>35</v>
      </c>
      <c r="C3002" s="61"/>
      <c r="D3002" s="61"/>
      <c r="E3002" s="420">
        <f>0.05*C2989</f>
        <v>132.042</v>
      </c>
      <c r="F3002" s="420">
        <f>E3002</f>
        <v>132.042</v>
      </c>
      <c r="G3002" s="420">
        <f>F3002</f>
        <v>132.042</v>
      </c>
      <c r="H3002" s="420">
        <f>G3002</f>
        <v>132.042</v>
      </c>
    </row>
    <row r="3003" spans="2:14">
      <c r="B3003" t="s">
        <v>85</v>
      </c>
      <c r="D3003" s="4">
        <f>D3001+D3002</f>
        <v>800</v>
      </c>
      <c r="E3003" s="4">
        <f>E3001+E3002</f>
        <v>1732.0419999999999</v>
      </c>
      <c r="F3003" s="4">
        <f>F3001+F3002</f>
        <v>1732.0419999999999</v>
      </c>
      <c r="G3003" s="4">
        <f>G3001+G3002</f>
        <v>1732.0419999999999</v>
      </c>
      <c r="H3003" s="4">
        <f>H3001+H3002</f>
        <v>1732.0419999999999</v>
      </c>
    </row>
    <row r="3004" spans="2:14">
      <c r="B3004" s="61" t="s">
        <v>2135</v>
      </c>
      <c r="C3004" s="61"/>
      <c r="D3004" s="420">
        <v>500</v>
      </c>
      <c r="E3004" s="420"/>
      <c r="F3004" s="420"/>
      <c r="G3004" s="420"/>
      <c r="H3004" s="420"/>
    </row>
    <row r="3005" spans="2:14">
      <c r="B3005" t="s">
        <v>2136</v>
      </c>
      <c r="D3005" s="4">
        <f>D3003-D3004</f>
        <v>300</v>
      </c>
      <c r="E3005" s="4">
        <f>E3003-E3004</f>
        <v>1732.0419999999999</v>
      </c>
      <c r="F3005" s="4">
        <f>F3003-F3004</f>
        <v>1732.0419999999999</v>
      </c>
      <c r="G3005" s="4">
        <f>G3003-G3004</f>
        <v>1732.0419999999999</v>
      </c>
      <c r="H3005" s="4">
        <f>H3003-H3004</f>
        <v>1732.0419999999999</v>
      </c>
    </row>
    <row r="3007" spans="2:14">
      <c r="B3007" t="s">
        <v>1133</v>
      </c>
      <c r="C3007" s="122"/>
      <c r="D3007" s="122">
        <f>D2982+D3001</f>
        <v>23957.915999999997</v>
      </c>
      <c r="E3007" s="122">
        <f>E2982+E3001</f>
        <v>24621.9</v>
      </c>
      <c r="F3007" s="122">
        <f>F2982+F3001</f>
        <v>24718.243452999999</v>
      </c>
      <c r="G3007" s="122">
        <f>G2982+G3001</f>
        <v>24221.670615767995</v>
      </c>
      <c r="H3007" s="122">
        <f>H2982+H3001</f>
        <v>23642.053043407595</v>
      </c>
    </row>
    <row r="3008" spans="2:14">
      <c r="B3008" t="s">
        <v>548</v>
      </c>
      <c r="C3008" s="10"/>
      <c r="D3008" s="10">
        <f>D3007/D2978</f>
        <v>0.38377060183219946</v>
      </c>
      <c r="E3008" s="10">
        <f>E3007/E2978</f>
        <v>0.41756025919977752</v>
      </c>
      <c r="F3008" s="10">
        <f>F3007/F2978</f>
        <v>0.43302981123186984</v>
      </c>
      <c r="G3008" s="10">
        <f>G3007/G2978</f>
        <v>0.44114019973133711</v>
      </c>
      <c r="H3008" s="10">
        <f>H3007/H2978</f>
        <v>0.45048717824408757</v>
      </c>
    </row>
    <row r="3010" spans="2:8">
      <c r="B3010" t="s">
        <v>1614</v>
      </c>
      <c r="C3010" s="122"/>
      <c r="D3010" s="122">
        <f>D3007-D2991-D3002</f>
        <v>15128.165999999997</v>
      </c>
      <c r="E3010" s="122">
        <f>E3007-E2991-E3002</f>
        <v>12495.408000000001</v>
      </c>
      <c r="F3010" s="122">
        <f>F3007-F2991-F3002</f>
        <v>10500.144765730489</v>
      </c>
      <c r="G3010" s="122">
        <f>G3007-G2991-G3002</f>
        <v>13112.544856046101</v>
      </c>
      <c r="H3010" s="122">
        <f>H3007-H2991-H3002</f>
        <v>13406.238051887109</v>
      </c>
    </row>
    <row r="3011" spans="2:8">
      <c r="B3011" t="s">
        <v>548</v>
      </c>
      <c r="C3011" s="10"/>
      <c r="D3011" s="10">
        <f>D3010/D2978</f>
        <v>0.24233098448284973</v>
      </c>
      <c r="E3011" s="10">
        <f>E3010/E2978</f>
        <v>0.2119083337714382</v>
      </c>
      <c r="F3011" s="10">
        <f>F3010/F2978</f>
        <v>0.18394817230670715</v>
      </c>
      <c r="G3011" s="10">
        <f>G3010/G2978</f>
        <v>0.23881386005706307</v>
      </c>
      <c r="H3011" s="10">
        <f>H3010/H2978</f>
        <v>0.25544898066909466</v>
      </c>
    </row>
    <row r="3012" spans="2:8">
      <c r="C3012" s="10"/>
      <c r="D3012" s="10"/>
      <c r="E3012" s="10"/>
      <c r="F3012" s="10"/>
      <c r="G3012" s="10"/>
      <c r="H3012" s="10"/>
    </row>
    <row r="3013" spans="2:8">
      <c r="B3013" t="s">
        <v>2137</v>
      </c>
    </row>
    <row r="3014" spans="2:8">
      <c r="B3014" t="s">
        <v>2138</v>
      </c>
      <c r="D3014" s="4">
        <f>D3005*0.72</f>
        <v>216</v>
      </c>
      <c r="E3014" s="4">
        <f>E3005*0.72</f>
        <v>1247.0702399999998</v>
      </c>
      <c r="F3014" s="4">
        <f>F3005*0.72</f>
        <v>1247.0702399999998</v>
      </c>
      <c r="G3014" s="4">
        <f>G3005*0.72</f>
        <v>1247.0702399999998</v>
      </c>
      <c r="H3014" s="4">
        <f>H3005*0.72</f>
        <v>1247.0702399999998</v>
      </c>
    </row>
    <row r="3015" spans="2:8">
      <c r="B3015" t="s">
        <v>373</v>
      </c>
      <c r="C3015" s="1406">
        <f>NPV(12%,D3014:H3014)</f>
        <v>3574.8106952332437</v>
      </c>
    </row>
    <row r="3016" spans="2:8">
      <c r="B3016" t="s">
        <v>680</v>
      </c>
      <c r="C3016" s="1407">
        <f>1/(11%-0)</f>
        <v>9.0909090909090917</v>
      </c>
    </row>
    <row r="3017" spans="2:8">
      <c r="B3017" t="s">
        <v>1056</v>
      </c>
      <c r="C3017" s="1406">
        <f>C3016*H3014</f>
        <v>11337.002181818181</v>
      </c>
    </row>
    <row r="3018" spans="2:8">
      <c r="B3018" s="61" t="s">
        <v>2139</v>
      </c>
      <c r="C3018" s="589">
        <f>C3017/(1+12%)^4</f>
        <v>7204.8698414604687</v>
      </c>
    </row>
    <row r="3019" spans="2:8">
      <c r="B3019" t="s">
        <v>2140</v>
      </c>
      <c r="C3019" s="4">
        <f>C3015+C3018</f>
        <v>10779.680536693711</v>
      </c>
    </row>
    <row r="3020" spans="2:8">
      <c r="B3020" t="s">
        <v>1076</v>
      </c>
      <c r="C3020" s="4">
        <v>17</v>
      </c>
    </row>
    <row r="3021" spans="2:8">
      <c r="B3021" t="s">
        <v>2141</v>
      </c>
      <c r="C3021" s="4">
        <f>C3019/C3020</f>
        <v>634.0988550996301</v>
      </c>
    </row>
    <row r="3022" spans="2:8">
      <c r="B3022" t="s">
        <v>1570</v>
      </c>
      <c r="C3022" s="419">
        <f>C3021/SOP!G33</f>
        <v>0.96007749570695355</v>
      </c>
    </row>
    <row r="3024" spans="2:8">
      <c r="B3024" t="s">
        <v>2142</v>
      </c>
    </row>
    <row r="3027" spans="2:9">
      <c r="B3027" s="42" t="s">
        <v>2069</v>
      </c>
    </row>
    <row r="3028" spans="2:9">
      <c r="B3028" s="149" t="s">
        <v>33</v>
      </c>
      <c r="C3028" s="149"/>
      <c r="D3028" s="149">
        <f>D2975</f>
        <v>2024</v>
      </c>
      <c r="E3028" s="149">
        <f>E2975</f>
        <v>2025</v>
      </c>
      <c r="F3028" s="149">
        <f>F2975</f>
        <v>2026</v>
      </c>
      <c r="G3028" s="149">
        <f>G2975</f>
        <v>2027</v>
      </c>
      <c r="H3028" s="149">
        <f>H2975</f>
        <v>2028</v>
      </c>
      <c r="I3028" s="574" t="s">
        <v>2131</v>
      </c>
    </row>
    <row r="3029" spans="2:9">
      <c r="B3029" s="755" t="s">
        <v>2143</v>
      </c>
      <c r="C3029" s="755"/>
      <c r="D3029" s="1013">
        <f>D2977</f>
        <v>47393</v>
      </c>
      <c r="E3029" s="1013">
        <f>E2977</f>
        <v>46569.1</v>
      </c>
      <c r="F3029" s="1013">
        <f>F2977</f>
        <v>47536.392599999992</v>
      </c>
      <c r="G3029" s="1013">
        <f>G2977</f>
        <v>48224.984513999989</v>
      </c>
      <c r="H3029" s="1013">
        <f>H2977</f>
        <v>49140.08717477999</v>
      </c>
      <c r="I3029" s="1017">
        <f>(H3029/D3029)^(1/4)-1</f>
        <v>9.0912270933112271E-3</v>
      </c>
    </row>
    <row r="3030" spans="2:9">
      <c r="B3030" s="61" t="s">
        <v>97</v>
      </c>
      <c r="C3030" s="61"/>
      <c r="D3030" s="449">
        <f>D2976</f>
        <v>15034.7</v>
      </c>
      <c r="E3030" s="449">
        <f>E2976</f>
        <v>12397</v>
      </c>
      <c r="F3030" s="449">
        <f>F2976</f>
        <v>9545.69</v>
      </c>
      <c r="G3030" s="449">
        <f>G2976</f>
        <v>6681.9830000000002</v>
      </c>
      <c r="H3030" s="449">
        <f>H2976</f>
        <v>3340.9915000000001</v>
      </c>
      <c r="I3030" s="1424">
        <f>(H3030/D3030)^(1/4)-1</f>
        <v>-0.31341367208544735</v>
      </c>
    </row>
    <row r="3031" spans="2:9">
      <c r="B3031" s="755" t="s">
        <v>2144</v>
      </c>
      <c r="C3031" s="755"/>
      <c r="D3031" s="1013">
        <f>D3029+D3030</f>
        <v>62427.7</v>
      </c>
      <c r="E3031" s="1013">
        <f>E3029+E3030</f>
        <v>58966.1</v>
      </c>
      <c r="F3031" s="1013">
        <f>F3029+F3030</f>
        <v>57082.082599999994</v>
      </c>
      <c r="G3031" s="1013">
        <f>G3029+G3030</f>
        <v>54906.967513999989</v>
      </c>
      <c r="H3031" s="1013">
        <f>H3029+H3030</f>
        <v>52481.078674779987</v>
      </c>
      <c r="I3031" s="1017">
        <f>(H3031/D3031)^(1/4)-1</f>
        <v>-4.2461258043914762E-2</v>
      </c>
    </row>
    <row r="3032" spans="2:9">
      <c r="B3032" s="61" t="s">
        <v>2145</v>
      </c>
      <c r="C3032" s="61"/>
      <c r="D3032" s="449">
        <f>Master!W27</f>
        <v>-3.6000000007334165E-2</v>
      </c>
      <c r="E3032" s="449">
        <f>Master!X27</f>
        <v>0</v>
      </c>
      <c r="F3032" s="449">
        <f>Master!Y27</f>
        <v>0</v>
      </c>
      <c r="G3032" s="449">
        <f>Master!Z27</f>
        <v>0</v>
      </c>
      <c r="H3032" s="449">
        <f>Master!AA27</f>
        <v>0</v>
      </c>
      <c r="I3032" s="61"/>
    </row>
    <row r="3033" spans="2:9">
      <c r="B3033" s="1431" t="s">
        <v>1611</v>
      </c>
      <c r="C3033" s="1431"/>
      <c r="D3033" s="1432">
        <f>D3031+D3032</f>
        <v>62427.66399999999</v>
      </c>
      <c r="E3033" s="1432">
        <f>E3031+E3032</f>
        <v>58966.1</v>
      </c>
      <c r="F3033" s="1432">
        <f>F3031+F3032</f>
        <v>57082.082599999994</v>
      </c>
      <c r="G3033" s="1432">
        <f>G3031+G3032</f>
        <v>54906.967513999989</v>
      </c>
      <c r="H3033" s="1432">
        <f>H3031+H3032</f>
        <v>52481.078674779987</v>
      </c>
      <c r="I3033" s="1453">
        <f>(H3033/D3033)^(1/4)-1</f>
        <v>-4.2461119998595365E-2</v>
      </c>
    </row>
    <row r="3035" spans="2:9">
      <c r="B3035" s="1425" t="s">
        <v>34</v>
      </c>
      <c r="C3035" s="1425"/>
      <c r="D3035" s="1425">
        <f t="shared" ref="D3035:I3035" si="197">D3028</f>
        <v>2024</v>
      </c>
      <c r="E3035" s="1425">
        <f t="shared" si="197"/>
        <v>2025</v>
      </c>
      <c r="F3035" s="1425">
        <f t="shared" si="197"/>
        <v>2026</v>
      </c>
      <c r="G3035" s="1425">
        <f t="shared" si="197"/>
        <v>2027</v>
      </c>
      <c r="H3035" s="1425">
        <f t="shared" si="197"/>
        <v>2028</v>
      </c>
      <c r="I3035" s="1426" t="str">
        <f t="shared" si="197"/>
        <v>24-28e CAGR</v>
      </c>
    </row>
    <row r="3036" spans="2:9">
      <c r="B3036" t="s">
        <v>2143</v>
      </c>
      <c r="D3036" s="122">
        <f>D2981</f>
        <v>18485.599999999999</v>
      </c>
      <c r="E3036" s="122">
        <f>E2981</f>
        <v>19240.815000000002</v>
      </c>
      <c r="F3036" s="122">
        <f>F2981</f>
        <v>20254.536453000001</v>
      </c>
      <c r="G3036" s="122">
        <f>G2981</f>
        <v>20650.485630767995</v>
      </c>
      <c r="H3036" s="122">
        <f>H2981</f>
        <v>21089.870465907596</v>
      </c>
      <c r="I3036" s="10">
        <f>(H3036/D3036)^(1/4)-1</f>
        <v>3.3499070194966896E-2</v>
      </c>
    </row>
    <row r="3037" spans="2:9">
      <c r="B3037" s="1427" t="s">
        <v>97</v>
      </c>
      <c r="C3037" s="1427"/>
      <c r="D3037" s="1428">
        <f>D2980</f>
        <v>4672.3159999999998</v>
      </c>
      <c r="E3037" s="1428">
        <f>E2980</f>
        <v>3781.085</v>
      </c>
      <c r="F3037" s="1428">
        <f>F2980</f>
        <v>2863.7069999999999</v>
      </c>
      <c r="G3037" s="1428">
        <f>G2980</f>
        <v>1971.1849849999999</v>
      </c>
      <c r="H3037" s="1428">
        <f>H2980</f>
        <v>952.18257749999998</v>
      </c>
      <c r="I3037" s="1429">
        <f>(H3037/D3037)^(1/4)-1</f>
        <v>-0.3281118124846274</v>
      </c>
    </row>
    <row r="3038" spans="2:9">
      <c r="B3038" t="s">
        <v>2146</v>
      </c>
      <c r="D3038" s="122">
        <f>D3036+D3037</f>
        <v>23157.915999999997</v>
      </c>
      <c r="E3038" s="122">
        <f>E3036+E3037</f>
        <v>23021.9</v>
      </c>
      <c r="F3038" s="122">
        <f>F3036+F3037</f>
        <v>23118.243452999999</v>
      </c>
      <c r="G3038" s="122">
        <f>G3036+G3037</f>
        <v>22621.670615767995</v>
      </c>
      <c r="H3038" s="122">
        <f>H3036+H3037</f>
        <v>22042.053043407595</v>
      </c>
      <c r="I3038" s="10">
        <f>(H3038/D3038)^(1/4)-1</f>
        <v>-1.2270232969572192E-2</v>
      </c>
    </row>
    <row r="3039" spans="2:9">
      <c r="B3039" s="755" t="s">
        <v>2147</v>
      </c>
      <c r="C3039" s="755"/>
      <c r="D3039" s="1015">
        <f>-D3004</f>
        <v>-500</v>
      </c>
      <c r="E3039" s="755"/>
      <c r="F3039" s="755"/>
      <c r="G3039" s="755"/>
      <c r="H3039" s="755"/>
      <c r="I3039" s="755"/>
    </row>
    <row r="3040" spans="2:9">
      <c r="B3040" s="61" t="s">
        <v>2132</v>
      </c>
      <c r="C3040" s="61"/>
      <c r="D3040" s="61">
        <f>D3001</f>
        <v>800</v>
      </c>
      <c r="E3040" s="61">
        <f>E3001</f>
        <v>1600</v>
      </c>
      <c r="F3040" s="61">
        <f>F3001</f>
        <v>1600</v>
      </c>
      <c r="G3040" s="61">
        <f>G3001</f>
        <v>1600</v>
      </c>
      <c r="H3040" s="61">
        <f>H3001</f>
        <v>1600</v>
      </c>
      <c r="I3040" s="61"/>
    </row>
    <row r="3041" spans="2:9">
      <c r="B3041" s="755" t="s">
        <v>2148</v>
      </c>
      <c r="C3041" s="755"/>
      <c r="D3041" s="1013">
        <f>D3038+D3039+D3040</f>
        <v>23457.915999999997</v>
      </c>
      <c r="E3041" s="1013">
        <f>E3038+E3039+E3040</f>
        <v>24621.9</v>
      </c>
      <c r="F3041" s="1013">
        <f>F3038+F3039+F3040</f>
        <v>24718.243452999999</v>
      </c>
      <c r="G3041" s="1013">
        <f>G3038+G3039+G3040</f>
        <v>24221.670615767995</v>
      </c>
      <c r="H3041" s="1013">
        <f>H3038+H3039+H3040</f>
        <v>23642.053043407595</v>
      </c>
      <c r="I3041" s="1017">
        <f>(H3041/D3041)^(1/4)-1</f>
        <v>1.9566687102734459E-3</v>
      </c>
    </row>
    <row r="3042" spans="2:9">
      <c r="B3042" t="s">
        <v>1280</v>
      </c>
      <c r="D3042" s="122">
        <f>Master!W61</f>
        <v>-756</v>
      </c>
      <c r="E3042" s="122">
        <f>Master!X61</f>
        <v>-448.9</v>
      </c>
      <c r="F3042" s="122">
        <f>Master!Y61</f>
        <v>-435.20601647366937</v>
      </c>
      <c r="G3042" s="122">
        <f>Master!Z61</f>
        <v>-418.62247346275183</v>
      </c>
      <c r="H3042" s="122">
        <f>Master!AA61</f>
        <v>-400.12697767779486</v>
      </c>
      <c r="I3042" s="122"/>
    </row>
    <row r="3043" spans="2:9">
      <c r="B3043" s="1427" t="s">
        <v>2149</v>
      </c>
      <c r="C3043" s="1427"/>
      <c r="D3043" s="1428">
        <f>Master!W62</f>
        <v>-4709.8999999999996</v>
      </c>
      <c r="E3043" s="1428">
        <f>Master!X62</f>
        <v>-1187.5999999999999</v>
      </c>
      <c r="F3043" s="1428">
        <f>Master!Y62</f>
        <v>-1000</v>
      </c>
      <c r="G3043" s="1428">
        <f>Master!Z62</f>
        <v>-961.89495920739216</v>
      </c>
      <c r="H3043" s="1428">
        <f>Master!AA62</f>
        <v>-919.3967053118696</v>
      </c>
      <c r="I3043" s="1428"/>
    </row>
    <row r="3044" spans="2:9">
      <c r="B3044" s="42" t="s">
        <v>34</v>
      </c>
      <c r="C3044" s="42"/>
      <c r="D3044" s="642">
        <f>D3041+D3042+D3043</f>
        <v>17992.015999999996</v>
      </c>
      <c r="E3044" s="642">
        <f>E3041+E3042+E3043</f>
        <v>22985.4</v>
      </c>
      <c r="F3044" s="642">
        <f>F3041+F3042+F3043</f>
        <v>23283.037436526331</v>
      </c>
      <c r="G3044" s="642">
        <f>G3041+G3042+G3043</f>
        <v>22841.153183097853</v>
      </c>
      <c r="H3044" s="642">
        <f>H3041+H3042+H3043</f>
        <v>22322.529360417931</v>
      </c>
      <c r="I3044" s="1433">
        <f>(H3044/D3044)^(1/4)-1</f>
        <v>5.5397092850216989E-2</v>
      </c>
    </row>
    <row r="3045" spans="2:9">
      <c r="B3045" s="1431" t="s">
        <v>2150</v>
      </c>
      <c r="C3045" s="755"/>
      <c r="D3045" s="1013">
        <f>D3044-3000</f>
        <v>14992.015999999996</v>
      </c>
      <c r="E3045" s="1013">
        <f>E3044</f>
        <v>22985.4</v>
      </c>
      <c r="F3045" s="1013">
        <f>F3044</f>
        <v>23283.037436526331</v>
      </c>
      <c r="G3045" s="1013">
        <f>G3044</f>
        <v>22841.153183097853</v>
      </c>
      <c r="H3045" s="1013">
        <f>H3044</f>
        <v>22322.529360417931</v>
      </c>
      <c r="I3045" s="1017">
        <f>(H3045/D3045)^(1/4)-1</f>
        <v>0.10464019354104659</v>
      </c>
    </row>
    <row r="3046" spans="2:9">
      <c r="B3046" s="121" t="s">
        <v>548</v>
      </c>
    </row>
    <row r="3047" spans="2:9">
      <c r="B3047" s="755" t="s">
        <v>2151</v>
      </c>
      <c r="C3047" s="755"/>
      <c r="D3047" s="1430">
        <f>D3041/D3031</f>
        <v>0.37576133671431111</v>
      </c>
      <c r="E3047" s="1430">
        <f>E3041/E3031</f>
        <v>0.41756025919977752</v>
      </c>
      <c r="F3047" s="1430">
        <f>F3041/F3031</f>
        <v>0.43302981123186984</v>
      </c>
      <c r="G3047" s="1430">
        <f>G3041/G3031</f>
        <v>0.44114019973133711</v>
      </c>
      <c r="H3047" s="1430">
        <f>H3041/H3031</f>
        <v>0.45048717824408757</v>
      </c>
      <c r="I3047" s="755"/>
    </row>
    <row r="3048" spans="2:9">
      <c r="B3048" t="s">
        <v>540</v>
      </c>
      <c r="D3048" s="1423">
        <f>D3044/D3033</f>
        <v>0.28820581849738924</v>
      </c>
      <c r="E3048" s="1423">
        <f>E3044/E3033</f>
        <v>0.3898070247142002</v>
      </c>
      <c r="F3048" s="1423">
        <f>F3044/F3033</f>
        <v>0.40788696515649436</v>
      </c>
      <c r="G3048" s="1423">
        <f>G3044/G3033</f>
        <v>0.41599735365596169</v>
      </c>
      <c r="H3048" s="1423">
        <f>H3044/H3033</f>
        <v>0.42534433216871209</v>
      </c>
    </row>
    <row r="3049" spans="2:9">
      <c r="B3049" s="755"/>
      <c r="C3049" s="755"/>
      <c r="D3049" s="755"/>
      <c r="E3049" s="755"/>
      <c r="F3049" s="755"/>
      <c r="G3049" s="755"/>
      <c r="H3049" s="755"/>
      <c r="I3049" s="755"/>
    </row>
    <row r="3050" spans="2:9">
      <c r="B3050" s="42" t="s">
        <v>35</v>
      </c>
    </row>
    <row r="3051" spans="2:9">
      <c r="B3051" s="755" t="str">
        <f>B3036</f>
        <v>Cable Izzy</v>
      </c>
      <c r="C3051" s="755"/>
      <c r="D3051" s="1013">
        <f>Master!W84</f>
        <v>7305.36</v>
      </c>
      <c r="E3051" s="1013">
        <f>Master!X84</f>
        <v>10355.962701017601</v>
      </c>
      <c r="F3051" s="1013">
        <f>Master!Y84</f>
        <v>12845.11698726951</v>
      </c>
      <c r="G3051" s="1013">
        <f>Master!Z84</f>
        <v>10108.425969721895</v>
      </c>
      <c r="H3051" s="1013">
        <f>Master!AA84</f>
        <v>9669.4440965204867</v>
      </c>
      <c r="I3051" s="1017">
        <f>(H3051/D3051)^(1/4)-1</f>
        <v>7.2605380392347207E-2</v>
      </c>
    </row>
    <row r="3052" spans="2:9">
      <c r="B3052" s="61" t="str">
        <f>B3037</f>
        <v>SKY</v>
      </c>
      <c r="C3052" s="61"/>
      <c r="D3052" s="449">
        <f>Master!W83</f>
        <v>1524.39</v>
      </c>
      <c r="E3052" s="449">
        <f>Master!X83</f>
        <v>1638.4872989824</v>
      </c>
      <c r="F3052" s="449">
        <f>Master!Y83</f>
        <v>1240.9397000000001</v>
      </c>
      <c r="G3052" s="449">
        <f>Master!Z83</f>
        <v>868.65779000000009</v>
      </c>
      <c r="H3052" s="449">
        <f>Master!AA83</f>
        <v>434.32889500000005</v>
      </c>
      <c r="I3052" s="1424">
        <f>(H3052/D3052)^(1/4)-1</f>
        <v>-0.26939833438678684</v>
      </c>
    </row>
    <row r="3053" spans="2:9">
      <c r="B3053" s="755" t="s">
        <v>2152</v>
      </c>
      <c r="C3053" s="755"/>
      <c r="D3053" s="1013">
        <f>D3051+D3052</f>
        <v>8829.75</v>
      </c>
      <c r="E3053" s="1013">
        <f>E3051+E3052</f>
        <v>11994.45</v>
      </c>
      <c r="F3053" s="1013">
        <f>F3051+F3052</f>
        <v>14086.056687269511</v>
      </c>
      <c r="G3053" s="1013">
        <f>G3051+G3052</f>
        <v>10977.083759721894</v>
      </c>
      <c r="H3053" s="1013">
        <f>H3051+H3052</f>
        <v>10103.772991520487</v>
      </c>
      <c r="I3053" s="1017">
        <f>(H3053/D3053)^(1/4)-1</f>
        <v>3.4269679514795648E-2</v>
      </c>
    </row>
    <row r="3054" spans="2:9">
      <c r="B3054" s="61" t="s">
        <v>2132</v>
      </c>
      <c r="C3054" s="61"/>
      <c r="D3054" s="420">
        <f>-D3002</f>
        <v>0</v>
      </c>
      <c r="E3054" s="420">
        <f>-E3002</f>
        <v>-132.042</v>
      </c>
      <c r="F3054" s="420">
        <f>-F3002</f>
        <v>-132.042</v>
      </c>
      <c r="G3054" s="420">
        <f>-G3002</f>
        <v>-132.042</v>
      </c>
      <c r="H3054" s="420">
        <f>-H3002</f>
        <v>-132.042</v>
      </c>
      <c r="I3054" s="10"/>
    </row>
    <row r="3055" spans="2:9">
      <c r="B3055" s="1431" t="s">
        <v>2153</v>
      </c>
      <c r="C3055" s="1431"/>
      <c r="D3055" s="1432">
        <f>D3053+D3054</f>
        <v>8829.75</v>
      </c>
      <c r="E3055" s="1432">
        <f>E3053+E3054</f>
        <v>11862.408000000001</v>
      </c>
      <c r="F3055" s="1432">
        <f>F3053+F3054</f>
        <v>13954.014687269511</v>
      </c>
      <c r="G3055" s="1432">
        <f>G3053+G3054</f>
        <v>10845.041759721895</v>
      </c>
      <c r="H3055" s="1432">
        <f>H3053+H3054</f>
        <v>9971.7309915204878</v>
      </c>
      <c r="I3055" s="1017">
        <f>(H3055/D3055)^(1/4)-1</f>
        <v>3.0873882167643751E-2</v>
      </c>
    </row>
    <row r="3056" spans="2:9">
      <c r="B3056" t="s">
        <v>396</v>
      </c>
      <c r="D3056" s="10">
        <f>D3055/D3033</f>
        <v>0.14143969891296912</v>
      </c>
      <c r="E3056" s="10">
        <f>E3055/E3033</f>
        <v>0.20117335214640278</v>
      </c>
      <c r="F3056" s="10">
        <f>F3055/F3033</f>
        <v>0.24445524850681452</v>
      </c>
      <c r="G3056" s="10">
        <f>G3055/G3033</f>
        <v>0.19751667685811758</v>
      </c>
      <c r="H3056" s="10">
        <f>H3055/H3033</f>
        <v>0.19000621258786068</v>
      </c>
    </row>
    <row r="3059" spans="2:9" ht="15.75" thickBot="1">
      <c r="B3059" s="42" t="s">
        <v>28</v>
      </c>
      <c r="C3059" s="42"/>
      <c r="D3059" s="42">
        <v>2024</v>
      </c>
      <c r="E3059" s="42">
        <f>D3059+1</f>
        <v>2025</v>
      </c>
      <c r="F3059" s="42">
        <f>E3059+1</f>
        <v>2026</v>
      </c>
      <c r="G3059" s="42">
        <v>2027</v>
      </c>
      <c r="H3059" s="3"/>
      <c r="I3059" s="576" t="s">
        <v>16</v>
      </c>
    </row>
    <row r="3060" spans="2:9">
      <c r="B3060" s="1434" t="s">
        <v>468</v>
      </c>
      <c r="C3060" s="1435"/>
      <c r="D3060" s="1436">
        <v>1.1177783979917472E-2</v>
      </c>
      <c r="E3060" s="1436">
        <v>5.4958406398161304E-2</v>
      </c>
      <c r="F3060" s="1436">
        <v>9.3202367875952818E-2</v>
      </c>
      <c r="G3060" s="1436">
        <v>0.12099606868898334</v>
      </c>
      <c r="H3060" s="1435"/>
      <c r="I3060" s="1437">
        <v>1.21</v>
      </c>
    </row>
    <row r="3061" spans="2:9">
      <c r="B3061" s="1438" t="s">
        <v>467</v>
      </c>
      <c r="D3061" s="10">
        <f>Valuation!T49</f>
        <v>5.3132879932841506E-2</v>
      </c>
      <c r="E3061" s="10">
        <f>Valuation!U49</f>
        <v>0.12478732540355314</v>
      </c>
      <c r="F3061" s="10">
        <f ca="1">Valuation!V49</f>
        <v>-2.8389954055223548E-3</v>
      </c>
      <c r="G3061" s="10">
        <f ca="1">Valuation!W49</f>
        <v>8.599216129029788E-2</v>
      </c>
      <c r="I3061" s="1439" t="e">
        <f ca="1">(Valuation!V33/Valuation!T33)^(1.3)-1</f>
        <v>#NUM!</v>
      </c>
    </row>
    <row r="3062" spans="2:9" ht="15.75" thickBot="1">
      <c r="B3062" s="1440" t="s">
        <v>1994</v>
      </c>
      <c r="C3062" s="1441"/>
      <c r="D3062" s="1442">
        <v>7.0012329378215346E-2</v>
      </c>
      <c r="E3062" s="1442">
        <v>8.7583346628015882E-2</v>
      </c>
      <c r="F3062" s="1442">
        <v>0.10262410613768677</v>
      </c>
      <c r="G3062" s="1442">
        <v>0.11260699851874401</v>
      </c>
      <c r="H3062" s="1441"/>
      <c r="I3062" s="1443">
        <v>0.129</v>
      </c>
    </row>
    <row r="3063" spans="2:9">
      <c r="B3063" t="s">
        <v>2154</v>
      </c>
      <c r="D3063" s="10">
        <v>9.9783753990790092E-2</v>
      </c>
      <c r="E3063" s="10">
        <v>0.11751908388766348</v>
      </c>
      <c r="F3063" s="10">
        <v>0.12863608867342335</v>
      </c>
      <c r="G3063" s="10">
        <v>0.13666822364388359</v>
      </c>
      <c r="I3063" s="10">
        <v>0.111</v>
      </c>
    </row>
    <row r="3064" spans="2:9">
      <c r="B3064" s="755" t="s">
        <v>2155</v>
      </c>
      <c r="C3064" s="755"/>
      <c r="D3064" s="1017">
        <v>0.11224462044415</v>
      </c>
      <c r="E3064" s="1017">
        <v>0.12910783960385314</v>
      </c>
      <c r="F3064" s="1017">
        <v>0.14700162318033508</v>
      </c>
      <c r="G3064" s="1017">
        <v>0.16057329717365354</v>
      </c>
      <c r="H3064" s="755"/>
      <c r="I3064" s="1017">
        <v>0.113</v>
      </c>
    </row>
    <row r="3066" spans="2:9" ht="15.75" thickBot="1">
      <c r="B3066" s="1431" t="s">
        <v>22</v>
      </c>
      <c r="C3066" s="755"/>
      <c r="D3066" s="755"/>
      <c r="E3066" s="755"/>
      <c r="F3066" s="755"/>
      <c r="G3066" s="755"/>
      <c r="H3066" s="755"/>
      <c r="I3066" s="755"/>
    </row>
    <row r="3067" spans="2:9">
      <c r="B3067" s="1444" t="str">
        <f>B3060</f>
        <v>Megacable</v>
      </c>
      <c r="C3067" s="1445"/>
      <c r="D3067" s="1446">
        <v>4.5282562896387688</v>
      </c>
      <c r="E3067" s="1446">
        <v>3.9160630102285388</v>
      </c>
      <c r="F3067" s="1446">
        <v>3.3294139828746077</v>
      </c>
      <c r="G3067" s="1446">
        <v>2.8591742334709305</v>
      </c>
      <c r="H3067" s="1445"/>
      <c r="I3067" s="1447">
        <v>8.7890157465585483E-2</v>
      </c>
    </row>
    <row r="3068" spans="2:9">
      <c r="B3068" s="1448" t="str">
        <f>B3061</f>
        <v>Televisa</v>
      </c>
      <c r="C3068" s="755"/>
      <c r="D3068" s="1018">
        <f>Valuation!T66</f>
        <v>6.3849651327796026</v>
      </c>
      <c r="E3068" s="1018">
        <f>Valuation!U66</f>
        <v>4.722946933086285</v>
      </c>
      <c r="F3068" s="1018">
        <f ca="1">Valuation!V66</f>
        <v>4.3589403889587848</v>
      </c>
      <c r="G3068" s="1018">
        <f ca="1">Valuation!W66</f>
        <v>4.4458207504978073</v>
      </c>
      <c r="H3068" s="755"/>
      <c r="I3068" s="1449">
        <f>(G3045/D3045)^(1/3)-1</f>
        <v>0.15067496175684258</v>
      </c>
    </row>
    <row r="3069" spans="2:9" ht="15.75" thickBot="1">
      <c r="B3069" s="1450" t="str">
        <f>B3062</f>
        <v>AMX</v>
      </c>
      <c r="C3069" s="1451"/>
      <c r="D3069" s="1452">
        <v>5.2091774072105244</v>
      </c>
      <c r="E3069" s="1452">
        <v>4.6671463034668621</v>
      </c>
      <c r="F3069" s="1452">
        <v>4.2302753016861745</v>
      </c>
      <c r="G3069" s="1452">
        <v>3.77858715641865</v>
      </c>
      <c r="H3069" s="1451"/>
      <c r="I3069" s="601">
        <v>3.5999999999999997E-2</v>
      </c>
    </row>
    <row r="3070" spans="2:9">
      <c r="B3070" s="755" t="s">
        <v>2154</v>
      </c>
      <c r="C3070" s="755"/>
      <c r="D3070" s="1018">
        <v>4.0543252666099834</v>
      </c>
      <c r="E3070" s="1018">
        <v>3.3608340656121913</v>
      </c>
      <c r="F3070" s="1018">
        <v>2.8179037281933192</v>
      </c>
      <c r="G3070" s="1018">
        <v>2.3208032253904336</v>
      </c>
      <c r="H3070" s="755"/>
      <c r="I3070" s="1017">
        <v>6.5000000000000002E-2</v>
      </c>
    </row>
    <row r="3071" spans="2:9">
      <c r="B3071" s="61" t="s">
        <v>2155</v>
      </c>
      <c r="C3071" s="61"/>
      <c r="D3071" s="465">
        <v>3.4711720624291194</v>
      </c>
      <c r="E3071" s="465">
        <v>3.0111545154095518</v>
      </c>
      <c r="F3071" s="465">
        <v>2.5574374102602917</v>
      </c>
      <c r="G3071" s="465">
        <v>2.2071214253755738</v>
      </c>
      <c r="H3071" s="61"/>
      <c r="I3071" s="1424">
        <v>5.7000000000000002E-2</v>
      </c>
    </row>
    <row r="3073" spans="2:7">
      <c r="B3073" s="149" t="s">
        <v>41</v>
      </c>
      <c r="C3073" s="149"/>
      <c r="D3073" s="149">
        <f>D3059</f>
        <v>2024</v>
      </c>
      <c r="E3073" s="149">
        <f>E3059</f>
        <v>2025</v>
      </c>
      <c r="F3073" s="149">
        <f>F3059</f>
        <v>2026</v>
      </c>
      <c r="G3073" s="149">
        <f>G3059</f>
        <v>2027</v>
      </c>
    </row>
    <row r="3074" spans="2:7">
      <c r="B3074" t="s">
        <v>468</v>
      </c>
      <c r="D3074" s="419">
        <v>1.460021065307634</v>
      </c>
      <c r="E3074" s="419">
        <v>1.3157042097376048</v>
      </c>
      <c r="F3074" s="419">
        <v>1.124450364320668</v>
      </c>
      <c r="G3074" s="419">
        <v>0.94567495589956907</v>
      </c>
    </row>
    <row r="3075" spans="2:7">
      <c r="B3075" t="s">
        <v>467</v>
      </c>
      <c r="D3075" s="419">
        <f>Valuation!T70</f>
        <v>4.4930986773508073</v>
      </c>
      <c r="E3075" s="419">
        <f>Valuation!U70</f>
        <v>3.7390327795160943</v>
      </c>
      <c r="F3075" s="419">
        <f ca="1">Valuation!V70</f>
        <v>3.4504890703229756</v>
      </c>
      <c r="G3075" s="419">
        <f ca="1">Valuation!W70</f>
        <v>3.3560418555358185</v>
      </c>
    </row>
    <row r="3076" spans="2:7">
      <c r="B3076" t="s">
        <v>1994</v>
      </c>
      <c r="D3076" s="419">
        <v>1.3834038397348298</v>
      </c>
      <c r="E3076" s="419">
        <v>1.2366398871671893</v>
      </c>
      <c r="F3076" s="419">
        <v>1.1052405457794643</v>
      </c>
      <c r="G3076" s="419">
        <v>0.9825643445841532</v>
      </c>
    </row>
    <row r="3078" spans="2:7">
      <c r="B3078" t="s">
        <v>2156</v>
      </c>
    </row>
    <row r="3079" spans="2:7">
      <c r="D3079">
        <v>54882</v>
      </c>
    </row>
    <row r="3080" spans="2:7">
      <c r="D3080">
        <v>83563</v>
      </c>
    </row>
    <row r="3081" spans="2:7">
      <c r="D3081">
        <v>83563</v>
      </c>
    </row>
    <row r="3082" spans="2:7">
      <c r="D3082" s="61">
        <v>119375</v>
      </c>
    </row>
    <row r="3083" spans="2:7">
      <c r="D3083">
        <f>SUM(D3079:D3082)</f>
        <v>341383</v>
      </c>
    </row>
    <row r="3089" spans="2:27">
      <c r="B3089" t="s">
        <v>767</v>
      </c>
      <c r="T3089" t="s">
        <v>766</v>
      </c>
    </row>
    <row r="3090" spans="2:27" ht="16.5" thickBot="1">
      <c r="B3090" s="1471" t="s">
        <v>28</v>
      </c>
      <c r="C3090" s="1471"/>
      <c r="D3090" s="1471">
        <v>2024</v>
      </c>
      <c r="E3090" s="1471">
        <f>D3090+1</f>
        <v>2025</v>
      </c>
      <c r="F3090" s="1471">
        <f>E3090+1</f>
        <v>2026</v>
      </c>
      <c r="G3090" s="1471">
        <v>2027</v>
      </c>
      <c r="H3090" s="1472"/>
      <c r="I3090" s="1464" t="s">
        <v>16</v>
      </c>
      <c r="T3090" s="1471" t="s">
        <v>28</v>
      </c>
      <c r="U3090" s="1471"/>
      <c r="V3090" s="1471">
        <v>2024</v>
      </c>
      <c r="W3090" s="1471">
        <v>2025</v>
      </c>
      <c r="X3090" s="1471">
        <v>2026</v>
      </c>
      <c r="Y3090" s="1471">
        <v>2027</v>
      </c>
      <c r="Z3090" s="1472"/>
      <c r="AA3090" s="1464" t="s">
        <v>16</v>
      </c>
    </row>
    <row r="3091" spans="2:27" ht="15.75">
      <c r="B3091" s="1473" t="s">
        <v>468</v>
      </c>
      <c r="C3091" s="1474"/>
      <c r="D3091" s="1475">
        <v>-2.4914708744739385E-3</v>
      </c>
      <c r="E3091" s="1475">
        <v>5.3985046690610994E-2</v>
      </c>
      <c r="F3091" s="1475">
        <v>9.5563111243800639E-2</v>
      </c>
      <c r="G3091" s="1475">
        <v>0.12887126066516852</v>
      </c>
      <c r="H3091" s="1474"/>
      <c r="I3091" s="1537" t="s">
        <v>2157</v>
      </c>
      <c r="T3091" s="1473" t="s">
        <v>468</v>
      </c>
      <c r="U3091" s="1474"/>
      <c r="V3091" s="1475">
        <v>1.2694822282763359E-2</v>
      </c>
      <c r="W3091" s="1475">
        <v>6.3988604488125392E-2</v>
      </c>
      <c r="X3091" s="1475">
        <v>0.10667729870722348</v>
      </c>
      <c r="Y3091" s="1475">
        <v>0.13762289640652872</v>
      </c>
      <c r="Z3091" s="1474"/>
      <c r="AA3091" s="1476">
        <v>1.21</v>
      </c>
    </row>
    <row r="3092" spans="2:27" ht="15.75">
      <c r="B3092" s="1477" t="s">
        <v>467</v>
      </c>
      <c r="C3092" s="759"/>
      <c r="D3092" s="1478">
        <f>Valuation!T49</f>
        <v>5.3132879932841506E-2</v>
      </c>
      <c r="E3092" s="1478">
        <f>Valuation!U49</f>
        <v>0.12478732540355314</v>
      </c>
      <c r="F3092" s="1478">
        <f ca="1">Valuation!V49</f>
        <v>-2.8389954055223548E-3</v>
      </c>
      <c r="G3092" s="1478">
        <f ca="1">Valuation!W49</f>
        <v>8.599216129029788E-2</v>
      </c>
      <c r="H3092" s="759"/>
      <c r="I3092" s="1479">
        <f ca="1">(Valuation!W33/Valuation!T33)^(1/3)-1</f>
        <v>0.25619293865008186</v>
      </c>
      <c r="T3092" s="1477" t="s">
        <v>467</v>
      </c>
      <c r="U3092" s="759"/>
      <c r="V3092" s="1478">
        <v>8.9381599048719215E-3</v>
      </c>
      <c r="W3092" s="1478">
        <v>0.21078914406918822</v>
      </c>
      <c r="X3092" s="1478">
        <v>0.24211620829968677</v>
      </c>
      <c r="Y3092" s="1478">
        <v>0.29067843210368532</v>
      </c>
      <c r="Z3092" s="759"/>
      <c r="AA3092" s="1479">
        <v>2.1919413020806959</v>
      </c>
    </row>
    <row r="3093" spans="2:27" ht="16.5" thickBot="1">
      <c r="B3093" s="1480" t="s">
        <v>1994</v>
      </c>
      <c r="C3093" s="1481"/>
      <c r="D3093" s="1482">
        <v>7.8171212974038312E-2</v>
      </c>
      <c r="E3093" s="1482">
        <v>8.9639388163180594E-2</v>
      </c>
      <c r="F3093" s="1482">
        <v>0.10795789600163413</v>
      </c>
      <c r="G3093" s="1482">
        <v>0.11947549434476855</v>
      </c>
      <c r="H3093" s="1481"/>
      <c r="I3093" s="1483">
        <v>0.108</v>
      </c>
      <c r="T3093" s="1480" t="s">
        <v>1994</v>
      </c>
      <c r="U3093" s="1481"/>
      <c r="V3093" s="1482">
        <v>8.6510154607908701E-2</v>
      </c>
      <c r="W3093" s="1482">
        <v>9.2216977725730981E-2</v>
      </c>
      <c r="X3093" s="1482">
        <v>0.10844712144855735</v>
      </c>
      <c r="Y3093" s="1482">
        <v>0.11691065355502983</v>
      </c>
      <c r="Z3093" s="1481"/>
      <c r="AA3093" s="1483">
        <v>0.106</v>
      </c>
    </row>
    <row r="3094" spans="2:27" ht="15.75">
      <c r="B3094" s="759" t="s">
        <v>2154</v>
      </c>
      <c r="C3094" s="759"/>
      <c r="D3094" s="1478">
        <v>0.10372681943763291</v>
      </c>
      <c r="E3094" s="1478">
        <v>0.12368968591696239</v>
      </c>
      <c r="F3094" s="1478">
        <v>0.13538211325325145</v>
      </c>
      <c r="G3094" s="1478">
        <v>0.14388791586872102</v>
      </c>
      <c r="H3094" s="759"/>
      <c r="I3094" s="1478">
        <v>0.115</v>
      </c>
      <c r="T3094" s="759" t="s">
        <v>2154</v>
      </c>
      <c r="U3094" s="759"/>
      <c r="V3094" s="1478">
        <v>0.11154117943782507</v>
      </c>
      <c r="W3094" s="1478">
        <v>0.13365860661226123</v>
      </c>
      <c r="X3094" s="1478">
        <v>0.14666667592909369</v>
      </c>
      <c r="Y3094" s="1478">
        <v>0.15638078422061441</v>
      </c>
      <c r="Z3094" s="759"/>
      <c r="AA3094" s="1478">
        <v>0.11899999999999999</v>
      </c>
    </row>
    <row r="3095" spans="2:27" ht="15.75">
      <c r="B3095" s="1484" t="s">
        <v>2155</v>
      </c>
      <c r="C3095" s="1484"/>
      <c r="D3095" s="1485">
        <v>9.6372848173536974E-2</v>
      </c>
      <c r="E3095" s="1485">
        <v>0.11410683340756939</v>
      </c>
      <c r="F3095" s="1485">
        <v>0.13127525103979112</v>
      </c>
      <c r="G3095" s="1485">
        <v>0.14532705711376259</v>
      </c>
      <c r="H3095" s="1484"/>
      <c r="I3095" s="1485">
        <v>0.13300000000000001</v>
      </c>
      <c r="T3095" s="1484" t="s">
        <v>2155</v>
      </c>
      <c r="U3095" s="1484"/>
      <c r="V3095" s="1485">
        <v>0.11162101727100052</v>
      </c>
      <c r="W3095" s="1485">
        <v>0.12984996900699003</v>
      </c>
      <c r="X3095" s="1485">
        <v>0.14846947670754324</v>
      </c>
      <c r="Y3095" s="1485">
        <v>0.1624736897777026</v>
      </c>
      <c r="Z3095" s="1484"/>
      <c r="AA3095" s="1485">
        <v>0.12</v>
      </c>
    </row>
    <row r="3096" spans="2:27" ht="15.75">
      <c r="B3096" s="759"/>
      <c r="C3096" s="759"/>
      <c r="D3096" s="759"/>
      <c r="E3096" s="759"/>
      <c r="F3096" s="759"/>
      <c r="G3096" s="759"/>
      <c r="H3096" s="759"/>
      <c r="I3096" s="759"/>
      <c r="T3096" s="759"/>
      <c r="U3096" s="759"/>
      <c r="V3096" s="759"/>
      <c r="W3096" s="759"/>
      <c r="X3096" s="759"/>
      <c r="Y3096" s="759"/>
      <c r="Z3096" s="759"/>
      <c r="AA3096" s="759"/>
    </row>
    <row r="3097" spans="2:27" ht="16.5" thickBot="1">
      <c r="B3097" s="1486" t="s">
        <v>22</v>
      </c>
      <c r="C3097" s="1484"/>
      <c r="D3097" s="1484"/>
      <c r="E3097" s="1484"/>
      <c r="F3097" s="1484"/>
      <c r="G3097" s="1484"/>
      <c r="H3097" s="1484"/>
      <c r="I3097" s="1484"/>
      <c r="T3097" s="1486" t="s">
        <v>22</v>
      </c>
      <c r="U3097" s="1484"/>
      <c r="V3097" s="1484"/>
      <c r="W3097" s="1484"/>
      <c r="X3097" s="1484"/>
      <c r="Y3097" s="1484"/>
      <c r="Z3097" s="1484"/>
      <c r="AA3097" s="1484"/>
    </row>
    <row r="3098" spans="2:27" ht="15.75">
      <c r="B3098" s="1487" t="str">
        <f>B3091</f>
        <v>Megacable</v>
      </c>
      <c r="C3098" s="1488"/>
      <c r="D3098" s="1489">
        <v>4.1125882193681376</v>
      </c>
      <c r="E3098" s="1489">
        <v>3.5747138966930265</v>
      </c>
      <c r="F3098" s="1489">
        <v>3.0451943086687203</v>
      </c>
      <c r="G3098" s="1489">
        <v>2.6045475610447508</v>
      </c>
      <c r="H3098" s="1488"/>
      <c r="I3098" s="1490">
        <v>0.09</v>
      </c>
      <c r="T3098" s="1487" t="s">
        <v>468</v>
      </c>
      <c r="U3098" s="1488"/>
      <c r="V3098" s="1489">
        <v>4.1172965840370122</v>
      </c>
      <c r="W3098" s="1489">
        <v>3.5458000819114579</v>
      </c>
      <c r="X3098" s="1489">
        <v>2.9958425557466879</v>
      </c>
      <c r="Y3098" s="1489">
        <v>2.5501812908653316</v>
      </c>
      <c r="Z3098" s="1488"/>
      <c r="AA3098" s="1490">
        <v>8.7999999999999995E-2</v>
      </c>
    </row>
    <row r="3099" spans="2:27" ht="15.75">
      <c r="B3099" s="1491" t="str">
        <f>B3092</f>
        <v>Televisa</v>
      </c>
      <c r="C3099" s="1484"/>
      <c r="D3099" s="1492">
        <f>Valuation!T66</f>
        <v>6.3849651327796026</v>
      </c>
      <c r="E3099" s="1492">
        <f>Valuation!U66</f>
        <v>4.722946933086285</v>
      </c>
      <c r="F3099" s="1492">
        <f ca="1">Valuation!V66</f>
        <v>4.3589403889587848</v>
      </c>
      <c r="G3099" s="1492">
        <f ca="1">Valuation!W66</f>
        <v>4.4458207504978073</v>
      </c>
      <c r="H3099" s="1484"/>
      <c r="I3099" s="1493">
        <f>(G3045/D3045)^(1/3)-1</f>
        <v>0.15067496175684258</v>
      </c>
      <c r="T3099" s="1491" t="s">
        <v>467</v>
      </c>
      <c r="U3099" s="1484"/>
      <c r="V3099" s="1492">
        <v>4.947986771136021</v>
      </c>
      <c r="W3099" s="1492">
        <v>4.722946156615845</v>
      </c>
      <c r="X3099" s="1492">
        <v>4.3632237277812056</v>
      </c>
      <c r="Y3099" s="1492">
        <v>4.0208522722801838</v>
      </c>
      <c r="Z3099" s="1484"/>
      <c r="AA3099" s="1493">
        <v>2.4652993398400103E-2</v>
      </c>
    </row>
    <row r="3100" spans="2:27" ht="16.5" thickBot="1">
      <c r="B3100" s="1494" t="str">
        <f>B3093</f>
        <v>AMX</v>
      </c>
      <c r="C3100" s="1495"/>
      <c r="D3100" s="1496">
        <v>4.9306778072991344</v>
      </c>
      <c r="E3100" s="1496">
        <v>4.735674409477614</v>
      </c>
      <c r="F3100" s="1496">
        <v>4.0569272879938358</v>
      </c>
      <c r="G3100" s="1496">
        <v>3.8561735302907563</v>
      </c>
      <c r="H3100" s="1495"/>
      <c r="I3100" s="1497">
        <v>5.6000000000000001E-2</v>
      </c>
      <c r="T3100" s="1494" t="s">
        <v>1994</v>
      </c>
      <c r="U3100" s="1495"/>
      <c r="V3100" s="1496">
        <v>4.8971696775063993</v>
      </c>
      <c r="W3100" s="1496">
        <v>4.3885012260206384</v>
      </c>
      <c r="X3100" s="1496">
        <v>4.0282375632086076</v>
      </c>
      <c r="Y3100" s="1496">
        <v>3.5672404252495125</v>
      </c>
      <c r="Z3100" s="1495"/>
      <c r="AA3100" s="1497">
        <v>3.1E-2</v>
      </c>
    </row>
    <row r="3101" spans="2:27" ht="15.75">
      <c r="B3101" s="1484" t="s">
        <v>2154</v>
      </c>
      <c r="C3101" s="1484"/>
      <c r="D3101" s="1492">
        <v>4.0266615680089455</v>
      </c>
      <c r="E3101" s="1492">
        <v>3.3491014308254896</v>
      </c>
      <c r="F3101" s="1492">
        <v>2.7963445277344419</v>
      </c>
      <c r="G3101" s="1492">
        <v>2.2863572082422934</v>
      </c>
      <c r="H3101" s="1484"/>
      <c r="I3101" s="1485">
        <v>6.2E-2</v>
      </c>
      <c r="T3101" s="1484" t="s">
        <v>2154</v>
      </c>
      <c r="U3101" s="1484"/>
      <c r="V3101" s="1492">
        <v>3.7939803300989134</v>
      </c>
      <c r="W3101" s="1492">
        <v>3.1107310613852084</v>
      </c>
      <c r="X3101" s="1492">
        <v>2.5649882193495452</v>
      </c>
      <c r="Y3101" s="1492">
        <v>2.0590710316618575</v>
      </c>
      <c r="Z3101" s="1484"/>
      <c r="AA3101" s="1485">
        <v>6.5000000000000002E-2</v>
      </c>
    </row>
    <row r="3102" spans="2:27" ht="15.75">
      <c r="B3102" s="1498" t="s">
        <v>2155</v>
      </c>
      <c r="C3102" s="1498"/>
      <c r="D3102" s="1499">
        <v>3.9960674321110989</v>
      </c>
      <c r="E3102" s="1499">
        <v>3.4124179810921302</v>
      </c>
      <c r="F3102" s="1499">
        <v>2.9117046561986024</v>
      </c>
      <c r="G3102" s="1499">
        <v>2.5136915651547524</v>
      </c>
      <c r="H3102" s="1498"/>
      <c r="I3102" s="1500">
        <v>7.0999999999999994E-2</v>
      </c>
      <c r="T3102" s="1498" t="s">
        <v>2155</v>
      </c>
      <c r="U3102" s="1498"/>
      <c r="V3102" s="1499">
        <v>3.5250113674013077</v>
      </c>
      <c r="W3102" s="1499">
        <v>3.0172218438970262</v>
      </c>
      <c r="X3102" s="1499">
        <v>2.5495577867661292</v>
      </c>
      <c r="Y3102" s="1499">
        <v>2.1903178783817618</v>
      </c>
      <c r="Z3102" s="1498"/>
      <c r="AA3102" s="1500">
        <v>6.3E-2</v>
      </c>
    </row>
    <row r="3112" spans="2:37">
      <c r="W3112" s="3" t="str">
        <f t="shared" ref="W3112:AI3112" si="198">D3114</f>
        <v>1Q23</v>
      </c>
      <c r="X3112" s="3" t="str">
        <f t="shared" si="198"/>
        <v>2Q23</v>
      </c>
      <c r="Y3112" s="3" t="str">
        <f t="shared" si="198"/>
        <v>3Q23</v>
      </c>
      <c r="Z3112" s="3" t="str">
        <f t="shared" si="198"/>
        <v>4Q23</v>
      </c>
      <c r="AA3112" s="3" t="str">
        <f t="shared" si="198"/>
        <v>1Q24</v>
      </c>
      <c r="AB3112" s="3" t="str">
        <f t="shared" si="198"/>
        <v>2Q24</v>
      </c>
      <c r="AC3112" s="3" t="str">
        <f t="shared" si="198"/>
        <v>3Q24</v>
      </c>
      <c r="AD3112" s="3" t="str">
        <f t="shared" si="198"/>
        <v>4Q24</v>
      </c>
      <c r="AE3112" s="3" t="str">
        <f t="shared" si="198"/>
        <v>1Q25</v>
      </c>
      <c r="AF3112" s="3" t="str">
        <f t="shared" si="198"/>
        <v>2Q25</v>
      </c>
      <c r="AG3112" s="3" t="str">
        <f t="shared" si="198"/>
        <v>3Q25</v>
      </c>
      <c r="AH3112" s="3" t="str">
        <f t="shared" si="198"/>
        <v>4Q25</v>
      </c>
      <c r="AI3112" s="3" t="str">
        <f t="shared" si="198"/>
        <v>1Q26</v>
      </c>
      <c r="AJ3112" s="3"/>
    </row>
    <row r="3113" spans="2:37">
      <c r="W3113" s="647">
        <f t="shared" ref="W3113:AI3113" si="199">D3118</f>
        <v>1288.7999999999956</v>
      </c>
      <c r="X3113" s="647">
        <f t="shared" si="199"/>
        <v>1201</v>
      </c>
      <c r="Y3113" s="647">
        <f t="shared" si="199"/>
        <v>1305.2000000000044</v>
      </c>
      <c r="Z3113" s="647">
        <f t="shared" si="199"/>
        <v>-2234.9000000000015</v>
      </c>
      <c r="AA3113" s="647">
        <f t="shared" si="199"/>
        <v>-3198.1999999999971</v>
      </c>
      <c r="AB3113" s="647">
        <f t="shared" si="199"/>
        <v>1820.0999999999985</v>
      </c>
      <c r="AC3113" s="647">
        <f t="shared" si="199"/>
        <v>752.5</v>
      </c>
      <c r="AD3113" s="647">
        <f t="shared" si="199"/>
        <v>-381</v>
      </c>
      <c r="AE3113" s="647">
        <f t="shared" si="199"/>
        <v>-4180.5999999999985</v>
      </c>
      <c r="AF3113" s="647">
        <f t="shared" si="199"/>
        <v>-3897.1000000000058</v>
      </c>
      <c r="AG3113" s="647">
        <f t="shared" si="199"/>
        <v>-1483.8999999999942</v>
      </c>
      <c r="AH3113" s="647">
        <f t="shared" si="199"/>
        <v>-971.10000000000582</v>
      </c>
      <c r="AI3113" s="647">
        <f t="shared" si="199"/>
        <v>637.20000000000437</v>
      </c>
      <c r="AJ3113" s="647"/>
    </row>
    <row r="3114" spans="2:37">
      <c r="B3114" s="42"/>
      <c r="C3114" s="576" t="s">
        <v>2158</v>
      </c>
      <c r="D3114" s="576" t="s">
        <v>942</v>
      </c>
      <c r="E3114" s="576" t="s">
        <v>943</v>
      </c>
      <c r="F3114" s="576" t="s">
        <v>944</v>
      </c>
      <c r="G3114" s="576" t="s">
        <v>945</v>
      </c>
      <c r="H3114" s="576" t="s">
        <v>946</v>
      </c>
      <c r="I3114" s="576" t="s">
        <v>947</v>
      </c>
      <c r="J3114" s="576" t="s">
        <v>948</v>
      </c>
      <c r="K3114" s="576" t="s">
        <v>949</v>
      </c>
      <c r="L3114" s="576" t="s">
        <v>951</v>
      </c>
      <c r="M3114" s="576" t="s">
        <v>952</v>
      </c>
      <c r="N3114" s="576" t="s">
        <v>8029</v>
      </c>
      <c r="O3114" s="576" t="s">
        <v>8075</v>
      </c>
      <c r="P3114" s="576" t="s">
        <v>8094</v>
      </c>
    </row>
    <row r="3115" spans="2:37">
      <c r="B3115" t="s">
        <v>2159</v>
      </c>
      <c r="C3115" s="647">
        <f>Interims!BM167</f>
        <v>-3233.1878400000001</v>
      </c>
      <c r="D3115" s="647">
        <f>Interims!BO167</f>
        <v>-2834.6600000000003</v>
      </c>
      <c r="E3115" s="647">
        <f>Interims!BP167</f>
        <v>-54.490000000002283</v>
      </c>
      <c r="F3115" s="647">
        <f>Interims!BQ167</f>
        <v>889.45999999999981</v>
      </c>
      <c r="G3115" s="647">
        <f>Interims!BR167</f>
        <v>147.26000000000067</v>
      </c>
      <c r="H3115" s="647">
        <f>Interims!BT167</f>
        <v>6211.2259999999997</v>
      </c>
      <c r="I3115" s="647">
        <f>Interims!BU167</f>
        <v>-1031.0659999999991</v>
      </c>
      <c r="J3115" s="647">
        <f>Interims!BV167</f>
        <v>2202.3360000000007</v>
      </c>
      <c r="K3115" s="647">
        <f>Interims!BW167</f>
        <v>1815.4430000000011</v>
      </c>
      <c r="L3115" s="647">
        <f>Interims!BY167</f>
        <v>3362.7900000000004</v>
      </c>
      <c r="M3115" s="647">
        <f>Interims!BZ167</f>
        <v>220.06799999999953</v>
      </c>
      <c r="N3115" s="647">
        <f>Interims!CA167</f>
        <v>13.881000000000768</v>
      </c>
      <c r="O3115" s="647"/>
      <c r="P3115" s="647"/>
      <c r="Q3115" s="647"/>
      <c r="R3115" s="647"/>
      <c r="S3115" s="647"/>
      <c r="T3115" s="647"/>
    </row>
    <row r="3116" spans="2:37">
      <c r="D3116" s="647"/>
      <c r="E3116" s="647"/>
      <c r="F3116" s="647"/>
      <c r="G3116" s="647"/>
      <c r="H3116" s="647"/>
      <c r="I3116" s="647"/>
      <c r="J3116" s="647"/>
      <c r="K3116" s="647"/>
      <c r="L3116" s="647"/>
      <c r="M3116" s="647"/>
      <c r="N3116" s="647"/>
      <c r="O3116" s="647"/>
      <c r="P3116" s="647"/>
      <c r="Q3116" s="647"/>
      <c r="R3116" s="647"/>
      <c r="S3116" s="647"/>
      <c r="T3116" s="647"/>
    </row>
    <row r="3117" spans="2:37">
      <c r="B3117" t="s">
        <v>271</v>
      </c>
      <c r="C3117" s="647">
        <f>Interims!BM178</f>
        <v>59094.400000000001</v>
      </c>
      <c r="D3117" s="647">
        <f>Interims!BO178</f>
        <v>60383.199999999997</v>
      </c>
      <c r="E3117" s="647">
        <f>Interims!BP178</f>
        <v>61584.2</v>
      </c>
      <c r="F3117" s="647">
        <f>Interims!BQ178</f>
        <v>62889.4</v>
      </c>
      <c r="G3117" s="647">
        <f>Interims!BR178</f>
        <v>60654.5</v>
      </c>
      <c r="H3117" s="647">
        <f>Interims!BT178</f>
        <v>57456.3</v>
      </c>
      <c r="I3117" s="647">
        <f>Interims!BU178</f>
        <v>59276.4</v>
      </c>
      <c r="J3117" s="647">
        <f>Interims!BV178</f>
        <v>60028.9</v>
      </c>
      <c r="K3117" s="647">
        <f>Interims!BW178</f>
        <v>59647.9</v>
      </c>
      <c r="L3117" s="647">
        <f>Interims!BY178</f>
        <v>55467.3</v>
      </c>
      <c r="M3117" s="647">
        <f>Interims!BZ178</f>
        <v>51570.2</v>
      </c>
      <c r="N3117" s="647">
        <f>Interims!CA178</f>
        <v>50086.3</v>
      </c>
      <c r="O3117" s="647">
        <f>Interims!CB178</f>
        <v>49115.199999999997</v>
      </c>
      <c r="P3117" s="647">
        <f>Interims!CD178</f>
        <v>49752.4</v>
      </c>
      <c r="Q3117" s="647"/>
      <c r="R3117" s="647"/>
      <c r="S3117" s="647"/>
      <c r="T3117" s="647"/>
      <c r="AJ3117" s="3"/>
      <c r="AK3117" s="3"/>
    </row>
    <row r="3118" spans="2:37">
      <c r="B3118" t="s">
        <v>272</v>
      </c>
      <c r="D3118" s="647">
        <f>D3117-C3117</f>
        <v>1288.7999999999956</v>
      </c>
      <c r="E3118" s="647">
        <f>E3117-D3117</f>
        <v>1201</v>
      </c>
      <c r="F3118" s="647">
        <f t="shared" ref="F3118:P3118" si="200">F3117-E3117</f>
        <v>1305.2000000000044</v>
      </c>
      <c r="G3118" s="647">
        <f t="shared" si="200"/>
        <v>-2234.9000000000015</v>
      </c>
      <c r="H3118" s="647">
        <f t="shared" si="200"/>
        <v>-3198.1999999999971</v>
      </c>
      <c r="I3118" s="647">
        <f t="shared" si="200"/>
        <v>1820.0999999999985</v>
      </c>
      <c r="J3118" s="647">
        <f t="shared" si="200"/>
        <v>752.5</v>
      </c>
      <c r="K3118" s="647">
        <f t="shared" si="200"/>
        <v>-381</v>
      </c>
      <c r="L3118" s="647">
        <f t="shared" si="200"/>
        <v>-4180.5999999999985</v>
      </c>
      <c r="M3118" s="647">
        <f t="shared" si="200"/>
        <v>-3897.1000000000058</v>
      </c>
      <c r="N3118" s="647">
        <f t="shared" si="200"/>
        <v>-1483.8999999999942</v>
      </c>
      <c r="O3118" s="647">
        <f t="shared" si="200"/>
        <v>-971.10000000000582</v>
      </c>
      <c r="P3118" s="647">
        <f t="shared" si="200"/>
        <v>637.20000000000437</v>
      </c>
      <c r="Q3118" s="647"/>
      <c r="R3118" s="647"/>
      <c r="S3118" s="647"/>
      <c r="T3118" s="647"/>
      <c r="AJ3118" s="1538"/>
      <c r="AK3118" s="1538"/>
    </row>
    <row r="3119" spans="2:37">
      <c r="D3119" s="647"/>
      <c r="E3119" s="647"/>
      <c r="F3119" s="647"/>
      <c r="G3119" s="647"/>
      <c r="H3119" s="647"/>
      <c r="I3119" s="647"/>
      <c r="J3119" s="647"/>
      <c r="K3119" s="647"/>
      <c r="L3119" s="647"/>
      <c r="M3119" s="647"/>
      <c r="N3119" s="647"/>
      <c r="O3119" s="647"/>
      <c r="P3119" s="647"/>
      <c r="Q3119" s="647"/>
      <c r="R3119" s="647"/>
      <c r="S3119" s="647"/>
      <c r="T3119" s="647"/>
    </row>
    <row r="3120" spans="2:37">
      <c r="B3120" t="s">
        <v>2160</v>
      </c>
      <c r="C3120" s="1468">
        <v>51131</v>
      </c>
      <c r="D3120" s="1468">
        <v>43549.5</v>
      </c>
      <c r="E3120" s="1468">
        <v>38903.300000000003</v>
      </c>
      <c r="F3120" s="1468">
        <v>32688.1</v>
      </c>
      <c r="G3120" s="1468">
        <v>32586.400000000001</v>
      </c>
      <c r="H3120" s="1468">
        <v>32606.799999999999</v>
      </c>
      <c r="I3120" s="1468">
        <v>36960.400000000001</v>
      </c>
      <c r="J3120" s="1468">
        <v>41033.699999999997</v>
      </c>
      <c r="K3120" s="1468">
        <v>46193.2</v>
      </c>
      <c r="L3120" s="1468">
        <v>43536.7</v>
      </c>
      <c r="M3120" s="1468">
        <v>38449.199999999997</v>
      </c>
      <c r="N3120" s="1468">
        <v>37856.800000000003</v>
      </c>
      <c r="O3120" s="1468">
        <v>36375.699999999997</v>
      </c>
      <c r="P3120" s="1468"/>
      <c r="Q3120" s="647"/>
      <c r="R3120" s="647"/>
      <c r="S3120" s="647"/>
      <c r="T3120" s="647"/>
    </row>
    <row r="3121" spans="2:31">
      <c r="B3121" t="s">
        <v>2161</v>
      </c>
      <c r="C3121" s="647"/>
      <c r="D3121" s="647">
        <f t="shared" ref="D3121:P3121" si="201">D3120-C3120</f>
        <v>-7581.5</v>
      </c>
      <c r="E3121" s="647">
        <f t="shared" si="201"/>
        <v>-4646.1999999999971</v>
      </c>
      <c r="F3121" s="647">
        <f t="shared" si="201"/>
        <v>-6215.2000000000044</v>
      </c>
      <c r="G3121" s="647">
        <f t="shared" si="201"/>
        <v>-101.69999999999709</v>
      </c>
      <c r="H3121" s="647">
        <f t="shared" si="201"/>
        <v>20.399999999997817</v>
      </c>
      <c r="I3121" s="647">
        <f t="shared" si="201"/>
        <v>4353.6000000000022</v>
      </c>
      <c r="J3121" s="647">
        <f t="shared" si="201"/>
        <v>4073.2999999999956</v>
      </c>
      <c r="K3121" s="647">
        <f t="shared" si="201"/>
        <v>5159.5</v>
      </c>
      <c r="L3121" s="647">
        <f t="shared" si="201"/>
        <v>-2656.5</v>
      </c>
      <c r="M3121" s="647">
        <f t="shared" si="201"/>
        <v>-5087.5</v>
      </c>
      <c r="N3121" s="647">
        <f t="shared" si="201"/>
        <v>-592.39999999999418</v>
      </c>
      <c r="O3121" s="647">
        <f t="shared" si="201"/>
        <v>-1481.1000000000058</v>
      </c>
      <c r="P3121" s="647">
        <f t="shared" si="201"/>
        <v>-36375.699999999997</v>
      </c>
      <c r="Q3121" s="647"/>
      <c r="R3121" s="647"/>
      <c r="S3121" s="647"/>
      <c r="T3121" s="647"/>
    </row>
    <row r="3122" spans="2:31">
      <c r="C3122" s="647"/>
      <c r="D3122" s="647"/>
      <c r="E3122" s="647"/>
      <c r="F3122" s="647"/>
      <c r="G3122" s="647"/>
      <c r="H3122" s="647"/>
      <c r="I3122" s="647"/>
      <c r="J3122" s="647"/>
      <c r="K3122" s="647"/>
      <c r="L3122" s="647"/>
      <c r="M3122" s="647"/>
      <c r="N3122" s="647"/>
      <c r="O3122" s="647"/>
      <c r="P3122" s="647"/>
      <c r="Q3122" s="647"/>
      <c r="R3122" s="647"/>
      <c r="S3122" s="647"/>
      <c r="T3122" s="647"/>
    </row>
    <row r="3123" spans="2:31">
      <c r="B3123" t="s">
        <v>2162</v>
      </c>
      <c r="C3123" s="647">
        <f t="shared" ref="C3123:J3123" si="202">C3120-C3124</f>
        <v>34087.333333333328</v>
      </c>
      <c r="D3123" s="647">
        <f t="shared" si="202"/>
        <v>29033</v>
      </c>
      <c r="E3123" s="647">
        <f t="shared" si="202"/>
        <v>25935.533333333333</v>
      </c>
      <c r="F3123" s="647">
        <f t="shared" si="202"/>
        <v>21792.066666666666</v>
      </c>
      <c r="G3123" s="647">
        <f t="shared" si="202"/>
        <v>21724.26666666667</v>
      </c>
      <c r="H3123" s="647">
        <f t="shared" si="202"/>
        <v>21737.866666666669</v>
      </c>
      <c r="I3123" s="647">
        <f t="shared" si="202"/>
        <v>24640.26666666667</v>
      </c>
      <c r="J3123" s="647">
        <f t="shared" si="202"/>
        <v>27355.799999999996</v>
      </c>
      <c r="K3123" s="647">
        <f t="shared" ref="K3123:P3123" si="203">K3120-K3124</f>
        <v>30795.466666666667</v>
      </c>
      <c r="L3123" s="647">
        <f t="shared" si="203"/>
        <v>29024.466666666667</v>
      </c>
      <c r="M3123" s="647">
        <f t="shared" si="203"/>
        <v>25632.799999999996</v>
      </c>
      <c r="N3123" s="647">
        <f t="shared" si="203"/>
        <v>25237.866666666669</v>
      </c>
      <c r="O3123" s="647">
        <f t="shared" si="203"/>
        <v>24250.466666666667</v>
      </c>
      <c r="P3123" s="647">
        <f t="shared" si="203"/>
        <v>0</v>
      </c>
      <c r="Q3123" s="647"/>
      <c r="R3123" s="647"/>
      <c r="S3123" s="647"/>
      <c r="T3123" s="647"/>
    </row>
    <row r="3124" spans="2:31">
      <c r="B3124" t="s">
        <v>2163</v>
      </c>
      <c r="C3124" s="647">
        <f t="shared" ref="C3124:J3124" si="204">C3120/3</f>
        <v>17043.666666666668</v>
      </c>
      <c r="D3124" s="647">
        <f t="shared" si="204"/>
        <v>14516.5</v>
      </c>
      <c r="E3124" s="647">
        <f t="shared" si="204"/>
        <v>12967.766666666668</v>
      </c>
      <c r="F3124" s="647">
        <f t="shared" si="204"/>
        <v>10896.033333333333</v>
      </c>
      <c r="G3124" s="647">
        <f t="shared" si="204"/>
        <v>10862.133333333333</v>
      </c>
      <c r="H3124" s="647">
        <f t="shared" si="204"/>
        <v>10868.933333333332</v>
      </c>
      <c r="I3124" s="647">
        <f t="shared" si="204"/>
        <v>12320.133333333333</v>
      </c>
      <c r="J3124" s="647">
        <f t="shared" si="204"/>
        <v>13677.9</v>
      </c>
      <c r="K3124" s="647">
        <f t="shared" ref="K3124:P3124" si="205">K3120/3</f>
        <v>15397.733333333332</v>
      </c>
      <c r="L3124" s="647">
        <f t="shared" si="205"/>
        <v>14512.233333333332</v>
      </c>
      <c r="M3124" s="647">
        <f t="shared" si="205"/>
        <v>12816.4</v>
      </c>
      <c r="N3124" s="647">
        <f t="shared" si="205"/>
        <v>12618.933333333334</v>
      </c>
      <c r="O3124" s="647">
        <f t="shared" si="205"/>
        <v>12125.233333333332</v>
      </c>
      <c r="P3124" s="647">
        <f t="shared" si="205"/>
        <v>0</v>
      </c>
      <c r="Q3124" s="1960" t="s">
        <v>2164</v>
      </c>
      <c r="R3124" s="647"/>
      <c r="T3124" s="647"/>
    </row>
    <row r="3125" spans="2:31">
      <c r="B3125" t="s">
        <v>2165</v>
      </c>
      <c r="C3125" s="1470">
        <v>19.4999</v>
      </c>
      <c r="D3125" s="1470">
        <v>18.046199999999999</v>
      </c>
      <c r="E3125" s="1470">
        <v>17.1248</v>
      </c>
      <c r="F3125" s="1470">
        <v>17.422699999999999</v>
      </c>
      <c r="G3125" s="1470">
        <v>16.972000000000001</v>
      </c>
      <c r="H3125" s="1470">
        <v>16.558599999999998</v>
      </c>
      <c r="I3125" s="1470">
        <v>18.3385</v>
      </c>
      <c r="J3125" s="1470">
        <v>19.68</v>
      </c>
      <c r="K3125" s="1470">
        <v>20.84</v>
      </c>
      <c r="L3125" s="1470">
        <v>20.47</v>
      </c>
      <c r="M3125" s="1470">
        <v>18.79</v>
      </c>
      <c r="N3125" s="1470">
        <v>18.309999999999999</v>
      </c>
      <c r="O3125" s="1470">
        <v>18.3</v>
      </c>
      <c r="P3125" s="1470"/>
      <c r="Q3125" s="647"/>
      <c r="R3125" s="647"/>
      <c r="S3125" s="647"/>
      <c r="T3125" s="647"/>
    </row>
    <row r="3126" spans="2:31">
      <c r="B3126" t="s">
        <v>2166</v>
      </c>
      <c r="D3126" s="1467">
        <f>D3125/C3125-1</f>
        <v>-7.4549100251796285E-2</v>
      </c>
      <c r="E3126" s="1467">
        <f>E3125/D3125-1</f>
        <v>-5.1057840431780521E-2</v>
      </c>
      <c r="F3126" s="1467">
        <f>F3125/E3125-1</f>
        <v>1.7395823600859561E-2</v>
      </c>
      <c r="G3126" s="1467">
        <f>G3125/F3125-1</f>
        <v>-2.5868550798670564E-2</v>
      </c>
      <c r="H3126" s="1467">
        <f>H3125/G3125-1</f>
        <v>-2.4357765731793712E-2</v>
      </c>
      <c r="I3126" s="1467">
        <f t="shared" ref="I3126:P3126" si="206">I3125/H3125-1</f>
        <v>0.10749097145893982</v>
      </c>
      <c r="J3126" s="1467">
        <f t="shared" si="206"/>
        <v>7.3152111677618148E-2</v>
      </c>
      <c r="K3126" s="1467">
        <f t="shared" si="206"/>
        <v>5.8943089430894213E-2</v>
      </c>
      <c r="L3126" s="1467">
        <f t="shared" si="206"/>
        <v>-1.775431861804222E-2</v>
      </c>
      <c r="M3126" s="1467">
        <f t="shared" si="206"/>
        <v>-8.2071323888617487E-2</v>
      </c>
      <c r="N3126" s="1467">
        <f t="shared" si="206"/>
        <v>-2.5545502927088903E-2</v>
      </c>
      <c r="O3126" s="1467">
        <f t="shared" si="206"/>
        <v>-5.4614964500265817E-4</v>
      </c>
      <c r="P3126" s="1467">
        <f t="shared" si="206"/>
        <v>-1</v>
      </c>
      <c r="Q3126" s="647"/>
      <c r="R3126" s="647"/>
      <c r="S3126" s="647"/>
      <c r="T3126" s="647"/>
    </row>
    <row r="3127" spans="2:31">
      <c r="D3127" s="1467"/>
      <c r="E3127" s="1467"/>
      <c r="F3127" s="1467"/>
      <c r="G3127" s="1467"/>
      <c r="H3127" s="1467"/>
      <c r="I3127" s="1467"/>
      <c r="J3127" s="647"/>
      <c r="K3127" s="647"/>
      <c r="L3127" s="647"/>
      <c r="M3127" s="647"/>
      <c r="N3127" s="647"/>
      <c r="O3127" s="647"/>
      <c r="P3127" s="647"/>
      <c r="Q3127" s="647"/>
      <c r="R3127" s="647"/>
      <c r="S3127" s="647"/>
      <c r="T3127" s="647"/>
    </row>
    <row r="3128" spans="2:31">
      <c r="B3128" t="s">
        <v>2167</v>
      </c>
      <c r="C3128" s="647"/>
      <c r="D3128" s="647">
        <f t="shared" ref="D3128:P3128" si="207">C3123/C3125*D3125</f>
        <v>31546.153303350267</v>
      </c>
      <c r="E3128" s="647">
        <f t="shared" si="207"/>
        <v>27550.637718744114</v>
      </c>
      <c r="F3128" s="647">
        <f t="shared" si="207"/>
        <v>26386.70329619421</v>
      </c>
      <c r="G3128" s="647">
        <f t="shared" si="207"/>
        <v>21228.337483091986</v>
      </c>
      <c r="H3128" s="647">
        <f t="shared" si="207"/>
        <v>21195.11206850499</v>
      </c>
      <c r="I3128" s="647">
        <f t="shared" si="207"/>
        <v>24074.491072111578</v>
      </c>
      <c r="J3128" s="647">
        <f t="shared" si="207"/>
        <v>26442.754205632958</v>
      </c>
      <c r="K3128" s="647">
        <f t="shared" si="207"/>
        <v>28968.235365853652</v>
      </c>
      <c r="L3128" s="647">
        <f t="shared" si="207"/>
        <v>30248.714139475367</v>
      </c>
      <c r="M3128" s="647">
        <f t="shared" si="207"/>
        <v>26642.390262172285</v>
      </c>
      <c r="N3128" s="647">
        <f t="shared" si="207"/>
        <v>24977.997232570513</v>
      </c>
      <c r="O3128" s="647">
        <f t="shared" si="207"/>
        <v>25224.083014746044</v>
      </c>
      <c r="P3128" s="647">
        <f t="shared" si="207"/>
        <v>0</v>
      </c>
      <c r="Q3128" s="647"/>
      <c r="R3128" s="647"/>
      <c r="S3128" s="647"/>
      <c r="T3128" s="647"/>
    </row>
    <row r="3129" spans="2:31">
      <c r="B3129" t="s">
        <v>2168</v>
      </c>
      <c r="C3129" s="647"/>
      <c r="D3129" s="647">
        <f t="shared" ref="D3129:P3129" si="208">D3128-C3123</f>
        <v>-2541.1800299830611</v>
      </c>
      <c r="E3129" s="647">
        <f t="shared" si="208"/>
        <v>-1482.362281255886</v>
      </c>
      <c r="F3129" s="647">
        <f t="shared" si="208"/>
        <v>451.16996286087669</v>
      </c>
      <c r="G3129" s="647">
        <f t="shared" si="208"/>
        <v>-563.72918357468006</v>
      </c>
      <c r="H3129" s="647">
        <f t="shared" si="208"/>
        <v>-529.15459816168004</v>
      </c>
      <c r="I3129" s="647">
        <f t="shared" si="208"/>
        <v>2336.6244054449089</v>
      </c>
      <c r="J3129" s="647">
        <f t="shared" si="208"/>
        <v>1802.4875389662884</v>
      </c>
      <c r="K3129" s="647">
        <f t="shared" si="208"/>
        <v>1612.4353658536565</v>
      </c>
      <c r="L3129" s="647">
        <f t="shared" si="208"/>
        <v>-546.75252719130003</v>
      </c>
      <c r="M3129" s="647">
        <f t="shared" si="208"/>
        <v>-2382.0764044943826</v>
      </c>
      <c r="N3129" s="647">
        <f t="shared" si="208"/>
        <v>-654.80276742948263</v>
      </c>
      <c r="O3129" s="647">
        <f t="shared" si="208"/>
        <v>-13.783651920624834</v>
      </c>
      <c r="P3129" s="647">
        <f t="shared" si="208"/>
        <v>-24250.466666666667</v>
      </c>
      <c r="Q3129" s="647"/>
      <c r="R3129" s="647"/>
      <c r="S3129" s="647"/>
      <c r="T3129" s="647"/>
    </row>
    <row r="3130" spans="2:31">
      <c r="B3130" t="s">
        <v>2169</v>
      </c>
      <c r="C3130" s="647"/>
      <c r="D3130" s="647">
        <f t="shared" ref="D3130:J3130" si="209">D3121-D3129</f>
        <v>-5040.3199700169389</v>
      </c>
      <c r="E3130" s="647">
        <f t="shared" si="209"/>
        <v>-3163.837718744111</v>
      </c>
      <c r="F3130" s="647">
        <f t="shared" si="209"/>
        <v>-6666.3699628608811</v>
      </c>
      <c r="G3130" s="647">
        <f t="shared" si="209"/>
        <v>462.02918357468297</v>
      </c>
      <c r="H3130" s="647">
        <f t="shared" si="209"/>
        <v>549.55459816167786</v>
      </c>
      <c r="I3130" s="647">
        <f t="shared" si="209"/>
        <v>2016.9755945550933</v>
      </c>
      <c r="J3130" s="647">
        <f t="shared" si="209"/>
        <v>2270.8124610337072</v>
      </c>
      <c r="K3130" s="647">
        <f t="shared" ref="K3130:P3130" si="210">K3121-K3129</f>
        <v>3547.0646341463435</v>
      </c>
      <c r="L3130" s="647">
        <f t="shared" si="210"/>
        <v>-2109.7474728087</v>
      </c>
      <c r="M3130" s="647">
        <f t="shared" si="210"/>
        <v>-2705.4235955056174</v>
      </c>
      <c r="N3130" s="647">
        <f t="shared" si="210"/>
        <v>62.402767429488449</v>
      </c>
      <c r="O3130" s="647">
        <f t="shared" si="210"/>
        <v>-1467.316348079381</v>
      </c>
      <c r="P3130" s="647">
        <f t="shared" si="210"/>
        <v>-12125.23333333333</v>
      </c>
      <c r="Q3130" s="647"/>
      <c r="R3130" s="647"/>
      <c r="S3130" s="647"/>
      <c r="T3130" s="647"/>
    </row>
    <row r="3131" spans="2:31">
      <c r="B3131" t="s">
        <v>2170</v>
      </c>
      <c r="C3131" s="647">
        <f>Interims!BM170</f>
        <v>0</v>
      </c>
      <c r="D3131" s="647">
        <f>Interims!BO170</f>
        <v>0</v>
      </c>
      <c r="E3131" s="647">
        <f>Interims!BP170</f>
        <v>1027.354</v>
      </c>
      <c r="F3131" s="647">
        <f>Interims!BQ170</f>
        <v>0</v>
      </c>
      <c r="G3131" s="647">
        <f>Interims!BR170</f>
        <v>0</v>
      </c>
      <c r="H3131" s="647">
        <f>Interims!BT170</f>
        <v>0</v>
      </c>
      <c r="I3131" s="647">
        <f>Interims!BU170</f>
        <v>1018.954</v>
      </c>
      <c r="J3131" s="647">
        <f>Interims!BV170</f>
        <v>0</v>
      </c>
      <c r="K3131" s="647">
        <f>Interims!BW170</f>
        <v>0</v>
      </c>
      <c r="L3131" s="647">
        <f>Interims!BY170</f>
        <v>0</v>
      </c>
      <c r="M3131" s="647">
        <f>Interims!BZ170</f>
        <v>1018.954</v>
      </c>
      <c r="N3131" s="647">
        <f>Interims!CA170</f>
        <v>0</v>
      </c>
      <c r="O3131" s="647">
        <f>Interims!CB170</f>
        <v>0</v>
      </c>
      <c r="P3131" s="647">
        <f>Interims!CD170</f>
        <v>0</v>
      </c>
      <c r="Q3131" s="647"/>
      <c r="R3131" s="647"/>
      <c r="S3131" s="647"/>
      <c r="T3131" s="647"/>
    </row>
    <row r="3132" spans="2:31">
      <c r="B3132" t="s">
        <v>2171</v>
      </c>
      <c r="C3132" s="647"/>
      <c r="D3132" s="647"/>
      <c r="E3132" s="647"/>
      <c r="F3132" s="647"/>
      <c r="G3132" s="647"/>
      <c r="H3132" s="1468">
        <v>0</v>
      </c>
      <c r="I3132" s="1468">
        <v>10000</v>
      </c>
      <c r="J3132" s="1559">
        <v>0</v>
      </c>
      <c r="K3132" s="1559">
        <v>0</v>
      </c>
      <c r="L3132" s="1559">
        <v>0</v>
      </c>
      <c r="M3132" s="1559">
        <v>0</v>
      </c>
      <c r="N3132" s="1559">
        <v>0</v>
      </c>
      <c r="O3132" s="1468">
        <v>3486.1</v>
      </c>
      <c r="P3132" s="1468"/>
      <c r="Q3132" s="1469" t="s">
        <v>2172</v>
      </c>
      <c r="R3132" s="647"/>
      <c r="T3132" s="647"/>
    </row>
    <row r="3133" spans="2:31">
      <c r="B3133" t="s">
        <v>2173</v>
      </c>
      <c r="C3133" s="647"/>
      <c r="D3133" s="647"/>
      <c r="E3133" s="647"/>
      <c r="F3133" s="647"/>
      <c r="G3133" s="647">
        <v>400</v>
      </c>
      <c r="H3133" s="1468">
        <v>0</v>
      </c>
      <c r="I3133" s="1468">
        <v>10000</v>
      </c>
      <c r="J3133" s="1468">
        <v>0</v>
      </c>
      <c r="K3133" s="1468">
        <v>0</v>
      </c>
      <c r="L3133" s="1468">
        <v>4036</v>
      </c>
      <c r="M3133" s="1468">
        <v>2650</v>
      </c>
      <c r="N3133" s="1468">
        <v>0</v>
      </c>
      <c r="O3133" s="1468"/>
      <c r="P3133" s="1468"/>
      <c r="Q3133" s="1469" t="s">
        <v>2172</v>
      </c>
      <c r="R3133" s="647"/>
      <c r="T3133" s="647"/>
      <c r="X3133" s="3" t="str">
        <f t="shared" ref="X3133:AE3133" si="211">H3114</f>
        <v>1Q24</v>
      </c>
      <c r="Y3133" s="3" t="str">
        <f t="shared" si="211"/>
        <v>2Q24</v>
      </c>
      <c r="Z3133" s="3" t="str">
        <f t="shared" si="211"/>
        <v>3Q24</v>
      </c>
      <c r="AA3133" s="3" t="str">
        <f t="shared" si="211"/>
        <v>4Q24</v>
      </c>
      <c r="AB3133" s="3" t="str">
        <f t="shared" si="211"/>
        <v>1Q25</v>
      </c>
      <c r="AC3133" s="3" t="str">
        <f t="shared" si="211"/>
        <v>2Q25</v>
      </c>
      <c r="AD3133" s="3" t="str">
        <f t="shared" si="211"/>
        <v>3Q25</v>
      </c>
      <c r="AE3133" s="3" t="str">
        <f t="shared" si="211"/>
        <v>4Q25</v>
      </c>
    </row>
    <row r="3134" spans="2:31">
      <c r="B3134" s="586" t="s">
        <v>2174</v>
      </c>
      <c r="C3134" s="1724">
        <f t="shared" ref="C3134:H3134" si="212">C3130+C3131-C3132+C3133</f>
        <v>0</v>
      </c>
      <c r="D3134" s="1724">
        <f t="shared" si="212"/>
        <v>-5040.3199700169389</v>
      </c>
      <c r="E3134" s="1724">
        <f t="shared" si="212"/>
        <v>-2136.4837187441108</v>
      </c>
      <c r="F3134" s="1724">
        <f t="shared" si="212"/>
        <v>-6666.3699628608811</v>
      </c>
      <c r="G3134" s="1724">
        <f t="shared" si="212"/>
        <v>862.02918357468297</v>
      </c>
      <c r="H3134" s="1724">
        <f t="shared" si="212"/>
        <v>549.55459816167786</v>
      </c>
      <c r="I3134" s="1724">
        <f t="shared" ref="I3134:N3134" si="213">I3130+I3131-I3132+I3133</f>
        <v>3035.929594555093</v>
      </c>
      <c r="J3134" s="1724">
        <f t="shared" si="213"/>
        <v>2270.8124610337072</v>
      </c>
      <c r="K3134" s="1724">
        <f t="shared" si="213"/>
        <v>3547.0646341463435</v>
      </c>
      <c r="L3134" s="1724">
        <f t="shared" si="213"/>
        <v>1926.2525271913</v>
      </c>
      <c r="M3134" s="1724">
        <f t="shared" si="213"/>
        <v>963.53040449438254</v>
      </c>
      <c r="N3134" s="1724">
        <f t="shared" si="213"/>
        <v>62.402767429488449</v>
      </c>
      <c r="O3134" s="1724">
        <f>O3130+O3131-O3132+O3133</f>
        <v>-4953.4163480793814</v>
      </c>
      <c r="P3134" s="1724">
        <f>P3130+P3131-P3132+P3133</f>
        <v>-12125.23333333333</v>
      </c>
      <c r="Q3134" s="647"/>
      <c r="R3134" s="647"/>
      <c r="S3134" s="647"/>
      <c r="T3134" s="647"/>
      <c r="X3134" s="1538">
        <f t="shared" ref="X3134:AE3134" si="214">H3134/1000</f>
        <v>0.54955459816167784</v>
      </c>
      <c r="Y3134" s="1538">
        <f t="shared" si="214"/>
        <v>3.035929594555093</v>
      </c>
      <c r="Z3134" s="1538">
        <f t="shared" si="214"/>
        <v>2.270812461033707</v>
      </c>
      <c r="AA3134" s="1538">
        <f t="shared" si="214"/>
        <v>3.5470646341463437</v>
      </c>
      <c r="AB3134" s="1538">
        <f t="shared" si="214"/>
        <v>1.9262525271913</v>
      </c>
      <c r="AC3134" s="1538">
        <f t="shared" si="214"/>
        <v>0.96353040449438254</v>
      </c>
      <c r="AD3134" s="1538">
        <f t="shared" si="214"/>
        <v>6.240276742948845E-2</v>
      </c>
      <c r="AE3134" s="1538">
        <f t="shared" si="214"/>
        <v>-4.9534163480793811</v>
      </c>
    </row>
    <row r="3135" spans="2:31">
      <c r="B3135" t="s">
        <v>2175</v>
      </c>
      <c r="C3135" s="647"/>
      <c r="D3135" s="647"/>
      <c r="E3135" s="647"/>
      <c r="F3135" s="647"/>
      <c r="G3135" s="647"/>
      <c r="H3135" s="647"/>
      <c r="I3135" s="122">
        <f>(H3134+I3134)*2</f>
        <v>7170.9683854335417</v>
      </c>
      <c r="J3135" s="122">
        <f t="shared" ref="J3135:P3135" si="215">(I3134+J3134)*2</f>
        <v>10613.4841111776</v>
      </c>
      <c r="K3135" s="122">
        <f t="shared" si="215"/>
        <v>11635.754190360101</v>
      </c>
      <c r="L3135" s="122">
        <f t="shared" si="215"/>
        <v>10946.634322675287</v>
      </c>
      <c r="M3135" s="122">
        <f t="shared" si="215"/>
        <v>5779.5658633713647</v>
      </c>
      <c r="N3135" s="122">
        <f t="shared" si="215"/>
        <v>2051.866343847742</v>
      </c>
      <c r="O3135" s="122">
        <f t="shared" si="215"/>
        <v>-9782.0271612997858</v>
      </c>
      <c r="P3135" s="122">
        <f t="shared" si="215"/>
        <v>-34157.299362825419</v>
      </c>
      <c r="Q3135" s="647"/>
      <c r="R3135" s="647"/>
      <c r="S3135" s="647"/>
      <c r="T3135" s="647"/>
    </row>
    <row r="3136" spans="2:31">
      <c r="B3136" t="s">
        <v>2176</v>
      </c>
      <c r="C3136" s="647"/>
      <c r="D3136" s="647"/>
      <c r="E3136" s="647"/>
      <c r="F3136" s="647"/>
      <c r="G3136" s="647"/>
      <c r="H3136" s="647"/>
      <c r="I3136" s="122">
        <f>F3134+G3134+H3134+I3134</f>
        <v>-2218.8565865694272</v>
      </c>
      <c r="J3136" s="122">
        <f t="shared" ref="J3136:P3136" si="216">G3134+H3134+I3134+J3134</f>
        <v>6718.325837325161</v>
      </c>
      <c r="K3136" s="122">
        <f t="shared" si="216"/>
        <v>9403.3612878968215</v>
      </c>
      <c r="L3136" s="122">
        <f t="shared" si="216"/>
        <v>10780.059216926444</v>
      </c>
      <c r="M3136" s="122">
        <f t="shared" si="216"/>
        <v>8707.660026865733</v>
      </c>
      <c r="N3136" s="122">
        <f t="shared" si="216"/>
        <v>6499.2503332615142</v>
      </c>
      <c r="O3136" s="122">
        <f t="shared" si="216"/>
        <v>-2001.2306489642106</v>
      </c>
      <c r="P3136" s="122">
        <f t="shared" si="216"/>
        <v>-16052.716509488841</v>
      </c>
      <c r="Q3136" s="647"/>
      <c r="R3136" s="647"/>
      <c r="S3136" s="647"/>
      <c r="T3136" s="647"/>
    </row>
    <row r="3137" spans="2:20">
      <c r="B3137" t="s">
        <v>2177</v>
      </c>
      <c r="C3137" s="647"/>
      <c r="D3137" s="647"/>
      <c r="E3137" s="647"/>
      <c r="F3137" s="647"/>
      <c r="G3137" s="647"/>
      <c r="H3137" s="647"/>
      <c r="I3137" s="647">
        <f ca="1">SOP!G31*18.67</f>
        <v>25053.182641628864</v>
      </c>
      <c r="J3137" s="647">
        <f ca="1">SOP!G31*20.03</f>
        <v>26878.160059551479</v>
      </c>
      <c r="K3137" s="647">
        <f ca="1">SOP!$G$31*K3125</f>
        <v>27965.095139343626</v>
      </c>
      <c r="L3137" s="647">
        <f ca="1">SOP!$G$31*L3125</f>
        <v>27468.593930055853</v>
      </c>
      <c r="M3137" s="647">
        <f ca="1">SOP!$G$31*M3125</f>
        <v>25214.210060857327</v>
      </c>
      <c r="N3137" s="647">
        <f ca="1">SOP!$G$31*N3125</f>
        <v>24570.10038394346</v>
      </c>
      <c r="O3137" s="647">
        <f ca="1">SOP!$G$31*O3125</f>
        <v>24556.681432341091</v>
      </c>
      <c r="P3137" s="647">
        <f ca="1">SOP!$G$31*P3125</f>
        <v>0</v>
      </c>
      <c r="Q3137" s="647"/>
      <c r="R3137" s="647"/>
      <c r="S3137" s="647"/>
      <c r="T3137" s="647"/>
    </row>
    <row r="3138" spans="2:20">
      <c r="B3138" s="42" t="s">
        <v>2178</v>
      </c>
      <c r="C3138" s="647"/>
      <c r="D3138" s="647"/>
      <c r="E3138" s="647"/>
      <c r="F3138" s="647"/>
      <c r="G3138" s="647"/>
      <c r="H3138" s="647"/>
      <c r="I3138" s="1898">
        <f t="shared" ref="I3138:N3138" ca="1" si="217">I3135/I3137</f>
        <v>0.28622983706342037</v>
      </c>
      <c r="J3138" s="1898">
        <f t="shared" ca="1" si="217"/>
        <v>0.39487390832044583</v>
      </c>
      <c r="K3138" s="1898">
        <f t="shared" ca="1" si="217"/>
        <v>0.4160813375524674</v>
      </c>
      <c r="L3138" s="1898">
        <f t="shared" ca="1" si="217"/>
        <v>0.39851454903549294</v>
      </c>
      <c r="M3138" s="1898">
        <f t="shared" ca="1" si="217"/>
        <v>0.22921859734735822</v>
      </c>
      <c r="N3138" s="1898">
        <f t="shared" ca="1" si="217"/>
        <v>8.3510702511766496E-2</v>
      </c>
      <c r="O3138" s="1898">
        <f ca="1">O3135/O3137</f>
        <v>-0.39834483288189254</v>
      </c>
      <c r="P3138" s="1898" t="e">
        <f ca="1">P3135/P3137</f>
        <v>#DIV/0!</v>
      </c>
      <c r="Q3138" s="647"/>
      <c r="R3138" s="647"/>
      <c r="S3138" s="647"/>
      <c r="T3138" s="647"/>
    </row>
    <row r="3139" spans="2:20">
      <c r="B3139" s="42" t="s">
        <v>2179</v>
      </c>
      <c r="C3139" s="647"/>
      <c r="D3139" s="647"/>
      <c r="E3139" s="647"/>
      <c r="F3139" s="647"/>
      <c r="G3139" s="647"/>
      <c r="H3139" s="647"/>
      <c r="I3139" s="1898">
        <f t="shared" ref="I3139:P3139" ca="1" si="218">I3136/I3137</f>
        <v>-8.8565856813837746E-2</v>
      </c>
      <c r="J3139" s="1898">
        <f t="shared" ca="1" si="218"/>
        <v>0.24995482661164237</v>
      </c>
      <c r="K3139" s="1898">
        <f t="shared" ca="1" si="218"/>
        <v>0.33625350605968041</v>
      </c>
      <c r="L3139" s="1898">
        <f t="shared" ca="1" si="218"/>
        <v>0.39245034690803793</v>
      </c>
      <c r="M3139" s="1898">
        <f t="shared" ca="1" si="218"/>
        <v>0.34534732620410546</v>
      </c>
      <c r="N3139" s="1898">
        <f t="shared" ca="1" si="218"/>
        <v>0.26451867235791876</v>
      </c>
      <c r="O3139" s="1898">
        <f t="shared" ca="1" si="218"/>
        <v>-8.1494344196223298E-2</v>
      </c>
      <c r="P3139" s="1898" t="e">
        <f t="shared" ca="1" si="218"/>
        <v>#DIV/0!</v>
      </c>
      <c r="Q3139" s="647"/>
      <c r="R3139" s="647"/>
      <c r="S3139" s="647"/>
      <c r="T3139" s="647"/>
    </row>
    <row r="3140" spans="2:20">
      <c r="C3140" s="647"/>
      <c r="D3140" s="647"/>
      <c r="E3140" s="647"/>
      <c r="F3140" s="647"/>
      <c r="G3140" s="647"/>
      <c r="H3140" s="647"/>
      <c r="I3140" s="647"/>
      <c r="J3140" s="647"/>
      <c r="K3140" s="647"/>
      <c r="L3140" s="647"/>
      <c r="Q3140" s="647"/>
      <c r="R3140" s="647"/>
      <c r="S3140" s="647"/>
      <c r="T3140" s="647"/>
    </row>
    <row r="3141" spans="2:20">
      <c r="C3141" s="647"/>
      <c r="D3141" s="647"/>
      <c r="E3141" s="647"/>
      <c r="F3141" s="647"/>
      <c r="G3141" s="647"/>
      <c r="H3141" s="647"/>
      <c r="I3141" s="647"/>
      <c r="J3141" s="647"/>
      <c r="K3141" s="647"/>
      <c r="L3141" s="647"/>
      <c r="Q3141" s="647"/>
      <c r="R3141" s="647"/>
      <c r="S3141" s="647"/>
      <c r="T3141" s="647"/>
    </row>
    <row r="3142" spans="2:20">
      <c r="B3142" t="s">
        <v>2180</v>
      </c>
      <c r="C3142" s="1468">
        <v>3389.5</v>
      </c>
      <c r="D3142" s="1468">
        <v>3031</v>
      </c>
      <c r="E3142" s="1468">
        <v>2662.9</v>
      </c>
      <c r="F3142" s="1468">
        <v>2644.4</v>
      </c>
      <c r="G3142" s="1468">
        <v>2586.6</v>
      </c>
      <c r="H3142" s="1468">
        <v>3021.7</v>
      </c>
      <c r="I3142" s="1468">
        <v>3184.1</v>
      </c>
      <c r="J3142" s="1468">
        <v>2814.1</v>
      </c>
      <c r="K3142" s="1468">
        <v>2814.1</v>
      </c>
      <c r="L3142" s="1468">
        <v>2969.4</v>
      </c>
      <c r="M3142" s="1468">
        <v>3484.3</v>
      </c>
      <c r="N3142" s="1468">
        <v>3820.7</v>
      </c>
      <c r="O3142" s="1468">
        <v>3425.4</v>
      </c>
      <c r="P3142" s="1468"/>
      <c r="Q3142" s="647"/>
      <c r="R3142" s="647"/>
      <c r="S3142" s="647"/>
      <c r="T3142" s="647"/>
    </row>
    <row r="3143" spans="2:20">
      <c r="B3143" t="s">
        <v>2181</v>
      </c>
      <c r="C3143" s="647"/>
      <c r="D3143" s="647">
        <f t="shared" ref="D3143:P3143" si="219">D3142-C3142</f>
        <v>-358.5</v>
      </c>
      <c r="E3143" s="647">
        <f t="shared" si="219"/>
        <v>-368.09999999999991</v>
      </c>
      <c r="F3143" s="647">
        <f t="shared" si="219"/>
        <v>-18.5</v>
      </c>
      <c r="G3143" s="647">
        <f t="shared" si="219"/>
        <v>-57.800000000000182</v>
      </c>
      <c r="H3143" s="647">
        <f t="shared" si="219"/>
        <v>435.09999999999991</v>
      </c>
      <c r="I3143" s="647">
        <f t="shared" si="219"/>
        <v>162.40000000000009</v>
      </c>
      <c r="J3143" s="647">
        <f t="shared" si="219"/>
        <v>-370</v>
      </c>
      <c r="K3143" s="647">
        <f t="shared" si="219"/>
        <v>0</v>
      </c>
      <c r="L3143" s="647">
        <f t="shared" si="219"/>
        <v>155.30000000000018</v>
      </c>
      <c r="M3143" s="647">
        <f t="shared" si="219"/>
        <v>514.90000000000009</v>
      </c>
      <c r="N3143" s="647">
        <f t="shared" si="219"/>
        <v>336.39999999999964</v>
      </c>
      <c r="O3143" s="647">
        <f t="shared" si="219"/>
        <v>-395.29999999999973</v>
      </c>
      <c r="P3143" s="647">
        <f t="shared" si="219"/>
        <v>-3425.4</v>
      </c>
      <c r="Q3143" s="647"/>
      <c r="R3143" s="647"/>
      <c r="S3143" s="647"/>
      <c r="T3143" s="647"/>
    </row>
    <row r="3145" spans="2:20">
      <c r="B3145" t="s">
        <v>2182</v>
      </c>
      <c r="C3145" s="647">
        <f>Interims!BM174</f>
        <v>-4293.2758399999993</v>
      </c>
      <c r="D3145" s="647">
        <f>Interims!BO174</f>
        <v>-1288.7999999999956</v>
      </c>
      <c r="E3145" s="647">
        <f>Interims!BP174</f>
        <v>-1201</v>
      </c>
      <c r="F3145" s="647">
        <f>Interims!BQ174</f>
        <v>-1305.2000000000044</v>
      </c>
      <c r="G3145" s="647">
        <f>Interims!BR174</f>
        <v>2234.9000000000015</v>
      </c>
      <c r="H3145" s="647">
        <f>Interims!BT174</f>
        <v>3198.1999999999971</v>
      </c>
      <c r="I3145" s="647">
        <f>Interims!BU174</f>
        <v>-1820.0999999999983</v>
      </c>
      <c r="J3145" s="647">
        <f>Interims!BV174</f>
        <v>-752.5</v>
      </c>
      <c r="K3145" s="647">
        <f>Interims!BW174</f>
        <v>381</v>
      </c>
      <c r="L3145" s="647">
        <f>Interims!BY174</f>
        <v>4180.5999999999985</v>
      </c>
      <c r="M3145" s="647">
        <f>Interims!BZ174</f>
        <v>3897.1000000000058</v>
      </c>
      <c r="N3145" s="647">
        <f>Interims!CA174</f>
        <v>1483.8999999999942</v>
      </c>
      <c r="O3145" s="647"/>
      <c r="P3145" s="647"/>
      <c r="Q3145" s="647"/>
    </row>
    <row r="3149" spans="2:20">
      <c r="B3149" s="804" t="s">
        <v>2183</v>
      </c>
      <c r="C3149" s="743"/>
      <c r="D3149" s="743"/>
      <c r="E3149" s="743"/>
      <c r="F3149" s="743"/>
      <c r="G3149" s="743"/>
    </row>
    <row r="3150" spans="2:20">
      <c r="B3150" s="1542" t="s">
        <v>2184</v>
      </c>
      <c r="C3150" s="1542">
        <v>60</v>
      </c>
      <c r="D3150" s="1542"/>
      <c r="E3150" s="1542"/>
      <c r="F3150" s="1542"/>
      <c r="G3150" s="1542"/>
    </row>
    <row r="3151" spans="2:20">
      <c r="B3151" s="685" t="s">
        <v>2185</v>
      </c>
      <c r="C3151" s="789">
        <v>0.5</v>
      </c>
      <c r="D3151" s="685"/>
      <c r="E3151" s="685"/>
      <c r="F3151" s="685"/>
      <c r="G3151" s="685"/>
    </row>
    <row r="3152" spans="2:20">
      <c r="B3152" s="1542" t="s">
        <v>2186</v>
      </c>
      <c r="C3152" s="1542">
        <f>C3150/C3151</f>
        <v>120</v>
      </c>
      <c r="D3152" s="1542"/>
      <c r="E3152" s="1542"/>
      <c r="F3152" s="1542"/>
      <c r="G3152" s="1542"/>
    </row>
    <row r="3153" spans="2:7" ht="15.75" thickBot="1">
      <c r="B3153" s="685" t="s">
        <v>2187</v>
      </c>
      <c r="C3153" s="685">
        <v>125</v>
      </c>
      <c r="D3153" s="685"/>
      <c r="E3153" s="685"/>
      <c r="F3153" s="685"/>
      <c r="G3153" s="685"/>
    </row>
    <row r="3154" spans="2:7" ht="15.75" thickBot="1">
      <c r="B3154" s="1546" t="s">
        <v>2188</v>
      </c>
      <c r="C3154" s="1550">
        <f>C3152+C3153</f>
        <v>245</v>
      </c>
      <c r="D3154" s="1542"/>
      <c r="E3154" s="1542"/>
      <c r="F3154" s="1542"/>
      <c r="G3154" s="1542"/>
    </row>
    <row r="3155" spans="2:7">
      <c r="B3155" s="685"/>
      <c r="C3155" s="685"/>
      <c r="D3155" s="685"/>
      <c r="E3155" s="685"/>
      <c r="F3155" s="685"/>
      <c r="G3155" s="685"/>
    </row>
    <row r="3156" spans="2:7">
      <c r="B3156" s="1548"/>
      <c r="C3156" s="1549" t="s">
        <v>2189</v>
      </c>
      <c r="D3156" s="1549" t="s">
        <v>2190</v>
      </c>
      <c r="E3156" s="1549" t="s">
        <v>2191</v>
      </c>
      <c r="F3156" s="1549" t="s">
        <v>2192</v>
      </c>
      <c r="G3156" s="1549" t="s">
        <v>2193</v>
      </c>
    </row>
    <row r="3157" spans="2:7">
      <c r="B3157" s="685" t="s">
        <v>2194</v>
      </c>
      <c r="C3157" s="790">
        <f>420/20</f>
        <v>21</v>
      </c>
      <c r="D3157" s="790">
        <f>C3157*1.03</f>
        <v>21.63</v>
      </c>
      <c r="E3157" s="790">
        <f>D3157*1.03</f>
        <v>22.2789</v>
      </c>
      <c r="F3157" s="790">
        <f>E3157*1.03</f>
        <v>22.947267</v>
      </c>
      <c r="G3157" s="790">
        <f>F3157*1.03</f>
        <v>23.63568501</v>
      </c>
    </row>
    <row r="3158" spans="2:7">
      <c r="B3158" s="1542" t="s">
        <v>2195</v>
      </c>
      <c r="C3158" s="957">
        <f>C3157*12</f>
        <v>252</v>
      </c>
      <c r="D3158" s="957">
        <f>D3157*12</f>
        <v>259.56</v>
      </c>
      <c r="E3158" s="957">
        <f>E3157*12</f>
        <v>267.34680000000003</v>
      </c>
      <c r="F3158" s="957">
        <f>F3157*12</f>
        <v>275.36720400000002</v>
      </c>
      <c r="G3158" s="957">
        <f>G3157*12</f>
        <v>283.62822011999998</v>
      </c>
    </row>
    <row r="3159" spans="2:7">
      <c r="B3159" s="685" t="s">
        <v>2196</v>
      </c>
      <c r="C3159" s="685">
        <v>0</v>
      </c>
      <c r="D3159" s="685">
        <v>0</v>
      </c>
      <c r="E3159" s="685">
        <v>0</v>
      </c>
      <c r="F3159" s="685">
        <v>0</v>
      </c>
      <c r="G3159" s="685">
        <v>0</v>
      </c>
    </row>
    <row r="3160" spans="2:7">
      <c r="B3160" s="1542"/>
      <c r="C3160" s="1542"/>
      <c r="D3160" s="1542"/>
      <c r="E3160" s="1542"/>
      <c r="F3160" s="1542"/>
      <c r="G3160" s="1542"/>
    </row>
    <row r="3161" spans="2:7">
      <c r="B3161" s="685" t="s">
        <v>540</v>
      </c>
      <c r="C3161" s="789">
        <v>0.4</v>
      </c>
      <c r="D3161" s="789">
        <v>0.4</v>
      </c>
      <c r="E3161" s="789">
        <v>0.4</v>
      </c>
      <c r="F3161" s="789">
        <v>0.4</v>
      </c>
      <c r="G3161" s="789">
        <v>0.4</v>
      </c>
    </row>
    <row r="3162" spans="2:7">
      <c r="B3162" s="1542" t="s">
        <v>2197</v>
      </c>
      <c r="C3162" s="1544">
        <v>0.05</v>
      </c>
      <c r="D3162" s="1544">
        <v>0.05</v>
      </c>
      <c r="E3162" s="1544">
        <v>0.05</v>
      </c>
      <c r="F3162" s="1544">
        <v>0.05</v>
      </c>
      <c r="G3162" s="1544">
        <v>0.05</v>
      </c>
    </row>
    <row r="3163" spans="2:7">
      <c r="B3163" s="685" t="s">
        <v>2198</v>
      </c>
      <c r="C3163" s="789">
        <f>C3161+C3162</f>
        <v>0.45</v>
      </c>
      <c r="D3163" s="789">
        <f>D3161+D3162</f>
        <v>0.45</v>
      </c>
      <c r="E3163" s="789">
        <f>E3161+E3162</f>
        <v>0.45</v>
      </c>
      <c r="F3163" s="789">
        <f>F3161+F3162</f>
        <v>0.45</v>
      </c>
      <c r="G3163" s="789">
        <f>G3161+G3162</f>
        <v>0.45</v>
      </c>
    </row>
    <row r="3164" spans="2:7">
      <c r="B3164" s="1542" t="s">
        <v>2199</v>
      </c>
      <c r="C3164" s="957">
        <f>C3162*C3158</f>
        <v>12.600000000000001</v>
      </c>
      <c r="D3164" s="957">
        <f>D3162*D3158</f>
        <v>12.978000000000002</v>
      </c>
      <c r="E3164" s="957">
        <f>E3162*E3158</f>
        <v>13.367340000000002</v>
      </c>
      <c r="F3164" s="957">
        <f>F3162*F3158</f>
        <v>13.768360200000002</v>
      </c>
      <c r="G3164" s="957">
        <f>G3162*G3158</f>
        <v>14.181411005999999</v>
      </c>
    </row>
    <row r="3165" spans="2:7">
      <c r="B3165" s="685"/>
      <c r="C3165" s="685"/>
      <c r="D3165" s="685"/>
      <c r="E3165" s="685"/>
      <c r="F3165" s="685"/>
      <c r="G3165" s="685"/>
    </row>
    <row r="3166" spans="2:7">
      <c r="B3166" s="1542" t="s">
        <v>2200</v>
      </c>
      <c r="C3166" s="1544">
        <v>0.2</v>
      </c>
      <c r="D3166" s="1544">
        <v>0.2</v>
      </c>
      <c r="E3166" s="1544">
        <v>0.2</v>
      </c>
      <c r="F3166" s="1544">
        <v>0.2</v>
      </c>
      <c r="G3166" s="1544">
        <v>0.2</v>
      </c>
    </row>
    <row r="3167" spans="2:7">
      <c r="B3167" s="685" t="s">
        <v>2201</v>
      </c>
      <c r="C3167" s="789">
        <v>0.05</v>
      </c>
      <c r="D3167" s="789">
        <v>0.05</v>
      </c>
      <c r="E3167" s="789">
        <v>0.05</v>
      </c>
      <c r="F3167" s="789">
        <v>0.05</v>
      </c>
      <c r="G3167" s="789">
        <v>0.05</v>
      </c>
    </row>
    <row r="3168" spans="2:7">
      <c r="B3168" s="1542" t="s">
        <v>2202</v>
      </c>
      <c r="C3168" s="1544">
        <f>C3166-C3167</f>
        <v>0.15000000000000002</v>
      </c>
      <c r="D3168" s="1544">
        <f>D3166-D3167</f>
        <v>0.15000000000000002</v>
      </c>
      <c r="E3168" s="1544">
        <f>E3166-E3167</f>
        <v>0.15000000000000002</v>
      </c>
      <c r="F3168" s="1544">
        <f>F3166-F3167</f>
        <v>0.15000000000000002</v>
      </c>
      <c r="G3168" s="1544">
        <f>G3166-G3167</f>
        <v>0.15000000000000002</v>
      </c>
    </row>
    <row r="3169" spans="2:7">
      <c r="B3169" s="685" t="s">
        <v>2203</v>
      </c>
      <c r="C3169" s="796">
        <f>C3167*C3158</f>
        <v>12.600000000000001</v>
      </c>
      <c r="D3169" s="796">
        <f>D3167*D3158</f>
        <v>12.978000000000002</v>
      </c>
      <c r="E3169" s="796">
        <f>E3167*E3158</f>
        <v>13.367340000000002</v>
      </c>
      <c r="F3169" s="796">
        <f>F3167*F3158</f>
        <v>13.768360200000002</v>
      </c>
      <c r="G3169" s="796">
        <f>G3167*G3158</f>
        <v>14.181411005999999</v>
      </c>
    </row>
    <row r="3170" spans="2:7">
      <c r="B3170" s="1542"/>
      <c r="C3170" s="1542"/>
      <c r="D3170" s="1542"/>
      <c r="E3170" s="1542"/>
      <c r="F3170" s="1542"/>
      <c r="G3170" s="1542"/>
    </row>
    <row r="3171" spans="2:7">
      <c r="B3171" s="685" t="s">
        <v>47</v>
      </c>
      <c r="C3171" s="796">
        <f>-C3154+C3164+C3169</f>
        <v>-219.8</v>
      </c>
      <c r="D3171" s="796">
        <f>-D3154+D3164+D3169</f>
        <v>25.956000000000003</v>
      </c>
      <c r="E3171" s="796">
        <f>-E3154+E3164+E3169</f>
        <v>26.734680000000004</v>
      </c>
      <c r="F3171" s="796">
        <f>-F3154+F3164+F3169</f>
        <v>27.536720400000004</v>
      </c>
      <c r="G3171" s="796">
        <f>-G3154+G3164+G3169</f>
        <v>28.362822011999999</v>
      </c>
    </row>
    <row r="3172" spans="2:7">
      <c r="B3172" s="1543" t="s">
        <v>2204</v>
      </c>
      <c r="C3172" s="1545">
        <f>IRR(C3171:G3171)</f>
        <v>-0.22999834238310946</v>
      </c>
      <c r="D3172" s="1543"/>
      <c r="E3172" s="1543"/>
      <c r="F3172" s="1543"/>
      <c r="G3172" s="1543"/>
    </row>
    <row r="3174" spans="2:7">
      <c r="B3174" s="804" t="s">
        <v>2205</v>
      </c>
      <c r="C3174" s="149"/>
      <c r="D3174" s="149"/>
      <c r="E3174" s="149"/>
      <c r="F3174" s="149"/>
      <c r="G3174" s="149"/>
    </row>
    <row r="3175" spans="2:7">
      <c r="B3175" s="1542" t="s">
        <v>33</v>
      </c>
      <c r="C3175" s="957">
        <f>C3158</f>
        <v>252</v>
      </c>
      <c r="D3175" s="957">
        <f>D3158</f>
        <v>259.56</v>
      </c>
      <c r="E3175" s="957">
        <f>E3158</f>
        <v>267.34680000000003</v>
      </c>
      <c r="F3175" s="957">
        <f>F3158</f>
        <v>275.36720400000002</v>
      </c>
      <c r="G3175" s="957">
        <f>G3158</f>
        <v>283.62822011999998</v>
      </c>
    </row>
    <row r="3176" spans="2:7">
      <c r="B3176" s="685" t="s">
        <v>34</v>
      </c>
      <c r="C3176" s="796">
        <f>C3163*C3158</f>
        <v>113.4</v>
      </c>
      <c r="D3176" s="796">
        <f>D3163*D3158</f>
        <v>116.80200000000001</v>
      </c>
      <c r="E3176" s="796">
        <f>E3163*E3158</f>
        <v>120.30606000000002</v>
      </c>
      <c r="F3176" s="796">
        <f>F3163*F3158</f>
        <v>123.9152418</v>
      </c>
      <c r="G3176" s="796">
        <f>G3163*G3158</f>
        <v>127.632699054</v>
      </c>
    </row>
    <row r="3177" spans="2:7">
      <c r="B3177" s="1542" t="s">
        <v>2206</v>
      </c>
      <c r="C3177" s="957">
        <f>C3154</f>
        <v>245</v>
      </c>
      <c r="D3177" s="957"/>
      <c r="E3177" s="957"/>
      <c r="F3177" s="957"/>
      <c r="G3177" s="957"/>
    </row>
    <row r="3178" spans="2:7">
      <c r="B3178" s="685" t="s">
        <v>2207</v>
      </c>
      <c r="C3178" s="796">
        <f>C3168*C3158</f>
        <v>37.800000000000004</v>
      </c>
      <c r="D3178" s="796">
        <f>D3168*D3158</f>
        <v>38.934000000000005</v>
      </c>
      <c r="E3178" s="796">
        <f>E3168*E3158</f>
        <v>40.10202000000001</v>
      </c>
      <c r="F3178" s="796">
        <f>F3168*F3158</f>
        <v>41.305080600000011</v>
      </c>
      <c r="G3178" s="796">
        <f>G3168*G3158</f>
        <v>42.544233018</v>
      </c>
    </row>
    <row r="3179" spans="2:7">
      <c r="B3179" s="1542" t="s">
        <v>36</v>
      </c>
      <c r="C3179" s="957">
        <f>C3176-C3177-C3178</f>
        <v>-169.4</v>
      </c>
      <c r="D3179" s="957">
        <f>D3176-D3177-D3178</f>
        <v>77.867999999999995</v>
      </c>
      <c r="E3179" s="957">
        <f>E3176-E3177-E3178</f>
        <v>80.204040000000006</v>
      </c>
      <c r="F3179" s="957">
        <f>F3176-F3177-F3178</f>
        <v>82.610161199999993</v>
      </c>
      <c r="G3179" s="957">
        <f>G3176-G3177-G3178</f>
        <v>85.088466036</v>
      </c>
    </row>
    <row r="3180" spans="2:7" ht="15.75" thickBot="1">
      <c r="B3180" s="685" t="s">
        <v>2208</v>
      </c>
      <c r="C3180" s="796">
        <f>C3179*0.72</f>
        <v>-121.968</v>
      </c>
      <c r="D3180" s="796">
        <f>D3179*0.72</f>
        <v>56.064959999999992</v>
      </c>
      <c r="E3180" s="796">
        <f>E3179*0.72</f>
        <v>57.7469088</v>
      </c>
      <c r="F3180" s="796">
        <f>F3179*0.72</f>
        <v>59.479316063999995</v>
      </c>
      <c r="G3180" s="796">
        <f>G3179*0.72</f>
        <v>61.263695545920001</v>
      </c>
    </row>
    <row r="3181" spans="2:7" ht="15.75" thickBot="1">
      <c r="B3181" s="1546" t="s">
        <v>2209</v>
      </c>
      <c r="C3181" s="1547">
        <f>NPV(10%,C3180:G3180)</f>
        <v>57.505893055193653</v>
      </c>
      <c r="D3181" s="1541"/>
      <c r="E3181" s="1541"/>
      <c r="F3181" s="1541"/>
      <c r="G3181" s="1541"/>
    </row>
    <row r="3189" spans="2:25">
      <c r="B3189" t="s">
        <v>863</v>
      </c>
    </row>
    <row r="3190" spans="2:25" ht="16.5" thickBot="1">
      <c r="B3190" s="1471" t="s">
        <v>28</v>
      </c>
      <c r="C3190" s="1471"/>
      <c r="D3190" s="1471" t="s">
        <v>11</v>
      </c>
      <c r="E3190" s="1471" t="s">
        <v>12</v>
      </c>
      <c r="F3190" s="1471" t="s">
        <v>13</v>
      </c>
      <c r="G3190" s="1471" t="s">
        <v>14</v>
      </c>
      <c r="H3190" s="1472"/>
      <c r="I3190" s="1464" t="s">
        <v>15</v>
      </c>
      <c r="P3190" s="3" t="str">
        <f t="shared" ref="P3190:S3191" si="220">D3190</f>
        <v>2025e</v>
      </c>
      <c r="Q3190" s="3" t="str">
        <f t="shared" si="220"/>
        <v>2026e</v>
      </c>
      <c r="R3190" s="3" t="str">
        <f t="shared" si="220"/>
        <v>2027e</v>
      </c>
      <c r="S3190" s="3" t="str">
        <f t="shared" si="220"/>
        <v>2028e</v>
      </c>
    </row>
    <row r="3191" spans="2:25" ht="15.75">
      <c r="B3191" s="1473" t="s">
        <v>468</v>
      </c>
      <c r="C3191" s="1474"/>
      <c r="D3191" s="1475">
        <v>4.9350981500352026E-2</v>
      </c>
      <c r="E3191" s="1475">
        <v>6.8859507886477142E-2</v>
      </c>
      <c r="F3191" s="1475">
        <v>9.85076284838481E-2</v>
      </c>
      <c r="G3191" s="1475">
        <v>0.12521166452803245</v>
      </c>
      <c r="H3191" s="1474"/>
      <c r="I3191" s="1725">
        <v>0.4083045526668776</v>
      </c>
      <c r="O3191" t="str">
        <f>B3191</f>
        <v>Megacable</v>
      </c>
      <c r="P3191" s="1807">
        <f t="shared" si="220"/>
        <v>4.9350981500352026E-2</v>
      </c>
      <c r="Q3191" s="1807">
        <f t="shared" si="220"/>
        <v>6.8859507886477142E-2</v>
      </c>
      <c r="R3191" s="1807">
        <f t="shared" si="220"/>
        <v>9.85076284838481E-2</v>
      </c>
      <c r="S3191" s="1807">
        <f t="shared" si="220"/>
        <v>0.12521166452803245</v>
      </c>
      <c r="T3191" s="1467"/>
      <c r="U3191" s="1467"/>
      <c r="V3191" s="1467"/>
      <c r="W3191" s="1467"/>
      <c r="X3191" s="1467"/>
      <c r="Y3191" s="1467"/>
    </row>
    <row r="3192" spans="2:25" ht="15.75">
      <c r="B3192" s="1477" t="s">
        <v>467</v>
      </c>
      <c r="C3192" s="759"/>
      <c r="D3192" s="1478">
        <f>Anna!AD202</f>
        <v>6.7494505446591066E-2</v>
      </c>
      <c r="E3192" s="1478">
        <f>Anna!AE202</f>
        <v>0.122962817873793</v>
      </c>
      <c r="F3192" s="1478">
        <f>Anna!AF202</f>
        <v>0.15339093406226506</v>
      </c>
      <c r="G3192" s="1478">
        <f>Anna!AG202</f>
        <v>0.19938700723408517</v>
      </c>
      <c r="H3192" s="759"/>
      <c r="I3192" s="1728">
        <f ca="1">Anna!AQ195</f>
        <v>-2.4175393022896063E-2</v>
      </c>
      <c r="O3192" t="str">
        <f>B3193</f>
        <v>AMX</v>
      </c>
      <c r="P3192" s="1807">
        <f>D3193</f>
        <v>9.7112320373935732E-2</v>
      </c>
      <c r="Q3192" s="1807">
        <f>E3193</f>
        <v>0.10103798919720747</v>
      </c>
      <c r="R3192" s="1807">
        <f>F3193</f>
        <v>0.12101200583144919</v>
      </c>
      <c r="S3192" s="1807">
        <f>G3193</f>
        <v>0.13759041392624557</v>
      </c>
      <c r="T3192" s="1467"/>
      <c r="U3192" s="1467"/>
      <c r="V3192" s="1467"/>
      <c r="W3192" s="1467"/>
      <c r="X3192" s="1467"/>
      <c r="Y3192" s="1467"/>
    </row>
    <row r="3193" spans="2:25" ht="15.75">
      <c r="B3193" s="1491" t="s">
        <v>1994</v>
      </c>
      <c r="C3193" s="1484"/>
      <c r="D3193" s="1485">
        <v>9.7112320373935732E-2</v>
      </c>
      <c r="E3193" s="1485">
        <v>0.10103798919720747</v>
      </c>
      <c r="F3193" s="1485">
        <v>0.12101200583144919</v>
      </c>
      <c r="G3193" s="1485">
        <v>0.13759041392624557</v>
      </c>
      <c r="H3193" s="1484"/>
      <c r="I3193" s="1493">
        <v>6.3E-2</v>
      </c>
      <c r="O3193" t="str">
        <f>B3192</f>
        <v>Televisa</v>
      </c>
      <c r="P3193" s="1807">
        <f>D3192</f>
        <v>6.7494505446591066E-2</v>
      </c>
      <c r="Q3193" s="1807">
        <f>E3192</f>
        <v>0.122962817873793</v>
      </c>
      <c r="R3193" s="1807">
        <f>F3192</f>
        <v>0.15339093406226506</v>
      </c>
      <c r="S3193" s="1807">
        <f>G3192</f>
        <v>0.19938700723408517</v>
      </c>
      <c r="T3193" s="1467"/>
      <c r="U3193" s="1467"/>
      <c r="V3193" s="1467"/>
      <c r="W3193" s="1467"/>
      <c r="X3193" s="1467"/>
      <c r="Y3193" s="1467"/>
    </row>
    <row r="3194" spans="2:25" ht="16.5" thickBot="1">
      <c r="B3194" s="1729" t="s">
        <v>938</v>
      </c>
      <c r="C3194" s="1730"/>
      <c r="D3194" s="1731">
        <v>1.274819800724427E-2</v>
      </c>
      <c r="E3194" s="1731">
        <v>5.8592832498095146E-2</v>
      </c>
      <c r="F3194" s="1731">
        <v>8.9345148156415088E-2</v>
      </c>
      <c r="G3194" s="1731">
        <v>0.1140464570243412</v>
      </c>
      <c r="H3194" s="1730"/>
      <c r="I3194" s="1732">
        <v>1.0760000000000001</v>
      </c>
      <c r="O3194" t="str">
        <f>B3194</f>
        <v>Totalplay</v>
      </c>
      <c r="P3194" s="1807">
        <f>D3194</f>
        <v>1.274819800724427E-2</v>
      </c>
      <c r="Q3194" s="1807">
        <f>E3194</f>
        <v>5.8592832498095146E-2</v>
      </c>
      <c r="R3194" s="1807">
        <f>F3194</f>
        <v>8.9345148156415088E-2</v>
      </c>
      <c r="S3194" s="1807">
        <f>G3194</f>
        <v>0.1140464570243412</v>
      </c>
      <c r="T3194" s="1467"/>
      <c r="U3194" s="1467"/>
      <c r="V3194" s="1467"/>
      <c r="W3194" s="1467"/>
      <c r="X3194" s="1467"/>
      <c r="Y3194" s="1467"/>
    </row>
    <row r="3195" spans="2:25" ht="15.75">
      <c r="B3195" s="759"/>
      <c r="C3195" s="759"/>
      <c r="D3195" s="1478"/>
      <c r="E3195" s="1478"/>
      <c r="F3195" s="1478"/>
      <c r="G3195" s="1478"/>
      <c r="H3195" s="759"/>
      <c r="I3195" s="1478"/>
    </row>
    <row r="3196" spans="2:25" ht="15.75">
      <c r="B3196" s="759"/>
      <c r="C3196" s="759"/>
      <c r="D3196" s="1478"/>
      <c r="E3196" s="1478"/>
      <c r="F3196" s="1478"/>
      <c r="G3196" s="1478"/>
      <c r="H3196" s="759"/>
      <c r="I3196" s="1478"/>
    </row>
    <row r="3197" spans="2:25" ht="15.75">
      <c r="B3197" s="759"/>
      <c r="C3197" s="759"/>
      <c r="D3197" s="759"/>
      <c r="E3197" s="759"/>
      <c r="F3197" s="759"/>
      <c r="G3197" s="759"/>
      <c r="H3197" s="759"/>
      <c r="I3197" s="759"/>
    </row>
    <row r="3198" spans="2:25" ht="32.25" thickBot="1">
      <c r="B3198" s="1748" t="s">
        <v>2210</v>
      </c>
      <c r="C3198" s="1749"/>
      <c r="D3198" s="1747" t="s">
        <v>11</v>
      </c>
      <c r="E3198" s="1747" t="s">
        <v>12</v>
      </c>
      <c r="F3198" s="1747" t="s">
        <v>13</v>
      </c>
      <c r="G3198" s="1747" t="s">
        <v>14</v>
      </c>
      <c r="H3198" s="1750"/>
      <c r="I3198" s="1750" t="str">
        <f>I3190</f>
        <v>25-28e CAGR</v>
      </c>
    </row>
    <row r="3199" spans="2:25" ht="20.100000000000001" customHeight="1">
      <c r="B3199" s="1473" t="str">
        <f>B3191</f>
        <v>Megacable</v>
      </c>
      <c r="C3199" s="1474"/>
      <c r="D3199" s="1738">
        <v>4.4799425231746026</v>
      </c>
      <c r="E3199" s="1738">
        <v>3.8525643539685279</v>
      </c>
      <c r="F3199" s="1738">
        <v>3.272163274121568</v>
      </c>
      <c r="G3199" s="1738">
        <v>2.7105901764128384</v>
      </c>
      <c r="H3199" s="1739"/>
      <c r="I3199" s="1740">
        <v>6.6000000000000003E-2</v>
      </c>
      <c r="P3199" s="3" t="str">
        <f>D3198</f>
        <v>2025e</v>
      </c>
      <c r="Q3199" s="3" t="str">
        <f t="shared" ref="Q3199:S3200" si="221">E3198</f>
        <v>2026e</v>
      </c>
      <c r="R3199" s="3" t="str">
        <f t="shared" si="221"/>
        <v>2027e</v>
      </c>
      <c r="S3199" s="3" t="str">
        <f t="shared" si="221"/>
        <v>2028e</v>
      </c>
    </row>
    <row r="3200" spans="2:25" ht="20.100000000000001" customHeight="1">
      <c r="B3200" s="1733" t="str">
        <f>B3192</f>
        <v>Televisa</v>
      </c>
      <c r="C3200" s="1734"/>
      <c r="D3200" s="1735">
        <f>Valuation!U44</f>
        <v>3.2268826185459978</v>
      </c>
      <c r="E3200" s="1735">
        <f ca="1">Valuation!V44</f>
        <v>3.1028933833835288</v>
      </c>
      <c r="F3200" s="1735">
        <f ca="1">Valuation!W44</f>
        <v>3.4674907671874453</v>
      </c>
      <c r="G3200" s="1735">
        <f ca="1">Valuation!X44</f>
        <v>3.5338104147753846</v>
      </c>
      <c r="H3200" s="1809"/>
      <c r="I3200" s="1736">
        <f>Valuation!AL24</f>
        <v>9.6598266077307926E-3</v>
      </c>
      <c r="O3200" t="str">
        <f>B3199</f>
        <v>Megacable</v>
      </c>
      <c r="P3200" s="1808">
        <f>D3199</f>
        <v>4.4799425231746026</v>
      </c>
      <c r="Q3200" s="1808">
        <f t="shared" si="221"/>
        <v>3.8525643539685279</v>
      </c>
      <c r="R3200" s="1808">
        <f t="shared" si="221"/>
        <v>3.272163274121568</v>
      </c>
      <c r="S3200" s="1808">
        <f t="shared" si="221"/>
        <v>2.7105901764128384</v>
      </c>
    </row>
    <row r="3201" spans="2:23" ht="20.100000000000001" customHeight="1" thickBot="1">
      <c r="B3201" s="1480" t="str">
        <f>B3193</f>
        <v>AMX</v>
      </c>
      <c r="C3201" s="1481"/>
      <c r="D3201" s="1810">
        <v>5.0088679726912666</v>
      </c>
      <c r="E3201" s="1810">
        <v>4.3172073227661398</v>
      </c>
      <c r="F3201" s="1810">
        <v>3.9311488723572303</v>
      </c>
      <c r="G3201" s="1810">
        <v>3.5558151187694795</v>
      </c>
      <c r="H3201" s="1811"/>
      <c r="I3201" s="1812">
        <v>5.1999999999999998E-2</v>
      </c>
      <c r="O3201" t="str">
        <f>B3200</f>
        <v>Televisa</v>
      </c>
      <c r="P3201" s="1808">
        <f>D3200</f>
        <v>3.2268826185459978</v>
      </c>
      <c r="Q3201" s="1808">
        <f t="shared" ref="Q3201:S3203" ca="1" si="222">E3200</f>
        <v>3.1028933833835288</v>
      </c>
      <c r="R3201" s="1808">
        <f t="shared" ca="1" si="222"/>
        <v>3.4674907671874453</v>
      </c>
      <c r="S3201" s="1808">
        <f t="shared" ca="1" si="222"/>
        <v>3.5338104147753846</v>
      </c>
    </row>
    <row r="3202" spans="2:23" ht="20.100000000000001" customHeight="1">
      <c r="B3202" s="1734" t="str">
        <f>B3194</f>
        <v>Totalplay</v>
      </c>
      <c r="C3202" s="1734"/>
      <c r="D3202" s="1735">
        <v>4.767597759942662</v>
      </c>
      <c r="E3202" s="1735">
        <v>4.4273676508215827</v>
      </c>
      <c r="F3202" s="1735">
        <v>4.1398627070275973</v>
      </c>
      <c r="G3202" s="1735">
        <v>3.8998391321098573</v>
      </c>
      <c r="H3202" s="1809"/>
      <c r="I3202" s="1825">
        <v>6.93E-2</v>
      </c>
      <c r="O3202" t="str">
        <f>B3201</f>
        <v>AMX</v>
      </c>
      <c r="P3202" s="1808">
        <f>D3201</f>
        <v>5.0088679726912666</v>
      </c>
      <c r="Q3202" s="1808">
        <f t="shared" si="222"/>
        <v>4.3172073227661398</v>
      </c>
      <c r="R3202" s="1808">
        <f t="shared" si="222"/>
        <v>3.9311488723572303</v>
      </c>
      <c r="S3202" s="1808">
        <f t="shared" si="222"/>
        <v>3.5558151187694795</v>
      </c>
    </row>
    <row r="3203" spans="2:23" ht="15.75">
      <c r="B3203" s="759"/>
      <c r="C3203" s="759"/>
      <c r="D3203" s="1824"/>
      <c r="E3203" s="1824"/>
      <c r="F3203" s="1824"/>
      <c r="G3203" s="1824"/>
      <c r="H3203" s="759"/>
      <c r="I3203" s="1478"/>
      <c r="O3203" t="str">
        <f>B3202</f>
        <v>Totalplay</v>
      </c>
      <c r="P3203" s="1808">
        <f>D3202</f>
        <v>4.767597759942662</v>
      </c>
      <c r="Q3203" s="1808">
        <f t="shared" si="222"/>
        <v>4.4273676508215827</v>
      </c>
      <c r="R3203" s="1808">
        <f t="shared" si="222"/>
        <v>4.1398627070275973</v>
      </c>
      <c r="S3203" s="1808">
        <f t="shared" si="222"/>
        <v>3.8998391321098573</v>
      </c>
    </row>
    <row r="3204" spans="2:23" ht="15.75">
      <c r="B3204" s="759"/>
      <c r="C3204" s="759"/>
      <c r="D3204" s="1824"/>
      <c r="E3204" s="1824"/>
      <c r="F3204" s="1824"/>
      <c r="G3204" s="1824"/>
      <c r="H3204" s="759"/>
      <c r="I3204" s="1478"/>
    </row>
    <row r="3214" spans="2:23" ht="15.75">
      <c r="B3214" t="s">
        <v>863</v>
      </c>
      <c r="D3214" s="1471" t="s">
        <v>170</v>
      </c>
      <c r="J3214" s="1471" t="s">
        <v>2211</v>
      </c>
    </row>
    <row r="3215" spans="2:23" ht="16.5" thickBot="1">
      <c r="B3215" s="1471"/>
      <c r="C3215" s="1471"/>
      <c r="D3215" s="1471" t="s">
        <v>11</v>
      </c>
      <c r="E3215" s="1471" t="s">
        <v>12</v>
      </c>
      <c r="F3215" s="1471" t="s">
        <v>13</v>
      </c>
      <c r="G3215" s="1471" t="s">
        <v>14</v>
      </c>
      <c r="H3215" s="1472"/>
      <c r="I3215" s="1464" t="s">
        <v>15</v>
      </c>
      <c r="J3215" s="1471">
        <v>2025</v>
      </c>
      <c r="K3215" s="1471">
        <v>2026</v>
      </c>
      <c r="L3215" s="1471">
        <v>2027</v>
      </c>
      <c r="M3215" s="1471">
        <v>2028</v>
      </c>
      <c r="N3215" s="1472"/>
      <c r="O3215" s="1464" t="s">
        <v>15</v>
      </c>
      <c r="T3215" s="3" t="str">
        <f>D3215</f>
        <v>2025e</v>
      </c>
      <c r="U3215" s="3" t="str">
        <f>E3215</f>
        <v>2026e</v>
      </c>
      <c r="V3215" s="3" t="str">
        <f>F3215</f>
        <v>2027e</v>
      </c>
      <c r="W3215" s="3" t="str">
        <f>G3215</f>
        <v>2028e</v>
      </c>
    </row>
    <row r="3216" spans="2:23" ht="15.75">
      <c r="B3216" s="1473" t="s">
        <v>468</v>
      </c>
      <c r="C3216" s="1474"/>
      <c r="D3216" s="1475">
        <v>7.065384615384615E-2</v>
      </c>
      <c r="E3216" s="1475">
        <v>7.7719230769230777E-2</v>
      </c>
      <c r="F3216" s="1475">
        <v>8.5491153846153869E-2</v>
      </c>
      <c r="G3216" s="1475">
        <v>9.4040269230769247E-2</v>
      </c>
      <c r="H3216" s="1474"/>
      <c r="I3216" s="1725"/>
      <c r="J3216" s="1475">
        <v>0</v>
      </c>
      <c r="K3216" s="1475">
        <v>0</v>
      </c>
      <c r="L3216" s="1475">
        <v>0</v>
      </c>
      <c r="M3216" s="1475">
        <v>0</v>
      </c>
      <c r="N3216" s="1474"/>
      <c r="O3216" s="1725"/>
      <c r="S3216" t="s">
        <v>467</v>
      </c>
      <c r="T3216" s="1751">
        <f t="shared" ref="T3216:W3217" si="223">D3217+J3217</f>
        <v>4.4122617168227712E-2</v>
      </c>
      <c r="U3216" s="1751">
        <f t="shared" si="223"/>
        <v>0</v>
      </c>
      <c r="V3216" s="1751">
        <f t="shared" si="223"/>
        <v>3.3720613617282021E-2</v>
      </c>
      <c r="W3216" s="1751">
        <f t="shared" si="223"/>
        <v>3.3059425114982069E-2</v>
      </c>
    </row>
    <row r="3217" spans="2:23" ht="15.75">
      <c r="B3217" s="1477" t="s">
        <v>467</v>
      </c>
      <c r="C3217" s="759"/>
      <c r="D3217" s="1478">
        <f>Valuation!U50</f>
        <v>3.1390020487686451E-2</v>
      </c>
      <c r="E3217" s="1478">
        <f>Valuation!V50</f>
        <v>0</v>
      </c>
      <c r="F3217" s="1478">
        <f>Valuation!W50</f>
        <v>3.3720613617281708E-2</v>
      </c>
      <c r="G3217" s="1478">
        <f>Valuation!X50</f>
        <v>3.3059425114982069E-2</v>
      </c>
      <c r="H3217" s="759"/>
      <c r="I3217" s="1728"/>
      <c r="J3217" s="1478">
        <f>Valuation!U51</f>
        <v>1.2732596680541265E-2</v>
      </c>
      <c r="K3217" s="1478">
        <f>Valuation!V51</f>
        <v>0</v>
      </c>
      <c r="L3217" s="1478">
        <f>Valuation!W51</f>
        <v>3.1240184893460318E-16</v>
      </c>
      <c r="M3217" s="1478">
        <f>Valuation!X51</f>
        <v>0</v>
      </c>
      <c r="N3217" s="759"/>
      <c r="O3217" s="1728"/>
      <c r="S3217" t="s">
        <v>1994</v>
      </c>
      <c r="T3217" s="1751">
        <f t="shared" si="223"/>
        <v>4.2115501960812193E-2</v>
      </c>
      <c r="U3217" s="1751">
        <f t="shared" si="223"/>
        <v>6.1428087678748383E-2</v>
      </c>
      <c r="V3217" s="1751">
        <f t="shared" si="223"/>
        <v>6.4267771463235576E-2</v>
      </c>
      <c r="W3217" s="1751">
        <f t="shared" si="223"/>
        <v>6.774012702104823E-2</v>
      </c>
    </row>
    <row r="3218" spans="2:23" ht="15.75">
      <c r="B3218" s="1491" t="s">
        <v>1994</v>
      </c>
      <c r="C3218" s="1484"/>
      <c r="D3218" s="1485">
        <v>2.9820419993599079E-2</v>
      </c>
      <c r="E3218" s="1485">
        <v>3.7361697637254603E-2</v>
      </c>
      <c r="F3218" s="1485">
        <v>4.1308587789766184E-2</v>
      </c>
      <c r="G3218" s="1485">
        <v>4.5111754523224031E-2</v>
      </c>
      <c r="H3218" s="1484"/>
      <c r="I3218" s="1493"/>
      <c r="J3218" s="1485">
        <v>1.2295081967213115E-2</v>
      </c>
      <c r="K3218" s="1485">
        <v>2.4066390041493777E-2</v>
      </c>
      <c r="L3218" s="1485">
        <v>2.2959183673469389E-2</v>
      </c>
      <c r="M3218" s="1485">
        <v>2.2628372497824196E-2</v>
      </c>
      <c r="N3218" s="1484"/>
      <c r="O3218" s="1493"/>
      <c r="S3218" t="s">
        <v>468</v>
      </c>
      <c r="T3218" s="1751">
        <f>D3216+J3216</f>
        <v>7.065384615384615E-2</v>
      </c>
      <c r="U3218" s="1751">
        <f>E3216+K3216</f>
        <v>7.7719230769230777E-2</v>
      </c>
      <c r="V3218" s="1751">
        <f>F3216+L3216</f>
        <v>8.5491153846153869E-2</v>
      </c>
      <c r="W3218" s="1751">
        <f>G3216+M3216</f>
        <v>9.4040269230769247E-2</v>
      </c>
    </row>
    <row r="3219" spans="2:23" ht="16.5" thickBot="1">
      <c r="B3219" s="1729" t="s">
        <v>938</v>
      </c>
      <c r="C3219" s="1730"/>
      <c r="D3219" s="1731">
        <v>0</v>
      </c>
      <c r="E3219" s="1731">
        <v>0</v>
      </c>
      <c r="F3219" s="1731">
        <v>0</v>
      </c>
      <c r="G3219" s="1731">
        <v>0</v>
      </c>
      <c r="H3219" s="1730"/>
      <c r="I3219" s="1732"/>
      <c r="J3219" s="1731">
        <v>0</v>
      </c>
      <c r="K3219" s="1731">
        <v>0</v>
      </c>
      <c r="L3219" s="1731">
        <v>0</v>
      </c>
      <c r="M3219" s="1731">
        <v>0</v>
      </c>
      <c r="N3219" s="1730"/>
      <c r="O3219" s="1732"/>
    </row>
    <row r="3220" spans="2:23" ht="15.75">
      <c r="B3220" s="759"/>
      <c r="C3220" s="759"/>
      <c r="D3220" s="1478"/>
      <c r="E3220" s="1478"/>
      <c r="F3220" s="1478"/>
      <c r="G3220" s="1478"/>
      <c r="H3220" s="759"/>
      <c r="I3220" s="1478"/>
      <c r="J3220" s="1478"/>
      <c r="K3220" s="1478"/>
      <c r="L3220" s="1478"/>
      <c r="M3220" s="1478"/>
      <c r="N3220" s="759"/>
      <c r="O3220" s="1478"/>
    </row>
    <row r="3221" spans="2:23" ht="15.75">
      <c r="B3221" s="759"/>
      <c r="C3221" s="759"/>
      <c r="D3221" s="1478"/>
      <c r="E3221" s="1478"/>
      <c r="F3221" s="1478"/>
      <c r="G3221" s="1478"/>
      <c r="H3221" s="759"/>
      <c r="I3221" s="1478"/>
      <c r="J3221" s="1478"/>
      <c r="K3221" s="1478"/>
      <c r="L3221" s="1478"/>
      <c r="M3221" s="1478"/>
      <c r="N3221" s="759"/>
      <c r="O3221" s="1478"/>
    </row>
    <row r="3222" spans="2:23" ht="15.75">
      <c r="B3222" s="759"/>
      <c r="C3222" s="759"/>
      <c r="D3222" s="759"/>
      <c r="E3222" s="759"/>
      <c r="F3222" s="759"/>
      <c r="G3222" s="759"/>
      <c r="H3222" s="759"/>
      <c r="I3222" s="759"/>
    </row>
    <row r="3223" spans="2:23" ht="16.5" thickBot="1">
      <c r="B3223" s="1746" t="s">
        <v>2212</v>
      </c>
      <c r="C3223" s="1747"/>
      <c r="D3223" s="1747" t="s">
        <v>11</v>
      </c>
      <c r="E3223" s="1747" t="s">
        <v>12</v>
      </c>
      <c r="F3223" s="1747" t="s">
        <v>13</v>
      </c>
      <c r="G3223" s="1747" t="s">
        <v>14</v>
      </c>
      <c r="H3223" s="1472"/>
      <c r="I3223" s="1464"/>
    </row>
    <row r="3224" spans="2:23" ht="15.75">
      <c r="B3224" s="1473" t="s">
        <v>468</v>
      </c>
      <c r="C3224" s="1474"/>
      <c r="D3224" s="1738">
        <v>1.3832882952346852</v>
      </c>
      <c r="E3224" s="1738">
        <v>1.2282508056248207</v>
      </c>
      <c r="F3224" s="1738">
        <v>1.0452878226049616</v>
      </c>
      <c r="G3224" s="1742">
        <v>0.84166236110975179</v>
      </c>
      <c r="H3224" s="1472"/>
      <c r="I3224" s="1464"/>
    </row>
    <row r="3225" spans="2:23" ht="15.75">
      <c r="B3225" s="1733" t="s">
        <v>467</v>
      </c>
      <c r="C3225" s="1734"/>
      <c r="D3225" s="1735">
        <f>Valuation!U54</f>
        <v>2.5743965509179159</v>
      </c>
      <c r="E3225" s="1735">
        <f ca="1">Valuation!V54</f>
        <v>2.5205645237098397</v>
      </c>
      <c r="F3225" s="1735">
        <f ca="1">Valuation!W54</f>
        <v>2.6054160451757591</v>
      </c>
      <c r="G3225" s="1743">
        <f ca="1">Valuation!X54</f>
        <v>2.6925228829771521</v>
      </c>
      <c r="H3225" s="1472"/>
      <c r="I3225" s="1464"/>
    </row>
    <row r="3226" spans="2:23" ht="15.75">
      <c r="B3226" s="1491" t="s">
        <v>1994</v>
      </c>
      <c r="C3226" s="1484"/>
      <c r="D3226" s="1741">
        <v>1.7354944020576968</v>
      </c>
      <c r="E3226" s="1741">
        <v>1.5899806598724833</v>
      </c>
      <c r="F3226" s="1741">
        <v>1.4342131353067291</v>
      </c>
      <c r="G3226" s="1744">
        <v>1.2716074770582255</v>
      </c>
      <c r="H3226" s="1472"/>
      <c r="I3226" s="1464"/>
    </row>
    <row r="3227" spans="2:23" ht="16.5" thickBot="1">
      <c r="B3227" s="1729" t="s">
        <v>938</v>
      </c>
      <c r="C3227" s="1730"/>
      <c r="D3227" s="1737">
        <v>2.3763838253635052</v>
      </c>
      <c r="E3227" s="1737">
        <v>2.0657705153723143</v>
      </c>
      <c r="F3227" s="1737">
        <v>1.7305425601455044</v>
      </c>
      <c r="G3227" s="1745">
        <v>1.3884160531922793</v>
      </c>
      <c r="H3227" s="1472"/>
      <c r="I3227" s="1464"/>
    </row>
    <row r="3228" spans="2:23" ht="15.75">
      <c r="B3228" s="759"/>
      <c r="C3228" s="759"/>
      <c r="D3228" s="1478"/>
      <c r="E3228" s="1478"/>
      <c r="F3228" s="1478"/>
      <c r="G3228" s="1478"/>
      <c r="H3228" s="1472"/>
      <c r="I3228" s="1464"/>
    </row>
    <row r="3229" spans="2:23" ht="15.75">
      <c r="B3229" s="759"/>
      <c r="C3229" s="759"/>
      <c r="D3229" s="1478"/>
      <c r="E3229" s="1478"/>
      <c r="F3229" s="1478"/>
      <c r="G3229" s="1478"/>
      <c r="H3229" s="1472"/>
      <c r="I3229" s="1464"/>
    </row>
    <row r="3230" spans="2:23" ht="15.75">
      <c r="D3230">
        <v>1.7354944020576968</v>
      </c>
      <c r="E3230">
        <v>1.5899806598724833</v>
      </c>
      <c r="F3230">
        <v>1.4342131353067291</v>
      </c>
      <c r="G3230">
        <v>1.2716074770582255</v>
      </c>
      <c r="H3230" s="1472"/>
      <c r="I3230" s="1464"/>
    </row>
    <row r="3231" spans="2:23" ht="15.75">
      <c r="B3231" t="s">
        <v>2213</v>
      </c>
      <c r="D3231">
        <v>1.4126368588655021</v>
      </c>
      <c r="E3231">
        <v>1.289217341423069</v>
      </c>
      <c r="F3231">
        <v>1.1461236830128501</v>
      </c>
      <c r="G3231">
        <v>0.98915170890974968</v>
      </c>
      <c r="I3231" s="1464"/>
    </row>
    <row r="3235" spans="19:28" ht="15.75">
      <c r="S3235" s="1826" t="s">
        <v>2214</v>
      </c>
      <c r="T3235" s="1829" t="s">
        <v>2215</v>
      </c>
      <c r="U3235" s="1829" t="s">
        <v>2216</v>
      </c>
      <c r="V3235" s="1829" t="s">
        <v>103</v>
      </c>
      <c r="W3235" s="1827" t="s">
        <v>2217</v>
      </c>
      <c r="X3235" s="759"/>
      <c r="Y3235" s="759"/>
    </row>
    <row r="3236" spans="19:28" ht="15.75">
      <c r="S3236" s="1484" t="s">
        <v>468</v>
      </c>
      <c r="T3236" s="1830" t="s">
        <v>2218</v>
      </c>
      <c r="U3236" s="1830" t="s">
        <v>2219</v>
      </c>
      <c r="V3236" s="1831">
        <f>AA3236/AB3236-1</f>
        <v>0.32275132275132279</v>
      </c>
      <c r="W3236" s="1828" t="s">
        <v>2220</v>
      </c>
      <c r="X3236" s="759"/>
      <c r="Y3236" s="759"/>
      <c r="AA3236">
        <v>75</v>
      </c>
      <c r="AB3236">
        <v>56.7</v>
      </c>
    </row>
    <row r="3237" spans="19:28" ht="15.75">
      <c r="S3237" s="759" t="s">
        <v>1994</v>
      </c>
      <c r="T3237" s="1832" t="s">
        <v>2218</v>
      </c>
      <c r="U3237" s="1832" t="s">
        <v>2221</v>
      </c>
      <c r="V3237" s="1833">
        <f>AA3237/AB3237-1</f>
        <v>0.24575311438278602</v>
      </c>
      <c r="W3237" s="1472" t="s">
        <v>2222</v>
      </c>
      <c r="X3237" s="759"/>
      <c r="Y3237" s="759"/>
      <c r="AA3237">
        <v>22</v>
      </c>
      <c r="AB3237">
        <v>17.66</v>
      </c>
    </row>
    <row r="3238" spans="19:28" ht="15.75">
      <c r="S3238" s="1484" t="s">
        <v>467</v>
      </c>
      <c r="T3238" s="1830" t="s">
        <v>8</v>
      </c>
      <c r="U3238" s="1830" t="s">
        <v>2223</v>
      </c>
      <c r="V3238" s="1831">
        <f>AA3238/AB3238-1</f>
        <v>5.0228310502283158E-2</v>
      </c>
      <c r="W3238" s="1828" t="s">
        <v>2224</v>
      </c>
      <c r="X3238" s="759"/>
      <c r="Y3238" s="759"/>
      <c r="AA3238">
        <v>2.2999999999999998</v>
      </c>
      <c r="AB3238">
        <v>2.19</v>
      </c>
    </row>
    <row r="3239" spans="19:28" ht="15.75">
      <c r="S3239" s="759" t="s">
        <v>938</v>
      </c>
      <c r="T3239" s="1832" t="s">
        <v>2225</v>
      </c>
      <c r="U3239" s="1832" t="s">
        <v>2157</v>
      </c>
      <c r="V3239" s="1832" t="s">
        <v>2157</v>
      </c>
      <c r="W3239" s="1472" t="s">
        <v>2226</v>
      </c>
      <c r="X3239" s="759"/>
      <c r="Y3239" s="759"/>
    </row>
    <row r="3240" spans="19:28" ht="15.75">
      <c r="S3240" s="759"/>
      <c r="T3240" s="759"/>
      <c r="U3240" s="759"/>
      <c r="V3240" s="759"/>
      <c r="W3240" s="759"/>
      <c r="X3240" s="759"/>
      <c r="Y3240" s="759"/>
    </row>
    <row r="3241" spans="19:28" ht="15.75">
      <c r="S3241" s="759"/>
      <c r="T3241" s="759"/>
      <c r="U3241" s="759"/>
      <c r="V3241" s="759"/>
      <c r="W3241" s="759"/>
      <c r="X3241" s="759"/>
      <c r="Y3241" s="759"/>
    </row>
    <row r="3242" spans="19:28" ht="15.75">
      <c r="S3242" s="759"/>
      <c r="T3242" s="759"/>
      <c r="U3242" s="759"/>
      <c r="V3242" s="759"/>
      <c r="W3242" s="759"/>
      <c r="X3242" s="759"/>
      <c r="Y3242" s="759"/>
    </row>
    <row r="3243" spans="19:28" ht="15.75">
      <c r="S3243" s="759"/>
      <c r="T3243" s="759"/>
      <c r="U3243" s="759"/>
      <c r="V3243" s="759"/>
      <c r="W3243" s="759"/>
      <c r="X3243" s="759"/>
      <c r="Y3243" s="759"/>
    </row>
    <row r="3250" spans="2:24">
      <c r="B3250" s="650" t="s">
        <v>6</v>
      </c>
      <c r="P3250" s="650" t="s">
        <v>2227</v>
      </c>
    </row>
    <row r="3252" spans="2:24">
      <c r="B3252" t="s">
        <v>2228</v>
      </c>
      <c r="C3252" s="42">
        <v>2032</v>
      </c>
      <c r="D3252" s="1844">
        <v>6260.7</v>
      </c>
      <c r="E3252" s="9">
        <v>8.5000000000000006E-2</v>
      </c>
      <c r="I3252">
        <v>2025</v>
      </c>
      <c r="J3252" s="122"/>
      <c r="P3252" t="s">
        <v>2229</v>
      </c>
      <c r="Q3252" s="42">
        <v>2027</v>
      </c>
      <c r="R3252" s="1844">
        <v>793.7</v>
      </c>
      <c r="S3252" s="9"/>
      <c r="U3252">
        <v>2025</v>
      </c>
      <c r="V3252" s="122"/>
    </row>
    <row r="3253" spans="2:24">
      <c r="B3253" t="s">
        <v>2228</v>
      </c>
      <c r="C3253" s="42">
        <v>2037</v>
      </c>
      <c r="D3253" s="1844">
        <v>4500</v>
      </c>
      <c r="E3253" s="9">
        <v>8.4900000000000003E-2</v>
      </c>
      <c r="I3253">
        <f>I3252+1</f>
        <v>2026</v>
      </c>
      <c r="J3253" s="122">
        <f>D3258+D3263</f>
        <v>4328.7</v>
      </c>
      <c r="K3253" s="1845">
        <f>J3253/$D$3265</f>
        <v>4.4632813216930092E-2</v>
      </c>
      <c r="L3253" s="4">
        <f>I3253*K3253</f>
        <v>90.42607957750036</v>
      </c>
      <c r="P3253" t="s">
        <v>2230</v>
      </c>
      <c r="Q3253" s="42">
        <v>2029</v>
      </c>
      <c r="R3253" s="1844">
        <v>991.3</v>
      </c>
      <c r="S3253" s="9"/>
      <c r="U3253">
        <f>U3252+1</f>
        <v>2026</v>
      </c>
      <c r="V3253" s="122">
        <f>R3261</f>
        <v>100</v>
      </c>
      <c r="W3253" s="1845">
        <f t="shared" ref="W3253:W3259" si="224">V3253/$R$3265</f>
        <v>1.1014064960955135E-2</v>
      </c>
      <c r="X3253" s="4">
        <f t="shared" ref="X3253:X3259" si="225">U3253*W3253</f>
        <v>22.314495610895104</v>
      </c>
    </row>
    <row r="3254" spans="2:24">
      <c r="B3254" t="s">
        <v>2228</v>
      </c>
      <c r="C3254" s="42">
        <v>2025</v>
      </c>
      <c r="D3254" s="1844">
        <v>0</v>
      </c>
      <c r="E3254" s="1847">
        <v>6.6250000000000003E-2</v>
      </c>
      <c r="I3254">
        <f t="shared" ref="I3254:I3276" si="226">I3253+1</f>
        <v>2027</v>
      </c>
      <c r="J3254" s="122">
        <f>D3261</f>
        <v>4500</v>
      </c>
      <c r="K3254" s="1845">
        <f>J3254/$D$3265</f>
        <v>4.6399071193703748E-2</v>
      </c>
      <c r="L3254" s="4">
        <f>I3254*K3254</f>
        <v>94.050917309637498</v>
      </c>
      <c r="P3254" t="s">
        <v>2230</v>
      </c>
      <c r="Q3254" s="42">
        <v>2029</v>
      </c>
      <c r="R3254" s="1844">
        <v>488.8</v>
      </c>
      <c r="S3254" s="1847"/>
      <c r="U3254">
        <f t="shared" ref="U3254:U3264" si="227">U3253+1</f>
        <v>2027</v>
      </c>
      <c r="V3254" s="122">
        <f>R3252+R3256+R3262</f>
        <v>2410</v>
      </c>
      <c r="W3254" s="1845">
        <f t="shared" si="224"/>
        <v>0.2654389655590188</v>
      </c>
      <c r="X3254" s="4">
        <f t="shared" si="225"/>
        <v>538.04478318813108</v>
      </c>
    </row>
    <row r="3255" spans="2:24">
      <c r="B3255" t="s">
        <v>2228</v>
      </c>
      <c r="C3255" s="42">
        <v>2040</v>
      </c>
      <c r="D3255" s="1844">
        <v>12521.4</v>
      </c>
      <c r="E3255" s="1847">
        <v>6.6250000000000003E-2</v>
      </c>
      <c r="I3255">
        <f t="shared" si="226"/>
        <v>2028</v>
      </c>
      <c r="J3255" s="122"/>
      <c r="L3255" s="4"/>
      <c r="P3255" t="s">
        <v>2231</v>
      </c>
      <c r="Q3255" s="42">
        <v>2029</v>
      </c>
      <c r="R3255" s="1844">
        <v>475.8</v>
      </c>
      <c r="S3255" s="1847"/>
      <c r="U3255">
        <f t="shared" si="227"/>
        <v>2028</v>
      </c>
      <c r="V3255" s="122">
        <f>R3257</f>
        <v>1434.3</v>
      </c>
      <c r="W3255" s="1845">
        <f t="shared" si="224"/>
        <v>0.1579747337349795</v>
      </c>
      <c r="X3255" s="4">
        <f t="shared" si="225"/>
        <v>320.37276001453841</v>
      </c>
    </row>
    <row r="3256" spans="2:24">
      <c r="B3256" t="s">
        <v>2228</v>
      </c>
      <c r="C3256" s="42">
        <v>2043</v>
      </c>
      <c r="D3256" s="1844">
        <v>6225.7</v>
      </c>
      <c r="E3256" s="9">
        <v>7.2499999999999995E-2</v>
      </c>
      <c r="I3256">
        <f t="shared" si="226"/>
        <v>2029</v>
      </c>
      <c r="J3256" s="122">
        <f>D3262</f>
        <v>10000</v>
      </c>
      <c r="K3256" s="1845">
        <f>J3256/$D$3265</f>
        <v>0.10310904709711945</v>
      </c>
      <c r="L3256" s="4">
        <f>I3256*K3256</f>
        <v>209.20825656005536</v>
      </c>
      <c r="P3256" t="s">
        <v>2232</v>
      </c>
      <c r="Q3256" s="42">
        <v>2027</v>
      </c>
      <c r="R3256" s="1844">
        <v>1540.6</v>
      </c>
      <c r="S3256" s="1847">
        <v>6.6250000000000003E-2</v>
      </c>
      <c r="U3256">
        <f t="shared" si="227"/>
        <v>2029</v>
      </c>
      <c r="V3256" s="122">
        <f>R3253+R3254+R3255+R3258</f>
        <v>2995.8</v>
      </c>
      <c r="W3256" s="1845">
        <f t="shared" si="224"/>
        <v>0.32995935810029398</v>
      </c>
      <c r="X3256" s="4">
        <f t="shared" si="225"/>
        <v>669.48753758549651</v>
      </c>
    </row>
    <row r="3257" spans="2:24">
      <c r="B3257" t="s">
        <v>2228</v>
      </c>
      <c r="C3257" s="42">
        <v>2045</v>
      </c>
      <c r="D3257" s="1844">
        <v>16499.3</v>
      </c>
      <c r="E3257" s="9">
        <v>0.05</v>
      </c>
      <c r="I3257">
        <f t="shared" si="226"/>
        <v>2030</v>
      </c>
      <c r="J3257" s="122"/>
      <c r="L3257" s="4"/>
      <c r="P3257" t="s">
        <v>2232</v>
      </c>
      <c r="Q3257" s="42">
        <v>2028</v>
      </c>
      <c r="R3257" s="1844">
        <v>1434.3</v>
      </c>
      <c r="S3257" s="9">
        <v>0.08</v>
      </c>
      <c r="U3257">
        <f t="shared" si="227"/>
        <v>2030</v>
      </c>
      <c r="V3257" s="122">
        <f>R3259</f>
        <v>894</v>
      </c>
      <c r="W3257" s="1845">
        <f t="shared" si="224"/>
        <v>9.8465740750938918E-2</v>
      </c>
      <c r="X3257" s="4">
        <f t="shared" si="225"/>
        <v>199.88545372440601</v>
      </c>
    </row>
    <row r="3258" spans="2:24">
      <c r="B3258" t="s">
        <v>2228</v>
      </c>
      <c r="C3258" s="42">
        <v>2026</v>
      </c>
      <c r="D3258" s="1844">
        <v>4328.7</v>
      </c>
      <c r="E3258" s="1847">
        <v>4.6249999999999999E-2</v>
      </c>
      <c r="I3258">
        <f t="shared" si="226"/>
        <v>2031</v>
      </c>
      <c r="J3258" s="122"/>
      <c r="L3258" s="4"/>
      <c r="P3258" t="s">
        <v>2232</v>
      </c>
      <c r="Q3258" s="42">
        <v>2029</v>
      </c>
      <c r="R3258" s="1844">
        <v>1039.9000000000001</v>
      </c>
      <c r="S3258" s="1847">
        <v>4.4999999999999998E-2</v>
      </c>
      <c r="U3258">
        <f t="shared" si="227"/>
        <v>2031</v>
      </c>
      <c r="V3258" s="122">
        <f>R3260</f>
        <v>1245.2</v>
      </c>
      <c r="W3258" s="1845">
        <f t="shared" si="224"/>
        <v>0.13714713689381336</v>
      </c>
      <c r="X3258" s="4">
        <f t="shared" si="225"/>
        <v>278.54583503133495</v>
      </c>
    </row>
    <row r="3259" spans="2:24">
      <c r="B3259" t="s">
        <v>2228</v>
      </c>
      <c r="C3259" s="42">
        <v>2046</v>
      </c>
      <c r="D3259" s="1844">
        <v>18355.900000000001</v>
      </c>
      <c r="E3259" s="1847">
        <v>6.1249999999999999E-2</v>
      </c>
      <c r="I3259">
        <f t="shared" si="226"/>
        <v>2032</v>
      </c>
      <c r="J3259" s="122">
        <f>D3252</f>
        <v>6260.7</v>
      </c>
      <c r="K3259" s="1845">
        <f>J3259/$D$3265</f>
        <v>6.4553481116093575E-2</v>
      </c>
      <c r="L3259" s="4">
        <f>I3259*K3259</f>
        <v>131.17267362790216</v>
      </c>
      <c r="P3259" t="s">
        <v>2232</v>
      </c>
      <c r="Q3259" s="42">
        <v>2030</v>
      </c>
      <c r="R3259" s="1844">
        <v>894</v>
      </c>
      <c r="S3259" s="1847">
        <v>7.3749999999999996E-2</v>
      </c>
      <c r="U3259">
        <f t="shared" si="227"/>
        <v>2032</v>
      </c>
      <c r="V3259" s="122">
        <f>R3264</f>
        <v>0</v>
      </c>
      <c r="W3259" s="1845">
        <f t="shared" si="224"/>
        <v>0</v>
      </c>
      <c r="X3259" s="4">
        <f t="shared" si="225"/>
        <v>0</v>
      </c>
    </row>
    <row r="3260" spans="2:24">
      <c r="B3260" t="s">
        <v>2228</v>
      </c>
      <c r="C3260" s="42">
        <v>2049</v>
      </c>
      <c r="D3260" s="1844">
        <v>13793</v>
      </c>
      <c r="E3260" s="9">
        <v>5.2499999999999998E-2</v>
      </c>
      <c r="I3260">
        <f t="shared" si="226"/>
        <v>2033</v>
      </c>
      <c r="J3260" s="122"/>
      <c r="L3260" s="4"/>
      <c r="P3260" t="s">
        <v>2232</v>
      </c>
      <c r="Q3260" s="42">
        <v>2031</v>
      </c>
      <c r="R3260" s="1844">
        <v>1245.2</v>
      </c>
      <c r="S3260" s="9">
        <v>8.5000000000000006E-2</v>
      </c>
      <c r="U3260">
        <f t="shared" si="227"/>
        <v>2033</v>
      </c>
      <c r="V3260" s="122"/>
      <c r="X3260" s="4"/>
    </row>
    <row r="3261" spans="2:24">
      <c r="B3261" t="s">
        <v>1812</v>
      </c>
      <c r="C3261" s="42">
        <v>2027</v>
      </c>
      <c r="D3261" s="1844">
        <v>4500</v>
      </c>
      <c r="E3261" s="9">
        <v>8.7900000000000006E-2</v>
      </c>
      <c r="I3261">
        <f t="shared" si="226"/>
        <v>2034</v>
      </c>
      <c r="J3261" s="122"/>
      <c r="L3261" s="4"/>
      <c r="P3261" t="s">
        <v>2233</v>
      </c>
      <c r="Q3261" s="42">
        <v>2026</v>
      </c>
      <c r="R3261" s="1844">
        <v>100</v>
      </c>
      <c r="S3261" s="9"/>
      <c r="U3261">
        <f t="shared" si="227"/>
        <v>2034</v>
      </c>
      <c r="V3261" s="122"/>
      <c r="X3261" s="4"/>
    </row>
    <row r="3262" spans="2:24">
      <c r="B3262" t="s">
        <v>2234</v>
      </c>
      <c r="C3262" s="42">
        <v>2029</v>
      </c>
      <c r="D3262" s="1844">
        <v>10000</v>
      </c>
      <c r="E3262" s="9">
        <v>0.1169</v>
      </c>
      <c r="I3262">
        <f t="shared" si="226"/>
        <v>2035</v>
      </c>
      <c r="J3262" s="122"/>
      <c r="L3262" s="4"/>
      <c r="P3262" t="s">
        <v>2235</v>
      </c>
      <c r="Q3262" s="42">
        <v>2027</v>
      </c>
      <c r="R3262" s="1844">
        <v>75.7</v>
      </c>
      <c r="S3262" s="9"/>
      <c r="U3262">
        <f t="shared" si="227"/>
        <v>2035</v>
      </c>
      <c r="V3262" s="122"/>
      <c r="X3262" s="4"/>
    </row>
    <row r="3263" spans="2:24">
      <c r="B3263" t="s">
        <v>2236</v>
      </c>
      <c r="C3263" s="42">
        <v>2026</v>
      </c>
      <c r="D3263" s="1844">
        <v>0</v>
      </c>
      <c r="E3263" s="9" t="s">
        <v>1525</v>
      </c>
      <c r="I3263">
        <f t="shared" si="226"/>
        <v>2036</v>
      </c>
      <c r="J3263" s="122"/>
      <c r="L3263" s="4"/>
      <c r="Q3263" s="42"/>
      <c r="R3263" s="122"/>
      <c r="S3263" s="9"/>
      <c r="U3263">
        <f t="shared" si="227"/>
        <v>2036</v>
      </c>
      <c r="V3263" s="122"/>
      <c r="X3263" s="4"/>
    </row>
    <row r="3264" spans="2:24">
      <c r="I3264">
        <f t="shared" si="226"/>
        <v>2037</v>
      </c>
      <c r="J3264" s="122">
        <f>D3253</f>
        <v>4500</v>
      </c>
      <c r="K3264" s="1845">
        <f>J3264/$D$3265</f>
        <v>4.6399071193703748E-2</v>
      </c>
      <c r="L3264" s="4">
        <f>I3264*K3264</f>
        <v>94.514908021574527</v>
      </c>
      <c r="P3264" s="397" t="s">
        <v>2237</v>
      </c>
      <c r="Q3264" s="1849">
        <v>2032</v>
      </c>
      <c r="R3264" s="615">
        <v>0</v>
      </c>
      <c r="U3264">
        <f t="shared" si="227"/>
        <v>2037</v>
      </c>
      <c r="V3264" s="122"/>
      <c r="W3264" s="1845"/>
      <c r="X3264" s="4"/>
    </row>
    <row r="3265" spans="4:24">
      <c r="D3265" s="122">
        <f>SUM(D3252:D3264)</f>
        <v>96984.7</v>
      </c>
      <c r="I3265">
        <f t="shared" si="226"/>
        <v>2038</v>
      </c>
      <c r="J3265" s="122"/>
      <c r="L3265" s="4"/>
      <c r="R3265" s="122">
        <f>SUM(R3252:R3264)</f>
        <v>9079.3000000000029</v>
      </c>
      <c r="X3265" s="1850">
        <f>SUM(X3239:X3264)</f>
        <v>2028.650865154802</v>
      </c>
    </row>
    <row r="3266" spans="4:24">
      <c r="I3266">
        <f t="shared" si="226"/>
        <v>2039</v>
      </c>
      <c r="J3266" s="122"/>
      <c r="L3266" s="4"/>
    </row>
    <row r="3267" spans="4:24">
      <c r="I3267">
        <f t="shared" si="226"/>
        <v>2040</v>
      </c>
      <c r="J3267" s="122">
        <f>D3255</f>
        <v>12521.4</v>
      </c>
      <c r="K3267" s="1845">
        <f>J3267/$D$3265</f>
        <v>0.12910696223218715</v>
      </c>
      <c r="L3267" s="4">
        <f>I3267*K3267</f>
        <v>263.3782029536618</v>
      </c>
    </row>
    <row r="3268" spans="4:24">
      <c r="I3268">
        <f t="shared" si="226"/>
        <v>2041</v>
      </c>
      <c r="J3268" s="122"/>
      <c r="L3268" s="4"/>
      <c r="X3268">
        <v>2029.3409535409369</v>
      </c>
    </row>
    <row r="3269" spans="4:24">
      <c r="I3269">
        <f t="shared" si="226"/>
        <v>2042</v>
      </c>
      <c r="J3269" s="122"/>
      <c r="L3269" s="4"/>
      <c r="X3269" s="151">
        <f>X3268-X3265</f>
        <v>0.69008838613490298</v>
      </c>
    </row>
    <row r="3270" spans="4:24">
      <c r="I3270">
        <f t="shared" si="226"/>
        <v>2043</v>
      </c>
      <c r="J3270" s="122">
        <f>D3256</f>
        <v>6225.7</v>
      </c>
      <c r="K3270" s="1845">
        <f>J3270/$D$3265</f>
        <v>6.4192599451253649E-2</v>
      </c>
      <c r="L3270" s="4">
        <f>I3270*K3270</f>
        <v>131.14548067891121</v>
      </c>
      <c r="X3270">
        <f>X3269*365</f>
        <v>251.88226093923959</v>
      </c>
    </row>
    <row r="3271" spans="4:24">
      <c r="I3271">
        <f t="shared" si="226"/>
        <v>2044</v>
      </c>
      <c r="J3271" s="122"/>
      <c r="L3271" s="4"/>
    </row>
    <row r="3272" spans="4:24">
      <c r="I3272">
        <f t="shared" si="226"/>
        <v>2045</v>
      </c>
      <c r="J3272" s="122">
        <f>D3257</f>
        <v>16499.3</v>
      </c>
      <c r="K3272" s="1845">
        <f>J3272/$D$3265</f>
        <v>0.17012271007695029</v>
      </c>
      <c r="L3272" s="4">
        <f>I3272*K3272</f>
        <v>347.90094210736333</v>
      </c>
    </row>
    <row r="3273" spans="4:24">
      <c r="I3273">
        <f t="shared" si="226"/>
        <v>2046</v>
      </c>
      <c r="J3273" s="122">
        <f>D3259</f>
        <v>18355.900000000001</v>
      </c>
      <c r="K3273" s="1845">
        <f>J3273/$D$3265</f>
        <v>0.18926593576100151</v>
      </c>
      <c r="L3273" s="4">
        <f>I3273*K3273</f>
        <v>387.23810456700909</v>
      </c>
    </row>
    <row r="3274" spans="4:24">
      <c r="I3274">
        <f t="shared" si="226"/>
        <v>2047</v>
      </c>
      <c r="J3274" s="122"/>
      <c r="L3274" s="4"/>
    </row>
    <row r="3275" spans="4:24">
      <c r="I3275">
        <f t="shared" si="226"/>
        <v>2048</v>
      </c>
      <c r="J3275" s="122"/>
      <c r="L3275" s="4"/>
    </row>
    <row r="3276" spans="4:24">
      <c r="I3276">
        <f t="shared" si="226"/>
        <v>2049</v>
      </c>
      <c r="J3276" s="122">
        <f>D3260</f>
        <v>13793</v>
      </c>
      <c r="K3276" s="1845">
        <f>J3276/$D$3265</f>
        <v>0.14221830866105686</v>
      </c>
      <c r="L3276" s="4">
        <f>I3276*K3276</f>
        <v>291.40531444650549</v>
      </c>
    </row>
    <row r="3278" spans="4:24">
      <c r="K3278" s="1848">
        <f>SUM(K3252:K3277)</f>
        <v>1</v>
      </c>
      <c r="L3278" s="1846">
        <f>SUM(L3252:L3277)</f>
        <v>2040.4408798501208</v>
      </c>
    </row>
    <row r="3288" spans="2:71" ht="23.25" customHeight="1">
      <c r="B3288" s="2095" t="s">
        <v>8137</v>
      </c>
      <c r="C3288" s="2096"/>
      <c r="D3288" s="2096"/>
      <c r="E3288" s="2096"/>
      <c r="F3288" s="2096"/>
      <c r="G3288" s="2096"/>
      <c r="H3288" s="2096"/>
      <c r="I3288" s="2096"/>
      <c r="J3288" s="2096"/>
      <c r="K3288" s="2096"/>
      <c r="L3288" s="2096"/>
      <c r="M3288" s="2096"/>
      <c r="N3288" s="2096"/>
      <c r="O3288" s="2096"/>
      <c r="P3288" s="2096"/>
      <c r="Q3288" s="2096"/>
      <c r="R3288" s="2096"/>
      <c r="S3288" s="2096"/>
      <c r="T3288" s="2096"/>
      <c r="U3288" s="2096"/>
    </row>
    <row r="3289" spans="2:71">
      <c r="BA3289" s="2109" t="s">
        <v>8201</v>
      </c>
    </row>
    <row r="3290" spans="2:71">
      <c r="C3290" s="1968"/>
      <c r="D3290" s="1968"/>
      <c r="E3290" s="1968"/>
      <c r="F3290" s="1968"/>
      <c r="G3290" s="1968"/>
      <c r="H3290" s="1968"/>
      <c r="I3290" s="1968"/>
      <c r="J3290" s="1968"/>
      <c r="K3290" s="1968"/>
      <c r="L3290" s="1968"/>
    </row>
    <row r="3291" spans="2:71" ht="15.75">
      <c r="B3291" s="1969" t="s">
        <v>8138</v>
      </c>
      <c r="C3291" s="1969">
        <v>2021</v>
      </c>
      <c r="D3291" s="1969">
        <v>2022</v>
      </c>
      <c r="E3291" s="1969">
        <v>2023</v>
      </c>
      <c r="F3291" s="1969">
        <f t="shared" ref="F3291:L3291" si="228">E3291+1</f>
        <v>2024</v>
      </c>
      <c r="G3291" s="1969">
        <f t="shared" si="228"/>
        <v>2025</v>
      </c>
      <c r="H3291" s="1969">
        <f t="shared" si="228"/>
        <v>2026</v>
      </c>
      <c r="I3291" s="1969">
        <f t="shared" si="228"/>
        <v>2027</v>
      </c>
      <c r="J3291" s="1969">
        <f t="shared" si="228"/>
        <v>2028</v>
      </c>
      <c r="K3291" s="1969">
        <f t="shared" si="228"/>
        <v>2029</v>
      </c>
      <c r="L3291" s="1969">
        <f t="shared" si="228"/>
        <v>2030</v>
      </c>
      <c r="M3291" s="1969">
        <f t="shared" ref="M3291" si="229">L3291+1</f>
        <v>2031</v>
      </c>
      <c r="N3291" s="1969">
        <f t="shared" ref="N3291" si="230">M3291+1</f>
        <v>2032</v>
      </c>
      <c r="O3291" s="1969">
        <f t="shared" ref="O3291" si="231">N3291+1</f>
        <v>2033</v>
      </c>
      <c r="P3291" s="1969">
        <f t="shared" ref="P3291:Q3291" si="232">O3291+1</f>
        <v>2034</v>
      </c>
      <c r="Q3291" s="1969">
        <f t="shared" si="232"/>
        <v>2035</v>
      </c>
      <c r="BA3291" s="2134" t="s">
        <v>8138</v>
      </c>
      <c r="BB3291" s="2134">
        <v>2021</v>
      </c>
      <c r="BC3291" s="2134">
        <v>2022</v>
      </c>
      <c r="BD3291" s="2134">
        <v>2023</v>
      </c>
      <c r="BE3291" s="2134">
        <v>2024</v>
      </c>
      <c r="BF3291" s="2134">
        <v>2025</v>
      </c>
      <c r="BG3291" s="2134">
        <v>2026</v>
      </c>
      <c r="BH3291" s="2134">
        <v>2027</v>
      </c>
      <c r="BI3291" s="2134">
        <v>2028</v>
      </c>
      <c r="BJ3291" s="2134">
        <v>2029</v>
      </c>
      <c r="BK3291" s="2134">
        <v>2030</v>
      </c>
      <c r="BL3291" s="2134">
        <v>2031</v>
      </c>
      <c r="BM3291" s="2134">
        <v>2032</v>
      </c>
      <c r="BN3291" s="2134">
        <v>2033</v>
      </c>
      <c r="BO3291" s="2134">
        <v>2034</v>
      </c>
      <c r="BP3291" s="2134">
        <v>2035</v>
      </c>
      <c r="BQ3291" s="1734"/>
      <c r="BR3291" s="2134" t="s">
        <v>8191</v>
      </c>
      <c r="BS3291" s="248"/>
    </row>
    <row r="3292" spans="2:71" ht="15.75">
      <c r="B3292" s="1970" t="s">
        <v>33</v>
      </c>
      <c r="C3292" s="1971">
        <v>2747</v>
      </c>
      <c r="D3292" s="1971">
        <f>861+785+808+690</f>
        <v>3144</v>
      </c>
      <c r="E3292" s="1971">
        <f>1090+992+967+883</f>
        <v>3932</v>
      </c>
      <c r="F3292" s="1971">
        <v>4232</v>
      </c>
      <c r="G3292" s="1971">
        <v>4379</v>
      </c>
      <c r="H3292" s="1972">
        <f>G3292*(1+H3293)</f>
        <v>4510.37</v>
      </c>
      <c r="I3292" s="1972">
        <f>H3292*(1+I3293)</f>
        <v>4634.4051749999999</v>
      </c>
      <c r="J3292" s="1972">
        <f>I3292*(1+J3293)</f>
        <v>4750.2653043749997</v>
      </c>
      <c r="K3292" s="1972">
        <f>J3292*(1+K3293)</f>
        <v>4857.1462737234369</v>
      </c>
      <c r="L3292" s="1972">
        <f>K3292*(1+L3293)</f>
        <v>4954.2891991979059</v>
      </c>
      <c r="M3292" s="1972">
        <f t="shared" ref="M3292:Q3292" si="233">L3292*(1+M3293)</f>
        <v>5040.9892601838692</v>
      </c>
      <c r="N3292" s="1972">
        <f t="shared" si="233"/>
        <v>5116.6040990866268</v>
      </c>
      <c r="O3292" s="1972">
        <f t="shared" si="233"/>
        <v>5193.3531605729258</v>
      </c>
      <c r="P3292" s="1972">
        <f t="shared" si="233"/>
        <v>5271.2534579815192</v>
      </c>
      <c r="Q3292" s="1972">
        <f t="shared" si="233"/>
        <v>5350.3222598512411</v>
      </c>
      <c r="BA3292" s="2135" t="s">
        <v>33</v>
      </c>
      <c r="BB3292" s="2136">
        <f>C3292</f>
        <v>2747</v>
      </c>
      <c r="BC3292" s="2136">
        <f t="shared" ref="BC3292:BP3292" si="234">D3292</f>
        <v>3144</v>
      </c>
      <c r="BD3292" s="2136">
        <f t="shared" si="234"/>
        <v>3932</v>
      </c>
      <c r="BE3292" s="2136">
        <f t="shared" si="234"/>
        <v>4232</v>
      </c>
      <c r="BF3292" s="2136">
        <f t="shared" si="234"/>
        <v>4379</v>
      </c>
      <c r="BG3292" s="2164">
        <f t="shared" si="234"/>
        <v>4510.37</v>
      </c>
      <c r="BH3292" s="2164">
        <f t="shared" si="234"/>
        <v>4634.4051749999999</v>
      </c>
      <c r="BI3292" s="2164">
        <f t="shared" si="234"/>
        <v>4750.2653043749997</v>
      </c>
      <c r="BJ3292" s="2164">
        <f t="shared" si="234"/>
        <v>4857.1462737234369</v>
      </c>
      <c r="BK3292" s="2164">
        <f t="shared" si="234"/>
        <v>4954.2891991979059</v>
      </c>
      <c r="BL3292" s="2164">
        <f t="shared" si="234"/>
        <v>5040.9892601838692</v>
      </c>
      <c r="BM3292" s="2164">
        <f t="shared" si="234"/>
        <v>5116.6040990866268</v>
      </c>
      <c r="BN3292" s="2164">
        <f t="shared" si="234"/>
        <v>5193.3531605729258</v>
      </c>
      <c r="BO3292" s="2164">
        <f t="shared" si="234"/>
        <v>5271.2534579815192</v>
      </c>
      <c r="BP3292" s="2164">
        <f t="shared" si="234"/>
        <v>5350.3222598512411</v>
      </c>
      <c r="BQ3292" s="1734"/>
      <c r="BR3292" s="1484" t="s">
        <v>110</v>
      </c>
      <c r="BS3292" s="1485">
        <f t="shared" ref="BS3292:BS3298" si="235">C3307</f>
        <v>0.111</v>
      </c>
    </row>
    <row r="3293" spans="2:71" ht="15.75">
      <c r="B3293" s="1970" t="s">
        <v>8081</v>
      </c>
      <c r="C3293" s="1973"/>
      <c r="D3293" s="1978">
        <f>D3292/C3292-1</f>
        <v>0.14452129595922836</v>
      </c>
      <c r="E3293" s="1978">
        <f>E3292/D3292-1</f>
        <v>0.25063613231552173</v>
      </c>
      <c r="F3293" s="1978">
        <f>F3292/E3292-1</f>
        <v>7.6297049847405818E-2</v>
      </c>
      <c r="G3293" s="1978">
        <f>G3292/F3292-1</f>
        <v>3.4735349716446207E-2</v>
      </c>
      <c r="H3293" s="1979">
        <v>0.03</v>
      </c>
      <c r="I3293" s="1979">
        <v>2.75E-2</v>
      </c>
      <c r="J3293" s="1979">
        <v>2.5000000000000001E-2</v>
      </c>
      <c r="K3293" s="1979">
        <v>2.2499999999999999E-2</v>
      </c>
      <c r="L3293" s="1979">
        <v>0.02</v>
      </c>
      <c r="M3293" s="1979">
        <v>1.7500000000000002E-2</v>
      </c>
      <c r="N3293" s="1979">
        <v>1.4999999999999999E-2</v>
      </c>
      <c r="O3293" s="1979">
        <v>1.4999999999999999E-2</v>
      </c>
      <c r="P3293" s="1979">
        <v>1.4999999999999999E-2</v>
      </c>
      <c r="Q3293" s="1979">
        <v>1.4999999999999999E-2</v>
      </c>
      <c r="BA3293" s="2128" t="s">
        <v>8081</v>
      </c>
      <c r="BB3293" s="2130"/>
      <c r="BC3293" s="2130"/>
      <c r="BD3293" s="2130"/>
      <c r="BE3293" s="2130"/>
      <c r="BF3293" s="2130"/>
      <c r="BG3293" s="2165"/>
      <c r="BH3293" s="2165"/>
      <c r="BI3293" s="2165"/>
      <c r="BJ3293" s="2165"/>
      <c r="BK3293" s="2165"/>
      <c r="BL3293" s="2165"/>
      <c r="BM3293" s="2165"/>
      <c r="BN3293" s="2165"/>
      <c r="BO3293" s="2165"/>
      <c r="BP3293" s="2165"/>
      <c r="BQ3293" s="1734"/>
      <c r="BR3293" s="1734" t="s">
        <v>8163</v>
      </c>
      <c r="BS3293" s="2129">
        <f t="shared" si="235"/>
        <v>1789.9268891843296</v>
      </c>
    </row>
    <row r="3294" spans="2:71" ht="15.75">
      <c r="B3294" s="1970" t="s">
        <v>34</v>
      </c>
      <c r="C3294" s="1971">
        <v>95</v>
      </c>
      <c r="D3294" s="1971">
        <f>59+87+101+85</f>
        <v>332</v>
      </c>
      <c r="E3294" s="1971">
        <f>145+146+155+137</f>
        <v>583</v>
      </c>
      <c r="F3294" s="1971">
        <v>697</v>
      </c>
      <c r="G3294" s="1971">
        <v>816</v>
      </c>
      <c r="H3294" s="1972">
        <f>H3295*H3292</f>
        <v>842.735185</v>
      </c>
      <c r="I3294" s="1972">
        <f>I3295*I3292</f>
        <v>868.22760517500001</v>
      </c>
      <c r="J3294" s="1972">
        <f>J3295*J3292</f>
        <v>892.30842795656247</v>
      </c>
      <c r="K3294" s="1972">
        <f>K3295*K3292</f>
        <v>914.81394072244677</v>
      </c>
      <c r="L3294" s="1972">
        <f>L3295*L3292</f>
        <v>935.58736413649467</v>
      </c>
      <c r="M3294" s="1972">
        <f t="shared" ref="M3294:Q3294" si="236">M3295*M3292</f>
        <v>954.48063763897528</v>
      </c>
      <c r="N3294" s="1972">
        <f t="shared" si="236"/>
        <v>971.35614925310313</v>
      </c>
      <c r="O3294" s="1972">
        <f t="shared" si="236"/>
        <v>988.52316807218608</v>
      </c>
      <c r="P3294" s="1972">
        <f t="shared" si="236"/>
        <v>1005.9866423222595</v>
      </c>
      <c r="Q3294" s="1972">
        <f t="shared" si="236"/>
        <v>1023.7516030870189</v>
      </c>
      <c r="BA3294" s="2135" t="s">
        <v>34</v>
      </c>
      <c r="BB3294" s="2136">
        <f t="shared" ref="BB3294:BB3305" si="237">C3294</f>
        <v>95</v>
      </c>
      <c r="BC3294" s="2136">
        <f t="shared" ref="BC3294:BP3305" si="238">D3294</f>
        <v>332</v>
      </c>
      <c r="BD3294" s="2136">
        <f t="shared" si="238"/>
        <v>583</v>
      </c>
      <c r="BE3294" s="2136">
        <f t="shared" si="238"/>
        <v>697</v>
      </c>
      <c r="BF3294" s="2136">
        <f t="shared" si="238"/>
        <v>816</v>
      </c>
      <c r="BG3294" s="2164">
        <f t="shared" si="238"/>
        <v>842.735185</v>
      </c>
      <c r="BH3294" s="2164">
        <f t="shared" si="238"/>
        <v>868.22760517500001</v>
      </c>
      <c r="BI3294" s="2164">
        <f t="shared" si="238"/>
        <v>892.30842795656247</v>
      </c>
      <c r="BJ3294" s="2164">
        <f t="shared" si="238"/>
        <v>914.81394072244677</v>
      </c>
      <c r="BK3294" s="2164">
        <f t="shared" si="238"/>
        <v>935.58736413649467</v>
      </c>
      <c r="BL3294" s="2164">
        <f t="shared" si="238"/>
        <v>954.48063763897528</v>
      </c>
      <c r="BM3294" s="2164">
        <f t="shared" si="238"/>
        <v>971.35614925310313</v>
      </c>
      <c r="BN3294" s="2164">
        <f t="shared" si="238"/>
        <v>988.52316807218608</v>
      </c>
      <c r="BO3294" s="2164">
        <f t="shared" si="238"/>
        <v>1005.9866423222595</v>
      </c>
      <c r="BP3294" s="2164">
        <f t="shared" si="238"/>
        <v>1023.7516030870189</v>
      </c>
      <c r="BQ3294" s="1734"/>
      <c r="BR3294" s="1484" t="s">
        <v>679</v>
      </c>
      <c r="BS3294" s="1485">
        <f t="shared" si="235"/>
        <v>0.01</v>
      </c>
    </row>
    <row r="3295" spans="2:71" ht="15.75">
      <c r="B3295" s="1970" t="s">
        <v>731</v>
      </c>
      <c r="C3295" s="1978">
        <f>C3294/C3292</f>
        <v>3.4583181652712049E-2</v>
      </c>
      <c r="D3295" s="1978">
        <f>D3294/D3292</f>
        <v>0.10559796437659033</v>
      </c>
      <c r="E3295" s="1978">
        <f>E3294/E3292</f>
        <v>0.14827060020345881</v>
      </c>
      <c r="F3295" s="1978">
        <f>F3294/F3292</f>
        <v>0.16469754253308128</v>
      </c>
      <c r="G3295" s="1978">
        <f>G3294/G3292</f>
        <v>0.18634391413564741</v>
      </c>
      <c r="H3295" s="1979">
        <f>G3295+0.05%</f>
        <v>0.18684391413564741</v>
      </c>
      <c r="I3295" s="1979">
        <f t="shared" ref="I3295:Q3295" si="239">H3295+0.05%</f>
        <v>0.18734391413564741</v>
      </c>
      <c r="J3295" s="1979">
        <f t="shared" si="239"/>
        <v>0.18784391413564741</v>
      </c>
      <c r="K3295" s="1979">
        <f t="shared" si="239"/>
        <v>0.18834391413564741</v>
      </c>
      <c r="L3295" s="1979">
        <f t="shared" si="239"/>
        <v>0.18884391413564741</v>
      </c>
      <c r="M3295" s="1979">
        <f t="shared" si="239"/>
        <v>0.18934391413564741</v>
      </c>
      <c r="N3295" s="1979">
        <f t="shared" si="239"/>
        <v>0.18984391413564741</v>
      </c>
      <c r="O3295" s="1979">
        <f t="shared" si="239"/>
        <v>0.19034391413564741</v>
      </c>
      <c r="P3295" s="1979">
        <f t="shared" si="239"/>
        <v>0.19084391413564741</v>
      </c>
      <c r="Q3295" s="1979">
        <f t="shared" si="239"/>
        <v>0.19134391413564741</v>
      </c>
      <c r="BA3295" s="2128" t="s">
        <v>731</v>
      </c>
      <c r="BB3295" s="2127">
        <f t="shared" si="237"/>
        <v>3.4583181652712049E-2</v>
      </c>
      <c r="BC3295" s="2127">
        <f t="shared" si="238"/>
        <v>0.10559796437659033</v>
      </c>
      <c r="BD3295" s="2127">
        <f t="shared" si="238"/>
        <v>0.14827060020345881</v>
      </c>
      <c r="BE3295" s="2127">
        <f t="shared" si="238"/>
        <v>0.16469754253308128</v>
      </c>
      <c r="BF3295" s="2127">
        <f t="shared" si="238"/>
        <v>0.18634391413564741</v>
      </c>
      <c r="BG3295" s="2166">
        <f t="shared" si="238"/>
        <v>0.18684391413564741</v>
      </c>
      <c r="BH3295" s="2166">
        <f t="shared" si="238"/>
        <v>0.18734391413564741</v>
      </c>
      <c r="BI3295" s="2166">
        <f t="shared" si="238"/>
        <v>0.18784391413564741</v>
      </c>
      <c r="BJ3295" s="2166">
        <f t="shared" si="238"/>
        <v>0.18834391413564741</v>
      </c>
      <c r="BK3295" s="2166">
        <f t="shared" si="238"/>
        <v>0.18884391413564741</v>
      </c>
      <c r="BL3295" s="2166">
        <f t="shared" si="238"/>
        <v>0.18934391413564741</v>
      </c>
      <c r="BM3295" s="2166">
        <f t="shared" si="238"/>
        <v>0.18984391413564741</v>
      </c>
      <c r="BN3295" s="2166">
        <f t="shared" si="238"/>
        <v>0.19034391413564741</v>
      </c>
      <c r="BO3295" s="2166">
        <f t="shared" si="238"/>
        <v>0.19084391413564741</v>
      </c>
      <c r="BP3295" s="2166">
        <f t="shared" si="238"/>
        <v>0.19134391413564741</v>
      </c>
      <c r="BQ3295" s="1734"/>
      <c r="BR3295" s="1734" t="s">
        <v>680</v>
      </c>
      <c r="BS3295" s="2131">
        <f t="shared" si="235"/>
        <v>9.9009900990099009</v>
      </c>
    </row>
    <row r="3296" spans="2:71" ht="15.75">
      <c r="B3296" s="1968" t="s">
        <v>552</v>
      </c>
      <c r="C3296" s="1971">
        <v>605</v>
      </c>
      <c r="D3296" s="1971">
        <v>658</v>
      </c>
      <c r="E3296" s="1971">
        <v>724</v>
      </c>
      <c r="F3296" s="1971">
        <v>657</v>
      </c>
      <c r="G3296" s="1971">
        <v>671</v>
      </c>
      <c r="H3296" s="1972">
        <f>H3297*H3292</f>
        <v>691.13</v>
      </c>
      <c r="I3296" s="1972">
        <f>I3297*I3292</f>
        <v>710.13607500000001</v>
      </c>
      <c r="J3296" s="1972">
        <f>J3297*J3292</f>
        <v>727.8894768749999</v>
      </c>
      <c r="K3296" s="1972">
        <f>K3297*K3292</f>
        <v>744.26699010468735</v>
      </c>
      <c r="L3296" s="1972">
        <f>L3297*L3292</f>
        <v>759.15232990678123</v>
      </c>
      <c r="M3296" s="1972">
        <f t="shared" ref="M3296:Q3296" si="240">M3297*M3292</f>
        <v>772.43749568014982</v>
      </c>
      <c r="N3296" s="1972">
        <f t="shared" si="240"/>
        <v>784.02405811535198</v>
      </c>
      <c r="O3296" s="1972">
        <f t="shared" si="240"/>
        <v>795.78441898708229</v>
      </c>
      <c r="P3296" s="1972">
        <f t="shared" si="240"/>
        <v>807.72118527188843</v>
      </c>
      <c r="Q3296" s="1972">
        <f t="shared" si="240"/>
        <v>819.83700305096659</v>
      </c>
      <c r="BA3296" s="1484" t="s">
        <v>552</v>
      </c>
      <c r="BB3296" s="2136">
        <f t="shared" si="237"/>
        <v>605</v>
      </c>
      <c r="BC3296" s="2136">
        <f t="shared" si="238"/>
        <v>658</v>
      </c>
      <c r="BD3296" s="2136">
        <f t="shared" si="238"/>
        <v>724</v>
      </c>
      <c r="BE3296" s="2136">
        <f t="shared" si="238"/>
        <v>657</v>
      </c>
      <c r="BF3296" s="2136">
        <f t="shared" si="238"/>
        <v>671</v>
      </c>
      <c r="BG3296" s="2164">
        <f t="shared" si="238"/>
        <v>691.13</v>
      </c>
      <c r="BH3296" s="2164">
        <f t="shared" si="238"/>
        <v>710.13607500000001</v>
      </c>
      <c r="BI3296" s="2164">
        <f t="shared" si="238"/>
        <v>727.8894768749999</v>
      </c>
      <c r="BJ3296" s="2164">
        <f t="shared" si="238"/>
        <v>744.26699010468735</v>
      </c>
      <c r="BK3296" s="2164">
        <f t="shared" si="238"/>
        <v>759.15232990678123</v>
      </c>
      <c r="BL3296" s="2164">
        <f t="shared" si="238"/>
        <v>772.43749568014982</v>
      </c>
      <c r="BM3296" s="2164">
        <f t="shared" si="238"/>
        <v>784.02405811535198</v>
      </c>
      <c r="BN3296" s="2164">
        <f t="shared" si="238"/>
        <v>795.78441898708229</v>
      </c>
      <c r="BO3296" s="2164">
        <f t="shared" si="238"/>
        <v>807.72118527188843</v>
      </c>
      <c r="BP3296" s="2164">
        <f t="shared" si="238"/>
        <v>819.83700305096659</v>
      </c>
      <c r="BQ3296" s="1734"/>
      <c r="BR3296" s="1484" t="s">
        <v>681</v>
      </c>
      <c r="BS3296" s="2137">
        <f t="shared" si="235"/>
        <v>3387.1639997161019</v>
      </c>
    </row>
    <row r="3297" spans="2:71" ht="15.75">
      <c r="B3297" s="1968" t="s">
        <v>1039</v>
      </c>
      <c r="C3297" s="1978">
        <f>C3296/C3292</f>
        <v>0.22024026210411357</v>
      </c>
      <c r="D3297" s="1978">
        <f>D3296/D3292</f>
        <v>0.20928753180661577</v>
      </c>
      <c r="E3297" s="1978">
        <f>E3296/E3292</f>
        <v>0.18413021363173956</v>
      </c>
      <c r="F3297" s="1978">
        <f>F3296/F3292</f>
        <v>0.15524574669187147</v>
      </c>
      <c r="G3297" s="1978">
        <f>G3296/G3292</f>
        <v>0.15323133135419045</v>
      </c>
      <c r="H3297" s="1979">
        <f>G3297</f>
        <v>0.15323133135419045</v>
      </c>
      <c r="I3297" s="1979">
        <f>H3297</f>
        <v>0.15323133135419045</v>
      </c>
      <c r="J3297" s="1979">
        <f>I3297</f>
        <v>0.15323133135419045</v>
      </c>
      <c r="K3297" s="1979">
        <f>J3297</f>
        <v>0.15323133135419045</v>
      </c>
      <c r="L3297" s="1979">
        <f>K3297</f>
        <v>0.15323133135419045</v>
      </c>
      <c r="M3297" s="1979">
        <f t="shared" ref="M3297:Q3297" si="241">L3297</f>
        <v>0.15323133135419045</v>
      </c>
      <c r="N3297" s="1979">
        <f t="shared" si="241"/>
        <v>0.15323133135419045</v>
      </c>
      <c r="O3297" s="1979">
        <f t="shared" si="241"/>
        <v>0.15323133135419045</v>
      </c>
      <c r="P3297" s="1979">
        <f t="shared" si="241"/>
        <v>0.15323133135419045</v>
      </c>
      <c r="Q3297" s="1979">
        <f t="shared" si="241"/>
        <v>0.15323133135419045</v>
      </c>
      <c r="BA3297" s="1734" t="s">
        <v>1039</v>
      </c>
      <c r="BB3297" s="2127">
        <f t="shared" si="237"/>
        <v>0.22024026210411357</v>
      </c>
      <c r="BC3297" s="2127">
        <f t="shared" si="238"/>
        <v>0.20928753180661577</v>
      </c>
      <c r="BD3297" s="2127">
        <f t="shared" si="238"/>
        <v>0.18413021363173956</v>
      </c>
      <c r="BE3297" s="2127">
        <f t="shared" si="238"/>
        <v>0.15524574669187147</v>
      </c>
      <c r="BF3297" s="2127">
        <f t="shared" si="238"/>
        <v>0.15323133135419045</v>
      </c>
      <c r="BG3297" s="2166">
        <f t="shared" si="238"/>
        <v>0.15323133135419045</v>
      </c>
      <c r="BH3297" s="2166">
        <f t="shared" si="238"/>
        <v>0.15323133135419045</v>
      </c>
      <c r="BI3297" s="2166">
        <f t="shared" si="238"/>
        <v>0.15323133135419045</v>
      </c>
      <c r="BJ3297" s="2166">
        <f t="shared" si="238"/>
        <v>0.15323133135419045</v>
      </c>
      <c r="BK3297" s="2166">
        <f t="shared" si="238"/>
        <v>0.15323133135419045</v>
      </c>
      <c r="BL3297" s="2166">
        <f t="shared" si="238"/>
        <v>0.15323133135419045</v>
      </c>
      <c r="BM3297" s="2166">
        <f t="shared" si="238"/>
        <v>0.15323133135419045</v>
      </c>
      <c r="BN3297" s="2166">
        <f t="shared" si="238"/>
        <v>0.15323133135419045</v>
      </c>
      <c r="BO3297" s="2166">
        <f t="shared" si="238"/>
        <v>0.15323133135419045</v>
      </c>
      <c r="BP3297" s="2166">
        <f t="shared" si="238"/>
        <v>0.15323133135419045</v>
      </c>
      <c r="BQ3297" s="1734"/>
      <c r="BR3297" s="1734" t="s">
        <v>682</v>
      </c>
      <c r="BS3297" s="2129">
        <f t="shared" si="235"/>
        <v>1313.438354885109</v>
      </c>
    </row>
    <row r="3298" spans="2:71" ht="15.75">
      <c r="B3298" s="1970" t="s">
        <v>8082</v>
      </c>
      <c r="C3298" s="1972">
        <f>C3294-C3296</f>
        <v>-510</v>
      </c>
      <c r="D3298" s="1972">
        <f>D3294-D3296</f>
        <v>-326</v>
      </c>
      <c r="E3298" s="1972">
        <f>E3294-E3296</f>
        <v>-141</v>
      </c>
      <c r="F3298" s="1972">
        <f t="shared" ref="F3298:L3298" si="242">F3294-F3296</f>
        <v>40</v>
      </c>
      <c r="G3298" s="1972">
        <f t="shared" si="242"/>
        <v>145</v>
      </c>
      <c r="H3298" s="1972">
        <f t="shared" si="242"/>
        <v>151.60518500000001</v>
      </c>
      <c r="I3298" s="1972">
        <f t="shared" si="242"/>
        <v>158.091530175</v>
      </c>
      <c r="J3298" s="1972">
        <f t="shared" si="242"/>
        <v>164.41895108156257</v>
      </c>
      <c r="K3298" s="1972">
        <f t="shared" si="242"/>
        <v>170.54695061775942</v>
      </c>
      <c r="L3298" s="1972">
        <f t="shared" si="242"/>
        <v>176.43503422971344</v>
      </c>
      <c r="M3298" s="1972">
        <f t="shared" ref="M3298:Q3298" si="243">M3294-M3296</f>
        <v>182.04314195882546</v>
      </c>
      <c r="N3298" s="1972">
        <f t="shared" si="243"/>
        <v>187.33209113775115</v>
      </c>
      <c r="O3298" s="1972">
        <f t="shared" si="243"/>
        <v>192.73874908510379</v>
      </c>
      <c r="P3298" s="1972">
        <f t="shared" si="243"/>
        <v>198.26545705037108</v>
      </c>
      <c r="Q3298" s="1972">
        <f t="shared" si="243"/>
        <v>203.91460003605232</v>
      </c>
      <c r="BA3298" s="2135" t="s">
        <v>8082</v>
      </c>
      <c r="BB3298" s="2137">
        <f t="shared" si="237"/>
        <v>-510</v>
      </c>
      <c r="BC3298" s="2137">
        <f t="shared" si="238"/>
        <v>-326</v>
      </c>
      <c r="BD3298" s="2137">
        <f t="shared" si="238"/>
        <v>-141</v>
      </c>
      <c r="BE3298" s="2137">
        <f t="shared" si="238"/>
        <v>40</v>
      </c>
      <c r="BF3298" s="2137">
        <f t="shared" si="238"/>
        <v>145</v>
      </c>
      <c r="BG3298" s="2164">
        <f t="shared" si="238"/>
        <v>151.60518500000001</v>
      </c>
      <c r="BH3298" s="2164">
        <f t="shared" si="238"/>
        <v>158.091530175</v>
      </c>
      <c r="BI3298" s="2164">
        <f t="shared" si="238"/>
        <v>164.41895108156257</v>
      </c>
      <c r="BJ3298" s="2164">
        <f t="shared" si="238"/>
        <v>170.54695061775942</v>
      </c>
      <c r="BK3298" s="2164">
        <f t="shared" si="238"/>
        <v>176.43503422971344</v>
      </c>
      <c r="BL3298" s="2164">
        <f t="shared" si="238"/>
        <v>182.04314195882546</v>
      </c>
      <c r="BM3298" s="2164">
        <f t="shared" si="238"/>
        <v>187.33209113775115</v>
      </c>
      <c r="BN3298" s="2164">
        <f t="shared" si="238"/>
        <v>192.73874908510379</v>
      </c>
      <c r="BO3298" s="2164">
        <f t="shared" si="238"/>
        <v>198.26545705037108</v>
      </c>
      <c r="BP3298" s="2164">
        <f t="shared" si="238"/>
        <v>203.91460003605232</v>
      </c>
      <c r="BQ3298" s="1734"/>
      <c r="BR3298" s="1486" t="s">
        <v>77</v>
      </c>
      <c r="BS3298" s="2138">
        <f t="shared" si="235"/>
        <v>3103.3652440694386</v>
      </c>
    </row>
    <row r="3299" spans="2:71" ht="15.75">
      <c r="B3299" s="1970" t="s">
        <v>731</v>
      </c>
      <c r="C3299" s="1978">
        <f>C3298/C3292</f>
        <v>-0.18565708045140153</v>
      </c>
      <c r="D3299" s="1978">
        <f t="shared" ref="D3299:L3299" si="244">D3298/D3292</f>
        <v>-0.10368956743002544</v>
      </c>
      <c r="E3299" s="1978">
        <f t="shared" si="244"/>
        <v>-3.585961342828077E-2</v>
      </c>
      <c r="F3299" s="1978">
        <f t="shared" si="244"/>
        <v>9.4517958412098299E-3</v>
      </c>
      <c r="G3299" s="1978">
        <f t="shared" si="244"/>
        <v>3.3112582781456956E-2</v>
      </c>
      <c r="H3299" s="1978">
        <f t="shared" si="244"/>
        <v>3.3612582781456957E-2</v>
      </c>
      <c r="I3299" s="1978">
        <f t="shared" si="244"/>
        <v>3.4112582781456957E-2</v>
      </c>
      <c r="J3299" s="1978">
        <f t="shared" si="244"/>
        <v>3.4612582781456971E-2</v>
      </c>
      <c r="K3299" s="1978">
        <f t="shared" si="244"/>
        <v>3.5112582781456965E-2</v>
      </c>
      <c r="L3299" s="1978">
        <f t="shared" si="244"/>
        <v>3.5612582781456938E-2</v>
      </c>
      <c r="M3299" s="1978">
        <f t="shared" ref="M3299:Q3299" si="245">M3298/M3292</f>
        <v>3.6112582781456959E-2</v>
      </c>
      <c r="N3299" s="1978">
        <f t="shared" si="245"/>
        <v>3.6612582781456966E-2</v>
      </c>
      <c r="O3299" s="1978">
        <f t="shared" si="245"/>
        <v>3.7112582781456946E-2</v>
      </c>
      <c r="P3299" s="1978">
        <f t="shared" si="245"/>
        <v>3.7612582781456946E-2</v>
      </c>
      <c r="Q3299" s="1978">
        <f t="shared" si="245"/>
        <v>3.8112582781456961E-2</v>
      </c>
      <c r="BA3299" s="2128" t="s">
        <v>731</v>
      </c>
      <c r="BB3299" s="2127">
        <f t="shared" si="237"/>
        <v>-0.18565708045140153</v>
      </c>
      <c r="BC3299" s="2127">
        <f t="shared" si="238"/>
        <v>-0.10368956743002544</v>
      </c>
      <c r="BD3299" s="2127">
        <f t="shared" si="238"/>
        <v>-3.585961342828077E-2</v>
      </c>
      <c r="BE3299" s="2127">
        <f t="shared" si="238"/>
        <v>9.4517958412098299E-3</v>
      </c>
      <c r="BF3299" s="2127">
        <f t="shared" si="238"/>
        <v>3.3112582781456956E-2</v>
      </c>
      <c r="BG3299" s="2166">
        <f t="shared" si="238"/>
        <v>3.3612582781456957E-2</v>
      </c>
      <c r="BH3299" s="2166">
        <f t="shared" si="238"/>
        <v>3.4112582781456957E-2</v>
      </c>
      <c r="BI3299" s="2166">
        <f t="shared" si="238"/>
        <v>3.4612582781456971E-2</v>
      </c>
      <c r="BJ3299" s="2166">
        <f t="shared" si="238"/>
        <v>3.5112582781456965E-2</v>
      </c>
      <c r="BK3299" s="2166">
        <f t="shared" si="238"/>
        <v>3.5612582781456938E-2</v>
      </c>
      <c r="BL3299" s="2166">
        <f t="shared" si="238"/>
        <v>3.6112582781456959E-2</v>
      </c>
      <c r="BM3299" s="2166">
        <f t="shared" si="238"/>
        <v>3.6612582781456966E-2</v>
      </c>
      <c r="BN3299" s="2166">
        <f t="shared" si="238"/>
        <v>3.7112582781456946E-2</v>
      </c>
      <c r="BO3299" s="2166">
        <f t="shared" si="238"/>
        <v>3.7612582781456946E-2</v>
      </c>
      <c r="BP3299" s="2166">
        <f t="shared" si="238"/>
        <v>3.8112582781456961E-2</v>
      </c>
      <c r="BQ3299" s="1734"/>
      <c r="BR3299" s="1734" t="s">
        <v>271</v>
      </c>
      <c r="BS3299" s="2129">
        <f>C3318</f>
        <v>0</v>
      </c>
    </row>
    <row r="3300" spans="2:71" ht="15.75">
      <c r="B3300" s="1970" t="s">
        <v>35</v>
      </c>
      <c r="C3300" s="1971">
        <v>319</v>
      </c>
      <c r="D3300" s="1971">
        <v>360</v>
      </c>
      <c r="E3300" s="1971">
        <v>298</v>
      </c>
      <c r="F3300" s="1971">
        <v>269</v>
      </c>
      <c r="G3300" s="1971">
        <v>276</v>
      </c>
      <c r="H3300" s="1972">
        <f>H3301*H3292</f>
        <v>315.72590000000002</v>
      </c>
      <c r="I3300" s="1972">
        <f>I3301*I3292</f>
        <v>370.75241399999999</v>
      </c>
      <c r="J3300" s="1972">
        <f>J3301*J3292</f>
        <v>427.52387739374996</v>
      </c>
      <c r="K3300" s="1972">
        <f>K3301*K3292</f>
        <v>485.71462737234373</v>
      </c>
      <c r="L3300" s="1972">
        <f>L3301*L3292</f>
        <v>495.42891991979059</v>
      </c>
      <c r="M3300" s="1972">
        <f t="shared" ref="M3300:Q3300" si="246">M3301*M3292</f>
        <v>504.09892601838692</v>
      </c>
      <c r="N3300" s="1972">
        <f t="shared" si="246"/>
        <v>511.6604099086627</v>
      </c>
      <c r="O3300" s="1972">
        <f t="shared" si="246"/>
        <v>519.33531605729263</v>
      </c>
      <c r="P3300" s="1972">
        <f t="shared" si="246"/>
        <v>527.1253457981519</v>
      </c>
      <c r="Q3300" s="1972">
        <f t="shared" si="246"/>
        <v>535.03222598512411</v>
      </c>
      <c r="BA3300" s="2135" t="s">
        <v>35</v>
      </c>
      <c r="BB3300" s="2136">
        <f t="shared" si="237"/>
        <v>319</v>
      </c>
      <c r="BC3300" s="2136">
        <f t="shared" si="238"/>
        <v>360</v>
      </c>
      <c r="BD3300" s="2136">
        <f t="shared" si="238"/>
        <v>298</v>
      </c>
      <c r="BE3300" s="2136">
        <f t="shared" si="238"/>
        <v>269</v>
      </c>
      <c r="BF3300" s="2136">
        <f t="shared" si="238"/>
        <v>276</v>
      </c>
      <c r="BG3300" s="2164">
        <f t="shared" si="238"/>
        <v>315.72590000000002</v>
      </c>
      <c r="BH3300" s="2164">
        <f t="shared" si="238"/>
        <v>370.75241399999999</v>
      </c>
      <c r="BI3300" s="2164">
        <f t="shared" si="238"/>
        <v>427.52387739374996</v>
      </c>
      <c r="BJ3300" s="2164">
        <f t="shared" si="238"/>
        <v>485.71462737234373</v>
      </c>
      <c r="BK3300" s="2164">
        <f t="shared" si="238"/>
        <v>495.42891991979059</v>
      </c>
      <c r="BL3300" s="2164">
        <f t="shared" si="238"/>
        <v>504.09892601838692</v>
      </c>
      <c r="BM3300" s="2164">
        <f t="shared" si="238"/>
        <v>511.6604099086627</v>
      </c>
      <c r="BN3300" s="2164">
        <f t="shared" si="238"/>
        <v>519.33531605729263</v>
      </c>
      <c r="BO3300" s="2164">
        <f t="shared" si="238"/>
        <v>527.1253457981519</v>
      </c>
      <c r="BP3300" s="2164">
        <f t="shared" si="238"/>
        <v>535.03222598512411</v>
      </c>
      <c r="BQ3300" s="1734"/>
      <c r="BR3300" s="1486" t="s">
        <v>8204</v>
      </c>
      <c r="BS3300" s="2138">
        <f>C3319</f>
        <v>3103.3652440694386</v>
      </c>
    </row>
    <row r="3301" spans="2:71" ht="15.75">
      <c r="B3301" s="1970" t="s">
        <v>1143</v>
      </c>
      <c r="C3301" s="1978">
        <f>C3300/C3292</f>
        <v>0.11612668365489626</v>
      </c>
      <c r="D3301" s="1978">
        <f>D3300/D3292</f>
        <v>0.11450381679389313</v>
      </c>
      <c r="E3301" s="1978">
        <f>E3300/E3292</f>
        <v>7.5788402848423198E-2</v>
      </c>
      <c r="F3301" s="1978">
        <f>F3300/F3292</f>
        <v>6.3563327032136102E-2</v>
      </c>
      <c r="G3301" s="1978">
        <f>G3300/G3292</f>
        <v>6.3028088604704269E-2</v>
      </c>
      <c r="H3301" s="1979">
        <v>7.0000000000000007E-2</v>
      </c>
      <c r="I3301" s="1979">
        <v>0.08</v>
      </c>
      <c r="J3301" s="1979">
        <v>0.09</v>
      </c>
      <c r="K3301" s="1979">
        <v>0.1</v>
      </c>
      <c r="L3301" s="1979">
        <v>0.1</v>
      </c>
      <c r="M3301" s="1979">
        <v>0.1</v>
      </c>
      <c r="N3301" s="1979">
        <v>0.1</v>
      </c>
      <c r="O3301" s="1979">
        <v>0.1</v>
      </c>
      <c r="P3301" s="1979">
        <v>0.1</v>
      </c>
      <c r="Q3301" s="1979">
        <v>0.1</v>
      </c>
      <c r="BA3301" s="2128" t="s">
        <v>1143</v>
      </c>
      <c r="BB3301" s="2127">
        <f t="shared" si="237"/>
        <v>0.11612668365489626</v>
      </c>
      <c r="BC3301" s="2127">
        <f t="shared" si="238"/>
        <v>0.11450381679389313</v>
      </c>
      <c r="BD3301" s="2127">
        <f t="shared" si="238"/>
        <v>7.5788402848423198E-2</v>
      </c>
      <c r="BE3301" s="2127">
        <f t="shared" si="238"/>
        <v>6.3563327032136102E-2</v>
      </c>
      <c r="BF3301" s="2127">
        <f t="shared" si="238"/>
        <v>6.3028088604704269E-2</v>
      </c>
      <c r="BG3301" s="2166">
        <f t="shared" si="238"/>
        <v>7.0000000000000007E-2</v>
      </c>
      <c r="BH3301" s="2166">
        <f t="shared" si="238"/>
        <v>0.08</v>
      </c>
      <c r="BI3301" s="2166">
        <f t="shared" si="238"/>
        <v>0.09</v>
      </c>
      <c r="BJ3301" s="2166">
        <f t="shared" si="238"/>
        <v>0.1</v>
      </c>
      <c r="BK3301" s="2166">
        <f t="shared" si="238"/>
        <v>0.1</v>
      </c>
      <c r="BL3301" s="2166">
        <f t="shared" si="238"/>
        <v>0.1</v>
      </c>
      <c r="BM3301" s="2166">
        <f t="shared" si="238"/>
        <v>0.1</v>
      </c>
      <c r="BN3301" s="2166">
        <f t="shared" si="238"/>
        <v>0.1</v>
      </c>
      <c r="BO3301" s="2166">
        <f t="shared" si="238"/>
        <v>0.1</v>
      </c>
      <c r="BP3301" s="2166">
        <f t="shared" si="238"/>
        <v>0.1</v>
      </c>
      <c r="BQ3301" s="1734"/>
      <c r="BR3301" s="1734" t="s">
        <v>8127</v>
      </c>
      <c r="BS3301" s="2129">
        <f>C3320</f>
        <v>53533.050460197817</v>
      </c>
    </row>
    <row r="3302" spans="2:71" ht="15.75">
      <c r="B3302" s="1970" t="s">
        <v>36</v>
      </c>
      <c r="C3302" s="1972">
        <f t="shared" ref="C3302:L3302" si="247">C3294-C3300</f>
        <v>-224</v>
      </c>
      <c r="D3302" s="1972">
        <f t="shared" si="247"/>
        <v>-28</v>
      </c>
      <c r="E3302" s="1972">
        <f t="shared" si="247"/>
        <v>285</v>
      </c>
      <c r="F3302" s="1972">
        <f t="shared" si="247"/>
        <v>428</v>
      </c>
      <c r="G3302" s="1972">
        <f t="shared" si="247"/>
        <v>540</v>
      </c>
      <c r="H3302" s="1972">
        <f t="shared" si="247"/>
        <v>527.00928499999998</v>
      </c>
      <c r="I3302" s="1972">
        <f t="shared" si="247"/>
        <v>497.47519117500002</v>
      </c>
      <c r="J3302" s="1972">
        <f t="shared" si="247"/>
        <v>464.78455056281251</v>
      </c>
      <c r="K3302" s="1972">
        <f t="shared" si="247"/>
        <v>429.09931335010305</v>
      </c>
      <c r="L3302" s="1972">
        <f t="shared" si="247"/>
        <v>440.15844421670408</v>
      </c>
      <c r="M3302" s="1972">
        <f t="shared" ref="M3302:Q3302" si="248">M3294-M3300</f>
        <v>450.38171162058836</v>
      </c>
      <c r="N3302" s="1972">
        <f t="shared" si="248"/>
        <v>459.69573934444043</v>
      </c>
      <c r="O3302" s="1972">
        <f t="shared" si="248"/>
        <v>469.18785201489345</v>
      </c>
      <c r="P3302" s="1972">
        <f t="shared" si="248"/>
        <v>478.86129652410762</v>
      </c>
      <c r="Q3302" s="1972">
        <f t="shared" si="248"/>
        <v>488.71937710189479</v>
      </c>
      <c r="BA3302" s="2135" t="s">
        <v>36</v>
      </c>
      <c r="BB3302" s="2137">
        <f t="shared" si="237"/>
        <v>-224</v>
      </c>
      <c r="BC3302" s="2137">
        <f t="shared" si="238"/>
        <v>-28</v>
      </c>
      <c r="BD3302" s="2137">
        <f t="shared" si="238"/>
        <v>285</v>
      </c>
      <c r="BE3302" s="2137">
        <f t="shared" si="238"/>
        <v>428</v>
      </c>
      <c r="BF3302" s="2137">
        <f t="shared" si="238"/>
        <v>540</v>
      </c>
      <c r="BG3302" s="2164">
        <f t="shared" si="238"/>
        <v>527.00928499999998</v>
      </c>
      <c r="BH3302" s="2164">
        <f t="shared" si="238"/>
        <v>497.47519117500002</v>
      </c>
      <c r="BI3302" s="2164">
        <f t="shared" si="238"/>
        <v>464.78455056281251</v>
      </c>
      <c r="BJ3302" s="2164">
        <f t="shared" si="238"/>
        <v>429.09931335010305</v>
      </c>
      <c r="BK3302" s="2164">
        <f t="shared" si="238"/>
        <v>440.15844421670408</v>
      </c>
      <c r="BL3302" s="2164">
        <f t="shared" si="238"/>
        <v>450.38171162058836</v>
      </c>
      <c r="BM3302" s="2164">
        <f t="shared" si="238"/>
        <v>459.69573934444043</v>
      </c>
      <c r="BN3302" s="2164">
        <f t="shared" si="238"/>
        <v>469.18785201489345</v>
      </c>
      <c r="BO3302" s="2164">
        <f t="shared" si="238"/>
        <v>478.86129652410762</v>
      </c>
      <c r="BP3302" s="2164">
        <f t="shared" si="238"/>
        <v>488.71937710189479</v>
      </c>
      <c r="BQ3302" s="1734"/>
      <c r="BR3302" s="1484"/>
      <c r="BS3302" s="2137"/>
    </row>
    <row r="3303" spans="2:71" ht="15.75">
      <c r="B3303" s="1970" t="s">
        <v>1143</v>
      </c>
      <c r="C3303" s="1973">
        <f t="shared" ref="C3303:L3303" si="249">C3302/C3292</f>
        <v>-8.1543502002184201E-2</v>
      </c>
      <c r="D3303" s="1973">
        <f t="shared" si="249"/>
        <v>-8.9058524173027988E-3</v>
      </c>
      <c r="E3303" s="1973">
        <f t="shared" si="249"/>
        <v>7.248219735503561E-2</v>
      </c>
      <c r="F3303" s="1973">
        <f t="shared" si="249"/>
        <v>0.10113421550094517</v>
      </c>
      <c r="G3303" s="1973">
        <f t="shared" si="249"/>
        <v>0.12331582553094314</v>
      </c>
      <c r="H3303" s="1973">
        <f t="shared" si="249"/>
        <v>0.1168439141356474</v>
      </c>
      <c r="I3303" s="1973">
        <f t="shared" si="249"/>
        <v>0.10734391413564741</v>
      </c>
      <c r="J3303" s="1973">
        <f t="shared" si="249"/>
        <v>9.7843914135647414E-2</v>
      </c>
      <c r="K3303" s="1973">
        <f t="shared" si="249"/>
        <v>8.8343914135647406E-2</v>
      </c>
      <c r="L3303" s="1973">
        <f t="shared" si="249"/>
        <v>8.8843914135647406E-2</v>
      </c>
      <c r="M3303" s="1973">
        <f t="shared" ref="M3303:Q3303" si="250">M3302/M3292</f>
        <v>8.9343914135647406E-2</v>
      </c>
      <c r="N3303" s="1973">
        <f t="shared" si="250"/>
        <v>8.9843914135647407E-2</v>
      </c>
      <c r="O3303" s="1973">
        <f t="shared" si="250"/>
        <v>9.0343914135647393E-2</v>
      </c>
      <c r="P3303" s="1973">
        <f t="shared" si="250"/>
        <v>9.0843914135647408E-2</v>
      </c>
      <c r="Q3303" s="1973">
        <f t="shared" si="250"/>
        <v>9.1343914135647408E-2</v>
      </c>
      <c r="BA3303" s="2128" t="s">
        <v>1143</v>
      </c>
      <c r="BB3303" s="2130">
        <f t="shared" si="237"/>
        <v>-8.1543502002184201E-2</v>
      </c>
      <c r="BC3303" s="2130">
        <f t="shared" si="238"/>
        <v>-8.9058524173027988E-3</v>
      </c>
      <c r="BD3303" s="2130">
        <f t="shared" si="238"/>
        <v>7.248219735503561E-2</v>
      </c>
      <c r="BE3303" s="2130">
        <f t="shared" si="238"/>
        <v>0.10113421550094517</v>
      </c>
      <c r="BF3303" s="2130">
        <f t="shared" si="238"/>
        <v>0.12331582553094314</v>
      </c>
      <c r="BG3303" s="2165">
        <f t="shared" si="238"/>
        <v>0.1168439141356474</v>
      </c>
      <c r="BH3303" s="2165">
        <f t="shared" si="238"/>
        <v>0.10734391413564741</v>
      </c>
      <c r="BI3303" s="2165">
        <f t="shared" si="238"/>
        <v>9.7843914135647414E-2</v>
      </c>
      <c r="BJ3303" s="2165">
        <f t="shared" si="238"/>
        <v>8.8343914135647406E-2</v>
      </c>
      <c r="BK3303" s="2165">
        <f t="shared" si="238"/>
        <v>8.8843914135647406E-2</v>
      </c>
      <c r="BL3303" s="2165">
        <f t="shared" si="238"/>
        <v>8.9343914135647406E-2</v>
      </c>
      <c r="BM3303" s="2165">
        <f t="shared" si="238"/>
        <v>8.9843914135647407E-2</v>
      </c>
      <c r="BN3303" s="2165">
        <f t="shared" si="238"/>
        <v>9.0343914135647393E-2</v>
      </c>
      <c r="BO3303" s="2165">
        <f t="shared" si="238"/>
        <v>9.0843914135647408E-2</v>
      </c>
      <c r="BP3303" s="2165">
        <f t="shared" si="238"/>
        <v>9.1343914135647408E-2</v>
      </c>
      <c r="BQ3303" s="1734"/>
      <c r="BR3303" s="1734" t="str">
        <f>B3336</f>
        <v>Synergies (50%)</v>
      </c>
      <c r="BS3303" s="2129">
        <f>E3336</f>
        <v>209.9046556327157</v>
      </c>
    </row>
    <row r="3304" spans="2:71" ht="15.75">
      <c r="B3304" s="1970" t="s">
        <v>8083</v>
      </c>
      <c r="C3304" s="1975">
        <v>0.3</v>
      </c>
      <c r="D3304" s="1975">
        <v>0.3</v>
      </c>
      <c r="E3304" s="1975">
        <v>0.3</v>
      </c>
      <c r="F3304" s="1975">
        <v>0.3</v>
      </c>
      <c r="G3304" s="1975">
        <v>0.3</v>
      </c>
      <c r="H3304" s="1974">
        <f>G3304</f>
        <v>0.3</v>
      </c>
      <c r="I3304" s="1974">
        <f>H3304</f>
        <v>0.3</v>
      </c>
      <c r="J3304" s="1974">
        <f>I3304</f>
        <v>0.3</v>
      </c>
      <c r="K3304" s="1974">
        <f>J3304</f>
        <v>0.3</v>
      </c>
      <c r="L3304" s="1974">
        <f>K3304</f>
        <v>0.3</v>
      </c>
      <c r="M3304" s="1974">
        <f t="shared" ref="M3304:Q3304" si="251">L3304</f>
        <v>0.3</v>
      </c>
      <c r="N3304" s="1974">
        <f t="shared" si="251"/>
        <v>0.3</v>
      </c>
      <c r="O3304" s="1974">
        <f t="shared" si="251"/>
        <v>0.3</v>
      </c>
      <c r="P3304" s="1974">
        <f t="shared" si="251"/>
        <v>0.3</v>
      </c>
      <c r="Q3304" s="1974">
        <f t="shared" si="251"/>
        <v>0.3</v>
      </c>
      <c r="BA3304" s="2135" t="s">
        <v>8083</v>
      </c>
      <c r="BB3304" s="2139">
        <f t="shared" si="237"/>
        <v>0.3</v>
      </c>
      <c r="BC3304" s="2139">
        <f t="shared" si="238"/>
        <v>0.3</v>
      </c>
      <c r="BD3304" s="2139">
        <f t="shared" si="238"/>
        <v>0.3</v>
      </c>
      <c r="BE3304" s="2139">
        <f t="shared" si="238"/>
        <v>0.3</v>
      </c>
      <c r="BF3304" s="2139">
        <f t="shared" si="238"/>
        <v>0.3</v>
      </c>
      <c r="BG3304" s="2167">
        <f t="shared" si="238"/>
        <v>0.3</v>
      </c>
      <c r="BH3304" s="2167">
        <f t="shared" si="238"/>
        <v>0.3</v>
      </c>
      <c r="BI3304" s="2167">
        <f t="shared" si="238"/>
        <v>0.3</v>
      </c>
      <c r="BJ3304" s="2167">
        <f t="shared" si="238"/>
        <v>0.3</v>
      </c>
      <c r="BK3304" s="2167">
        <f t="shared" si="238"/>
        <v>0.3</v>
      </c>
      <c r="BL3304" s="2167">
        <f t="shared" si="238"/>
        <v>0.3</v>
      </c>
      <c r="BM3304" s="2167">
        <f t="shared" si="238"/>
        <v>0.3</v>
      </c>
      <c r="BN3304" s="2167">
        <f t="shared" si="238"/>
        <v>0.3</v>
      </c>
      <c r="BO3304" s="2167">
        <f t="shared" si="238"/>
        <v>0.3</v>
      </c>
      <c r="BP3304" s="2167">
        <f t="shared" si="238"/>
        <v>0.3</v>
      </c>
      <c r="BQ3304" s="1734"/>
      <c r="BR3304" s="1486" t="str">
        <f>B3338</f>
        <v>Equity post synergies sharing $m</v>
      </c>
      <c r="BS3304" s="2138">
        <f>C3338</f>
        <v>3313.2698997021544</v>
      </c>
    </row>
    <row r="3305" spans="2:71" ht="15.75">
      <c r="B3305" s="1970" t="s">
        <v>47</v>
      </c>
      <c r="C3305" s="1972">
        <f>(1-C3304)*C3302</f>
        <v>-156.79999999999998</v>
      </c>
      <c r="D3305" s="1972">
        <f>(1-D3304)*D3302</f>
        <v>-19.599999999999998</v>
      </c>
      <c r="E3305" s="1972">
        <f t="shared" ref="E3305:J3305" si="252">(1-E3304)*E3302</f>
        <v>199.5</v>
      </c>
      <c r="F3305" s="1972">
        <f t="shared" si="252"/>
        <v>299.59999999999997</v>
      </c>
      <c r="G3305" s="1972">
        <f t="shared" si="252"/>
        <v>378</v>
      </c>
      <c r="H3305" s="1972">
        <f t="shared" si="252"/>
        <v>368.90649949999994</v>
      </c>
      <c r="I3305" s="1972">
        <f t="shared" si="252"/>
        <v>348.23263382250002</v>
      </c>
      <c r="J3305" s="1972">
        <f t="shared" si="252"/>
        <v>325.34918539396875</v>
      </c>
      <c r="K3305" s="1972">
        <f>(1-K3304)*K3302</f>
        <v>300.36951934507209</v>
      </c>
      <c r="L3305" s="1972">
        <f>(1-L3304)*L3302</f>
        <v>308.11091095169286</v>
      </c>
      <c r="M3305" s="1972">
        <f t="shared" ref="M3305:Q3305" si="253">(1-M3304)*M3302</f>
        <v>315.26719813441184</v>
      </c>
      <c r="N3305" s="1972">
        <f t="shared" si="253"/>
        <v>321.7870175411083</v>
      </c>
      <c r="O3305" s="1972">
        <f t="shared" si="253"/>
        <v>328.43149641042538</v>
      </c>
      <c r="P3305" s="1972">
        <f t="shared" si="253"/>
        <v>335.2029075668753</v>
      </c>
      <c r="Q3305" s="1972">
        <f t="shared" si="253"/>
        <v>342.10356397132631</v>
      </c>
      <c r="BA3305" s="2128" t="s">
        <v>47</v>
      </c>
      <c r="BB3305" s="2129">
        <f t="shared" si="237"/>
        <v>-156.79999999999998</v>
      </c>
      <c r="BC3305" s="2129">
        <f t="shared" si="238"/>
        <v>-19.599999999999998</v>
      </c>
      <c r="BD3305" s="2129">
        <f t="shared" si="238"/>
        <v>199.5</v>
      </c>
      <c r="BE3305" s="2129">
        <f t="shared" si="238"/>
        <v>299.59999999999997</v>
      </c>
      <c r="BF3305" s="2129">
        <f t="shared" si="238"/>
        <v>378</v>
      </c>
      <c r="BG3305" s="2168">
        <f t="shared" si="238"/>
        <v>368.90649949999994</v>
      </c>
      <c r="BH3305" s="2168">
        <f t="shared" si="238"/>
        <v>348.23263382250002</v>
      </c>
      <c r="BI3305" s="2168">
        <f t="shared" si="238"/>
        <v>325.34918539396875</v>
      </c>
      <c r="BJ3305" s="2168">
        <f t="shared" si="238"/>
        <v>300.36951934507209</v>
      </c>
      <c r="BK3305" s="2168">
        <f t="shared" si="238"/>
        <v>308.11091095169286</v>
      </c>
      <c r="BL3305" s="2168">
        <f t="shared" si="238"/>
        <v>315.26719813441184</v>
      </c>
      <c r="BM3305" s="2168">
        <f t="shared" si="238"/>
        <v>321.7870175411083</v>
      </c>
      <c r="BN3305" s="2168">
        <f t="shared" si="238"/>
        <v>328.43149641042538</v>
      </c>
      <c r="BO3305" s="2168">
        <f t="shared" si="238"/>
        <v>335.2029075668753</v>
      </c>
      <c r="BP3305" s="2168">
        <f t="shared" si="238"/>
        <v>342.10356397132631</v>
      </c>
      <c r="BQ3305" s="1734"/>
      <c r="BR3305" s="1734" t="s">
        <v>8215</v>
      </c>
      <c r="BS3305" s="2129">
        <f>C3337</f>
        <v>57153.905769862162</v>
      </c>
    </row>
    <row r="3306" spans="2:71">
      <c r="B3306" s="1968"/>
      <c r="C3306" s="1968"/>
      <c r="D3306" s="1968"/>
      <c r="E3306" s="1968"/>
      <c r="F3306" s="1968"/>
      <c r="G3306" s="1968"/>
      <c r="H3306" s="1968"/>
      <c r="BA3306" s="1968"/>
      <c r="BB3306" s="1968"/>
      <c r="BC3306" s="1968"/>
      <c r="BD3306" s="1968"/>
      <c r="BE3306" s="1968"/>
      <c r="BF3306" s="1968"/>
      <c r="BG3306" s="1968"/>
    </row>
    <row r="3307" spans="2:71">
      <c r="B3307" s="685" t="s">
        <v>110</v>
      </c>
      <c r="C3307" s="933">
        <v>0.111</v>
      </c>
      <c r="D3307" s="1968" t="s">
        <v>1994</v>
      </c>
      <c r="E3307" s="1968"/>
      <c r="F3307" s="1968"/>
      <c r="G3307" s="1968"/>
      <c r="H3307" s="1968"/>
      <c r="BC3307" s="1968"/>
      <c r="BD3307" s="1968"/>
      <c r="BE3307" s="1968"/>
      <c r="BF3307" s="1968"/>
      <c r="BG3307" s="1968"/>
    </row>
    <row r="3308" spans="2:71">
      <c r="B3308" s="685" t="s">
        <v>8163</v>
      </c>
      <c r="C3308" s="795">
        <f>NPV(C3307,I3305:Q3305)</f>
        <v>1789.9268891843296</v>
      </c>
      <c r="D3308" s="1968"/>
      <c r="E3308" s="1968"/>
      <c r="F3308" s="1968"/>
      <c r="G3308" s="1968"/>
      <c r="H3308" s="1968"/>
      <c r="BC3308" s="1968"/>
      <c r="BD3308" s="1968"/>
      <c r="BE3308" s="1968"/>
      <c r="BF3308" s="1968"/>
      <c r="BG3308" s="1968"/>
    </row>
    <row r="3309" spans="2:71">
      <c r="B3309" s="685" t="s">
        <v>679</v>
      </c>
      <c r="C3309" s="933">
        <v>0.01</v>
      </c>
      <c r="D3309" s="1968"/>
      <c r="E3309" s="1968"/>
      <c r="F3309" s="1968"/>
      <c r="G3309" s="1968"/>
      <c r="H3309" s="1968"/>
      <c r="BC3309" s="1968"/>
      <c r="BD3309" s="1968"/>
      <c r="BE3309" s="1968"/>
      <c r="BF3309" s="1968"/>
      <c r="BG3309" s="1968"/>
    </row>
    <row r="3310" spans="2:71">
      <c r="B3310" s="685" t="s">
        <v>680</v>
      </c>
      <c r="C3310" s="790">
        <f>1/(C3307-C3309)</f>
        <v>9.9009900990099009</v>
      </c>
      <c r="D3310" s="1968"/>
      <c r="E3310" s="1968"/>
      <c r="F3310" s="1968"/>
      <c r="G3310" s="1968"/>
      <c r="H3310" s="1968"/>
      <c r="BC3310" s="1968"/>
      <c r="BD3310" s="1968"/>
      <c r="BE3310" s="1968"/>
      <c r="BF3310" s="1968"/>
      <c r="BG3310" s="1968"/>
    </row>
    <row r="3311" spans="2:71">
      <c r="B3311" s="685" t="s">
        <v>681</v>
      </c>
      <c r="C3311" s="795">
        <f>C3310*Q3305</f>
        <v>3387.1639997161019</v>
      </c>
      <c r="D3311" s="1968"/>
      <c r="E3311" s="1968"/>
      <c r="F3311" s="1968"/>
      <c r="G3311" s="1968"/>
      <c r="H3311" s="1968"/>
      <c r="BC3311" s="1968"/>
      <c r="BD3311" s="1968"/>
      <c r="BE3311" s="1968"/>
      <c r="BF3311" s="1968"/>
      <c r="BG3311" s="1968"/>
    </row>
    <row r="3312" spans="2:71">
      <c r="B3312" s="685" t="s">
        <v>682</v>
      </c>
      <c r="C3312" s="795">
        <f>C3311/(1+C3307)^9</f>
        <v>1313.438354885109</v>
      </c>
      <c r="D3312" s="1968"/>
      <c r="E3312" s="1968"/>
      <c r="F3312" s="1968"/>
      <c r="G3312" s="1968"/>
      <c r="H3312" s="1968"/>
    </row>
    <row r="3313" spans="2:70">
      <c r="B3313" s="1976" t="s">
        <v>77</v>
      </c>
      <c r="C3313" s="1977">
        <f>C3308+C3312</f>
        <v>3103.3652440694386</v>
      </c>
      <c r="D3313" s="2091"/>
      <c r="E3313" s="1968"/>
      <c r="F3313" s="1968"/>
      <c r="G3313" s="1968"/>
      <c r="H3313" s="1968"/>
    </row>
    <row r="3314" spans="2:70">
      <c r="B3314" s="1968"/>
      <c r="C3314" s="1972"/>
      <c r="D3314" s="1968"/>
      <c r="E3314" s="1968"/>
      <c r="F3314" s="1968"/>
      <c r="G3314" s="1968"/>
      <c r="H3314" s="1968"/>
    </row>
    <row r="3315" spans="2:70">
      <c r="B3315" s="2173" t="s">
        <v>8084</v>
      </c>
      <c r="C3315" s="2174">
        <f>Valuation!B5</f>
        <v>17.25</v>
      </c>
      <c r="D3315" s="1968"/>
      <c r="E3315" s="1968"/>
      <c r="F3315" s="1968"/>
      <c r="G3315" s="1968"/>
      <c r="H3315" s="1968"/>
    </row>
    <row r="3316" spans="2:70">
      <c r="B3316" s="2175" t="s">
        <v>8126</v>
      </c>
      <c r="C3316" s="2176">
        <f>C3313*C3315</f>
        <v>53533.050460197817</v>
      </c>
      <c r="D3316" s="1968"/>
      <c r="E3316" s="1968"/>
      <c r="F3316" s="1968"/>
      <c r="G3316" s="1968"/>
      <c r="H3316" s="1968"/>
    </row>
    <row r="3317" spans="2:70">
      <c r="B3317" s="1968"/>
      <c r="C3317" s="1972"/>
      <c r="D3317" s="1968"/>
      <c r="E3317" s="1968"/>
      <c r="F3317" s="1968"/>
      <c r="G3317" s="1968"/>
      <c r="H3317" s="1968"/>
    </row>
    <row r="3318" spans="2:70">
      <c r="B3318" s="685" t="s">
        <v>271</v>
      </c>
      <c r="C3318" s="910">
        <v>0</v>
      </c>
      <c r="D3318" s="1968"/>
      <c r="E3318" s="1968"/>
      <c r="F3318" s="1968"/>
      <c r="G3318" s="1968"/>
      <c r="H3318" s="1968"/>
    </row>
    <row r="3319" spans="2:70">
      <c r="B3319" s="817" t="s">
        <v>79</v>
      </c>
      <c r="C3319" s="818">
        <f>C3313-C3318</f>
        <v>3103.3652440694386</v>
      </c>
      <c r="D3319" s="1968"/>
      <c r="E3319" s="1968"/>
      <c r="F3319" s="1968"/>
      <c r="G3319" s="1968"/>
      <c r="H3319" s="1968"/>
    </row>
    <row r="3320" spans="2:70">
      <c r="B3320" s="2177" t="s">
        <v>8127</v>
      </c>
      <c r="C3320" s="2178">
        <f>C3319*C3315</f>
        <v>53533.050460197817</v>
      </c>
      <c r="D3320" s="1968"/>
      <c r="E3320" s="1968"/>
      <c r="F3320" s="1968"/>
      <c r="G3320" s="1968"/>
      <c r="H3320" s="1968"/>
    </row>
    <row r="3321" spans="2:70">
      <c r="B3321" s="1968"/>
      <c r="C3321" s="1972"/>
      <c r="D3321" s="1968"/>
      <c r="E3321" s="1968"/>
      <c r="F3321" s="1968"/>
      <c r="G3321" s="1968"/>
      <c r="H3321" s="1968"/>
    </row>
    <row r="3322" spans="2:70" hidden="1">
      <c r="B3322" s="2108" t="s">
        <v>8085</v>
      </c>
      <c r="C3322" s="1612">
        <v>24680</v>
      </c>
      <c r="D3322" s="1968"/>
      <c r="E3322" s="1968"/>
      <c r="F3322" s="1968"/>
      <c r="G3322" s="1968"/>
      <c r="H3322" s="1968"/>
    </row>
    <row r="3323" spans="2:70" hidden="1">
      <c r="B3323" s="2108" t="s">
        <v>8128</v>
      </c>
      <c r="C3323" s="795">
        <f>C3316*1000/C3322</f>
        <v>2169.0863233467508</v>
      </c>
      <c r="D3323" s="1968"/>
      <c r="E3323" s="1968"/>
      <c r="F3323" s="1968"/>
      <c r="G3323" s="1968"/>
      <c r="H3323" s="1968"/>
    </row>
    <row r="3324" spans="2:70" hidden="1">
      <c r="B3324" s="2108" t="s">
        <v>8086</v>
      </c>
      <c r="C3324" s="1612">
        <f>974016*1000/83994</f>
        <v>11596.256875491106</v>
      </c>
      <c r="D3324" s="1968"/>
      <c r="E3324" s="1968"/>
      <c r="F3324" s="1968"/>
      <c r="G3324" s="1968"/>
      <c r="H3324" s="1968"/>
      <c r="S3324" s="4"/>
    </row>
    <row r="3325" spans="2:70" hidden="1">
      <c r="B3325" s="1968"/>
      <c r="C3325" s="1612"/>
      <c r="D3325" s="1968"/>
      <c r="E3325" s="1968"/>
      <c r="F3325" s="1968"/>
      <c r="G3325" s="1968"/>
      <c r="H3325" s="1968"/>
    </row>
    <row r="3326" spans="2:70" hidden="1"/>
    <row r="3327" spans="2:70">
      <c r="BA3327" s="2109" t="s">
        <v>8201</v>
      </c>
    </row>
    <row r="3328" spans="2:70">
      <c r="B3328" s="1970" t="s">
        <v>1231</v>
      </c>
      <c r="C3328" s="2094" t="s">
        <v>8136</v>
      </c>
      <c r="BA3328" s="2184" t="s">
        <v>8211</v>
      </c>
      <c r="BR3328" s="2184" t="s">
        <v>8215</v>
      </c>
    </row>
    <row r="3329" spans="2:82" ht="15.75">
      <c r="B3329" s="1970" t="s">
        <v>1869</v>
      </c>
      <c r="C3329" s="2094" t="s">
        <v>8136</v>
      </c>
      <c r="BA3329" s="2142" t="s">
        <v>8206</v>
      </c>
      <c r="BB3329" s="2143">
        <v>2027</v>
      </c>
      <c r="BC3329" s="2143">
        <v>2028</v>
      </c>
      <c r="BD3329" s="2143">
        <v>2029</v>
      </c>
      <c r="BE3329" s="2143">
        <v>2030</v>
      </c>
      <c r="BF3329" s="2143">
        <v>2031</v>
      </c>
      <c r="BG3329" s="2143">
        <v>2032</v>
      </c>
      <c r="BH3329" s="2143">
        <v>2033</v>
      </c>
      <c r="BI3329" s="2143">
        <v>2034</v>
      </c>
      <c r="BJ3329" s="2143">
        <v>2035</v>
      </c>
      <c r="BK3329" s="1734"/>
      <c r="BL3329" s="2142" t="s">
        <v>2140</v>
      </c>
      <c r="BM3329" s="2144"/>
      <c r="BR3329" s="2142" t="s">
        <v>8212</v>
      </c>
      <c r="BS3329" s="2143">
        <v>2027</v>
      </c>
      <c r="BT3329" s="2143">
        <v>2028</v>
      </c>
      <c r="BU3329" s="2143">
        <v>2029</v>
      </c>
      <c r="BV3329" s="2143">
        <v>2030</v>
      </c>
      <c r="BW3329" s="2143">
        <v>2031</v>
      </c>
      <c r="BX3329" s="2143">
        <v>2032</v>
      </c>
      <c r="BY3329" s="2143">
        <v>2033</v>
      </c>
      <c r="BZ3329" s="2143">
        <v>2034</v>
      </c>
      <c r="CA3329" s="2143">
        <v>2035</v>
      </c>
      <c r="CB3329" s="1734"/>
      <c r="CC3329" s="2142" t="s">
        <v>2140</v>
      </c>
      <c r="CD3329" s="2144"/>
    </row>
    <row r="3330" spans="2:82" ht="15.75">
      <c r="B3330" s="2173" t="s">
        <v>8129</v>
      </c>
      <c r="C3330" s="2179">
        <f>C3332-C3331</f>
        <v>53533.050460197817</v>
      </c>
      <c r="BA3330" s="1484" t="s">
        <v>8153</v>
      </c>
      <c r="BB3330" s="2137">
        <f>BH3405</f>
        <v>5568.5810092638103</v>
      </c>
      <c r="BC3330" s="2137">
        <f t="shared" ref="BC3330:BJ3330" si="254">BI3405</f>
        <v>5441.455463184835</v>
      </c>
      <c r="BD3330" s="2137">
        <f t="shared" si="254"/>
        <v>5380.9223025637821</v>
      </c>
      <c r="BE3330" s="2137">
        <f t="shared" si="254"/>
        <v>5338.5325327448636</v>
      </c>
      <c r="BF3330" s="2137">
        <f t="shared" si="254"/>
        <v>5301.6688556251474</v>
      </c>
      <c r="BG3330" s="2137">
        <f t="shared" si="254"/>
        <v>5249.6787308579051</v>
      </c>
      <c r="BH3330" s="2137">
        <f t="shared" si="254"/>
        <v>5195.3035100651423</v>
      </c>
      <c r="BI3330" s="2137">
        <f t="shared" si="254"/>
        <v>5113.8071063669167</v>
      </c>
      <c r="BJ3330" s="2137">
        <f t="shared" si="254"/>
        <v>5066.1508510897247</v>
      </c>
      <c r="BK3330" s="1734"/>
      <c r="BL3330" s="1484" t="s">
        <v>110</v>
      </c>
      <c r="BM3330" s="2151">
        <f>C3451</f>
        <v>0.12494000000000001</v>
      </c>
      <c r="BR3330" s="1484" t="s">
        <v>8153</v>
      </c>
      <c r="BS3330" s="2137">
        <f>I3405</f>
        <v>98632.377410383386</v>
      </c>
      <c r="BT3330" s="2137">
        <f t="shared" ref="BT3330:CA3330" si="255">J3405</f>
        <v>98308.30543258012</v>
      </c>
      <c r="BU3330" s="2137">
        <f t="shared" si="255"/>
        <v>99158.973907728374</v>
      </c>
      <c r="BV3330" s="2137">
        <f t="shared" si="255"/>
        <v>100345.37685577499</v>
      </c>
      <c r="BW3330" s="2137">
        <f t="shared" si="255"/>
        <v>101645.52058819658</v>
      </c>
      <c r="BX3330" s="2137">
        <f t="shared" si="255"/>
        <v>102661.72197679308</v>
      </c>
      <c r="BY3330" s="2137">
        <f t="shared" si="255"/>
        <v>103630.33787729847</v>
      </c>
      <c r="BZ3330" s="2137">
        <f t="shared" si="255"/>
        <v>104044.82979490038</v>
      </c>
      <c r="CA3330" s="2137">
        <f t="shared" si="255"/>
        <v>105136.72649245251</v>
      </c>
      <c r="CB3330" s="1734"/>
      <c r="CC3330" s="1484" t="s">
        <v>110</v>
      </c>
      <c r="CD3330" s="2151">
        <f t="shared" ref="CD3330:CD3335" si="256">C3451</f>
        <v>0.12494000000000001</v>
      </c>
    </row>
    <row r="3331" spans="2:82" ht="15.75">
      <c r="B3331" s="2173" t="s">
        <v>8130</v>
      </c>
      <c r="C3331" s="2179">
        <f>C3318</f>
        <v>0</v>
      </c>
      <c r="BA3331" s="1734" t="s">
        <v>8154</v>
      </c>
      <c r="BB3331" s="2129">
        <f>BH3406</f>
        <v>991.66753618795383</v>
      </c>
      <c r="BC3331" s="2129">
        <f t="shared" ref="BC3331:BJ3331" si="257">BI3406</f>
        <v>978.09010513479848</v>
      </c>
      <c r="BD3331" s="2129">
        <f t="shared" si="257"/>
        <v>997.72420247893558</v>
      </c>
      <c r="BE3331" s="2129">
        <f t="shared" si="257"/>
        <v>978.33172938048574</v>
      </c>
      <c r="BF3331" s="2129">
        <f t="shared" si="257"/>
        <v>961.92124840490771</v>
      </c>
      <c r="BG3331" s="2129">
        <f t="shared" si="257"/>
        <v>948.23157524154919</v>
      </c>
      <c r="BH3331" s="2129">
        <f t="shared" si="257"/>
        <v>932.82327400234874</v>
      </c>
      <c r="BI3331" s="2129">
        <f t="shared" si="257"/>
        <v>915.59920113239252</v>
      </c>
      <c r="BJ3331" s="2129">
        <f t="shared" si="257"/>
        <v>906.7457223619673</v>
      </c>
      <c r="BK3331" s="1734"/>
      <c r="BL3331" s="1734" t="s">
        <v>679</v>
      </c>
      <c r="BM3331" s="2145">
        <f>C3452</f>
        <v>0</v>
      </c>
      <c r="BR3331" s="1734" t="s">
        <v>8154</v>
      </c>
      <c r="BS3331" s="2129">
        <f>I3406</f>
        <v>17564.712901221894</v>
      </c>
      <c r="BT3331" s="2129">
        <f t="shared" ref="BT3331:CA3332" si="258">J3406</f>
        <v>17670.709876562672</v>
      </c>
      <c r="BU3331" s="2129">
        <f t="shared" si="258"/>
        <v>18385.938803386984</v>
      </c>
      <c r="BV3331" s="2129">
        <f t="shared" si="258"/>
        <v>18389.148229873426</v>
      </c>
      <c r="BW3331" s="2129">
        <f t="shared" si="258"/>
        <v>18442.303493780855</v>
      </c>
      <c r="BX3331" s="2129">
        <f t="shared" si="258"/>
        <v>18543.43691069186</v>
      </c>
      <c r="BY3331" s="2129">
        <f t="shared" si="258"/>
        <v>18606.957394768084</v>
      </c>
      <c r="BZ3331" s="2129">
        <f t="shared" si="258"/>
        <v>18628.657878698519</v>
      </c>
      <c r="CA3331" s="2129">
        <f t="shared" si="258"/>
        <v>18817.496717387628</v>
      </c>
      <c r="CB3331" s="1734"/>
      <c r="CC3331" s="1734" t="s">
        <v>679</v>
      </c>
      <c r="CD3331" s="2145">
        <f t="shared" si="256"/>
        <v>0</v>
      </c>
    </row>
    <row r="3332" spans="2:82" ht="15.75">
      <c r="B3332" s="2173" t="s">
        <v>8131</v>
      </c>
      <c r="C3332" s="2179">
        <f>C3316</f>
        <v>53533.050460197817</v>
      </c>
      <c r="BA3332" s="1484" t="s">
        <v>8160</v>
      </c>
      <c r="BB3332" s="2137">
        <f>BH3407</f>
        <v>6560.2485454517646</v>
      </c>
      <c r="BC3332" s="2137">
        <f t="shared" ref="BC3332:BJ3332" si="259">BI3407</f>
        <v>6419.5455683196333</v>
      </c>
      <c r="BD3332" s="2137">
        <f t="shared" si="259"/>
        <v>6378.6465050427178</v>
      </c>
      <c r="BE3332" s="2137">
        <f t="shared" si="259"/>
        <v>6316.8642621253493</v>
      </c>
      <c r="BF3332" s="2137">
        <f t="shared" si="259"/>
        <v>6263.590104030055</v>
      </c>
      <c r="BG3332" s="2137">
        <f t="shared" si="259"/>
        <v>6197.9103060994539</v>
      </c>
      <c r="BH3332" s="2137">
        <f t="shared" si="259"/>
        <v>6128.1267840674909</v>
      </c>
      <c r="BI3332" s="2137">
        <f t="shared" si="259"/>
        <v>6029.4063074993092</v>
      </c>
      <c r="BJ3332" s="2137">
        <f t="shared" si="259"/>
        <v>5972.8965734516923</v>
      </c>
      <c r="BK3332" s="1734"/>
      <c r="BL3332" s="1484" t="s">
        <v>373</v>
      </c>
      <c r="BM3332" s="2137">
        <f>E3453</f>
        <v>204.51614372932008</v>
      </c>
      <c r="BR3332" s="1484" t="s">
        <v>8160</v>
      </c>
      <c r="BS3332" s="2137">
        <f>I3407</f>
        <v>116197.09031160528</v>
      </c>
      <c r="BT3332" s="2137">
        <f t="shared" si="258"/>
        <v>115979.01530914279</v>
      </c>
      <c r="BU3332" s="2137">
        <f t="shared" si="258"/>
        <v>117544.91271111535</v>
      </c>
      <c r="BV3332" s="2137">
        <f t="shared" si="258"/>
        <v>118734.52508564841</v>
      </c>
      <c r="BW3332" s="2137">
        <f t="shared" si="258"/>
        <v>120087.82408197744</v>
      </c>
      <c r="BX3332" s="2137">
        <f t="shared" si="258"/>
        <v>121205.15888748494</v>
      </c>
      <c r="BY3332" s="2137">
        <f t="shared" si="258"/>
        <v>122237.29527206655</v>
      </c>
      <c r="BZ3332" s="2137">
        <f t="shared" si="258"/>
        <v>122673.48767359889</v>
      </c>
      <c r="CA3332" s="2137">
        <f t="shared" si="258"/>
        <v>123954.22320984013</v>
      </c>
      <c r="CB3332" s="1734"/>
      <c r="CC3332" s="1484" t="s">
        <v>373</v>
      </c>
      <c r="CD3332" s="2137">
        <f t="shared" si="256"/>
        <v>3527.9034793307715</v>
      </c>
    </row>
    <row r="3333" spans="2:82" ht="15.75">
      <c r="B3333" s="1970" t="s">
        <v>8140</v>
      </c>
      <c r="C3333" s="2091">
        <f>C3332/(H3294*C3315)</f>
        <v>3.6824916050816587</v>
      </c>
      <c r="BA3333" s="1734"/>
      <c r="BB3333" s="2129"/>
      <c r="BC3333" s="2129"/>
      <c r="BD3333" s="2129"/>
      <c r="BE3333" s="2129"/>
      <c r="BF3333" s="2129"/>
      <c r="BG3333" s="2129"/>
      <c r="BH3333" s="2129"/>
      <c r="BI3333" s="2129"/>
      <c r="BJ3333" s="2129"/>
      <c r="BK3333" s="1734"/>
      <c r="BL3333" s="1734" t="s">
        <v>6</v>
      </c>
      <c r="BM3333" s="2129">
        <f>E3454</f>
        <v>621.14712948187218</v>
      </c>
      <c r="BR3333" s="1734"/>
      <c r="BS3333" s="2129"/>
      <c r="BT3333" s="2129"/>
      <c r="BU3333" s="2129"/>
      <c r="BV3333" s="2129"/>
      <c r="BW3333" s="2129"/>
      <c r="BX3333" s="2129"/>
      <c r="BY3333" s="2129"/>
      <c r="BZ3333" s="2129"/>
      <c r="CA3333" s="2129"/>
      <c r="CB3333" s="1734"/>
      <c r="CC3333" s="1734" t="s">
        <v>6</v>
      </c>
      <c r="CD3333" s="2129">
        <f t="shared" si="256"/>
        <v>10714.787983562295</v>
      </c>
    </row>
    <row r="3334" spans="2:82" ht="15.75">
      <c r="B3334" s="1968"/>
      <c r="C3334" s="1968"/>
      <c r="BA3334" s="1484" t="s">
        <v>8155</v>
      </c>
      <c r="BB3334" s="2152">
        <f>BH3409</f>
        <v>1.4999999999999999E-2</v>
      </c>
      <c r="BC3334" s="1484"/>
      <c r="BD3334" s="1484"/>
      <c r="BE3334" s="1484"/>
      <c r="BF3334" s="1484"/>
      <c r="BG3334" s="1484"/>
      <c r="BH3334" s="1484"/>
      <c r="BI3334" s="1484"/>
      <c r="BJ3334" s="1484"/>
      <c r="BK3334" s="1734"/>
      <c r="BL3334" s="1484" t="s">
        <v>124</v>
      </c>
      <c r="BM3334" s="2137">
        <f>E3455</f>
        <v>215.29316753611133</v>
      </c>
      <c r="BR3334" s="1484" t="s">
        <v>8155</v>
      </c>
      <c r="BS3334" s="2152">
        <f>I3409</f>
        <v>1.4999999999999999E-2</v>
      </c>
      <c r="BT3334" s="1484"/>
      <c r="BU3334" s="1484"/>
      <c r="BV3334" s="1484"/>
      <c r="BW3334" s="1484"/>
      <c r="BX3334" s="1484"/>
      <c r="BY3334" s="1484"/>
      <c r="BZ3334" s="1484"/>
      <c r="CA3334" s="1484"/>
      <c r="CB3334" s="1734"/>
      <c r="CC3334" s="1484" t="s">
        <v>124</v>
      </c>
      <c r="CD3334" s="2137">
        <f t="shared" si="256"/>
        <v>3713.8071399979203</v>
      </c>
    </row>
    <row r="3335" spans="2:82" ht="15.75">
      <c r="B3335" s="1968" t="s">
        <v>7759</v>
      </c>
      <c r="C3335" s="1974">
        <v>0</v>
      </c>
      <c r="BA3335" s="1734" t="s">
        <v>8156</v>
      </c>
      <c r="BB3335" s="2129">
        <f>BH3410</f>
        <v>0</v>
      </c>
      <c r="BC3335" s="2129">
        <f t="shared" ref="BC3335:BJ3335" si="260">BI3410</f>
        <v>31.776750563182187</v>
      </c>
      <c r="BD3335" s="2129">
        <f t="shared" si="260"/>
        <v>63.148600399922906</v>
      </c>
      <c r="BE3335" s="2129">
        <f t="shared" si="260"/>
        <v>94.752963931880231</v>
      </c>
      <c r="BF3335" s="2129">
        <f t="shared" si="260"/>
        <v>93.953851560450829</v>
      </c>
      <c r="BG3335" s="2129">
        <f t="shared" si="260"/>
        <v>92.968654591491799</v>
      </c>
      <c r="BH3335" s="2129">
        <f t="shared" si="260"/>
        <v>91.921901761012364</v>
      </c>
      <c r="BI3335" s="2129">
        <f t="shared" si="260"/>
        <v>90.441094612489636</v>
      </c>
      <c r="BJ3335" s="2129">
        <f t="shared" si="260"/>
        <v>89.593448601775378</v>
      </c>
      <c r="BK3335" s="1734"/>
      <c r="BL3335" s="2146" t="s">
        <v>8216</v>
      </c>
      <c r="BM3335" s="2133">
        <f>E3456</f>
        <v>419.8093112654314</v>
      </c>
      <c r="BR3335" s="1734" t="s">
        <v>8156</v>
      </c>
      <c r="BS3335" s="2129">
        <f>I3410</f>
        <v>0</v>
      </c>
      <c r="BT3335" s="2129">
        <f t="shared" ref="BT3335:CA3337" si="261">J3410</f>
        <v>574.0961257802569</v>
      </c>
      <c r="BU3335" s="2129">
        <f t="shared" si="261"/>
        <v>1163.6946358400419</v>
      </c>
      <c r="BV3335" s="2129">
        <f t="shared" si="261"/>
        <v>1781.0178762847261</v>
      </c>
      <c r="BW3335" s="2129">
        <f t="shared" si="261"/>
        <v>1801.3173612296614</v>
      </c>
      <c r="BX3335" s="2129">
        <f t="shared" si="261"/>
        <v>1818.0773833122742</v>
      </c>
      <c r="BY3335" s="2129">
        <f t="shared" si="261"/>
        <v>1833.5594290809981</v>
      </c>
      <c r="BZ3335" s="2129">
        <f t="shared" si="261"/>
        <v>1840.1023151039833</v>
      </c>
      <c r="CA3335" s="2129">
        <f t="shared" si="261"/>
        <v>1859.3133481476018</v>
      </c>
      <c r="CB3335" s="1734"/>
      <c r="CC3335" s="2146" t="s">
        <v>8208</v>
      </c>
      <c r="CD3335" s="2133">
        <f t="shared" si="256"/>
        <v>7241.7106193286918</v>
      </c>
    </row>
    <row r="3336" spans="2:82" ht="15.75">
      <c r="B3336" s="2173" t="s">
        <v>8197</v>
      </c>
      <c r="C3336" s="2179">
        <f>50%*C3456</f>
        <v>3620.8553096643459</v>
      </c>
      <c r="E3336">
        <f>C3336/C3315</f>
        <v>209.9046556327157</v>
      </c>
      <c r="BA3336" s="1484" t="s">
        <v>8157</v>
      </c>
      <c r="BB3336" s="2137">
        <f>BH3411</f>
        <v>-96.2931835247945</v>
      </c>
      <c r="BC3336" s="2137">
        <f t="shared" ref="BC3336:BJ3336" si="262">BI3411</f>
        <v>0</v>
      </c>
      <c r="BD3336" s="2137">
        <f t="shared" si="262"/>
        <v>0</v>
      </c>
      <c r="BE3336" s="2137">
        <f t="shared" si="262"/>
        <v>0</v>
      </c>
      <c r="BF3336" s="2137">
        <f t="shared" si="262"/>
        <v>0</v>
      </c>
      <c r="BG3336" s="2137">
        <f t="shared" si="262"/>
        <v>0</v>
      </c>
      <c r="BH3336" s="2137">
        <f t="shared" si="262"/>
        <v>0</v>
      </c>
      <c r="BI3336" s="2137">
        <f t="shared" si="262"/>
        <v>0</v>
      </c>
      <c r="BJ3336" s="2137">
        <f t="shared" si="262"/>
        <v>0</v>
      </c>
      <c r="BK3336" s="1734"/>
      <c r="BL3336" s="1484" t="s">
        <v>8215</v>
      </c>
      <c r="BM3336" s="2137">
        <f>C3456</f>
        <v>7241.7106193286918</v>
      </c>
      <c r="BR3336" s="1484" t="s">
        <v>8157</v>
      </c>
      <c r="BS3336" s="2137">
        <f>I3411</f>
        <v>-1739.6852296371421</v>
      </c>
      <c r="BT3336" s="2137">
        <f t="shared" si="261"/>
        <v>0</v>
      </c>
      <c r="BU3336" s="2137">
        <f t="shared" si="261"/>
        <v>0</v>
      </c>
      <c r="BV3336" s="2137">
        <f t="shared" si="261"/>
        <v>0</v>
      </c>
      <c r="BW3336" s="2137">
        <f t="shared" si="261"/>
        <v>0</v>
      </c>
      <c r="BX3336" s="2137">
        <f t="shared" si="261"/>
        <v>0</v>
      </c>
      <c r="BY3336" s="2137">
        <f t="shared" si="261"/>
        <v>0</v>
      </c>
      <c r="BZ3336" s="2137">
        <f t="shared" si="261"/>
        <v>0</v>
      </c>
      <c r="CA3336" s="2137">
        <f t="shared" si="261"/>
        <v>0</v>
      </c>
      <c r="CB3336" s="1734"/>
      <c r="CC3336" s="1486" t="s">
        <v>8205</v>
      </c>
      <c r="CD3336" s="2140">
        <f>CD3335/C3315</f>
        <v>419.8093112654314</v>
      </c>
    </row>
    <row r="3337" spans="2:82" ht="15.75">
      <c r="B3337" s="2175" t="s">
        <v>8202</v>
      </c>
      <c r="C3337" s="2176">
        <f>(1-C3335)*C3330+C3336</f>
        <v>57153.905769862162</v>
      </c>
      <c r="BA3337" s="2146" t="s">
        <v>2132</v>
      </c>
      <c r="BB3337" s="2133">
        <f>BH3412</f>
        <v>-96.2931835247945</v>
      </c>
      <c r="BC3337" s="2133">
        <f t="shared" ref="BC3337:BJ3337" si="263">BI3412</f>
        <v>31.776750563182187</v>
      </c>
      <c r="BD3337" s="2133">
        <f t="shared" si="263"/>
        <v>63.148600399922906</v>
      </c>
      <c r="BE3337" s="2133">
        <f t="shared" si="263"/>
        <v>94.752963931880231</v>
      </c>
      <c r="BF3337" s="2133">
        <f t="shared" si="263"/>
        <v>93.953851560450829</v>
      </c>
      <c r="BG3337" s="2133">
        <f t="shared" si="263"/>
        <v>92.968654591491799</v>
      </c>
      <c r="BH3337" s="2133">
        <f t="shared" si="263"/>
        <v>91.921901761012364</v>
      </c>
      <c r="BI3337" s="2133">
        <f t="shared" si="263"/>
        <v>90.441094612489636</v>
      </c>
      <c r="BJ3337" s="2133">
        <f t="shared" si="263"/>
        <v>89.593448601775378</v>
      </c>
      <c r="BK3337" s="1734"/>
      <c r="BL3337" s="1734"/>
      <c r="BM3337" s="1734"/>
      <c r="BR3337" s="2146" t="s">
        <v>2132</v>
      </c>
      <c r="BS3337" s="2133">
        <f>I3412</f>
        <v>-1739.6852296371421</v>
      </c>
      <c r="BT3337" s="2133">
        <f t="shared" si="261"/>
        <v>574.0961257802569</v>
      </c>
      <c r="BU3337" s="2133">
        <f t="shared" si="261"/>
        <v>1163.6946358400419</v>
      </c>
      <c r="BV3337" s="2133">
        <f t="shared" si="261"/>
        <v>1781.0178762847261</v>
      </c>
      <c r="BW3337" s="2133">
        <f t="shared" si="261"/>
        <v>1801.3173612296614</v>
      </c>
      <c r="BX3337" s="2133">
        <f t="shared" si="261"/>
        <v>1818.0773833122742</v>
      </c>
      <c r="BY3337" s="2133">
        <f t="shared" si="261"/>
        <v>1833.5594290809981</v>
      </c>
      <c r="BZ3337" s="2133">
        <f t="shared" si="261"/>
        <v>1840.1023151039833</v>
      </c>
      <c r="CA3337" s="2133">
        <f t="shared" si="261"/>
        <v>1859.3133481476018</v>
      </c>
      <c r="CB3337" s="1734"/>
      <c r="CC3337" s="1734"/>
      <c r="CD3337" s="1734"/>
    </row>
    <row r="3338" spans="2:82" ht="15.75">
      <c r="B3338" s="2173" t="s">
        <v>8214</v>
      </c>
      <c r="C3338" s="795">
        <f>C3337/C3315</f>
        <v>3313.2698997021544</v>
      </c>
      <c r="D3338" s="419">
        <f>C3338/H3294</f>
        <v>3.9315670671827405</v>
      </c>
      <c r="E3338" s="795"/>
      <c r="BA3338" s="1484" t="s">
        <v>2105</v>
      </c>
      <c r="BB3338" s="2137">
        <f>BH3421</f>
        <v>-69.331092137852039</v>
      </c>
      <c r="BC3338" s="2137">
        <f t="shared" ref="BC3338:BJ3338" si="264">BI3421</f>
        <v>22.879260405491173</v>
      </c>
      <c r="BD3338" s="2137">
        <f t="shared" si="264"/>
        <v>45.466992287944493</v>
      </c>
      <c r="BE3338" s="2137">
        <f t="shared" si="264"/>
        <v>68.222134030953768</v>
      </c>
      <c r="BF3338" s="2137">
        <f t="shared" si="264"/>
        <v>67.646773123524596</v>
      </c>
      <c r="BG3338" s="2137">
        <f t="shared" si="264"/>
        <v>66.9374313058741</v>
      </c>
      <c r="BH3338" s="2137">
        <f t="shared" si="264"/>
        <v>66.183769267928895</v>
      </c>
      <c r="BI3338" s="2137">
        <f t="shared" si="264"/>
        <v>65.117588120992536</v>
      </c>
      <c r="BJ3338" s="2137">
        <f t="shared" si="264"/>
        <v>64.507282993278267</v>
      </c>
      <c r="BK3338" s="1734"/>
      <c r="BL3338" s="1734"/>
      <c r="BM3338" s="1734"/>
      <c r="BR3338" s="1484" t="s">
        <v>2105</v>
      </c>
      <c r="BS3338" s="2137">
        <f t="shared" ref="BS3338:CA3338" si="265">I3421</f>
        <v>-1252.5733653387422</v>
      </c>
      <c r="BT3338" s="2137">
        <f t="shared" si="265"/>
        <v>413.34921056178496</v>
      </c>
      <c r="BU3338" s="2137">
        <f t="shared" si="265"/>
        <v>837.86013780483017</v>
      </c>
      <c r="BV3338" s="2137">
        <f t="shared" si="265"/>
        <v>1282.3328709250027</v>
      </c>
      <c r="BW3338" s="2137">
        <f t="shared" si="265"/>
        <v>1296.9485000853563</v>
      </c>
      <c r="BX3338" s="2137">
        <f t="shared" si="265"/>
        <v>1309.0157159848372</v>
      </c>
      <c r="BY3338" s="2137">
        <f t="shared" si="265"/>
        <v>1320.1627889383187</v>
      </c>
      <c r="BZ3338" s="2137">
        <f t="shared" si="265"/>
        <v>1324.8736668748679</v>
      </c>
      <c r="CA3338" s="2137">
        <f t="shared" si="265"/>
        <v>1338.7056106662733</v>
      </c>
      <c r="CB3338" s="1734"/>
      <c r="CC3338" s="1734"/>
      <c r="CD3338" s="1734"/>
    </row>
    <row r="3339" spans="2:82" ht="15.75">
      <c r="B3339" s="1968"/>
      <c r="C3339" s="1968"/>
      <c r="BA3339" s="1734"/>
      <c r="BB3339" s="2132"/>
      <c r="BC3339" s="2132"/>
      <c r="BD3339" s="2132"/>
      <c r="BE3339" s="2132"/>
      <c r="BF3339" s="2132"/>
      <c r="BG3339" s="2132"/>
      <c r="BH3339" s="2132"/>
      <c r="BI3339" s="2132"/>
      <c r="BJ3339" s="2132"/>
      <c r="BK3339" s="1734"/>
      <c r="BL3339" s="1734"/>
      <c r="BM3339" s="1734"/>
      <c r="BR3339" s="1734"/>
      <c r="BS3339" s="2132"/>
      <c r="BT3339" s="2132"/>
      <c r="BU3339" s="2132"/>
      <c r="BV3339" s="2132"/>
      <c r="BW3339" s="2132"/>
      <c r="BX3339" s="2132"/>
      <c r="BY3339" s="2132"/>
      <c r="BZ3339" s="2132"/>
      <c r="CA3339" s="2132"/>
      <c r="CB3339" s="1734"/>
      <c r="CC3339" s="1734"/>
      <c r="CD3339" s="1734"/>
    </row>
    <row r="3340" spans="2:82" ht="15.75">
      <c r="B3340" s="1976" t="s">
        <v>8141</v>
      </c>
      <c r="C3340" s="1968"/>
      <c r="E3340" s="3" t="s">
        <v>126</v>
      </c>
      <c r="BA3340" s="1734"/>
      <c r="BB3340" s="2129"/>
      <c r="BC3340" s="2129"/>
      <c r="BD3340" s="2129"/>
      <c r="BE3340" s="2129"/>
      <c r="BF3340" s="2129"/>
      <c r="BG3340" s="2129"/>
      <c r="BH3340" s="2129"/>
      <c r="BI3340" s="2129"/>
      <c r="BJ3340" s="2129"/>
      <c r="BK3340" s="1734"/>
      <c r="BL3340" s="1734"/>
      <c r="BM3340" s="1734"/>
      <c r="BR3340" s="1734"/>
      <c r="BS3340" s="2129"/>
      <c r="BT3340" s="2129"/>
      <c r="BU3340" s="2129"/>
      <c r="BV3340" s="2129"/>
      <c r="BW3340" s="2129"/>
      <c r="BX3340" s="2129"/>
      <c r="BY3340" s="2129"/>
      <c r="BZ3340" s="2129"/>
      <c r="CA3340" s="2129"/>
      <c r="CB3340" s="1734"/>
      <c r="CC3340" s="1734"/>
      <c r="CD3340" s="1734"/>
    </row>
    <row r="3341" spans="2:82" ht="15.75">
      <c r="B3341" s="2092" t="s">
        <v>8132</v>
      </c>
      <c r="C3341" s="2093">
        <v>0.65</v>
      </c>
      <c r="BA3341" s="2134" t="s">
        <v>8207</v>
      </c>
      <c r="BB3341" s="2143">
        <v>2027</v>
      </c>
      <c r="BC3341" s="2143">
        <v>2028</v>
      </c>
      <c r="BD3341" s="2143">
        <v>2029</v>
      </c>
      <c r="BE3341" s="2143">
        <v>2030</v>
      </c>
      <c r="BF3341" s="2143">
        <v>2031</v>
      </c>
      <c r="BG3341" s="2143">
        <v>2032</v>
      </c>
      <c r="BH3341" s="2143">
        <v>2033</v>
      </c>
      <c r="BI3341" s="2143">
        <v>2034</v>
      </c>
      <c r="BJ3341" s="2143">
        <v>2035</v>
      </c>
      <c r="BK3341" s="1734"/>
      <c r="BL3341" s="2142" t="s">
        <v>95</v>
      </c>
      <c r="BM3341" s="2144"/>
      <c r="BR3341" s="2134" t="s">
        <v>8213</v>
      </c>
      <c r="BS3341" s="2143">
        <v>2027</v>
      </c>
      <c r="BT3341" s="2143">
        <v>2028</v>
      </c>
      <c r="BU3341" s="2143">
        <v>2029</v>
      </c>
      <c r="BV3341" s="2143">
        <v>2030</v>
      </c>
      <c r="BW3341" s="2143">
        <v>2031</v>
      </c>
      <c r="BX3341" s="2143">
        <v>2032</v>
      </c>
      <c r="BY3341" s="2143">
        <v>2033</v>
      </c>
      <c r="BZ3341" s="2143">
        <v>2034</v>
      </c>
      <c r="CA3341" s="2143">
        <v>2035</v>
      </c>
      <c r="CB3341" s="1734"/>
      <c r="CC3341" s="2142" t="s">
        <v>95</v>
      </c>
      <c r="CD3341" s="2144"/>
    </row>
    <row r="3342" spans="2:82" ht="15.75">
      <c r="B3342" s="2173" t="s">
        <v>8133</v>
      </c>
      <c r="C3342" s="2179">
        <f>C3337*C3341</f>
        <v>37150.038750410407</v>
      </c>
      <c r="E3342" s="647">
        <f>C3342/C3315</f>
        <v>2153.6254348064003</v>
      </c>
      <c r="BA3342" s="2135" t="s">
        <v>8159</v>
      </c>
      <c r="BB3342" s="2137">
        <f ca="1">BH3427</f>
        <v>5221.9124603631208</v>
      </c>
      <c r="BC3342" s="2137">
        <f t="shared" ref="BC3342:BJ3344" ca="1" si="266">BI3427</f>
        <v>5144.6426586743019</v>
      </c>
      <c r="BD3342" s="2137">
        <f t="shared" ca="1" si="266"/>
        <v>4961.9681346829966</v>
      </c>
      <c r="BE3342" s="2137">
        <f t="shared" ca="1" si="266"/>
        <v>4762.416919799628</v>
      </c>
      <c r="BF3342" s="2137">
        <f t="shared" ca="1" si="266"/>
        <v>4548.2143008628909</v>
      </c>
      <c r="BG3342" s="2137">
        <f t="shared" ca="1" si="266"/>
        <v>4325.7850538276507</v>
      </c>
      <c r="BH3342" s="2137">
        <f t="shared" ca="1" si="266"/>
        <v>4095.443795324662</v>
      </c>
      <c r="BI3342" s="2137">
        <f t="shared" ca="1" si="266"/>
        <v>3870.954784610286</v>
      </c>
      <c r="BJ3342" s="2137">
        <f t="shared" ca="1" si="266"/>
        <v>3656.2057751044017</v>
      </c>
      <c r="BK3342" s="1734"/>
      <c r="BL3342" s="1484" t="s">
        <v>8170</v>
      </c>
      <c r="BM3342" s="2137">
        <f>E3463</f>
        <v>3103.3652440694386</v>
      </c>
      <c r="BR3342" s="2135" t="s">
        <v>8159</v>
      </c>
      <c r="BS3342" s="2137">
        <f t="shared" ref="BS3342:CA3344" ca="1" si="267">I3427</f>
        <v>92492.080071689707</v>
      </c>
      <c r="BT3342" s="2137">
        <f t="shared" ca="1" si="267"/>
        <v>92945.923246501567</v>
      </c>
      <c r="BU3342" s="2137">
        <f t="shared" ca="1" si="267"/>
        <v>91438.538066900248</v>
      </c>
      <c r="BV3342" s="2137">
        <f t="shared" ca="1" si="267"/>
        <v>89516.457496588919</v>
      </c>
      <c r="BW3342" s="2137">
        <f t="shared" ca="1" si="267"/>
        <v>87200.016249105436</v>
      </c>
      <c r="BX3342" s="2137">
        <f t="shared" ca="1" si="267"/>
        <v>84594.23238931183</v>
      </c>
      <c r="BY3342" s="2137">
        <f t="shared" ca="1" si="267"/>
        <v>81691.516856473085</v>
      </c>
      <c r="BZ3342" s="2137">
        <f t="shared" ca="1" si="267"/>
        <v>78757.924053703027</v>
      </c>
      <c r="CA3342" s="2137">
        <f t="shared" ca="1" si="267"/>
        <v>75876.443058262346</v>
      </c>
      <c r="CB3342" s="1734"/>
      <c r="CC3342" s="1484" t="s">
        <v>8170</v>
      </c>
      <c r="CD3342" s="2137">
        <f t="shared" ref="CD3342:CD3348" si="268">C3463</f>
        <v>53533.050460197817</v>
      </c>
    </row>
    <row r="3343" spans="2:82" ht="15.75">
      <c r="B3343" s="2173" t="s">
        <v>8134</v>
      </c>
      <c r="C3343" s="2179">
        <f>C3337-C3342</f>
        <v>20003.867019451754</v>
      </c>
      <c r="E3343" s="647">
        <f>C3343/C3315</f>
        <v>1159.6444648957538</v>
      </c>
      <c r="BA3343" s="2128" t="s">
        <v>1133</v>
      </c>
      <c r="BB3343" s="2129">
        <f t="shared" ref="BB3343:BB3344" si="269">BH3428</f>
        <v>1946.5791649153107</v>
      </c>
      <c r="BC3343" s="2129">
        <f t="shared" si="266"/>
        <v>2025.9254787583588</v>
      </c>
      <c r="BD3343" s="2129">
        <f t="shared" si="266"/>
        <v>2035.9923480088023</v>
      </c>
      <c r="BE3343" s="2129">
        <f t="shared" si="266"/>
        <v>2061.4488205749358</v>
      </c>
      <c r="BF3343" s="2129">
        <f t="shared" si="266"/>
        <v>2066.8062161806201</v>
      </c>
      <c r="BG3343" s="2129">
        <f t="shared" si="266"/>
        <v>2065.1190051007675</v>
      </c>
      <c r="BH3343" s="2129">
        <f t="shared" si="266"/>
        <v>2061.059884941857</v>
      </c>
      <c r="BI3343" s="2129">
        <f t="shared" si="266"/>
        <v>2035.8598316071361</v>
      </c>
      <c r="BJ3343" s="2129">
        <f t="shared" si="266"/>
        <v>2023.8784969309188</v>
      </c>
      <c r="BK3343" s="1734"/>
      <c r="BL3343" s="1734" t="s">
        <v>8193</v>
      </c>
      <c r="BM3343" s="2129">
        <f>E3464</f>
        <v>3313.2698997021544</v>
      </c>
      <c r="BR3343" s="2128" t="s">
        <v>1133</v>
      </c>
      <c r="BS3343" s="2129">
        <f t="shared" si="267"/>
        <v>34478.394142729456</v>
      </c>
      <c r="BT3343" s="2129">
        <f t="shared" si="267"/>
        <v>36601.475854559911</v>
      </c>
      <c r="BU3343" s="2129">
        <f t="shared" si="267"/>
        <v>37519.016399168017</v>
      </c>
      <c r="BV3343" s="2129">
        <f t="shared" si="267"/>
        <v>38747.887645282761</v>
      </c>
      <c r="BW3343" s="2129">
        <f t="shared" si="267"/>
        <v>39625.559332265781</v>
      </c>
      <c r="BX3343" s="2129">
        <f t="shared" si="267"/>
        <v>40385.075738910971</v>
      </c>
      <c r="BY3343" s="2129">
        <f t="shared" si="267"/>
        <v>41111.810281742801</v>
      </c>
      <c r="BZ3343" s="2129">
        <f t="shared" si="267"/>
        <v>41421.329600428784</v>
      </c>
      <c r="CA3343" s="2129">
        <f t="shared" si="267"/>
        <v>42001.110160391741</v>
      </c>
      <c r="CB3343" s="1734"/>
      <c r="CC3343" s="1734" t="s">
        <v>8193</v>
      </c>
      <c r="CD3343" s="2129">
        <f t="shared" si="268"/>
        <v>57153.905769862162</v>
      </c>
    </row>
    <row r="3344" spans="2:82" ht="15.75">
      <c r="B3344" s="1968" t="s">
        <v>8146</v>
      </c>
      <c r="C3344" s="2180">
        <f>Valuation!B2*C3315</f>
        <v>50.542500000000004</v>
      </c>
      <c r="E3344">
        <f>C3344/C3315</f>
        <v>2.93</v>
      </c>
      <c r="BA3344" s="2153" t="s">
        <v>41</v>
      </c>
      <c r="BB3344" s="2154">
        <f t="shared" ca="1" si="269"/>
        <v>2.6826098596356389</v>
      </c>
      <c r="BC3344" s="2154">
        <f t="shared" ca="1" si="266"/>
        <v>2.5394037009827874</v>
      </c>
      <c r="BD3344" s="2154">
        <f t="shared" ca="1" si="266"/>
        <v>2.4371251392647886</v>
      </c>
      <c r="BE3344" s="2154">
        <f t="shared" ca="1" si="266"/>
        <v>2.310228064973932</v>
      </c>
      <c r="BF3344" s="2154">
        <f t="shared" ca="1" si="266"/>
        <v>2.2006002620157683</v>
      </c>
      <c r="BG3344" s="2154">
        <f t="shared" ca="1" si="266"/>
        <v>2.0946904479321153</v>
      </c>
      <c r="BH3344" s="2154">
        <f t="shared" ca="1" si="266"/>
        <v>1.9870571569734838</v>
      </c>
      <c r="BI3344" s="2154">
        <f t="shared" ca="1" si="266"/>
        <v>1.9013857066743638</v>
      </c>
      <c r="BJ3344" s="2154">
        <f t="shared" ca="1" si="266"/>
        <v>1.8065342265599451</v>
      </c>
      <c r="BK3344" s="1734"/>
      <c r="BL3344" s="1484" t="s">
        <v>8194</v>
      </c>
      <c r="BM3344" s="2137">
        <f>E3465</f>
        <v>419.8093112654314</v>
      </c>
      <c r="BR3344" s="2153" t="s">
        <v>41</v>
      </c>
      <c r="BS3344" s="2154">
        <f t="shared" ca="1" si="267"/>
        <v>2.6826098596356389</v>
      </c>
      <c r="BT3344" s="2154">
        <f t="shared" ca="1" si="267"/>
        <v>2.5394037009827874</v>
      </c>
      <c r="BU3344" s="2154">
        <f t="shared" ca="1" si="267"/>
        <v>2.437125139264789</v>
      </c>
      <c r="BV3344" s="2154">
        <f t="shared" ca="1" si="267"/>
        <v>2.310228064973932</v>
      </c>
      <c r="BW3344" s="2154">
        <f t="shared" ca="1" si="267"/>
        <v>2.2006002620157679</v>
      </c>
      <c r="BX3344" s="2154">
        <f t="shared" ca="1" si="267"/>
        <v>2.0946904479321153</v>
      </c>
      <c r="BY3344" s="2154">
        <f t="shared" ca="1" si="267"/>
        <v>1.9870571569734836</v>
      </c>
      <c r="BZ3344" s="2154">
        <f t="shared" ca="1" si="267"/>
        <v>1.9013857066743638</v>
      </c>
      <c r="CA3344" s="2154">
        <f t="shared" ca="1" si="267"/>
        <v>1.8065342265599451</v>
      </c>
      <c r="CB3344" s="1734"/>
      <c r="CC3344" s="1484" t="s">
        <v>8194</v>
      </c>
      <c r="CD3344" s="2137">
        <f t="shared" si="268"/>
        <v>7241.7106193286918</v>
      </c>
    </row>
    <row r="3345" spans="2:82" ht="15.75">
      <c r="B3345" s="1968" t="s">
        <v>8135</v>
      </c>
      <c r="C3345" s="1972">
        <f>C3343/C3344</f>
        <v>395.78309382107636</v>
      </c>
      <c r="E3345" s="1972">
        <f>E3343/E3344</f>
        <v>395.78309382107636</v>
      </c>
      <c r="BA3345" s="1734"/>
      <c r="BB3345" s="1734"/>
      <c r="BC3345" s="1734"/>
      <c r="BD3345" s="1734"/>
      <c r="BE3345" s="1734"/>
      <c r="BF3345" s="1734"/>
      <c r="BG3345" s="1734"/>
      <c r="BH3345" s="1734"/>
      <c r="BI3345" s="1734"/>
      <c r="BJ3345" s="1734"/>
      <c r="BK3345" s="1734"/>
      <c r="BL3345" s="1734" t="s">
        <v>8195</v>
      </c>
      <c r="BM3345" s="2129">
        <f>E3466</f>
        <v>0</v>
      </c>
      <c r="BR3345" s="1734"/>
      <c r="BS3345" s="1734"/>
      <c r="BT3345" s="1734"/>
      <c r="BU3345" s="1734"/>
      <c r="BV3345" s="1734"/>
      <c r="BW3345" s="1734"/>
      <c r="BX3345" s="1734"/>
      <c r="BY3345" s="1734"/>
      <c r="BZ3345" s="1734"/>
      <c r="CA3345" s="1734"/>
      <c r="CB3345" s="1734"/>
      <c r="CC3345" s="1734" t="s">
        <v>8195</v>
      </c>
      <c r="CD3345" s="2129">
        <f t="shared" si="268"/>
        <v>0</v>
      </c>
    </row>
    <row r="3346" spans="2:82" ht="15.75">
      <c r="BA3346" s="2135" t="s">
        <v>1344</v>
      </c>
      <c r="BB3346" s="2137">
        <f ca="1">BH3430</f>
        <v>407.33367384233719</v>
      </c>
      <c r="BC3346" s="2137">
        <f t="shared" ref="BC3346:BJ3350" ca="1" si="270">BI3430</f>
        <v>523.10464376746188</v>
      </c>
      <c r="BD3346" s="2137">
        <f t="shared" ca="1" si="270"/>
        <v>528.97489339685899</v>
      </c>
      <c r="BE3346" s="2137">
        <f t="shared" ca="1" si="270"/>
        <v>580.47307729766646</v>
      </c>
      <c r="BF3346" s="2137">
        <f t="shared" ca="1" si="270"/>
        <v>593.28421591017252</v>
      </c>
      <c r="BG3346" s="2137">
        <f t="shared" ca="1" si="270"/>
        <v>599.95027167775413</v>
      </c>
      <c r="BH3346" s="2137">
        <f t="shared" ca="1" si="270"/>
        <v>607.37002975755831</v>
      </c>
      <c r="BI3346" s="2137">
        <f t="shared" ca="1" si="270"/>
        <v>601.96917228007396</v>
      </c>
      <c r="BJ3346" s="2137">
        <f t="shared" ca="1" si="270"/>
        <v>601.3530371242681</v>
      </c>
      <c r="BK3346" s="1734"/>
      <c r="BL3346" s="2155" t="s">
        <v>8165</v>
      </c>
      <c r="BM3346" s="2156">
        <f>E3467</f>
        <v>209.90465563271567</v>
      </c>
      <c r="BR3346" s="2135" t="s">
        <v>1344</v>
      </c>
      <c r="BS3346" s="2137">
        <f t="shared" ref="BS3346:CA3350" ca="1" si="271">I3430</f>
        <v>7214.8162311976284</v>
      </c>
      <c r="BT3346" s="2137">
        <f t="shared" ca="1" si="271"/>
        <v>9450.694109438462</v>
      </c>
      <c r="BU3346" s="2137">
        <f t="shared" ca="1" si="271"/>
        <v>9747.8842292874378</v>
      </c>
      <c r="BV3346" s="2137">
        <f t="shared" ca="1" si="271"/>
        <v>10910.824152291345</v>
      </c>
      <c r="BW3346" s="2137">
        <f t="shared" ca="1" si="271"/>
        <v>11374.660437149969</v>
      </c>
      <c r="BX3346" s="2137">
        <f t="shared" ca="1" si="271"/>
        <v>11732.513768669742</v>
      </c>
      <c r="BY3346" s="2137">
        <f t="shared" ca="1" si="271"/>
        <v>12115.16541398972</v>
      </c>
      <c r="BZ3346" s="2137">
        <f t="shared" ca="1" si="271"/>
        <v>12247.583604332283</v>
      </c>
      <c r="CA3346" s="2137">
        <f t="shared" ca="1" si="271"/>
        <v>12479.74875756815</v>
      </c>
      <c r="CB3346" s="1734"/>
      <c r="CC3346" s="2155" t="s">
        <v>8165</v>
      </c>
      <c r="CD3346" s="2156">
        <f t="shared" si="268"/>
        <v>3620.8553096643473</v>
      </c>
    </row>
    <row r="3347" spans="2:82" ht="15.75">
      <c r="B3347" s="1968" t="s">
        <v>8139</v>
      </c>
      <c r="C3347" s="2179">
        <f ca="1">Master!Y307</f>
        <v>37647.907805368442</v>
      </c>
      <c r="E3347" s="647">
        <f ca="1">C3347/C3315</f>
        <v>2182.4874090068661</v>
      </c>
      <c r="BA3347" s="2128" t="s">
        <v>8143</v>
      </c>
      <c r="BB3347" s="2129">
        <f t="shared" ref="BB3347:BB3350" si="272">BH3431</f>
        <v>1056.2494186074011</v>
      </c>
      <c r="BC3347" s="2129">
        <f t="shared" si="270"/>
        <v>1056.2494186074011</v>
      </c>
      <c r="BD3347" s="2129">
        <f t="shared" si="270"/>
        <v>1056.2494186074011</v>
      </c>
      <c r="BE3347" s="2129">
        <f t="shared" si="270"/>
        <v>1056.2494186074011</v>
      </c>
      <c r="BF3347" s="2129">
        <f t="shared" si="270"/>
        <v>1056.2494186074011</v>
      </c>
      <c r="BG3347" s="2129">
        <f t="shared" si="270"/>
        <v>1056.2494186074011</v>
      </c>
      <c r="BH3347" s="2129">
        <f t="shared" si="270"/>
        <v>1056.2494186074011</v>
      </c>
      <c r="BI3347" s="2129">
        <f t="shared" si="270"/>
        <v>1056.2494186074011</v>
      </c>
      <c r="BJ3347" s="2129">
        <f t="shared" si="270"/>
        <v>1056.2494186074011</v>
      </c>
      <c r="BK3347" s="1734"/>
      <c r="BL3347" s="2132" t="s">
        <v>8217</v>
      </c>
      <c r="BM3347" s="2172">
        <f>E3470</f>
        <v>0.19872641057588636</v>
      </c>
      <c r="BR3347" s="2128" t="s">
        <v>8143</v>
      </c>
      <c r="BS3347" s="2129">
        <f t="shared" si="271"/>
        <v>1056.2494186074011</v>
      </c>
      <c r="BT3347" s="2129">
        <f t="shared" si="271"/>
        <v>1056.2494186074011</v>
      </c>
      <c r="BU3347" s="2129">
        <f t="shared" si="271"/>
        <v>1056.2494186074011</v>
      </c>
      <c r="BV3347" s="2129">
        <f t="shared" si="271"/>
        <v>1056.2494186074011</v>
      </c>
      <c r="BW3347" s="2129">
        <f t="shared" si="271"/>
        <v>1056.2494186074011</v>
      </c>
      <c r="BX3347" s="2129">
        <f t="shared" si="271"/>
        <v>1056.2494186074011</v>
      </c>
      <c r="BY3347" s="2129">
        <f t="shared" si="271"/>
        <v>1056.2494186074011</v>
      </c>
      <c r="BZ3347" s="2129">
        <f t="shared" si="271"/>
        <v>1056.2494186074011</v>
      </c>
      <c r="CA3347" s="2129">
        <f t="shared" si="271"/>
        <v>1056.2494186074011</v>
      </c>
      <c r="CB3347" s="1734"/>
      <c r="CC3347" s="2132" t="s">
        <v>8175</v>
      </c>
      <c r="CD3347" s="2172">
        <f t="shared" si="268"/>
        <v>3.4280305824340416</v>
      </c>
    </row>
    <row r="3348" spans="2:82" ht="15.75">
      <c r="B3348" s="1968" t="s">
        <v>8167</v>
      </c>
      <c r="C3348" s="2181">
        <f ca="1">C3342-C3347</f>
        <v>-497.86905495803512</v>
      </c>
      <c r="BA3348" s="2153" t="s">
        <v>8150</v>
      </c>
      <c r="BB3348" s="2157">
        <f t="shared" ca="1" si="272"/>
        <v>0.38564156028543067</v>
      </c>
      <c r="BC3348" s="2157">
        <f t="shared" ca="1" si="270"/>
        <v>0.49524727261591556</v>
      </c>
      <c r="BD3348" s="2157">
        <f t="shared" ca="1" si="270"/>
        <v>0.50080490846023784</v>
      </c>
      <c r="BE3348" s="2157">
        <f t="shared" ca="1" si="270"/>
        <v>0.54956061236273523</v>
      </c>
      <c r="BF3348" s="2157">
        <f t="shared" ca="1" si="270"/>
        <v>0.56168950766607828</v>
      </c>
      <c r="BG3348" s="2157">
        <f t="shared" ca="1" si="270"/>
        <v>0.56800056985475178</v>
      </c>
      <c r="BH3348" s="2157">
        <f t="shared" ca="1" si="270"/>
        <v>0.57502519675545738</v>
      </c>
      <c r="BI3348" s="2157">
        <f t="shared" ca="1" si="270"/>
        <v>0.56991195609246603</v>
      </c>
      <c r="BJ3348" s="2157">
        <f t="shared" ca="1" si="270"/>
        <v>0.5693286325469552</v>
      </c>
      <c r="BK3348" s="1734"/>
      <c r="BL3348" s="1486" t="s">
        <v>8192</v>
      </c>
      <c r="BM3348" s="2171">
        <f>75%*BM3347</f>
        <v>0.14904480793191477</v>
      </c>
      <c r="BR3348" s="2153" t="s">
        <v>8150</v>
      </c>
      <c r="BS3348" s="2157">
        <f t="shared" ca="1" si="271"/>
        <v>6.8305990082436336</v>
      </c>
      <c r="BT3348" s="2157">
        <f t="shared" ca="1" si="271"/>
        <v>8.9474076320899769</v>
      </c>
      <c r="BU3348" s="2157">
        <f t="shared" ca="1" si="271"/>
        <v>9.2287712140371294</v>
      </c>
      <c r="BV3348" s="2157">
        <f t="shared" ca="1" si="271"/>
        <v>10.329780031194323</v>
      </c>
      <c r="BW3348" s="2157">
        <f t="shared" ca="1" si="271"/>
        <v>10.768915217152733</v>
      </c>
      <c r="BX3348" s="2157">
        <f t="shared" ca="1" si="271"/>
        <v>11.107711457146484</v>
      </c>
      <c r="BY3348" s="2157">
        <f t="shared" ca="1" si="271"/>
        <v>11.469985403601745</v>
      </c>
      <c r="BZ3348" s="2157">
        <f t="shared" ca="1" si="271"/>
        <v>11.595351806659412</v>
      </c>
      <c r="CA3348" s="2157">
        <f t="shared" ca="1" si="271"/>
        <v>11.815153256152243</v>
      </c>
      <c r="CB3348" s="1734"/>
      <c r="CC3348" s="1486" t="s">
        <v>8174</v>
      </c>
      <c r="CD3348" s="2171">
        <f t="shared" si="268"/>
        <v>0.19872641057588647</v>
      </c>
    </row>
    <row r="3349" spans="2:82" ht="15.75">
      <c r="BA3349" s="2128" t="s">
        <v>192</v>
      </c>
      <c r="BB3349" s="2148">
        <f t="shared" ca="1" si="272"/>
        <v>0.53058462522615546</v>
      </c>
      <c r="BC3349" s="2148">
        <f t="shared" ca="1" si="270"/>
        <v>0.81031676558569399</v>
      </c>
      <c r="BD3349" s="2148">
        <f t="shared" ca="1" si="270"/>
        <v>0.79124986719956136</v>
      </c>
      <c r="BE3349" s="2148">
        <f t="shared" ca="1" si="270"/>
        <v>0.78837826959073887</v>
      </c>
      <c r="BF3349" s="2148">
        <f t="shared" ca="1" si="270"/>
        <v>0.72008066137157312</v>
      </c>
      <c r="BG3349" s="2148">
        <f t="shared" ca="1" si="270"/>
        <v>0.68123842493191389</v>
      </c>
      <c r="BH3349" s="2148">
        <f t="shared" ca="1" si="270"/>
        <v>0.64109015288845361</v>
      </c>
      <c r="BI3349" s="2148">
        <f t="shared" ca="1" si="270"/>
        <v>0.65577441882843623</v>
      </c>
      <c r="BJ3349" s="2148">
        <f t="shared" ca="1" si="270"/>
        <v>0.65358435644130886</v>
      </c>
      <c r="BK3349" s="1734"/>
      <c r="BL3349" s="2149"/>
      <c r="BM3349" s="2147"/>
      <c r="BR3349" s="2128" t="s">
        <v>192</v>
      </c>
      <c r="BS3349" s="2148">
        <f t="shared" ca="1" si="271"/>
        <v>0.53058462522615546</v>
      </c>
      <c r="BT3349" s="2148">
        <f t="shared" ca="1" si="271"/>
        <v>0.81031676558569354</v>
      </c>
      <c r="BU3349" s="2148">
        <f t="shared" ca="1" si="271"/>
        <v>0.79124986719956159</v>
      </c>
      <c r="BV3349" s="2148">
        <f t="shared" ca="1" si="271"/>
        <v>0.78837826959073931</v>
      </c>
      <c r="BW3349" s="2148">
        <f t="shared" ca="1" si="271"/>
        <v>0.72008066137157312</v>
      </c>
      <c r="BX3349" s="2148">
        <f t="shared" ca="1" si="271"/>
        <v>0.68123842493191411</v>
      </c>
      <c r="BY3349" s="2148">
        <f t="shared" ca="1" si="271"/>
        <v>0.64109015288845383</v>
      </c>
      <c r="BZ3349" s="2148">
        <f t="shared" ca="1" si="271"/>
        <v>0.65577441882843623</v>
      </c>
      <c r="CA3349" s="2148">
        <f t="shared" ca="1" si="271"/>
        <v>0.65358435644130863</v>
      </c>
      <c r="CB3349" s="1734"/>
      <c r="CC3349" s="2149" t="s">
        <v>8192</v>
      </c>
      <c r="CD3349" s="2147">
        <f>0.75*CD3348</f>
        <v>0.14904480793191485</v>
      </c>
    </row>
    <row r="3350" spans="2:82" ht="15.75">
      <c r="B3350" s="1970" t="s">
        <v>8087</v>
      </c>
      <c r="C3350" s="1974">
        <v>7.4999999999999997E-2</v>
      </c>
      <c r="D3350" s="1968" t="s">
        <v>467</v>
      </c>
      <c r="F3350" s="1968"/>
      <c r="G3350" s="1968"/>
      <c r="H3350" s="1968"/>
      <c r="BA3350" s="2153" t="s">
        <v>28</v>
      </c>
      <c r="BB3350" s="2158">
        <f t="shared" ca="1" si="272"/>
        <v>0.13161827996089784</v>
      </c>
      <c r="BC3350" s="2158">
        <f t="shared" ca="1" si="270"/>
        <v>0.16902637290645581</v>
      </c>
      <c r="BD3350" s="2158">
        <f t="shared" ca="1" si="270"/>
        <v>0.17092317694888662</v>
      </c>
      <c r="BE3350" s="2158">
        <f t="shared" ca="1" si="270"/>
        <v>0.18756334892926116</v>
      </c>
      <c r="BF3350" s="2158">
        <f t="shared" ca="1" si="270"/>
        <v>0.19170290364029974</v>
      </c>
      <c r="BG3350" s="2158">
        <f t="shared" ca="1" si="270"/>
        <v>0.19385684977977877</v>
      </c>
      <c r="BH3350" s="2158">
        <f t="shared" ca="1" si="270"/>
        <v>0.19625433336363732</v>
      </c>
      <c r="BI3350" s="2158">
        <f t="shared" ca="1" si="270"/>
        <v>0.19450920003155836</v>
      </c>
      <c r="BJ3350" s="2158">
        <f t="shared" ca="1" si="270"/>
        <v>0.19431011349725433</v>
      </c>
      <c r="BK3350" s="1734"/>
      <c r="BL3350" s="1734"/>
      <c r="BM3350" s="1734"/>
      <c r="BR3350" s="2153" t="s">
        <v>28</v>
      </c>
      <c r="BS3350" s="2158">
        <f t="shared" ca="1" si="271"/>
        <v>0.13161827996089784</v>
      </c>
      <c r="BT3350" s="2158">
        <f t="shared" ca="1" si="271"/>
        <v>0.16902637290645578</v>
      </c>
      <c r="BU3350" s="2158">
        <f t="shared" ca="1" si="271"/>
        <v>0.17092317694888662</v>
      </c>
      <c r="BV3350" s="2158">
        <f t="shared" ca="1" si="271"/>
        <v>0.18756334892926119</v>
      </c>
      <c r="BW3350" s="2158">
        <f t="shared" ca="1" si="271"/>
        <v>0.19170290364029974</v>
      </c>
      <c r="BX3350" s="2158">
        <f t="shared" ca="1" si="271"/>
        <v>0.19385684977977877</v>
      </c>
      <c r="BY3350" s="2158">
        <f t="shared" ca="1" si="271"/>
        <v>0.19625433336363735</v>
      </c>
      <c r="BZ3350" s="2158">
        <f t="shared" ca="1" si="271"/>
        <v>0.19450920003155836</v>
      </c>
      <c r="CA3350" s="2158">
        <f t="shared" ca="1" si="271"/>
        <v>0.1943101134972543</v>
      </c>
      <c r="CB3350" s="1734"/>
      <c r="CC3350" s="1734"/>
      <c r="CD3350" s="1734"/>
    </row>
    <row r="3351" spans="2:82" ht="15.75">
      <c r="B3351" s="1970" t="s">
        <v>7880</v>
      </c>
      <c r="C3351" s="1973">
        <f>C3350*(1-H3304)</f>
        <v>5.2499999999999998E-2</v>
      </c>
      <c r="D3351" s="1968"/>
      <c r="F3351" s="1968"/>
      <c r="G3351" s="1968"/>
      <c r="H3351" s="1968"/>
      <c r="I3351" s="1968"/>
      <c r="J3351" s="1968"/>
      <c r="K3351" s="1968"/>
      <c r="L3351" s="1968"/>
      <c r="BA3351" s="1734"/>
      <c r="BB3351" s="1734"/>
      <c r="BC3351" s="1734"/>
      <c r="BD3351" s="1734"/>
      <c r="BE3351" s="1734"/>
      <c r="BF3351" s="1734"/>
      <c r="BG3351" s="1734"/>
      <c r="BH3351" s="1734"/>
      <c r="BI3351" s="1734"/>
      <c r="BJ3351" s="1734"/>
      <c r="BK3351" s="1734"/>
      <c r="BL3351" s="1734"/>
      <c r="BM3351" s="1734"/>
      <c r="BR3351" s="1734"/>
      <c r="BS3351" s="1734"/>
      <c r="BT3351" s="1734"/>
      <c r="BU3351" s="1734"/>
      <c r="BV3351" s="1734"/>
      <c r="BW3351" s="1734"/>
      <c r="BX3351" s="1734"/>
      <c r="BY3351" s="1734"/>
      <c r="BZ3351" s="1734"/>
      <c r="CA3351" s="1734"/>
      <c r="CB3351" s="1734"/>
      <c r="CC3351" s="1734"/>
      <c r="CD3351" s="1734"/>
    </row>
    <row r="3352" spans="2:82" ht="15.75">
      <c r="B3352" s="1968"/>
      <c r="C3352" s="1968"/>
      <c r="D3352" s="1968"/>
      <c r="E3352" s="1968"/>
      <c r="F3352" s="1968"/>
      <c r="G3352" s="1968"/>
      <c r="H3352" s="1968"/>
      <c r="I3352" s="1968"/>
      <c r="J3352" s="1968"/>
      <c r="K3352" s="1968"/>
      <c r="L3352" s="1968"/>
      <c r="BA3352" s="2135" t="s">
        <v>8147</v>
      </c>
      <c r="BB3352" s="2137">
        <f>BH3437</f>
        <v>3094.8107965196855</v>
      </c>
      <c r="BC3352" s="2137">
        <f t="shared" ref="BC3352:BJ3352" si="273">BI3437</f>
        <v>3094.8107965196855</v>
      </c>
      <c r="BD3352" s="2137">
        <f t="shared" si="273"/>
        <v>3094.8107965196855</v>
      </c>
      <c r="BE3352" s="2137">
        <f t="shared" si="273"/>
        <v>3094.8107965196855</v>
      </c>
      <c r="BF3352" s="2137">
        <f t="shared" si="273"/>
        <v>3094.8107965196855</v>
      </c>
      <c r="BG3352" s="2137">
        <f t="shared" si="273"/>
        <v>3094.8107965196855</v>
      </c>
      <c r="BH3352" s="2137">
        <f t="shared" si="273"/>
        <v>3094.8107965196855</v>
      </c>
      <c r="BI3352" s="2137">
        <f t="shared" si="273"/>
        <v>3094.8107965196855</v>
      </c>
      <c r="BJ3352" s="2137">
        <f t="shared" si="273"/>
        <v>3094.8107965196855</v>
      </c>
      <c r="BK3352" s="1734"/>
      <c r="BL3352" s="1734"/>
      <c r="BM3352" s="1734"/>
      <c r="BR3352" s="2135" t="s">
        <v>8147</v>
      </c>
      <c r="BS3352" s="2137">
        <f t="shared" ref="BS3352:CA3356" si="274">I3437</f>
        <v>54816.217271195623</v>
      </c>
      <c r="BT3352" s="2137">
        <f t="shared" si="274"/>
        <v>55912.541616619535</v>
      </c>
      <c r="BU3352" s="2137">
        <f t="shared" si="274"/>
        <v>57030.792448951928</v>
      </c>
      <c r="BV3352" s="2137">
        <f t="shared" si="274"/>
        <v>58171.408297930968</v>
      </c>
      <c r="BW3352" s="2137">
        <f t="shared" si="274"/>
        <v>59334.836463889587</v>
      </c>
      <c r="BX3352" s="2137">
        <f t="shared" si="274"/>
        <v>60521.533193167379</v>
      </c>
      <c r="BY3352" s="2137">
        <f t="shared" si="274"/>
        <v>61731.963857030729</v>
      </c>
      <c r="BZ3352" s="2137">
        <f t="shared" si="274"/>
        <v>62966.603134171339</v>
      </c>
      <c r="CA3352" s="2137">
        <f t="shared" si="274"/>
        <v>64225.935196854763</v>
      </c>
      <c r="CB3352" s="1734"/>
      <c r="CC3352" s="1734"/>
      <c r="CD3352" s="1734"/>
    </row>
    <row r="3353" spans="2:82" ht="15.75">
      <c r="B3353" s="1968"/>
      <c r="C3353" s="1968"/>
      <c r="D3353" s="1968"/>
      <c r="E3353" s="1968"/>
      <c r="F3353" s="2102">
        <f>I3291</f>
        <v>2027</v>
      </c>
      <c r="G3353" s="2102">
        <f t="shared" ref="G3353:L3353" si="275">J3291</f>
        <v>2028</v>
      </c>
      <c r="H3353" s="2102">
        <f t="shared" si="275"/>
        <v>2029</v>
      </c>
      <c r="I3353" s="2102">
        <f t="shared" si="275"/>
        <v>2030</v>
      </c>
      <c r="J3353" s="2102">
        <f t="shared" si="275"/>
        <v>2031</v>
      </c>
      <c r="K3353" s="2102">
        <f t="shared" si="275"/>
        <v>2032</v>
      </c>
      <c r="L3353" s="2102">
        <f t="shared" si="275"/>
        <v>2033</v>
      </c>
      <c r="M3353" s="2102">
        <f t="shared" ref="M3353" si="276">P3291</f>
        <v>2034</v>
      </c>
      <c r="N3353" s="2102">
        <f t="shared" ref="N3353" si="277">Q3291</f>
        <v>2035</v>
      </c>
      <c r="BA3353" s="2128" t="s">
        <v>1132</v>
      </c>
      <c r="BB3353" s="2129">
        <f ca="1">BH3438</f>
        <v>5221.9124603631208</v>
      </c>
      <c r="BC3353" s="2129">
        <f t="shared" ref="BC3353:BJ3356" ca="1" si="278">BI3438</f>
        <v>5144.6426586743019</v>
      </c>
      <c r="BD3353" s="2129">
        <f t="shared" ca="1" si="278"/>
        <v>4961.9681346829966</v>
      </c>
      <c r="BE3353" s="2129">
        <f t="shared" ca="1" si="278"/>
        <v>4762.416919799628</v>
      </c>
      <c r="BF3353" s="2129">
        <f t="shared" ca="1" si="278"/>
        <v>4548.2143008628909</v>
      </c>
      <c r="BG3353" s="2129">
        <f t="shared" ca="1" si="278"/>
        <v>4325.7850538276507</v>
      </c>
      <c r="BH3353" s="2129">
        <f t="shared" ca="1" si="278"/>
        <v>4095.443795324662</v>
      </c>
      <c r="BI3353" s="2129">
        <f t="shared" ca="1" si="278"/>
        <v>3870.954784610286</v>
      </c>
      <c r="BJ3353" s="2129">
        <f t="shared" ca="1" si="278"/>
        <v>3656.2057751044017</v>
      </c>
      <c r="BK3353" s="1734"/>
      <c r="BL3353" s="1734"/>
      <c r="BM3353" s="1734"/>
      <c r="BR3353" s="2128" t="s">
        <v>1132</v>
      </c>
      <c r="BS3353" s="2129">
        <f t="shared" ca="1" si="274"/>
        <v>92492.080071689707</v>
      </c>
      <c r="BT3353" s="2129">
        <f t="shared" ca="1" si="274"/>
        <v>92945.923246501567</v>
      </c>
      <c r="BU3353" s="2129">
        <f t="shared" ca="1" si="274"/>
        <v>91438.538066900248</v>
      </c>
      <c r="BV3353" s="2129">
        <f t="shared" ca="1" si="274"/>
        <v>89516.457496588919</v>
      </c>
      <c r="BW3353" s="2129">
        <f t="shared" ca="1" si="274"/>
        <v>87200.016249105436</v>
      </c>
      <c r="BX3353" s="2129">
        <f t="shared" ca="1" si="274"/>
        <v>84594.23238931183</v>
      </c>
      <c r="BY3353" s="2129">
        <f t="shared" ca="1" si="274"/>
        <v>81691.516856473085</v>
      </c>
      <c r="BZ3353" s="2129">
        <f t="shared" ca="1" si="274"/>
        <v>78757.924053703027</v>
      </c>
      <c r="CA3353" s="2129">
        <f t="shared" ca="1" si="274"/>
        <v>75876.443058262346</v>
      </c>
      <c r="CB3353" s="1734"/>
      <c r="CC3353" s="1734"/>
      <c r="CD3353" s="1734"/>
    </row>
    <row r="3354" spans="2:82" ht="15.75">
      <c r="B3354" s="1970" t="s">
        <v>8145</v>
      </c>
      <c r="C3354" s="140"/>
      <c r="D3354" s="1968"/>
      <c r="E3354" s="1968"/>
      <c r="F3354" s="795">
        <f ca="1">IF($C$3348&gt;0,$C$3351*$C$3348,0)</f>
        <v>0</v>
      </c>
      <c r="G3354" s="795">
        <f t="shared" ref="G3354:N3354" ca="1" si="279">IF($C$3348&gt;0,$C$3351*$C$3348,0)</f>
        <v>0</v>
      </c>
      <c r="H3354" s="795">
        <f t="shared" ca="1" si="279"/>
        <v>0</v>
      </c>
      <c r="I3354" s="795">
        <f t="shared" ca="1" si="279"/>
        <v>0</v>
      </c>
      <c r="J3354" s="795">
        <f t="shared" ca="1" si="279"/>
        <v>0</v>
      </c>
      <c r="K3354" s="795">
        <f t="shared" ca="1" si="279"/>
        <v>0</v>
      </c>
      <c r="L3354" s="795">
        <f t="shared" ca="1" si="279"/>
        <v>0</v>
      </c>
      <c r="M3354" s="795">
        <f t="shared" ca="1" si="279"/>
        <v>0</v>
      </c>
      <c r="N3354" s="795">
        <f t="shared" ca="1" si="279"/>
        <v>0</v>
      </c>
      <c r="BA3354" s="2135" t="s">
        <v>8148</v>
      </c>
      <c r="BB3354" s="2137">
        <f t="shared" ref="BB3354:BB3356" ca="1" si="280">BH3439</f>
        <v>8316.7232568828058</v>
      </c>
      <c r="BC3354" s="2137">
        <f t="shared" ca="1" si="278"/>
        <v>8239.4534551939869</v>
      </c>
      <c r="BD3354" s="2137">
        <f t="shared" ca="1" si="278"/>
        <v>8056.7789312026816</v>
      </c>
      <c r="BE3354" s="2137">
        <f t="shared" ca="1" si="278"/>
        <v>7857.2277163193139</v>
      </c>
      <c r="BF3354" s="2137">
        <f t="shared" ca="1" si="278"/>
        <v>7643.0250973825769</v>
      </c>
      <c r="BG3354" s="2137">
        <f t="shared" ca="1" si="278"/>
        <v>7420.5958503473357</v>
      </c>
      <c r="BH3354" s="2137">
        <f t="shared" ca="1" si="278"/>
        <v>7190.2545918443475</v>
      </c>
      <c r="BI3354" s="2137">
        <f t="shared" ca="1" si="278"/>
        <v>6965.7655811299719</v>
      </c>
      <c r="BJ3354" s="2137">
        <f t="shared" ca="1" si="278"/>
        <v>6751.0165716240872</v>
      </c>
      <c r="BK3354" s="1734"/>
      <c r="BL3354" s="1734"/>
      <c r="BM3354" s="1734"/>
      <c r="BR3354" s="2135" t="s">
        <v>8148</v>
      </c>
      <c r="BS3354" s="2137">
        <f t="shared" ca="1" si="274"/>
        <v>147308.29734288534</v>
      </c>
      <c r="BT3354" s="2137">
        <f t="shared" ca="1" si="274"/>
        <v>148858.4648631211</v>
      </c>
      <c r="BU3354" s="2137">
        <f t="shared" ca="1" si="274"/>
        <v>148469.33051585217</v>
      </c>
      <c r="BV3354" s="2137">
        <f t="shared" ca="1" si="274"/>
        <v>147687.86579451989</v>
      </c>
      <c r="BW3354" s="2137">
        <f t="shared" ca="1" si="274"/>
        <v>146534.85271299502</v>
      </c>
      <c r="BX3354" s="2137">
        <f t="shared" ca="1" si="274"/>
        <v>145115.76558247922</v>
      </c>
      <c r="BY3354" s="2137">
        <f t="shared" ca="1" si="274"/>
        <v>143423.48071350381</v>
      </c>
      <c r="BZ3354" s="2137">
        <f t="shared" ca="1" si="274"/>
        <v>141724.52718787437</v>
      </c>
      <c r="CA3354" s="2137">
        <f t="shared" ca="1" si="274"/>
        <v>140102.3782551171</v>
      </c>
      <c r="CB3354" s="1734"/>
      <c r="CC3354" s="1734"/>
      <c r="CD3354" s="1734"/>
    </row>
    <row r="3355" spans="2:82" ht="15.75">
      <c r="B3355" s="1970" t="s">
        <v>1255</v>
      </c>
      <c r="C3355" s="140"/>
      <c r="D3355" s="1968"/>
      <c r="E3355" s="1968"/>
      <c r="F3355" s="795">
        <f t="shared" ref="F3355:L3355" ca="1" si="281">E3355+F3354</f>
        <v>0</v>
      </c>
      <c r="G3355" s="795">
        <f t="shared" ca="1" si="281"/>
        <v>0</v>
      </c>
      <c r="H3355" s="795">
        <f t="shared" ca="1" si="281"/>
        <v>0</v>
      </c>
      <c r="I3355" s="795">
        <f t="shared" ca="1" si="281"/>
        <v>0</v>
      </c>
      <c r="J3355" s="795">
        <f t="shared" ca="1" si="281"/>
        <v>0</v>
      </c>
      <c r="K3355" s="795">
        <f t="shared" ca="1" si="281"/>
        <v>0</v>
      </c>
      <c r="L3355" s="795">
        <f t="shared" ca="1" si="281"/>
        <v>0</v>
      </c>
      <c r="M3355" s="795">
        <f t="shared" ref="M3355" ca="1" si="282">L3355+M3354</f>
        <v>0</v>
      </c>
      <c r="N3355" s="795">
        <f t="shared" ref="N3355" ca="1" si="283">M3355+N3354</f>
        <v>0</v>
      </c>
      <c r="BA3355" s="2128" t="s">
        <v>8149</v>
      </c>
      <c r="BB3355" s="2150">
        <f t="shared" ca="1" si="280"/>
        <v>4.2724813903187133</v>
      </c>
      <c r="BC3355" s="2150">
        <f t="shared" ca="1" si="278"/>
        <v>4.0670071735529731</v>
      </c>
      <c r="BD3355" s="2150">
        <f t="shared" ca="1" si="278"/>
        <v>3.9571754476789662</v>
      </c>
      <c r="BE3355" s="2150">
        <f t="shared" ca="1" si="278"/>
        <v>3.8115075367856779</v>
      </c>
      <c r="BF3355" s="2150">
        <f t="shared" ca="1" si="278"/>
        <v>3.6979882475419483</v>
      </c>
      <c r="BG3355" s="2150">
        <f t="shared" ca="1" si="278"/>
        <v>3.5933018058614241</v>
      </c>
      <c r="BH3355" s="2150">
        <f t="shared" ca="1" si="278"/>
        <v>3.4886199301517076</v>
      </c>
      <c r="BI3355" s="2150">
        <f t="shared" ca="1" si="278"/>
        <v>3.4215349568693534</v>
      </c>
      <c r="BJ3355" s="2150">
        <f t="shared" ca="1" si="278"/>
        <v>3.3356827407680689</v>
      </c>
      <c r="BK3355" s="1734"/>
      <c r="BL3355" s="1734"/>
      <c r="BM3355" s="1734"/>
      <c r="BR3355" s="2128" t="s">
        <v>8149</v>
      </c>
      <c r="BS3355" s="2150">
        <f t="shared" ca="1" si="274"/>
        <v>4.2724813903187142</v>
      </c>
      <c r="BT3355" s="2150">
        <f t="shared" ca="1" si="274"/>
        <v>4.0670071735529731</v>
      </c>
      <c r="BU3355" s="2150">
        <f t="shared" ca="1" si="274"/>
        <v>3.9571754476789662</v>
      </c>
      <c r="BV3355" s="2150">
        <f t="shared" ca="1" si="274"/>
        <v>3.8115075367856779</v>
      </c>
      <c r="BW3355" s="2150">
        <f t="shared" ca="1" si="274"/>
        <v>3.6979882475419483</v>
      </c>
      <c r="BX3355" s="2150">
        <f t="shared" ca="1" si="274"/>
        <v>3.593301805861425</v>
      </c>
      <c r="BY3355" s="2150">
        <f t="shared" ca="1" si="274"/>
        <v>3.4886199301517076</v>
      </c>
      <c r="BZ3355" s="2150">
        <f t="shared" ca="1" si="274"/>
        <v>3.4215349568693534</v>
      </c>
      <c r="CA3355" s="2150">
        <f t="shared" ca="1" si="274"/>
        <v>3.3356827407680689</v>
      </c>
      <c r="CB3355" s="1734"/>
      <c r="CC3355" s="1734"/>
      <c r="CD3355" s="1734"/>
    </row>
    <row r="3356" spans="2:82" ht="15.75">
      <c r="BA3356" s="2135" t="s">
        <v>192</v>
      </c>
      <c r="BB3356" s="2159">
        <f t="shared" ca="1" si="280"/>
        <v>0.23215364572815078</v>
      </c>
      <c r="BC3356" s="2159">
        <f t="shared" ca="1" si="278"/>
        <v>0.15088437018245626</v>
      </c>
      <c r="BD3356" s="2159">
        <f t="shared" ca="1" si="278"/>
        <v>0.15970836824343992</v>
      </c>
      <c r="BE3356" s="2159">
        <f t="shared" ca="1" si="278"/>
        <v>0.18305428893903763</v>
      </c>
      <c r="BF3356" s="2159">
        <f t="shared" ca="1" si="278"/>
        <v>0.23580412363798153</v>
      </c>
      <c r="BG3356" s="2159">
        <f t="shared" ca="1" si="278"/>
        <v>0.29722047051087896</v>
      </c>
      <c r="BH3356" s="2159">
        <f t="shared" ca="1" si="278"/>
        <v>0.36983523994207435</v>
      </c>
      <c r="BI3356" s="2159">
        <f t="shared" ca="1" si="278"/>
        <v>0.4423171934626986</v>
      </c>
      <c r="BJ3356" s="2159">
        <f t="shared" ca="1" si="278"/>
        <v>0.53393197351146804</v>
      </c>
      <c r="BK3356" s="1734"/>
      <c r="BL3356" s="1734"/>
      <c r="BM3356" s="1734"/>
      <c r="BR3356" s="2135" t="s">
        <v>192</v>
      </c>
      <c r="BS3356" s="2159">
        <f t="shared" ca="1" si="274"/>
        <v>0.232153645728151</v>
      </c>
      <c r="BT3356" s="2159">
        <f t="shared" ca="1" si="274"/>
        <v>0.15088437018245626</v>
      </c>
      <c r="BU3356" s="2159">
        <f t="shared" ca="1" si="274"/>
        <v>0.15970836824343992</v>
      </c>
      <c r="BV3356" s="2159">
        <f t="shared" ca="1" si="274"/>
        <v>0.18305428893903763</v>
      </c>
      <c r="BW3356" s="2159">
        <f t="shared" ca="1" si="274"/>
        <v>0.23580412363798153</v>
      </c>
      <c r="BX3356" s="2159">
        <f t="shared" ca="1" si="274"/>
        <v>0.29722047051087919</v>
      </c>
      <c r="BY3356" s="2159">
        <f t="shared" ca="1" si="274"/>
        <v>0.36983523994207435</v>
      </c>
      <c r="BZ3356" s="2159">
        <f t="shared" ca="1" si="274"/>
        <v>0.4423171934626986</v>
      </c>
      <c r="CA3356" s="2159">
        <f t="shared" ca="1" si="274"/>
        <v>0.53393197351146804</v>
      </c>
      <c r="CB3356" s="1734"/>
      <c r="CC3356" s="1734"/>
      <c r="CD3356" s="1734"/>
    </row>
    <row r="3360" spans="2:82">
      <c r="BA3360" s="2182"/>
      <c r="BB3360" s="2183">
        <f>Master!T7</f>
        <v>20.285521077724361</v>
      </c>
      <c r="BC3360" s="2183">
        <f>Master!U7</f>
        <v>20.11</v>
      </c>
      <c r="BD3360" s="2183">
        <f>Master!V7</f>
        <v>17.7</v>
      </c>
      <c r="BE3360" s="2183">
        <f>Master!W7</f>
        <v>18.3</v>
      </c>
      <c r="BF3360" s="2183">
        <f>Master!X7</f>
        <v>19.190000000000001</v>
      </c>
      <c r="BG3360" s="2183">
        <f>Master!Y7</f>
        <v>17.364999999999998</v>
      </c>
      <c r="BH3360" s="2183">
        <f>Master!Z7</f>
        <v>17.712299999999999</v>
      </c>
      <c r="BI3360" s="2183">
        <f>Master!AA7</f>
        <v>18.066545999999999</v>
      </c>
      <c r="BJ3360" s="2183">
        <f>Master!AB7</f>
        <v>18.427876919999999</v>
      </c>
      <c r="BK3360" s="2183">
        <f>Master!AC7</f>
        <v>18.7964344584</v>
      </c>
      <c r="BL3360" s="2183">
        <f>Master!AD7</f>
        <v>19.172363147567999</v>
      </c>
      <c r="BM3360" s="2183">
        <f>Master!AE7</f>
        <v>19.55581041051936</v>
      </c>
      <c r="BN3360" s="2183">
        <f>Master!AF7</f>
        <v>19.946926618729748</v>
      </c>
      <c r="BO3360" s="2183">
        <f>Master!AG7</f>
        <v>20.345865151104341</v>
      </c>
      <c r="BP3360" s="2183">
        <f>Master!AH7</f>
        <v>20.752782454126429</v>
      </c>
    </row>
    <row r="3362" spans="2:68">
      <c r="B3362" s="1969" t="s">
        <v>8184</v>
      </c>
      <c r="C3362" s="2098">
        <v>2021</v>
      </c>
      <c r="D3362" s="2098">
        <v>2022</v>
      </c>
      <c r="E3362" s="2098">
        <v>2023</v>
      </c>
      <c r="F3362" s="2098">
        <f>E3362+1</f>
        <v>2024</v>
      </c>
      <c r="G3362" s="2098">
        <f>F3362+1</f>
        <v>2025</v>
      </c>
      <c r="H3362" s="2098">
        <f>G3362+1</f>
        <v>2026</v>
      </c>
      <c r="I3362" s="2098">
        <f>H3362+1</f>
        <v>2027</v>
      </c>
      <c r="J3362" s="2098">
        <f>I3362+1</f>
        <v>2028</v>
      </c>
      <c r="K3362" s="2098">
        <f t="shared" ref="K3362:Q3362" si="284">J3362+1</f>
        <v>2029</v>
      </c>
      <c r="L3362" s="2098">
        <f t="shared" si="284"/>
        <v>2030</v>
      </c>
      <c r="M3362" s="2098">
        <f t="shared" si="284"/>
        <v>2031</v>
      </c>
      <c r="N3362" s="2098">
        <f t="shared" si="284"/>
        <v>2032</v>
      </c>
      <c r="O3362" s="2098">
        <f t="shared" si="284"/>
        <v>2033</v>
      </c>
      <c r="P3362" s="2098">
        <f t="shared" si="284"/>
        <v>2034</v>
      </c>
      <c r="Q3362" s="2098">
        <f t="shared" si="284"/>
        <v>2035</v>
      </c>
      <c r="BA3362" s="1969" t="s">
        <v>8209</v>
      </c>
      <c r="BB3362" s="2098">
        <v>2021</v>
      </c>
      <c r="BC3362" s="2098">
        <v>2022</v>
      </c>
      <c r="BD3362" s="2098">
        <v>2023</v>
      </c>
      <c r="BE3362" s="2098">
        <f>BD3362+1</f>
        <v>2024</v>
      </c>
      <c r="BF3362" s="2098">
        <f>BE3362+1</f>
        <v>2025</v>
      </c>
      <c r="BG3362" s="2098">
        <f>BF3362+1</f>
        <v>2026</v>
      </c>
      <c r="BH3362" s="2098">
        <f>BG3362+1</f>
        <v>2027</v>
      </c>
      <c r="BI3362" s="2098">
        <f>BH3362+1</f>
        <v>2028</v>
      </c>
      <c r="BJ3362" s="2098">
        <f t="shared" ref="BJ3362" si="285">BI3362+1</f>
        <v>2029</v>
      </c>
      <c r="BK3362" s="2098">
        <f t="shared" ref="BK3362" si="286">BJ3362+1</f>
        <v>2030</v>
      </c>
      <c r="BL3362" s="2098">
        <f t="shared" ref="BL3362" si="287">BK3362+1</f>
        <v>2031</v>
      </c>
      <c r="BM3362" s="2098">
        <f t="shared" ref="BM3362" si="288">BL3362+1</f>
        <v>2032</v>
      </c>
      <c r="BN3362" s="2098">
        <f t="shared" ref="BN3362" si="289">BM3362+1</f>
        <v>2033</v>
      </c>
      <c r="BO3362" s="2098">
        <f t="shared" ref="BO3362" si="290">BN3362+1</f>
        <v>2034</v>
      </c>
      <c r="BP3362" s="2098">
        <f t="shared" ref="BP3362" si="291">BO3362+1</f>
        <v>2035</v>
      </c>
    </row>
    <row r="3363" spans="2:68">
      <c r="C3363" s="2099"/>
      <c r="D3363" s="2099"/>
      <c r="E3363" s="2099"/>
      <c r="F3363" s="2099"/>
      <c r="G3363" s="2099"/>
      <c r="H3363" s="2099"/>
      <c r="I3363" s="2099"/>
      <c r="J3363" s="2099"/>
      <c r="K3363" s="3"/>
      <c r="L3363" s="3"/>
      <c r="M3363" s="3"/>
      <c r="N3363" s="3"/>
      <c r="O3363" s="3"/>
      <c r="P3363" s="3"/>
      <c r="Q3363" s="3"/>
      <c r="BB3363" s="2099"/>
      <c r="BC3363" s="2099"/>
      <c r="BD3363" s="2099"/>
      <c r="BE3363" s="2099"/>
      <c r="BF3363" s="2099"/>
      <c r="BG3363" s="2099"/>
      <c r="BH3363" s="2099"/>
      <c r="BI3363" s="2099"/>
      <c r="BJ3363" s="3"/>
      <c r="BK3363" s="3"/>
      <c r="BL3363" s="3"/>
      <c r="BM3363" s="3"/>
      <c r="BN3363" s="3"/>
      <c r="BO3363" s="3"/>
      <c r="BP3363" s="3"/>
    </row>
    <row r="3364" spans="2:68">
      <c r="B3364" t="s">
        <v>33</v>
      </c>
      <c r="C3364" s="647">
        <f>Master!T28</f>
        <v>103521.8</v>
      </c>
      <c r="D3364" s="647">
        <f>Master!U28</f>
        <v>75526.600000000006</v>
      </c>
      <c r="E3364" s="647">
        <f>Master!V28</f>
        <v>73767.900000000009</v>
      </c>
      <c r="F3364" s="647">
        <f>Master!W28</f>
        <v>62260.864000000001</v>
      </c>
      <c r="G3364" s="647">
        <f>Master!X28</f>
        <v>58878.2</v>
      </c>
      <c r="H3364" s="647">
        <f>Master!Y28</f>
        <v>57082.082599999994</v>
      </c>
      <c r="I3364" s="647">
        <f>Master!Z28</f>
        <v>54906.967513999989</v>
      </c>
      <c r="J3364" s="647">
        <f>Master!AA28</f>
        <v>52481.078674779994</v>
      </c>
      <c r="K3364" s="647">
        <f>Master!AB28</f>
        <v>51910.543243480584</v>
      </c>
      <c r="L3364" s="647">
        <f>Master!AC28</f>
        <v>52126.595162057252</v>
      </c>
      <c r="M3364" s="647">
        <f>Master!AD28</f>
        <v>52789.33237346766</v>
      </c>
      <c r="N3364" s="647">
        <f>Master!AE28</f>
        <v>53245.451176807837</v>
      </c>
      <c r="O3364" s="647">
        <f>Master!AF28</f>
        <v>53602.351070998826</v>
      </c>
      <c r="P3364" s="647">
        <f>Master!AG28</f>
        <v>52976.364798224429</v>
      </c>
      <c r="Q3364" s="647">
        <f>Master!AH28</f>
        <v>53267.726773023562</v>
      </c>
      <c r="BA3364" t="s">
        <v>33</v>
      </c>
      <c r="BB3364" s="647">
        <f>C3364/BB$3360</f>
        <v>5103.2359288851512</v>
      </c>
      <c r="BC3364" s="647">
        <f t="shared" ref="BC3364:BP3364" si="292">D3364/BC$3360</f>
        <v>3755.6737941322731</v>
      </c>
      <c r="BD3364" s="647">
        <f t="shared" si="292"/>
        <v>4167.6779661016953</v>
      </c>
      <c r="BE3364" s="647">
        <f t="shared" si="292"/>
        <v>3402.2330054644808</v>
      </c>
      <c r="BF3364" s="647">
        <f t="shared" si="292"/>
        <v>3068.170922355393</v>
      </c>
      <c r="BG3364" s="647">
        <f t="shared" si="292"/>
        <v>3287.191626835589</v>
      </c>
      <c r="BH3364" s="647">
        <f t="shared" si="292"/>
        <v>3099.9343684332352</v>
      </c>
      <c r="BI3364" s="647">
        <f t="shared" si="292"/>
        <v>2904.8761547879708</v>
      </c>
      <c r="BJ3364" s="647">
        <f t="shared" si="292"/>
        <v>2816.9573450505</v>
      </c>
      <c r="BK3364" s="647">
        <f t="shared" si="292"/>
        <v>2773.2171906019244</v>
      </c>
      <c r="BL3364" s="647">
        <f t="shared" si="292"/>
        <v>2753.4077029082327</v>
      </c>
      <c r="BM3364" s="647">
        <f t="shared" si="292"/>
        <v>2722.7432695996235</v>
      </c>
      <c r="BN3364" s="647">
        <f t="shared" si="292"/>
        <v>2687.2486220843334</v>
      </c>
      <c r="BO3364" s="647">
        <f t="shared" si="292"/>
        <v>2603.7902249317208</v>
      </c>
      <c r="BP3364" s="647">
        <f t="shared" si="292"/>
        <v>2566.7751729567208</v>
      </c>
    </row>
    <row r="3365" spans="2:68">
      <c r="B3365" s="1970" t="s">
        <v>34</v>
      </c>
      <c r="C3365" s="647">
        <f>Master!T63</f>
        <v>43601.599999999999</v>
      </c>
      <c r="D3365" s="647">
        <f>Master!U63</f>
        <v>25536.03</v>
      </c>
      <c r="E3365" s="647">
        <f>Master!V63</f>
        <v>24124.600000000002</v>
      </c>
      <c r="F3365" s="647">
        <f>Master!W63</f>
        <v>17692.015999999996</v>
      </c>
      <c r="G3365" s="647">
        <f>Master!X63</f>
        <v>21385.4</v>
      </c>
      <c r="H3365" s="647">
        <f>Master!Y63</f>
        <v>21683.037436526331</v>
      </c>
      <c r="I3365" s="647">
        <f>Master!Z63</f>
        <v>21241.153183097853</v>
      </c>
      <c r="J3365" s="647">
        <f>Master!AA63</f>
        <v>20722.529360417931</v>
      </c>
      <c r="K3365" s="647">
        <f>Master!AB63</f>
        <v>20756.802080019293</v>
      </c>
      <c r="L3365" s="647">
        <f>Master!AC63</f>
        <v>21103.824961091603</v>
      </c>
      <c r="M3365" s="647">
        <f>Master!AD63</f>
        <v>21636.085524170499</v>
      </c>
      <c r="N3365" s="647">
        <f>Master!AE63</f>
        <v>22089.256334643047</v>
      </c>
      <c r="O3365" s="647">
        <f>Master!AF63</f>
        <v>22505.330564338114</v>
      </c>
      <c r="P3365" s="647">
        <f>Master!AG63</f>
        <v>22507.3875734463</v>
      </c>
      <c r="Q3365" s="647">
        <f>Master!AH63</f>
        <v>22764.344109753874</v>
      </c>
      <c r="BA3365" s="1970" t="s">
        <v>34</v>
      </c>
      <c r="BB3365" s="647">
        <f>C3365/BB$3360</f>
        <v>2149.39511945193</v>
      </c>
      <c r="BC3365" s="647">
        <f t="shared" ref="BC3365" si="293">D3365/BC$3360</f>
        <v>1269.8175037294877</v>
      </c>
      <c r="BD3365" s="647">
        <f t="shared" ref="BD3365" si="294">E3365/BD$3360</f>
        <v>1362.9717514124295</v>
      </c>
      <c r="BE3365" s="647">
        <f t="shared" ref="BE3365" si="295">F3365/BE$3360</f>
        <v>966.77683060109268</v>
      </c>
      <c r="BF3365" s="647">
        <f t="shared" ref="BF3365" si="296">G3365/BF$3360</f>
        <v>1114.4033350703492</v>
      </c>
      <c r="BG3365" s="647">
        <f t="shared" ref="BG3365" si="297">H3365/BG$3360</f>
        <v>1248.6632557746232</v>
      </c>
      <c r="BH3365" s="647">
        <f t="shared" ref="BH3365" si="298">I3365/BH$3360</f>
        <v>1199.2317871252098</v>
      </c>
      <c r="BI3365" s="647">
        <f t="shared" ref="BI3365" si="299">J3365/BI$3360</f>
        <v>1147.0111309830852</v>
      </c>
      <c r="BJ3365" s="647">
        <f t="shared" ref="BJ3365" si="300">K3365/BJ$3360</f>
        <v>1126.3805467189595</v>
      </c>
      <c r="BK3365" s="647">
        <f t="shared" ref="BK3365" si="301">L3365/BK$3360</f>
        <v>1122.7568190019381</v>
      </c>
      <c r="BL3365" s="647">
        <f t="shared" ref="BL3365" si="302">M3365/BL$3360</f>
        <v>1128.5038447081065</v>
      </c>
      <c r="BM3365" s="647">
        <f t="shared" ref="BM3365" si="303">N3365/BM$3360</f>
        <v>1129.5495236935265</v>
      </c>
      <c r="BN3365" s="647">
        <f t="shared" ref="BN3365" si="304">O3365/BN$3360</f>
        <v>1128.260558356197</v>
      </c>
      <c r="BO3365" s="647">
        <f t="shared" ref="BO3365" si="305">P3365/BO$3360</f>
        <v>1106.2389043812489</v>
      </c>
      <c r="BP3365" s="647">
        <f t="shared" ref="BP3365" si="306">Q3365/BP$3360</f>
        <v>1096.92973267917</v>
      </c>
    </row>
    <row r="3366" spans="2:68">
      <c r="B3366" s="1970" t="s">
        <v>35</v>
      </c>
      <c r="C3366" s="647">
        <f>Master!T87</f>
        <v>23310.092270413064</v>
      </c>
      <c r="D3366" s="647">
        <f>Master!U87</f>
        <v>17214.16</v>
      </c>
      <c r="E3366" s="647">
        <f>Master!V87</f>
        <v>14503.380000000001</v>
      </c>
      <c r="F3366" s="647">
        <f>Master!W87</f>
        <v>9097.5</v>
      </c>
      <c r="G3366" s="647">
        <f>Master!X87</f>
        <v>12186.6</v>
      </c>
      <c r="H3366" s="647">
        <f>Master!Y87</f>
        <v>14278.20668726951</v>
      </c>
      <c r="I3366" s="647">
        <f>Master!Z87</f>
        <v>11169.233759721894</v>
      </c>
      <c r="J3366" s="647">
        <f>Master!AA87</f>
        <v>10295.922991520487</v>
      </c>
      <c r="K3366" s="647">
        <f>Master!AB87</f>
        <v>10007.361481214053</v>
      </c>
      <c r="L3366" s="647">
        <f>Master!AC87</f>
        <v>9842.9993612570379</v>
      </c>
      <c r="M3366" s="647">
        <f>Master!AD87</f>
        <v>9746.5970199636795</v>
      </c>
      <c r="N3366" s="647">
        <f>Master!AE87</f>
        <v>9717.2948397674299</v>
      </c>
      <c r="O3366" s="647">
        <f>Master!AF87</f>
        <v>9648.4231927797882</v>
      </c>
      <c r="P3366" s="647">
        <f>Master!AG87</f>
        <v>9535.7456636803963</v>
      </c>
      <c r="Q3366" s="647">
        <f>Master!AH87</f>
        <v>9588.1908191442399</v>
      </c>
      <c r="BA3366" s="1970" t="s">
        <v>35</v>
      </c>
      <c r="BB3366" s="647">
        <f>C3366/BB$3360</f>
        <v>1149.1000000000001</v>
      </c>
      <c r="BC3366" s="647">
        <f t="shared" ref="BC3366" si="307">D3366/BC$3360</f>
        <v>856</v>
      </c>
      <c r="BD3366" s="647">
        <f t="shared" ref="BD3366" si="308">E3366/BD$3360</f>
        <v>819.40000000000009</v>
      </c>
      <c r="BE3366" s="647">
        <f t="shared" ref="BE3366" si="309">F3366/BE$3360</f>
        <v>497.13114754098359</v>
      </c>
      <c r="BF3366" s="647">
        <f t="shared" ref="BF3366" si="310">G3366/BF$3360</f>
        <v>635.04950495049502</v>
      </c>
      <c r="BG3366" s="647">
        <f t="shared" ref="BG3366" si="311">H3366/BG$3360</f>
        <v>822.24052330950258</v>
      </c>
      <c r="BH3366" s="647">
        <f t="shared" ref="BH3366" si="312">I3366/BH$3360</f>
        <v>630.59194795265967</v>
      </c>
      <c r="BI3366" s="647">
        <f t="shared" ref="BI3366" si="313">J3366/BI$3360</f>
        <v>569.88884269967753</v>
      </c>
      <c r="BJ3366" s="647">
        <f t="shared" ref="BJ3366" si="314">K3366/BJ$3360</f>
        <v>543.05558500626523</v>
      </c>
      <c r="BK3366" s="647">
        <f t="shared" ref="BK3366" si="315">L3366/BK$3360</f>
        <v>523.66311190781551</v>
      </c>
      <c r="BL3366" s="647">
        <f t="shared" ref="BL3366" si="316">M3366/BL$3360</f>
        <v>508.36701479859192</v>
      </c>
      <c r="BM3366" s="647">
        <f t="shared" ref="BM3366" si="317">N3366/BM$3360</f>
        <v>496.90064670193129</v>
      </c>
      <c r="BN3366" s="647">
        <f t="shared" ref="BN3366" si="318">O3366/BN$3360</f>
        <v>483.70475197517999</v>
      </c>
      <c r="BO3366" s="647">
        <f t="shared" ref="BO3366" si="319">P3366/BO$3360</f>
        <v>468.68224048770969</v>
      </c>
      <c r="BP3366" s="647">
        <f t="shared" ref="BP3366" si="320">Q3366/BP$3360</f>
        <v>462.01953113220964</v>
      </c>
    </row>
    <row r="3367" spans="2:68">
      <c r="B3367" s="1970"/>
      <c r="C3367" s="647"/>
      <c r="D3367" s="647"/>
      <c r="E3367" s="647"/>
      <c r="F3367" s="647"/>
      <c r="G3367" s="647"/>
      <c r="H3367" s="647"/>
      <c r="I3367" s="647"/>
      <c r="J3367" s="647"/>
      <c r="K3367" s="647"/>
      <c r="L3367" s="647"/>
      <c r="M3367" s="647"/>
      <c r="N3367" s="647"/>
      <c r="O3367" s="647"/>
      <c r="P3367" s="647"/>
      <c r="Q3367" s="647"/>
      <c r="BA3367" s="1970"/>
      <c r="BB3367" s="647"/>
      <c r="BC3367" s="647"/>
      <c r="BD3367" s="647"/>
      <c r="BE3367" s="647"/>
      <c r="BF3367" s="647"/>
      <c r="BG3367" s="647"/>
      <c r="BH3367" s="647"/>
      <c r="BI3367" s="647"/>
      <c r="BJ3367" s="647"/>
      <c r="BK3367" s="647"/>
      <c r="BL3367" s="647"/>
      <c r="BM3367" s="647"/>
      <c r="BN3367" s="647"/>
      <c r="BO3367" s="647"/>
      <c r="BP3367" s="647"/>
    </row>
    <row r="3368" spans="2:68">
      <c r="B3368" s="1970" t="s">
        <v>1186</v>
      </c>
      <c r="C3368" s="647">
        <f>Master!T221</f>
        <v>109644.49999999999</v>
      </c>
      <c r="D3368" s="647">
        <f>Master!U221</f>
        <v>62478.7</v>
      </c>
      <c r="E3368" s="647">
        <f>Master!V221</f>
        <v>63241.117999999988</v>
      </c>
      <c r="F3368" s="647">
        <f>Master!W221</f>
        <v>62142.627</v>
      </c>
      <c r="G3368" s="647">
        <f>Master!X221</f>
        <v>55054.5</v>
      </c>
      <c r="H3368" s="647">
        <f ca="1">Master!Y221</f>
        <v>54653.494928780616</v>
      </c>
      <c r="I3368" s="647">
        <f ca="1">Master!Z221</f>
        <v>55342.041321279292</v>
      </c>
      <c r="J3368" s="647">
        <f ca="1">Master!AA221</f>
        <v>55795.884496091167</v>
      </c>
      <c r="K3368" s="647">
        <f ca="1">Master!AB221</f>
        <v>54288.499316489833</v>
      </c>
      <c r="L3368" s="647">
        <f ca="1">Master!AC221</f>
        <v>52366.418746178511</v>
      </c>
      <c r="M3368" s="647">
        <f ca="1">Master!AD221</f>
        <v>50049.977498695029</v>
      </c>
      <c r="N3368" s="647">
        <f ca="1">Master!AE221</f>
        <v>47444.193638901423</v>
      </c>
      <c r="O3368" s="647">
        <f ca="1">Master!AF221</f>
        <v>44541.47810606267</v>
      </c>
      <c r="P3368" s="647">
        <f ca="1">Master!AG221</f>
        <v>41607.88530329262</v>
      </c>
      <c r="Q3368" s="647">
        <f ca="1">Master!AH221</f>
        <v>38726.404307851932</v>
      </c>
      <c r="BA3368" s="1970" t="s">
        <v>1186</v>
      </c>
      <c r="BB3368" s="647">
        <f>C3368/BB$3360</f>
        <v>5405.0620430155577</v>
      </c>
      <c r="BC3368" s="647">
        <f t="shared" ref="BC3368:BP3368" si="321">D3368/BC$3360</f>
        <v>3106.8473396320237</v>
      </c>
      <c r="BD3368" s="647">
        <f t="shared" si="321"/>
        <v>3572.9445197740106</v>
      </c>
      <c r="BE3368" s="647">
        <f t="shared" si="321"/>
        <v>3395.7719672131147</v>
      </c>
      <c r="BF3368" s="647">
        <f t="shared" si="321"/>
        <v>2868.9161021365294</v>
      </c>
      <c r="BG3368" s="647">
        <f t="shared" ca="1" si="321"/>
        <v>3147.336304565541</v>
      </c>
      <c r="BH3368" s="647">
        <f t="shared" ca="1" si="321"/>
        <v>3124.4977400608218</v>
      </c>
      <c r="BI3368" s="647">
        <f t="shared" ca="1" si="321"/>
        <v>3088.3537172014603</v>
      </c>
      <c r="BJ3368" s="647">
        <f t="shared" ca="1" si="321"/>
        <v>2945.998584219426</v>
      </c>
      <c r="BK3368" s="647">
        <f t="shared" ca="1" si="321"/>
        <v>2785.9761840510296</v>
      </c>
      <c r="BL3368" s="647">
        <f t="shared" ca="1" si="321"/>
        <v>2610.5273050309311</v>
      </c>
      <c r="BM3368" s="647">
        <f t="shared" ca="1" si="321"/>
        <v>2426.0919206590634</v>
      </c>
      <c r="BN3368" s="647">
        <f t="shared" ca="1" si="321"/>
        <v>2232.9995471201642</v>
      </c>
      <c r="BO3368" s="647">
        <f t="shared" ca="1" si="321"/>
        <v>2045.0290510764646</v>
      </c>
      <c r="BP3368" s="647">
        <f t="shared" ca="1" si="321"/>
        <v>1866.0825069339883</v>
      </c>
    </row>
    <row r="3369" spans="2:68">
      <c r="B3369" s="2097" t="s">
        <v>41</v>
      </c>
      <c r="C3369" s="2100">
        <f t="shared" ref="C3369:Q3369" si="322">C3368/C3365</f>
        <v>2.5146898278962238</v>
      </c>
      <c r="D3369" s="2100">
        <f t="shared" si="322"/>
        <v>2.4466880717167077</v>
      </c>
      <c r="E3369" s="2100">
        <f t="shared" si="322"/>
        <v>2.6214369564676714</v>
      </c>
      <c r="F3369" s="2100">
        <f t="shared" si="322"/>
        <v>3.5124672620689474</v>
      </c>
      <c r="G3369" s="2100">
        <f t="shared" si="322"/>
        <v>2.5743965509179159</v>
      </c>
      <c r="H3369" s="2100">
        <f t="shared" ca="1" si="322"/>
        <v>2.5205645237098397</v>
      </c>
      <c r="I3369" s="2100">
        <f t="shared" ca="1" si="322"/>
        <v>2.6054160451757591</v>
      </c>
      <c r="J3369" s="2100">
        <f t="shared" ca="1" si="322"/>
        <v>2.6925228829771521</v>
      </c>
      <c r="K3369" s="2100">
        <f t="shared" ca="1" si="322"/>
        <v>2.615455844652895</v>
      </c>
      <c r="L3369" s="2100">
        <f t="shared" ca="1" si="322"/>
        <v>2.4813709762436278</v>
      </c>
      <c r="M3369" s="2100">
        <f t="shared" ca="1" si="322"/>
        <v>2.3132639886629347</v>
      </c>
      <c r="N3369" s="2100">
        <f t="shared" ca="1" si="322"/>
        <v>2.147840240528772</v>
      </c>
      <c r="O3369" s="2100">
        <f t="shared" ca="1" si="322"/>
        <v>1.9791523603142704</v>
      </c>
      <c r="P3369" s="2100">
        <f t="shared" ca="1" si="322"/>
        <v>1.8486323731493677</v>
      </c>
      <c r="Q3369" s="2100">
        <f t="shared" ca="1" si="322"/>
        <v>1.7011869141118268</v>
      </c>
      <c r="BA3369" s="2097" t="s">
        <v>41</v>
      </c>
      <c r="BB3369" s="2100">
        <f t="shared" ref="BB3369:BP3369" si="323">BB3368/BB3365</f>
        <v>2.5146898278962242</v>
      </c>
      <c r="BC3369" s="2100">
        <f t="shared" si="323"/>
        <v>2.4466880717167077</v>
      </c>
      <c r="BD3369" s="2100">
        <f t="shared" si="323"/>
        <v>2.6214369564676714</v>
      </c>
      <c r="BE3369" s="2100">
        <f t="shared" si="323"/>
        <v>3.5124672620689474</v>
      </c>
      <c r="BF3369" s="2100">
        <f t="shared" si="323"/>
        <v>2.5743965509179159</v>
      </c>
      <c r="BG3369" s="2100">
        <f t="shared" ca="1" si="323"/>
        <v>2.5205645237098397</v>
      </c>
      <c r="BH3369" s="2100">
        <f t="shared" ca="1" si="323"/>
        <v>2.6054160451757591</v>
      </c>
      <c r="BI3369" s="2100">
        <f t="shared" ca="1" si="323"/>
        <v>2.6925228829771521</v>
      </c>
      <c r="BJ3369" s="2100">
        <f t="shared" ca="1" si="323"/>
        <v>2.615455844652895</v>
      </c>
      <c r="BK3369" s="2100">
        <f t="shared" ca="1" si="323"/>
        <v>2.4813709762436282</v>
      </c>
      <c r="BL3369" s="2100">
        <f t="shared" ca="1" si="323"/>
        <v>2.3132639886629343</v>
      </c>
      <c r="BM3369" s="2100">
        <f t="shared" ca="1" si="323"/>
        <v>2.1478402405287715</v>
      </c>
      <c r="BN3369" s="2100">
        <f t="shared" ca="1" si="323"/>
        <v>1.9791523603142707</v>
      </c>
      <c r="BO3369" s="2100">
        <f t="shared" ca="1" si="323"/>
        <v>1.8486323731493677</v>
      </c>
      <c r="BP3369" s="2100">
        <f t="shared" ca="1" si="323"/>
        <v>1.7011869141118268</v>
      </c>
    </row>
    <row r="3370" spans="2:68">
      <c r="B3370" s="1970" t="s">
        <v>154</v>
      </c>
      <c r="C3370" s="647">
        <f>Anna!Z195*Master!T7</f>
        <v>-7009.8442704130648</v>
      </c>
      <c r="D3370" s="647">
        <f>Anna!AA195*Master!U7</f>
        <v>-18138.233500000006</v>
      </c>
      <c r="E3370" s="647">
        <f>Anna!AB195*Master!V7</f>
        <v>-6810.8890000000019</v>
      </c>
      <c r="F3370" s="647">
        <f>Anna!AC195*Master!W7</f>
        <v>5644.7154999999948</v>
      </c>
      <c r="G3370" s="647">
        <f>Anna!AD195*Master!X7</f>
        <v>3731.4521499999996</v>
      </c>
      <c r="H3370" s="647">
        <f ca="1">Anna!AE195*Master!Y7</f>
        <v>-76.819575503140811</v>
      </c>
      <c r="I3370" s="647">
        <f ca="1">Anna!AF195*Master!Z7</f>
        <v>2947.4885273966456</v>
      </c>
      <c r="J3370" s="647">
        <f ca="1">Anna!AG195*Master!AA7</f>
        <v>3264.3245356122443</v>
      </c>
      <c r="K3370" s="647">
        <f ca="1">Anna!AH195*Master!AB7</f>
        <v>3402.8153847449025</v>
      </c>
      <c r="L3370" s="647">
        <f ca="1">Anna!AI195*Master!AC7</f>
        <v>3814.8930620899168</v>
      </c>
      <c r="M3370" s="647">
        <f ca="1">Anna!AJ195*Master!AD7</f>
        <v>4134.9839081017044</v>
      </c>
      <c r="N3370" s="647">
        <f ca="1">Anna!AK195*Master!AE7</f>
        <v>4363.610332773349</v>
      </c>
      <c r="O3370" s="647">
        <f ca="1">Anna!AL195*Master!AF7</f>
        <v>4616.1626718288826</v>
      </c>
      <c r="P3370" s="647">
        <f ca="1">Anna!AM195*Master!AG7</f>
        <v>4625.2311336997018</v>
      </c>
      <c r="Q3370" s="647">
        <f ca="1">Anna!AN195*Master!AH7</f>
        <v>4719.1489309151693</v>
      </c>
      <c r="BA3370" s="1970" t="s">
        <v>154</v>
      </c>
      <c r="BB3370" s="647">
        <f>C3370/BB$3360</f>
        <v>-345.55899469156907</v>
      </c>
      <c r="BC3370" s="647">
        <f t="shared" ref="BC3370:BP3370" si="324">D3370/BC$3360</f>
        <v>-901.95094480358057</v>
      </c>
      <c r="BD3370" s="647">
        <f t="shared" si="324"/>
        <v>-384.79598870056509</v>
      </c>
      <c r="BE3370" s="647">
        <f t="shared" si="324"/>
        <v>308.45439890710355</v>
      </c>
      <c r="BF3370" s="647">
        <f t="shared" si="324"/>
        <v>194.44774101094316</v>
      </c>
      <c r="BG3370" s="647">
        <f t="shared" ca="1" si="324"/>
        <v>-4.423816614059362</v>
      </c>
      <c r="BH3370" s="647">
        <f t="shared" ca="1" si="324"/>
        <v>166.40913531255939</v>
      </c>
      <c r="BI3370" s="647">
        <f t="shared" ca="1" si="324"/>
        <v>180.68337664610848</v>
      </c>
      <c r="BJ3370" s="647">
        <f t="shared" ca="1" si="324"/>
        <v>184.65585588168247</v>
      </c>
      <c r="BK3370" s="647">
        <f t="shared" ca="1" si="324"/>
        <v>202.95833608937821</v>
      </c>
      <c r="BL3370" s="647">
        <f t="shared" ca="1" si="324"/>
        <v>215.67419082744757</v>
      </c>
      <c r="BM3370" s="647">
        <f t="shared" ca="1" si="324"/>
        <v>223.13625675293409</v>
      </c>
      <c r="BN3370" s="647">
        <f t="shared" ca="1" si="324"/>
        <v>231.42225166128611</v>
      </c>
      <c r="BO3370" s="647">
        <f t="shared" ca="1" si="324"/>
        <v>227.33027567759396</v>
      </c>
      <c r="BP3370" s="647">
        <f t="shared" ca="1" si="324"/>
        <v>227.39837134354127</v>
      </c>
    </row>
    <row r="3371" spans="2:68">
      <c r="B3371" s="1970" t="s">
        <v>8143</v>
      </c>
      <c r="C3371" s="647">
        <f>Master!T573</f>
        <v>573.38307692307694</v>
      </c>
      <c r="D3371" s="647">
        <f>Master!U573</f>
        <v>573.38307692307694</v>
      </c>
      <c r="E3371" s="647">
        <f>Master!V573</f>
        <v>553.80598290598289</v>
      </c>
      <c r="F3371" s="647">
        <f>Master!W573</f>
        <v>539.23384615384612</v>
      </c>
      <c r="G3371" s="647">
        <f>Master!X573</f>
        <v>531.8201709401709</v>
      </c>
      <c r="H3371" s="647">
        <f>Master!Y573</f>
        <v>531.8201709401709</v>
      </c>
      <c r="I3371" s="647">
        <f>Master!Z573</f>
        <v>660.46632478632478</v>
      </c>
      <c r="J3371" s="647">
        <f>Master!AA573</f>
        <v>660.46632478632478</v>
      </c>
      <c r="K3371" s="647">
        <f>Master!AB573</f>
        <v>660.46632478632478</v>
      </c>
      <c r="L3371" s="647">
        <f>Master!AC573</f>
        <v>660.46632478632478</v>
      </c>
      <c r="M3371" s="647">
        <f>Master!AD573</f>
        <v>660.46632478632478</v>
      </c>
      <c r="N3371" s="647">
        <f>Master!AE573</f>
        <v>660.46632478632478</v>
      </c>
      <c r="O3371" s="647">
        <f>Master!AF573</f>
        <v>660.46632478632478</v>
      </c>
      <c r="P3371" s="647">
        <f>Master!AG573</f>
        <v>660.46632478632478</v>
      </c>
      <c r="Q3371" s="647">
        <f>Master!AH573</f>
        <v>660.46632478632478</v>
      </c>
      <c r="BA3371" s="1970" t="s">
        <v>8143</v>
      </c>
      <c r="BB3371" s="647">
        <f>C3371</f>
        <v>573.38307692307694</v>
      </c>
      <c r="BC3371" s="647">
        <f t="shared" ref="BC3371:BP3371" si="325">D3371</f>
        <v>573.38307692307694</v>
      </c>
      <c r="BD3371" s="647">
        <f t="shared" si="325"/>
        <v>553.80598290598289</v>
      </c>
      <c r="BE3371" s="647">
        <f t="shared" si="325"/>
        <v>539.23384615384612</v>
      </c>
      <c r="BF3371" s="647">
        <f t="shared" si="325"/>
        <v>531.8201709401709</v>
      </c>
      <c r="BG3371" s="647">
        <f t="shared" si="325"/>
        <v>531.8201709401709</v>
      </c>
      <c r="BH3371" s="647">
        <f t="shared" si="325"/>
        <v>660.46632478632478</v>
      </c>
      <c r="BI3371" s="647">
        <f t="shared" si="325"/>
        <v>660.46632478632478</v>
      </c>
      <c r="BJ3371" s="647">
        <f t="shared" si="325"/>
        <v>660.46632478632478</v>
      </c>
      <c r="BK3371" s="647">
        <f t="shared" si="325"/>
        <v>660.46632478632478</v>
      </c>
      <c r="BL3371" s="647">
        <f t="shared" si="325"/>
        <v>660.46632478632478</v>
      </c>
      <c r="BM3371" s="647">
        <f t="shared" si="325"/>
        <v>660.46632478632478</v>
      </c>
      <c r="BN3371" s="647">
        <f t="shared" si="325"/>
        <v>660.46632478632478</v>
      </c>
      <c r="BO3371" s="647">
        <f t="shared" si="325"/>
        <v>660.46632478632478</v>
      </c>
      <c r="BP3371" s="647">
        <f t="shared" si="325"/>
        <v>660.46632478632478</v>
      </c>
    </row>
    <row r="3372" spans="2:68">
      <c r="B3372" s="2097" t="s">
        <v>8142</v>
      </c>
      <c r="C3372" s="2116">
        <f>C3370/C3371</f>
        <v>-12.225411862571383</v>
      </c>
      <c r="D3372" s="2116">
        <f t="shared" ref="D3372:Q3372" si="326">D3370/D3371</f>
        <v>-31.633709172817753</v>
      </c>
      <c r="E3372" s="2116">
        <f t="shared" si="326"/>
        <v>-12.298330480760182</v>
      </c>
      <c r="F3372" s="2116">
        <f t="shared" si="326"/>
        <v>10.46802892708172</v>
      </c>
      <c r="G3372" s="2116">
        <f t="shared" si="326"/>
        <v>7.0163795092679617</v>
      </c>
      <c r="H3372" s="2116">
        <f t="shared" ca="1" si="326"/>
        <v>-0.14444652478550482</v>
      </c>
      <c r="I3372" s="2116">
        <f ca="1">I3370/I3371</f>
        <v>4.4627385481768842</v>
      </c>
      <c r="J3372" s="2116">
        <f t="shared" ca="1" si="326"/>
        <v>4.9424541617141866</v>
      </c>
      <c r="K3372" s="2116">
        <f t="shared" ca="1" si="326"/>
        <v>5.1521406270725265</v>
      </c>
      <c r="L3372" s="2116">
        <f t="shared" ca="1" si="326"/>
        <v>5.7760599124022223</v>
      </c>
      <c r="M3372" s="2116">
        <f t="shared" ca="1" si="326"/>
        <v>6.2607036164023375</v>
      </c>
      <c r="N3372" s="2116">
        <f t="shared" ca="1" si="326"/>
        <v>6.6068627105024191</v>
      </c>
      <c r="O3372" s="2116">
        <f t="shared" ca="1" si="326"/>
        <v>6.9892475946026646</v>
      </c>
      <c r="P3372" s="2116">
        <f t="shared" ca="1" si="326"/>
        <v>7.0029779871003486</v>
      </c>
      <c r="Q3372" s="2116">
        <f t="shared" ca="1" si="326"/>
        <v>7.1451772086062322</v>
      </c>
      <c r="BA3372" s="2097" t="s">
        <v>8142</v>
      </c>
      <c r="BB3372" s="2116">
        <f>BB3370/BB3371</f>
        <v>-0.60266688815778924</v>
      </c>
      <c r="BC3372" s="2116">
        <f t="shared" ref="BC3372:BG3372" si="327">BC3370/BC3371</f>
        <v>-1.5730337728899926</v>
      </c>
      <c r="BD3372" s="2116">
        <f t="shared" si="327"/>
        <v>-0.69482093111639454</v>
      </c>
      <c r="BE3372" s="2116">
        <f t="shared" si="327"/>
        <v>0.57202343863834537</v>
      </c>
      <c r="BF3372" s="2116">
        <f t="shared" si="327"/>
        <v>0.36562686343241069</v>
      </c>
      <c r="BG3372" s="2116">
        <f t="shared" ca="1" si="327"/>
        <v>-8.3182565381805275E-3</v>
      </c>
      <c r="BH3372" s="2116">
        <f ca="1">BH3370/BH3371</f>
        <v>0.25195703258057306</v>
      </c>
      <c r="BI3372" s="2116">
        <f t="shared" ref="BI3372:BP3372" ca="1" si="328">BI3370/BI3371</f>
        <v>0.27356940068755736</v>
      </c>
      <c r="BJ3372" s="2116">
        <f t="shared" ca="1" si="328"/>
        <v>0.27958405894717292</v>
      </c>
      <c r="BK3372" s="2116">
        <f t="shared" ca="1" si="328"/>
        <v>0.30729550996417515</v>
      </c>
      <c r="BL3372" s="2116">
        <f t="shared" ca="1" si="328"/>
        <v>0.32654835338837734</v>
      </c>
      <c r="BM3372" s="2116">
        <f t="shared" ca="1" si="328"/>
        <v>0.33784653112348084</v>
      </c>
      <c r="BN3372" s="2116">
        <f t="shared" ca="1" si="328"/>
        <v>0.35039220468379861</v>
      </c>
      <c r="BO3372" s="2116">
        <f t="shared" ca="1" si="328"/>
        <v>0.34419661858027395</v>
      </c>
      <c r="BP3372" s="2116">
        <f t="shared" ca="1" si="328"/>
        <v>0.34429972098442657</v>
      </c>
    </row>
    <row r="3373" spans="2:68">
      <c r="B3373" s="1970" t="s">
        <v>77</v>
      </c>
      <c r="C3373" s="1972">
        <f t="shared" ref="C3373:Q3373" si="329">C3374*C3365</f>
        <v>126865.12154659508</v>
      </c>
      <c r="D3373" s="1972">
        <f t="shared" si="329"/>
        <v>79550.31960371371</v>
      </c>
      <c r="E3373" s="1972">
        <f t="shared" si="329"/>
        <v>77251.572096733551</v>
      </c>
      <c r="F3373" s="1972">
        <f t="shared" si="329"/>
        <v>75846.668343567653</v>
      </c>
      <c r="G3373" s="1972">
        <f t="shared" si="329"/>
        <v>69008.175550653585</v>
      </c>
      <c r="H3373" s="1972">
        <f t="shared" ca="1" si="329"/>
        <v>67280.153393454908</v>
      </c>
      <c r="I3373" s="1972">
        <f t="shared" ca="1" si="329"/>
        <v>73653.502546806019</v>
      </c>
      <c r="J3373" s="1972">
        <f t="shared" ca="1" si="329"/>
        <v>73229.490074333575</v>
      </c>
      <c r="K3373" s="1972">
        <f t="shared" ca="1" si="329"/>
        <v>70826.692134502213</v>
      </c>
      <c r="L3373" s="1972">
        <f t="shared" ca="1" si="329"/>
        <v>67991.290548756268</v>
      </c>
      <c r="M3373" s="1972">
        <f t="shared" ca="1" si="329"/>
        <v>64743.261865529457</v>
      </c>
      <c r="N3373" s="1972">
        <f t="shared" ca="1" si="329"/>
        <v>61187.258821277683</v>
      </c>
      <c r="O3373" s="1972">
        <f t="shared" ca="1" si="329"/>
        <v>57315.319720291584</v>
      </c>
      <c r="P3373" s="1972">
        <f t="shared" ca="1" si="329"/>
        <v>53393.118878011242</v>
      </c>
      <c r="Q3373" s="1972">
        <f t="shared" ca="1" si="329"/>
        <v>49503.257682270058</v>
      </c>
      <c r="BA3373" s="1970" t="s">
        <v>77</v>
      </c>
      <c r="BB3373" s="1972">
        <f t="shared" ref="BB3373:BP3373" si="330">BB3374*BB3365</f>
        <v>6253.9740073971443</v>
      </c>
      <c r="BC3373" s="1972">
        <f t="shared" si="330"/>
        <v>3955.7593040136103</v>
      </c>
      <c r="BD3373" s="1972">
        <f t="shared" si="330"/>
        <v>4364.4955986855111</v>
      </c>
      <c r="BE3373" s="1972">
        <f t="shared" si="330"/>
        <v>4144.626685440855</v>
      </c>
      <c r="BF3373" s="1972">
        <f t="shared" si="330"/>
        <v>3596.0487519882013</v>
      </c>
      <c r="BG3373" s="1972">
        <f t="shared" ca="1" si="330"/>
        <v>3874.4689544172129</v>
      </c>
      <c r="BH3373" s="1972">
        <f t="shared" ca="1" si="330"/>
        <v>4158.3251495743652</v>
      </c>
      <c r="BI3373" s="1972">
        <f t="shared" ca="1" si="330"/>
        <v>4053.3198805313191</v>
      </c>
      <c r="BJ3373" s="1972">
        <f t="shared" ca="1" si="330"/>
        <v>3843.4537218790056</v>
      </c>
      <c r="BK3373" s="1972">
        <f t="shared" ca="1" si="330"/>
        <v>3617.2440416417071</v>
      </c>
      <c r="BL3373" s="1972">
        <f t="shared" ca="1" si="330"/>
        <v>3376.9056723579797</v>
      </c>
      <c r="BM3373" s="1972">
        <f t="shared" ca="1" si="330"/>
        <v>3128.8531406688294</v>
      </c>
      <c r="BN3373" s="1972">
        <f t="shared" ca="1" si="330"/>
        <v>2873.3910148580831</v>
      </c>
      <c r="BO3373" s="1972">
        <f t="shared" ca="1" si="330"/>
        <v>2624.2737028615934</v>
      </c>
      <c r="BP3373" s="1972">
        <f t="shared" ca="1" si="330"/>
        <v>2385.3792999418715</v>
      </c>
    </row>
    <row r="3374" spans="2:68">
      <c r="B3374" s="1970" t="s">
        <v>22</v>
      </c>
      <c r="C3374" s="2101">
        <f>Valuation!Q44</f>
        <v>2.9096437182716937</v>
      </c>
      <c r="D3374" s="2101">
        <f>Valuation!R44</f>
        <v>3.1152187557624935</v>
      </c>
      <c r="E3374" s="2101">
        <f>Valuation!S44</f>
        <v>3.2021907968104566</v>
      </c>
      <c r="F3374" s="2101">
        <f>Valuation!T44</f>
        <v>4.2870562825382743</v>
      </c>
      <c r="G3374" s="2101">
        <f>Valuation!U44</f>
        <v>3.2268826185459978</v>
      </c>
      <c r="H3374" s="2101">
        <f ca="1">Valuation!V44</f>
        <v>3.1028933833835288</v>
      </c>
      <c r="I3374" s="2101">
        <f ca="1">Valuation!W44</f>
        <v>3.4674907671874453</v>
      </c>
      <c r="J3374" s="2101">
        <f ca="1">Valuation!X44</f>
        <v>3.5338104147753846</v>
      </c>
      <c r="K3374" s="2101">
        <f ca="1">Valuation!Y44</f>
        <v>3.4122159984692777</v>
      </c>
      <c r="L3374" s="2101">
        <f ca="1">Valuation!Z44</f>
        <v>3.2217520129222774</v>
      </c>
      <c r="M3374" s="2101">
        <f ca="1">Valuation!AA44</f>
        <v>2.9923740961923211</v>
      </c>
      <c r="N3374" s="2101">
        <f ca="1">Valuation!AB44</f>
        <v>2.7700008499297648</v>
      </c>
      <c r="O3374" s="2101">
        <f ca="1">Valuation!AC44</f>
        <v>2.5467441838474163</v>
      </c>
      <c r="P3374" s="2101">
        <f ca="1">Valuation!AD44</f>
        <v>2.3722486096522024</v>
      </c>
      <c r="Q3374" s="2101">
        <f ca="1">Valuation!AE44</f>
        <v>2.1745962652646478</v>
      </c>
      <c r="BA3374" s="1970" t="s">
        <v>22</v>
      </c>
      <c r="BB3374" s="2101">
        <f>C3374</f>
        <v>2.9096437182716937</v>
      </c>
      <c r="BC3374" s="2101">
        <f t="shared" ref="BC3374:BP3374" si="331">D3374</f>
        <v>3.1152187557624935</v>
      </c>
      <c r="BD3374" s="2101">
        <f t="shared" si="331"/>
        <v>3.2021907968104566</v>
      </c>
      <c r="BE3374" s="2101">
        <f t="shared" si="331"/>
        <v>4.2870562825382743</v>
      </c>
      <c r="BF3374" s="2101">
        <f t="shared" si="331"/>
        <v>3.2268826185459978</v>
      </c>
      <c r="BG3374" s="2101">
        <f t="shared" ca="1" si="331"/>
        <v>3.1028933833835288</v>
      </c>
      <c r="BH3374" s="2101">
        <f t="shared" ca="1" si="331"/>
        <v>3.4674907671874453</v>
      </c>
      <c r="BI3374" s="2101">
        <f t="shared" ca="1" si="331"/>
        <v>3.5338104147753846</v>
      </c>
      <c r="BJ3374" s="2101">
        <f t="shared" ca="1" si="331"/>
        <v>3.4122159984692777</v>
      </c>
      <c r="BK3374" s="2101">
        <f t="shared" ca="1" si="331"/>
        <v>3.2217520129222774</v>
      </c>
      <c r="BL3374" s="2101">
        <f t="shared" ca="1" si="331"/>
        <v>2.9923740961923211</v>
      </c>
      <c r="BM3374" s="2101">
        <f t="shared" ca="1" si="331"/>
        <v>2.7700008499297648</v>
      </c>
      <c r="BN3374" s="2101">
        <f t="shared" ca="1" si="331"/>
        <v>2.5467441838474163</v>
      </c>
      <c r="BO3374" s="2101">
        <f t="shared" ca="1" si="331"/>
        <v>2.3722486096522024</v>
      </c>
      <c r="BP3374" s="2101">
        <f t="shared" ca="1" si="331"/>
        <v>2.1745962652646478</v>
      </c>
    </row>
    <row r="3375" spans="2:68">
      <c r="B3375" s="1970" t="s">
        <v>2177</v>
      </c>
      <c r="C3375" s="1972">
        <f>Valuation!$B$2*Analysis!C3371*$C$3315</f>
        <v>28980.214165384616</v>
      </c>
      <c r="D3375" s="1972">
        <f>Valuation!$B$2*Analysis!D3371*$C$3315</f>
        <v>28980.214165384616</v>
      </c>
      <c r="E3375" s="1972">
        <f>Valuation!$B$2*Analysis!E3371*$C$3315</f>
        <v>27990.738891025641</v>
      </c>
      <c r="F3375" s="1972">
        <f>Valuation!$B$2*Analysis!F3371*$C$3315</f>
        <v>27254.226669230768</v>
      </c>
      <c r="G3375" s="1972">
        <f>Valuation!$B$2*Analysis!G3371*$C$3315</f>
        <v>26879.520989743589</v>
      </c>
      <c r="H3375" s="1972">
        <f>Valuation!$B$2*Analysis!H3371*$C$3315</f>
        <v>26879.520989743589</v>
      </c>
      <c r="I3375" s="1972">
        <f>Valuation!$B$2*Analysis!I3371*$C$3315</f>
        <v>33381.619220512825</v>
      </c>
      <c r="J3375" s="1972">
        <f>Valuation!$B$2*Analysis!J3371*$C$3315</f>
        <v>33381.619220512825</v>
      </c>
      <c r="K3375" s="1972">
        <f>Valuation!$B$2*Analysis!K3371*$C$3315</f>
        <v>33381.619220512825</v>
      </c>
      <c r="L3375" s="1972">
        <f>Valuation!$B$2*Analysis!L3371*$C$3315</f>
        <v>33381.619220512825</v>
      </c>
      <c r="M3375" s="1972">
        <f>Valuation!$B$2*Analysis!M3371*$C$3315</f>
        <v>33381.619220512825</v>
      </c>
      <c r="N3375" s="1972">
        <f>Valuation!$B$2*Analysis!N3371*$C$3315</f>
        <v>33381.619220512825</v>
      </c>
      <c r="O3375" s="1972">
        <f>Valuation!$B$2*Analysis!O3371*$C$3315</f>
        <v>33381.619220512825</v>
      </c>
      <c r="P3375" s="1972">
        <f>Valuation!$B$2*Analysis!P3371*$C$3315</f>
        <v>33381.619220512825</v>
      </c>
      <c r="Q3375" s="1972">
        <f>Valuation!$B$2*Analysis!Q3371*$C$3315</f>
        <v>33381.619220512825</v>
      </c>
      <c r="BA3375" s="1970" t="s">
        <v>2177</v>
      </c>
      <c r="BB3375" s="1972">
        <f>Valuation!Q10</f>
        <v>1680.0124153846155</v>
      </c>
      <c r="BC3375" s="1972">
        <f>Valuation!R10</f>
        <v>1680.0124153846155</v>
      </c>
      <c r="BD3375" s="1972">
        <f>Valuation!S10</f>
        <v>1622.6515299145299</v>
      </c>
      <c r="BE3375" s="1972">
        <f>Valuation!T10</f>
        <v>1579.9551692307691</v>
      </c>
      <c r="BF3375" s="1972">
        <f>Valuation!U10</f>
        <v>1558.2331008547008</v>
      </c>
      <c r="BG3375" s="1972">
        <f>Valuation!V10</f>
        <v>1558.2331008547008</v>
      </c>
      <c r="BH3375" s="1972">
        <f>Valuation!W10</f>
        <v>1935.1663316239317</v>
      </c>
      <c r="BI3375" s="1972">
        <f>Valuation!X10</f>
        <v>1935.1663316239317</v>
      </c>
      <c r="BJ3375" s="1972">
        <f>Valuation!Y10</f>
        <v>1935.1663316239317</v>
      </c>
      <c r="BK3375" s="1972">
        <f>Valuation!Z10</f>
        <v>1935.1663316239317</v>
      </c>
      <c r="BL3375" s="1972">
        <f>Valuation!AA10</f>
        <v>1935.1663316239317</v>
      </c>
      <c r="BM3375" s="1972">
        <f>Valuation!AB10</f>
        <v>1935.1663316239317</v>
      </c>
      <c r="BN3375" s="1972">
        <f>Valuation!AC10</f>
        <v>1935.1663316239317</v>
      </c>
      <c r="BO3375" s="1972">
        <f>Valuation!AD10</f>
        <v>1935.1663316239317</v>
      </c>
      <c r="BP3375" s="1972">
        <f>Valuation!AE10</f>
        <v>1935.1663316239317</v>
      </c>
    </row>
    <row r="3379" spans="2:17" hidden="1" outlineLevel="1"/>
    <row r="3380" spans="2:17" hidden="1" outlineLevel="1">
      <c r="B3380" s="2109" t="s">
        <v>8151</v>
      </c>
    </row>
    <row r="3381" spans="2:17" hidden="1" outlineLevel="1"/>
    <row r="3382" spans="2:17" hidden="1" outlineLevel="1">
      <c r="B3382" s="1969" t="s">
        <v>8144</v>
      </c>
      <c r="C3382" s="2098">
        <v>2021</v>
      </c>
      <c r="D3382" s="2098">
        <v>2022</v>
      </c>
      <c r="E3382" s="2098">
        <v>2023</v>
      </c>
      <c r="F3382" s="2098">
        <f>E3382+1</f>
        <v>2024</v>
      </c>
      <c r="G3382" s="2098">
        <f>F3382+1</f>
        <v>2025</v>
      </c>
      <c r="H3382" s="2098">
        <f>G3382+1</f>
        <v>2026</v>
      </c>
      <c r="I3382" s="2098">
        <f>H3382+1</f>
        <v>2027</v>
      </c>
      <c r="J3382" s="2098">
        <f>I3382+1</f>
        <v>2028</v>
      </c>
      <c r="K3382" s="2098">
        <f t="shared" ref="K3382:Q3382" si="332">J3382+1</f>
        <v>2029</v>
      </c>
      <c r="L3382" s="2098">
        <f t="shared" si="332"/>
        <v>2030</v>
      </c>
      <c r="M3382" s="2098">
        <f t="shared" si="332"/>
        <v>2031</v>
      </c>
      <c r="N3382" s="2098">
        <f t="shared" si="332"/>
        <v>2032</v>
      </c>
      <c r="O3382" s="2098">
        <f t="shared" si="332"/>
        <v>2033</v>
      </c>
      <c r="P3382" s="2098">
        <f t="shared" si="332"/>
        <v>2034</v>
      </c>
      <c r="Q3382" s="2098">
        <f t="shared" si="332"/>
        <v>2035</v>
      </c>
    </row>
    <row r="3383" spans="2:17" hidden="1" outlineLevel="1"/>
    <row r="3384" spans="2:17" hidden="1" outlineLevel="1">
      <c r="B3384" s="1970" t="s">
        <v>8158</v>
      </c>
      <c r="I3384" s="122">
        <f t="shared" ref="I3384:Q3384" si="333">I3364+I3292*$C$3315</f>
        <v>134850.45678274997</v>
      </c>
      <c r="J3384" s="122">
        <f t="shared" si="333"/>
        <v>134423.15517524874</v>
      </c>
      <c r="K3384" s="122">
        <f t="shared" si="333"/>
        <v>135696.31646520988</v>
      </c>
      <c r="L3384" s="122">
        <f t="shared" si="333"/>
        <v>137588.08384822114</v>
      </c>
      <c r="M3384" s="122">
        <f t="shared" si="333"/>
        <v>139746.39711163941</v>
      </c>
      <c r="N3384" s="122">
        <f t="shared" si="333"/>
        <v>141506.87188605213</v>
      </c>
      <c r="O3384" s="122">
        <f t="shared" si="333"/>
        <v>143187.6930908818</v>
      </c>
      <c r="P3384" s="122">
        <f t="shared" si="333"/>
        <v>143905.48694840563</v>
      </c>
      <c r="Q3384" s="122">
        <f t="shared" si="333"/>
        <v>145560.78575545747</v>
      </c>
    </row>
    <row r="3385" spans="2:17" hidden="1" outlineLevel="1">
      <c r="B3385" s="1970" t="s">
        <v>8159</v>
      </c>
      <c r="C3385" s="122"/>
      <c r="D3385" s="122"/>
      <c r="E3385" s="122"/>
      <c r="F3385" s="122"/>
      <c r="G3385" s="122"/>
      <c r="H3385" s="122"/>
      <c r="I3385" s="122">
        <f t="shared" ref="I3385:Q3385" ca="1" si="334">I3368+$C$3342</f>
        <v>92492.080071689707</v>
      </c>
      <c r="J3385" s="122">
        <f t="shared" ca="1" si="334"/>
        <v>92945.923246501567</v>
      </c>
      <c r="K3385" s="122">
        <f t="shared" ca="1" si="334"/>
        <v>91438.538066900248</v>
      </c>
      <c r="L3385" s="122">
        <f t="shared" ca="1" si="334"/>
        <v>89516.457496588919</v>
      </c>
      <c r="M3385" s="122">
        <f t="shared" ca="1" si="334"/>
        <v>87200.016249105436</v>
      </c>
      <c r="N3385" s="122">
        <f t="shared" ca="1" si="334"/>
        <v>84594.23238931183</v>
      </c>
      <c r="O3385" s="122">
        <f t="shared" ca="1" si="334"/>
        <v>81691.516856473085</v>
      </c>
      <c r="P3385" s="122">
        <f t="shared" ca="1" si="334"/>
        <v>78757.924053703027</v>
      </c>
      <c r="Q3385" s="122">
        <f t="shared" ca="1" si="334"/>
        <v>75876.443058262346</v>
      </c>
    </row>
    <row r="3386" spans="2:17" hidden="1" outlineLevel="1">
      <c r="B3386" s="1970" t="s">
        <v>1133</v>
      </c>
      <c r="C3386" s="122"/>
      <c r="D3386" s="122"/>
      <c r="E3386" s="122"/>
      <c r="F3386" s="122"/>
      <c r="G3386" s="122"/>
      <c r="H3386" s="122"/>
      <c r="I3386" s="122">
        <f t="shared" ref="I3386:Q3386" si="335">I3365+I3294*$C$3315</f>
        <v>36218.079372366599</v>
      </c>
      <c r="J3386" s="122">
        <f t="shared" si="335"/>
        <v>36114.849742668637</v>
      </c>
      <c r="K3386" s="122">
        <f t="shared" si="335"/>
        <v>36537.342557481505</v>
      </c>
      <c r="L3386" s="122">
        <f t="shared" si="335"/>
        <v>37242.706992446139</v>
      </c>
      <c r="M3386" s="122">
        <f t="shared" si="335"/>
        <v>38100.876523442828</v>
      </c>
      <c r="N3386" s="122">
        <f t="shared" si="335"/>
        <v>38845.149909259075</v>
      </c>
      <c r="O3386" s="122">
        <f t="shared" si="335"/>
        <v>39557.355213583323</v>
      </c>
      <c r="P3386" s="122">
        <f t="shared" si="335"/>
        <v>39860.657153505279</v>
      </c>
      <c r="Q3386" s="122">
        <f t="shared" si="335"/>
        <v>40424.05926300495</v>
      </c>
    </row>
    <row r="3387" spans="2:17" hidden="1" outlineLevel="1">
      <c r="B3387" s="2097" t="s">
        <v>41</v>
      </c>
      <c r="C3387" s="2100"/>
      <c r="D3387" s="2100"/>
      <c r="E3387" s="2100"/>
      <c r="F3387" s="2100"/>
      <c r="G3387" s="2100"/>
      <c r="H3387" s="2100"/>
      <c r="I3387" s="2100">
        <f t="shared" ref="I3387:L3387" ca="1" si="336">I3385/I3386</f>
        <v>2.5537544142182931</v>
      </c>
      <c r="J3387" s="2100">
        <f t="shared" ca="1" si="336"/>
        <v>2.5736206549044196</v>
      </c>
      <c r="K3387" s="2100">
        <f t="shared" ca="1" si="336"/>
        <v>2.5026050518875791</v>
      </c>
      <c r="L3387" s="2100">
        <f t="shared" ca="1" si="336"/>
        <v>2.4035969650311766</v>
      </c>
      <c r="M3387" s="2100">
        <f t="shared" ref="M3387" ca="1" si="337">M3385/M3386</f>
        <v>2.2886616846059362</v>
      </c>
      <c r="N3387" s="2100">
        <f t="shared" ref="N3387" ca="1" si="338">N3385/N3386</f>
        <v>2.1777295901012361</v>
      </c>
      <c r="O3387" s="2100">
        <f t="shared" ref="O3387" ca="1" si="339">O3385/O3386</f>
        <v>2.0651410190442054</v>
      </c>
      <c r="P3387" s="2100">
        <f t="shared" ref="P3387" ca="1" si="340">P3385/P3386</f>
        <v>1.9758310494080047</v>
      </c>
      <c r="Q3387" s="2100">
        <f t="shared" ref="Q3387" ca="1" si="341">Q3385/Q3386</f>
        <v>1.8770119686545803</v>
      </c>
    </row>
    <row r="3388" spans="2:17" hidden="1" outlineLevel="1">
      <c r="B3388" s="1970" t="s">
        <v>1344</v>
      </c>
      <c r="I3388" s="122">
        <f t="shared" ref="I3388:Q3388" ca="1" si="342">I3370+I3305*$C$3315-F3354</f>
        <v>8954.5014608347701</v>
      </c>
      <c r="J3388" s="122">
        <f t="shared" ca="1" si="342"/>
        <v>8876.5979836582046</v>
      </c>
      <c r="K3388" s="122">
        <f t="shared" ca="1" si="342"/>
        <v>8584.189593447396</v>
      </c>
      <c r="L3388" s="122">
        <f t="shared" ca="1" si="342"/>
        <v>9129.8062760066186</v>
      </c>
      <c r="M3388" s="122">
        <f t="shared" ca="1" si="342"/>
        <v>9573.3430759203075</v>
      </c>
      <c r="N3388" s="122">
        <f t="shared" ca="1" si="342"/>
        <v>9914.4363853574669</v>
      </c>
      <c r="O3388" s="122">
        <f t="shared" ca="1" si="342"/>
        <v>10281.605984908721</v>
      </c>
      <c r="P3388" s="122">
        <f t="shared" ca="1" si="342"/>
        <v>10407.481289228301</v>
      </c>
      <c r="Q3388" s="122">
        <f t="shared" ca="1" si="342"/>
        <v>10620.435409420548</v>
      </c>
    </row>
    <row r="3389" spans="2:17" hidden="1" outlineLevel="1">
      <c r="B3389" s="1970" t="s">
        <v>8143</v>
      </c>
      <c r="I3389" s="122">
        <f>I3371+$C$3345</f>
        <v>1056.2494186074011</v>
      </c>
      <c r="J3389" s="122">
        <f t="shared" ref="J3389:Q3389" si="343">J3371+$C$3345</f>
        <v>1056.2494186074011</v>
      </c>
      <c r="K3389" s="122">
        <f t="shared" si="343"/>
        <v>1056.2494186074011</v>
      </c>
      <c r="L3389" s="122">
        <f t="shared" si="343"/>
        <v>1056.2494186074011</v>
      </c>
      <c r="M3389" s="122">
        <f t="shared" si="343"/>
        <v>1056.2494186074011</v>
      </c>
      <c r="N3389" s="122">
        <f t="shared" si="343"/>
        <v>1056.2494186074011</v>
      </c>
      <c r="O3389" s="122">
        <f t="shared" si="343"/>
        <v>1056.2494186074011</v>
      </c>
      <c r="P3389" s="122">
        <f t="shared" si="343"/>
        <v>1056.2494186074011</v>
      </c>
      <c r="Q3389" s="122">
        <f t="shared" si="343"/>
        <v>1056.2494186074011</v>
      </c>
    </row>
    <row r="3390" spans="2:17" hidden="1" outlineLevel="1">
      <c r="B3390" s="2097" t="s">
        <v>8150</v>
      </c>
      <c r="C3390" s="42"/>
      <c r="D3390" s="42"/>
      <c r="E3390" s="42"/>
      <c r="F3390" s="42"/>
      <c r="G3390" s="42"/>
      <c r="H3390" s="42"/>
      <c r="I3390" s="658">
        <f ca="1">I3388/I3389</f>
        <v>8.477639185487762</v>
      </c>
      <c r="J3390" s="658">
        <f t="shared" ref="J3390:Q3390" ca="1" si="344">J3388/J3389</f>
        <v>8.4038843735994142</v>
      </c>
      <c r="K3390" s="658">
        <f t="shared" ca="1" si="344"/>
        <v>8.1270478754583486</v>
      </c>
      <c r="L3390" s="658">
        <f t="shared" ca="1" si="344"/>
        <v>8.643608332626302</v>
      </c>
      <c r="M3390" s="658">
        <f t="shared" ca="1" si="344"/>
        <v>9.0635250607211333</v>
      </c>
      <c r="N3390" s="658">
        <f t="shared" ca="1" si="344"/>
        <v>9.386453815453013</v>
      </c>
      <c r="O3390" s="658">
        <f t="shared" ca="1" si="344"/>
        <v>9.7340701957160611</v>
      </c>
      <c r="P3390" s="658">
        <f t="shared" ca="1" si="344"/>
        <v>9.853242147058328</v>
      </c>
      <c r="Q3390" s="658">
        <f t="shared" ca="1" si="344"/>
        <v>10.054855626261958</v>
      </c>
    </row>
    <row r="3391" spans="2:17" hidden="1" outlineLevel="1">
      <c r="B3391" s="2103" t="s">
        <v>192</v>
      </c>
      <c r="C3391" s="248"/>
      <c r="D3391" s="248"/>
      <c r="E3391" s="248"/>
      <c r="F3391" s="248"/>
      <c r="G3391" s="248"/>
      <c r="H3391" s="248"/>
      <c r="I3391" s="2104">
        <f ca="1">I3390/I3372-1</f>
        <v>0.8996495299844629</v>
      </c>
      <c r="J3391" s="2104">
        <f t="shared" ref="J3391:Q3391" ca="1" si="345">J3390/J3372-1</f>
        <v>0.7003464470542915</v>
      </c>
      <c r="K3391" s="2104">
        <f t="shared" ca="1" si="345"/>
        <v>0.57741188832343271</v>
      </c>
      <c r="L3391" s="2104">
        <f t="shared" ca="1" si="345"/>
        <v>0.49645406448554086</v>
      </c>
      <c r="M3391" s="2104">
        <f t="shared" ca="1" si="345"/>
        <v>0.44768473578204837</v>
      </c>
      <c r="N3391" s="2104">
        <f t="shared" ca="1" si="345"/>
        <v>0.4207127083982074</v>
      </c>
      <c r="O3391" s="2104">
        <f t="shared" ca="1" si="345"/>
        <v>0.39272075627039493</v>
      </c>
      <c r="P3391" s="2104">
        <f t="shared" ca="1" si="345"/>
        <v>0.40700744243495168</v>
      </c>
      <c r="Q3391" s="2105">
        <f t="shared" ca="1" si="345"/>
        <v>0.40722270878755418</v>
      </c>
    </row>
    <row r="3392" spans="2:17" hidden="1" outlineLevel="1"/>
    <row r="3393" spans="2:68" hidden="1" outlineLevel="1">
      <c r="B3393" s="1970" t="s">
        <v>8147</v>
      </c>
      <c r="I3393" s="122">
        <f>I3389*Valuation!$B$2</f>
        <v>3094.8107965196855</v>
      </c>
      <c r="J3393" s="122">
        <f>J3389*Valuation!$B$2</f>
        <v>3094.8107965196855</v>
      </c>
      <c r="K3393" s="122">
        <f>K3389*Valuation!$B$2</f>
        <v>3094.8107965196855</v>
      </c>
      <c r="L3393" s="122">
        <f>L3389*Valuation!$B$2</f>
        <v>3094.8107965196855</v>
      </c>
      <c r="M3393" s="122">
        <f>M3389*Valuation!$B$2</f>
        <v>3094.8107965196855</v>
      </c>
      <c r="N3393" s="122">
        <f>N3389*Valuation!$B$2</f>
        <v>3094.8107965196855</v>
      </c>
      <c r="O3393" s="122">
        <f>O3389*Valuation!$B$2</f>
        <v>3094.8107965196855</v>
      </c>
      <c r="P3393" s="122">
        <f>P3389*Valuation!$B$2</f>
        <v>3094.8107965196855</v>
      </c>
      <c r="Q3393" s="122">
        <f>Q3389*Valuation!$B$2</f>
        <v>3094.8107965196855</v>
      </c>
    </row>
    <row r="3394" spans="2:68" hidden="1" outlineLevel="1">
      <c r="B3394" s="1970" t="s">
        <v>1132</v>
      </c>
      <c r="I3394" s="122">
        <f ca="1">I3385</f>
        <v>92492.080071689707</v>
      </c>
      <c r="J3394" s="122">
        <f t="shared" ref="J3394:Q3394" ca="1" si="346">J3385</f>
        <v>92945.923246501567</v>
      </c>
      <c r="K3394" s="122">
        <f t="shared" ca="1" si="346"/>
        <v>91438.538066900248</v>
      </c>
      <c r="L3394" s="122">
        <f t="shared" ca="1" si="346"/>
        <v>89516.457496588919</v>
      </c>
      <c r="M3394" s="122">
        <f t="shared" ca="1" si="346"/>
        <v>87200.016249105436</v>
      </c>
      <c r="N3394" s="122">
        <f t="shared" ca="1" si="346"/>
        <v>84594.23238931183</v>
      </c>
      <c r="O3394" s="122">
        <f t="shared" ca="1" si="346"/>
        <v>81691.516856473085</v>
      </c>
      <c r="P3394" s="122">
        <f t="shared" ca="1" si="346"/>
        <v>78757.924053703027</v>
      </c>
      <c r="Q3394" s="122">
        <f t="shared" ca="1" si="346"/>
        <v>75876.443058262346</v>
      </c>
    </row>
    <row r="3395" spans="2:68" hidden="1" outlineLevel="1">
      <c r="B3395" s="1970" t="s">
        <v>8148</v>
      </c>
      <c r="I3395" s="122">
        <f ca="1">I3393+I3394</f>
        <v>95586.89086820939</v>
      </c>
      <c r="J3395" s="122">
        <f t="shared" ref="J3395:Q3395" ca="1" si="347">J3393+J3394</f>
        <v>96040.73404302125</v>
      </c>
      <c r="K3395" s="122">
        <f t="shared" ca="1" si="347"/>
        <v>94533.348863419931</v>
      </c>
      <c r="L3395" s="122">
        <f t="shared" ca="1" si="347"/>
        <v>92611.268293108602</v>
      </c>
      <c r="M3395" s="122">
        <f t="shared" ca="1" si="347"/>
        <v>90294.827045625119</v>
      </c>
      <c r="N3395" s="122">
        <f t="shared" ca="1" si="347"/>
        <v>87689.043185831513</v>
      </c>
      <c r="O3395" s="122">
        <f t="shared" ca="1" si="347"/>
        <v>84786.327652992768</v>
      </c>
      <c r="P3395" s="122">
        <f t="shared" ca="1" si="347"/>
        <v>81852.734850222711</v>
      </c>
      <c r="Q3395" s="122">
        <f t="shared" ca="1" si="347"/>
        <v>78971.25385478203</v>
      </c>
    </row>
    <row r="3396" spans="2:68" hidden="1" outlineLevel="1">
      <c r="B3396" s="1970" t="s">
        <v>8149</v>
      </c>
      <c r="I3396" s="2101">
        <f ca="1">I3395/I3386</f>
        <v>2.6392037491954796</v>
      </c>
      <c r="J3396" s="2101">
        <f t="shared" ref="J3396:Q3396" ca="1" si="348">J3395/J3386</f>
        <v>2.6593142357602537</v>
      </c>
      <c r="K3396" s="2101">
        <f t="shared" ca="1" si="348"/>
        <v>2.587307730842701</v>
      </c>
      <c r="L3396" s="2101">
        <f t="shared" ca="1" si="348"/>
        <v>2.4866954035294144</v>
      </c>
      <c r="M3396" s="2101">
        <f t="shared" ca="1" si="348"/>
        <v>2.3698884457439773</v>
      </c>
      <c r="N3396" s="2101">
        <f t="shared" ca="1" si="348"/>
        <v>2.2574000458402166</v>
      </c>
      <c r="O3396" s="2101">
        <f t="shared" ca="1" si="348"/>
        <v>2.1433770583296878</v>
      </c>
      <c r="P3396" s="2101">
        <f t="shared" ca="1" si="348"/>
        <v>2.0534717863532443</v>
      </c>
      <c r="Q3396" s="2101">
        <f t="shared" ca="1" si="348"/>
        <v>1.9535706036096794</v>
      </c>
    </row>
    <row r="3397" spans="2:68" hidden="1" outlineLevel="1">
      <c r="B3397" s="2103" t="s">
        <v>192</v>
      </c>
      <c r="C3397" s="248"/>
      <c r="D3397" s="248"/>
      <c r="E3397" s="248"/>
      <c r="F3397" s="248"/>
      <c r="G3397" s="248"/>
      <c r="H3397" s="248"/>
      <c r="I3397" s="2106">
        <f ca="1">I3396/I3374-1</f>
        <v>-0.23887216249570775</v>
      </c>
      <c r="J3397" s="2106">
        <f t="shared" ref="J3397:Q3397" ca="1" si="349">J3396/J3374-1</f>
        <v>-0.24746550504201725</v>
      </c>
      <c r="K3397" s="2106">
        <f t="shared" ca="1" si="349"/>
        <v>-0.24175147997566127</v>
      </c>
      <c r="L3397" s="2106">
        <f t="shared" ca="1" si="349"/>
        <v>-0.22815431058771429</v>
      </c>
      <c r="M3397" s="2106">
        <f t="shared" ca="1" si="349"/>
        <v>-0.20802400717224245</v>
      </c>
      <c r="N3397" s="2106">
        <f t="shared" ca="1" si="349"/>
        <v>-0.1850543851286347</v>
      </c>
      <c r="O3397" s="2106">
        <f t="shared" ca="1" si="349"/>
        <v>-0.15838541148972174</v>
      </c>
      <c r="P3397" s="2106">
        <f t="shared" ca="1" si="349"/>
        <v>-0.1343774939953255</v>
      </c>
      <c r="Q3397" s="2107">
        <f t="shared" ca="1" si="349"/>
        <v>-0.10163986078035026</v>
      </c>
    </row>
    <row r="3398" spans="2:68" hidden="1" outlineLevel="1"/>
    <row r="3399" spans="2:68" collapsed="1"/>
    <row r="3402" spans="2:68">
      <c r="B3402" s="2109" t="s">
        <v>8152</v>
      </c>
    </row>
    <row r="3404" spans="2:68">
      <c r="B3404" s="2169" t="s">
        <v>2132</v>
      </c>
      <c r="C3404" s="2170">
        <f t="shared" ref="C3404:H3404" si="350">C3382</f>
        <v>2021</v>
      </c>
      <c r="D3404" s="2170">
        <f t="shared" si="350"/>
        <v>2022</v>
      </c>
      <c r="E3404" s="2170">
        <f t="shared" si="350"/>
        <v>2023</v>
      </c>
      <c r="F3404" s="2170">
        <f t="shared" si="350"/>
        <v>2024</v>
      </c>
      <c r="G3404" s="2170">
        <f t="shared" si="350"/>
        <v>2025</v>
      </c>
      <c r="H3404" s="2170">
        <f t="shared" si="350"/>
        <v>2026</v>
      </c>
      <c r="I3404" s="2170">
        <f>I3382</f>
        <v>2027</v>
      </c>
      <c r="J3404" s="2170">
        <f t="shared" ref="J3404:Q3404" si="351">J3382</f>
        <v>2028</v>
      </c>
      <c r="K3404" s="2170">
        <f t="shared" si="351"/>
        <v>2029</v>
      </c>
      <c r="L3404" s="2170">
        <f t="shared" si="351"/>
        <v>2030</v>
      </c>
      <c r="M3404" s="2170">
        <f t="shared" si="351"/>
        <v>2031</v>
      </c>
      <c r="N3404" s="2170">
        <f t="shared" si="351"/>
        <v>2032</v>
      </c>
      <c r="O3404" s="2170">
        <f t="shared" si="351"/>
        <v>2033</v>
      </c>
      <c r="P3404" s="2170">
        <f t="shared" si="351"/>
        <v>2034</v>
      </c>
      <c r="Q3404" s="2170">
        <f t="shared" si="351"/>
        <v>2035</v>
      </c>
      <c r="BA3404" s="2169" t="s">
        <v>2132</v>
      </c>
      <c r="BB3404" s="2170">
        <v>2021</v>
      </c>
      <c r="BC3404" s="2170">
        <v>2022</v>
      </c>
      <c r="BD3404" s="2170">
        <v>2023</v>
      </c>
      <c r="BE3404" s="2170">
        <v>2024</v>
      </c>
      <c r="BF3404" s="2170">
        <v>2025</v>
      </c>
      <c r="BG3404" s="2170">
        <v>2026</v>
      </c>
      <c r="BH3404" s="2170">
        <v>2027</v>
      </c>
      <c r="BI3404" s="2170">
        <v>2028</v>
      </c>
      <c r="BJ3404" s="2170">
        <v>2029</v>
      </c>
      <c r="BK3404" s="2170">
        <v>2030</v>
      </c>
      <c r="BL3404" s="2170">
        <v>2031</v>
      </c>
      <c r="BM3404" s="2170">
        <v>2032</v>
      </c>
      <c r="BN3404" s="2170">
        <v>2033</v>
      </c>
      <c r="BO3404" s="2170">
        <v>2034</v>
      </c>
      <c r="BP3404" s="2170">
        <v>2035</v>
      </c>
    </row>
    <row r="3405" spans="2:68">
      <c r="B3405" s="1968" t="s">
        <v>8153</v>
      </c>
      <c r="I3405" s="122">
        <f t="shared" ref="I3405:Q3405" si="352">(I3364-I3365)+(I3292-I3294)*$C$3315</f>
        <v>98632.377410383386</v>
      </c>
      <c r="J3405" s="122">
        <f t="shared" si="352"/>
        <v>98308.30543258012</v>
      </c>
      <c r="K3405" s="122">
        <f t="shared" si="352"/>
        <v>99158.973907728374</v>
      </c>
      <c r="L3405" s="122">
        <f t="shared" si="352"/>
        <v>100345.37685577499</v>
      </c>
      <c r="M3405" s="122">
        <f t="shared" si="352"/>
        <v>101645.52058819658</v>
      </c>
      <c r="N3405" s="122">
        <f t="shared" si="352"/>
        <v>102661.72197679308</v>
      </c>
      <c r="O3405" s="122">
        <f t="shared" si="352"/>
        <v>103630.33787729847</v>
      </c>
      <c r="P3405" s="122">
        <f t="shared" si="352"/>
        <v>104044.82979490038</v>
      </c>
      <c r="Q3405" s="122">
        <f t="shared" si="352"/>
        <v>105136.72649245251</v>
      </c>
      <c r="BA3405" s="1968" t="s">
        <v>8153</v>
      </c>
      <c r="BH3405" s="122">
        <f>I3405/BH$3360</f>
        <v>5568.5810092638103</v>
      </c>
      <c r="BI3405" s="122">
        <f t="shared" ref="BI3405:BP3406" si="353">J3405/BI$3360</f>
        <v>5441.455463184835</v>
      </c>
      <c r="BJ3405" s="122">
        <f t="shared" si="353"/>
        <v>5380.9223025637821</v>
      </c>
      <c r="BK3405" s="122">
        <f t="shared" si="353"/>
        <v>5338.5325327448636</v>
      </c>
      <c r="BL3405" s="122">
        <f t="shared" si="353"/>
        <v>5301.6688556251474</v>
      </c>
      <c r="BM3405" s="122">
        <f t="shared" si="353"/>
        <v>5249.6787308579051</v>
      </c>
      <c r="BN3405" s="122">
        <f t="shared" si="353"/>
        <v>5195.3035100651423</v>
      </c>
      <c r="BO3405" s="122">
        <f t="shared" si="353"/>
        <v>5113.8071063669167</v>
      </c>
      <c r="BP3405" s="122">
        <f t="shared" si="353"/>
        <v>5066.1508510897247</v>
      </c>
    </row>
    <row r="3406" spans="2:68">
      <c r="B3406" s="1968" t="s">
        <v>8154</v>
      </c>
      <c r="I3406" s="122">
        <f t="shared" ref="I3406:Q3406" si="354">I3366+I3300*$C$3315</f>
        <v>17564.712901221894</v>
      </c>
      <c r="J3406" s="122">
        <f t="shared" si="354"/>
        <v>17670.709876562672</v>
      </c>
      <c r="K3406" s="122">
        <f t="shared" si="354"/>
        <v>18385.938803386984</v>
      </c>
      <c r="L3406" s="122">
        <f t="shared" si="354"/>
        <v>18389.148229873426</v>
      </c>
      <c r="M3406" s="122">
        <f t="shared" si="354"/>
        <v>18442.303493780855</v>
      </c>
      <c r="N3406" s="122">
        <f t="shared" si="354"/>
        <v>18543.43691069186</v>
      </c>
      <c r="O3406" s="122">
        <f t="shared" si="354"/>
        <v>18606.957394768084</v>
      </c>
      <c r="P3406" s="122">
        <f t="shared" si="354"/>
        <v>18628.657878698519</v>
      </c>
      <c r="Q3406" s="122">
        <f t="shared" si="354"/>
        <v>18817.496717387628</v>
      </c>
      <c r="BA3406" s="1968" t="s">
        <v>8154</v>
      </c>
      <c r="BH3406" s="122">
        <f>I3406/BH$3360</f>
        <v>991.66753618795383</v>
      </c>
      <c r="BI3406" s="122">
        <f t="shared" si="353"/>
        <v>978.09010513479848</v>
      </c>
      <c r="BJ3406" s="122">
        <f t="shared" si="353"/>
        <v>997.72420247893558</v>
      </c>
      <c r="BK3406" s="122">
        <f t="shared" si="353"/>
        <v>978.33172938048574</v>
      </c>
      <c r="BL3406" s="122">
        <f t="shared" si="353"/>
        <v>961.92124840490771</v>
      </c>
      <c r="BM3406" s="122">
        <f t="shared" si="353"/>
        <v>948.23157524154919</v>
      </c>
      <c r="BN3406" s="122">
        <f t="shared" si="353"/>
        <v>932.82327400234874</v>
      </c>
      <c r="BO3406" s="122">
        <f t="shared" si="353"/>
        <v>915.59920113239252</v>
      </c>
      <c r="BP3406" s="122">
        <f t="shared" si="353"/>
        <v>906.7457223619673</v>
      </c>
    </row>
    <row r="3407" spans="2:68">
      <c r="B3407" s="2118" t="s">
        <v>8160</v>
      </c>
      <c r="C3407" s="578"/>
      <c r="D3407" s="578"/>
      <c r="E3407" s="578"/>
      <c r="F3407" s="578"/>
      <c r="G3407" s="578"/>
      <c r="H3407" s="578"/>
      <c r="I3407" s="2119">
        <f>I3405+I3406</f>
        <v>116197.09031160528</v>
      </c>
      <c r="J3407" s="2119">
        <f t="shared" ref="J3407:Q3407" si="355">J3405+J3406</f>
        <v>115979.01530914279</v>
      </c>
      <c r="K3407" s="2119">
        <f t="shared" si="355"/>
        <v>117544.91271111535</v>
      </c>
      <c r="L3407" s="2119">
        <f t="shared" si="355"/>
        <v>118734.52508564841</v>
      </c>
      <c r="M3407" s="2119">
        <f t="shared" si="355"/>
        <v>120087.82408197744</v>
      </c>
      <c r="N3407" s="2119">
        <f t="shared" si="355"/>
        <v>121205.15888748494</v>
      </c>
      <c r="O3407" s="2119">
        <f t="shared" si="355"/>
        <v>122237.29527206655</v>
      </c>
      <c r="P3407" s="2119">
        <f t="shared" si="355"/>
        <v>122673.48767359889</v>
      </c>
      <c r="Q3407" s="2119">
        <f t="shared" si="355"/>
        <v>123954.22320984013</v>
      </c>
      <c r="BA3407" s="2118" t="s">
        <v>8160</v>
      </c>
      <c r="BB3407" s="578"/>
      <c r="BC3407" s="578"/>
      <c r="BD3407" s="578"/>
      <c r="BE3407" s="578"/>
      <c r="BF3407" s="578"/>
      <c r="BG3407" s="578"/>
      <c r="BH3407" s="2119">
        <f>BH3405+BH3406</f>
        <v>6560.2485454517646</v>
      </c>
      <c r="BI3407" s="2119">
        <f t="shared" ref="BI3407:BP3407" si="356">BI3405+BI3406</f>
        <v>6419.5455683196333</v>
      </c>
      <c r="BJ3407" s="2119">
        <f t="shared" si="356"/>
        <v>6378.6465050427178</v>
      </c>
      <c r="BK3407" s="2119">
        <f t="shared" si="356"/>
        <v>6316.8642621253493</v>
      </c>
      <c r="BL3407" s="2119">
        <f t="shared" si="356"/>
        <v>6263.590104030055</v>
      </c>
      <c r="BM3407" s="2119">
        <f t="shared" si="356"/>
        <v>6197.9103060994539</v>
      </c>
      <c r="BN3407" s="2119">
        <f t="shared" si="356"/>
        <v>6128.1267840674909</v>
      </c>
      <c r="BO3407" s="2119">
        <f t="shared" si="356"/>
        <v>6029.4063074993092</v>
      </c>
      <c r="BP3407" s="2119">
        <f t="shared" si="356"/>
        <v>5972.8965734516923</v>
      </c>
    </row>
    <row r="3408" spans="2:68">
      <c r="B3408" s="1968"/>
      <c r="I3408" s="122"/>
      <c r="J3408" s="122"/>
      <c r="K3408" s="122"/>
      <c r="L3408" s="122"/>
      <c r="M3408" s="122"/>
      <c r="N3408" s="122"/>
      <c r="O3408" s="122"/>
      <c r="P3408" s="122"/>
      <c r="Q3408" s="122"/>
      <c r="BA3408" s="1968"/>
      <c r="BH3408" s="122"/>
      <c r="BI3408" s="122"/>
      <c r="BJ3408" s="122"/>
      <c r="BK3408" s="122"/>
      <c r="BL3408" s="122"/>
      <c r="BM3408" s="122"/>
      <c r="BN3408" s="122"/>
      <c r="BO3408" s="122"/>
      <c r="BP3408" s="122"/>
    </row>
    <row r="3409" spans="2:68">
      <c r="B3409" s="1968" t="s">
        <v>8155</v>
      </c>
      <c r="I3409" s="2111">
        <v>1.4999999999999999E-2</v>
      </c>
      <c r="BA3409" s="1968" t="s">
        <v>8155</v>
      </c>
      <c r="BH3409" s="2111">
        <v>1.4999999999999999E-2</v>
      </c>
    </row>
    <row r="3410" spans="2:68">
      <c r="B3410" s="1968" t="s">
        <v>8156</v>
      </c>
      <c r="I3410" s="122"/>
      <c r="J3410" s="122">
        <f>$I$3409*J3407*33%</f>
        <v>574.0961257802569</v>
      </c>
      <c r="K3410" s="122">
        <f>$I$3409*K3407*66%</f>
        <v>1163.6946358400419</v>
      </c>
      <c r="L3410" s="122">
        <f>$I$3409*L3407*100%</f>
        <v>1781.0178762847261</v>
      </c>
      <c r="M3410" s="122">
        <f t="shared" ref="M3410:Q3410" si="357">$I$3409*M3407*100%</f>
        <v>1801.3173612296614</v>
      </c>
      <c r="N3410" s="122">
        <f t="shared" si="357"/>
        <v>1818.0773833122742</v>
      </c>
      <c r="O3410" s="122">
        <f t="shared" si="357"/>
        <v>1833.5594290809981</v>
      </c>
      <c r="P3410" s="122">
        <f t="shared" si="357"/>
        <v>1840.1023151039833</v>
      </c>
      <c r="Q3410" s="122">
        <f t="shared" si="357"/>
        <v>1859.3133481476018</v>
      </c>
      <c r="BA3410" s="1968" t="s">
        <v>8156</v>
      </c>
      <c r="BH3410" s="122"/>
      <c r="BI3410" s="122">
        <f>$BH$3409*BI3407*33%</f>
        <v>31.776750563182187</v>
      </c>
      <c r="BJ3410" s="122">
        <f>$BH$3409*BJ3407*66%</f>
        <v>63.148600399922906</v>
      </c>
      <c r="BK3410" s="122">
        <f>$BH$3409*BK3407*100%</f>
        <v>94.752963931880231</v>
      </c>
      <c r="BL3410" s="122">
        <f t="shared" ref="BL3410:BP3410" si="358">$BH$3409*BL3407*100%</f>
        <v>93.953851560450829</v>
      </c>
      <c r="BM3410" s="122">
        <f t="shared" si="358"/>
        <v>92.968654591491799</v>
      </c>
      <c r="BN3410" s="122">
        <f t="shared" si="358"/>
        <v>91.921901761012364</v>
      </c>
      <c r="BO3410" s="122">
        <f t="shared" si="358"/>
        <v>90.441094612489636</v>
      </c>
      <c r="BP3410" s="122">
        <f t="shared" si="358"/>
        <v>89.593448601775378</v>
      </c>
    </row>
    <row r="3411" spans="2:68">
      <c r="B3411" s="1968" t="s">
        <v>8157</v>
      </c>
      <c r="I3411" s="1972">
        <f>-J3410/33%</f>
        <v>-1739.6852296371421</v>
      </c>
      <c r="J3411" s="1972"/>
      <c r="BA3411" s="1968" t="s">
        <v>8157</v>
      </c>
      <c r="BH3411" s="1972">
        <f>-BI3410/33%</f>
        <v>-96.2931835247945</v>
      </c>
      <c r="BI3411" s="1972"/>
    </row>
    <row r="3412" spans="2:68">
      <c r="B3412" s="2113" t="s">
        <v>2132</v>
      </c>
      <c r="C3412" s="586"/>
      <c r="D3412" s="586"/>
      <c r="E3412" s="586"/>
      <c r="F3412" s="586"/>
      <c r="G3412" s="586"/>
      <c r="H3412" s="586"/>
      <c r="I3412" s="2114">
        <f t="shared" ref="I3412:Q3412" si="359">I3410+I3411</f>
        <v>-1739.6852296371421</v>
      </c>
      <c r="J3412" s="2114">
        <f t="shared" si="359"/>
        <v>574.0961257802569</v>
      </c>
      <c r="K3412" s="2114">
        <f t="shared" si="359"/>
        <v>1163.6946358400419</v>
      </c>
      <c r="L3412" s="2114">
        <f t="shared" si="359"/>
        <v>1781.0178762847261</v>
      </c>
      <c r="M3412" s="2114">
        <f t="shared" si="359"/>
        <v>1801.3173612296614</v>
      </c>
      <c r="N3412" s="2114">
        <f t="shared" si="359"/>
        <v>1818.0773833122742</v>
      </c>
      <c r="O3412" s="2114">
        <f t="shared" si="359"/>
        <v>1833.5594290809981</v>
      </c>
      <c r="P3412" s="2114">
        <f t="shared" si="359"/>
        <v>1840.1023151039833</v>
      </c>
      <c r="Q3412" s="2114">
        <f t="shared" si="359"/>
        <v>1859.3133481476018</v>
      </c>
      <c r="BA3412" s="2113" t="s">
        <v>2132</v>
      </c>
      <c r="BB3412" s="586"/>
      <c r="BC3412" s="586"/>
      <c r="BD3412" s="586"/>
      <c r="BE3412" s="586"/>
      <c r="BF3412" s="586"/>
      <c r="BG3412" s="586"/>
      <c r="BH3412" s="2114">
        <f t="shared" ref="BH3412:BP3412" si="360">BH3410+BH3411</f>
        <v>-96.2931835247945</v>
      </c>
      <c r="BI3412" s="2114">
        <f t="shared" si="360"/>
        <v>31.776750563182187</v>
      </c>
      <c r="BJ3412" s="2114">
        <f t="shared" si="360"/>
        <v>63.148600399922906</v>
      </c>
      <c r="BK3412" s="2114">
        <f t="shared" si="360"/>
        <v>94.752963931880231</v>
      </c>
      <c r="BL3412" s="2114">
        <f t="shared" si="360"/>
        <v>93.953851560450829</v>
      </c>
      <c r="BM3412" s="2114">
        <f t="shared" si="360"/>
        <v>92.968654591491799</v>
      </c>
      <c r="BN3412" s="2114">
        <f t="shared" si="360"/>
        <v>91.921901761012364</v>
      </c>
      <c r="BO3412" s="2114">
        <f t="shared" si="360"/>
        <v>90.441094612489636</v>
      </c>
      <c r="BP3412" s="2114">
        <f t="shared" si="360"/>
        <v>89.593448601775378</v>
      </c>
    </row>
    <row r="3414" spans="2:68">
      <c r="B3414" s="1968" t="s">
        <v>8161</v>
      </c>
      <c r="H3414" s="122"/>
      <c r="I3414" s="122">
        <f>I3405/I3407*I3410</f>
        <v>0</v>
      </c>
      <c r="J3414" s="122">
        <f t="shared" ref="J3414:Q3414" si="361">J3405/J3407*J3410</f>
        <v>486.62611189127165</v>
      </c>
      <c r="K3414" s="122">
        <f t="shared" si="361"/>
        <v>981.67384168651085</v>
      </c>
      <c r="L3414" s="122">
        <f t="shared" si="361"/>
        <v>1505.1806528366249</v>
      </c>
      <c r="M3414" s="122">
        <f t="shared" si="361"/>
        <v>1524.6828088229486</v>
      </c>
      <c r="N3414" s="122">
        <f t="shared" si="361"/>
        <v>1539.9258296518963</v>
      </c>
      <c r="O3414" s="122">
        <f t="shared" si="361"/>
        <v>1554.4550681594772</v>
      </c>
      <c r="P3414" s="122">
        <f t="shared" si="361"/>
        <v>1560.6724469235055</v>
      </c>
      <c r="Q3414" s="122">
        <f t="shared" si="361"/>
        <v>1577.0508973867875</v>
      </c>
      <c r="BA3414" s="1968" t="s">
        <v>8161</v>
      </c>
      <c r="BG3414" s="122"/>
      <c r="BH3414" s="122">
        <f>BH3405/BH3407*BH3410</f>
        <v>0</v>
      </c>
      <c r="BI3414" s="122">
        <f t="shared" ref="BI3414:BP3414" si="362">BI3405/BI3407*BI3410</f>
        <v>26.935204542764936</v>
      </c>
      <c r="BJ3414" s="122">
        <f t="shared" si="362"/>
        <v>53.271130795381438</v>
      </c>
      <c r="BK3414" s="122">
        <f t="shared" si="362"/>
        <v>80.077987991172947</v>
      </c>
      <c r="BL3414" s="122">
        <f t="shared" si="362"/>
        <v>79.525032834377214</v>
      </c>
      <c r="BM3414" s="122">
        <f t="shared" si="362"/>
        <v>78.745180962868574</v>
      </c>
      <c r="BN3414" s="122">
        <f t="shared" si="362"/>
        <v>77.929552650977143</v>
      </c>
      <c r="BO3414" s="122">
        <f t="shared" si="362"/>
        <v>76.707106595503745</v>
      </c>
      <c r="BP3414" s="122">
        <f t="shared" si="362"/>
        <v>75.99226276634586</v>
      </c>
    </row>
    <row r="3415" spans="2:68">
      <c r="B3415" s="1968" t="s">
        <v>8162</v>
      </c>
      <c r="H3415" s="122"/>
      <c r="I3415" s="122">
        <f>I3406/I3407*I3410</f>
        <v>0</v>
      </c>
      <c r="J3415" s="122">
        <f t="shared" ref="J3415:Q3415" si="363">J3406/J3407*J3410</f>
        <v>87.470013888985235</v>
      </c>
      <c r="K3415" s="122">
        <f t="shared" si="363"/>
        <v>182.02079415353111</v>
      </c>
      <c r="L3415" s="122">
        <f t="shared" si="363"/>
        <v>275.83722344810138</v>
      </c>
      <c r="M3415" s="122">
        <f t="shared" si="363"/>
        <v>276.63455240671277</v>
      </c>
      <c r="N3415" s="122">
        <f t="shared" si="363"/>
        <v>278.15155366037794</v>
      </c>
      <c r="O3415" s="122">
        <f t="shared" si="363"/>
        <v>279.10436092152122</v>
      </c>
      <c r="P3415" s="122">
        <f t="shared" si="363"/>
        <v>279.4298681804778</v>
      </c>
      <c r="Q3415" s="122">
        <f t="shared" si="363"/>
        <v>282.26245076081443</v>
      </c>
      <c r="BA3415" s="1968" t="s">
        <v>8162</v>
      </c>
      <c r="BG3415" s="122"/>
      <c r="BH3415" s="122">
        <f>BH3406/BH3407*BH3410</f>
        <v>0</v>
      </c>
      <c r="BI3415" s="122">
        <f t="shared" ref="BI3415:BP3415" si="364">BI3406/BI3407*BI3410</f>
        <v>4.8415460204172529</v>
      </c>
      <c r="BJ3415" s="122">
        <f t="shared" si="364"/>
        <v>9.8774696045414618</v>
      </c>
      <c r="BK3415" s="122">
        <f t="shared" si="364"/>
        <v>14.674975940707286</v>
      </c>
      <c r="BL3415" s="122">
        <f t="shared" si="364"/>
        <v>14.428818726073615</v>
      </c>
      <c r="BM3415" s="122">
        <f t="shared" si="364"/>
        <v>14.223473628623237</v>
      </c>
      <c r="BN3415" s="122">
        <f t="shared" si="364"/>
        <v>13.99234911003523</v>
      </c>
      <c r="BO3415" s="122">
        <f t="shared" si="364"/>
        <v>13.733988016985887</v>
      </c>
      <c r="BP3415" s="122">
        <f t="shared" si="364"/>
        <v>13.601185835429508</v>
      </c>
    </row>
    <row r="3416" spans="2:68">
      <c r="B3416" s="1968" t="s">
        <v>2106</v>
      </c>
      <c r="H3416" s="122"/>
      <c r="I3416" s="122">
        <f>I3411</f>
        <v>-1739.6852296371421</v>
      </c>
      <c r="J3416" s="122">
        <f t="shared" ref="J3416:Q3416" si="365">J3411</f>
        <v>0</v>
      </c>
      <c r="K3416" s="122">
        <f t="shared" si="365"/>
        <v>0</v>
      </c>
      <c r="L3416" s="122">
        <f t="shared" si="365"/>
        <v>0</v>
      </c>
      <c r="M3416" s="122">
        <f t="shared" si="365"/>
        <v>0</v>
      </c>
      <c r="N3416" s="122">
        <f t="shared" si="365"/>
        <v>0</v>
      </c>
      <c r="O3416" s="122">
        <f t="shared" si="365"/>
        <v>0</v>
      </c>
      <c r="P3416" s="122">
        <f t="shared" si="365"/>
        <v>0</v>
      </c>
      <c r="Q3416" s="122">
        <f t="shared" si="365"/>
        <v>0</v>
      </c>
      <c r="BA3416" s="1968" t="s">
        <v>2106</v>
      </c>
      <c r="BG3416" s="122"/>
      <c r="BH3416" s="122">
        <f>BH3411</f>
        <v>-96.2931835247945</v>
      </c>
      <c r="BI3416" s="122">
        <f t="shared" ref="BI3416:BP3416" si="366">BI3411</f>
        <v>0</v>
      </c>
      <c r="BJ3416" s="122">
        <f t="shared" si="366"/>
        <v>0</v>
      </c>
      <c r="BK3416" s="122">
        <f t="shared" si="366"/>
        <v>0</v>
      </c>
      <c r="BL3416" s="122">
        <f t="shared" si="366"/>
        <v>0</v>
      </c>
      <c r="BM3416" s="122">
        <f t="shared" si="366"/>
        <v>0</v>
      </c>
      <c r="BN3416" s="122">
        <f t="shared" si="366"/>
        <v>0</v>
      </c>
      <c r="BO3416" s="122">
        <f t="shared" si="366"/>
        <v>0</v>
      </c>
      <c r="BP3416" s="122">
        <f t="shared" si="366"/>
        <v>0</v>
      </c>
    </row>
    <row r="3417" spans="2:68">
      <c r="H3417" s="122"/>
      <c r="I3417" s="122"/>
      <c r="J3417" s="122"/>
      <c r="K3417" s="122"/>
      <c r="L3417" s="122"/>
      <c r="BG3417" s="122"/>
      <c r="BH3417" s="122"/>
      <c r="BI3417" s="122"/>
      <c r="BJ3417" s="122"/>
      <c r="BK3417" s="122"/>
    </row>
    <row r="3418" spans="2:68">
      <c r="H3418" s="122"/>
      <c r="I3418" s="122"/>
      <c r="J3418" s="122"/>
      <c r="K3418" s="122"/>
      <c r="L3418" s="122"/>
      <c r="BG3418" s="122"/>
      <c r="BH3418" s="122"/>
      <c r="BI3418" s="122"/>
      <c r="BJ3418" s="122"/>
      <c r="BK3418" s="122"/>
    </row>
    <row r="3419" spans="2:68">
      <c r="B3419" s="2110"/>
      <c r="C3419" s="2110"/>
      <c r="D3419" s="2110"/>
      <c r="E3419" s="2110"/>
      <c r="F3419" s="2110"/>
      <c r="G3419" s="2110"/>
      <c r="H3419" s="2110"/>
      <c r="I3419" s="2117">
        <f t="shared" ref="I3419:Q3419" si="367">I3425</f>
        <v>2027</v>
      </c>
      <c r="J3419" s="2117">
        <f t="shared" si="367"/>
        <v>2028</v>
      </c>
      <c r="K3419" s="2117">
        <f t="shared" si="367"/>
        <v>2029</v>
      </c>
      <c r="L3419" s="2117">
        <f t="shared" si="367"/>
        <v>2030</v>
      </c>
      <c r="M3419" s="2117">
        <f t="shared" si="367"/>
        <v>2031</v>
      </c>
      <c r="N3419" s="2117">
        <f t="shared" si="367"/>
        <v>2032</v>
      </c>
      <c r="O3419" s="2117">
        <f t="shared" si="367"/>
        <v>2033</v>
      </c>
      <c r="P3419" s="2117">
        <f t="shared" si="367"/>
        <v>2034</v>
      </c>
      <c r="Q3419" s="2117">
        <f t="shared" si="367"/>
        <v>2035</v>
      </c>
      <c r="BA3419" s="2110"/>
      <c r="BB3419" s="2110"/>
      <c r="BC3419" s="2110"/>
      <c r="BD3419" s="2110"/>
      <c r="BE3419" s="2110"/>
      <c r="BF3419" s="2110"/>
      <c r="BG3419" s="2110"/>
      <c r="BH3419" s="2117">
        <f>BH3404</f>
        <v>2027</v>
      </c>
      <c r="BI3419" s="2117">
        <f t="shared" ref="BI3419:BP3419" si="368">BI3404</f>
        <v>2028</v>
      </c>
      <c r="BJ3419" s="2117">
        <f t="shared" si="368"/>
        <v>2029</v>
      </c>
      <c r="BK3419" s="2117">
        <f t="shared" si="368"/>
        <v>2030</v>
      </c>
      <c r="BL3419" s="2117">
        <f t="shared" si="368"/>
        <v>2031</v>
      </c>
      <c r="BM3419" s="2117">
        <f t="shared" si="368"/>
        <v>2032</v>
      </c>
      <c r="BN3419" s="2117">
        <f t="shared" si="368"/>
        <v>2033</v>
      </c>
      <c r="BO3419" s="2117">
        <f t="shared" si="368"/>
        <v>2034</v>
      </c>
      <c r="BP3419" s="2117">
        <f t="shared" si="368"/>
        <v>2035</v>
      </c>
    </row>
    <row r="3420" spans="2:68">
      <c r="B3420" s="1968" t="s">
        <v>2132</v>
      </c>
      <c r="I3420" s="122">
        <f t="shared" ref="I3420:Q3420" si="369">I3412</f>
        <v>-1739.6852296371421</v>
      </c>
      <c r="J3420" s="122">
        <f t="shared" si="369"/>
        <v>574.0961257802569</v>
      </c>
      <c r="K3420" s="122">
        <f t="shared" si="369"/>
        <v>1163.6946358400419</v>
      </c>
      <c r="L3420" s="122">
        <f t="shared" si="369"/>
        <v>1781.0178762847261</v>
      </c>
      <c r="M3420" s="122">
        <f t="shared" si="369"/>
        <v>1801.3173612296614</v>
      </c>
      <c r="N3420" s="122">
        <f t="shared" si="369"/>
        <v>1818.0773833122742</v>
      </c>
      <c r="O3420" s="122">
        <f t="shared" si="369"/>
        <v>1833.5594290809981</v>
      </c>
      <c r="P3420" s="122">
        <f t="shared" si="369"/>
        <v>1840.1023151039833</v>
      </c>
      <c r="Q3420" s="122">
        <f t="shared" si="369"/>
        <v>1859.3133481476018</v>
      </c>
      <c r="BA3420" s="1968" t="s">
        <v>2132</v>
      </c>
      <c r="BH3420" s="122">
        <f t="shared" ref="BH3420:BP3420" si="370">BH3412</f>
        <v>-96.2931835247945</v>
      </c>
      <c r="BI3420" s="122">
        <f t="shared" si="370"/>
        <v>31.776750563182187</v>
      </c>
      <c r="BJ3420" s="122">
        <f t="shared" si="370"/>
        <v>63.148600399922906</v>
      </c>
      <c r="BK3420" s="122">
        <f t="shared" si="370"/>
        <v>94.752963931880231</v>
      </c>
      <c r="BL3420" s="122">
        <f t="shared" si="370"/>
        <v>93.953851560450829</v>
      </c>
      <c r="BM3420" s="122">
        <f t="shared" si="370"/>
        <v>92.968654591491799</v>
      </c>
      <c r="BN3420" s="122">
        <f t="shared" si="370"/>
        <v>91.921901761012364</v>
      </c>
      <c r="BO3420" s="122">
        <f t="shared" si="370"/>
        <v>90.441094612489636</v>
      </c>
      <c r="BP3420" s="122">
        <f t="shared" si="370"/>
        <v>89.593448601775378</v>
      </c>
    </row>
    <row r="3421" spans="2:68">
      <c r="B3421" s="42" t="s">
        <v>2105</v>
      </c>
      <c r="C3421" s="42"/>
      <c r="D3421" s="42"/>
      <c r="E3421" s="42"/>
      <c r="F3421" s="42"/>
      <c r="G3421" s="42"/>
      <c r="H3421" s="42"/>
      <c r="I3421" s="642">
        <f>(1-0.28)*I3420</f>
        <v>-1252.5733653387422</v>
      </c>
      <c r="J3421" s="642">
        <f t="shared" ref="J3421:Q3421" si="371">(1-0.28)*J3420</f>
        <v>413.34921056178496</v>
      </c>
      <c r="K3421" s="642">
        <f t="shared" si="371"/>
        <v>837.86013780483017</v>
      </c>
      <c r="L3421" s="642">
        <f t="shared" si="371"/>
        <v>1282.3328709250027</v>
      </c>
      <c r="M3421" s="642">
        <f t="shared" si="371"/>
        <v>1296.9485000853563</v>
      </c>
      <c r="N3421" s="642">
        <f t="shared" si="371"/>
        <v>1309.0157159848372</v>
      </c>
      <c r="O3421" s="642">
        <f t="shared" si="371"/>
        <v>1320.1627889383187</v>
      </c>
      <c r="P3421" s="642">
        <f t="shared" si="371"/>
        <v>1324.8736668748679</v>
      </c>
      <c r="Q3421" s="642">
        <f t="shared" si="371"/>
        <v>1338.7056106662733</v>
      </c>
      <c r="BA3421" s="42" t="s">
        <v>2105</v>
      </c>
      <c r="BB3421" s="42"/>
      <c r="BC3421" s="42"/>
      <c r="BD3421" s="42"/>
      <c r="BE3421" s="42"/>
      <c r="BF3421" s="42"/>
      <c r="BG3421" s="42"/>
      <c r="BH3421" s="642">
        <f>(1-0.28)*BH3420</f>
        <v>-69.331092137852039</v>
      </c>
      <c r="BI3421" s="642">
        <f t="shared" ref="BI3421:BP3421" si="372">(1-0.28)*BI3420</f>
        <v>22.879260405491173</v>
      </c>
      <c r="BJ3421" s="642">
        <f t="shared" si="372"/>
        <v>45.466992287944493</v>
      </c>
      <c r="BK3421" s="642">
        <f t="shared" si="372"/>
        <v>68.222134030953768</v>
      </c>
      <c r="BL3421" s="642">
        <f t="shared" si="372"/>
        <v>67.646773123524596</v>
      </c>
      <c r="BM3421" s="642">
        <f t="shared" si="372"/>
        <v>66.9374313058741</v>
      </c>
      <c r="BN3421" s="642">
        <f t="shared" si="372"/>
        <v>66.183769267928895</v>
      </c>
      <c r="BO3421" s="642">
        <f t="shared" si="372"/>
        <v>65.117588120992536</v>
      </c>
      <c r="BP3421" s="642">
        <f t="shared" si="372"/>
        <v>64.507282993278267</v>
      </c>
    </row>
    <row r="3422" spans="2:68">
      <c r="H3422" s="122"/>
      <c r="I3422" s="122"/>
      <c r="J3422" s="122"/>
      <c r="K3422" s="122"/>
      <c r="L3422" s="122"/>
      <c r="BH3422" s="4"/>
      <c r="BI3422" s="4"/>
      <c r="BJ3422" s="4"/>
      <c r="BK3422" s="4"/>
      <c r="BL3422" s="4"/>
      <c r="BM3422" s="4"/>
      <c r="BN3422" s="4"/>
      <c r="BO3422" s="4"/>
      <c r="BP3422" s="4"/>
    </row>
    <row r="3423" spans="2:68">
      <c r="H3423" s="122"/>
      <c r="I3423" s="122"/>
      <c r="J3423" s="122"/>
      <c r="K3423" s="122"/>
      <c r="L3423" s="122"/>
    </row>
    <row r="3424" spans="2:68">
      <c r="H3424" s="122"/>
      <c r="I3424" s="122"/>
      <c r="J3424" s="122"/>
      <c r="K3424" s="122"/>
      <c r="L3424" s="122"/>
    </row>
    <row r="3425" spans="2:68">
      <c r="B3425" s="1969" t="s">
        <v>8168</v>
      </c>
      <c r="C3425" s="2098">
        <v>2021</v>
      </c>
      <c r="D3425" s="2098">
        <v>2022</v>
      </c>
      <c r="E3425" s="2098">
        <v>2023</v>
      </c>
      <c r="F3425" s="2098">
        <f>E3425+1</f>
        <v>2024</v>
      </c>
      <c r="G3425" s="2098">
        <f>F3425+1</f>
        <v>2025</v>
      </c>
      <c r="H3425" s="2098">
        <f>G3425+1</f>
        <v>2026</v>
      </c>
      <c r="I3425" s="2098">
        <f>H3425+1</f>
        <v>2027</v>
      </c>
      <c r="J3425" s="2098">
        <f>I3425+1</f>
        <v>2028</v>
      </c>
      <c r="K3425" s="2098">
        <f t="shared" ref="K3425:Q3425" si="373">J3425+1</f>
        <v>2029</v>
      </c>
      <c r="L3425" s="2098">
        <f t="shared" si="373"/>
        <v>2030</v>
      </c>
      <c r="M3425" s="2098">
        <f t="shared" si="373"/>
        <v>2031</v>
      </c>
      <c r="N3425" s="2098">
        <f t="shared" si="373"/>
        <v>2032</v>
      </c>
      <c r="O3425" s="2098">
        <f t="shared" si="373"/>
        <v>2033</v>
      </c>
      <c r="P3425" s="2098">
        <f t="shared" si="373"/>
        <v>2034</v>
      </c>
      <c r="Q3425" s="2098">
        <f t="shared" si="373"/>
        <v>2035</v>
      </c>
      <c r="BA3425" s="1969" t="s">
        <v>8210</v>
      </c>
      <c r="BB3425" s="2098">
        <v>2021</v>
      </c>
      <c r="BC3425" s="2098">
        <v>2022</v>
      </c>
      <c r="BD3425" s="2098">
        <v>2023</v>
      </c>
      <c r="BE3425" s="2098">
        <v>2024</v>
      </c>
      <c r="BF3425" s="2098">
        <v>2025</v>
      </c>
      <c r="BG3425" s="2098">
        <v>2026</v>
      </c>
      <c r="BH3425" s="2098">
        <v>2027</v>
      </c>
      <c r="BI3425" s="2098">
        <v>2028</v>
      </c>
      <c r="BJ3425" s="2098">
        <v>2029</v>
      </c>
      <c r="BK3425" s="2098">
        <v>2030</v>
      </c>
      <c r="BL3425" s="2098">
        <v>2031</v>
      </c>
      <c r="BM3425" s="2098">
        <v>2032</v>
      </c>
      <c r="BN3425" s="2098">
        <v>2033</v>
      </c>
      <c r="BO3425" s="2098">
        <v>2034</v>
      </c>
      <c r="BP3425" s="2098">
        <v>2035</v>
      </c>
    </row>
    <row r="3427" spans="2:68">
      <c r="B3427" s="1970" t="s">
        <v>8159</v>
      </c>
      <c r="C3427" s="122"/>
      <c r="D3427" s="122"/>
      <c r="E3427" s="122"/>
      <c r="F3427" s="122"/>
      <c r="G3427" s="122"/>
      <c r="H3427" s="122"/>
      <c r="I3427" s="122">
        <f ca="1">I3368+$C$3342</f>
        <v>92492.080071689707</v>
      </c>
      <c r="J3427" s="122">
        <f t="shared" ref="J3427:Q3427" ca="1" si="374">J3368+$C$3342</f>
        <v>92945.923246501567</v>
      </c>
      <c r="K3427" s="122">
        <f t="shared" ca="1" si="374"/>
        <v>91438.538066900248</v>
      </c>
      <c r="L3427" s="122">
        <f t="shared" ca="1" si="374"/>
        <v>89516.457496588919</v>
      </c>
      <c r="M3427" s="122">
        <f t="shared" ca="1" si="374"/>
        <v>87200.016249105436</v>
      </c>
      <c r="N3427" s="122">
        <f t="shared" ca="1" si="374"/>
        <v>84594.23238931183</v>
      </c>
      <c r="O3427" s="122">
        <f t="shared" ca="1" si="374"/>
        <v>81691.516856473085</v>
      </c>
      <c r="P3427" s="122">
        <f t="shared" ca="1" si="374"/>
        <v>78757.924053703027</v>
      </c>
      <c r="Q3427" s="122">
        <f t="shared" ca="1" si="374"/>
        <v>75876.443058262346</v>
      </c>
      <c r="BA3427" s="1970" t="s">
        <v>8159</v>
      </c>
      <c r="BB3427" s="122"/>
      <c r="BC3427" s="122"/>
      <c r="BD3427" s="122"/>
      <c r="BE3427" s="122"/>
      <c r="BF3427" s="122"/>
      <c r="BG3427" s="122"/>
      <c r="BH3427" s="122">
        <f ca="1">I3427/BH$3360</f>
        <v>5221.9124603631208</v>
      </c>
      <c r="BI3427" s="122">
        <f t="shared" ref="BI3427:BP3427" ca="1" si="375">J3427/BI$3360</f>
        <v>5144.6426586743019</v>
      </c>
      <c r="BJ3427" s="122">
        <f t="shared" ca="1" si="375"/>
        <v>4961.9681346829966</v>
      </c>
      <c r="BK3427" s="122">
        <f t="shared" ca="1" si="375"/>
        <v>4762.416919799628</v>
      </c>
      <c r="BL3427" s="122">
        <f t="shared" ca="1" si="375"/>
        <v>4548.2143008628909</v>
      </c>
      <c r="BM3427" s="122">
        <f t="shared" ca="1" si="375"/>
        <v>4325.7850538276507</v>
      </c>
      <c r="BN3427" s="122">
        <f t="shared" ca="1" si="375"/>
        <v>4095.443795324662</v>
      </c>
      <c r="BO3427" s="122">
        <f t="shared" ca="1" si="375"/>
        <v>3870.954784610286</v>
      </c>
      <c r="BP3427" s="122">
        <f t="shared" ca="1" si="375"/>
        <v>3656.2057751044017</v>
      </c>
    </row>
    <row r="3428" spans="2:68">
      <c r="B3428" s="1970" t="s">
        <v>1133</v>
      </c>
      <c r="C3428" s="122"/>
      <c r="D3428" s="122"/>
      <c r="E3428" s="122"/>
      <c r="F3428" s="122"/>
      <c r="G3428" s="122"/>
      <c r="H3428" s="122"/>
      <c r="I3428" s="122">
        <f>I3365+I3294*$C$3315+I3414+I3416</f>
        <v>34478.394142729456</v>
      </c>
      <c r="J3428" s="122">
        <f t="shared" ref="J3428:Q3428" si="376">J3365+J3294*$C$3315+J3414+J3416</f>
        <v>36601.475854559911</v>
      </c>
      <c r="K3428" s="122">
        <f t="shared" si="376"/>
        <v>37519.016399168017</v>
      </c>
      <c r="L3428" s="122">
        <f t="shared" si="376"/>
        <v>38747.887645282761</v>
      </c>
      <c r="M3428" s="122">
        <f t="shared" si="376"/>
        <v>39625.559332265781</v>
      </c>
      <c r="N3428" s="122">
        <f t="shared" si="376"/>
        <v>40385.075738910971</v>
      </c>
      <c r="O3428" s="122">
        <f t="shared" si="376"/>
        <v>41111.810281742801</v>
      </c>
      <c r="P3428" s="122">
        <f t="shared" si="376"/>
        <v>41421.329600428784</v>
      </c>
      <c r="Q3428" s="122">
        <f t="shared" si="376"/>
        <v>42001.110160391741</v>
      </c>
      <c r="BA3428" s="1970" t="s">
        <v>1133</v>
      </c>
      <c r="BB3428" s="122"/>
      <c r="BC3428" s="122"/>
      <c r="BD3428" s="122"/>
      <c r="BE3428" s="122"/>
      <c r="BF3428" s="122"/>
      <c r="BG3428" s="122"/>
      <c r="BH3428" s="122">
        <f>I3428/BH3360</f>
        <v>1946.5791649153107</v>
      </c>
      <c r="BI3428" s="122">
        <f t="shared" ref="BI3428:BP3428" si="377">J3428/BI3360</f>
        <v>2025.9254787583588</v>
      </c>
      <c r="BJ3428" s="122">
        <f t="shared" si="377"/>
        <v>2035.9923480088023</v>
      </c>
      <c r="BK3428" s="122">
        <f t="shared" si="377"/>
        <v>2061.4488205749358</v>
      </c>
      <c r="BL3428" s="122">
        <f t="shared" si="377"/>
        <v>2066.8062161806201</v>
      </c>
      <c r="BM3428" s="122">
        <f t="shared" si="377"/>
        <v>2065.1190051007675</v>
      </c>
      <c r="BN3428" s="122">
        <f t="shared" si="377"/>
        <v>2061.059884941857</v>
      </c>
      <c r="BO3428" s="122">
        <f t="shared" si="377"/>
        <v>2035.8598316071361</v>
      </c>
      <c r="BP3428" s="122">
        <f t="shared" si="377"/>
        <v>2023.8784969309188</v>
      </c>
    </row>
    <row r="3429" spans="2:68">
      <c r="B3429" s="2097" t="s">
        <v>41</v>
      </c>
      <c r="C3429" s="2100"/>
      <c r="D3429" s="2100"/>
      <c r="E3429" s="2100"/>
      <c r="F3429" s="2100"/>
      <c r="G3429" s="2100"/>
      <c r="H3429" s="2100"/>
      <c r="I3429" s="2100">
        <f t="shared" ref="I3429" ca="1" si="378">I3427/I3428</f>
        <v>2.6826098596356389</v>
      </c>
      <c r="J3429" s="2100">
        <f t="shared" ref="J3429" ca="1" si="379">J3427/J3428</f>
        <v>2.5394037009827874</v>
      </c>
      <c r="K3429" s="2100">
        <f t="shared" ref="K3429" ca="1" si="380">K3427/K3428</f>
        <v>2.437125139264789</v>
      </c>
      <c r="L3429" s="2100">
        <f t="shared" ref="L3429" ca="1" si="381">L3427/L3428</f>
        <v>2.310228064973932</v>
      </c>
      <c r="M3429" s="2100">
        <f t="shared" ref="M3429" ca="1" si="382">M3427/M3428</f>
        <v>2.2006002620157679</v>
      </c>
      <c r="N3429" s="2100">
        <f t="shared" ref="N3429" ca="1" si="383">N3427/N3428</f>
        <v>2.0946904479321153</v>
      </c>
      <c r="O3429" s="2100">
        <f t="shared" ref="O3429" ca="1" si="384">O3427/O3428</f>
        <v>1.9870571569734836</v>
      </c>
      <c r="P3429" s="2100">
        <f t="shared" ref="P3429" ca="1" si="385">P3427/P3428</f>
        <v>1.9013857066743638</v>
      </c>
      <c r="Q3429" s="2100">
        <f t="shared" ref="Q3429" ca="1" si="386">Q3427/Q3428</f>
        <v>1.8065342265599451</v>
      </c>
      <c r="BA3429" s="2097" t="s">
        <v>41</v>
      </c>
      <c r="BB3429" s="2100"/>
      <c r="BC3429" s="2100"/>
      <c r="BD3429" s="2100"/>
      <c r="BE3429" s="2100"/>
      <c r="BF3429" s="2100"/>
      <c r="BG3429" s="2100"/>
      <c r="BH3429" s="2100">
        <f t="shared" ref="BH3429:BP3429" ca="1" si="387">BH3427/BH3428</f>
        <v>2.6826098596356389</v>
      </c>
      <c r="BI3429" s="2100">
        <f t="shared" ca="1" si="387"/>
        <v>2.5394037009827874</v>
      </c>
      <c r="BJ3429" s="2100">
        <f t="shared" ca="1" si="387"/>
        <v>2.4371251392647886</v>
      </c>
      <c r="BK3429" s="2100">
        <f t="shared" ca="1" si="387"/>
        <v>2.310228064973932</v>
      </c>
      <c r="BL3429" s="2100">
        <f t="shared" ca="1" si="387"/>
        <v>2.2006002620157683</v>
      </c>
      <c r="BM3429" s="2100">
        <f t="shared" ca="1" si="387"/>
        <v>2.0946904479321153</v>
      </c>
      <c r="BN3429" s="2100">
        <f t="shared" ca="1" si="387"/>
        <v>1.9870571569734838</v>
      </c>
      <c r="BO3429" s="2100">
        <f t="shared" ca="1" si="387"/>
        <v>1.9013857066743638</v>
      </c>
      <c r="BP3429" s="2100">
        <f t="shared" ca="1" si="387"/>
        <v>1.8065342265599451</v>
      </c>
    </row>
    <row r="3430" spans="2:68">
      <c r="B3430" s="1970" t="s">
        <v>1344</v>
      </c>
      <c r="I3430" s="122">
        <f ca="1">I3370+I3305*$C$3315-F3354+I3414+I3415+I3416</f>
        <v>7214.8162311976284</v>
      </c>
      <c r="J3430" s="122">
        <f t="shared" ref="J3430:Q3430" ca="1" si="388">J3370+J3305*$C$3315-G3354+J3414+J3415+J3416</f>
        <v>9450.694109438462</v>
      </c>
      <c r="K3430" s="122">
        <f t="shared" ca="1" si="388"/>
        <v>9747.8842292874378</v>
      </c>
      <c r="L3430" s="122">
        <f t="shared" ca="1" si="388"/>
        <v>10910.824152291345</v>
      </c>
      <c r="M3430" s="122">
        <f t="shared" ca="1" si="388"/>
        <v>11374.660437149969</v>
      </c>
      <c r="N3430" s="122">
        <f t="shared" ca="1" si="388"/>
        <v>11732.513768669742</v>
      </c>
      <c r="O3430" s="122">
        <f t="shared" ca="1" si="388"/>
        <v>12115.16541398972</v>
      </c>
      <c r="P3430" s="122">
        <f t="shared" ca="1" si="388"/>
        <v>12247.583604332283</v>
      </c>
      <c r="Q3430" s="122">
        <f t="shared" ca="1" si="388"/>
        <v>12479.74875756815</v>
      </c>
      <c r="BA3430" t="s">
        <v>1344</v>
      </c>
      <c r="BH3430" s="122">
        <f ca="1">I3430/BH$3360</f>
        <v>407.33367384233719</v>
      </c>
      <c r="BI3430" s="122">
        <f t="shared" ref="BI3430:BP3430" ca="1" si="389">J3430/BI$3360</f>
        <v>523.10464376746188</v>
      </c>
      <c r="BJ3430" s="122">
        <f t="shared" ca="1" si="389"/>
        <v>528.97489339685899</v>
      </c>
      <c r="BK3430" s="122">
        <f t="shared" ca="1" si="389"/>
        <v>580.47307729766646</v>
      </c>
      <c r="BL3430" s="122">
        <f t="shared" ca="1" si="389"/>
        <v>593.28421591017252</v>
      </c>
      <c r="BM3430" s="122">
        <f t="shared" ca="1" si="389"/>
        <v>599.95027167775413</v>
      </c>
      <c r="BN3430" s="122">
        <f t="shared" ca="1" si="389"/>
        <v>607.37002975755831</v>
      </c>
      <c r="BO3430" s="122">
        <f t="shared" ca="1" si="389"/>
        <v>601.96917228007396</v>
      </c>
      <c r="BP3430" s="122">
        <f t="shared" ca="1" si="389"/>
        <v>601.3530371242681</v>
      </c>
    </row>
    <row r="3431" spans="2:68">
      <c r="B3431" s="1970" t="s">
        <v>8143</v>
      </c>
      <c r="I3431" s="122">
        <f>I3371+$C$3345</f>
        <v>1056.2494186074011</v>
      </c>
      <c r="J3431" s="122">
        <f t="shared" ref="J3431:Q3431" si="390">J3371+$C$3345</f>
        <v>1056.2494186074011</v>
      </c>
      <c r="K3431" s="122">
        <f t="shared" si="390"/>
        <v>1056.2494186074011</v>
      </c>
      <c r="L3431" s="122">
        <f t="shared" si="390"/>
        <v>1056.2494186074011</v>
      </c>
      <c r="M3431" s="122">
        <f t="shared" si="390"/>
        <v>1056.2494186074011</v>
      </c>
      <c r="N3431" s="122">
        <f t="shared" si="390"/>
        <v>1056.2494186074011</v>
      </c>
      <c r="O3431" s="122">
        <f t="shared" si="390"/>
        <v>1056.2494186074011</v>
      </c>
      <c r="P3431" s="122">
        <f t="shared" si="390"/>
        <v>1056.2494186074011</v>
      </c>
      <c r="Q3431" s="122">
        <f t="shared" si="390"/>
        <v>1056.2494186074011</v>
      </c>
      <c r="BA3431" t="s">
        <v>8143</v>
      </c>
      <c r="BH3431" s="122">
        <f>BH3371+$E$3345</f>
        <v>1056.2494186074011</v>
      </c>
      <c r="BI3431" s="122">
        <f t="shared" ref="BI3431:BP3431" si="391">BI3371+$E$3345</f>
        <v>1056.2494186074011</v>
      </c>
      <c r="BJ3431" s="122">
        <f t="shared" si="391"/>
        <v>1056.2494186074011</v>
      </c>
      <c r="BK3431" s="122">
        <f t="shared" si="391"/>
        <v>1056.2494186074011</v>
      </c>
      <c r="BL3431" s="122">
        <f t="shared" si="391"/>
        <v>1056.2494186074011</v>
      </c>
      <c r="BM3431" s="122">
        <f t="shared" si="391"/>
        <v>1056.2494186074011</v>
      </c>
      <c r="BN3431" s="122">
        <f t="shared" si="391"/>
        <v>1056.2494186074011</v>
      </c>
      <c r="BO3431" s="122">
        <f t="shared" si="391"/>
        <v>1056.2494186074011</v>
      </c>
      <c r="BP3431" s="122">
        <f t="shared" si="391"/>
        <v>1056.2494186074011</v>
      </c>
    </row>
    <row r="3432" spans="2:68">
      <c r="B3432" s="2097" t="s">
        <v>8150</v>
      </c>
      <c r="C3432" s="42"/>
      <c r="D3432" s="42"/>
      <c r="E3432" s="42"/>
      <c r="F3432" s="42"/>
      <c r="G3432" s="42"/>
      <c r="H3432" s="42"/>
      <c r="I3432" s="658">
        <f ca="1">I3430/I3431</f>
        <v>6.8305990082436336</v>
      </c>
      <c r="J3432" s="658">
        <f t="shared" ref="J3432:Q3432" ca="1" si="392">J3430/J3431</f>
        <v>8.9474076320899769</v>
      </c>
      <c r="K3432" s="658">
        <f t="shared" ca="1" si="392"/>
        <v>9.2287712140371294</v>
      </c>
      <c r="L3432" s="658">
        <f t="shared" ca="1" si="392"/>
        <v>10.329780031194323</v>
      </c>
      <c r="M3432" s="658">
        <f t="shared" ca="1" si="392"/>
        <v>10.768915217152733</v>
      </c>
      <c r="N3432" s="658">
        <f t="shared" ca="1" si="392"/>
        <v>11.107711457146484</v>
      </c>
      <c r="O3432" s="658">
        <f t="shared" ca="1" si="392"/>
        <v>11.469985403601745</v>
      </c>
      <c r="P3432" s="658">
        <f t="shared" ca="1" si="392"/>
        <v>11.595351806659412</v>
      </c>
      <c r="Q3432" s="658">
        <f t="shared" ca="1" si="392"/>
        <v>11.815153256152243</v>
      </c>
      <c r="BA3432" s="2097" t="s">
        <v>8150</v>
      </c>
      <c r="BB3432" s="42"/>
      <c r="BC3432" s="42"/>
      <c r="BD3432" s="42"/>
      <c r="BE3432" s="42"/>
      <c r="BF3432" s="42"/>
      <c r="BG3432" s="42"/>
      <c r="BH3432" s="658">
        <f ca="1">BH3430/BH3431</f>
        <v>0.38564156028543067</v>
      </c>
      <c r="BI3432" s="658">
        <f t="shared" ref="BI3432:BP3432" ca="1" si="393">BI3430/BI3431</f>
        <v>0.49524727261591556</v>
      </c>
      <c r="BJ3432" s="658">
        <f t="shared" ca="1" si="393"/>
        <v>0.50080490846023784</v>
      </c>
      <c r="BK3432" s="658">
        <f t="shared" ca="1" si="393"/>
        <v>0.54956061236273523</v>
      </c>
      <c r="BL3432" s="658">
        <f t="shared" ca="1" si="393"/>
        <v>0.56168950766607828</v>
      </c>
      <c r="BM3432" s="658">
        <f t="shared" ca="1" si="393"/>
        <v>0.56800056985475178</v>
      </c>
      <c r="BN3432" s="658">
        <f t="shared" ca="1" si="393"/>
        <v>0.57502519675545738</v>
      </c>
      <c r="BO3432" s="658">
        <f t="shared" ca="1" si="393"/>
        <v>0.56991195609246603</v>
      </c>
      <c r="BP3432" s="658">
        <f t="shared" ca="1" si="393"/>
        <v>0.5693286325469552</v>
      </c>
    </row>
    <row r="3433" spans="2:68">
      <c r="B3433" s="2103" t="s">
        <v>192</v>
      </c>
      <c r="C3433" s="248"/>
      <c r="D3433" s="248"/>
      <c r="E3433" s="248"/>
      <c r="F3433" s="248"/>
      <c r="G3433" s="248"/>
      <c r="H3433" s="248"/>
      <c r="I3433" s="2104">
        <f ca="1">I3432/I3372-1</f>
        <v>0.53058462522615546</v>
      </c>
      <c r="J3433" s="2104">
        <f t="shared" ref="J3433:Q3433" ca="1" si="394">J3432/J3372-1</f>
        <v>0.81031676558569354</v>
      </c>
      <c r="K3433" s="2104">
        <f t="shared" ca="1" si="394"/>
        <v>0.79124986719956159</v>
      </c>
      <c r="L3433" s="2104">
        <f t="shared" ca="1" si="394"/>
        <v>0.78837826959073931</v>
      </c>
      <c r="M3433" s="2104">
        <f t="shared" ca="1" si="394"/>
        <v>0.72008066137157312</v>
      </c>
      <c r="N3433" s="2104">
        <f t="shared" ca="1" si="394"/>
        <v>0.68123842493191411</v>
      </c>
      <c r="O3433" s="2104">
        <f t="shared" ca="1" si="394"/>
        <v>0.64109015288845383</v>
      </c>
      <c r="P3433" s="2104">
        <f t="shared" ca="1" si="394"/>
        <v>0.65577441882843623</v>
      </c>
      <c r="Q3433" s="2104">
        <f t="shared" ca="1" si="394"/>
        <v>0.65358435644130863</v>
      </c>
      <c r="BA3433" s="2103" t="s">
        <v>192</v>
      </c>
      <c r="BB3433" s="248"/>
      <c r="BC3433" s="248"/>
      <c r="BD3433" s="248"/>
      <c r="BE3433" s="248"/>
      <c r="BF3433" s="248"/>
      <c r="BG3433" s="248"/>
      <c r="BH3433" s="2104">
        <f ca="1">BH3432/BH3372-1</f>
        <v>0.53058462522615546</v>
      </c>
      <c r="BI3433" s="2104">
        <f t="shared" ref="BI3433:BP3433" ca="1" si="395">BI3432/BI3372-1</f>
        <v>0.81031676558569399</v>
      </c>
      <c r="BJ3433" s="2104">
        <f t="shared" ca="1" si="395"/>
        <v>0.79124986719956136</v>
      </c>
      <c r="BK3433" s="2104">
        <f t="shared" ca="1" si="395"/>
        <v>0.78837826959073887</v>
      </c>
      <c r="BL3433" s="2104">
        <f t="shared" ca="1" si="395"/>
        <v>0.72008066137157312</v>
      </c>
      <c r="BM3433" s="2104">
        <f t="shared" ca="1" si="395"/>
        <v>0.68123842493191389</v>
      </c>
      <c r="BN3433" s="2104">
        <f t="shared" ca="1" si="395"/>
        <v>0.64109015288845361</v>
      </c>
      <c r="BO3433" s="2104">
        <f t="shared" ca="1" si="395"/>
        <v>0.65577441882843623</v>
      </c>
      <c r="BP3433" s="2104">
        <f t="shared" ca="1" si="395"/>
        <v>0.65358435644130886</v>
      </c>
    </row>
    <row r="3434" spans="2:68">
      <c r="B3434" s="1970" t="s">
        <v>28</v>
      </c>
      <c r="I3434" s="1467">
        <f ca="1">I3432/Valuation!W19/Valuation!$B$2</f>
        <v>0.13161827996089784</v>
      </c>
      <c r="J3434" s="1467">
        <f ca="1">J3432/Valuation!X19/Valuation!$B$2</f>
        <v>0.16902637290645578</v>
      </c>
      <c r="K3434" s="1467">
        <f ca="1">K3432/Valuation!Y19/Valuation!$B$2</f>
        <v>0.17092317694888662</v>
      </c>
      <c r="L3434" s="1467">
        <f ca="1">L3432/Valuation!Z19/Valuation!$B$2</f>
        <v>0.18756334892926119</v>
      </c>
      <c r="M3434" s="1467">
        <f ca="1">M3432/Valuation!AA19/Valuation!$B$2</f>
        <v>0.19170290364029974</v>
      </c>
      <c r="N3434" s="1467">
        <f ca="1">N3432/Valuation!AB19/Valuation!$B$2</f>
        <v>0.19385684977977877</v>
      </c>
      <c r="O3434" s="1467">
        <f ca="1">O3432/Valuation!AC19/Valuation!$B$2</f>
        <v>0.19625433336363735</v>
      </c>
      <c r="P3434" s="1467">
        <f ca="1">P3432/Valuation!AD19/Valuation!$B$2</f>
        <v>0.19450920003155836</v>
      </c>
      <c r="Q3434" s="1467">
        <f ca="1">Q3432/Valuation!AE19/Valuation!$B$2</f>
        <v>0.1943101134972543</v>
      </c>
      <c r="BA3434" t="s">
        <v>28</v>
      </c>
      <c r="BH3434" s="1467">
        <f ca="1">BH3432/Valuation!$B$2</f>
        <v>0.13161827996089784</v>
      </c>
      <c r="BI3434" s="1467">
        <f ca="1">BI3432/Valuation!$B$2</f>
        <v>0.16902637290645581</v>
      </c>
      <c r="BJ3434" s="1467">
        <f ca="1">BJ3432/Valuation!$B$2</f>
        <v>0.17092317694888662</v>
      </c>
      <c r="BK3434" s="1467">
        <f ca="1">BK3432/Valuation!$B$2</f>
        <v>0.18756334892926116</v>
      </c>
      <c r="BL3434" s="1467">
        <f ca="1">BL3432/Valuation!$B$2</f>
        <v>0.19170290364029974</v>
      </c>
      <c r="BM3434" s="1467">
        <f ca="1">BM3432/Valuation!$B$2</f>
        <v>0.19385684977977877</v>
      </c>
      <c r="BN3434" s="1467">
        <f ca="1">BN3432/Valuation!$B$2</f>
        <v>0.19625433336363732</v>
      </c>
      <c r="BO3434" s="1467">
        <f ca="1">BO3432/Valuation!$B$2</f>
        <v>0.19450920003155836</v>
      </c>
      <c r="BP3434" s="1467">
        <f ca="1">BP3432/Valuation!$B$2</f>
        <v>0.19431011349725433</v>
      </c>
    </row>
    <row r="3437" spans="2:68">
      <c r="B3437" s="1970" t="s">
        <v>8147</v>
      </c>
      <c r="I3437" s="122">
        <f>I3431*Valuation!$B$2*Valuation!W19</f>
        <v>54816.217271195623</v>
      </c>
      <c r="J3437" s="122">
        <f>J3431*Valuation!$B$2*Valuation!X19</f>
        <v>55912.541616619535</v>
      </c>
      <c r="K3437" s="122">
        <f>K3431*Valuation!$B$2*Valuation!Y19</f>
        <v>57030.792448951928</v>
      </c>
      <c r="L3437" s="122">
        <f>L3431*Valuation!$B$2*Valuation!Z19</f>
        <v>58171.408297930968</v>
      </c>
      <c r="M3437" s="122">
        <f>M3431*Valuation!$B$2*Valuation!AA19</f>
        <v>59334.836463889587</v>
      </c>
      <c r="N3437" s="122">
        <f>N3431*Valuation!$B$2*Valuation!AB19</f>
        <v>60521.533193167379</v>
      </c>
      <c r="O3437" s="122">
        <f>O3431*Valuation!$B$2*Valuation!AC19</f>
        <v>61731.963857030729</v>
      </c>
      <c r="P3437" s="122">
        <f>P3431*Valuation!$B$2*Valuation!AD19</f>
        <v>62966.603134171339</v>
      </c>
      <c r="Q3437" s="122">
        <f>Q3431*Valuation!$B$2*Valuation!AE19</f>
        <v>64225.935196854763</v>
      </c>
      <c r="BA3437" t="s">
        <v>8147</v>
      </c>
      <c r="BH3437" s="122">
        <f>BH3431*Valuation!$B$2</f>
        <v>3094.8107965196855</v>
      </c>
      <c r="BI3437" s="122">
        <f>BI3431*Valuation!$B$2</f>
        <v>3094.8107965196855</v>
      </c>
      <c r="BJ3437" s="122">
        <f>BJ3431*Valuation!$B$2</f>
        <v>3094.8107965196855</v>
      </c>
      <c r="BK3437" s="122">
        <f>BK3431*Valuation!$B$2</f>
        <v>3094.8107965196855</v>
      </c>
      <c r="BL3437" s="122">
        <f>BL3431*Valuation!$B$2</f>
        <v>3094.8107965196855</v>
      </c>
      <c r="BM3437" s="122">
        <f>BM3431*Valuation!$B$2</f>
        <v>3094.8107965196855</v>
      </c>
      <c r="BN3437" s="122">
        <f>BN3431*Valuation!$B$2</f>
        <v>3094.8107965196855</v>
      </c>
      <c r="BO3437" s="122">
        <f>BO3431*Valuation!$B$2</f>
        <v>3094.8107965196855</v>
      </c>
      <c r="BP3437" s="122">
        <f>BP3431*Valuation!$B$2</f>
        <v>3094.8107965196855</v>
      </c>
    </row>
    <row r="3438" spans="2:68">
      <c r="B3438" s="1970" t="s">
        <v>1132</v>
      </c>
      <c r="I3438" s="122">
        <f ca="1">I3427</f>
        <v>92492.080071689707</v>
      </c>
      <c r="J3438" s="122">
        <f t="shared" ref="J3438:Q3438" ca="1" si="396">J3427</f>
        <v>92945.923246501567</v>
      </c>
      <c r="K3438" s="122">
        <f t="shared" ca="1" si="396"/>
        <v>91438.538066900248</v>
      </c>
      <c r="L3438" s="122">
        <f t="shared" ca="1" si="396"/>
        <v>89516.457496588919</v>
      </c>
      <c r="M3438" s="122">
        <f t="shared" ca="1" si="396"/>
        <v>87200.016249105436</v>
      </c>
      <c r="N3438" s="122">
        <f t="shared" ca="1" si="396"/>
        <v>84594.23238931183</v>
      </c>
      <c r="O3438" s="122">
        <f t="shared" ca="1" si="396"/>
        <v>81691.516856473085</v>
      </c>
      <c r="P3438" s="122">
        <f t="shared" ca="1" si="396"/>
        <v>78757.924053703027</v>
      </c>
      <c r="Q3438" s="122">
        <f t="shared" ca="1" si="396"/>
        <v>75876.443058262346</v>
      </c>
      <c r="BA3438" t="s">
        <v>1132</v>
      </c>
      <c r="BH3438" s="122">
        <f ca="1">BH3427</f>
        <v>5221.9124603631208</v>
      </c>
      <c r="BI3438" s="122">
        <f t="shared" ref="BI3438:BP3438" ca="1" si="397">BI3427</f>
        <v>5144.6426586743019</v>
      </c>
      <c r="BJ3438" s="122">
        <f t="shared" ca="1" si="397"/>
        <v>4961.9681346829966</v>
      </c>
      <c r="BK3438" s="122">
        <f t="shared" ca="1" si="397"/>
        <v>4762.416919799628</v>
      </c>
      <c r="BL3438" s="122">
        <f t="shared" ca="1" si="397"/>
        <v>4548.2143008628909</v>
      </c>
      <c r="BM3438" s="122">
        <f t="shared" ca="1" si="397"/>
        <v>4325.7850538276507</v>
      </c>
      <c r="BN3438" s="122">
        <f t="shared" ca="1" si="397"/>
        <v>4095.443795324662</v>
      </c>
      <c r="BO3438" s="122">
        <f t="shared" ca="1" si="397"/>
        <v>3870.954784610286</v>
      </c>
      <c r="BP3438" s="122">
        <f t="shared" ca="1" si="397"/>
        <v>3656.2057751044017</v>
      </c>
    </row>
    <row r="3439" spans="2:68">
      <c r="B3439" s="1970" t="s">
        <v>8148</v>
      </c>
      <c r="I3439" s="122">
        <f ca="1">I3437+I3438</f>
        <v>147308.29734288534</v>
      </c>
      <c r="J3439" s="122">
        <f t="shared" ref="J3439" ca="1" si="398">J3437+J3438</f>
        <v>148858.4648631211</v>
      </c>
      <c r="K3439" s="122">
        <f t="shared" ref="K3439" ca="1" si="399">K3437+K3438</f>
        <v>148469.33051585217</v>
      </c>
      <c r="L3439" s="122">
        <f t="shared" ref="L3439" ca="1" si="400">L3437+L3438</f>
        <v>147687.86579451989</v>
      </c>
      <c r="M3439" s="122">
        <f t="shared" ref="M3439" ca="1" si="401">M3437+M3438</f>
        <v>146534.85271299502</v>
      </c>
      <c r="N3439" s="122">
        <f t="shared" ref="N3439" ca="1" si="402">N3437+N3438</f>
        <v>145115.76558247922</v>
      </c>
      <c r="O3439" s="122">
        <f t="shared" ref="O3439" ca="1" si="403">O3437+O3438</f>
        <v>143423.48071350381</v>
      </c>
      <c r="P3439" s="122">
        <f t="shared" ref="P3439" ca="1" si="404">P3437+P3438</f>
        <v>141724.52718787437</v>
      </c>
      <c r="Q3439" s="122">
        <f t="shared" ref="Q3439" ca="1" si="405">Q3437+Q3438</f>
        <v>140102.3782551171</v>
      </c>
      <c r="BA3439" t="s">
        <v>8148</v>
      </c>
      <c r="BH3439" s="122">
        <f ca="1">BH3437+BH3438</f>
        <v>8316.7232568828058</v>
      </c>
      <c r="BI3439" s="122">
        <f t="shared" ref="BI3439:BP3439" ca="1" si="406">BI3437+BI3438</f>
        <v>8239.4534551939869</v>
      </c>
      <c r="BJ3439" s="122">
        <f t="shared" ca="1" si="406"/>
        <v>8056.7789312026816</v>
      </c>
      <c r="BK3439" s="122">
        <f t="shared" ca="1" si="406"/>
        <v>7857.2277163193139</v>
      </c>
      <c r="BL3439" s="122">
        <f t="shared" ca="1" si="406"/>
        <v>7643.0250973825769</v>
      </c>
      <c r="BM3439" s="122">
        <f t="shared" ca="1" si="406"/>
        <v>7420.5958503473357</v>
      </c>
      <c r="BN3439" s="122">
        <f t="shared" ca="1" si="406"/>
        <v>7190.2545918443475</v>
      </c>
      <c r="BO3439" s="122">
        <f t="shared" ca="1" si="406"/>
        <v>6965.7655811299719</v>
      </c>
      <c r="BP3439" s="122">
        <f t="shared" ca="1" si="406"/>
        <v>6751.0165716240872</v>
      </c>
    </row>
    <row r="3440" spans="2:68">
      <c r="B3440" s="1970" t="s">
        <v>8149</v>
      </c>
      <c r="I3440" s="2101">
        <f ca="1">I3439/I3428</f>
        <v>4.2724813903187142</v>
      </c>
      <c r="J3440" s="2101">
        <f t="shared" ref="J3440" ca="1" si="407">J3439/J3428</f>
        <v>4.0670071735529731</v>
      </c>
      <c r="K3440" s="2101">
        <f t="shared" ref="K3440" ca="1" si="408">K3439/K3428</f>
        <v>3.9571754476789662</v>
      </c>
      <c r="L3440" s="2101">
        <f t="shared" ref="L3440" ca="1" si="409">L3439/L3428</f>
        <v>3.8115075367856779</v>
      </c>
      <c r="M3440" s="2101">
        <f t="shared" ref="M3440" ca="1" si="410">M3439/M3428</f>
        <v>3.6979882475419483</v>
      </c>
      <c r="N3440" s="2101">
        <f t="shared" ref="N3440" ca="1" si="411">N3439/N3428</f>
        <v>3.593301805861425</v>
      </c>
      <c r="O3440" s="2101">
        <f t="shared" ref="O3440" ca="1" si="412">O3439/O3428</f>
        <v>3.4886199301517076</v>
      </c>
      <c r="P3440" s="2101">
        <f t="shared" ref="P3440" ca="1" si="413">P3439/P3428</f>
        <v>3.4215349568693534</v>
      </c>
      <c r="Q3440" s="2101">
        <f t="shared" ref="Q3440" ca="1" si="414">Q3439/Q3428</f>
        <v>3.3356827407680689</v>
      </c>
      <c r="BA3440" t="s">
        <v>8149</v>
      </c>
      <c r="BH3440" s="2101">
        <f ca="1">BH3439/BH3428</f>
        <v>4.2724813903187133</v>
      </c>
      <c r="BI3440" s="2101">
        <f t="shared" ref="BI3440:BP3440" ca="1" si="415">BI3439/BI3428</f>
        <v>4.0670071735529731</v>
      </c>
      <c r="BJ3440" s="2101">
        <f t="shared" ca="1" si="415"/>
        <v>3.9571754476789662</v>
      </c>
      <c r="BK3440" s="2101">
        <f t="shared" ca="1" si="415"/>
        <v>3.8115075367856779</v>
      </c>
      <c r="BL3440" s="2101">
        <f t="shared" ca="1" si="415"/>
        <v>3.6979882475419483</v>
      </c>
      <c r="BM3440" s="2101">
        <f t="shared" ca="1" si="415"/>
        <v>3.5933018058614241</v>
      </c>
      <c r="BN3440" s="2101">
        <f t="shared" ca="1" si="415"/>
        <v>3.4886199301517076</v>
      </c>
      <c r="BO3440" s="2101">
        <f t="shared" ca="1" si="415"/>
        <v>3.4215349568693534</v>
      </c>
      <c r="BP3440" s="2101">
        <f t="shared" ca="1" si="415"/>
        <v>3.3356827407680689</v>
      </c>
    </row>
    <row r="3441" spans="2:68">
      <c r="B3441" s="2103" t="s">
        <v>192</v>
      </c>
      <c r="C3441" s="248"/>
      <c r="D3441" s="248"/>
      <c r="E3441" s="248"/>
      <c r="F3441" s="248"/>
      <c r="G3441" s="248"/>
      <c r="H3441" s="248"/>
      <c r="I3441" s="2106">
        <f ca="1">I3440/I3374-1</f>
        <v>0.232153645728151</v>
      </c>
      <c r="J3441" s="2106">
        <f t="shared" ref="J3441:Q3441" ca="1" si="416">J3440/J3374-1</f>
        <v>0.15088437018245626</v>
      </c>
      <c r="K3441" s="2106">
        <f t="shared" ca="1" si="416"/>
        <v>0.15970836824343992</v>
      </c>
      <c r="L3441" s="2106">
        <f t="shared" ca="1" si="416"/>
        <v>0.18305428893903763</v>
      </c>
      <c r="M3441" s="2106">
        <f t="shared" ca="1" si="416"/>
        <v>0.23580412363798153</v>
      </c>
      <c r="N3441" s="2106">
        <f t="shared" ca="1" si="416"/>
        <v>0.29722047051087919</v>
      </c>
      <c r="O3441" s="2106">
        <f t="shared" ca="1" si="416"/>
        <v>0.36983523994207435</v>
      </c>
      <c r="P3441" s="2106">
        <f t="shared" ca="1" si="416"/>
        <v>0.4423171934626986</v>
      </c>
      <c r="Q3441" s="2106">
        <f t="shared" ca="1" si="416"/>
        <v>0.53393197351146804</v>
      </c>
      <c r="X3441" s="530"/>
      <c r="Y3441" s="530"/>
      <c r="Z3441" s="530"/>
      <c r="AA3441" s="530"/>
      <c r="AB3441" s="530"/>
      <c r="AC3441" s="530"/>
      <c r="AD3441" s="530"/>
      <c r="AE3441" s="2141"/>
      <c r="AF3441" s="2141"/>
      <c r="AG3441" s="2141"/>
      <c r="AH3441" s="2141"/>
      <c r="AI3441" s="2141"/>
      <c r="AJ3441" s="2141"/>
      <c r="AK3441" s="2141"/>
      <c r="AL3441" s="2141"/>
      <c r="AM3441" s="2141"/>
      <c r="AN3441" s="530"/>
      <c r="AO3441" s="530"/>
      <c r="AP3441" s="530"/>
      <c r="BA3441" s="248" t="s">
        <v>192</v>
      </c>
      <c r="BB3441" s="248"/>
      <c r="BC3441" s="248"/>
      <c r="BD3441" s="248"/>
      <c r="BE3441" s="248"/>
      <c r="BF3441" s="248"/>
      <c r="BG3441" s="248"/>
      <c r="BH3441" s="2106">
        <f ca="1">BH3440/BH3374-1</f>
        <v>0.23215364572815078</v>
      </c>
      <c r="BI3441" s="2106">
        <f t="shared" ref="BI3441:BP3441" ca="1" si="417">BI3440/BI3374-1</f>
        <v>0.15088437018245626</v>
      </c>
      <c r="BJ3441" s="2106">
        <f t="shared" ca="1" si="417"/>
        <v>0.15970836824343992</v>
      </c>
      <c r="BK3441" s="2106">
        <f t="shared" ca="1" si="417"/>
        <v>0.18305428893903763</v>
      </c>
      <c r="BL3441" s="2106">
        <f t="shared" ca="1" si="417"/>
        <v>0.23580412363798153</v>
      </c>
      <c r="BM3441" s="2106">
        <f t="shared" ca="1" si="417"/>
        <v>0.29722047051087896</v>
      </c>
      <c r="BN3441" s="2106">
        <f t="shared" ca="1" si="417"/>
        <v>0.36983523994207435</v>
      </c>
      <c r="BO3441" s="2106">
        <f t="shared" ca="1" si="417"/>
        <v>0.4423171934626986</v>
      </c>
      <c r="BP3441" s="2106">
        <f t="shared" ca="1" si="417"/>
        <v>0.53393197351146804</v>
      </c>
    </row>
    <row r="3442" spans="2:68">
      <c r="I3442" s="1467">
        <f ca="1">I3430/I3437</f>
        <v>0.13161827996089784</v>
      </c>
      <c r="J3442" s="1467">
        <f t="shared" ref="J3442:Q3442" ca="1" si="418">J3430/J3437</f>
        <v>0.16902637290645578</v>
      </c>
      <c r="K3442" s="1467">
        <f t="shared" ca="1" si="418"/>
        <v>0.17092317694888662</v>
      </c>
      <c r="L3442" s="1467">
        <f t="shared" ca="1" si="418"/>
        <v>0.18756334892926119</v>
      </c>
      <c r="M3442" s="1467">
        <f t="shared" ca="1" si="418"/>
        <v>0.19170290364029974</v>
      </c>
      <c r="N3442" s="1467">
        <f t="shared" ca="1" si="418"/>
        <v>0.19385684977977874</v>
      </c>
      <c r="O3442" s="1467">
        <f t="shared" ca="1" si="418"/>
        <v>0.19625433336363735</v>
      </c>
      <c r="P3442" s="1467">
        <f t="shared" ca="1" si="418"/>
        <v>0.19450920003155836</v>
      </c>
      <c r="Q3442" s="1467">
        <f t="shared" ca="1" si="418"/>
        <v>0.19431011349725433</v>
      </c>
      <c r="BH3442" s="1467">
        <f ca="1">BH3430/BH3437</f>
        <v>0.13161827996089784</v>
      </c>
      <c r="BI3442" s="1467">
        <f t="shared" ref="BI3442:BP3442" ca="1" si="419">BI3430/BI3437</f>
        <v>0.16902637290645581</v>
      </c>
      <c r="BJ3442" s="1467">
        <f t="shared" ca="1" si="419"/>
        <v>0.17092317694888665</v>
      </c>
      <c r="BK3442" s="1467">
        <f t="shared" ca="1" si="419"/>
        <v>0.18756334892926116</v>
      </c>
      <c r="BL3442" s="1467">
        <f t="shared" ca="1" si="419"/>
        <v>0.19170290364029974</v>
      </c>
      <c r="BM3442" s="1467">
        <f t="shared" ca="1" si="419"/>
        <v>0.19385684977977877</v>
      </c>
      <c r="BN3442" s="1467">
        <f t="shared" ca="1" si="419"/>
        <v>0.19625433336363732</v>
      </c>
      <c r="BO3442" s="1467">
        <f t="shared" ca="1" si="419"/>
        <v>0.19450920003155836</v>
      </c>
      <c r="BP3442" s="1467">
        <f t="shared" ca="1" si="419"/>
        <v>0.1943101134972543</v>
      </c>
    </row>
    <row r="3450" spans="2:68">
      <c r="B3450" s="1976" t="s">
        <v>373</v>
      </c>
    </row>
    <row r="3451" spans="2:68">
      <c r="B3451" s="1968" t="s">
        <v>110</v>
      </c>
      <c r="C3451" s="1467">
        <f>SOP!L75</f>
        <v>0.12494000000000001</v>
      </c>
      <c r="E3451" s="3" t="s">
        <v>2109</v>
      </c>
      <c r="H3451" s="2190" t="s">
        <v>2109</v>
      </c>
    </row>
    <row r="3452" spans="2:68">
      <c r="B3452" s="1968" t="s">
        <v>679</v>
      </c>
      <c r="C3452" s="2112">
        <v>0</v>
      </c>
      <c r="H3452" s="2185"/>
    </row>
    <row r="3453" spans="2:68">
      <c r="B3453" s="1968" t="s">
        <v>373</v>
      </c>
      <c r="C3453" s="122">
        <f>NPV(C3451,I3421:Q3421)</f>
        <v>3527.9034793307715</v>
      </c>
      <c r="E3453" s="122">
        <f>C3453/$C$3315</f>
        <v>204.51614372932008</v>
      </c>
      <c r="H3453" s="2186">
        <f>NPV(C3451,BH3421:BP3421)</f>
        <v>178.34284530276057</v>
      </c>
    </row>
    <row r="3454" spans="2:68">
      <c r="B3454" s="1968" t="s">
        <v>6</v>
      </c>
      <c r="C3454" s="122">
        <f>Q3421/(C3451-C3452)</f>
        <v>10714.787983562295</v>
      </c>
      <c r="E3454" s="122">
        <f>C3454/$C$3315</f>
        <v>621.14712948187218</v>
      </c>
      <c r="H3454" s="2186">
        <f>BP3421/(C3451-C3452)</f>
        <v>516.30609086984362</v>
      </c>
    </row>
    <row r="3455" spans="2:68">
      <c r="B3455" s="1968" t="s">
        <v>124</v>
      </c>
      <c r="C3455" s="122">
        <f>C3454/(1+C3451)^9</f>
        <v>3713.8071399979203</v>
      </c>
      <c r="E3455" s="122">
        <f>E3454/(1+C3451)^9</f>
        <v>215.29316753611133</v>
      </c>
      <c r="H3455" s="2186">
        <f>H3454/(1+C3451)^9</f>
        <v>178.95466057176719</v>
      </c>
    </row>
    <row r="3456" spans="2:68">
      <c r="B3456" s="2113" t="s">
        <v>77</v>
      </c>
      <c r="C3456" s="2114">
        <f>C3453+C3455</f>
        <v>7241.7106193286918</v>
      </c>
      <c r="E3456" s="2114">
        <f>E3453+E3455</f>
        <v>419.8093112654314</v>
      </c>
      <c r="H3456" s="2187">
        <f>H3453+H3455</f>
        <v>357.29750587452776</v>
      </c>
    </row>
    <row r="3457" spans="2:25">
      <c r="B3457" s="1968" t="s">
        <v>8169</v>
      </c>
      <c r="C3457" s="122">
        <f>I3431</f>
        <v>1056.2494186074011</v>
      </c>
      <c r="E3457" s="122">
        <f>BH3431</f>
        <v>1056.2494186074011</v>
      </c>
      <c r="H3457" s="2186">
        <f>BH3431</f>
        <v>1056.2494186074011</v>
      </c>
    </row>
    <row r="3458" spans="2:25">
      <c r="B3458" s="1968" t="s">
        <v>8164</v>
      </c>
      <c r="C3458" s="419">
        <f>C3456/C3457</f>
        <v>6.8560611648680805</v>
      </c>
      <c r="E3458" s="419">
        <f>E3456/E3457</f>
        <v>0.39745282115177277</v>
      </c>
      <c r="H3458" s="2188">
        <f>H3456/H3457</f>
        <v>0.338270014241146</v>
      </c>
    </row>
    <row r="3459" spans="2:25">
      <c r="B3459" s="1976" t="s">
        <v>8166</v>
      </c>
      <c r="C3459" s="2115">
        <f>C3458/C3315</f>
        <v>0.39745282115177277</v>
      </c>
      <c r="E3459" s="2115">
        <f>E3458</f>
        <v>0.39745282115177277</v>
      </c>
      <c r="H3459" s="2189">
        <f>H3458</f>
        <v>0.338270014241146</v>
      </c>
    </row>
    <row r="3460" spans="2:25">
      <c r="B3460" s="1968"/>
      <c r="C3460" s="419"/>
      <c r="X3460" s="1968"/>
      <c r="Y3460" s="419"/>
    </row>
    <row r="3461" spans="2:25">
      <c r="B3461" s="1968"/>
      <c r="C3461" s="419"/>
      <c r="X3461" s="1968"/>
      <c r="Y3461" s="419"/>
    </row>
    <row r="3462" spans="2:25">
      <c r="B3462" s="1968"/>
      <c r="C3462" s="419"/>
      <c r="X3462" s="1968"/>
      <c r="Y3462" s="419"/>
    </row>
    <row r="3463" spans="2:25">
      <c r="B3463" s="1968" t="s">
        <v>8203</v>
      </c>
      <c r="C3463" s="122">
        <f>C3320</f>
        <v>53533.050460197817</v>
      </c>
      <c r="E3463" s="122">
        <f>C3319</f>
        <v>3103.3652440694386</v>
      </c>
    </row>
    <row r="3464" spans="2:25">
      <c r="B3464" s="1968" t="s">
        <v>8171</v>
      </c>
      <c r="C3464" s="122">
        <f>C3337</f>
        <v>57153.905769862162</v>
      </c>
      <c r="E3464" s="122">
        <f>C3338</f>
        <v>3313.2698997021544</v>
      </c>
    </row>
    <row r="3465" spans="2:25">
      <c r="B3465" s="1968" t="s">
        <v>8173</v>
      </c>
      <c r="C3465" s="122">
        <f>C3456</f>
        <v>7241.7106193286918</v>
      </c>
      <c r="E3465" s="122">
        <f>E3456</f>
        <v>419.8093112654314</v>
      </c>
    </row>
    <row r="3466" spans="2:25">
      <c r="B3466" s="1968" t="s">
        <v>8172</v>
      </c>
      <c r="C3466" s="122">
        <v>0</v>
      </c>
      <c r="E3466" s="122">
        <v>0</v>
      </c>
    </row>
    <row r="3467" spans="2:25">
      <c r="B3467" s="2118" t="s">
        <v>8165</v>
      </c>
      <c r="C3467" s="2119">
        <f>C3463-C3464+C3465-C3466</f>
        <v>3620.8553096643473</v>
      </c>
      <c r="E3467" s="2119">
        <f>E3463-E3464+E3465-E3466</f>
        <v>209.90465563271567</v>
      </c>
    </row>
    <row r="3468" spans="2:25">
      <c r="B3468" s="1968" t="s">
        <v>8175</v>
      </c>
      <c r="C3468" s="151">
        <f>C3467/C3457</f>
        <v>3.4280305824340416</v>
      </c>
    </row>
    <row r="3469" spans="2:25">
      <c r="B3469" s="1976" t="s">
        <v>8174</v>
      </c>
      <c r="C3469" s="2120">
        <f>C3468/C3315</f>
        <v>0.19872641057588647</v>
      </c>
      <c r="E3469" s="151">
        <f>E3467/E3457</f>
        <v>0.19872641057588636</v>
      </c>
    </row>
    <row r="3470" spans="2:25">
      <c r="E3470" s="2120">
        <f>E3469</f>
        <v>0.19872641057588636</v>
      </c>
    </row>
    <row r="3478" spans="2:10">
      <c r="B3478" s="1967" t="s">
        <v>8116</v>
      </c>
    </row>
    <row r="3481" spans="2:10">
      <c r="B3481" t="s">
        <v>8177</v>
      </c>
      <c r="C3481" s="795">
        <f>Master!Y556</f>
        <v>2659.1008547008546</v>
      </c>
    </row>
    <row r="3482" spans="2:10">
      <c r="B3482" t="s">
        <v>8117</v>
      </c>
      <c r="C3482" s="2122">
        <v>0.1948</v>
      </c>
      <c r="F3482">
        <v>19.48</v>
      </c>
      <c r="G3482">
        <v>80.52</v>
      </c>
      <c r="H3482" s="2123">
        <f>F3482/G3482</f>
        <v>0.24192747143566817</v>
      </c>
    </row>
    <row r="3483" spans="2:10">
      <c r="B3483" t="s">
        <v>8118</v>
      </c>
      <c r="C3483" s="9">
        <v>0.2419</v>
      </c>
    </row>
    <row r="3484" spans="2:10">
      <c r="B3484" t="s">
        <v>8119</v>
      </c>
      <c r="C3484" s="795">
        <f>C3483*C3481</f>
        <v>643.23649675213676</v>
      </c>
    </row>
    <row r="3485" spans="2:10">
      <c r="B3485" t="s">
        <v>8178</v>
      </c>
      <c r="C3485" s="795">
        <f>C3481+C3484</f>
        <v>3302.3373514529912</v>
      </c>
    </row>
    <row r="3488" spans="2:10">
      <c r="D3488" s="576"/>
      <c r="I3488" s="576" t="s">
        <v>1234</v>
      </c>
      <c r="J3488" s="576" t="s">
        <v>8120</v>
      </c>
    </row>
    <row r="3489" spans="2:10">
      <c r="B3489" t="s">
        <v>8179</v>
      </c>
      <c r="C3489" s="795">
        <f>Master!X546</f>
        <v>311114.8</v>
      </c>
      <c r="D3489" s="795"/>
      <c r="I3489" s="795">
        <v>6917.8</v>
      </c>
      <c r="J3489" s="795">
        <v>6917.8</v>
      </c>
    </row>
    <row r="3490" spans="2:10">
      <c r="B3490" t="s">
        <v>8117</v>
      </c>
      <c r="C3490" s="9">
        <v>0.1948</v>
      </c>
      <c r="D3490" s="915"/>
      <c r="I3490" s="915">
        <v>1</v>
      </c>
      <c r="J3490" s="915">
        <v>17.399999999999999</v>
      </c>
    </row>
    <row r="3491" spans="2:10">
      <c r="B3491" t="s">
        <v>8118</v>
      </c>
      <c r="C3491" s="9">
        <v>0.2419</v>
      </c>
      <c r="D3491" s="795"/>
      <c r="I3491" s="795">
        <f>I3489/I3490</f>
        <v>6917.8</v>
      </c>
      <c r="J3491" s="795">
        <f>J3489/J3490</f>
        <v>397.5747126436782</v>
      </c>
    </row>
    <row r="3492" spans="2:10">
      <c r="B3492" t="s">
        <v>8180</v>
      </c>
      <c r="C3492" s="795">
        <f>C3491*C3489</f>
        <v>75258.670119999995</v>
      </c>
      <c r="D3492" s="915"/>
      <c r="I3492" s="915">
        <v>9.7200000000000006</v>
      </c>
      <c r="J3492" s="915">
        <v>2.8</v>
      </c>
    </row>
    <row r="3493" spans="2:10">
      <c r="B3493" t="s">
        <v>8181</v>
      </c>
      <c r="C3493" s="795">
        <f>C3489+C3492</f>
        <v>386373.47011999995</v>
      </c>
      <c r="D3493" s="795"/>
      <c r="I3493" s="795">
        <f>I3491/I3492</f>
        <v>711.70781893004107</v>
      </c>
      <c r="J3493" s="795">
        <f>J3491/J3492</f>
        <v>141.99096880131364</v>
      </c>
    </row>
    <row r="3494" spans="2:10">
      <c r="I3494">
        <f>I3493/C3481</f>
        <v>0.26764980262853072</v>
      </c>
    </row>
    <row r="3497" spans="2:10">
      <c r="B3497" t="s">
        <v>8182</v>
      </c>
      <c r="C3497" s="122">
        <f>C3493-C3489</f>
        <v>75258.670119999966</v>
      </c>
      <c r="E3497" t="s">
        <v>8183</v>
      </c>
    </row>
    <row r="3498" spans="2:10">
      <c r="B3498" t="s">
        <v>436</v>
      </c>
      <c r="C3498" s="795">
        <f>F3498*C$3497</f>
        <v>16080.912418803411</v>
      </c>
      <c r="E3498" s="1559">
        <v>25</v>
      </c>
      <c r="F3498" s="1848">
        <f>E3498/E$3502</f>
        <v>0.21367521367521367</v>
      </c>
    </row>
    <row r="3499" spans="2:10">
      <c r="B3499" t="s">
        <v>437</v>
      </c>
      <c r="C3499" s="795">
        <f>F3499*C$3497</f>
        <v>14151.202928547002</v>
      </c>
      <c r="E3499" s="1559">
        <v>22</v>
      </c>
      <c r="F3499" s="1848">
        <f>E3499/E$3502</f>
        <v>0.18803418803418803</v>
      </c>
    </row>
    <row r="3500" spans="2:10">
      <c r="B3500" t="s">
        <v>438</v>
      </c>
      <c r="C3500" s="795">
        <f>F3500*C$3497</f>
        <v>22513.277386324775</v>
      </c>
      <c r="E3500" s="1559">
        <v>35</v>
      </c>
      <c r="F3500" s="1848">
        <f>E3500/E$3502</f>
        <v>0.29914529914529914</v>
      </c>
    </row>
    <row r="3501" spans="2:10">
      <c r="B3501" t="s">
        <v>439</v>
      </c>
      <c r="C3501" s="795">
        <f>F3501*C$3497</f>
        <v>22513.277386324775</v>
      </c>
      <c r="E3501" s="1559">
        <v>35</v>
      </c>
      <c r="F3501" s="1848">
        <f>E3501/E$3502</f>
        <v>0.29914529914529914</v>
      </c>
    </row>
    <row r="3502" spans="2:10">
      <c r="E3502">
        <f>SUM(E3498:E3501)</f>
        <v>117</v>
      </c>
    </row>
  </sheetData>
  <sortState xmlns:xlrd2="http://schemas.microsoft.com/office/spreadsheetml/2017/richdata2" ref="B2287:C2301">
    <sortCondition ref="C2286:C2301"/>
  </sortState>
  <mergeCells count="36">
    <mergeCell ref="L964:L965"/>
    <mergeCell ref="D967:E967"/>
    <mergeCell ref="C964:C965"/>
    <mergeCell ref="D964:E964"/>
    <mergeCell ref="D965:E965"/>
    <mergeCell ref="F964:F965"/>
    <mergeCell ref="G964:G965"/>
    <mergeCell ref="D973:E973"/>
    <mergeCell ref="H964:H965"/>
    <mergeCell ref="I964:I965"/>
    <mergeCell ref="J964:J965"/>
    <mergeCell ref="K964:K965"/>
    <mergeCell ref="D968:E968"/>
    <mergeCell ref="D969:E969"/>
    <mergeCell ref="D970:E970"/>
    <mergeCell ref="D971:E971"/>
    <mergeCell ref="D972:E972"/>
    <mergeCell ref="D985:E985"/>
    <mergeCell ref="D974:E974"/>
    <mergeCell ref="D975:E975"/>
    <mergeCell ref="D976:E976"/>
    <mergeCell ref="D977:E977"/>
    <mergeCell ref="D978:E978"/>
    <mergeCell ref="D979:E979"/>
    <mergeCell ref="D980:E980"/>
    <mergeCell ref="D981:E981"/>
    <mergeCell ref="D982:E982"/>
    <mergeCell ref="D983:E983"/>
    <mergeCell ref="D984:E984"/>
    <mergeCell ref="D994:E994"/>
    <mergeCell ref="D986:E986"/>
    <mergeCell ref="D987:E987"/>
    <mergeCell ref="D988:E988"/>
    <mergeCell ref="D990:E990"/>
    <mergeCell ref="D992:E992"/>
    <mergeCell ref="D993:E993"/>
  </mergeCells>
  <phoneticPr fontId="157" type="noConversion"/>
  <pageMargins left="0.70866141732283472" right="0.70866141732283472" top="0.74803149606299213" bottom="0.74803149606299213" header="0.31496062992125984" footer="0.31496062992125984"/>
  <pageSetup paperSize="9" scale="33" orientation="portrait"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AAFA1-0881-4721-AF63-013BF2305F0B}">
  <dimension ref="A1:AH110"/>
  <sheetViews>
    <sheetView zoomScale="70" zoomScaleNormal="70" workbookViewId="0">
      <pane xSplit="3" ySplit="3" topLeftCell="G37" activePane="bottomRight" state="frozen"/>
      <selection pane="topRight" activeCell="D1" sqref="D1"/>
      <selection pane="bottomLeft" activeCell="A4" sqref="A4"/>
      <selection pane="bottomRight" activeCell="O87" sqref="O87"/>
    </sheetView>
  </sheetViews>
  <sheetFormatPr defaultColWidth="8.85546875" defaultRowHeight="15"/>
  <cols>
    <col min="1" max="1" width="1.85546875" style="530" customWidth="1"/>
    <col min="2" max="2" width="39" style="753" bestFit="1" customWidth="1"/>
    <col min="3" max="3" width="2.85546875" style="751" customWidth="1"/>
    <col min="4" max="4" width="12.42578125" style="752" bestFit="1" customWidth="1"/>
    <col min="5" max="5" width="18.140625" style="751" bestFit="1" customWidth="1"/>
    <col min="6" max="8" width="12.42578125" style="751" bestFit="1" customWidth="1"/>
    <col min="9" max="9" width="12.85546875" style="751" bestFit="1" customWidth="1"/>
    <col min="10" max="10" width="12.42578125" style="751" bestFit="1" customWidth="1"/>
    <col min="11" max="13" width="10.85546875" style="751" bestFit="1" customWidth="1"/>
    <col min="14" max="14" width="12.42578125" style="752" bestFit="1" customWidth="1"/>
    <col min="15" max="18" width="12.42578125" style="752" customWidth="1"/>
    <col min="19" max="19" width="12.42578125" style="752" bestFit="1" customWidth="1"/>
    <col min="20" max="23" width="12.42578125" style="752" customWidth="1"/>
    <col min="24" max="24" width="12.42578125" style="752" bestFit="1" customWidth="1"/>
    <col min="25" max="26" width="12.42578125" style="752" customWidth="1"/>
    <col min="27" max="27" width="10.42578125" style="530" bestFit="1" customWidth="1"/>
    <col min="28" max="29" width="8.85546875" style="530"/>
    <col min="30" max="30" width="12.42578125" style="752" bestFit="1" customWidth="1"/>
    <col min="31" max="16384" width="8.85546875" style="530"/>
  </cols>
  <sheetData>
    <row r="1" spans="1:34" ht="15.75">
      <c r="A1" s="1031"/>
      <c r="B1" s="1069" t="s">
        <v>2238</v>
      </c>
      <c r="C1" s="1031"/>
      <c r="D1" s="1032"/>
      <c r="E1" s="1031"/>
      <c r="F1" s="1031"/>
      <c r="G1" s="1031"/>
      <c r="H1" s="1031"/>
      <c r="I1" s="1031"/>
      <c r="J1" s="1031"/>
      <c r="K1" s="1031"/>
      <c r="L1" s="1031"/>
      <c r="M1" s="1031"/>
      <c r="N1" s="1032"/>
      <c r="O1" s="1032"/>
      <c r="P1" s="1032"/>
      <c r="Q1" s="1032"/>
      <c r="R1" s="1032"/>
      <c r="S1" s="1032"/>
      <c r="T1" s="1032"/>
      <c r="U1" s="1032"/>
      <c r="V1" s="1032"/>
      <c r="W1" s="1032"/>
      <c r="X1" s="1032"/>
      <c r="Y1" s="1032"/>
      <c r="Z1" s="1032"/>
      <c r="AA1" s="1031"/>
      <c r="AB1" s="1031"/>
      <c r="AC1" s="1031"/>
      <c r="AD1" s="1032"/>
      <c r="AE1" s="1031"/>
      <c r="AF1" s="1031"/>
      <c r="AG1" s="1031"/>
      <c r="AH1" s="1031"/>
    </row>
    <row r="2" spans="1:34" ht="15.75">
      <c r="A2" s="1031"/>
      <c r="B2" s="1070"/>
      <c r="C2" s="1031"/>
      <c r="D2" s="1555" t="s">
        <v>2239</v>
      </c>
      <c r="E2" s="1033" t="s">
        <v>2240</v>
      </c>
      <c r="F2" s="1033" t="s">
        <v>2240</v>
      </c>
      <c r="G2" s="1033" t="s">
        <v>2240</v>
      </c>
      <c r="H2" s="1033" t="s">
        <v>2240</v>
      </c>
      <c r="I2" s="1555" t="s">
        <v>2239</v>
      </c>
      <c r="J2" s="1033" t="s">
        <v>2240</v>
      </c>
      <c r="K2" s="1033" t="s">
        <v>2240</v>
      </c>
      <c r="L2" s="1033" t="s">
        <v>2240</v>
      </c>
      <c r="M2" s="1033" t="s">
        <v>2240</v>
      </c>
      <c r="N2" s="1555" t="s">
        <v>2239</v>
      </c>
      <c r="O2" s="1033" t="s">
        <v>2240</v>
      </c>
      <c r="P2" s="1033" t="s">
        <v>2240</v>
      </c>
      <c r="Q2" s="1033" t="s">
        <v>2240</v>
      </c>
      <c r="R2" s="1033" t="s">
        <v>2240</v>
      </c>
      <c r="S2" s="1555" t="s">
        <v>2239</v>
      </c>
      <c r="T2" s="1033" t="s">
        <v>2240</v>
      </c>
      <c r="U2" s="1033" t="s">
        <v>2240</v>
      </c>
      <c r="V2" s="1033" t="s">
        <v>2240</v>
      </c>
      <c r="W2" s="1033" t="s">
        <v>2240</v>
      </c>
      <c r="X2" s="1555" t="s">
        <v>2239</v>
      </c>
      <c r="Y2" s="1555" t="s">
        <v>2239</v>
      </c>
      <c r="Z2" s="1555" t="s">
        <v>2239</v>
      </c>
      <c r="AA2" s="1031"/>
      <c r="AB2" s="1031"/>
      <c r="AC2" s="1031"/>
      <c r="AD2" s="1034" t="s">
        <v>2239</v>
      </c>
      <c r="AE2" s="1031"/>
      <c r="AF2" s="1031"/>
      <c r="AG2" s="1031"/>
      <c r="AH2" s="1031"/>
    </row>
    <row r="3" spans="1:34" ht="15.75">
      <c r="A3" s="1031"/>
      <c r="B3" s="1069"/>
      <c r="C3" s="1031"/>
      <c r="D3" s="1556" t="s">
        <v>2241</v>
      </c>
      <c r="E3" s="1035" t="s">
        <v>2242</v>
      </c>
      <c r="F3" s="1035" t="s">
        <v>2243</v>
      </c>
      <c r="G3" s="1035" t="s">
        <v>2244</v>
      </c>
      <c r="H3" s="1035" t="s">
        <v>2245</v>
      </c>
      <c r="I3" s="1556" t="s">
        <v>2246</v>
      </c>
      <c r="J3" s="1035" t="s">
        <v>2247</v>
      </c>
      <c r="K3" s="1035" t="s">
        <v>2248</v>
      </c>
      <c r="L3" s="1035" t="s">
        <v>2249</v>
      </c>
      <c r="M3" s="1035" t="s">
        <v>2250</v>
      </c>
      <c r="N3" s="1556" t="s">
        <v>2251</v>
      </c>
      <c r="O3" s="1035" t="s">
        <v>2252</v>
      </c>
      <c r="P3" s="1035" t="s">
        <v>2253</v>
      </c>
      <c r="Q3" s="1035" t="s">
        <v>2254</v>
      </c>
      <c r="R3" s="1035" t="s">
        <v>2255</v>
      </c>
      <c r="S3" s="1556" t="s">
        <v>2256</v>
      </c>
      <c r="T3" s="1035" t="s">
        <v>2257</v>
      </c>
      <c r="U3" s="1035" t="s">
        <v>2258</v>
      </c>
      <c r="V3" s="1035" t="s">
        <v>2259</v>
      </c>
      <c r="W3" s="1035" t="s">
        <v>2260</v>
      </c>
      <c r="X3" s="1556" t="s">
        <v>2261</v>
      </c>
      <c r="Y3" s="1556" t="s">
        <v>2262</v>
      </c>
      <c r="Z3" s="1556" t="s">
        <v>2263</v>
      </c>
      <c r="AA3" s="1031"/>
      <c r="AB3" s="1031"/>
      <c r="AC3" s="1031"/>
      <c r="AD3" s="1036" t="s">
        <v>2246</v>
      </c>
      <c r="AE3" s="1031"/>
      <c r="AF3" s="1031"/>
      <c r="AG3" s="1031"/>
      <c r="AH3" s="1031"/>
    </row>
    <row r="4" spans="1:34" ht="15.75">
      <c r="A4" s="1031"/>
      <c r="B4" s="1069" t="s">
        <v>2264</v>
      </c>
      <c r="C4" s="1031"/>
      <c r="D4" s="1032"/>
      <c r="E4" s="1031"/>
      <c r="F4" s="1031"/>
      <c r="G4" s="1031"/>
      <c r="H4" s="1031"/>
      <c r="I4" s="1032"/>
      <c r="J4" s="1031"/>
      <c r="K4" s="1031"/>
      <c r="L4" s="1031"/>
      <c r="M4" s="1031"/>
      <c r="N4" s="1032"/>
      <c r="O4" s="1032"/>
      <c r="P4" s="1032"/>
      <c r="Q4" s="1032"/>
      <c r="R4" s="1032"/>
      <c r="S4" s="1032"/>
      <c r="T4" s="1032"/>
      <c r="U4" s="1032"/>
      <c r="V4" s="1032"/>
      <c r="W4" s="1032"/>
      <c r="X4" s="1032"/>
      <c r="Y4" s="1032"/>
      <c r="Z4" s="1032"/>
      <c r="AA4" s="1031"/>
      <c r="AB4" s="1031"/>
      <c r="AC4" s="1031"/>
      <c r="AD4" s="1032"/>
      <c r="AE4" s="1031"/>
      <c r="AF4" s="1031"/>
      <c r="AG4" s="1031"/>
      <c r="AH4" s="1031"/>
    </row>
    <row r="5" spans="1:34" ht="15.75">
      <c r="A5" s="1031"/>
      <c r="B5" s="1071" t="s">
        <v>194</v>
      </c>
      <c r="C5" s="1038"/>
      <c r="D5" s="1039">
        <v>48020.9</v>
      </c>
      <c r="E5" s="1038">
        <v>11804.5</v>
      </c>
      <c r="F5" s="1038">
        <v>11750</v>
      </c>
      <c r="G5" s="1038">
        <v>12394</v>
      </c>
      <c r="H5" s="1038">
        <v>12463.3</v>
      </c>
      <c r="I5" s="1039">
        <v>48411.8</v>
      </c>
      <c r="J5" s="1038">
        <v>12122.699999999999</v>
      </c>
      <c r="K5" s="1040">
        <f>Interims!BP14</f>
        <v>12291.5</v>
      </c>
      <c r="L5" s="1040">
        <f>Interims!BQ14</f>
        <v>12147.9</v>
      </c>
      <c r="M5" s="1040">
        <f>Interims!BR14</f>
        <v>12240.4</v>
      </c>
      <c r="N5" s="1041">
        <f>Master!V21</f>
        <v>48802.5</v>
      </c>
      <c r="O5" s="1040">
        <f>Interims!BT14</f>
        <v>11908.7</v>
      </c>
      <c r="P5" s="1040">
        <f>Interims!BU14</f>
        <v>11904.8</v>
      </c>
      <c r="Q5" s="1040">
        <f>Interims!BV14</f>
        <v>11675.4</v>
      </c>
      <c r="R5" s="1040">
        <f>Interims!BW14</f>
        <v>11904.2</v>
      </c>
      <c r="S5" s="1041">
        <f>Master!W21</f>
        <v>47393</v>
      </c>
      <c r="T5" s="1040">
        <f>Interims!BY14</f>
        <v>11537.7</v>
      </c>
      <c r="U5" s="1040">
        <f>Interims!BZ14</f>
        <v>11602</v>
      </c>
      <c r="V5" s="1040">
        <f>Interims!CA14</f>
        <v>11679.8</v>
      </c>
      <c r="W5" s="1040">
        <f>Interims!CB14</f>
        <v>11749.6</v>
      </c>
      <c r="X5" s="1041">
        <f>Master!X21</f>
        <v>46569.1</v>
      </c>
      <c r="Y5" s="1041">
        <f>Master!Y21</f>
        <v>47536.392599999992</v>
      </c>
      <c r="Z5" s="1041">
        <f>Master!Z21</f>
        <v>48224.984513999989</v>
      </c>
      <c r="AA5" s="1031"/>
      <c r="AB5" s="1031"/>
      <c r="AC5" s="1031"/>
      <c r="AD5" s="1041">
        <f>Master!U21</f>
        <v>48411.8</v>
      </c>
      <c r="AE5" s="1031"/>
      <c r="AF5" s="1031"/>
      <c r="AG5" s="1031"/>
      <c r="AH5" s="1031"/>
    </row>
    <row r="6" spans="1:34" ht="15.75">
      <c r="A6" s="1031"/>
      <c r="B6" s="1071" t="s">
        <v>2265</v>
      </c>
      <c r="C6" s="1038"/>
      <c r="D6" s="1039">
        <v>42890</v>
      </c>
      <c r="E6" s="1038">
        <v>10820.599999999999</v>
      </c>
      <c r="F6" s="1042">
        <v>10965.6</v>
      </c>
      <c r="G6" s="1042">
        <v>11034.5</v>
      </c>
      <c r="H6" s="1042">
        <v>11138.2</v>
      </c>
      <c r="I6" s="1043">
        <v>43958.9</v>
      </c>
      <c r="J6" s="1042">
        <v>11255.2</v>
      </c>
      <c r="K6" s="1040">
        <f>Interims!BP129</f>
        <v>11438.8</v>
      </c>
      <c r="L6" s="1040">
        <f>Interims!BQ129</f>
        <v>11230.5</v>
      </c>
      <c r="M6" s="1040">
        <f>Interims!BR129</f>
        <v>11108.7</v>
      </c>
      <c r="N6" s="1041"/>
      <c r="O6" s="1040">
        <f>Interims!BT129</f>
        <v>10844.4</v>
      </c>
      <c r="P6" s="1040">
        <f>Interims!BU129</f>
        <v>10871.5</v>
      </c>
      <c r="Q6" s="1040">
        <f>Interims!BV129</f>
        <v>10654.5</v>
      </c>
      <c r="R6" s="1040">
        <f>Interims!BW129</f>
        <v>10633.2</v>
      </c>
      <c r="S6" s="1834">
        <f>SUM(O6:R6)</f>
        <v>43003.600000000006</v>
      </c>
      <c r="T6" s="1040">
        <f>Interims!BY129</f>
        <v>10521.2</v>
      </c>
      <c r="U6" s="1040">
        <f>Interims!BZ129</f>
        <v>10538</v>
      </c>
      <c r="V6" s="1835">
        <f>U6/U5*V5</f>
        <v>10608.665092225478</v>
      </c>
      <c r="W6" s="1835">
        <f>X6-T6-U6-V6</f>
        <v>10630.460696431644</v>
      </c>
      <c r="X6" s="1456">
        <f>V6/V5*X5</f>
        <v>42298.325788657123</v>
      </c>
      <c r="Y6" s="1456">
        <f>X6/X5*Y5</f>
        <v>43176.909603413194</v>
      </c>
      <c r="Z6" s="1456">
        <f>Z5-Z7</f>
        <v>43802.351905579373</v>
      </c>
      <c r="AA6" s="1031"/>
      <c r="AB6" s="1031"/>
      <c r="AC6" s="1031"/>
      <c r="AD6" s="1041"/>
      <c r="AE6" s="1031"/>
      <c r="AF6" s="1031"/>
      <c r="AG6" s="1031"/>
      <c r="AH6" s="1031"/>
    </row>
    <row r="7" spans="1:34" ht="15.75">
      <c r="A7" s="1031"/>
      <c r="B7" s="1071" t="s">
        <v>2266</v>
      </c>
      <c r="C7" s="1038"/>
      <c r="D7" s="1039">
        <v>7272.1</v>
      </c>
      <c r="E7" s="1038">
        <v>1528.4</v>
      </c>
      <c r="F7" s="1042">
        <v>1515.2</v>
      </c>
      <c r="G7" s="1042">
        <v>1811.1999999999998</v>
      </c>
      <c r="H7" s="1042">
        <v>1867.0999999999997</v>
      </c>
      <c r="I7" s="1043">
        <v>6721.9</v>
      </c>
      <c r="J7" s="1042">
        <v>1466.5</v>
      </c>
      <c r="K7" s="1040">
        <f>Interims!BP130</f>
        <v>1394</v>
      </c>
      <c r="L7" s="1040">
        <f>Interims!BQ130</f>
        <v>1376.1</v>
      </c>
      <c r="M7" s="1040">
        <f>Interims!BR130</f>
        <v>1567.1</v>
      </c>
      <c r="N7" s="1041"/>
      <c r="O7" s="1040">
        <f>Interims!BT130</f>
        <v>1064.3</v>
      </c>
      <c r="P7" s="1040">
        <f>Interims!BU130</f>
        <v>1033.3</v>
      </c>
      <c r="Q7" s="1040">
        <f>Interims!BV130</f>
        <v>1020.9</v>
      </c>
      <c r="R7" s="1040">
        <f>Interims!BW130</f>
        <v>1271</v>
      </c>
      <c r="S7" s="1834">
        <f>SUM(O7:R7)</f>
        <v>4389.5</v>
      </c>
      <c r="T7" s="1040">
        <f>Interims!BY130</f>
        <v>1016.5</v>
      </c>
      <c r="U7" s="1040">
        <f>Interims!BZ130</f>
        <v>1064</v>
      </c>
      <c r="V7" s="1835">
        <f>V5-V6</f>
        <v>1071.1349077745217</v>
      </c>
      <c r="W7" s="1835">
        <f>X7-T7-U7-V7</f>
        <v>1119.1393035683541</v>
      </c>
      <c r="X7" s="1456">
        <f>X5-X6</f>
        <v>4270.7742113428758</v>
      </c>
      <c r="Y7" s="1456">
        <f>Y5-Y6</f>
        <v>4359.4829965867975</v>
      </c>
      <c r="Z7" s="1456">
        <f>Y7/Y5*Z5</f>
        <v>4422.6326084206194</v>
      </c>
      <c r="AA7" s="1031"/>
      <c r="AB7" s="1031"/>
      <c r="AC7" s="1031"/>
      <c r="AD7" s="1041"/>
      <c r="AE7" s="1031"/>
      <c r="AF7" s="1031"/>
      <c r="AG7" s="1031"/>
      <c r="AH7" s="1031"/>
    </row>
    <row r="8" spans="1:34" ht="15.75">
      <c r="A8" s="1031"/>
      <c r="B8" s="1071" t="s">
        <v>70</v>
      </c>
      <c r="C8" s="1038"/>
      <c r="D8" s="1039">
        <v>22026.600000000002</v>
      </c>
      <c r="E8" s="1038">
        <v>5275.7</v>
      </c>
      <c r="F8" s="1038">
        <v>5140.1000000000004</v>
      </c>
      <c r="G8" s="1038">
        <v>4986.6000000000004</v>
      </c>
      <c r="H8" s="1038">
        <v>4936.6000000000004</v>
      </c>
      <c r="I8" s="1039">
        <v>20339</v>
      </c>
      <c r="J8" s="1038">
        <v>4657.6000000000004</v>
      </c>
      <c r="K8" s="1040">
        <f>Interims!BP16</f>
        <v>4449.5</v>
      </c>
      <c r="L8" s="1040">
        <f>Interims!BQ16</f>
        <v>4296.6000000000004</v>
      </c>
      <c r="M8" s="1040">
        <f>Interims!BR16</f>
        <v>4181.6000000000004</v>
      </c>
      <c r="N8" s="1041">
        <f>Master!V23</f>
        <v>17585.2</v>
      </c>
      <c r="O8" s="1040">
        <f>Interims!BT16</f>
        <v>4083.6</v>
      </c>
      <c r="P8" s="1040">
        <f>Interims!BU16</f>
        <v>3858.3</v>
      </c>
      <c r="Q8" s="1040">
        <f>Interims!BV16</f>
        <v>3731.1</v>
      </c>
      <c r="R8" s="1040">
        <f>Interims!BW16</f>
        <v>3664.3</v>
      </c>
      <c r="S8" s="1041">
        <f>Master!W23</f>
        <v>15034.7</v>
      </c>
      <c r="T8" s="1040">
        <f>Interims!BY16</f>
        <v>3469</v>
      </c>
      <c r="U8" s="1040">
        <f>Interims!BZ16</f>
        <v>3229.5</v>
      </c>
      <c r="V8" s="1040">
        <f>Interims!CA16</f>
        <v>3051</v>
      </c>
      <c r="W8" s="1040">
        <f>Interims!CB16</f>
        <v>2798.6</v>
      </c>
      <c r="X8" s="1041">
        <f>Master!X23</f>
        <v>12397</v>
      </c>
      <c r="Y8" s="1041">
        <f>Master!Y23</f>
        <v>9545.69</v>
      </c>
      <c r="Z8" s="1041">
        <f>Master!Z23</f>
        <v>6681.9830000000002</v>
      </c>
      <c r="AA8" s="1031"/>
      <c r="AB8" s="1031"/>
      <c r="AC8" s="1031"/>
      <c r="AD8" s="1041">
        <f>Master!U23</f>
        <v>20339</v>
      </c>
      <c r="AE8" s="1031"/>
      <c r="AF8" s="1031"/>
      <c r="AG8" s="1031"/>
      <c r="AH8" s="1031"/>
    </row>
    <row r="9" spans="1:34" ht="15.75">
      <c r="A9" s="1031"/>
      <c r="B9" s="1071" t="s">
        <v>2267</v>
      </c>
      <c r="C9" s="1038"/>
      <c r="D9" s="1039">
        <v>5029</v>
      </c>
      <c r="E9" s="1038">
        <v>1661.1</v>
      </c>
      <c r="F9" s="1038">
        <v>1742.7</v>
      </c>
      <c r="G9" s="1038">
        <v>1932.7000000000003</v>
      </c>
      <c r="H9" s="1038">
        <v>2002.2999999999997</v>
      </c>
      <c r="I9" s="1039">
        <v>7338.8</v>
      </c>
      <c r="J9" s="1038">
        <v>1850.3</v>
      </c>
      <c r="K9" s="1040">
        <f>Interims!BP18</f>
        <v>1917.6</v>
      </c>
      <c r="L9" s="1040">
        <f>Interims!BQ18</f>
        <v>1974.7</v>
      </c>
      <c r="M9" s="1040">
        <f>Interims!BR18</f>
        <v>2127.8000000000002</v>
      </c>
      <c r="N9" s="1041">
        <f>Master!V25</f>
        <v>7870.6</v>
      </c>
      <c r="O9" s="1040">
        <f>Interims!BT18</f>
        <v>0</v>
      </c>
      <c r="P9" s="1040">
        <f>Interims!BU18</f>
        <v>0</v>
      </c>
      <c r="Q9" s="1040">
        <f>Interims!BV18</f>
        <v>0</v>
      </c>
      <c r="R9" s="1040">
        <f>Interims!BW18</f>
        <v>0</v>
      </c>
      <c r="S9" s="1041">
        <f>Master!W25</f>
        <v>0</v>
      </c>
      <c r="T9" s="1040">
        <f>Interims!BY18</f>
        <v>0</v>
      </c>
      <c r="U9" s="1040">
        <f>Interims!BZ18</f>
        <v>0</v>
      </c>
      <c r="V9" s="1040">
        <f>Interims!CA18</f>
        <v>0</v>
      </c>
      <c r="W9" s="1040">
        <f>Interims!CB18</f>
        <v>0</v>
      </c>
      <c r="X9" s="1041">
        <f>Master!X25</f>
        <v>0</v>
      </c>
      <c r="Y9" s="1041">
        <f>Master!Y25</f>
        <v>0</v>
      </c>
      <c r="Z9" s="1041">
        <f>Master!Z25</f>
        <v>0</v>
      </c>
      <c r="AA9" s="1031"/>
      <c r="AB9" s="1031"/>
      <c r="AC9" s="1031"/>
      <c r="AD9" s="1041">
        <f>Master!U25</f>
        <v>7338.8</v>
      </c>
      <c r="AE9" s="1031"/>
      <c r="AF9" s="1031"/>
      <c r="AG9" s="1031"/>
      <c r="AH9" s="1031"/>
    </row>
    <row r="10" spans="1:34" ht="15.75">
      <c r="A10" s="1031"/>
      <c r="B10" s="1071"/>
      <c r="C10" s="1031"/>
      <c r="D10" s="1032"/>
      <c r="E10" s="1031"/>
      <c r="F10" s="1031"/>
      <c r="G10" s="1031"/>
      <c r="H10" s="1031"/>
      <c r="I10" s="1032"/>
      <c r="J10" s="1031"/>
      <c r="K10" s="1044"/>
      <c r="L10" s="1044"/>
      <c r="M10" s="1044"/>
      <c r="N10" s="1045"/>
      <c r="O10" s="1045"/>
      <c r="P10" s="1045"/>
      <c r="Q10" s="1045"/>
      <c r="R10" s="1045"/>
      <c r="S10" s="1045"/>
      <c r="T10" s="1045"/>
      <c r="U10" s="1045"/>
      <c r="V10" s="1045"/>
      <c r="W10" s="1045"/>
      <c r="X10" s="1045"/>
      <c r="Y10" s="1045"/>
      <c r="Z10" s="1045"/>
      <c r="AA10" s="1031"/>
      <c r="AB10" s="1031"/>
      <c r="AC10" s="1031"/>
      <c r="AD10" s="1045"/>
      <c r="AE10" s="1031"/>
      <c r="AF10" s="1031"/>
      <c r="AG10" s="1031"/>
      <c r="AH10" s="1031"/>
    </row>
    <row r="11" spans="1:34" ht="15.75">
      <c r="A11" s="1031"/>
      <c r="B11" s="1071" t="s">
        <v>197</v>
      </c>
      <c r="C11" s="1038"/>
      <c r="D11" s="1039">
        <v>-7496.7</v>
      </c>
      <c r="E11" s="1038">
        <v>-132.1</v>
      </c>
      <c r="F11" s="1038">
        <v>-99.3</v>
      </c>
      <c r="G11" s="1038">
        <v>-61.6</v>
      </c>
      <c r="H11" s="1038">
        <v>-269.89999999999998</v>
      </c>
      <c r="I11" s="1039">
        <v>-563</v>
      </c>
      <c r="J11" s="1038">
        <v>-111</v>
      </c>
      <c r="K11" s="1040">
        <f>Interims!BP20</f>
        <v>-138.4</v>
      </c>
      <c r="L11" s="1040">
        <f>Interims!BQ20</f>
        <v>-103.5</v>
      </c>
      <c r="M11" s="1040">
        <f>Interims!BR20</f>
        <v>-137.4</v>
      </c>
      <c r="N11" s="1041">
        <f>Master!V27</f>
        <v>-490.4</v>
      </c>
      <c r="O11" s="1040">
        <f>Interims!BT20</f>
        <v>-40.9</v>
      </c>
      <c r="P11" s="1040">
        <f>Interims!BU20</f>
        <v>-42.8</v>
      </c>
      <c r="Q11" s="1040">
        <f>Interims!BV20</f>
        <v>-43.7</v>
      </c>
      <c r="R11" s="1040">
        <f>Interims!BW20</f>
        <v>-342.1</v>
      </c>
      <c r="S11" s="1041">
        <f>Master!W27</f>
        <v>-3.6000000007334165E-2</v>
      </c>
      <c r="T11" s="1040">
        <f>Interims!BY20</f>
        <v>0</v>
      </c>
      <c r="U11" s="1040">
        <f>Interims!BZ20</f>
        <v>-102.1</v>
      </c>
      <c r="V11" s="1040">
        <f>Interims!CA20</f>
        <v>-103.8</v>
      </c>
      <c r="W11" s="1040">
        <f>Interims!CB20</f>
        <v>0</v>
      </c>
      <c r="X11" s="1041">
        <f>Master!X27</f>
        <v>0</v>
      </c>
      <c r="Y11" s="1041">
        <f>Master!Y27</f>
        <v>0</v>
      </c>
      <c r="Z11" s="1041">
        <f>Master!Z27</f>
        <v>0</v>
      </c>
      <c r="AA11" s="1031"/>
      <c r="AB11" s="1031"/>
      <c r="AC11" s="1031"/>
      <c r="AD11" s="1041">
        <f>Master!U27</f>
        <v>-563</v>
      </c>
      <c r="AE11" s="1031"/>
      <c r="AF11" s="1031"/>
      <c r="AG11" s="1031"/>
      <c r="AH11" s="1031"/>
    </row>
    <row r="12" spans="1:34" ht="15.75">
      <c r="A12" s="1031"/>
      <c r="B12" s="1071"/>
      <c r="C12" s="1037"/>
      <c r="D12" s="1046"/>
      <c r="E12" s="1037"/>
      <c r="F12" s="1037"/>
      <c r="G12" s="1037"/>
      <c r="H12" s="1037"/>
      <c r="I12" s="1046"/>
      <c r="J12" s="1037"/>
      <c r="K12" s="1037"/>
      <c r="L12" s="1037"/>
      <c r="M12" s="1037"/>
      <c r="N12" s="1046"/>
      <c r="O12" s="1046"/>
      <c r="P12" s="1046"/>
      <c r="Q12" s="1046"/>
      <c r="R12" s="1046"/>
      <c r="S12" s="1046"/>
      <c r="T12" s="1046"/>
      <c r="U12" s="1046"/>
      <c r="V12" s="1046"/>
      <c r="W12" s="1046"/>
      <c r="X12" s="1046"/>
      <c r="Y12" s="1046"/>
      <c r="Z12" s="1046"/>
      <c r="AA12" s="1031"/>
      <c r="AB12" s="1031"/>
      <c r="AC12" s="1031"/>
      <c r="AD12" s="1046"/>
      <c r="AE12" s="1031"/>
      <c r="AF12" s="1031"/>
      <c r="AG12" s="1031"/>
      <c r="AH12" s="1031"/>
    </row>
    <row r="13" spans="1:34" ht="15.75">
      <c r="A13" s="1031"/>
      <c r="B13" s="1072" t="s">
        <v>695</v>
      </c>
      <c r="C13" s="1037"/>
      <c r="D13" s="1047">
        <f t="shared" ref="D13:J13" si="0">D5+D8+D9+D11</f>
        <v>67579.8</v>
      </c>
      <c r="E13" s="1048">
        <f t="shared" si="0"/>
        <v>18609.2</v>
      </c>
      <c r="F13" s="1048">
        <f t="shared" si="0"/>
        <v>18533.5</v>
      </c>
      <c r="G13" s="1048">
        <f t="shared" si="0"/>
        <v>19251.7</v>
      </c>
      <c r="H13" s="1048">
        <f t="shared" si="0"/>
        <v>19132.3</v>
      </c>
      <c r="I13" s="1047">
        <f t="shared" si="0"/>
        <v>75526.600000000006</v>
      </c>
      <c r="J13" s="1048">
        <f t="shared" si="0"/>
        <v>18519.599999999999</v>
      </c>
      <c r="K13" s="1048">
        <f t="shared" ref="K13:Z13" si="1">K5+K8+K9+K11</f>
        <v>18520.199999999997</v>
      </c>
      <c r="L13" s="1048">
        <f t="shared" si="1"/>
        <v>18315.7</v>
      </c>
      <c r="M13" s="1048">
        <f t="shared" si="1"/>
        <v>18412.399999999998</v>
      </c>
      <c r="N13" s="1047">
        <f t="shared" si="1"/>
        <v>73767.900000000009</v>
      </c>
      <c r="O13" s="1048">
        <f t="shared" si="1"/>
        <v>15951.400000000001</v>
      </c>
      <c r="P13" s="1048">
        <f t="shared" si="1"/>
        <v>15720.3</v>
      </c>
      <c r="Q13" s="1048">
        <f t="shared" si="1"/>
        <v>15362.8</v>
      </c>
      <c r="R13" s="1048">
        <f t="shared" si="1"/>
        <v>15226.4</v>
      </c>
      <c r="S13" s="1047">
        <f t="shared" si="1"/>
        <v>62427.66399999999</v>
      </c>
      <c r="T13" s="1048">
        <f>T5+T8+T9+T11</f>
        <v>15006.7</v>
      </c>
      <c r="U13" s="1048">
        <f>U5+U8+U9+U11</f>
        <v>14729.4</v>
      </c>
      <c r="V13" s="1048">
        <f>V5+V8+V9+V11</f>
        <v>14627</v>
      </c>
      <c r="W13" s="1048">
        <f>W5+W8+W9+W11</f>
        <v>14548.2</v>
      </c>
      <c r="X13" s="1047">
        <f t="shared" si="1"/>
        <v>58966.1</v>
      </c>
      <c r="Y13" s="1047">
        <f t="shared" si="1"/>
        <v>57082.082599999994</v>
      </c>
      <c r="Z13" s="1047">
        <f t="shared" si="1"/>
        <v>54906.967513999989</v>
      </c>
      <c r="AA13" s="1031"/>
      <c r="AB13" s="1031"/>
      <c r="AC13" s="1031"/>
      <c r="AD13" s="1047">
        <f>AD5+AD8+AD9+AD11</f>
        <v>75526.600000000006</v>
      </c>
      <c r="AE13" s="1031"/>
      <c r="AF13" s="1031"/>
      <c r="AG13" s="1031"/>
      <c r="AH13" s="1031"/>
    </row>
    <row r="14" spans="1:34" ht="15.75">
      <c r="A14" s="1031"/>
      <c r="B14" s="1071"/>
      <c r="C14" s="1031"/>
      <c r="D14" s="1032"/>
      <c r="E14" s="1031"/>
      <c r="F14" s="1031"/>
      <c r="G14" s="1031"/>
      <c r="H14" s="1031"/>
      <c r="I14" s="1032"/>
      <c r="J14" s="1031"/>
      <c r="K14" s="1031"/>
      <c r="L14" s="1031"/>
      <c r="M14" s="1031"/>
      <c r="N14" s="1032"/>
      <c r="O14" s="1032"/>
      <c r="P14" s="1032"/>
      <c r="Q14" s="1032"/>
      <c r="R14" s="1032"/>
      <c r="S14" s="1032"/>
      <c r="T14" s="1032"/>
      <c r="U14" s="1032"/>
      <c r="V14" s="1032"/>
      <c r="W14" s="1032"/>
      <c r="X14" s="1032"/>
      <c r="Y14" s="1032"/>
      <c r="Z14" s="1032"/>
      <c r="AA14" s="1031"/>
      <c r="AB14" s="1031"/>
      <c r="AC14" s="1031"/>
      <c r="AD14" s="1032"/>
      <c r="AE14" s="1031"/>
      <c r="AF14" s="1031"/>
      <c r="AG14" s="1031"/>
      <c r="AH14" s="1031"/>
    </row>
    <row r="15" spans="1:34" ht="15.75">
      <c r="A15" s="1031"/>
      <c r="B15" s="1069" t="s">
        <v>207</v>
      </c>
      <c r="C15" s="1031"/>
      <c r="D15" s="1032"/>
      <c r="E15" s="1031"/>
      <c r="F15" s="1031"/>
      <c r="G15" s="1031"/>
      <c r="H15" s="1031"/>
      <c r="I15" s="1032"/>
      <c r="J15" s="1031"/>
      <c r="K15" s="1031"/>
      <c r="L15" s="1031"/>
      <c r="M15" s="1031"/>
      <c r="N15" s="1032"/>
      <c r="O15" s="1032"/>
      <c r="P15" s="1032"/>
      <c r="Q15" s="1032"/>
      <c r="R15" s="1032"/>
      <c r="S15" s="1032"/>
      <c r="T15" s="1032"/>
      <c r="U15" s="1032"/>
      <c r="V15" s="1032"/>
      <c r="W15" s="1032"/>
      <c r="X15" s="1032"/>
      <c r="Y15" s="1032"/>
      <c r="Z15" s="1032"/>
      <c r="AA15" s="1031"/>
      <c r="AB15" s="1031"/>
      <c r="AC15" s="1031"/>
      <c r="AD15" s="1032"/>
      <c r="AE15" s="1031"/>
      <c r="AF15" s="1031"/>
      <c r="AG15" s="1031"/>
      <c r="AH15" s="1031"/>
    </row>
    <row r="16" spans="1:34" ht="15.75">
      <c r="A16" s="1031"/>
      <c r="B16" s="1071" t="s">
        <v>194</v>
      </c>
      <c r="C16" s="1038"/>
      <c r="D16" s="1039">
        <v>20285</v>
      </c>
      <c r="E16" s="1038">
        <v>4979.3000000000011</v>
      </c>
      <c r="F16" s="1038">
        <v>4951.8</v>
      </c>
      <c r="G16" s="1038">
        <v>4912.3999999999996</v>
      </c>
      <c r="H16" s="1038">
        <v>5059.2999999999993</v>
      </c>
      <c r="I16" s="1039">
        <v>19902.800000000003</v>
      </c>
      <c r="J16" s="1038">
        <v>4956.9999999999991</v>
      </c>
      <c r="K16" s="1040">
        <f>Interims!BP32</f>
        <v>4841.3999999999996</v>
      </c>
      <c r="L16" s="1040">
        <f>Interims!BQ32</f>
        <v>4320.8</v>
      </c>
      <c r="M16" s="1040">
        <f>Interims!BR32</f>
        <v>4701.8</v>
      </c>
      <c r="N16" s="1041">
        <f>Master!V56</f>
        <v>18727.5</v>
      </c>
      <c r="O16" s="1040">
        <f>Interims!BT32</f>
        <v>4667.8</v>
      </c>
      <c r="P16" s="1040">
        <f>Interims!BU32</f>
        <v>0</v>
      </c>
      <c r="Q16" s="1040">
        <f>Interims!BV32</f>
        <v>0</v>
      </c>
      <c r="R16" s="1040">
        <f>Interims!BW32</f>
        <v>0</v>
      </c>
      <c r="S16" s="1041">
        <f>Master!W56</f>
        <v>18485.599999999999</v>
      </c>
      <c r="T16" s="1040">
        <f>Interims!BY32</f>
        <v>0</v>
      </c>
      <c r="U16" s="1040">
        <f>Interims!BZ32</f>
        <v>0</v>
      </c>
      <c r="V16" s="1040">
        <f>Interims!CA32</f>
        <v>0</v>
      </c>
      <c r="W16" s="1040">
        <f>Interims!CB32</f>
        <v>0</v>
      </c>
      <c r="X16" s="1041">
        <f>Master!X56</f>
        <v>19240.815000000002</v>
      </c>
      <c r="Y16" s="1041">
        <f>Master!Y56</f>
        <v>20254.536453000001</v>
      </c>
      <c r="Z16" s="1041">
        <f>Master!Z56</f>
        <v>20650.485630767995</v>
      </c>
      <c r="AA16" s="1038"/>
      <c r="AB16" s="1031"/>
      <c r="AC16" s="1031"/>
      <c r="AD16" s="1041">
        <f>Master!U56</f>
        <v>19902.8</v>
      </c>
      <c r="AE16" s="1031"/>
      <c r="AF16" s="1031"/>
      <c r="AG16" s="1031"/>
      <c r="AH16" s="1031"/>
    </row>
    <row r="17" spans="1:34" ht="15.75">
      <c r="A17" s="1031"/>
      <c r="B17" s="1071" t="s">
        <v>2265</v>
      </c>
      <c r="C17" s="1038"/>
      <c r="D17" s="1039">
        <v>18387.5</v>
      </c>
      <c r="E17" s="1038">
        <v>4674.4999999999991</v>
      </c>
      <c r="F17" s="1042">
        <v>4697.7</v>
      </c>
      <c r="G17" s="1042">
        <v>4596.7000000000007</v>
      </c>
      <c r="H17" s="1042">
        <v>4896.2000000000007</v>
      </c>
      <c r="I17" s="1043">
        <v>18865.100000000002</v>
      </c>
      <c r="J17" s="1042">
        <v>4741.7000000000007</v>
      </c>
      <c r="K17" s="1040">
        <f>Interims!BP144</f>
        <v>4630.3</v>
      </c>
      <c r="L17" s="1040">
        <f>Interims!BQ144</f>
        <v>4260.5</v>
      </c>
      <c r="M17" s="1040">
        <f>Interims!BR144</f>
        <v>4569.3999999999996</v>
      </c>
      <c r="N17" s="1041"/>
      <c r="O17" s="1040">
        <f>Interims!BT144</f>
        <v>4329.1720999999998</v>
      </c>
      <c r="P17" s="1040">
        <f>Interims!BU144</f>
        <v>4398.7849999999999</v>
      </c>
      <c r="Q17" s="1040">
        <f>Interims!BV144</f>
        <v>4132.6849999999995</v>
      </c>
      <c r="R17" s="1040">
        <f>Interims!BW144</f>
        <v>0</v>
      </c>
      <c r="S17" s="1041"/>
      <c r="T17" s="1040">
        <f>Interims!BY144</f>
        <v>0</v>
      </c>
      <c r="U17" s="1040">
        <f>Interims!BZ144</f>
        <v>0</v>
      </c>
      <c r="V17" s="1040">
        <f>Interims!CA144</f>
        <v>0</v>
      </c>
      <c r="W17" s="1040">
        <f>Interims!CB144</f>
        <v>0</v>
      </c>
      <c r="X17" s="1041"/>
      <c r="Y17" s="1041"/>
      <c r="Z17" s="1041"/>
      <c r="AA17" s="1038"/>
      <c r="AB17" s="1031"/>
      <c r="AC17" s="1031"/>
      <c r="AD17" s="1041"/>
      <c r="AE17" s="1031"/>
      <c r="AF17" s="1031"/>
      <c r="AG17" s="1031"/>
      <c r="AH17" s="1031"/>
    </row>
    <row r="18" spans="1:34" ht="15.75">
      <c r="A18" s="1031"/>
      <c r="B18" s="1071" t="s">
        <v>2266</v>
      </c>
      <c r="C18" s="1038"/>
      <c r="D18" s="1039">
        <v>2535.3000000000002</v>
      </c>
      <c r="E18" s="1038">
        <v>493.3</v>
      </c>
      <c r="F18" s="1042">
        <v>492.3</v>
      </c>
      <c r="G18" s="1042">
        <v>461.29999999999984</v>
      </c>
      <c r="H18" s="1042">
        <v>358.89999999999947</v>
      </c>
      <c r="I18" s="1043">
        <v>1805.8999999999994</v>
      </c>
      <c r="J18" s="1042">
        <v>434.39999999999986</v>
      </c>
      <c r="K18" s="1040">
        <f>Interims!BP145</f>
        <v>357.8</v>
      </c>
      <c r="L18" s="1040">
        <f>Interims!BQ145</f>
        <v>257.7</v>
      </c>
      <c r="M18" s="1040">
        <f>Interims!BR145</f>
        <v>278.39999999999998</v>
      </c>
      <c r="N18" s="1041"/>
      <c r="O18" s="1040">
        <f>Interims!BT145</f>
        <v>338.62790000000041</v>
      </c>
      <c r="P18" s="1040">
        <f>Interims!BU145</f>
        <v>0</v>
      </c>
      <c r="Q18" s="1040">
        <f>Interims!BV145</f>
        <v>0</v>
      </c>
      <c r="R18" s="1040">
        <f>Interims!BW145</f>
        <v>0</v>
      </c>
      <c r="S18" s="1041"/>
      <c r="T18" s="1040">
        <f>Interims!BY145</f>
        <v>0</v>
      </c>
      <c r="U18" s="1040">
        <f>Interims!BZ145</f>
        <v>0</v>
      </c>
      <c r="V18" s="1040">
        <f>Interims!CA145</f>
        <v>0</v>
      </c>
      <c r="W18" s="1040">
        <f>Interims!CB145</f>
        <v>0</v>
      </c>
      <c r="X18" s="1041"/>
      <c r="Y18" s="1041"/>
      <c r="Z18" s="1041"/>
      <c r="AA18" s="1038"/>
      <c r="AB18" s="1031"/>
      <c r="AC18" s="1031"/>
      <c r="AD18" s="1041"/>
      <c r="AE18" s="1031"/>
      <c r="AF18" s="1031"/>
      <c r="AG18" s="1031"/>
      <c r="AH18" s="1031"/>
    </row>
    <row r="19" spans="1:34" ht="15.75">
      <c r="A19" s="1031"/>
      <c r="B19" s="1071" t="s">
        <v>70</v>
      </c>
      <c r="C19" s="1038"/>
      <c r="D19" s="1039">
        <v>8504.1999999999971</v>
      </c>
      <c r="E19" s="1038">
        <v>1861.3999999999999</v>
      </c>
      <c r="F19" s="1038">
        <v>1702.3</v>
      </c>
      <c r="G19" s="1038">
        <v>1701.0000000000005</v>
      </c>
      <c r="H19" s="1038">
        <v>1151.5999999999999</v>
      </c>
      <c r="I19" s="1039">
        <v>6416.2999999999993</v>
      </c>
      <c r="J19" s="1038">
        <v>1608.9000000000003</v>
      </c>
      <c r="K19" s="1040">
        <f>Interims!BP31</f>
        <v>1448.4</v>
      </c>
      <c r="L19" s="1040">
        <f>Interims!BQ31</f>
        <v>1533.2</v>
      </c>
      <c r="M19" s="1040">
        <f>Interims!BR31</f>
        <v>1140.9000000000001</v>
      </c>
      <c r="N19" s="1041">
        <f>Master!V55</f>
        <v>5731.4</v>
      </c>
      <c r="O19" s="1040">
        <f>Interims!BT31</f>
        <v>1215.5999999999999</v>
      </c>
      <c r="P19" s="1040">
        <f>Interims!BU31</f>
        <v>0</v>
      </c>
      <c r="Q19" s="1040">
        <f>Interims!BV31</f>
        <v>0</v>
      </c>
      <c r="R19" s="1040">
        <f>Interims!BW31</f>
        <v>0</v>
      </c>
      <c r="S19" s="1041">
        <f>Master!W55</f>
        <v>4672.3159999999998</v>
      </c>
      <c r="T19" s="1040">
        <f>Interims!BY31</f>
        <v>0</v>
      </c>
      <c r="U19" s="1040">
        <f>Interims!BZ31</f>
        <v>0</v>
      </c>
      <c r="V19" s="1040">
        <f>Interims!CA31</f>
        <v>0</v>
      </c>
      <c r="W19" s="1040">
        <f>Interims!CB31</f>
        <v>0</v>
      </c>
      <c r="X19" s="1041">
        <f>Master!X55</f>
        <v>3781.085</v>
      </c>
      <c r="Y19" s="1041">
        <f>Master!Y55</f>
        <v>2863.7069999999999</v>
      </c>
      <c r="Z19" s="1041">
        <f>Master!Z55</f>
        <v>1971.1849849999999</v>
      </c>
      <c r="AA19" s="1038"/>
      <c r="AB19" s="1031"/>
      <c r="AC19" s="1031"/>
      <c r="AD19" s="1041">
        <f>Master!U55</f>
        <v>6416.33</v>
      </c>
      <c r="AE19" s="1031"/>
      <c r="AF19" s="1031"/>
      <c r="AG19" s="1031"/>
      <c r="AH19" s="1031"/>
    </row>
    <row r="20" spans="1:34" ht="15.75">
      <c r="A20" s="1031"/>
      <c r="B20" s="1071" t="s">
        <v>2267</v>
      </c>
      <c r="C20" s="1031"/>
      <c r="D20" s="1032">
        <v>907.30000000000018</v>
      </c>
      <c r="E20" s="1038">
        <v>376.40000000000009</v>
      </c>
      <c r="F20" s="1038">
        <v>391.6</v>
      </c>
      <c r="G20" s="1031">
        <v>423.7</v>
      </c>
      <c r="H20" s="1031">
        <v>499.2</v>
      </c>
      <c r="I20" s="1032">
        <v>1691.0000000000002</v>
      </c>
      <c r="J20" s="1031">
        <v>403.9</v>
      </c>
      <c r="K20" s="1040">
        <f>Interims!BP33</f>
        <v>524.20000000000005</v>
      </c>
      <c r="L20" s="1040">
        <f>Interims!BQ33</f>
        <v>561</v>
      </c>
      <c r="M20" s="1040">
        <f>Interims!BR33</f>
        <v>463.1</v>
      </c>
      <c r="N20" s="1041">
        <f>Master!V57</f>
        <v>1952.4</v>
      </c>
      <c r="O20" s="1040">
        <f>Interims!BT33</f>
        <v>0</v>
      </c>
      <c r="P20" s="1040">
        <f>Interims!BU33</f>
        <v>0</v>
      </c>
      <c r="Q20" s="1040">
        <f>Interims!BV33</f>
        <v>0</v>
      </c>
      <c r="R20" s="1040">
        <f>Interims!BW33</f>
        <v>0</v>
      </c>
      <c r="S20" s="1041">
        <f>Master!W57</f>
        <v>0</v>
      </c>
      <c r="T20" s="1040">
        <f>Interims!BY33</f>
        <v>0</v>
      </c>
      <c r="U20" s="1040">
        <f>Interims!BZ33</f>
        <v>0</v>
      </c>
      <c r="V20" s="1040">
        <f>Interims!CA33</f>
        <v>0</v>
      </c>
      <c r="W20" s="1040">
        <f>Interims!CB33</f>
        <v>0</v>
      </c>
      <c r="X20" s="1041">
        <f>Master!X57</f>
        <v>0</v>
      </c>
      <c r="Y20" s="1041">
        <f>Master!Y57</f>
        <v>0</v>
      </c>
      <c r="Z20" s="1041">
        <f>Master!Z57</f>
        <v>0</v>
      </c>
      <c r="AA20" s="1038"/>
      <c r="AB20" s="1031"/>
      <c r="AC20" s="1031"/>
      <c r="AD20" s="1041">
        <f>Master!U57</f>
        <v>1691</v>
      </c>
      <c r="AE20" s="1031"/>
      <c r="AF20" s="1031"/>
      <c r="AG20" s="1031"/>
      <c r="AH20" s="1031"/>
    </row>
    <row r="21" spans="1:34" ht="15.75">
      <c r="A21" s="1031"/>
      <c r="B21" s="1071"/>
      <c r="C21" s="1031"/>
      <c r="D21" s="1032"/>
      <c r="E21" s="1031"/>
      <c r="F21" s="1031"/>
      <c r="G21" s="1031"/>
      <c r="H21" s="1031"/>
      <c r="I21" s="1032"/>
      <c r="J21" s="1031"/>
      <c r="K21" s="1031"/>
      <c r="L21" s="1031"/>
      <c r="M21" s="1031"/>
      <c r="N21" s="1031"/>
      <c r="O21" s="1031"/>
      <c r="P21" s="1031"/>
      <c r="Q21" s="1031"/>
      <c r="R21" s="1031"/>
      <c r="S21" s="1031"/>
      <c r="T21" s="1031"/>
      <c r="U21" s="1031"/>
      <c r="V21" s="1031"/>
      <c r="W21" s="1031"/>
      <c r="X21" s="1031"/>
      <c r="Y21" s="1031"/>
      <c r="Z21" s="1031"/>
      <c r="AA21" s="1038"/>
      <c r="AB21" s="1031"/>
      <c r="AC21" s="1031"/>
      <c r="AD21" s="1041"/>
      <c r="AE21" s="1031"/>
      <c r="AF21" s="1031"/>
      <c r="AG21" s="1031"/>
      <c r="AH21" s="1031"/>
    </row>
    <row r="22" spans="1:34" ht="15.75">
      <c r="A22" s="1031"/>
      <c r="B22" s="1071" t="s">
        <v>207</v>
      </c>
      <c r="C22" s="1031"/>
      <c r="D22" s="1039">
        <f>SUM(D16,D19,D20)</f>
        <v>29696.499999999996</v>
      </c>
      <c r="E22" s="1038">
        <f t="shared" ref="E22:Z22" si="2">SUM(E16,E19,E20)</f>
        <v>7217.1</v>
      </c>
      <c r="F22" s="1038">
        <f t="shared" si="2"/>
        <v>7045.7000000000007</v>
      </c>
      <c r="G22" s="1038">
        <f t="shared" si="2"/>
        <v>7037.0999999999995</v>
      </c>
      <c r="H22" s="1038">
        <f t="shared" si="2"/>
        <v>6710.0999999999995</v>
      </c>
      <c r="I22" s="1039">
        <f t="shared" si="2"/>
        <v>28010.100000000002</v>
      </c>
      <c r="J22" s="1038">
        <f t="shared" si="2"/>
        <v>6969.7999999999993</v>
      </c>
      <c r="K22" s="1040">
        <f t="shared" si="2"/>
        <v>6813.9999999999991</v>
      </c>
      <c r="L22" s="1040">
        <f>SUM(L16,L19,L20)</f>
        <v>6415</v>
      </c>
      <c r="M22" s="1040">
        <f>SUM(M16,M19,M20)</f>
        <v>6305.8000000000011</v>
      </c>
      <c r="N22" s="1041">
        <f t="shared" si="2"/>
        <v>26411.300000000003</v>
      </c>
      <c r="O22" s="1040">
        <f>Interims!BT34</f>
        <v>5883.4</v>
      </c>
      <c r="P22" s="1040">
        <f>Interims!BU34</f>
        <v>5950.1</v>
      </c>
      <c r="Q22" s="1040">
        <f>Interims!BV34</f>
        <v>5717.1</v>
      </c>
      <c r="R22" s="1040">
        <f>Interims!BW34</f>
        <v>5607.3</v>
      </c>
      <c r="S22" s="1041">
        <f t="shared" si="2"/>
        <v>23157.915999999997</v>
      </c>
      <c r="T22" s="1040">
        <f>Interims!BY34</f>
        <v>5702.1</v>
      </c>
      <c r="U22" s="1040">
        <f>Interims!BZ34</f>
        <v>5694.3</v>
      </c>
      <c r="V22" s="1040">
        <f>Interims!CA34</f>
        <v>5677.1</v>
      </c>
      <c r="W22" s="1040">
        <f>Interims!CB34</f>
        <v>5948.4</v>
      </c>
      <c r="X22" s="1041">
        <f t="shared" si="2"/>
        <v>23021.9</v>
      </c>
      <c r="Y22" s="1041">
        <f t="shared" si="2"/>
        <v>23118.243452999999</v>
      </c>
      <c r="Z22" s="1041">
        <f t="shared" si="2"/>
        <v>22621.670615767995</v>
      </c>
      <c r="AA22" s="1038"/>
      <c r="AB22" s="1031"/>
      <c r="AC22" s="1031"/>
      <c r="AD22" s="1041">
        <f>SUM(AD16,AD19,AD20)</f>
        <v>28010.129999999997</v>
      </c>
      <c r="AE22" s="1031"/>
      <c r="AF22" s="1031"/>
      <c r="AG22" s="1031"/>
      <c r="AH22" s="1031"/>
    </row>
    <row r="23" spans="1:34" ht="15.75">
      <c r="A23" s="1031"/>
      <c r="B23" s="1071"/>
      <c r="C23" s="1031"/>
      <c r="D23" s="1032"/>
      <c r="E23" s="1031"/>
      <c r="F23" s="1038"/>
      <c r="G23" s="1038"/>
      <c r="H23" s="1038"/>
      <c r="I23" s="1039"/>
      <c r="J23" s="1038"/>
      <c r="K23" s="1038"/>
      <c r="L23" s="1038"/>
      <c r="M23" s="1038"/>
      <c r="N23" s="1038"/>
      <c r="O23" s="1038"/>
      <c r="P23" s="1038"/>
      <c r="Q23" s="1038"/>
      <c r="R23" s="1038"/>
      <c r="S23" s="1038"/>
      <c r="T23" s="1038"/>
      <c r="U23" s="1038"/>
      <c r="V23" s="1038"/>
      <c r="W23" s="1038"/>
      <c r="X23" s="1038"/>
      <c r="Y23" s="1038"/>
      <c r="Z23" s="1038"/>
      <c r="AA23" s="1038"/>
      <c r="AB23" s="1031"/>
      <c r="AC23" s="1031"/>
      <c r="AD23" s="1049"/>
      <c r="AE23" s="1031"/>
      <c r="AF23" s="1031"/>
      <c r="AG23" s="1031"/>
      <c r="AH23" s="1031"/>
    </row>
    <row r="24" spans="1:34" ht="15.75">
      <c r="A24" s="1031"/>
      <c r="B24" s="1071"/>
      <c r="C24" s="1038"/>
      <c r="D24" s="1039"/>
      <c r="E24" s="1038"/>
      <c r="F24" s="1031"/>
      <c r="G24" s="1031"/>
      <c r="H24" s="1031"/>
      <c r="I24" s="1031"/>
      <c r="J24" s="1031"/>
      <c r="K24" s="1031"/>
      <c r="L24" s="1031"/>
      <c r="M24" s="1031"/>
      <c r="N24" s="1031"/>
      <c r="O24" s="1031"/>
      <c r="P24" s="1031"/>
      <c r="Q24" s="1031"/>
      <c r="R24" s="1031"/>
      <c r="S24" s="1031"/>
      <c r="T24" s="1031"/>
      <c r="U24" s="1031"/>
      <c r="V24" s="1031"/>
      <c r="W24" s="1031"/>
      <c r="X24" s="1031"/>
      <c r="Y24" s="1031"/>
      <c r="Z24" s="1031"/>
      <c r="AA24" s="1038"/>
      <c r="AB24" s="1031"/>
      <c r="AC24" s="1031"/>
      <c r="AD24" s="1031"/>
      <c r="AE24" s="1031"/>
      <c r="AF24" s="1031"/>
      <c r="AG24" s="1031"/>
      <c r="AH24" s="1031"/>
    </row>
    <row r="25" spans="1:34" ht="15.75">
      <c r="A25" s="1031"/>
      <c r="B25" s="1071" t="s">
        <v>209</v>
      </c>
      <c r="C25" s="1038"/>
      <c r="D25" s="1039">
        <v>-2203.4999999999995</v>
      </c>
      <c r="E25" s="1038">
        <v>-333.70000000000005</v>
      </c>
      <c r="F25" s="1038">
        <v>-285.2</v>
      </c>
      <c r="G25" s="1038">
        <v>-213.5</v>
      </c>
      <c r="H25" s="1038">
        <v>-705.7</v>
      </c>
      <c r="I25" s="1039">
        <v>-1538.1</v>
      </c>
      <c r="J25" s="1038">
        <v>-242.4</v>
      </c>
      <c r="K25" s="1040">
        <f>Interims!BP35</f>
        <v>-238.3</v>
      </c>
      <c r="L25" s="1040">
        <f>Interims!BQ35</f>
        <v>-189.8</v>
      </c>
      <c r="M25" s="1040">
        <f>Interims!BR35</f>
        <v>-589.4</v>
      </c>
      <c r="N25" s="1050">
        <f>Master!V61</f>
        <v>-1259.9000000000001</v>
      </c>
      <c r="O25" s="1040">
        <f>Interims!BT35</f>
        <v>-185.8</v>
      </c>
      <c r="P25" s="1040">
        <f>Interims!BU35</f>
        <v>-91.4</v>
      </c>
      <c r="Q25" s="1040">
        <f>Interims!BV35</f>
        <v>-61.2</v>
      </c>
      <c r="R25" s="1040">
        <f>Interims!BW35</f>
        <v>-417.6</v>
      </c>
      <c r="S25" s="1041">
        <f>Master!W61</f>
        <v>-756</v>
      </c>
      <c r="T25" s="1040">
        <f>Interims!BY35</f>
        <v>-118.6</v>
      </c>
      <c r="U25" s="1040">
        <f>Interims!BZ35</f>
        <v>-22.1</v>
      </c>
      <c r="V25" s="1040">
        <f>Interims!CA35</f>
        <v>-57.4</v>
      </c>
      <c r="W25" s="1040">
        <f>Interims!CB35</f>
        <v>-250.8</v>
      </c>
      <c r="X25" s="1041">
        <f>Master!X61</f>
        <v>-448.9</v>
      </c>
      <c r="Y25" s="1041">
        <f>Master!Y61</f>
        <v>-435.20601647366937</v>
      </c>
      <c r="Z25" s="1041">
        <f>Master!Z61</f>
        <v>-418.62247346275183</v>
      </c>
      <c r="AA25" s="1038"/>
      <c r="AB25" s="1031"/>
      <c r="AC25" s="1031"/>
      <c r="AD25" s="1050">
        <f>Master!U61</f>
        <v>-1538.1</v>
      </c>
      <c r="AE25" s="1031"/>
      <c r="AF25" s="1031"/>
      <c r="AG25" s="1031"/>
      <c r="AH25" s="1031"/>
    </row>
    <row r="26" spans="1:34" ht="15.75">
      <c r="A26" s="1031"/>
      <c r="B26" s="1071" t="s">
        <v>552</v>
      </c>
      <c r="C26" s="1031"/>
      <c r="D26" s="1039">
        <v>-21418.3</v>
      </c>
      <c r="E26" s="1038">
        <v>-5077.3999999999996</v>
      </c>
      <c r="F26" s="1038">
        <v>-5167.5</v>
      </c>
      <c r="G26" s="1038">
        <v>-5169.8</v>
      </c>
      <c r="H26" s="1038">
        <v>-5702.7</v>
      </c>
      <c r="I26" s="1039">
        <v>-21117.4</v>
      </c>
      <c r="J26" s="1038">
        <v>-5311.7</v>
      </c>
      <c r="K26" s="1040">
        <f>Interims!BP39</f>
        <v>-5354.7</v>
      </c>
      <c r="L26" s="1040">
        <f>Interims!BQ39</f>
        <v>-5544.1</v>
      </c>
      <c r="M26" s="1040">
        <f>Interims!BR39</f>
        <v>-5344</v>
      </c>
      <c r="N26" s="1050">
        <f>-Master!V142-Master!V143</f>
        <v>-21554.400000000001</v>
      </c>
      <c r="O26" s="1040">
        <f>Interims!BT39</f>
        <v>-5035</v>
      </c>
      <c r="P26" s="1040">
        <f>Interims!BU39</f>
        <v>-5209</v>
      </c>
      <c r="Q26" s="1040">
        <f>Interims!BV39</f>
        <v>-4907.5</v>
      </c>
      <c r="R26" s="1040">
        <f>Interims!BW39</f>
        <v>-5359.4</v>
      </c>
      <c r="S26" s="1041">
        <f>-Master!W142-Master!W143</f>
        <v>-20510.900000000001</v>
      </c>
      <c r="T26" s="1040">
        <f>Interims!BY39</f>
        <v>-4451.8</v>
      </c>
      <c r="U26" s="1040">
        <f>Interims!BZ39</f>
        <v>-4402.7</v>
      </c>
      <c r="V26" s="1040">
        <f>Interims!CA39</f>
        <v>-4604.5</v>
      </c>
      <c r="W26" s="1040">
        <f>Interims!CB39</f>
        <v>-3701.5</v>
      </c>
      <c r="X26" s="1041">
        <f>-Master!X142-Master!X143</f>
        <v>-17160.5</v>
      </c>
      <c r="Y26" s="1041">
        <f>-Master!Y142-Master!Y143</f>
        <v>-17023.435859733854</v>
      </c>
      <c r="Z26" s="1041">
        <f>-Master!Z142-Master!Z143</f>
        <v>-17138.318098762033</v>
      </c>
      <c r="AA26" s="1038"/>
      <c r="AB26" s="1031"/>
      <c r="AC26" s="1031"/>
      <c r="AD26" s="1050">
        <f>-Master!U142-Master!U143</f>
        <v>-21117.4</v>
      </c>
      <c r="AE26" s="1031"/>
      <c r="AF26" s="1031"/>
      <c r="AG26" s="1031"/>
      <c r="AH26" s="1031"/>
    </row>
    <row r="27" spans="1:34" ht="15.75">
      <c r="A27" s="1031"/>
      <c r="B27" s="1071" t="s">
        <v>2268</v>
      </c>
      <c r="C27" s="1038"/>
      <c r="D27" s="1039">
        <v>2329.6000000000004</v>
      </c>
      <c r="E27" s="1038">
        <v>-168.6</v>
      </c>
      <c r="F27" s="1038">
        <v>-40.9</v>
      </c>
      <c r="G27" s="1038">
        <f>-291.2-0.3</f>
        <v>-291.5</v>
      </c>
      <c r="H27" s="1038">
        <v>-465.59999999999997</v>
      </c>
      <c r="I27" s="1039">
        <v>-967.1</v>
      </c>
      <c r="J27" s="1038">
        <v>-253.7</v>
      </c>
      <c r="K27" s="1040">
        <f>Interims!BP37</f>
        <v>-228.79999999999998</v>
      </c>
      <c r="L27" s="1040">
        <f>Interims!BQ37</f>
        <v>-758.19999999999993</v>
      </c>
      <c r="M27" s="1040">
        <f>Interims!BR37</f>
        <v>172.4</v>
      </c>
      <c r="N27" s="1050">
        <f>Master!V62</f>
        <v>-1026.8</v>
      </c>
      <c r="O27" s="1040">
        <f>Interims!BT37</f>
        <v>2263.6</v>
      </c>
      <c r="P27" s="1040">
        <f>Interims!BU37</f>
        <v>-560.20000000000005</v>
      </c>
      <c r="Q27" s="1040">
        <f>Interims!BV37</f>
        <v>-383.70000000000005</v>
      </c>
      <c r="R27" s="1040">
        <f>Interims!BW37</f>
        <v>-6053.5</v>
      </c>
      <c r="S27" s="1041">
        <f>Master!W62</f>
        <v>-4709.8999999999996</v>
      </c>
      <c r="T27" s="1040">
        <f>Interims!BY37</f>
        <v>-241.7</v>
      </c>
      <c r="U27" s="1040">
        <f>Interims!BZ37</f>
        <v>-316.09999999999997</v>
      </c>
      <c r="V27" s="1040">
        <f>Interims!CA37</f>
        <v>-86.4</v>
      </c>
      <c r="W27" s="1040">
        <f>Interims!CB37</f>
        <v>-543.4</v>
      </c>
      <c r="X27" s="1041">
        <f>Master!X62</f>
        <v>-1187.5999999999999</v>
      </c>
      <c r="Y27" s="1041">
        <f>Master!Y62</f>
        <v>-1000</v>
      </c>
      <c r="Z27" s="1041">
        <f>Master!Z62</f>
        <v>-961.89495920739216</v>
      </c>
      <c r="AA27" s="1038"/>
      <c r="AB27" s="1031"/>
      <c r="AC27" s="1031"/>
      <c r="AD27" s="1050">
        <f>Master!U62</f>
        <v>-936</v>
      </c>
      <c r="AE27" s="1031"/>
      <c r="AF27" s="1031"/>
      <c r="AG27" s="1031"/>
      <c r="AH27" s="1031"/>
    </row>
    <row r="28" spans="1:34" ht="15.75">
      <c r="A28" s="1031"/>
      <c r="B28" s="1071"/>
      <c r="C28" s="1051"/>
      <c r="D28" s="1052"/>
      <c r="E28" s="1053"/>
      <c r="F28" s="1053"/>
      <c r="G28" s="1053"/>
      <c r="H28" s="1053"/>
      <c r="I28" s="1052"/>
      <c r="J28" s="1053"/>
      <c r="K28" s="1031"/>
      <c r="L28" s="1031"/>
      <c r="M28" s="1031"/>
      <c r="N28" s="1031"/>
      <c r="O28" s="1031"/>
      <c r="P28" s="1031"/>
      <c r="Q28" s="1031"/>
      <c r="R28" s="1031"/>
      <c r="S28" s="1031"/>
      <c r="T28" s="1031"/>
      <c r="U28" s="1031"/>
      <c r="V28" s="1031"/>
      <c r="W28" s="1031"/>
      <c r="X28" s="1052"/>
      <c r="Y28" s="1052"/>
      <c r="Z28" s="1052"/>
      <c r="AA28" s="1038"/>
      <c r="AB28" s="1031"/>
      <c r="AC28" s="1031"/>
      <c r="AD28" s="1031"/>
      <c r="AE28" s="1031"/>
      <c r="AF28" s="1031"/>
      <c r="AG28" s="1031"/>
      <c r="AH28" s="1031"/>
    </row>
    <row r="29" spans="1:34" ht="15.75">
      <c r="A29" s="1031"/>
      <c r="B29" s="1072" t="s">
        <v>34</v>
      </c>
      <c r="C29" s="1031"/>
      <c r="D29" s="1039">
        <f t="shared" ref="D29:J29" si="3">D16+D19+D20+D25+D27</f>
        <v>29822.6</v>
      </c>
      <c r="E29" s="1038">
        <f t="shared" si="3"/>
        <v>6714.8</v>
      </c>
      <c r="F29" s="1038">
        <f t="shared" si="3"/>
        <v>6719.6000000000013</v>
      </c>
      <c r="G29" s="1038">
        <f t="shared" si="3"/>
        <v>6532.0999999999995</v>
      </c>
      <c r="H29" s="1038">
        <f t="shared" si="3"/>
        <v>5538.7999999999993</v>
      </c>
      <c r="I29" s="1039">
        <f t="shared" si="3"/>
        <v>25504.900000000005</v>
      </c>
      <c r="J29" s="1038">
        <f t="shared" si="3"/>
        <v>6473.7</v>
      </c>
      <c r="K29" s="1038">
        <f>K16+K19+K20+K25+K27</f>
        <v>6346.8999999999987</v>
      </c>
      <c r="L29" s="1038">
        <f>L16+L19+L20+L25+L27</f>
        <v>5467</v>
      </c>
      <c r="M29" s="1038">
        <f>M16+M19+M20+M25+M27</f>
        <v>5888.8000000000011</v>
      </c>
      <c r="N29" s="1039">
        <f>N16+N19+N20+N25+N27</f>
        <v>24124.600000000002</v>
      </c>
      <c r="O29" s="1038">
        <f>Interims!BT38</f>
        <v>7961.1999999999989</v>
      </c>
      <c r="P29" s="1038">
        <f>Interims!BU38</f>
        <v>5298.5000000000009</v>
      </c>
      <c r="Q29" s="1038">
        <f>Interims!BV38</f>
        <v>5272.2000000000007</v>
      </c>
      <c r="R29" s="1038">
        <f>Interims!BW38</f>
        <v>-863.80000000000018</v>
      </c>
      <c r="S29" s="1039">
        <f>S16+S19+S20+S25+S27</f>
        <v>17692.015999999996</v>
      </c>
      <c r="T29" s="1038">
        <f>Interims!BY38</f>
        <v>5341.8</v>
      </c>
      <c r="U29" s="1038">
        <f>Interims!BZ38</f>
        <v>5356.0999999999995</v>
      </c>
      <c r="V29" s="1038">
        <f>Interims!CA38</f>
        <v>5533.3000000000011</v>
      </c>
      <c r="W29" s="1038">
        <f>Interims!CB38</f>
        <v>5154.2</v>
      </c>
      <c r="X29" s="1039">
        <f>X16+X19+X20+X25+X27</f>
        <v>21385.4</v>
      </c>
      <c r="Y29" s="1039">
        <f>Y16+Y19+Y20+Y25+Y27</f>
        <v>21683.037436526331</v>
      </c>
      <c r="Z29" s="1039">
        <f>Z16+Z19+Z20+Z25+Z27</f>
        <v>21241.153183097853</v>
      </c>
      <c r="AA29" s="1038"/>
      <c r="AB29" s="1031"/>
      <c r="AC29" s="1031"/>
      <c r="AD29" s="1039">
        <f>AD16+AD19+AD20+AD25+AD27</f>
        <v>25536.03</v>
      </c>
      <c r="AE29" s="1031"/>
      <c r="AF29" s="1031"/>
      <c r="AG29" s="1031"/>
      <c r="AH29" s="1031"/>
    </row>
    <row r="30" spans="1:34" ht="15.75">
      <c r="A30" s="1031"/>
      <c r="B30" s="1071"/>
      <c r="C30" s="1038"/>
      <c r="D30" s="1039"/>
      <c r="E30" s="1038"/>
      <c r="F30" s="1038"/>
      <c r="G30" s="1038"/>
      <c r="H30" s="1038"/>
      <c r="I30" s="1039"/>
      <c r="J30" s="1038"/>
      <c r="K30" s="1031"/>
      <c r="L30" s="1031"/>
      <c r="M30" s="1031"/>
      <c r="N30" s="1032"/>
      <c r="O30" s="1031"/>
      <c r="P30" s="1031"/>
      <c r="Q30" s="1031"/>
      <c r="R30" s="1031"/>
      <c r="S30" s="1032"/>
      <c r="T30" s="1031"/>
      <c r="U30" s="1031"/>
      <c r="V30" s="1031"/>
      <c r="W30" s="1031"/>
      <c r="X30" s="1032"/>
      <c r="Y30" s="1032"/>
      <c r="Z30" s="1032"/>
      <c r="AA30" s="1038"/>
      <c r="AB30" s="1031"/>
      <c r="AC30" s="1031"/>
      <c r="AD30" s="1032"/>
      <c r="AE30" s="1031"/>
      <c r="AF30" s="1031"/>
      <c r="AG30" s="1031"/>
      <c r="AH30" s="1031"/>
    </row>
    <row r="31" spans="1:34" ht="15.75">
      <c r="A31" s="1031"/>
      <c r="B31" s="1071" t="s">
        <v>2269</v>
      </c>
      <c r="C31" s="1038"/>
      <c r="D31" s="1039">
        <v>-9166.6020000000008</v>
      </c>
      <c r="E31" s="1038">
        <v>-19097.900000000001</v>
      </c>
      <c r="F31" s="1038">
        <v>4334.62</v>
      </c>
      <c r="G31" s="1038">
        <v>-494.39</v>
      </c>
      <c r="H31" s="1038">
        <f>-11818.411-E30-F31-G31</f>
        <v>-15658.641</v>
      </c>
      <c r="I31" s="1039">
        <v>-11818.411</v>
      </c>
      <c r="J31" s="1038">
        <v>-4815.8059999999996</v>
      </c>
      <c r="K31" s="1054">
        <f>-Interims!BP86</f>
        <v>93.1</v>
      </c>
      <c r="L31" s="1054">
        <f>-Interims!BQ86</f>
        <v>975.4</v>
      </c>
      <c r="M31" s="1054">
        <f>-Interims!BR86</f>
        <v>1560.4</v>
      </c>
      <c r="N31" s="1050">
        <f>-Master!V209</f>
        <v>7014.3090000000002</v>
      </c>
      <c r="O31" s="1054">
        <f>-Interims!BT86</f>
        <v>541</v>
      </c>
      <c r="P31" s="1054">
        <f>-Interims!BU86</f>
        <v>-84.2</v>
      </c>
      <c r="Q31" s="1054">
        <f>-Interims!BV86</f>
        <v>171</v>
      </c>
      <c r="R31" s="1054">
        <f>-Interims!BW86</f>
        <v>-1241.3</v>
      </c>
      <c r="S31" s="1050">
        <f>-Master!W209</f>
        <v>812.21500000000003</v>
      </c>
      <c r="T31" s="1054">
        <f>-Interims!BY86</f>
        <v>221</v>
      </c>
      <c r="U31" s="1054">
        <f>-Interims!BZ86</f>
        <v>-60</v>
      </c>
      <c r="V31" s="1054">
        <f>-Interims!CA86</f>
        <v>3008.1</v>
      </c>
      <c r="W31" s="1054">
        <f>-Interims!CB86</f>
        <v>4757.3</v>
      </c>
      <c r="X31" s="1050">
        <f>-Master!X209</f>
        <v>-24</v>
      </c>
      <c r="Y31" s="1050">
        <f ca="1">-Master!Y209</f>
        <v>379.22947558088572</v>
      </c>
      <c r="Z31" s="1050">
        <f ca="1">-Master!Z209</f>
        <v>524.12781779395857</v>
      </c>
      <c r="AA31" s="1055" t="s">
        <v>2270</v>
      </c>
      <c r="AB31" s="1031"/>
      <c r="AC31" s="1031"/>
      <c r="AD31" s="1050">
        <f>-Master!U209</f>
        <v>12188</v>
      </c>
      <c r="AE31" s="1031"/>
      <c r="AF31" s="1031"/>
      <c r="AG31" s="1031"/>
      <c r="AH31" s="1031"/>
    </row>
    <row r="32" spans="1:34" ht="15.75">
      <c r="A32" s="1031"/>
      <c r="B32" s="1071" t="s">
        <v>35</v>
      </c>
      <c r="C32" s="1031"/>
      <c r="D32" s="1039">
        <v>-23267.847000000002</v>
      </c>
      <c r="E32" s="1038">
        <v>-4689.3</v>
      </c>
      <c r="F32" s="1038">
        <v>-4790.1419999999998</v>
      </c>
      <c r="G32" s="1038">
        <v>-4204.3440000000001</v>
      </c>
      <c r="H32" s="1038">
        <f>-17315.387-E31-F32-G32</f>
        <v>10776.999000000003</v>
      </c>
      <c r="I32" s="1039">
        <v>-17315.386999999999</v>
      </c>
      <c r="J32" s="1038">
        <v>-3929.7649999999999</v>
      </c>
      <c r="K32" s="1054">
        <f>-Interims!BP107</f>
        <v>-3608.2140000000009</v>
      </c>
      <c r="L32" s="1054">
        <f>-Interims!BQ107</f>
        <v>-3185.2620000000002</v>
      </c>
      <c r="M32" s="1054">
        <f>-Interims!BR107</f>
        <v>-3978.585</v>
      </c>
      <c r="N32" s="1050">
        <f>-Master!V87</f>
        <v>-14503.380000000001</v>
      </c>
      <c r="O32" s="1054">
        <f>-Interims!BT107</f>
        <v>-2036.3999999999999</v>
      </c>
      <c r="P32" s="1054">
        <f>-Interims!BU107</f>
        <v>-1761.2249999999999</v>
      </c>
      <c r="Q32" s="1054">
        <f>-Interims!BV107</f>
        <v>-2423.652</v>
      </c>
      <c r="R32" s="1054">
        <f>-Interims!BW107</f>
        <v>-2864.5679999999988</v>
      </c>
      <c r="S32" s="1050">
        <f>-Master!W87</f>
        <v>-9097.5</v>
      </c>
      <c r="T32" s="1054">
        <f>-Interims!BY107</f>
        <v>-1777.41</v>
      </c>
      <c r="U32" s="1054">
        <f>-Interims!BZ107</f>
        <v>-2126.3589999999999</v>
      </c>
      <c r="V32" s="1054">
        <f>-Interims!CA107</f>
        <v>-3647.46</v>
      </c>
      <c r="W32" s="1054">
        <f>-Interims!CB107</f>
        <v>-4626.24</v>
      </c>
      <c r="X32" s="1050">
        <f>-Master!X87</f>
        <v>-12186.6</v>
      </c>
      <c r="Y32" s="1050">
        <f>-Master!Y87</f>
        <v>-14278.20668726951</v>
      </c>
      <c r="Z32" s="1050">
        <f>-Master!Z87</f>
        <v>-11169.233759721894</v>
      </c>
      <c r="AA32" s="1038"/>
      <c r="AB32" s="1031"/>
      <c r="AC32" s="1031"/>
      <c r="AD32" s="1050">
        <f>-Master!U87</f>
        <v>-17214.16</v>
      </c>
      <c r="AE32" s="1031"/>
      <c r="AF32" s="1031"/>
      <c r="AG32" s="1031"/>
      <c r="AH32" s="1031"/>
    </row>
    <row r="33" spans="1:34" ht="15.75">
      <c r="A33" s="1031"/>
      <c r="B33" s="1071" t="s">
        <v>2271</v>
      </c>
      <c r="C33" s="1038"/>
      <c r="D33" s="1039">
        <v>-8542.1999999999989</v>
      </c>
      <c r="E33" s="1038">
        <v>-2467</v>
      </c>
      <c r="F33" s="1038">
        <v>-1995.914</v>
      </c>
      <c r="G33" s="1038">
        <v>-2235.9229999999998</v>
      </c>
      <c r="H33" s="1038">
        <f>-8893-E32-F33-G33</f>
        <v>28.136999999999716</v>
      </c>
      <c r="I33" s="1039">
        <v>-8893</v>
      </c>
      <c r="J33" s="1038">
        <v>-1873</v>
      </c>
      <c r="K33" s="1054">
        <f>Interims!BP81</f>
        <v>-751.5</v>
      </c>
      <c r="L33" s="1054">
        <f>Interims!BQ81</f>
        <v>-587.9</v>
      </c>
      <c r="M33" s="1054">
        <f>Interims!BR81</f>
        <v>-1086.3000000000004</v>
      </c>
      <c r="N33" s="1050">
        <f>-Master!V284</f>
        <v>-4751.5079999999998</v>
      </c>
      <c r="O33" s="1054">
        <f>Interims!BT81</f>
        <v>-1133.4000000000001</v>
      </c>
      <c r="P33" s="1054">
        <f>Interims!BU81</f>
        <v>-590</v>
      </c>
      <c r="Q33" s="1054">
        <f>Interims!BV81</f>
        <v>-1259.3000000000002</v>
      </c>
      <c r="R33" s="1054">
        <f>Interims!BW81</f>
        <v>-1732.6</v>
      </c>
      <c r="S33" s="1050">
        <f>-Master!W284</f>
        <v>-4695.1710000000003</v>
      </c>
      <c r="T33" s="1054">
        <f>Interims!BY81</f>
        <v>-428.69999999999993</v>
      </c>
      <c r="U33" s="1054">
        <f>Interims!BZ81</f>
        <v>-1672.4</v>
      </c>
      <c r="V33" s="1054">
        <f>Interims!CA81</f>
        <v>-675.4</v>
      </c>
      <c r="W33" s="1054">
        <f>Interims!CB81</f>
        <v>-1505.4</v>
      </c>
      <c r="X33" s="1050">
        <f>-Master!X284</f>
        <v>-4140.2860000000001</v>
      </c>
      <c r="Y33" s="1050">
        <f ca="1">-Master!Y284</f>
        <v>-4924.8469309388947</v>
      </c>
      <c r="Z33" s="1050">
        <f ca="1">-Master!Z284</f>
        <v>-4615.7161782476887</v>
      </c>
      <c r="AA33" s="1055" t="s">
        <v>2270</v>
      </c>
      <c r="AB33" s="1031"/>
      <c r="AC33" s="1031"/>
      <c r="AD33" s="1050">
        <f>-Master!U284</f>
        <v>-9206.2000000000007</v>
      </c>
      <c r="AE33" s="1031"/>
      <c r="AF33" s="1031"/>
      <c r="AG33" s="1031"/>
      <c r="AH33" s="1031"/>
    </row>
    <row r="34" spans="1:34" ht="15.75">
      <c r="A34" s="1031"/>
      <c r="B34" s="1071"/>
      <c r="C34" s="1031"/>
      <c r="D34" s="1032"/>
      <c r="E34" s="1031"/>
      <c r="F34" s="1031"/>
      <c r="G34" s="1031"/>
      <c r="H34" s="1031"/>
      <c r="I34" s="1032"/>
      <c r="J34" s="1031"/>
      <c r="K34" s="1031"/>
      <c r="L34" s="1031"/>
      <c r="M34" s="1031"/>
      <c r="N34" s="1032"/>
      <c r="O34" s="1031"/>
      <c r="P34" s="1031"/>
      <c r="Q34" s="1031"/>
      <c r="R34" s="1031"/>
      <c r="S34" s="1032"/>
      <c r="T34" s="1031"/>
      <c r="U34" s="1031"/>
      <c r="V34" s="1031"/>
      <c r="W34" s="1031"/>
      <c r="X34" s="1032"/>
      <c r="Y34" s="1032"/>
      <c r="Z34" s="1032"/>
      <c r="AA34" s="1038"/>
      <c r="AB34" s="1031"/>
      <c r="AC34" s="1031"/>
      <c r="AD34" s="1032"/>
      <c r="AE34" s="1031"/>
      <c r="AF34" s="1031"/>
      <c r="AG34" s="1031"/>
      <c r="AH34" s="1031"/>
    </row>
    <row r="35" spans="1:34" ht="15.75">
      <c r="A35" s="1031"/>
      <c r="B35" s="1072" t="s">
        <v>2272</v>
      </c>
      <c r="C35" s="1031"/>
      <c r="D35" s="1039">
        <f>+D29-D31-D32-D33</f>
        <v>70799.248999999996</v>
      </c>
      <c r="E35" s="1039">
        <f>+E29-E31-E32-E33</f>
        <v>32969</v>
      </c>
      <c r="F35" s="1038">
        <f t="shared" ref="F35:Z35" si="4">+F29+F31+F32+F33</f>
        <v>4268.1640000000016</v>
      </c>
      <c r="G35" s="1038">
        <f t="shared" si="4"/>
        <v>-402.5570000000007</v>
      </c>
      <c r="H35" s="1038">
        <f t="shared" si="4"/>
        <v>685.2950000000028</v>
      </c>
      <c r="I35" s="1039">
        <f t="shared" si="4"/>
        <v>-12521.897999999994</v>
      </c>
      <c r="J35" s="1038">
        <f t="shared" si="4"/>
        <v>-4144.8709999999992</v>
      </c>
      <c r="K35" s="1039">
        <f t="shared" si="4"/>
        <v>2080.2859999999982</v>
      </c>
      <c r="L35" s="1039">
        <f t="shared" si="4"/>
        <v>2669.2379999999994</v>
      </c>
      <c r="M35" s="1039">
        <f t="shared" si="4"/>
        <v>2384.3150000000005</v>
      </c>
      <c r="N35" s="1039">
        <f t="shared" si="4"/>
        <v>11884.021000000002</v>
      </c>
      <c r="O35" s="1039">
        <f t="shared" si="4"/>
        <v>5332.4</v>
      </c>
      <c r="P35" s="1039">
        <f t="shared" si="4"/>
        <v>2863.0750000000012</v>
      </c>
      <c r="Q35" s="1039">
        <f t="shared" si="4"/>
        <v>1760.2480000000005</v>
      </c>
      <c r="R35" s="1039">
        <f t="shared" si="4"/>
        <v>-6702.268</v>
      </c>
      <c r="S35" s="1039">
        <f t="shared" si="4"/>
        <v>4711.5599999999959</v>
      </c>
      <c r="T35" s="1039">
        <f t="shared" si="4"/>
        <v>3356.6900000000005</v>
      </c>
      <c r="U35" s="1039">
        <f t="shared" si="4"/>
        <v>1497.3409999999994</v>
      </c>
      <c r="V35" s="1039">
        <f t="shared" si="4"/>
        <v>4218.5400000000018</v>
      </c>
      <c r="W35" s="1039">
        <f t="shared" si="4"/>
        <v>3779.86</v>
      </c>
      <c r="X35" s="1039">
        <f t="shared" si="4"/>
        <v>5034.514000000001</v>
      </c>
      <c r="Y35" s="1039">
        <f t="shared" ca="1" si="4"/>
        <v>2859.2132938988125</v>
      </c>
      <c r="Z35" s="1039">
        <f t="shared" ca="1" si="4"/>
        <v>5980.3310629222306</v>
      </c>
      <c r="AA35" s="1038"/>
      <c r="AB35" s="1031"/>
      <c r="AC35" s="1031"/>
      <c r="AD35" s="1039">
        <f>+AD29+AD31+AD32+AD33</f>
        <v>11303.669999999998</v>
      </c>
      <c r="AE35" s="1031"/>
      <c r="AF35" s="1031"/>
      <c r="AG35" s="1031"/>
      <c r="AH35" s="1031"/>
    </row>
    <row r="36" spans="1:34" ht="15.75">
      <c r="A36" s="1031"/>
      <c r="B36" s="1071"/>
      <c r="C36" s="1031"/>
      <c r="D36" s="1032"/>
      <c r="E36" s="1031"/>
      <c r="F36" s="1031"/>
      <c r="G36" s="1031"/>
      <c r="H36" s="1031"/>
      <c r="I36" s="1032"/>
      <c r="J36" s="1031"/>
      <c r="K36" s="1031"/>
      <c r="L36" s="1031"/>
      <c r="M36" s="1031"/>
      <c r="N36" s="1032"/>
      <c r="O36" s="1032"/>
      <c r="P36" s="1032"/>
      <c r="Q36" s="1032"/>
      <c r="R36" s="1032"/>
      <c r="S36" s="1032"/>
      <c r="T36" s="1032"/>
      <c r="U36" s="1032"/>
      <c r="V36" s="1032"/>
      <c r="W36" s="1032"/>
      <c r="X36" s="1032"/>
      <c r="Y36" s="1032"/>
      <c r="Z36" s="1032"/>
      <c r="AA36" s="1038"/>
      <c r="AB36" s="1031"/>
      <c r="AC36" s="1031"/>
      <c r="AD36" s="1032"/>
      <c r="AE36" s="1031"/>
      <c r="AF36" s="1031"/>
      <c r="AG36" s="1031"/>
      <c r="AH36" s="1031"/>
    </row>
    <row r="37" spans="1:34" ht="15.75">
      <c r="A37" s="1031"/>
      <c r="B37" s="1073" t="s">
        <v>54</v>
      </c>
      <c r="C37" s="1056"/>
      <c r="D37" s="1057"/>
      <c r="E37" s="1056"/>
      <c r="F37" s="1056"/>
      <c r="G37" s="1056"/>
      <c r="H37" s="1056"/>
      <c r="I37" s="1057"/>
      <c r="J37" s="1056"/>
      <c r="K37" s="1056"/>
      <c r="L37" s="1056"/>
      <c r="M37" s="1056"/>
      <c r="N37" s="1057"/>
      <c r="O37" s="1057"/>
      <c r="P37" s="1057"/>
      <c r="Q37" s="1057"/>
      <c r="R37" s="1057"/>
      <c r="S37" s="1057"/>
      <c r="T37" s="1057"/>
      <c r="U37" s="1057"/>
      <c r="V37" s="1057"/>
      <c r="W37" s="1057"/>
      <c r="X37" s="1057"/>
      <c r="Y37" s="1057"/>
      <c r="Z37" s="1057"/>
      <c r="AA37" s="1038"/>
      <c r="AB37" s="1031"/>
      <c r="AC37" s="1031"/>
      <c r="AD37" s="1057"/>
      <c r="AE37" s="1031"/>
      <c r="AF37" s="1031"/>
      <c r="AG37" s="1031"/>
      <c r="AH37" s="1031"/>
    </row>
    <row r="38" spans="1:34" ht="15.75">
      <c r="A38" s="1031"/>
      <c r="B38" s="1071"/>
      <c r="C38" s="1031"/>
      <c r="D38" s="1032"/>
      <c r="E38" s="1031"/>
      <c r="F38" s="1031"/>
      <c r="G38" s="1031"/>
      <c r="H38" s="1031"/>
      <c r="I38" s="1032"/>
      <c r="J38" s="1031"/>
      <c r="K38" s="1031"/>
      <c r="L38" s="1031"/>
      <c r="M38" s="1031"/>
      <c r="N38" s="1032"/>
      <c r="O38" s="1032"/>
      <c r="P38" s="1032"/>
      <c r="Q38" s="1032"/>
      <c r="R38" s="1032"/>
      <c r="S38" s="1032"/>
      <c r="T38" s="1032"/>
      <c r="U38" s="1032"/>
      <c r="V38" s="1032"/>
      <c r="W38" s="1032"/>
      <c r="X38" s="1032"/>
      <c r="Y38" s="1032"/>
      <c r="Z38" s="1032"/>
      <c r="AA38" s="1038"/>
      <c r="AB38" s="1031"/>
      <c r="AC38" s="1031"/>
      <c r="AD38" s="1032"/>
      <c r="AE38" s="1031"/>
      <c r="AF38" s="1031"/>
      <c r="AG38" s="1031"/>
      <c r="AH38" s="1031"/>
    </row>
    <row r="39" spans="1:34" ht="15.75">
      <c r="A39" s="1031"/>
      <c r="B39" s="1072" t="s">
        <v>2273</v>
      </c>
      <c r="C39" s="1031"/>
      <c r="D39" s="1039">
        <v>4200</v>
      </c>
      <c r="E39" s="1038">
        <v>1005</v>
      </c>
      <c r="F39" s="1038">
        <v>1096.1999999999998</v>
      </c>
      <c r="G39" s="1038">
        <v>1151.5</v>
      </c>
      <c r="H39" s="1038">
        <v>1453.5</v>
      </c>
      <c r="I39" s="1039">
        <f>SUM(E39:H39)</f>
        <v>4706.2</v>
      </c>
      <c r="J39" s="1038">
        <v>1070.9000000000001</v>
      </c>
      <c r="K39" s="1054">
        <f>'VOD-quarts'!L3</f>
        <v>1219.8</v>
      </c>
      <c r="L39" s="1054">
        <f>'VOD-quarts'!M3</f>
        <v>1280.5</v>
      </c>
      <c r="M39" s="1054">
        <f>'VOD-quarts'!N3</f>
        <v>1356.8</v>
      </c>
      <c r="N39" s="1050">
        <f>VOD!G138</f>
        <v>4928</v>
      </c>
      <c r="O39" s="1054">
        <f>'VOD-quarts'!O3</f>
        <v>1149</v>
      </c>
      <c r="P39" s="1054">
        <f>'VOD-quarts'!P3</f>
        <v>1257.7</v>
      </c>
      <c r="Q39" s="1054">
        <f>'VOD-quarts'!Q3</f>
        <v>1304.5999999999999</v>
      </c>
      <c r="R39" s="1054">
        <f>'VOD-quarts'!R3</f>
        <v>1344.2</v>
      </c>
      <c r="S39" s="1050">
        <f>VOD!H138</f>
        <v>5055.5</v>
      </c>
      <c r="T39" s="1054">
        <f>'VOD-quarts'!S3</f>
        <v>1023.6999999999998</v>
      </c>
      <c r="U39" s="1054">
        <f>'VOD-quarts'!T3</f>
        <v>1210</v>
      </c>
      <c r="V39" s="1054">
        <f>'VOD-quarts'!U3</f>
        <v>1270.7</v>
      </c>
      <c r="W39" s="1054">
        <f>'VOD-quarts'!V3</f>
        <v>1322.8000000000002</v>
      </c>
      <c r="X39" s="1050">
        <f>VOD!I138</f>
        <v>4827.2</v>
      </c>
      <c r="Y39" s="1050">
        <f>VOD!J138</f>
        <v>5090.3629999999994</v>
      </c>
      <c r="Z39" s="1050">
        <f>VOD!K138</f>
        <v>5231.6203299999997</v>
      </c>
      <c r="AA39" s="1038"/>
      <c r="AB39" s="1031"/>
      <c r="AC39" s="1031"/>
      <c r="AD39" s="1050">
        <f>VOD!F138</f>
        <v>4712</v>
      </c>
      <c r="AE39" s="1031"/>
      <c r="AF39" s="1031"/>
      <c r="AG39" s="1031"/>
      <c r="AH39" s="1031"/>
    </row>
    <row r="40" spans="1:34" ht="15.75">
      <c r="A40" s="1031"/>
      <c r="B40" s="1072" t="s">
        <v>34</v>
      </c>
      <c r="C40" s="1031"/>
      <c r="D40" s="1039">
        <v>1600</v>
      </c>
      <c r="E40" s="1038">
        <v>397</v>
      </c>
      <c r="F40" s="1038">
        <v>373.29999999999984</v>
      </c>
      <c r="G40" s="1038">
        <v>410.9</v>
      </c>
      <c r="H40" s="1038">
        <v>504.4</v>
      </c>
      <c r="I40" s="1039">
        <f>SUM(E40:H40)</f>
        <v>1685.6</v>
      </c>
      <c r="J40" s="1038">
        <v>361.00000000000011</v>
      </c>
      <c r="K40" s="1054">
        <f>'VOD-quarts'!L12</f>
        <v>373.9</v>
      </c>
      <c r="L40" s="1054">
        <f>'VOD-quarts'!M12</f>
        <v>412.2</v>
      </c>
      <c r="M40" s="1054">
        <f>'VOD-quarts'!N12</f>
        <v>468.1</v>
      </c>
      <c r="N40" s="1050">
        <f>VOD!H165</f>
        <v>1569.5</v>
      </c>
      <c r="O40" s="1054">
        <f>'VOD-quarts'!O12</f>
        <v>328.5</v>
      </c>
      <c r="P40" s="1054">
        <f>'VOD-quarts'!P12</f>
        <v>362</v>
      </c>
      <c r="Q40" s="1054">
        <f>'VOD-quarts'!Q12</f>
        <v>427.1</v>
      </c>
      <c r="R40" s="1054">
        <f>'VOD-quarts'!R12</f>
        <v>451.9</v>
      </c>
      <c r="S40" s="1050">
        <f>VOD!I165</f>
        <v>1606.1999999999998</v>
      </c>
      <c r="T40" s="1054">
        <f>'VOD-quarts'!S12</f>
        <v>345.1</v>
      </c>
      <c r="U40" s="1054">
        <f>'VOD-quarts'!T12</f>
        <v>398</v>
      </c>
      <c r="V40" s="1054">
        <f>'VOD-quarts'!U12</f>
        <v>466.7</v>
      </c>
      <c r="W40" s="1054">
        <f>'VOD-quarts'!V12</f>
        <v>396.4</v>
      </c>
      <c r="X40" s="1050">
        <f>VOD!I165</f>
        <v>1606.1999999999998</v>
      </c>
      <c r="Y40" s="1050">
        <f>VOD!J165</f>
        <v>1627.7879999999996</v>
      </c>
      <c r="Z40" s="1050">
        <f>VOD!K165</f>
        <v>1630.5423299999998</v>
      </c>
      <c r="AA40" s="1038"/>
      <c r="AB40" s="1031"/>
      <c r="AC40" s="1031"/>
      <c r="AD40" s="1050">
        <f>VOD!G165</f>
        <v>1615.2</v>
      </c>
      <c r="AE40" s="1031"/>
      <c r="AF40" s="1031"/>
      <c r="AG40" s="1031"/>
      <c r="AH40" s="1031"/>
    </row>
    <row r="41" spans="1:34" ht="15.75">
      <c r="A41" s="1031"/>
      <c r="B41" s="1072" t="s">
        <v>35</v>
      </c>
      <c r="C41" s="1031"/>
      <c r="D41" s="1039"/>
      <c r="E41" s="1038"/>
      <c r="F41" s="1038"/>
      <c r="G41" s="1038"/>
      <c r="H41" s="1038"/>
      <c r="I41" s="1039"/>
      <c r="J41" s="1038"/>
      <c r="K41" s="1054"/>
      <c r="L41" s="1054"/>
      <c r="M41" s="1054"/>
      <c r="N41" s="1050"/>
      <c r="O41" s="1050"/>
      <c r="P41" s="1050"/>
      <c r="Q41" s="1050"/>
      <c r="R41" s="1050"/>
      <c r="S41" s="1050"/>
      <c r="T41" s="1050"/>
      <c r="U41" s="1050"/>
      <c r="V41" s="1050"/>
      <c r="W41" s="1050"/>
      <c r="X41" s="1050"/>
      <c r="Y41" s="1050"/>
      <c r="Z41" s="1050"/>
      <c r="AA41" s="1031"/>
      <c r="AB41" s="1031"/>
      <c r="AC41" s="1031"/>
      <c r="AD41" s="1050"/>
      <c r="AE41" s="1031"/>
      <c r="AF41" s="1031"/>
      <c r="AG41" s="1031"/>
      <c r="AH41" s="1031"/>
    </row>
    <row r="42" spans="1:34" ht="15.75">
      <c r="A42" s="1031"/>
      <c r="B42" s="1071"/>
      <c r="C42" s="1031"/>
      <c r="D42" s="1032"/>
      <c r="E42" s="1031"/>
      <c r="F42" s="1031"/>
      <c r="G42" s="1031"/>
      <c r="H42" s="1031"/>
      <c r="I42" s="1032"/>
      <c r="J42" s="1031"/>
      <c r="K42" s="1031"/>
      <c r="L42" s="1031"/>
      <c r="M42" s="1031"/>
      <c r="N42" s="1032"/>
      <c r="O42" s="1032"/>
      <c r="P42" s="1032"/>
      <c r="Q42" s="1032"/>
      <c r="R42" s="1032"/>
      <c r="S42" s="1032"/>
      <c r="T42" s="1032"/>
      <c r="U42" s="1032"/>
      <c r="V42" s="1032"/>
      <c r="W42" s="1032"/>
      <c r="X42" s="1032"/>
      <c r="Y42" s="1032"/>
      <c r="Z42" s="1032"/>
      <c r="AA42" s="1031"/>
      <c r="AB42" s="1031"/>
      <c r="AC42" s="1031"/>
      <c r="AD42" s="1032"/>
      <c r="AE42" s="1031"/>
      <c r="AF42" s="1031"/>
      <c r="AG42" s="1031"/>
      <c r="AH42" s="1031"/>
    </row>
    <row r="43" spans="1:34" ht="15.75">
      <c r="A43" s="1031"/>
      <c r="B43" s="1072" t="s">
        <v>2274</v>
      </c>
      <c r="C43" s="1031"/>
      <c r="D43" s="1032"/>
      <c r="E43" s="1031"/>
      <c r="F43" s="1031"/>
      <c r="G43" s="1031"/>
      <c r="H43" s="1031"/>
      <c r="I43" s="1032"/>
      <c r="J43" s="1031"/>
      <c r="K43" s="1031"/>
      <c r="L43" s="1031"/>
      <c r="M43" s="1031"/>
      <c r="N43" s="1032"/>
      <c r="O43" s="1032"/>
      <c r="P43" s="1032"/>
      <c r="Q43" s="1032"/>
      <c r="R43" s="1032"/>
      <c r="S43" s="1032"/>
      <c r="T43" s="1032"/>
      <c r="U43" s="1032"/>
      <c r="V43" s="1032"/>
      <c r="W43" s="1032"/>
      <c r="X43" s="1032"/>
      <c r="Y43" s="1032"/>
      <c r="Z43" s="1032"/>
      <c r="AA43" s="1031"/>
      <c r="AB43" s="1031"/>
      <c r="AC43" s="1031"/>
      <c r="AD43" s="1032"/>
      <c r="AE43" s="1031"/>
      <c r="AF43" s="1031"/>
      <c r="AG43" s="1031"/>
      <c r="AH43" s="1031"/>
    </row>
    <row r="44" spans="1:34" ht="15.75">
      <c r="A44" s="1031"/>
      <c r="B44" s="1074" t="s">
        <v>2275</v>
      </c>
      <c r="C44" s="1051"/>
      <c r="D44" s="1032"/>
      <c r="E44" s="1031"/>
      <c r="F44" s="1031"/>
      <c r="G44" s="1031"/>
      <c r="H44" s="1031"/>
      <c r="I44" s="1032"/>
      <c r="J44" s="1031"/>
      <c r="K44" s="1031"/>
      <c r="L44" s="1031"/>
      <c r="M44" s="1031"/>
      <c r="N44" s="1032"/>
      <c r="O44" s="1032"/>
      <c r="P44" s="1032"/>
      <c r="Q44" s="1032"/>
      <c r="R44" s="1032"/>
      <c r="S44" s="1032"/>
      <c r="T44" s="1032"/>
      <c r="U44" s="1032"/>
      <c r="V44" s="1032"/>
      <c r="W44" s="1032"/>
      <c r="X44" s="1047"/>
      <c r="Y44" s="1032"/>
      <c r="Z44" s="1032"/>
      <c r="AA44" s="1031"/>
      <c r="AB44" s="1031"/>
      <c r="AC44" s="1031"/>
      <c r="AD44" s="1032"/>
      <c r="AE44" s="1031"/>
      <c r="AF44" s="1031"/>
      <c r="AG44" s="1031"/>
      <c r="AH44" s="1031"/>
    </row>
    <row r="45" spans="1:34" ht="15.75">
      <c r="A45" s="1031"/>
      <c r="B45" s="1075" t="s">
        <v>2276</v>
      </c>
      <c r="C45" s="1031"/>
      <c r="D45" s="1047">
        <v>4166.46</v>
      </c>
      <c r="E45" s="1038">
        <v>4255.5010000000002</v>
      </c>
      <c r="F45" s="1038">
        <v>4334.6480000000001</v>
      </c>
      <c r="G45" s="1038">
        <v>4405.6949999999997</v>
      </c>
      <c r="H45" s="1038">
        <v>4458.22</v>
      </c>
      <c r="I45" s="1047">
        <f>H45</f>
        <v>4458.22</v>
      </c>
      <c r="J45" s="1048">
        <v>4489.09</v>
      </c>
      <c r="K45" s="1058">
        <f>Interims!BP259</f>
        <v>4442.8999999999996</v>
      </c>
      <c r="L45" s="1058">
        <f>Interims!BQ259</f>
        <v>4059.39</v>
      </c>
      <c r="M45" s="1058">
        <f>Interims!BR259</f>
        <v>4059.4940000000001</v>
      </c>
      <c r="N45" s="1059">
        <f>Cable!R206</f>
        <v>4059.4940000000001</v>
      </c>
      <c r="O45" s="1058">
        <f>Interims!BT259</f>
        <v>4062.248</v>
      </c>
      <c r="P45" s="1058">
        <f>Interims!BU259</f>
        <v>3996.6570000000002</v>
      </c>
      <c r="Q45" s="1058">
        <f>Interims!BV259</f>
        <v>3941.1779999999999</v>
      </c>
      <c r="R45" s="1058">
        <f>Interims!BW259</f>
        <v>3846.518</v>
      </c>
      <c r="S45" s="1059">
        <f>Cable!S206</f>
        <v>3846.518</v>
      </c>
      <c r="T45" s="1058">
        <f>Interims!BY259</f>
        <v>3773.5360000000001</v>
      </c>
      <c r="U45" s="1058">
        <f>Interims!BZ259</f>
        <v>3720.5230000000001</v>
      </c>
      <c r="V45" s="1058">
        <f>Interims!CA259</f>
        <v>3677.8319999999999</v>
      </c>
      <c r="W45" s="1058">
        <f>Interims!CB259</f>
        <v>3646.569</v>
      </c>
      <c r="X45" s="1059">
        <f>Cable!T206</f>
        <v>3646.569</v>
      </c>
      <c r="Y45" s="1059">
        <f>Cable!U206</f>
        <v>3466.569</v>
      </c>
      <c r="Z45" s="1059">
        <f>Cable!V206</f>
        <v>3316.569</v>
      </c>
      <c r="AA45" s="1031"/>
      <c r="AB45" s="1031"/>
      <c r="AC45" s="1031"/>
      <c r="AD45" s="1059">
        <f>M45</f>
        <v>4059.4940000000001</v>
      </c>
      <c r="AE45" s="1031"/>
      <c r="AF45" s="1031"/>
      <c r="AG45" s="1031"/>
      <c r="AH45" s="1031"/>
    </row>
    <row r="46" spans="1:34" ht="15.75">
      <c r="A46" s="1031"/>
      <c r="B46" s="1076" t="s">
        <v>2277</v>
      </c>
      <c r="C46" s="1060"/>
      <c r="D46" s="1061"/>
      <c r="E46" s="1062"/>
      <c r="F46" s="1062"/>
      <c r="G46" s="1062"/>
      <c r="H46" s="1062"/>
      <c r="I46" s="1061">
        <f>IF(I45="",0,(I45-D45))</f>
        <v>291.76000000000022</v>
      </c>
      <c r="J46" s="1062"/>
      <c r="K46" s="1062">
        <f>IF(K45="",0,(K45-E45))</f>
        <v>187.39899999999943</v>
      </c>
      <c r="L46" s="1062">
        <f>IF(L45="",0,(L45-F45))</f>
        <v>-275.25800000000027</v>
      </c>
      <c r="M46" s="1062">
        <f>IF(M45="",0,(M45-G45))</f>
        <v>-346.20099999999957</v>
      </c>
      <c r="N46" s="1061">
        <f>IF(N45="",0,(N45-AD45))</f>
        <v>0</v>
      </c>
      <c r="O46" s="1062">
        <f>O45-N45</f>
        <v>2.7539999999999054</v>
      </c>
      <c r="P46" s="1062">
        <f t="shared" ref="P46:W46" si="5">P45-O45</f>
        <v>-65.590999999999894</v>
      </c>
      <c r="Q46" s="1062">
        <f t="shared" si="5"/>
        <v>-55.479000000000269</v>
      </c>
      <c r="R46" s="1062">
        <f t="shared" si="5"/>
        <v>-94.659999999999854</v>
      </c>
      <c r="S46" s="1061">
        <f>IF(S45="",0,(S45-N45))</f>
        <v>-212.97600000000011</v>
      </c>
      <c r="T46" s="1062">
        <f t="shared" si="5"/>
        <v>-72.981999999999971</v>
      </c>
      <c r="U46" s="1062">
        <f t="shared" si="5"/>
        <v>-53.01299999999992</v>
      </c>
      <c r="V46" s="1062">
        <f t="shared" si="5"/>
        <v>-42.691000000000258</v>
      </c>
      <c r="W46" s="1062">
        <f t="shared" si="5"/>
        <v>-31.26299999999992</v>
      </c>
      <c r="X46" s="1061">
        <f>IF(X45="",0,(X45-S45))</f>
        <v>-199.94900000000007</v>
      </c>
      <c r="Y46" s="1061">
        <f>IF(Y45="",0,(Y45-X45))</f>
        <v>-180</v>
      </c>
      <c r="Z46" s="1061">
        <f>IF(Z45="",0,(Z45-Y45))</f>
        <v>-150</v>
      </c>
      <c r="AA46" s="1031"/>
      <c r="AB46" s="1031"/>
      <c r="AC46" s="1031"/>
      <c r="AD46" s="1061">
        <f>IF(AD45="",0,(AD45-D45))</f>
        <v>-106.96599999999989</v>
      </c>
      <c r="AE46" s="1031"/>
      <c r="AF46" s="1031"/>
      <c r="AG46" s="1031"/>
      <c r="AH46" s="1031"/>
    </row>
    <row r="47" spans="1:34" ht="15.75">
      <c r="A47" s="1031"/>
      <c r="B47" s="1071"/>
      <c r="C47" s="1051"/>
      <c r="D47" s="1063"/>
      <c r="E47" s="1064"/>
      <c r="F47" s="1064"/>
      <c r="G47" s="1064"/>
      <c r="H47" s="1064"/>
      <c r="I47" s="1063"/>
      <c r="J47" s="1064"/>
      <c r="K47" s="1064"/>
      <c r="L47" s="1064"/>
      <c r="M47" s="1064"/>
      <c r="N47" s="1063"/>
      <c r="O47" s="1064"/>
      <c r="P47" s="1064"/>
      <c r="Q47" s="1064"/>
      <c r="R47" s="1064"/>
      <c r="S47" s="1063"/>
      <c r="T47" s="1064"/>
      <c r="U47" s="1064"/>
      <c r="V47" s="1064"/>
      <c r="W47" s="1064"/>
      <c r="X47" s="1063"/>
      <c r="Y47" s="1063"/>
      <c r="Z47" s="1063"/>
      <c r="AA47" s="1031"/>
      <c r="AB47" s="1031"/>
      <c r="AC47" s="1031"/>
      <c r="AD47" s="1063"/>
      <c r="AE47" s="1031"/>
      <c r="AF47" s="1031"/>
      <c r="AG47" s="1031"/>
      <c r="AH47" s="1031"/>
    </row>
    <row r="48" spans="1:34" ht="15.75">
      <c r="A48" s="1031"/>
      <c r="B48" s="1075" t="s">
        <v>2278</v>
      </c>
      <c r="C48" s="1031"/>
      <c r="D48" s="1047">
        <v>5649.1019999999999</v>
      </c>
      <c r="E48" s="1048">
        <v>5732.0259999999998</v>
      </c>
      <c r="F48" s="1048">
        <v>5809.59</v>
      </c>
      <c r="G48" s="1048">
        <v>5905.8239999999996</v>
      </c>
      <c r="H48" s="1048">
        <v>5984.1509999999998</v>
      </c>
      <c r="I48" s="1047">
        <f>H48</f>
        <v>5984.1509999999998</v>
      </c>
      <c r="J48" s="1038">
        <v>6068.8620000000001</v>
      </c>
      <c r="K48" s="1058">
        <f>Interims!BP260</f>
        <v>6031.0990000000002</v>
      </c>
      <c r="L48" s="1058">
        <f>Interims!BQ260</f>
        <v>5677.8360000000002</v>
      </c>
      <c r="M48" s="1058">
        <f>Interims!BR260</f>
        <v>5678.4309999999996</v>
      </c>
      <c r="N48" s="1059">
        <f>Cable!R205</f>
        <v>5678.4309999999996</v>
      </c>
      <c r="O48" s="1058">
        <f>Interims!BT260</f>
        <v>5689.143</v>
      </c>
      <c r="P48" s="1058">
        <f>Interims!BU260</f>
        <v>5699.8239999999996</v>
      </c>
      <c r="Q48" s="1058">
        <f>Interims!BV260</f>
        <v>5711.1689999999999</v>
      </c>
      <c r="R48" s="1058">
        <f>Interims!BW260</f>
        <v>5626.2060000000001</v>
      </c>
      <c r="S48" s="1059">
        <f>Cable!S205</f>
        <v>5626.2060000000001</v>
      </c>
      <c r="T48" s="1058">
        <f>Interims!BY260</f>
        <v>5620.4440000000004</v>
      </c>
      <c r="U48" s="1058">
        <f>Interims!BZ260</f>
        <v>5626.8249999999998</v>
      </c>
      <c r="V48" s="1058">
        <f>Interims!CA260</f>
        <v>5648.4080000000004</v>
      </c>
      <c r="W48" s="1058">
        <f>Interims!CB260</f>
        <v>5673.1229999999996</v>
      </c>
      <c r="X48" s="1059">
        <f>Cable!T205</f>
        <v>5668</v>
      </c>
      <c r="Y48" s="1059">
        <f>Cable!U205</f>
        <v>5713</v>
      </c>
      <c r="Z48" s="1059">
        <f>Cable!V205</f>
        <v>5763</v>
      </c>
      <c r="AA48" s="1031"/>
      <c r="AB48" s="1031"/>
      <c r="AC48" s="1031"/>
      <c r="AD48" s="1059">
        <f>M48</f>
        <v>5678.4309999999996</v>
      </c>
      <c r="AE48" s="1031"/>
      <c r="AF48" s="1031"/>
      <c r="AG48" s="1031"/>
      <c r="AH48" s="1031"/>
    </row>
    <row r="49" spans="1:34" ht="15.75">
      <c r="A49" s="1031"/>
      <c r="B49" s="1076" t="s">
        <v>2279</v>
      </c>
      <c r="C49" s="1060"/>
      <c r="D49" s="1061"/>
      <c r="E49" s="1062"/>
      <c r="F49" s="1062"/>
      <c r="G49" s="1062"/>
      <c r="H49" s="1062"/>
      <c r="I49" s="1061">
        <f>IF(I48="",0,(I48-D48))</f>
        <v>335.04899999999998</v>
      </c>
      <c r="J49" s="1062"/>
      <c r="K49" s="1062">
        <f>IF(K48="",0,(K48-E48))</f>
        <v>299.07300000000032</v>
      </c>
      <c r="L49" s="1062">
        <f>IF(L48="",0,(L48-F48))</f>
        <v>-131.75399999999991</v>
      </c>
      <c r="M49" s="1062">
        <f>IF(M48="",0,(M48-G48))</f>
        <v>-227.39300000000003</v>
      </c>
      <c r="N49" s="1061">
        <f>IF(N48="",0,(N48-AD48))</f>
        <v>0</v>
      </c>
      <c r="O49" s="1062">
        <f>O48-N48</f>
        <v>10.712000000000444</v>
      </c>
      <c r="P49" s="1062">
        <f>P48-O48</f>
        <v>10.680999999999585</v>
      </c>
      <c r="Q49" s="1062">
        <f>Q48-P48</f>
        <v>11.345000000000255</v>
      </c>
      <c r="R49" s="1062">
        <f t="shared" ref="R49:W49" si="6">R48-Q48</f>
        <v>-84.962999999999738</v>
      </c>
      <c r="S49" s="1061">
        <f>IF(S48="",0,(S48-N48))</f>
        <v>-52.224999999999454</v>
      </c>
      <c r="T49" s="1062">
        <f t="shared" si="6"/>
        <v>-5.7619999999997162</v>
      </c>
      <c r="U49" s="1062">
        <f t="shared" si="6"/>
        <v>6.3809999999994034</v>
      </c>
      <c r="V49" s="1062">
        <f t="shared" si="6"/>
        <v>21.583000000000538</v>
      </c>
      <c r="W49" s="1062">
        <f t="shared" si="6"/>
        <v>24.714999999999236</v>
      </c>
      <c r="X49" s="1061">
        <f>IF(X48="",0,(X48-S48))</f>
        <v>41.793999999999869</v>
      </c>
      <c r="Y49" s="1061">
        <f>IF(Y48="",0,(Y48-X48))</f>
        <v>45</v>
      </c>
      <c r="Z49" s="1061">
        <f>IF(Z48="",0,(Z48-Y48))</f>
        <v>50</v>
      </c>
      <c r="AA49" s="1031"/>
      <c r="AB49" s="1031"/>
      <c r="AC49" s="1031"/>
      <c r="AD49" s="1061">
        <f>IF(AD48="",0,(AD48-D48))</f>
        <v>29.328999999999724</v>
      </c>
      <c r="AE49" s="1031"/>
      <c r="AF49" s="1031"/>
      <c r="AG49" s="1031"/>
      <c r="AH49" s="1031"/>
    </row>
    <row r="50" spans="1:34" ht="15.75">
      <c r="A50" s="1031"/>
      <c r="B50" s="1071"/>
      <c r="C50" s="1051"/>
      <c r="D50" s="1063"/>
      <c r="E50" s="1064"/>
      <c r="F50" s="1064"/>
      <c r="G50" s="1064"/>
      <c r="H50" s="1064"/>
      <c r="I50" s="1063"/>
      <c r="J50" s="1064"/>
      <c r="K50" s="1064"/>
      <c r="L50" s="1064"/>
      <c r="M50" s="1064"/>
      <c r="N50" s="1063"/>
      <c r="O50" s="1064"/>
      <c r="P50" s="1064"/>
      <c r="Q50" s="1064"/>
      <c r="R50" s="1064"/>
      <c r="S50" s="1063"/>
      <c r="T50" s="1064"/>
      <c r="U50" s="1064"/>
      <c r="V50" s="1064"/>
      <c r="W50" s="1064"/>
      <c r="X50" s="1063"/>
      <c r="Y50" s="1063"/>
      <c r="Z50" s="1063"/>
      <c r="AA50" s="1031"/>
      <c r="AB50" s="1031"/>
      <c r="AC50" s="1031"/>
      <c r="AD50" s="1063"/>
      <c r="AE50" s="1031"/>
      <c r="AF50" s="1031"/>
      <c r="AG50" s="1031"/>
      <c r="AH50" s="1031"/>
    </row>
    <row r="51" spans="1:34" ht="15.75">
      <c r="A51" s="1031"/>
      <c r="B51" s="1075" t="s">
        <v>2280</v>
      </c>
      <c r="C51" s="1031"/>
      <c r="D51" s="1047">
        <v>4617.2650000000003</v>
      </c>
      <c r="E51" s="1048">
        <v>4764.5919999999996</v>
      </c>
      <c r="F51" s="1048">
        <v>4911.7269999999999</v>
      </c>
      <c r="G51" s="1048">
        <v>5064.0749999999998</v>
      </c>
      <c r="H51" s="1048">
        <v>5233.7240000000002</v>
      </c>
      <c r="I51" s="1047">
        <f>H51</f>
        <v>5233.7240000000002</v>
      </c>
      <c r="J51" s="1048">
        <v>5408.56</v>
      </c>
      <c r="K51" s="1058">
        <f>Interims!BP261</f>
        <v>5466.0339999999997</v>
      </c>
      <c r="L51" s="1058">
        <f>Interims!BQ261</f>
        <v>5350.7569999999996</v>
      </c>
      <c r="M51" s="1058">
        <f>Interims!BR261</f>
        <v>5351.1450000000004</v>
      </c>
      <c r="N51" s="1059">
        <f>Cable!R204</f>
        <v>5351.1450000000004</v>
      </c>
      <c r="O51" s="1058">
        <f>Interims!BT261</f>
        <v>5355.45</v>
      </c>
      <c r="P51" s="1058">
        <f>Interims!BU261</f>
        <v>5389.3050000000003</v>
      </c>
      <c r="Q51" s="1058">
        <f>Interims!BV261</f>
        <v>5418.27</v>
      </c>
      <c r="R51" s="1058">
        <f>Interims!BW261</f>
        <v>5382.9489999999996</v>
      </c>
      <c r="S51" s="1059">
        <f>Cable!S204</f>
        <v>5382.9489999999996</v>
      </c>
      <c r="T51" s="1058">
        <f>Interims!BY261</f>
        <v>5444.68</v>
      </c>
      <c r="U51" s="1058">
        <f>Interims!BZ261</f>
        <v>5472.1940000000004</v>
      </c>
      <c r="V51" s="1058">
        <f>Interims!CA261</f>
        <v>5512.8819999999996</v>
      </c>
      <c r="W51" s="1058">
        <f>Interims!CB261</f>
        <v>5552.3130000000001</v>
      </c>
      <c r="X51" s="1059">
        <f>Cable!T204</f>
        <v>5533</v>
      </c>
      <c r="Y51" s="1059">
        <f>Cable!U204</f>
        <v>5608</v>
      </c>
      <c r="Z51" s="1059">
        <f>Cable!V204</f>
        <v>5658</v>
      </c>
      <c r="AA51" s="1031"/>
      <c r="AB51" s="1031"/>
      <c r="AC51" s="1031"/>
      <c r="AD51" s="1059">
        <f>M51</f>
        <v>5351.1450000000004</v>
      </c>
      <c r="AE51" s="1031"/>
      <c r="AF51" s="1031"/>
      <c r="AG51" s="1031"/>
      <c r="AH51" s="1031"/>
    </row>
    <row r="52" spans="1:34" ht="15.75">
      <c r="A52" s="1031"/>
      <c r="B52" s="1076" t="s">
        <v>2281</v>
      </c>
      <c r="C52" s="1060"/>
      <c r="D52" s="1061"/>
      <c r="E52" s="1062"/>
      <c r="F52" s="1062"/>
      <c r="G52" s="1062"/>
      <c r="H52" s="1062"/>
      <c r="I52" s="1061">
        <f>IF(I51="",0,(I51-D51))</f>
        <v>616.45899999999983</v>
      </c>
      <c r="J52" s="1062"/>
      <c r="K52" s="1062">
        <f>IF(K51="",0,(K51-E51))</f>
        <v>701.44200000000001</v>
      </c>
      <c r="L52" s="1062">
        <f>IF(L51="",0,(L51-F51))</f>
        <v>439.02999999999975</v>
      </c>
      <c r="M52" s="1062">
        <f>IF(M51="",0,(M51-G51))</f>
        <v>287.07000000000062</v>
      </c>
      <c r="N52" s="1061">
        <f>IF(N51="",0,(N51-AD51))</f>
        <v>0</v>
      </c>
      <c r="O52" s="1062">
        <f>O51-N51</f>
        <v>4.3049999999993815</v>
      </c>
      <c r="P52" s="1062">
        <f>P51-O51</f>
        <v>33.855000000000473</v>
      </c>
      <c r="Q52" s="1062">
        <f>Q51-P51</f>
        <v>28.965000000000146</v>
      </c>
      <c r="R52" s="1062">
        <f t="shared" ref="R52:W52" si="7">R51-Q51</f>
        <v>-35.321000000000822</v>
      </c>
      <c r="S52" s="1061">
        <f>IF(S51="",0,(S51-N51))</f>
        <v>31.803999999999178</v>
      </c>
      <c r="T52" s="1062">
        <f t="shared" si="7"/>
        <v>61.731000000000677</v>
      </c>
      <c r="U52" s="1062">
        <f t="shared" si="7"/>
        <v>27.514000000000124</v>
      </c>
      <c r="V52" s="1062">
        <f t="shared" si="7"/>
        <v>40.687999999999192</v>
      </c>
      <c r="W52" s="1062">
        <f t="shared" si="7"/>
        <v>39.431000000000495</v>
      </c>
      <c r="X52" s="1061">
        <f>IF(X51="",0,(X51-S51))</f>
        <v>150.05100000000039</v>
      </c>
      <c r="Y52" s="1061">
        <f>IF(Y51="",0,(Y51-X51))</f>
        <v>75</v>
      </c>
      <c r="Z52" s="1061">
        <f>IF(Z51="",0,(Z51-Y51))</f>
        <v>50</v>
      </c>
      <c r="AA52" s="1031"/>
      <c r="AB52" s="1031"/>
      <c r="AC52" s="1031"/>
      <c r="AD52" s="1061">
        <f>IF(AD51="",0,(AD51-D51))</f>
        <v>733.88000000000011</v>
      </c>
      <c r="AE52" s="1031"/>
      <c r="AF52" s="1031"/>
      <c r="AG52" s="1031"/>
      <c r="AH52" s="1031"/>
    </row>
    <row r="53" spans="1:34" ht="15.75">
      <c r="A53" s="1031"/>
      <c r="B53" s="1071"/>
      <c r="C53" s="1051"/>
      <c r="D53" s="1063"/>
      <c r="E53" s="1064"/>
      <c r="F53" s="1064"/>
      <c r="G53" s="1064"/>
      <c r="H53" s="1064"/>
      <c r="I53" s="1063"/>
      <c r="J53" s="1064"/>
      <c r="K53" s="1064"/>
      <c r="L53" s="1064"/>
      <c r="M53" s="1064"/>
      <c r="N53" s="1063"/>
      <c r="O53" s="1064"/>
      <c r="P53" s="1064"/>
      <c r="Q53" s="1064"/>
      <c r="R53" s="1064"/>
      <c r="S53" s="1063"/>
      <c r="T53" s="1064"/>
      <c r="U53" s="1064"/>
      <c r="V53" s="1064"/>
      <c r="W53" s="1064"/>
      <c r="X53" s="1063"/>
      <c r="Y53" s="1063"/>
      <c r="Z53" s="1063"/>
      <c r="AA53" s="1031"/>
      <c r="AB53" s="1031"/>
      <c r="AC53" s="1031"/>
      <c r="AD53" s="1063"/>
      <c r="AE53" s="1031"/>
      <c r="AF53" s="1031"/>
      <c r="AG53" s="1031"/>
      <c r="AH53" s="1031"/>
    </row>
    <row r="54" spans="1:34" ht="15.75">
      <c r="A54" s="1031"/>
      <c r="B54" s="1075" t="s">
        <v>2282</v>
      </c>
      <c r="C54" s="1031"/>
      <c r="D54" s="1047">
        <v>156.05099999999999</v>
      </c>
      <c r="E54" s="1048">
        <v>172.97800000000001</v>
      </c>
      <c r="F54" s="1048">
        <v>194.35400000000001</v>
      </c>
      <c r="G54" s="1048">
        <v>213.52699999999999</v>
      </c>
      <c r="H54" s="1048">
        <v>240.20699999999999</v>
      </c>
      <c r="I54" s="1047">
        <f>H54</f>
        <v>240.20699999999999</v>
      </c>
      <c r="J54" s="1048">
        <v>264.31299999999999</v>
      </c>
      <c r="K54" s="1058">
        <f>Interims!BP262</f>
        <v>285.39800000000002</v>
      </c>
      <c r="L54" s="1058">
        <f>Interims!BQ262</f>
        <v>299.29199999999997</v>
      </c>
      <c r="M54" s="1058">
        <f>Interims!BR262</f>
        <v>307.80700000000002</v>
      </c>
      <c r="N54" s="1059">
        <f>Mobile!N8</f>
        <v>308</v>
      </c>
      <c r="O54" s="1058">
        <f>Interims!BT262</f>
        <v>317.92399999999998</v>
      </c>
      <c r="P54" s="1058">
        <f>Interims!BU262</f>
        <v>327.40600000000001</v>
      </c>
      <c r="Q54" s="1058">
        <f>Interims!BV262</f>
        <v>322.95699999999999</v>
      </c>
      <c r="R54" s="1058">
        <f>Interims!BW262</f>
        <v>333.97300000000001</v>
      </c>
      <c r="S54" s="1059">
        <f>Mobile!O8</f>
        <v>333.97300000000001</v>
      </c>
      <c r="T54" s="1058">
        <f>Interims!BY262</f>
        <v>380.11200000000002</v>
      </c>
      <c r="U54" s="1058">
        <f>Interims!BZ262</f>
        <v>463.601</v>
      </c>
      <c r="V54" s="1058">
        <f>Interims!CA262</f>
        <v>557.60799999999995</v>
      </c>
      <c r="W54" s="1058">
        <f>Interims!CB262</f>
        <v>652.86</v>
      </c>
      <c r="X54" s="1059">
        <f>Mobile!P8</f>
        <v>652.86</v>
      </c>
      <c r="Y54" s="1059">
        <f>Mobile!Q8</f>
        <v>1033</v>
      </c>
      <c r="Z54" s="1059">
        <f>Mobile!R8</f>
        <v>1383</v>
      </c>
      <c r="AA54" s="1031"/>
      <c r="AB54" s="1031"/>
      <c r="AC54" s="1031"/>
      <c r="AD54" s="1059">
        <f>M54</f>
        <v>307.80700000000002</v>
      </c>
      <c r="AE54" s="1031"/>
      <c r="AF54" s="1031"/>
      <c r="AG54" s="1031"/>
      <c r="AH54" s="1031"/>
    </row>
    <row r="55" spans="1:34" ht="15.75">
      <c r="A55" s="1031"/>
      <c r="B55" s="1076" t="s">
        <v>2283</v>
      </c>
      <c r="C55" s="1060"/>
      <c r="D55" s="1061"/>
      <c r="E55" s="1062"/>
      <c r="F55" s="1062"/>
      <c r="G55" s="1062"/>
      <c r="H55" s="1062"/>
      <c r="I55" s="1061">
        <f>IF(I54="",0,(I54-D54))</f>
        <v>84.156000000000006</v>
      </c>
      <c r="J55" s="1062"/>
      <c r="K55" s="1062">
        <f>IF(K54="",0,(K54-E54))</f>
        <v>112.42000000000002</v>
      </c>
      <c r="L55" s="1062">
        <f>IF(L54="",0,(L54-F54))</f>
        <v>104.93799999999996</v>
      </c>
      <c r="M55" s="1062">
        <f>IF(M54="",0,(M54-G54))</f>
        <v>94.28000000000003</v>
      </c>
      <c r="N55" s="1061">
        <f>IF(N54="",0,(N54-AD54))</f>
        <v>0.19299999999998363</v>
      </c>
      <c r="O55" s="1062">
        <f>O54-N54</f>
        <v>9.9239999999999782</v>
      </c>
      <c r="P55" s="1062">
        <f>P54-O54</f>
        <v>9.4820000000000277</v>
      </c>
      <c r="Q55" s="1062">
        <f>Q54-P54</f>
        <v>-4.4490000000000123</v>
      </c>
      <c r="R55" s="1062">
        <f t="shared" ref="R55:W55" si="8">R54-Q54</f>
        <v>11.01600000000002</v>
      </c>
      <c r="S55" s="1061">
        <f>IF(S54="",0,(S54-N54))</f>
        <v>25.973000000000013</v>
      </c>
      <c r="T55" s="1062">
        <f t="shared" si="8"/>
        <v>46.13900000000001</v>
      </c>
      <c r="U55" s="1062">
        <f t="shared" si="8"/>
        <v>83.488999999999976</v>
      </c>
      <c r="V55" s="1062">
        <f t="shared" si="8"/>
        <v>94.006999999999948</v>
      </c>
      <c r="W55" s="1062">
        <f t="shared" si="8"/>
        <v>95.252000000000066</v>
      </c>
      <c r="X55" s="1061">
        <f>IF(X54="",0,(X54-S54))</f>
        <v>318.887</v>
      </c>
      <c r="Y55" s="1061">
        <f>IF(Y54="",0,(Y54-X54))</f>
        <v>380.14</v>
      </c>
      <c r="Z55" s="1061">
        <f>IF(Z54="",0,(Z54-Y54))</f>
        <v>350</v>
      </c>
      <c r="AA55" s="1031"/>
      <c r="AB55" s="1031"/>
      <c r="AC55" s="1031"/>
      <c r="AD55" s="1061">
        <f>IF(AD54="",0,(AD54-D54))</f>
        <v>151.75600000000003</v>
      </c>
      <c r="AE55" s="1031"/>
      <c r="AF55" s="1031"/>
      <c r="AG55" s="1031"/>
      <c r="AH55" s="1031"/>
    </row>
    <row r="56" spans="1:34" ht="15.75">
      <c r="A56" s="1031"/>
      <c r="B56" s="1071"/>
      <c r="C56" s="1031"/>
      <c r="D56" s="1032"/>
      <c r="E56" s="1031"/>
      <c r="F56" s="1031"/>
      <c r="G56" s="1031"/>
      <c r="H56" s="1031"/>
      <c r="I56" s="1032"/>
      <c r="J56" s="1031"/>
      <c r="K56" s="1031"/>
      <c r="L56" s="1031"/>
      <c r="M56" s="1031"/>
      <c r="N56" s="1032"/>
      <c r="O56" s="1031"/>
      <c r="P56" s="1031"/>
      <c r="Q56" s="1031"/>
      <c r="R56" s="1031"/>
      <c r="S56" s="1032"/>
      <c r="T56" s="1031"/>
      <c r="U56" s="1031"/>
      <c r="V56" s="1031"/>
      <c r="W56" s="1031"/>
      <c r="X56" s="1032"/>
      <c r="Y56" s="1032"/>
      <c r="Z56" s="1032"/>
      <c r="AA56" s="1031"/>
      <c r="AB56" s="1031"/>
      <c r="AC56" s="1031"/>
      <c r="AD56" s="1032"/>
      <c r="AE56" s="1031"/>
      <c r="AF56" s="1031"/>
      <c r="AG56" s="1031"/>
      <c r="AH56" s="1031"/>
    </row>
    <row r="57" spans="1:34" ht="15.75">
      <c r="A57" s="1031"/>
      <c r="B57" s="1074" t="s">
        <v>2284</v>
      </c>
      <c r="C57" s="1051"/>
      <c r="D57" s="1032"/>
      <c r="E57" s="1031"/>
      <c r="F57" s="1031"/>
      <c r="G57" s="1031"/>
      <c r="H57" s="1031"/>
      <c r="I57" s="1032"/>
      <c r="J57" s="1031"/>
      <c r="K57" s="1031"/>
      <c r="L57" s="1031"/>
      <c r="M57" s="1031"/>
      <c r="N57" s="1032"/>
      <c r="O57" s="1031"/>
      <c r="P57" s="1031"/>
      <c r="Q57" s="1031"/>
      <c r="R57" s="1031"/>
      <c r="S57" s="1032"/>
      <c r="T57" s="1031"/>
      <c r="U57" s="1031"/>
      <c r="V57" s="1031"/>
      <c r="W57" s="1031"/>
      <c r="X57" s="1032"/>
      <c r="Y57" s="1032"/>
      <c r="Z57" s="1032"/>
      <c r="AA57" s="1031"/>
      <c r="AB57" s="1031"/>
      <c r="AC57" s="1031"/>
      <c r="AD57" s="1032"/>
      <c r="AE57" s="1031"/>
      <c r="AF57" s="1031"/>
      <c r="AG57" s="1031"/>
      <c r="AH57" s="1031"/>
    </row>
    <row r="58" spans="1:34" ht="15.75">
      <c r="A58" s="1031"/>
      <c r="B58" s="1075" t="s">
        <v>2285</v>
      </c>
      <c r="C58" s="1031"/>
      <c r="D58" s="1047">
        <v>7408.0749999999998</v>
      </c>
      <c r="E58" s="1048">
        <v>7487.3710000000001</v>
      </c>
      <c r="F58" s="1048">
        <v>7019.3689999999997</v>
      </c>
      <c r="G58" s="1048">
        <v>6638.6019999999999</v>
      </c>
      <c r="H58" s="1048">
        <v>6257.0590000000002</v>
      </c>
      <c r="I58" s="1047">
        <f>H58</f>
        <v>6257.0590000000002</v>
      </c>
      <c r="J58" s="1048">
        <v>6073.3220000000001</v>
      </c>
      <c r="K58" s="1058"/>
      <c r="L58" s="1058"/>
      <c r="M58" s="1058"/>
      <c r="N58" s="1059">
        <f>'SKY Mex'!S60+170</f>
        <v>6257.0590000000002</v>
      </c>
      <c r="O58" s="1058"/>
      <c r="P58" s="1058"/>
      <c r="Q58" s="1058"/>
      <c r="R58" s="1058"/>
      <c r="S58" s="1059">
        <f>'SKY Mex'!U60</f>
        <v>4696</v>
      </c>
      <c r="T58" s="1058"/>
      <c r="U58" s="1058"/>
      <c r="V58" s="1058"/>
      <c r="W58" s="1058"/>
      <c r="X58" s="1059">
        <f>'SKY Mex'!V60</f>
        <v>4423.2719944281507</v>
      </c>
      <c r="Y58" s="1059">
        <f>'SKY Mex'!W60</f>
        <v>4217.4389465394606</v>
      </c>
      <c r="Z58" s="1059">
        <f>'SKY Mex'!X60</f>
        <v>4101.2751622110773</v>
      </c>
      <c r="AA58" s="1031"/>
      <c r="AB58" s="1031"/>
      <c r="AC58" s="1031"/>
      <c r="AD58" s="1059">
        <f>'SKY Mex'!R60+170</f>
        <v>7408</v>
      </c>
      <c r="AE58" s="1031"/>
      <c r="AF58" s="1031"/>
      <c r="AG58" s="1031"/>
      <c r="AH58" s="1031"/>
    </row>
    <row r="59" spans="1:34" ht="15.75">
      <c r="A59" s="1031"/>
      <c r="B59" s="1076" t="s">
        <v>2286</v>
      </c>
      <c r="C59" s="1060"/>
      <c r="D59" s="1061"/>
      <c r="E59" s="1062"/>
      <c r="F59" s="1062"/>
      <c r="G59" s="1062"/>
      <c r="H59" s="1062"/>
      <c r="I59" s="1061">
        <f>IF(I58="",0,(I58-D58))</f>
        <v>-1151.0159999999996</v>
      </c>
      <c r="J59" s="1062"/>
      <c r="K59" s="1062">
        <f>IF(K58="",0,(K58-E58))</f>
        <v>0</v>
      </c>
      <c r="L59" s="1062">
        <f>IF(L58="",0,(L58-F58))</f>
        <v>0</v>
      </c>
      <c r="M59" s="1062">
        <f>IF(M58="",0,(M58-G58))</f>
        <v>0</v>
      </c>
      <c r="N59" s="1061">
        <f>IF(N58="",0,(N58-AD58))</f>
        <v>-1150.9409999999998</v>
      </c>
      <c r="O59" s="1062">
        <f>IF(O58="",0,(O58-I58))</f>
        <v>0</v>
      </c>
      <c r="P59" s="1062">
        <f>IF(P58="",0,(P58-J58))</f>
        <v>0</v>
      </c>
      <c r="Q59" s="1062">
        <f>IF(Q58="",0,(Q58-K58))</f>
        <v>0</v>
      </c>
      <c r="R59" s="1062">
        <f>IF(R58="",0,(R58-L58))</f>
        <v>0</v>
      </c>
      <c r="S59" s="1061">
        <f>IF(S58="",0,(S58-N58))</f>
        <v>-1561.0590000000002</v>
      </c>
      <c r="T59" s="1062">
        <f>IF(T58="",0,(T58-N58))</f>
        <v>0</v>
      </c>
      <c r="U59" s="1062">
        <f>IF(U58="",0,(U58-O58))</f>
        <v>0</v>
      </c>
      <c r="V59" s="1062">
        <f>IF(V58="",0,(V58-P58))</f>
        <v>0</v>
      </c>
      <c r="W59" s="1062">
        <f>IF(W58="",0,(W58-Q58))</f>
        <v>0</v>
      </c>
      <c r="X59" s="1061">
        <f>IF(X58="",0,(X58-S58))</f>
        <v>-272.72800557184928</v>
      </c>
      <c r="Y59" s="1061">
        <f>IF(Y58="",0,(Y58-X58))</f>
        <v>-205.83304788869009</v>
      </c>
      <c r="Z59" s="1061">
        <f>IF(Z58="",0,(Z58-Y58))</f>
        <v>-116.16378432838337</v>
      </c>
      <c r="AA59" s="1031"/>
      <c r="AB59" s="1031"/>
      <c r="AC59" s="1031"/>
      <c r="AD59" s="1061">
        <f>IF(AD58="",0,(AD58-D58))</f>
        <v>-7.4999999999818101E-2</v>
      </c>
      <c r="AE59" s="1031"/>
      <c r="AF59" s="1031"/>
      <c r="AG59" s="1031"/>
      <c r="AH59" s="1031"/>
    </row>
    <row r="60" spans="1:34" ht="15.75">
      <c r="A60" s="1031"/>
      <c r="B60" s="1071"/>
      <c r="C60" s="1051"/>
      <c r="D60" s="1032"/>
      <c r="E60" s="1031"/>
      <c r="F60" s="1031"/>
      <c r="G60" s="1031"/>
      <c r="H60" s="1031"/>
      <c r="I60" s="1032"/>
      <c r="J60" s="1031"/>
      <c r="K60" s="1031"/>
      <c r="L60" s="1031"/>
      <c r="M60" s="1031"/>
      <c r="N60" s="1032"/>
      <c r="O60" s="1031"/>
      <c r="P60" s="1031"/>
      <c r="Q60" s="1031"/>
      <c r="R60" s="1031"/>
      <c r="S60" s="1032"/>
      <c r="T60" s="1031"/>
      <c r="U60" s="1031"/>
      <c r="V60" s="1031"/>
      <c r="W60" s="1031"/>
      <c r="X60" s="1032"/>
      <c r="Y60" s="1032"/>
      <c r="Z60" s="1032"/>
      <c r="AA60" s="1031"/>
      <c r="AB60" s="1031"/>
      <c r="AC60" s="1031"/>
      <c r="AD60" s="1032"/>
      <c r="AE60" s="1031"/>
      <c r="AF60" s="1031"/>
      <c r="AG60" s="1031"/>
      <c r="AH60" s="1031"/>
    </row>
    <row r="61" spans="1:34" ht="15.75">
      <c r="A61" s="1031"/>
      <c r="B61" s="1075" t="s">
        <v>2287</v>
      </c>
      <c r="C61" s="1031"/>
      <c r="D61" s="1047">
        <v>727.226</v>
      </c>
      <c r="E61" s="1048">
        <v>719.22299999999996</v>
      </c>
      <c r="F61" s="1048">
        <v>692.76700000000005</v>
      </c>
      <c r="G61" s="1048">
        <v>667.01300000000003</v>
      </c>
      <c r="H61" s="1048">
        <v>640.29399999999998</v>
      </c>
      <c r="I61" s="1047">
        <f>H61</f>
        <v>640.29399999999998</v>
      </c>
      <c r="J61" s="1048">
        <v>608.12199999999996</v>
      </c>
      <c r="K61" s="1058"/>
      <c r="L61" s="1058"/>
      <c r="M61" s="1058"/>
      <c r="N61" s="1059">
        <f>'SKY Mex'!T116</f>
        <v>515.08900000000006</v>
      </c>
      <c r="O61" s="1058"/>
      <c r="P61" s="1058"/>
      <c r="Q61" s="1058"/>
      <c r="R61" s="1058"/>
      <c r="S61" s="1059">
        <f>'SKY Mex'!U116</f>
        <v>350.88499999999999</v>
      </c>
      <c r="T61" s="1058"/>
      <c r="U61" s="1058"/>
      <c r="V61" s="1058"/>
      <c r="W61" s="1058"/>
      <c r="X61" s="1059">
        <f>'SKY Mex'!V116</f>
        <v>225.376</v>
      </c>
      <c r="Y61" s="1059">
        <f>'SKY Mex'!W116</f>
        <v>125</v>
      </c>
      <c r="Z61" s="1059">
        <f>'SKY Mex'!X116</f>
        <v>60</v>
      </c>
      <c r="AA61" s="1031"/>
      <c r="AB61" s="1031"/>
      <c r="AC61" s="1031"/>
      <c r="AD61" s="1059">
        <f>'SKY Mex'!S116</f>
        <v>640.29399999999998</v>
      </c>
      <c r="AE61" s="1031"/>
      <c r="AF61" s="1031"/>
      <c r="AG61" s="1031"/>
      <c r="AH61" s="1031"/>
    </row>
    <row r="62" spans="1:34" ht="15.75">
      <c r="A62" s="1031"/>
      <c r="B62" s="1076" t="s">
        <v>2288</v>
      </c>
      <c r="C62" s="1060"/>
      <c r="D62" s="1061"/>
      <c r="E62" s="1062"/>
      <c r="F62" s="1062"/>
      <c r="G62" s="1062"/>
      <c r="H62" s="1062"/>
      <c r="I62" s="1061">
        <f>IF(I61="",0,(I61-D61))</f>
        <v>-86.932000000000016</v>
      </c>
      <c r="J62" s="1062"/>
      <c r="K62" s="1062">
        <f>IF(K61="",0,(K61-E61))</f>
        <v>0</v>
      </c>
      <c r="L62" s="1062">
        <f>IF(L61="",0,(L61-F61))</f>
        <v>0</v>
      </c>
      <c r="M62" s="1062">
        <f>IF(M61="",0,(M61-G61))</f>
        <v>0</v>
      </c>
      <c r="N62" s="1061">
        <f>IF(N61="",0,(N61-AD61))</f>
        <v>-125.20499999999993</v>
      </c>
      <c r="O62" s="1062">
        <f>IF(O61="",0,(O61-I61))</f>
        <v>0</v>
      </c>
      <c r="P62" s="1062">
        <f>IF(P61="",0,(P61-J61))</f>
        <v>0</v>
      </c>
      <c r="Q62" s="1062">
        <f>IF(Q61="",0,(Q61-K61))</f>
        <v>0</v>
      </c>
      <c r="R62" s="1062">
        <f>IF(R61="",0,(R61-L61))</f>
        <v>0</v>
      </c>
      <c r="S62" s="1061">
        <f>IF(S61="",0,(S61-N61))</f>
        <v>-164.20400000000006</v>
      </c>
      <c r="T62" s="1062">
        <f>IF(T61="",0,(T61-N61))</f>
        <v>0</v>
      </c>
      <c r="U62" s="1062">
        <f>IF(U61="",0,(U61-O61))</f>
        <v>0</v>
      </c>
      <c r="V62" s="1062">
        <f>IF(V61="",0,(V61-P61))</f>
        <v>0</v>
      </c>
      <c r="W62" s="1062">
        <f>IF(W61="",0,(W61-Q61))</f>
        <v>0</v>
      </c>
      <c r="X62" s="1061">
        <f>IF(X61="",0,(X61-S61))</f>
        <v>-125.50899999999999</v>
      </c>
      <c r="Y62" s="1061">
        <f>IF(Y61="",0,(Y61-X61))</f>
        <v>-100.376</v>
      </c>
      <c r="Z62" s="1061">
        <f>IF(Z61="",0,(Z61-Y61))</f>
        <v>-65</v>
      </c>
      <c r="AA62" s="1031"/>
      <c r="AB62" s="1031"/>
      <c r="AC62" s="1031"/>
      <c r="AD62" s="1061">
        <f>IF(AD61="",0,(AD61-D61))</f>
        <v>-86.932000000000016</v>
      </c>
      <c r="AE62" s="1031"/>
      <c r="AF62" s="1031"/>
      <c r="AG62" s="1031"/>
      <c r="AH62" s="1031"/>
    </row>
    <row r="63" spans="1:34" ht="15.75">
      <c r="A63" s="1031"/>
      <c r="B63" s="1071"/>
      <c r="C63" s="1051"/>
      <c r="D63" s="1032"/>
      <c r="E63" s="1031"/>
      <c r="F63" s="1031"/>
      <c r="G63" s="1031"/>
      <c r="H63" s="1031"/>
      <c r="I63" s="1032"/>
      <c r="J63" s="1031"/>
      <c r="K63" s="1031"/>
      <c r="L63" s="1031"/>
      <c r="M63" s="1031"/>
      <c r="N63" s="1032"/>
      <c r="O63" s="1031"/>
      <c r="P63" s="1031"/>
      <c r="Q63" s="1031"/>
      <c r="R63" s="1031"/>
      <c r="S63" s="1032"/>
      <c r="T63" s="1031"/>
      <c r="U63" s="1031"/>
      <c r="V63" s="1031"/>
      <c r="W63" s="1031"/>
      <c r="X63" s="1032"/>
      <c r="Y63" s="1032"/>
      <c r="Z63" s="1032"/>
      <c r="AA63" s="1031"/>
      <c r="AB63" s="1031"/>
      <c r="AC63" s="1031"/>
      <c r="AD63" s="1032"/>
      <c r="AE63" s="1031"/>
      <c r="AF63" s="1031"/>
      <c r="AG63" s="1031"/>
      <c r="AH63" s="1031"/>
    </row>
    <row r="64" spans="1:34" ht="15.75">
      <c r="A64" s="1031"/>
      <c r="B64" s="1075" t="s">
        <v>2289</v>
      </c>
      <c r="C64" s="1031"/>
      <c r="D64" s="1047">
        <v>0.60099999999999998</v>
      </c>
      <c r="E64" s="1048">
        <v>0.55900000000000005</v>
      </c>
      <c r="F64" s="1048">
        <v>0.53100000000000003</v>
      </c>
      <c r="G64" s="1048">
        <v>0.48899999999999999</v>
      </c>
      <c r="H64" s="1048">
        <v>0.45300000000000001</v>
      </c>
      <c r="I64" s="1047">
        <f>H64</f>
        <v>0.45300000000000001</v>
      </c>
      <c r="J64" s="1048">
        <v>0.42699999999999999</v>
      </c>
      <c r="K64" s="1058"/>
      <c r="L64" s="1058"/>
      <c r="M64" s="1058"/>
      <c r="N64" s="1059"/>
      <c r="O64" s="1058"/>
      <c r="P64" s="1058"/>
      <c r="Q64" s="1058"/>
      <c r="R64" s="1058"/>
      <c r="S64" s="1059"/>
      <c r="T64" s="1058"/>
      <c r="U64" s="1058"/>
      <c r="V64" s="1058"/>
      <c r="W64" s="1058"/>
      <c r="X64" s="1059">
        <f>Interims!CB289</f>
        <v>0.14899999999999999</v>
      </c>
      <c r="Y64" s="1059"/>
      <c r="Z64" s="1059"/>
      <c r="AA64" s="1031"/>
      <c r="AB64" s="1031"/>
      <c r="AC64" s="1031"/>
      <c r="AD64" s="1059"/>
      <c r="AE64" s="1031"/>
      <c r="AF64" s="1031"/>
      <c r="AG64" s="1031"/>
      <c r="AH64" s="1031"/>
    </row>
    <row r="65" spans="1:34" ht="15.75">
      <c r="A65" s="1031"/>
      <c r="B65" s="1076" t="s">
        <v>2290</v>
      </c>
      <c r="C65" s="1060"/>
      <c r="D65" s="1061"/>
      <c r="E65" s="1062"/>
      <c r="F65" s="1062"/>
      <c r="G65" s="1062"/>
      <c r="H65" s="1062"/>
      <c r="I65" s="1061">
        <f>IF(I64="",0,(I64-D64))</f>
        <v>-0.14799999999999996</v>
      </c>
      <c r="J65" s="1062"/>
      <c r="K65" s="1062">
        <f>IF(K64="",0,(K64-E64))</f>
        <v>0</v>
      </c>
      <c r="L65" s="1062">
        <f>IF(L64="",0,(L64-F64))</f>
        <v>0</v>
      </c>
      <c r="M65" s="1062">
        <f>IF(M64="",0,(M64-G64))</f>
        <v>0</v>
      </c>
      <c r="N65" s="1061">
        <f>IF(N64="",0,(N64-AD64))</f>
        <v>0</v>
      </c>
      <c r="O65" s="1062">
        <f>IF(O64="",0,(O64-I64))</f>
        <v>0</v>
      </c>
      <c r="P65" s="1062">
        <f>IF(P64="",0,(P64-J64))</f>
        <v>0</v>
      </c>
      <c r="Q65" s="1062">
        <f>IF(Q64="",0,(Q64-K64))</f>
        <v>0</v>
      </c>
      <c r="R65" s="1062">
        <f>IF(R64="",0,(R64-L64))</f>
        <v>0</v>
      </c>
      <c r="S65" s="1061">
        <f>IF(S64="",0,(S64-N64))</f>
        <v>0</v>
      </c>
      <c r="T65" s="1062">
        <f>IF(T64="",0,(T64-N64))</f>
        <v>0</v>
      </c>
      <c r="U65" s="1062">
        <f>IF(U64="",0,(U64-O64))</f>
        <v>0</v>
      </c>
      <c r="V65" s="1062">
        <f>IF(V64="",0,(V64-P64))</f>
        <v>0</v>
      </c>
      <c r="W65" s="1062">
        <f>IF(W64="",0,(W64-Q64))</f>
        <v>0</v>
      </c>
      <c r="X65" s="1061">
        <f>IF(X64="",0,(X64-S64))</f>
        <v>0.14899999999999999</v>
      </c>
      <c r="Y65" s="1061">
        <f>IF(Y64="",0,(Y64-X64))</f>
        <v>0</v>
      </c>
      <c r="Z65" s="1061">
        <f>IF(Z64="",0,(Z64-Y64))</f>
        <v>0</v>
      </c>
      <c r="AA65" s="1031"/>
      <c r="AB65" s="1031"/>
      <c r="AC65" s="1031"/>
      <c r="AD65" s="1061">
        <f>IF(AD64="",0,(AD64-D64))</f>
        <v>0</v>
      </c>
      <c r="AE65" s="1031"/>
      <c r="AF65" s="1031"/>
      <c r="AG65" s="1031"/>
      <c r="AH65" s="1031"/>
    </row>
    <row r="66" spans="1:34" ht="15.75">
      <c r="A66" s="1031"/>
      <c r="B66" s="1071"/>
      <c r="C66" s="1051"/>
      <c r="D66" s="1032"/>
      <c r="E66" s="1031"/>
      <c r="F66" s="1031"/>
      <c r="G66" s="1031"/>
      <c r="H66" s="1031"/>
      <c r="I66" s="1032"/>
      <c r="J66" s="1031"/>
      <c r="K66" s="1031"/>
      <c r="L66" s="1031"/>
      <c r="M66" s="1031"/>
      <c r="N66" s="1032"/>
      <c r="O66" s="1031"/>
      <c r="P66" s="1031"/>
      <c r="Q66" s="1031"/>
      <c r="R66" s="1031"/>
      <c r="S66" s="1032"/>
      <c r="T66" s="1031"/>
      <c r="U66" s="1031"/>
      <c r="V66" s="1031"/>
      <c r="W66" s="1031"/>
      <c r="X66" s="1032"/>
      <c r="Y66" s="1032"/>
      <c r="Z66" s="1032"/>
      <c r="AA66" s="1031"/>
      <c r="AB66" s="1031"/>
      <c r="AC66" s="1031"/>
      <c r="AD66" s="1032"/>
      <c r="AE66" s="1031"/>
      <c r="AF66" s="1031"/>
      <c r="AG66" s="1031"/>
      <c r="AH66" s="1031"/>
    </row>
    <row r="67" spans="1:34" ht="15.75">
      <c r="A67" s="1031"/>
      <c r="B67" s="1075" t="s">
        <v>2291</v>
      </c>
      <c r="C67" s="1031"/>
      <c r="D67" s="1047">
        <v>30.265999999999998</v>
      </c>
      <c r="E67" s="1031">
        <v>26.92</v>
      </c>
      <c r="F67" s="1048">
        <v>22.331</v>
      </c>
      <c r="G67" s="1048">
        <v>17.704999999999998</v>
      </c>
      <c r="H67" s="1048">
        <v>15.602</v>
      </c>
      <c r="I67" s="1047">
        <f>H67</f>
        <v>15.602</v>
      </c>
      <c r="J67" s="1048">
        <v>16.381</v>
      </c>
      <c r="K67" s="1058"/>
      <c r="L67" s="1058"/>
      <c r="M67" s="1058"/>
      <c r="N67" s="1059"/>
      <c r="O67" s="1058"/>
      <c r="P67" s="1058"/>
      <c r="Q67" s="1058"/>
      <c r="R67" s="1058"/>
      <c r="S67" s="1059"/>
      <c r="T67" s="1058"/>
      <c r="U67" s="1058"/>
      <c r="V67" s="1058"/>
      <c r="W67" s="1058"/>
      <c r="X67" s="1059">
        <f>Interims!CB290</f>
        <v>9.6310000000000002</v>
      </c>
      <c r="Y67" s="1059"/>
      <c r="Z67" s="1059"/>
      <c r="AA67" s="1031"/>
      <c r="AB67" s="1031"/>
      <c r="AC67" s="1031"/>
      <c r="AD67" s="1059"/>
      <c r="AE67" s="1031"/>
      <c r="AF67" s="1031"/>
      <c r="AG67" s="1031"/>
      <c r="AH67" s="1031"/>
    </row>
    <row r="68" spans="1:34" ht="15.75">
      <c r="A68" s="1031"/>
      <c r="B68" s="1076" t="s">
        <v>2292</v>
      </c>
      <c r="C68" s="1060"/>
      <c r="D68" s="1061"/>
      <c r="E68" s="1062"/>
      <c r="F68" s="1062"/>
      <c r="G68" s="1062"/>
      <c r="H68" s="1062"/>
      <c r="I68" s="1061">
        <f>IF(I67="",0,(I67-D67))</f>
        <v>-14.663999999999998</v>
      </c>
      <c r="J68" s="1062"/>
      <c r="K68" s="1062">
        <f>IF(K67="",0,(K67-E67))</f>
        <v>0</v>
      </c>
      <c r="L68" s="1062">
        <f>IF(L67="",0,(L67-F67))</f>
        <v>0</v>
      </c>
      <c r="M68" s="1062">
        <f>IF(M67="",0,(M67-G67))</f>
        <v>0</v>
      </c>
      <c r="N68" s="1061">
        <f>IF(N67="",0,(N67-AD67))</f>
        <v>0</v>
      </c>
      <c r="O68" s="1062">
        <f>IF(O67="",0,(O67-I67))</f>
        <v>0</v>
      </c>
      <c r="P68" s="1062">
        <f>IF(P67="",0,(P67-J67))</f>
        <v>0</v>
      </c>
      <c r="Q68" s="1062">
        <f>IF(Q67="",0,(Q67-K67))</f>
        <v>0</v>
      </c>
      <c r="R68" s="1062">
        <f>IF(R67="",0,(R67-L67))</f>
        <v>0</v>
      </c>
      <c r="S68" s="1061">
        <f>IF(S67="",0,(S67-N67))</f>
        <v>0</v>
      </c>
      <c r="T68" s="1062">
        <f>IF(T67="",0,(T67-N67))</f>
        <v>0</v>
      </c>
      <c r="U68" s="1062">
        <f>IF(U67="",0,(U67-O67))</f>
        <v>0</v>
      </c>
      <c r="V68" s="1062">
        <f>IF(V67="",0,(V67-P67))</f>
        <v>0</v>
      </c>
      <c r="W68" s="1062">
        <f>IF(W67="",0,(W67-Q67))</f>
        <v>0</v>
      </c>
      <c r="X68" s="1061">
        <f>IF(X67="",0,(X67-S67))</f>
        <v>9.6310000000000002</v>
      </c>
      <c r="Y68" s="1061">
        <f>IF(Y67="",0,(Y67-X67))</f>
        <v>0</v>
      </c>
      <c r="Z68" s="1061">
        <f>IF(Z67="",0,(Z67-Y67))</f>
        <v>0</v>
      </c>
      <c r="AA68" s="1031"/>
      <c r="AB68" s="1031"/>
      <c r="AC68" s="1031"/>
      <c r="AD68" s="1061">
        <f>IF(AD67="",0,(AD67-D67))</f>
        <v>0</v>
      </c>
      <c r="AE68" s="1031"/>
      <c r="AF68" s="1031"/>
      <c r="AG68" s="1031"/>
      <c r="AH68" s="1031"/>
    </row>
    <row r="69" spans="1:34" ht="15.75">
      <c r="A69" s="1031"/>
      <c r="B69" s="1075"/>
      <c r="C69" s="1031"/>
      <c r="D69" s="1031"/>
      <c r="E69" s="1031"/>
      <c r="F69" s="1031"/>
      <c r="G69" s="1031"/>
      <c r="H69" s="1031"/>
      <c r="I69" s="1031"/>
      <c r="J69" s="1031"/>
      <c r="K69" s="1031"/>
      <c r="L69" s="1031"/>
      <c r="M69" s="1031"/>
      <c r="N69" s="1032"/>
      <c r="O69" s="1031"/>
      <c r="P69" s="1031"/>
      <c r="Q69" s="1031"/>
      <c r="R69" s="1031"/>
      <c r="S69" s="1032"/>
      <c r="T69" s="1031"/>
      <c r="U69" s="1031"/>
      <c r="V69" s="1031"/>
      <c r="W69" s="1031"/>
      <c r="X69" s="1032"/>
      <c r="Y69" s="1032"/>
      <c r="Z69" s="1032"/>
      <c r="AA69" s="1031"/>
      <c r="AB69" s="1031"/>
      <c r="AC69" s="1031"/>
      <c r="AD69" s="1032"/>
      <c r="AE69" s="1031"/>
      <c r="AF69" s="1031"/>
      <c r="AG69" s="1031"/>
      <c r="AH69" s="1031"/>
    </row>
    <row r="70" spans="1:34" ht="15.75">
      <c r="A70" s="1031"/>
      <c r="B70" s="1077" t="s">
        <v>2293</v>
      </c>
      <c r="C70" s="1031"/>
      <c r="D70" s="1034" t="s">
        <v>1481</v>
      </c>
      <c r="E70" s="1065" t="s">
        <v>2294</v>
      </c>
      <c r="F70" s="1065"/>
      <c r="G70" s="1065"/>
      <c r="H70" s="1065"/>
      <c r="I70" s="1065"/>
      <c r="J70" s="1065"/>
      <c r="K70" s="1031"/>
      <c r="L70" s="1031"/>
      <c r="M70" s="1031"/>
      <c r="N70" s="1032"/>
      <c r="O70" s="1031"/>
      <c r="P70" s="1031"/>
      <c r="Q70" s="1031"/>
      <c r="R70" s="1031"/>
      <c r="S70" s="1032"/>
      <c r="T70" s="1031"/>
      <c r="U70" s="1031"/>
      <c r="V70" s="1031"/>
      <c r="W70" s="1031"/>
      <c r="X70" s="1032"/>
      <c r="Y70" s="1032"/>
      <c r="Z70" s="1032"/>
      <c r="AA70" s="1031"/>
      <c r="AB70" s="1031"/>
      <c r="AC70" s="1031"/>
      <c r="AD70" s="1032"/>
      <c r="AE70" s="1031"/>
      <c r="AF70" s="1031"/>
      <c r="AG70" s="1031"/>
      <c r="AH70" s="1031"/>
    </row>
    <row r="71" spans="1:34" ht="15.75">
      <c r="A71" s="1031"/>
      <c r="B71" s="1071" t="s">
        <v>54</v>
      </c>
      <c r="C71" s="1031"/>
      <c r="D71" s="1066"/>
      <c r="E71" s="1067"/>
      <c r="F71" s="1067"/>
      <c r="G71" s="1067"/>
      <c r="H71" s="1067"/>
      <c r="I71" s="1067"/>
      <c r="J71" s="1067"/>
      <c r="K71" s="1031"/>
      <c r="L71" s="1031"/>
      <c r="M71" s="1031"/>
      <c r="N71" s="1032"/>
      <c r="O71" s="1031"/>
      <c r="P71" s="1032"/>
      <c r="Q71" s="1032"/>
      <c r="R71" s="1032"/>
      <c r="S71" s="1032"/>
      <c r="T71" s="1032"/>
      <c r="U71" s="1032"/>
      <c r="V71" s="1032"/>
      <c r="W71" s="1032"/>
      <c r="X71" s="1032"/>
      <c r="Y71" s="1032"/>
      <c r="Z71" s="1032"/>
      <c r="AA71" s="1031"/>
      <c r="AB71" s="1031"/>
      <c r="AC71" s="1031"/>
      <c r="AD71" s="1032"/>
      <c r="AE71" s="1031"/>
      <c r="AF71" s="1031"/>
      <c r="AG71" s="1031"/>
      <c r="AH71" s="1031"/>
    </row>
    <row r="72" spans="1:34" ht="15.75">
      <c r="A72" s="1031"/>
      <c r="B72" s="1071" t="s">
        <v>52</v>
      </c>
      <c r="C72" s="1031"/>
      <c r="D72" s="1066"/>
      <c r="E72" s="1067"/>
      <c r="F72" s="1067"/>
      <c r="G72" s="1067"/>
      <c r="H72" s="1067"/>
      <c r="I72" s="1067"/>
      <c r="J72" s="1067"/>
      <c r="K72" s="1031"/>
      <c r="L72" s="1031"/>
      <c r="M72" s="1031"/>
      <c r="N72" s="1032"/>
      <c r="O72" s="1031"/>
      <c r="P72" s="1032"/>
      <c r="Q72" s="1032"/>
      <c r="R72" s="1032"/>
      <c r="S72" s="1032"/>
      <c r="T72" s="1032"/>
      <c r="U72" s="1032"/>
      <c r="V72" s="1032"/>
      <c r="W72" s="1032"/>
      <c r="X72" s="1032"/>
      <c r="Y72" s="1032"/>
      <c r="Z72" s="1032"/>
      <c r="AA72" s="1031"/>
      <c r="AB72" s="1031"/>
      <c r="AC72" s="1031"/>
      <c r="AD72" s="1032"/>
      <c r="AE72" s="1031"/>
      <c r="AF72" s="1031"/>
      <c r="AG72" s="1031"/>
      <c r="AH72" s="1031"/>
    </row>
    <row r="73" spans="1:34" ht="15.75">
      <c r="A73" s="1031"/>
      <c r="B73" s="1071" t="s">
        <v>97</v>
      </c>
      <c r="C73" s="1031"/>
      <c r="D73" s="1066"/>
      <c r="E73" s="1067"/>
      <c r="F73" s="1067"/>
      <c r="G73" s="1067"/>
      <c r="H73" s="1067"/>
      <c r="I73" s="1067"/>
      <c r="J73" s="1067"/>
      <c r="K73" s="1031"/>
      <c r="L73" s="1031"/>
      <c r="M73" s="1031"/>
      <c r="N73" s="1032"/>
      <c r="O73" s="1031"/>
      <c r="P73" s="1032"/>
      <c r="Q73" s="1032"/>
      <c r="R73" s="1032"/>
      <c r="S73" s="1032"/>
      <c r="T73" s="1032"/>
      <c r="U73" s="1032"/>
      <c r="V73" s="1032"/>
      <c r="W73" s="1032"/>
      <c r="X73" s="1032"/>
      <c r="Y73" s="1032"/>
      <c r="Z73" s="1032"/>
      <c r="AA73" s="1031"/>
      <c r="AB73" s="1031"/>
      <c r="AC73" s="1031"/>
      <c r="AD73" s="1032"/>
      <c r="AE73" s="1031"/>
      <c r="AF73" s="1031"/>
      <c r="AG73" s="1031"/>
      <c r="AH73" s="1031"/>
    </row>
    <row r="74" spans="1:34" ht="15.75">
      <c r="A74" s="1031"/>
      <c r="B74" s="1071" t="s">
        <v>195</v>
      </c>
      <c r="C74" s="1031"/>
      <c r="D74" s="1049"/>
      <c r="E74" s="1068"/>
      <c r="F74" s="1068"/>
      <c r="G74" s="1068"/>
      <c r="H74" s="1068"/>
      <c r="I74" s="1068"/>
      <c r="J74" s="1068"/>
      <c r="K74" s="1031"/>
      <c r="L74" s="1031"/>
      <c r="M74" s="1031"/>
      <c r="N74" s="1032"/>
      <c r="O74" s="1031"/>
      <c r="P74" s="1032"/>
      <c r="Q74" s="1032"/>
      <c r="R74" s="1032"/>
      <c r="S74" s="1032"/>
      <c r="T74" s="1032"/>
      <c r="U74" s="1032"/>
      <c r="V74" s="1032"/>
      <c r="W74" s="1032"/>
      <c r="X74" s="1032"/>
      <c r="Y74" s="1032"/>
      <c r="Z74" s="1032"/>
      <c r="AA74" s="1031"/>
      <c r="AB74" s="1031"/>
      <c r="AC74" s="1031"/>
      <c r="AD74" s="1032"/>
      <c r="AE74" s="1031"/>
      <c r="AF74" s="1031"/>
      <c r="AG74" s="1031"/>
      <c r="AH74" s="1031"/>
    </row>
    <row r="75" spans="1:34" ht="15.75">
      <c r="A75" s="1031"/>
      <c r="B75" s="1071" t="s">
        <v>2295</v>
      </c>
      <c r="C75" s="1031"/>
      <c r="D75" s="1049"/>
      <c r="E75" s="1068"/>
      <c r="F75" s="1068"/>
      <c r="G75" s="1068"/>
      <c r="H75" s="1068"/>
      <c r="I75" s="1068"/>
      <c r="J75" s="1068"/>
      <c r="K75" s="1031"/>
      <c r="L75" s="1031"/>
      <c r="M75" s="1031"/>
      <c r="N75" s="1032"/>
      <c r="O75" s="1032"/>
      <c r="P75" s="1032"/>
      <c r="Q75" s="1032"/>
      <c r="R75" s="1032"/>
      <c r="S75" s="1032"/>
      <c r="T75" s="1032"/>
      <c r="U75" s="1032"/>
      <c r="V75" s="1032"/>
      <c r="W75" s="1032"/>
      <c r="X75" s="1032"/>
      <c r="Y75" s="1032"/>
      <c r="Z75" s="1032"/>
      <c r="AA75" s="1031"/>
      <c r="AB75" s="1031"/>
      <c r="AC75" s="1031"/>
      <c r="AD75" s="1032"/>
      <c r="AE75" s="1031"/>
      <c r="AF75" s="1031"/>
      <c r="AG75" s="1031"/>
      <c r="AH75" s="1031"/>
    </row>
    <row r="76" spans="1:34" ht="15.75">
      <c r="A76" s="1031"/>
      <c r="B76" s="1071" t="s">
        <v>2296</v>
      </c>
      <c r="C76" s="1031"/>
      <c r="D76" s="1049"/>
      <c r="E76" s="1068"/>
      <c r="F76" s="1068"/>
      <c r="G76" s="1068"/>
      <c r="H76" s="1068"/>
      <c r="I76" s="1068"/>
      <c r="J76" s="1068"/>
      <c r="K76" s="1031"/>
      <c r="L76" s="1031"/>
      <c r="M76" s="1031"/>
      <c r="N76" s="1032"/>
      <c r="O76" s="1032"/>
      <c r="P76" s="1032"/>
      <c r="Q76" s="1032"/>
      <c r="R76" s="1032"/>
      <c r="S76" s="1032"/>
      <c r="T76" s="1032"/>
      <c r="U76" s="1032"/>
      <c r="V76" s="1032"/>
      <c r="W76" s="1032"/>
      <c r="X76" s="1032"/>
      <c r="Y76" s="1032"/>
      <c r="Z76" s="1032"/>
      <c r="AA76" s="1031"/>
      <c r="AB76" s="1031"/>
      <c r="AC76" s="1031"/>
      <c r="AD76" s="1032"/>
      <c r="AE76" s="1031"/>
      <c r="AF76" s="1031"/>
      <c r="AG76" s="1031"/>
      <c r="AH76" s="1031"/>
    </row>
    <row r="77" spans="1:34" ht="15.75">
      <c r="A77" s="1031"/>
      <c r="B77" s="1071" t="s">
        <v>2297</v>
      </c>
      <c r="C77" s="1031"/>
      <c r="D77" s="1049"/>
      <c r="E77" s="1068"/>
      <c r="F77" s="1068"/>
      <c r="G77" s="1068"/>
      <c r="H77" s="1068"/>
      <c r="I77" s="1068"/>
      <c r="J77" s="1068"/>
      <c r="K77" s="1031"/>
      <c r="L77" s="1031"/>
      <c r="M77" s="1031"/>
      <c r="N77" s="1032"/>
      <c r="O77" s="1032"/>
      <c r="P77" s="1032"/>
      <c r="Q77" s="1032"/>
      <c r="R77" s="1032"/>
      <c r="S77" s="1032"/>
      <c r="T77" s="1032"/>
      <c r="U77" s="1032"/>
      <c r="V77" s="1032"/>
      <c r="W77" s="1032"/>
      <c r="X77" s="1032"/>
      <c r="Y77" s="1032"/>
      <c r="Z77" s="1032"/>
      <c r="AA77" s="1031"/>
      <c r="AB77" s="1031"/>
      <c r="AC77" s="1031"/>
      <c r="AD77" s="1032"/>
      <c r="AE77" s="1031"/>
      <c r="AF77" s="1031"/>
      <c r="AG77" s="1031"/>
      <c r="AH77" s="1031"/>
    </row>
    <row r="78" spans="1:34" ht="15.75">
      <c r="A78" s="1031"/>
      <c r="B78" s="1071"/>
      <c r="C78" s="1031"/>
      <c r="D78" s="1032"/>
      <c r="E78" s="1031"/>
      <c r="F78" s="1031"/>
      <c r="G78" s="1031"/>
      <c r="H78" s="1031"/>
      <c r="I78" s="1031"/>
      <c r="J78" s="1031"/>
      <c r="K78" s="1031"/>
      <c r="L78" s="1031"/>
      <c r="M78" s="1031"/>
      <c r="N78" s="1032"/>
      <c r="O78" s="1032"/>
      <c r="P78" s="1032"/>
      <c r="Q78" s="1032"/>
      <c r="R78" s="1032"/>
      <c r="S78" s="1032"/>
      <c r="T78" s="1032"/>
      <c r="U78" s="1032"/>
      <c r="V78" s="1032"/>
      <c r="W78" s="1032"/>
      <c r="X78" s="1032"/>
      <c r="Y78" s="1032"/>
      <c r="Z78" s="1032"/>
      <c r="AA78" s="1031"/>
      <c r="AB78" s="1031"/>
      <c r="AC78" s="1031"/>
      <c r="AD78" s="1032"/>
      <c r="AE78" s="1031"/>
      <c r="AF78" s="1031"/>
      <c r="AG78" s="1031"/>
      <c r="AH78" s="1031"/>
    </row>
    <row r="79" spans="1:34" ht="15.75">
      <c r="A79" s="1031"/>
      <c r="B79" s="1071"/>
      <c r="C79" s="1031"/>
      <c r="D79" s="1032"/>
      <c r="E79" s="1031"/>
      <c r="F79" s="1031"/>
      <c r="G79" s="1031"/>
      <c r="H79" s="1031"/>
      <c r="I79" s="1031"/>
      <c r="J79" s="1031"/>
      <c r="K79" s="1031"/>
      <c r="L79" s="1031"/>
      <c r="M79" s="1031"/>
      <c r="N79" s="1032"/>
      <c r="O79" s="1032"/>
      <c r="P79" s="1032"/>
      <c r="Q79" s="1032"/>
      <c r="R79" s="1032"/>
      <c r="S79" s="1032"/>
      <c r="T79" s="1032"/>
      <c r="U79" s="1032"/>
      <c r="V79" s="1032"/>
      <c r="W79" s="1032"/>
      <c r="X79" s="1032"/>
      <c r="Y79" s="1032"/>
      <c r="Z79" s="1032"/>
      <c r="AA79" s="1031"/>
      <c r="AB79" s="1031"/>
      <c r="AC79" s="1031"/>
      <c r="AD79" s="1032"/>
      <c r="AE79" s="1031"/>
      <c r="AF79" s="1031"/>
      <c r="AG79" s="1031"/>
      <c r="AH79" s="1031"/>
    </row>
    <row r="80" spans="1:34" ht="15.75">
      <c r="A80" s="1031"/>
      <c r="B80" s="1071"/>
      <c r="C80" s="1031"/>
      <c r="D80" s="1032"/>
      <c r="E80" s="1031"/>
      <c r="F80" s="1031"/>
      <c r="G80" s="1031"/>
      <c r="H80" s="1031"/>
      <c r="I80" s="1031"/>
      <c r="J80" s="1031"/>
      <c r="K80" s="1031"/>
      <c r="L80" s="1031"/>
      <c r="M80" s="1031"/>
      <c r="N80" s="1032"/>
      <c r="O80" s="1032"/>
      <c r="P80" s="1032"/>
      <c r="Q80" s="1032"/>
      <c r="R80" s="1032"/>
      <c r="S80" s="1032"/>
      <c r="T80" s="1032"/>
      <c r="U80" s="1032"/>
      <c r="V80" s="1032"/>
      <c r="W80" s="1032"/>
      <c r="X80" s="1032"/>
      <c r="Y80" s="1032"/>
      <c r="Z80" s="1032"/>
      <c r="AA80" s="1031"/>
      <c r="AB80" s="1031"/>
      <c r="AC80" s="1031"/>
      <c r="AD80" s="1032"/>
      <c r="AE80" s="1031"/>
      <c r="AF80" s="1031"/>
      <c r="AG80" s="1031"/>
      <c r="AH80" s="1031"/>
    </row>
    <row r="81" spans="1:34" ht="15.75">
      <c r="A81" s="1031"/>
      <c r="B81" s="1071"/>
      <c r="C81" s="1031"/>
      <c r="D81" s="1032"/>
      <c r="E81" s="1031"/>
      <c r="F81" s="1031"/>
      <c r="G81" s="1031"/>
      <c r="H81" s="1031"/>
      <c r="I81" s="1031"/>
      <c r="J81" s="1031"/>
      <c r="K81" s="1031"/>
      <c r="L81" s="1031"/>
      <c r="M81" s="1031"/>
      <c r="N81" s="1032"/>
      <c r="O81" s="1032"/>
      <c r="P81" s="1032"/>
      <c r="Q81" s="1032"/>
      <c r="R81" s="1032"/>
      <c r="S81" s="1032"/>
      <c r="T81" s="1032"/>
      <c r="U81" s="1032"/>
      <c r="V81" s="1032"/>
      <c r="W81" s="1032"/>
      <c r="X81" s="1032"/>
      <c r="Y81" s="1032"/>
      <c r="Z81" s="1032"/>
      <c r="AA81" s="1031"/>
      <c r="AB81" s="1031"/>
      <c r="AC81" s="1031"/>
      <c r="AD81" s="1032"/>
      <c r="AE81" s="1031"/>
      <c r="AF81" s="1031"/>
      <c r="AG81" s="1031"/>
      <c r="AH81" s="1031"/>
    </row>
    <row r="82" spans="1:34" ht="15.75">
      <c r="A82" s="1031"/>
      <c r="B82" s="1071"/>
      <c r="C82" s="1031"/>
      <c r="D82" s="1032"/>
      <c r="E82" s="1031"/>
      <c r="F82" s="1031"/>
      <c r="G82" s="1031"/>
      <c r="H82" s="1031"/>
      <c r="I82" s="1031"/>
      <c r="J82" s="1031"/>
      <c r="K82" s="1031"/>
      <c r="L82" s="1031"/>
      <c r="M82" s="1031"/>
      <c r="N82" s="1032"/>
      <c r="O82" s="1032"/>
      <c r="P82" s="1032"/>
      <c r="Q82" s="1032"/>
      <c r="R82" s="1032"/>
      <c r="S82" s="1032"/>
      <c r="T82" s="1032"/>
      <c r="U82" s="1032"/>
      <c r="V82" s="1032"/>
      <c r="W82" s="1032"/>
      <c r="X82" s="1032"/>
      <c r="Y82" s="1032"/>
      <c r="Z82" s="1032"/>
      <c r="AA82" s="1031"/>
      <c r="AB82" s="1031"/>
      <c r="AC82" s="1031"/>
      <c r="AD82" s="1032"/>
      <c r="AE82" s="1031"/>
      <c r="AF82" s="1031"/>
      <c r="AG82" s="1031"/>
      <c r="AH82" s="1031"/>
    </row>
    <row r="83" spans="1:34" ht="15.75">
      <c r="A83" s="1031"/>
      <c r="B83" s="1071"/>
      <c r="C83" s="1031"/>
      <c r="D83" s="1032"/>
      <c r="E83" s="1031"/>
      <c r="F83" s="1031"/>
      <c r="G83" s="1031"/>
      <c r="H83" s="1031"/>
      <c r="I83" s="1031"/>
      <c r="J83" s="1031"/>
      <c r="K83" s="1031"/>
      <c r="L83" s="1031"/>
      <c r="M83" s="1031"/>
      <c r="N83" s="1032"/>
      <c r="O83" s="1032"/>
      <c r="P83" s="1032"/>
      <c r="Q83" s="1032"/>
      <c r="R83" s="1032"/>
      <c r="S83" s="1032"/>
      <c r="T83" s="1032"/>
      <c r="U83" s="1032"/>
      <c r="V83" s="1032"/>
      <c r="W83" s="1032"/>
      <c r="X83" s="1032"/>
      <c r="Y83" s="1032"/>
      <c r="Z83" s="1032"/>
      <c r="AA83" s="1031"/>
      <c r="AB83" s="1031"/>
      <c r="AC83" s="1031"/>
      <c r="AD83" s="1032"/>
      <c r="AE83" s="1031"/>
      <c r="AF83" s="1031"/>
      <c r="AG83" s="1031"/>
      <c r="AH83" s="1031"/>
    </row>
    <row r="84" spans="1:34" ht="15.75">
      <c r="A84" s="1031"/>
      <c r="B84" s="1037"/>
      <c r="C84" s="1031"/>
      <c r="D84" s="1032"/>
      <c r="E84" s="1031"/>
      <c r="F84" s="1031"/>
      <c r="G84" s="1031"/>
      <c r="H84" s="1031"/>
      <c r="I84" s="1031"/>
      <c r="J84" s="1031"/>
      <c r="K84" s="1031"/>
      <c r="L84" s="1031"/>
      <c r="M84" s="1031"/>
      <c r="N84" s="1032"/>
      <c r="O84" s="1032"/>
      <c r="P84" s="1032"/>
      <c r="Q84" s="1032"/>
      <c r="R84" s="1032"/>
      <c r="S84" s="1032"/>
      <c r="T84" s="1032"/>
      <c r="U84" s="1032"/>
      <c r="V84" s="1032"/>
      <c r="W84" s="1032"/>
      <c r="X84" s="1032"/>
      <c r="Y84" s="1032"/>
      <c r="Z84" s="1032"/>
      <c r="AA84" s="1031"/>
      <c r="AB84" s="1031"/>
      <c r="AC84" s="1031"/>
      <c r="AD84" s="1032"/>
      <c r="AE84" s="1031"/>
      <c r="AF84" s="1031"/>
      <c r="AG84" s="1031"/>
      <c r="AH84" s="1031"/>
    </row>
    <row r="85" spans="1:34" ht="15.75">
      <c r="A85" s="1031"/>
      <c r="B85" s="1037"/>
      <c r="C85" s="1031"/>
      <c r="D85" s="1032"/>
      <c r="E85" s="1031"/>
      <c r="F85" s="1031"/>
      <c r="G85" s="1031"/>
      <c r="H85" s="1031"/>
      <c r="I85" s="1031"/>
      <c r="J85" s="1031"/>
      <c r="K85" s="1031"/>
      <c r="L85" s="1031"/>
      <c r="M85" s="1031"/>
      <c r="N85" s="1032"/>
      <c r="O85" s="1032"/>
      <c r="P85" s="1032"/>
      <c r="Q85" s="1032"/>
      <c r="R85" s="1032"/>
      <c r="S85" s="1032"/>
      <c r="T85" s="1032"/>
      <c r="U85" s="1032"/>
      <c r="V85" s="1032"/>
      <c r="W85" s="1032"/>
      <c r="X85" s="1032"/>
      <c r="Y85" s="1032"/>
      <c r="Z85" s="1032"/>
      <c r="AA85" s="1031"/>
      <c r="AB85" s="1031"/>
      <c r="AC85" s="1031"/>
      <c r="AD85" s="1032"/>
      <c r="AE85" s="1031"/>
      <c r="AF85" s="1031"/>
      <c r="AG85" s="1031"/>
      <c r="AH85" s="1031"/>
    </row>
    <row r="86" spans="1:34" ht="15.75">
      <c r="A86" s="1031"/>
      <c r="B86" s="1037"/>
      <c r="C86" s="1031"/>
      <c r="D86" s="1032"/>
      <c r="E86" s="1031"/>
      <c r="F86" s="1031"/>
      <c r="G86" s="1031"/>
      <c r="H86" s="1031"/>
      <c r="I86" s="1031"/>
      <c r="J86" s="1031"/>
      <c r="K86" s="1031"/>
      <c r="L86" s="1031"/>
      <c r="M86" s="1031"/>
      <c r="N86" s="1032"/>
      <c r="O86" s="1032"/>
      <c r="P86" s="1032"/>
      <c r="Q86" s="1032"/>
      <c r="R86" s="1032"/>
      <c r="S86" s="1032"/>
      <c r="T86" s="1032"/>
      <c r="U86" s="1032"/>
      <c r="V86" s="1032"/>
      <c r="W86" s="1032"/>
      <c r="X86" s="1032"/>
      <c r="Y86" s="1032"/>
      <c r="Z86" s="1032"/>
      <c r="AA86" s="1031"/>
      <c r="AB86" s="1031"/>
      <c r="AC86" s="1031"/>
      <c r="AD86" s="1032"/>
      <c r="AE86" s="1031"/>
      <c r="AF86" s="1031"/>
      <c r="AG86" s="1031"/>
      <c r="AH86" s="1031"/>
    </row>
    <row r="87" spans="1:34" ht="15.75">
      <c r="A87" s="1031"/>
      <c r="B87" s="1037"/>
      <c r="C87" s="1031"/>
      <c r="D87" s="1032"/>
      <c r="E87" s="1031"/>
      <c r="F87" s="1031"/>
      <c r="G87" s="1031"/>
      <c r="H87" s="1031"/>
      <c r="I87" s="1031"/>
      <c r="J87" s="1031"/>
      <c r="K87" s="1031"/>
      <c r="L87" s="1031"/>
      <c r="M87" s="1031"/>
      <c r="N87" s="1032"/>
      <c r="O87" s="1032"/>
      <c r="P87" s="1032"/>
      <c r="Q87" s="1032"/>
      <c r="R87" s="1032"/>
      <c r="S87" s="1032"/>
      <c r="T87" s="1032"/>
      <c r="U87" s="1032"/>
      <c r="V87" s="1032"/>
      <c r="W87" s="1032"/>
      <c r="X87" s="1032"/>
      <c r="Y87" s="1032"/>
      <c r="Z87" s="1032"/>
      <c r="AA87" s="1031"/>
      <c r="AB87" s="1031"/>
      <c r="AC87" s="1031"/>
      <c r="AD87" s="1032"/>
      <c r="AE87" s="1031"/>
      <c r="AF87" s="1031"/>
      <c r="AG87" s="1031"/>
      <c r="AH87" s="1031"/>
    </row>
    <row r="88" spans="1:34" ht="15.75">
      <c r="A88" s="1031"/>
      <c r="B88" s="1037"/>
      <c r="C88" s="1031"/>
      <c r="D88" s="1032"/>
      <c r="E88" s="1031"/>
      <c r="F88" s="1031"/>
      <c r="G88" s="1031"/>
      <c r="H88" s="1031"/>
      <c r="I88" s="1031"/>
      <c r="J88" s="1031"/>
      <c r="K88" s="1031"/>
      <c r="L88" s="1031"/>
      <c r="M88" s="1031"/>
      <c r="N88" s="1032"/>
      <c r="O88" s="1032"/>
      <c r="P88" s="1032"/>
      <c r="Q88" s="1032"/>
      <c r="R88" s="1032"/>
      <c r="S88" s="1032"/>
      <c r="T88" s="1032"/>
      <c r="U88" s="1032"/>
      <c r="V88" s="1032"/>
      <c r="W88" s="1032"/>
      <c r="X88" s="1032"/>
      <c r="Y88" s="1032"/>
      <c r="Z88" s="1032"/>
      <c r="AA88" s="1031"/>
      <c r="AB88" s="1031"/>
      <c r="AC88" s="1031"/>
      <c r="AD88" s="1032"/>
      <c r="AE88" s="1031"/>
      <c r="AF88" s="1031"/>
      <c r="AG88" s="1031"/>
      <c r="AH88" s="1031"/>
    </row>
    <row r="89" spans="1:34" ht="15.75">
      <c r="A89" s="1031"/>
      <c r="B89" s="1037"/>
      <c r="C89" s="1031"/>
      <c r="D89" s="1032"/>
      <c r="E89" s="1031"/>
      <c r="F89" s="1031"/>
      <c r="G89" s="1031"/>
      <c r="H89" s="1031"/>
      <c r="I89" s="1031"/>
      <c r="J89" s="1031"/>
      <c r="K89" s="1031"/>
      <c r="L89" s="1031"/>
      <c r="M89" s="1031"/>
      <c r="N89" s="1032"/>
      <c r="O89" s="1032"/>
      <c r="P89" s="1032"/>
      <c r="Q89" s="1032"/>
      <c r="R89" s="1032"/>
      <c r="S89" s="1032"/>
      <c r="T89" s="1032"/>
      <c r="U89" s="1032"/>
      <c r="V89" s="1032"/>
      <c r="W89" s="1032"/>
      <c r="X89" s="1032"/>
      <c r="Y89" s="1032"/>
      <c r="Z89" s="1032"/>
      <c r="AA89" s="1031"/>
      <c r="AB89" s="1031"/>
      <c r="AC89" s="1031"/>
      <c r="AD89" s="1032"/>
      <c r="AE89" s="1031"/>
      <c r="AF89" s="1031"/>
      <c r="AG89" s="1031"/>
      <c r="AH89" s="1031"/>
    </row>
    <row r="90" spans="1:34" ht="15.75">
      <c r="A90" s="1031"/>
      <c r="B90" s="1037"/>
      <c r="C90" s="1031"/>
      <c r="D90" s="1032"/>
      <c r="E90" s="1031"/>
      <c r="F90" s="1031"/>
      <c r="G90" s="1031"/>
      <c r="H90" s="1031"/>
      <c r="I90" s="1031"/>
      <c r="J90" s="1031"/>
      <c r="K90" s="1031"/>
      <c r="L90" s="1031"/>
      <c r="M90" s="1031"/>
      <c r="N90" s="1032"/>
      <c r="O90" s="1032"/>
      <c r="P90" s="1032"/>
      <c r="Q90" s="1032"/>
      <c r="R90" s="1032"/>
      <c r="S90" s="1032"/>
      <c r="T90" s="1032"/>
      <c r="U90" s="1032"/>
      <c r="V90" s="1032"/>
      <c r="W90" s="1032"/>
      <c r="X90" s="1032"/>
      <c r="Y90" s="1032"/>
      <c r="Z90" s="1032"/>
      <c r="AA90" s="1031"/>
      <c r="AB90" s="1031"/>
      <c r="AC90" s="1031"/>
      <c r="AD90" s="1032"/>
      <c r="AE90" s="1031"/>
      <c r="AF90" s="1031"/>
      <c r="AG90" s="1031"/>
      <c r="AH90" s="1031"/>
    </row>
    <row r="91" spans="1:34" ht="15.75">
      <c r="A91" s="1031"/>
      <c r="B91" s="1037"/>
      <c r="C91" s="1031"/>
      <c r="D91" s="1032"/>
      <c r="E91" s="1031"/>
      <c r="F91" s="1031"/>
      <c r="G91" s="1031"/>
      <c r="H91" s="1031"/>
      <c r="I91" s="1031"/>
      <c r="J91" s="1031"/>
      <c r="K91" s="1031"/>
      <c r="L91" s="1031"/>
      <c r="M91" s="1031"/>
      <c r="N91" s="1032"/>
      <c r="O91" s="1032"/>
      <c r="P91" s="1032"/>
      <c r="Q91" s="1032"/>
      <c r="R91" s="1032"/>
      <c r="S91" s="1032"/>
      <c r="T91" s="1032"/>
      <c r="U91" s="1032"/>
      <c r="V91" s="1032"/>
      <c r="W91" s="1032"/>
      <c r="X91" s="1032"/>
      <c r="Y91" s="1032"/>
      <c r="Z91" s="1032"/>
      <c r="AA91" s="1031"/>
      <c r="AB91" s="1031"/>
      <c r="AC91" s="1031"/>
      <c r="AD91" s="1032"/>
      <c r="AE91" s="1031"/>
      <c r="AF91" s="1031"/>
      <c r="AG91" s="1031"/>
      <c r="AH91" s="1031"/>
    </row>
    <row r="92" spans="1:34" ht="15.75">
      <c r="A92" s="1031"/>
      <c r="B92" s="1037"/>
      <c r="C92" s="1031"/>
      <c r="D92" s="1032"/>
      <c r="E92" s="1031"/>
      <c r="F92" s="1031"/>
      <c r="G92" s="1031"/>
      <c r="H92" s="1031"/>
      <c r="I92" s="1031"/>
      <c r="J92" s="1031"/>
      <c r="K92" s="1031"/>
      <c r="L92" s="1031"/>
      <c r="M92" s="1031"/>
      <c r="N92" s="1032"/>
      <c r="O92" s="1032"/>
      <c r="P92" s="1032"/>
      <c r="Q92" s="1032"/>
      <c r="R92" s="1032"/>
      <c r="S92" s="1032"/>
      <c r="T92" s="1032"/>
      <c r="U92" s="1032"/>
      <c r="V92" s="1032"/>
      <c r="W92" s="1032"/>
      <c r="X92" s="1032"/>
      <c r="Y92" s="1032"/>
      <c r="Z92" s="1032"/>
      <c r="AA92" s="1031"/>
      <c r="AB92" s="1031"/>
      <c r="AC92" s="1031"/>
      <c r="AD92" s="1032"/>
      <c r="AE92" s="1031"/>
      <c r="AF92" s="1031"/>
      <c r="AG92" s="1031"/>
      <c r="AH92" s="1031"/>
    </row>
    <row r="93" spans="1:34" ht="15.75">
      <c r="A93" s="1031"/>
      <c r="B93" s="1037"/>
      <c r="C93" s="1031"/>
      <c r="D93" s="1032"/>
      <c r="E93" s="1031"/>
      <c r="F93" s="1031"/>
      <c r="G93" s="1031"/>
      <c r="H93" s="1031"/>
      <c r="I93" s="1031"/>
      <c r="J93" s="1031"/>
      <c r="K93" s="1031"/>
      <c r="L93" s="1031"/>
      <c r="M93" s="1031"/>
      <c r="N93" s="1032"/>
      <c r="O93" s="1032"/>
      <c r="P93" s="1032"/>
      <c r="Q93" s="1032"/>
      <c r="R93" s="1032"/>
      <c r="S93" s="1032"/>
      <c r="T93" s="1032"/>
      <c r="U93" s="1032"/>
      <c r="V93" s="1032"/>
      <c r="W93" s="1032"/>
      <c r="X93" s="1032"/>
      <c r="Y93" s="1032"/>
      <c r="Z93" s="1032"/>
      <c r="AA93" s="1031"/>
      <c r="AB93" s="1031"/>
      <c r="AC93" s="1031"/>
      <c r="AD93" s="1032"/>
      <c r="AE93" s="1031"/>
      <c r="AF93" s="1031"/>
      <c r="AG93" s="1031"/>
      <c r="AH93" s="1031"/>
    </row>
    <row r="94" spans="1:34" ht="15.75">
      <c r="A94" s="1031"/>
      <c r="B94" s="1037"/>
      <c r="C94" s="1031"/>
      <c r="D94" s="1032"/>
      <c r="E94" s="1031"/>
      <c r="F94" s="1031"/>
      <c r="G94" s="1031"/>
      <c r="H94" s="1031"/>
      <c r="I94" s="1031"/>
      <c r="J94" s="1031"/>
      <c r="K94" s="1031"/>
      <c r="L94" s="1031"/>
      <c r="M94" s="1031"/>
      <c r="N94" s="1032"/>
      <c r="O94" s="1032"/>
      <c r="P94" s="1032"/>
      <c r="Q94" s="1032"/>
      <c r="R94" s="1032"/>
      <c r="S94" s="1032"/>
      <c r="T94" s="1032"/>
      <c r="U94" s="1032"/>
      <c r="V94" s="1032"/>
      <c r="W94" s="1032"/>
      <c r="X94" s="1032"/>
      <c r="Y94" s="1032"/>
      <c r="Z94" s="1032"/>
      <c r="AA94" s="1031"/>
      <c r="AB94" s="1031"/>
      <c r="AC94" s="1031"/>
      <c r="AD94" s="1032"/>
      <c r="AE94" s="1031"/>
      <c r="AF94" s="1031"/>
      <c r="AG94" s="1031"/>
      <c r="AH94" s="1031"/>
    </row>
    <row r="95" spans="1:34" ht="15.75">
      <c r="A95" s="1031"/>
      <c r="B95" s="1037"/>
      <c r="C95" s="1031"/>
      <c r="D95" s="1032"/>
      <c r="E95" s="1031"/>
      <c r="F95" s="1031"/>
      <c r="G95" s="1031"/>
      <c r="H95" s="1031"/>
      <c r="I95" s="1031"/>
      <c r="J95" s="1031"/>
      <c r="K95" s="1031"/>
      <c r="L95" s="1031"/>
      <c r="M95" s="1031"/>
      <c r="N95" s="1032"/>
      <c r="O95" s="1032"/>
      <c r="P95" s="1032"/>
      <c r="Q95" s="1032"/>
      <c r="R95" s="1032"/>
      <c r="S95" s="1032"/>
      <c r="T95" s="1032"/>
      <c r="U95" s="1032"/>
      <c r="V95" s="1032"/>
      <c r="W95" s="1032"/>
      <c r="X95" s="1032"/>
      <c r="Y95" s="1032"/>
      <c r="Z95" s="1032"/>
      <c r="AA95" s="1031"/>
      <c r="AB95" s="1031"/>
      <c r="AC95" s="1031"/>
      <c r="AD95" s="1032"/>
      <c r="AE95" s="1031"/>
      <c r="AF95" s="1031"/>
      <c r="AG95" s="1031"/>
      <c r="AH95" s="1031"/>
    </row>
    <row r="96" spans="1:34" ht="15.75">
      <c r="A96" s="1031"/>
      <c r="B96" s="1037"/>
      <c r="C96" s="1031"/>
      <c r="D96" s="1032"/>
      <c r="E96" s="1031"/>
      <c r="F96" s="1031"/>
      <c r="G96" s="1031"/>
      <c r="H96" s="1031"/>
      <c r="I96" s="1031"/>
      <c r="J96" s="1031"/>
      <c r="K96" s="1031"/>
      <c r="L96" s="1031"/>
      <c r="M96" s="1031"/>
      <c r="N96" s="1032"/>
      <c r="O96" s="1032"/>
      <c r="P96" s="1032"/>
      <c r="Q96" s="1032"/>
      <c r="R96" s="1032"/>
      <c r="S96" s="1032"/>
      <c r="T96" s="1032"/>
      <c r="U96" s="1032"/>
      <c r="V96" s="1032"/>
      <c r="W96" s="1032"/>
      <c r="X96" s="1032"/>
      <c r="Y96" s="1032"/>
      <c r="Z96" s="1032"/>
      <c r="AA96" s="1031"/>
      <c r="AB96" s="1031"/>
      <c r="AC96" s="1031"/>
      <c r="AD96" s="1032"/>
      <c r="AE96" s="1031"/>
      <c r="AF96" s="1031"/>
      <c r="AG96" s="1031"/>
      <c r="AH96" s="1031"/>
    </row>
    <row r="97" spans="1:34" ht="15.75">
      <c r="A97" s="1031"/>
      <c r="B97" s="1037"/>
      <c r="C97" s="1031"/>
      <c r="D97" s="1032"/>
      <c r="E97" s="1031"/>
      <c r="F97" s="1031"/>
      <c r="G97" s="1031"/>
      <c r="H97" s="1031"/>
      <c r="I97" s="1031"/>
      <c r="J97" s="1031"/>
      <c r="K97" s="1031"/>
      <c r="L97" s="1031"/>
      <c r="M97" s="1031"/>
      <c r="N97" s="1032"/>
      <c r="O97" s="1032"/>
      <c r="P97" s="1032"/>
      <c r="Q97" s="1032"/>
      <c r="R97" s="1032"/>
      <c r="S97" s="1032"/>
      <c r="T97" s="1032"/>
      <c r="U97" s="1032"/>
      <c r="V97" s="1032"/>
      <c r="W97" s="1032"/>
      <c r="X97" s="1032"/>
      <c r="Y97" s="1032"/>
      <c r="Z97" s="1032"/>
      <c r="AA97" s="1031"/>
      <c r="AB97" s="1031"/>
      <c r="AC97" s="1031"/>
      <c r="AD97" s="1032"/>
      <c r="AE97" s="1031"/>
      <c r="AF97" s="1031"/>
      <c r="AG97" s="1031"/>
      <c r="AH97" s="1031"/>
    </row>
    <row r="98" spans="1:34" ht="15.75">
      <c r="A98" s="1031"/>
      <c r="B98" s="1037"/>
      <c r="C98" s="1031"/>
      <c r="D98" s="1032"/>
      <c r="E98" s="1031"/>
      <c r="F98" s="1031"/>
      <c r="G98" s="1031"/>
      <c r="H98" s="1031"/>
      <c r="I98" s="1031"/>
      <c r="J98" s="1031"/>
      <c r="K98" s="1031"/>
      <c r="L98" s="1031"/>
      <c r="M98" s="1031"/>
      <c r="N98" s="1032"/>
      <c r="O98" s="1032"/>
      <c r="P98" s="1032"/>
      <c r="Q98" s="1032"/>
      <c r="R98" s="1032"/>
      <c r="S98" s="1032"/>
      <c r="T98" s="1032"/>
      <c r="U98" s="1032"/>
      <c r="V98" s="1032"/>
      <c r="W98" s="1032"/>
      <c r="X98" s="1032"/>
      <c r="Y98" s="1032"/>
      <c r="Z98" s="1032"/>
      <c r="AA98" s="1031"/>
      <c r="AB98" s="1031"/>
      <c r="AC98" s="1031"/>
      <c r="AD98" s="1032"/>
      <c r="AE98" s="1031"/>
      <c r="AF98" s="1031"/>
      <c r="AG98" s="1031"/>
      <c r="AH98" s="1031"/>
    </row>
    <row r="99" spans="1:34" ht="15.75">
      <c r="A99" s="1031"/>
      <c r="B99" s="1037"/>
      <c r="C99" s="1031"/>
      <c r="D99" s="1032"/>
      <c r="E99" s="1031"/>
      <c r="F99" s="1031"/>
      <c r="G99" s="1031"/>
      <c r="H99" s="1031"/>
      <c r="I99" s="1031"/>
      <c r="J99" s="1031"/>
      <c r="K99" s="1031"/>
      <c r="L99" s="1031"/>
      <c r="M99" s="1031"/>
      <c r="N99" s="1032"/>
      <c r="O99" s="1032"/>
      <c r="P99" s="1032"/>
      <c r="Q99" s="1032"/>
      <c r="R99" s="1032"/>
      <c r="S99" s="1032"/>
      <c r="T99" s="1032"/>
      <c r="U99" s="1032"/>
      <c r="V99" s="1032"/>
      <c r="W99" s="1032"/>
      <c r="X99" s="1032"/>
      <c r="Y99" s="1032"/>
      <c r="Z99" s="1032"/>
      <c r="AA99" s="1031"/>
      <c r="AB99" s="1031"/>
      <c r="AC99" s="1031"/>
      <c r="AD99" s="1032"/>
      <c r="AE99" s="1031"/>
      <c r="AF99" s="1031"/>
      <c r="AG99" s="1031"/>
      <c r="AH99" s="1031"/>
    </row>
    <row r="100" spans="1:34" ht="15.75">
      <c r="A100" s="1031"/>
      <c r="B100" s="1037"/>
      <c r="C100" s="1031"/>
      <c r="D100" s="1032"/>
      <c r="E100" s="1031"/>
      <c r="F100" s="1031"/>
      <c r="G100" s="1031"/>
      <c r="H100" s="1031"/>
      <c r="I100" s="1031"/>
      <c r="J100" s="1031"/>
      <c r="K100" s="1031"/>
      <c r="L100" s="1031"/>
      <c r="M100" s="1031"/>
      <c r="N100" s="1032"/>
      <c r="O100" s="1032"/>
      <c r="P100" s="1032"/>
      <c r="Q100" s="1032"/>
      <c r="R100" s="1032"/>
      <c r="S100" s="1032"/>
      <c r="T100" s="1032"/>
      <c r="U100" s="1032"/>
      <c r="V100" s="1032"/>
      <c r="W100" s="1032"/>
      <c r="X100" s="1032"/>
      <c r="Y100" s="1032"/>
      <c r="Z100" s="1032"/>
      <c r="AA100" s="1031"/>
      <c r="AB100" s="1031"/>
      <c r="AC100" s="1031"/>
      <c r="AD100" s="1032"/>
      <c r="AE100" s="1031"/>
      <c r="AF100" s="1031"/>
      <c r="AG100" s="1031"/>
      <c r="AH100" s="1031"/>
    </row>
    <row r="101" spans="1:34" ht="15.75">
      <c r="A101" s="1031"/>
      <c r="B101" s="1037"/>
      <c r="C101" s="1031"/>
      <c r="D101" s="1032"/>
      <c r="E101" s="1031"/>
      <c r="F101" s="1031"/>
      <c r="G101" s="1031"/>
      <c r="H101" s="1031"/>
      <c r="I101" s="1031"/>
      <c r="J101" s="1031"/>
      <c r="K101" s="1031"/>
      <c r="L101" s="1031"/>
      <c r="M101" s="1031"/>
      <c r="N101" s="1032"/>
      <c r="O101" s="1032"/>
      <c r="P101" s="1032"/>
      <c r="Q101" s="1032"/>
      <c r="R101" s="1032"/>
      <c r="S101" s="1032"/>
      <c r="T101" s="1032"/>
      <c r="U101" s="1032"/>
      <c r="V101" s="1032"/>
      <c r="W101" s="1032"/>
      <c r="X101" s="1032"/>
      <c r="Y101" s="1032"/>
      <c r="Z101" s="1032"/>
      <c r="AA101" s="1031"/>
      <c r="AB101" s="1031"/>
      <c r="AC101" s="1031"/>
      <c r="AD101" s="1032"/>
      <c r="AE101" s="1031"/>
      <c r="AF101" s="1031"/>
      <c r="AG101" s="1031"/>
      <c r="AH101" s="1031"/>
    </row>
    <row r="102" spans="1:34" ht="15.75">
      <c r="A102" s="1031"/>
      <c r="B102" s="1037"/>
      <c r="C102" s="1031"/>
      <c r="D102" s="1032"/>
      <c r="E102" s="1031"/>
      <c r="F102" s="1031"/>
      <c r="G102" s="1031"/>
      <c r="H102" s="1031"/>
      <c r="I102" s="1031"/>
      <c r="J102" s="1031"/>
      <c r="K102" s="1031"/>
      <c r="L102" s="1031"/>
      <c r="M102" s="1031"/>
      <c r="N102" s="1032"/>
      <c r="O102" s="1032"/>
      <c r="P102" s="1032"/>
      <c r="Q102" s="1032"/>
      <c r="R102" s="1032"/>
      <c r="S102" s="1032"/>
      <c r="T102" s="1032"/>
      <c r="U102" s="1032"/>
      <c r="V102" s="1032"/>
      <c r="W102" s="1032"/>
      <c r="X102" s="1032"/>
      <c r="Y102" s="1032"/>
      <c r="Z102" s="1032"/>
      <c r="AA102" s="1031"/>
      <c r="AB102" s="1031"/>
      <c r="AC102" s="1031"/>
      <c r="AD102" s="1032"/>
      <c r="AE102" s="1031"/>
      <c r="AF102" s="1031"/>
      <c r="AG102" s="1031"/>
      <c r="AH102" s="1031"/>
    </row>
    <row r="103" spans="1:34" ht="15.75">
      <c r="A103" s="1031"/>
      <c r="B103" s="1037"/>
      <c r="C103" s="1031"/>
      <c r="D103" s="1032"/>
      <c r="E103" s="1031"/>
      <c r="F103" s="1031"/>
      <c r="G103" s="1031"/>
      <c r="H103" s="1031"/>
      <c r="I103" s="1031"/>
      <c r="J103" s="1031"/>
      <c r="K103" s="1031"/>
      <c r="L103" s="1031"/>
      <c r="M103" s="1031"/>
      <c r="N103" s="1032"/>
      <c r="O103" s="1032"/>
      <c r="P103" s="1032"/>
      <c r="Q103" s="1032"/>
      <c r="R103" s="1032"/>
      <c r="S103" s="1032"/>
      <c r="T103" s="1032"/>
      <c r="U103" s="1032"/>
      <c r="V103" s="1032"/>
      <c r="W103" s="1032"/>
      <c r="X103" s="1032"/>
      <c r="Y103" s="1032"/>
      <c r="Z103" s="1032"/>
      <c r="AA103" s="1031"/>
      <c r="AB103" s="1031"/>
      <c r="AC103" s="1031"/>
      <c r="AD103" s="1032"/>
      <c r="AE103" s="1031"/>
      <c r="AF103" s="1031"/>
      <c r="AG103" s="1031"/>
      <c r="AH103" s="1031"/>
    </row>
    <row r="104" spans="1:34" ht="15.75">
      <c r="A104" s="1031"/>
      <c r="B104" s="1037"/>
      <c r="C104" s="1031"/>
      <c r="D104" s="1032"/>
      <c r="E104" s="1031"/>
      <c r="F104" s="1031"/>
      <c r="G104" s="1031"/>
      <c r="H104" s="1031"/>
      <c r="I104" s="1031"/>
      <c r="J104" s="1031"/>
      <c r="K104" s="1031"/>
      <c r="L104" s="1031"/>
      <c r="M104" s="1031"/>
      <c r="N104" s="1032"/>
      <c r="O104" s="1032"/>
      <c r="P104" s="1032"/>
      <c r="Q104" s="1032"/>
      <c r="R104" s="1032"/>
      <c r="S104" s="1032"/>
      <c r="T104" s="1032"/>
      <c r="U104" s="1032"/>
      <c r="V104" s="1032"/>
      <c r="W104" s="1032"/>
      <c r="X104" s="1032"/>
      <c r="Y104" s="1032"/>
      <c r="Z104" s="1032"/>
      <c r="AA104" s="1031"/>
      <c r="AB104" s="1031"/>
      <c r="AC104" s="1031"/>
      <c r="AD104" s="1032"/>
      <c r="AE104" s="1031"/>
      <c r="AF104" s="1031"/>
      <c r="AG104" s="1031"/>
      <c r="AH104" s="1031"/>
    </row>
    <row r="105" spans="1:34" ht="15.75">
      <c r="A105" s="1031"/>
      <c r="B105" s="1037"/>
      <c r="C105" s="1031"/>
      <c r="D105" s="1032"/>
      <c r="E105" s="1031"/>
      <c r="F105" s="1031"/>
      <c r="G105" s="1031"/>
      <c r="H105" s="1031"/>
      <c r="I105" s="1031"/>
      <c r="J105" s="1031"/>
      <c r="K105" s="1031"/>
      <c r="L105" s="1031"/>
      <c r="M105" s="1031"/>
      <c r="N105" s="1032"/>
      <c r="O105" s="1032"/>
      <c r="P105" s="1032"/>
      <c r="Q105" s="1032"/>
      <c r="R105" s="1032"/>
      <c r="S105" s="1032"/>
      <c r="T105" s="1032"/>
      <c r="U105" s="1032"/>
      <c r="V105" s="1032"/>
      <c r="W105" s="1032"/>
      <c r="X105" s="1032"/>
      <c r="Y105" s="1032"/>
      <c r="Z105" s="1032"/>
      <c r="AA105" s="1031"/>
      <c r="AB105" s="1031"/>
      <c r="AC105" s="1031"/>
      <c r="AD105" s="1032"/>
      <c r="AE105" s="1031"/>
      <c r="AF105" s="1031"/>
      <c r="AG105" s="1031"/>
      <c r="AH105" s="1031"/>
    </row>
    <row r="106" spans="1:34" ht="15.75">
      <c r="A106" s="1031"/>
      <c r="B106" s="1037"/>
      <c r="C106" s="1031"/>
      <c r="D106" s="1032"/>
      <c r="E106" s="1031"/>
      <c r="F106" s="1031"/>
      <c r="G106" s="1031"/>
      <c r="H106" s="1031"/>
      <c r="I106" s="1031"/>
      <c r="J106" s="1031"/>
      <c r="K106" s="1031"/>
      <c r="L106" s="1031"/>
      <c r="M106" s="1031"/>
      <c r="N106" s="1032"/>
      <c r="O106" s="1032"/>
      <c r="P106" s="1032"/>
      <c r="Q106" s="1032"/>
      <c r="R106" s="1032"/>
      <c r="S106" s="1032"/>
      <c r="T106" s="1032"/>
      <c r="U106" s="1032"/>
      <c r="V106" s="1032"/>
      <c r="W106" s="1032"/>
      <c r="X106" s="1032"/>
      <c r="Y106" s="1032"/>
      <c r="Z106" s="1032"/>
      <c r="AA106" s="1031"/>
      <c r="AB106" s="1031"/>
      <c r="AC106" s="1031"/>
      <c r="AD106" s="1032"/>
      <c r="AE106" s="1031"/>
      <c r="AF106" s="1031"/>
      <c r="AG106" s="1031"/>
      <c r="AH106" s="1031"/>
    </row>
    <row r="107" spans="1:34" ht="15.75">
      <c r="A107" s="1031"/>
      <c r="B107" s="1037"/>
      <c r="C107" s="1031"/>
      <c r="D107" s="1032"/>
      <c r="E107" s="1031"/>
      <c r="F107" s="1031"/>
      <c r="G107" s="1031"/>
      <c r="H107" s="1031"/>
      <c r="I107" s="1031"/>
      <c r="J107" s="1031"/>
      <c r="K107" s="1031"/>
      <c r="L107" s="1031"/>
      <c r="M107" s="1031"/>
      <c r="N107" s="1032"/>
      <c r="O107" s="1032"/>
      <c r="P107" s="1032"/>
      <c r="Q107" s="1032"/>
      <c r="R107" s="1032"/>
      <c r="S107" s="1032"/>
      <c r="T107" s="1032"/>
      <c r="U107" s="1032"/>
      <c r="V107" s="1032"/>
      <c r="W107" s="1032"/>
      <c r="X107" s="1032"/>
      <c r="Y107" s="1032"/>
      <c r="Z107" s="1032"/>
      <c r="AA107" s="1031"/>
      <c r="AB107" s="1031"/>
      <c r="AC107" s="1031"/>
      <c r="AD107" s="1032"/>
      <c r="AE107" s="1031"/>
      <c r="AF107" s="1031"/>
      <c r="AG107" s="1031"/>
      <c r="AH107" s="1031"/>
    </row>
    <row r="108" spans="1:34" ht="15.75">
      <c r="A108" s="1031"/>
      <c r="B108" s="1037"/>
      <c r="C108" s="1031"/>
      <c r="D108" s="1032"/>
      <c r="E108" s="1031"/>
      <c r="F108" s="1031"/>
      <c r="G108" s="1031"/>
      <c r="H108" s="1031"/>
      <c r="I108" s="1031"/>
      <c r="J108" s="1031"/>
      <c r="K108" s="1031"/>
      <c r="L108" s="1031"/>
      <c r="M108" s="1031"/>
      <c r="N108" s="1032"/>
      <c r="O108" s="1032"/>
      <c r="P108" s="1032"/>
      <c r="Q108" s="1032"/>
      <c r="R108" s="1032"/>
      <c r="S108" s="1032"/>
      <c r="T108" s="1032"/>
      <c r="U108" s="1032"/>
      <c r="V108" s="1032"/>
      <c r="W108" s="1032"/>
      <c r="X108" s="1032"/>
      <c r="Y108" s="1032"/>
      <c r="Z108" s="1032"/>
      <c r="AA108" s="1031"/>
      <c r="AB108" s="1031"/>
      <c r="AC108" s="1031"/>
      <c r="AD108" s="1032"/>
      <c r="AE108" s="1031"/>
      <c r="AF108" s="1031"/>
      <c r="AG108" s="1031"/>
      <c r="AH108" s="1031"/>
    </row>
    <row r="109" spans="1:34" ht="15.75">
      <c r="A109" s="1031"/>
      <c r="B109" s="1037"/>
      <c r="C109" s="1031"/>
      <c r="D109" s="1032"/>
      <c r="E109" s="1031"/>
      <c r="F109" s="1031"/>
      <c r="G109" s="1031"/>
      <c r="H109" s="1031"/>
      <c r="I109" s="1031"/>
      <c r="J109" s="1031"/>
      <c r="K109" s="1031"/>
      <c r="L109" s="1031"/>
      <c r="M109" s="1031"/>
      <c r="N109" s="1032"/>
      <c r="O109" s="1032"/>
      <c r="P109" s="1032"/>
      <c r="Q109" s="1032"/>
      <c r="R109" s="1032"/>
      <c r="S109" s="1032"/>
      <c r="T109" s="1032"/>
      <c r="U109" s="1032"/>
      <c r="V109" s="1032"/>
      <c r="W109" s="1032"/>
      <c r="X109" s="1032"/>
      <c r="Y109" s="1032"/>
      <c r="Z109" s="1032"/>
      <c r="AA109" s="1031"/>
      <c r="AB109" s="1031"/>
      <c r="AC109" s="1031"/>
      <c r="AD109" s="1032"/>
      <c r="AE109" s="1031"/>
      <c r="AF109" s="1031"/>
      <c r="AG109" s="1031"/>
      <c r="AH109" s="1031"/>
    </row>
    <row r="110" spans="1:34" ht="15.75">
      <c r="A110" s="1031"/>
      <c r="B110" s="1037"/>
      <c r="C110" s="1031"/>
      <c r="D110" s="1032"/>
      <c r="E110" s="1031"/>
      <c r="F110" s="1031"/>
      <c r="G110" s="1031"/>
      <c r="H110" s="1031"/>
      <c r="I110" s="1031"/>
      <c r="J110" s="1031"/>
      <c r="K110" s="1031"/>
      <c r="L110" s="1031"/>
      <c r="M110" s="1031"/>
      <c r="N110" s="1032"/>
      <c r="O110" s="1032"/>
      <c r="P110" s="1032"/>
      <c r="Q110" s="1032"/>
      <c r="R110" s="1032"/>
      <c r="S110" s="1032"/>
      <c r="T110" s="1032"/>
      <c r="U110" s="1032"/>
      <c r="V110" s="1032"/>
      <c r="W110" s="1032"/>
      <c r="X110" s="1032"/>
      <c r="Y110" s="1032"/>
      <c r="Z110" s="1032"/>
      <c r="AA110" s="1031"/>
      <c r="AB110" s="1031"/>
      <c r="AC110" s="1031"/>
      <c r="AD110" s="1032"/>
      <c r="AE110" s="1031"/>
      <c r="AF110" s="1031"/>
      <c r="AG110" s="1031"/>
      <c r="AH110" s="1031"/>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B2:AQ204"/>
  <sheetViews>
    <sheetView showGridLines="0" zoomScale="85" zoomScaleNormal="85" zoomScalePageLayoutView="85" workbookViewId="0">
      <pane xSplit="2" ySplit="2" topLeftCell="K3" activePane="bottomRight" state="frozen"/>
      <selection pane="topRight" activeCell="C1" sqref="C1"/>
      <selection pane="bottomLeft" activeCell="A3" sqref="A3"/>
      <selection pane="bottomRight" activeCell="AG18" sqref="AG18"/>
    </sheetView>
  </sheetViews>
  <sheetFormatPr defaultColWidth="9.140625" defaultRowHeight="15"/>
  <cols>
    <col min="1" max="1" width="2.5703125" style="161" customWidth="1"/>
    <col min="2" max="2" width="43.5703125" style="161" bestFit="1" customWidth="1"/>
    <col min="3" max="4" width="9.42578125" style="161" customWidth="1"/>
    <col min="5" max="5" width="9.140625" style="161" customWidth="1"/>
    <col min="6" max="6" width="9" style="161" customWidth="1"/>
    <col min="7" max="7" width="9.140625" style="161" customWidth="1"/>
    <col min="8" max="8" width="12.140625" style="161" customWidth="1"/>
    <col min="9" max="9" width="12.42578125" style="161" bestFit="1" customWidth="1"/>
    <col min="10" max="19" width="11.5703125" style="161" bestFit="1" customWidth="1"/>
    <col min="20" max="20" width="11.85546875" style="161" bestFit="1" customWidth="1"/>
    <col min="21" max="21" width="9.140625" style="161" bestFit="1" customWidth="1"/>
    <col min="22" max="22" width="9.5703125" style="161" bestFit="1" customWidth="1"/>
    <col min="23" max="23" width="10.140625" style="161" customWidth="1"/>
    <col min="24" max="16384" width="9.140625" style="161"/>
  </cols>
  <sheetData>
    <row r="2" spans="2:40">
      <c r="B2" s="160" t="s">
        <v>2298</v>
      </c>
      <c r="C2" s="160">
        <v>1998</v>
      </c>
      <c r="D2" s="166">
        <v>1999</v>
      </c>
      <c r="E2" s="166">
        <v>2000</v>
      </c>
      <c r="F2" s="166">
        <v>2001</v>
      </c>
      <c r="G2" s="166">
        <v>2002</v>
      </c>
      <c r="H2" s="166">
        <v>2003</v>
      </c>
      <c r="I2" s="166">
        <v>2004</v>
      </c>
      <c r="J2" s="166">
        <v>2005</v>
      </c>
      <c r="K2" s="166">
        <v>2006</v>
      </c>
      <c r="L2" s="166">
        <v>2007</v>
      </c>
      <c r="M2" s="166">
        <v>2008</v>
      </c>
      <c r="N2" s="166">
        <v>2009</v>
      </c>
      <c r="O2" s="166">
        <v>2010</v>
      </c>
      <c r="P2" s="166">
        <v>2011</v>
      </c>
      <c r="Q2" s="166">
        <v>2012</v>
      </c>
      <c r="R2" s="160">
        <v>2013</v>
      </c>
      <c r="S2" s="160">
        <v>2014</v>
      </c>
      <c r="T2" s="160">
        <v>2015</v>
      </c>
      <c r="U2" s="160">
        <v>2016</v>
      </c>
      <c r="V2" s="160">
        <v>2017</v>
      </c>
      <c r="W2" s="160">
        <v>2018</v>
      </c>
      <c r="X2" s="160">
        <f>W2+1</f>
        <v>2019</v>
      </c>
      <c r="Y2" s="160">
        <f t="shared" ref="Y2" si="0">X2+1</f>
        <v>2020</v>
      </c>
      <c r="Z2" s="160">
        <f t="shared" ref="Z2" si="1">Y2+1</f>
        <v>2021</v>
      </c>
      <c r="AA2" s="160">
        <f t="shared" ref="AA2" si="2">Z2+1</f>
        <v>2022</v>
      </c>
      <c r="AB2" s="160">
        <f t="shared" ref="AB2" si="3">AA2+1</f>
        <v>2023</v>
      </c>
      <c r="AC2" s="160">
        <f t="shared" ref="AC2" si="4">AB2+1</f>
        <v>2024</v>
      </c>
      <c r="AD2" s="160">
        <f t="shared" ref="AD2" si="5">AC2+1</f>
        <v>2025</v>
      </c>
      <c r="AE2" s="160">
        <f t="shared" ref="AE2" si="6">AD2+1</f>
        <v>2026</v>
      </c>
      <c r="AF2" s="160">
        <f t="shared" ref="AF2" si="7">AE2+1</f>
        <v>2027</v>
      </c>
      <c r="AG2" s="160">
        <f t="shared" ref="AG2" si="8">AF2+1</f>
        <v>2028</v>
      </c>
      <c r="AH2" s="160">
        <f t="shared" ref="AH2" si="9">AG2+1</f>
        <v>2029</v>
      </c>
      <c r="AI2" s="160">
        <f t="shared" ref="AI2" si="10">AH2+1</f>
        <v>2030</v>
      </c>
      <c r="AJ2" s="160">
        <f t="shared" ref="AJ2" si="11">AI2+1</f>
        <v>2031</v>
      </c>
      <c r="AK2" s="160">
        <f t="shared" ref="AK2" si="12">AJ2+1</f>
        <v>2032</v>
      </c>
      <c r="AL2" s="160">
        <f t="shared" ref="AL2" si="13">AK2+1</f>
        <v>2033</v>
      </c>
      <c r="AM2" s="160">
        <f t="shared" ref="AM2" si="14">AL2+1</f>
        <v>2034</v>
      </c>
      <c r="AN2" s="160">
        <f t="shared" ref="AN2" si="15">AM2+1</f>
        <v>2035</v>
      </c>
    </row>
    <row r="3" spans="2:40">
      <c r="B3" s="161" t="s">
        <v>2299</v>
      </c>
      <c r="C3" s="175"/>
      <c r="D3" s="175"/>
      <c r="E3" s="175"/>
      <c r="F3" s="175"/>
      <c r="G3" s="175"/>
      <c r="H3" s="175"/>
      <c r="I3" s="175"/>
      <c r="J3" s="175"/>
      <c r="K3" s="175"/>
      <c r="L3" s="175"/>
      <c r="M3" s="175"/>
      <c r="N3" s="175">
        <f>Master!H573</f>
        <v>559.36923076923074</v>
      </c>
      <c r="O3" s="175">
        <f>Master!I573</f>
        <v>555.59487179487178</v>
      </c>
      <c r="P3" s="175">
        <f>Master!J573</f>
        <v>565.60119658119652</v>
      </c>
      <c r="Q3" s="175">
        <f>Master!K573</f>
        <v>571.21572649572659</v>
      </c>
      <c r="R3" s="175">
        <f>Master!L573</f>
        <v>573.5094017094018</v>
      </c>
      <c r="S3" s="175">
        <f>Master!M573</f>
        <v>577.8735042735043</v>
      </c>
      <c r="T3" s="175">
        <f>Master!N573</f>
        <v>578.57948717948716</v>
      </c>
      <c r="U3" s="175">
        <f>Master!O573</f>
        <v>578.57948717948716</v>
      </c>
      <c r="V3" s="175">
        <f>Master!P573</f>
        <v>578.57948717948716</v>
      </c>
      <c r="W3" s="175">
        <f>Master!Q573</f>
        <v>578.34034188034184</v>
      </c>
      <c r="X3" s="175">
        <f>Master!R573</f>
        <v>571.50273504273503</v>
      </c>
      <c r="Y3" s="175">
        <f>Master!S573</f>
        <v>573.38307692307694</v>
      </c>
      <c r="Z3" s="175">
        <f>Master!T573</f>
        <v>573.38307692307694</v>
      </c>
      <c r="AA3" s="175">
        <f>Master!U573</f>
        <v>573.38307692307694</v>
      </c>
      <c r="AB3" s="175">
        <f>Master!V573</f>
        <v>553.80598290598289</v>
      </c>
      <c r="AC3" s="175">
        <f>Master!W573</f>
        <v>539.23384615384612</v>
      </c>
      <c r="AD3" s="175">
        <f>Master!X573</f>
        <v>531.8201709401709</v>
      </c>
      <c r="AE3" s="175">
        <f>Master!Y573</f>
        <v>531.8201709401709</v>
      </c>
      <c r="AF3" s="175">
        <f>Master!Z573</f>
        <v>660.46632478632478</v>
      </c>
      <c r="AG3" s="175">
        <f>Master!AA573</f>
        <v>660.46632478632478</v>
      </c>
      <c r="AH3" s="175">
        <f>Master!AB573</f>
        <v>660.46632478632478</v>
      </c>
      <c r="AI3" s="175">
        <f>Master!AC573</f>
        <v>660.46632478632478</v>
      </c>
      <c r="AJ3" s="175">
        <f>Master!AD573</f>
        <v>660.46632478632478</v>
      </c>
      <c r="AK3" s="175">
        <f>Master!AE573</f>
        <v>660.46632478632478</v>
      </c>
      <c r="AL3" s="175">
        <f>Master!AF573</f>
        <v>660.46632478632478</v>
      </c>
      <c r="AM3" s="175">
        <f>Master!AG573</f>
        <v>660.46632478632478</v>
      </c>
      <c r="AN3" s="175">
        <f>Master!AH573</f>
        <v>660.46632478632478</v>
      </c>
    </row>
    <row r="4" spans="2:40">
      <c r="B4" s="161" t="s">
        <v>2300</v>
      </c>
      <c r="C4" s="175"/>
      <c r="D4" s="175"/>
      <c r="E4" s="175"/>
      <c r="F4" s="175"/>
      <c r="G4" s="175"/>
      <c r="H4" s="175"/>
      <c r="I4" s="175"/>
      <c r="J4" s="175"/>
      <c r="K4" s="175"/>
      <c r="L4" s="175"/>
      <c r="M4" s="175"/>
      <c r="N4" s="175">
        <f>N3</f>
        <v>559.36923076923074</v>
      </c>
      <c r="O4" s="175">
        <f>O3</f>
        <v>555.59487179487178</v>
      </c>
      <c r="P4" s="175">
        <f>P3</f>
        <v>565.60119658119652</v>
      </c>
      <c r="Q4" s="175">
        <f>AVERAGE(P3:Q3)</f>
        <v>568.40846153846155</v>
      </c>
      <c r="R4" s="175">
        <f t="shared" ref="R4:Y4" si="16">AVERAGE(Q3:R3)</f>
        <v>572.36256410256419</v>
      </c>
      <c r="S4" s="175">
        <f t="shared" si="16"/>
        <v>575.69145299145305</v>
      </c>
      <c r="T4" s="175">
        <f t="shared" si="16"/>
        <v>578.22649572649573</v>
      </c>
      <c r="U4" s="175">
        <f t="shared" si="16"/>
        <v>578.57948717948716</v>
      </c>
      <c r="V4" s="175">
        <f t="shared" si="16"/>
        <v>578.57948717948716</v>
      </c>
      <c r="W4" s="175">
        <f t="shared" si="16"/>
        <v>578.4599145299145</v>
      </c>
      <c r="X4" s="175">
        <f t="shared" si="16"/>
        <v>574.92153846153838</v>
      </c>
      <c r="Y4" s="175">
        <f t="shared" si="16"/>
        <v>572.44290598290604</v>
      </c>
      <c r="Z4" s="175">
        <f t="shared" ref="Z4" si="17">AVERAGE(Y3:Z3)</f>
        <v>573.38307692307694</v>
      </c>
      <c r="AA4" s="175">
        <f t="shared" ref="AA4" si="18">AVERAGE(Z3:AA3)</f>
        <v>573.38307692307694</v>
      </c>
      <c r="AB4" s="175">
        <f t="shared" ref="AB4" si="19">AVERAGE(AA3:AB3)</f>
        <v>563.59452991452986</v>
      </c>
      <c r="AC4" s="175">
        <f t="shared" ref="AC4" si="20">AVERAGE(AB3:AC3)</f>
        <v>546.51991452991456</v>
      </c>
      <c r="AD4" s="175">
        <f t="shared" ref="AD4" si="21">AVERAGE(AC3:AD3)</f>
        <v>535.52700854700856</v>
      </c>
      <c r="AE4" s="175">
        <f t="shared" ref="AE4" si="22">AVERAGE(AD3:AE3)</f>
        <v>531.8201709401709</v>
      </c>
      <c r="AF4" s="175">
        <f t="shared" ref="AF4" si="23">AVERAGE(AE3:AF3)</f>
        <v>596.14324786324778</v>
      </c>
      <c r="AG4" s="175">
        <f t="shared" ref="AG4" si="24">AVERAGE(AF3:AG3)</f>
        <v>660.46632478632478</v>
      </c>
      <c r="AH4" s="175">
        <f t="shared" ref="AH4" si="25">AVERAGE(AG3:AH3)</f>
        <v>660.46632478632478</v>
      </c>
      <c r="AI4" s="175">
        <f t="shared" ref="AI4" si="26">AVERAGE(AH3:AI3)</f>
        <v>660.46632478632478</v>
      </c>
      <c r="AJ4" s="175">
        <f t="shared" ref="AJ4" si="27">AVERAGE(AI3:AJ3)</f>
        <v>660.46632478632478</v>
      </c>
      <c r="AK4" s="175">
        <f t="shared" ref="AK4" si="28">AVERAGE(AJ3:AK3)</f>
        <v>660.46632478632478</v>
      </c>
      <c r="AL4" s="175">
        <f t="shared" ref="AL4" si="29">AVERAGE(AK3:AL3)</f>
        <v>660.46632478632478</v>
      </c>
      <c r="AM4" s="175">
        <f t="shared" ref="AM4" si="30">AVERAGE(AL3:AM3)</f>
        <v>660.46632478632478</v>
      </c>
      <c r="AN4" s="175">
        <f t="shared" ref="AN4" si="31">AVERAGE(AM3:AN3)</f>
        <v>660.46632478632478</v>
      </c>
    </row>
    <row r="5" spans="2:40">
      <c r="B5" s="161" t="s">
        <v>2301</v>
      </c>
      <c r="C5" s="175"/>
      <c r="D5" s="175"/>
      <c r="E5" s="175"/>
      <c r="F5" s="175"/>
      <c r="G5" s="175"/>
      <c r="H5" s="175"/>
      <c r="I5" s="175"/>
      <c r="J5" s="175"/>
      <c r="K5" s="175"/>
      <c r="L5" s="175"/>
      <c r="M5" s="175"/>
      <c r="N5" s="175"/>
      <c r="O5" s="175"/>
      <c r="P5" s="175"/>
      <c r="Q5" s="175"/>
      <c r="R5" s="175"/>
      <c r="S5" s="175"/>
      <c r="T5" s="175"/>
      <c r="U5" s="175"/>
      <c r="V5" s="175"/>
      <c r="W5" s="175"/>
      <c r="X5" s="175"/>
      <c r="Y5" s="175"/>
      <c r="Z5" s="175"/>
      <c r="AA5" s="175"/>
      <c r="AB5" s="175"/>
      <c r="AC5" s="175"/>
      <c r="AD5" s="175"/>
      <c r="AE5" s="175"/>
      <c r="AF5" s="175"/>
      <c r="AG5" s="175"/>
      <c r="AH5" s="175"/>
      <c r="AI5" s="175"/>
      <c r="AJ5" s="175"/>
      <c r="AK5" s="175"/>
      <c r="AL5" s="175"/>
      <c r="AM5" s="175"/>
      <c r="AN5" s="175"/>
    </row>
    <row r="6" spans="2:40">
      <c r="B6" s="161" t="s">
        <v>2302</v>
      </c>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c r="AD6" s="175"/>
      <c r="AE6" s="175"/>
      <c r="AF6" s="175"/>
      <c r="AG6" s="175"/>
      <c r="AH6" s="175"/>
      <c r="AI6" s="175"/>
      <c r="AJ6" s="175"/>
      <c r="AK6" s="175"/>
      <c r="AL6" s="175"/>
      <c r="AM6" s="175"/>
      <c r="AN6" s="175"/>
    </row>
    <row r="7" spans="2:40">
      <c r="B7" s="161" t="s">
        <v>2303</v>
      </c>
      <c r="C7" s="175"/>
      <c r="D7" s="175"/>
      <c r="E7" s="175"/>
      <c r="F7" s="175"/>
      <c r="G7" s="175"/>
      <c r="H7" s="175"/>
      <c r="I7" s="175"/>
      <c r="J7" s="175"/>
      <c r="K7" s="175"/>
      <c r="L7" s="175"/>
      <c r="M7" s="175"/>
      <c r="N7" s="175">
        <f>Master!H308</f>
        <v>576.90000000000146</v>
      </c>
      <c r="O7" s="175">
        <f>Master!I308</f>
        <v>12718</v>
      </c>
      <c r="P7" s="175">
        <f>Master!J308</f>
        <v>31773</v>
      </c>
      <c r="Q7" s="175">
        <f>Master!K308</f>
        <v>25610</v>
      </c>
      <c r="R7" s="175">
        <f>Master!L308</f>
        <v>34993</v>
      </c>
      <c r="S7" s="175">
        <f>Master!M308</f>
        <v>40507.000000000007</v>
      </c>
      <c r="T7" s="175">
        <f>Master!N308</f>
        <v>55481</v>
      </c>
      <c r="U7" s="175">
        <f>Master!O308</f>
        <v>78405.899999999994</v>
      </c>
      <c r="V7" s="175">
        <f>Master!P308</f>
        <v>79273</v>
      </c>
      <c r="W7" s="175">
        <f>Master!Q308</f>
        <v>83317.7</v>
      </c>
      <c r="X7" s="175">
        <f>Master!R308</f>
        <v>104172.40000000001</v>
      </c>
      <c r="Y7" s="175">
        <f>Master!S308</f>
        <v>102787.20000000001</v>
      </c>
      <c r="Z7" s="175">
        <f>Master!T308</f>
        <v>109644.49999999999</v>
      </c>
      <c r="AA7" s="175">
        <f>Master!U308</f>
        <v>62478.7</v>
      </c>
      <c r="AB7" s="175">
        <f>Master!V308</f>
        <v>63241.117999999988</v>
      </c>
      <c r="AC7" s="175">
        <f>Master!W308</f>
        <v>62142.627</v>
      </c>
      <c r="AD7" s="175">
        <f>Master!X308</f>
        <v>55054.5</v>
      </c>
      <c r="AE7" s="175">
        <f ca="1">Master!Y308</f>
        <v>54653.494928780616</v>
      </c>
      <c r="AF7" s="175">
        <f ca="1">Master!Z308</f>
        <v>55342.041321279292</v>
      </c>
      <c r="AG7" s="175">
        <f ca="1">Master!AA308</f>
        <v>55795.884496091167</v>
      </c>
      <c r="AH7" s="175">
        <f ca="1">Master!AB308</f>
        <v>54288.499316489833</v>
      </c>
      <c r="AI7" s="175">
        <f ca="1">Master!AC308</f>
        <v>52366.418746178511</v>
      </c>
      <c r="AJ7" s="175">
        <f ca="1">Master!AD308</f>
        <v>50049.977498695029</v>
      </c>
      <c r="AK7" s="175">
        <f ca="1">Master!AE308</f>
        <v>47444.193638901423</v>
      </c>
      <c r="AL7" s="175">
        <f ca="1">Master!AF308</f>
        <v>44541.47810606267</v>
      </c>
      <c r="AM7" s="175">
        <f ca="1">Master!AG308</f>
        <v>41607.88530329262</v>
      </c>
      <c r="AN7" s="175">
        <f ca="1">Master!AH308</f>
        <v>38726.404307851932</v>
      </c>
    </row>
    <row r="8" spans="2:40">
      <c r="B8" s="161" t="s">
        <v>2304</v>
      </c>
      <c r="C8" s="175"/>
      <c r="D8" s="175"/>
      <c r="E8" s="175"/>
      <c r="F8" s="175"/>
      <c r="G8" s="175"/>
      <c r="H8" s="175"/>
      <c r="I8" s="175"/>
      <c r="J8" s="175"/>
      <c r="K8" s="175"/>
      <c r="L8" s="175"/>
      <c r="M8" s="175"/>
      <c r="N8" s="175"/>
      <c r="O8" s="175"/>
      <c r="P8" s="175"/>
      <c r="Q8" s="175"/>
      <c r="R8" s="175"/>
      <c r="S8" s="175"/>
      <c r="T8" s="175"/>
      <c r="U8" s="175"/>
      <c r="V8" s="175"/>
      <c r="W8" s="175"/>
      <c r="X8" s="175"/>
      <c r="Y8" s="175"/>
      <c r="Z8" s="175"/>
      <c r="AA8" s="175"/>
      <c r="AB8" s="175"/>
      <c r="AC8" s="175"/>
      <c r="AD8" s="175"/>
      <c r="AE8" s="175"/>
      <c r="AF8" s="175"/>
      <c r="AG8" s="175"/>
      <c r="AH8" s="175"/>
      <c r="AI8" s="175"/>
      <c r="AJ8" s="175"/>
      <c r="AK8" s="175"/>
      <c r="AL8" s="175"/>
      <c r="AM8" s="175"/>
      <c r="AN8" s="175"/>
    </row>
    <row r="9" spans="2:40">
      <c r="B9" s="161" t="s">
        <v>2305</v>
      </c>
      <c r="C9" s="175"/>
      <c r="D9" s="176"/>
      <c r="E9" s="176"/>
      <c r="F9" s="176"/>
      <c r="G9" s="176"/>
      <c r="H9" s="176"/>
      <c r="I9" s="176"/>
      <c r="J9" s="176"/>
      <c r="K9" s="176"/>
      <c r="L9" s="176"/>
      <c r="M9" s="176"/>
      <c r="N9" s="176">
        <f>SOP!$G$19</f>
        <v>1524.2918822963313</v>
      </c>
      <c r="O9" s="176">
        <f>N9</f>
        <v>1524.2918822963313</v>
      </c>
      <c r="P9" s="176">
        <f t="shared" ref="P9:Y9" si="32">O9</f>
        <v>1524.2918822963313</v>
      </c>
      <c r="Q9" s="176">
        <f t="shared" si="32"/>
        <v>1524.2918822963313</v>
      </c>
      <c r="R9" s="176">
        <f t="shared" si="32"/>
        <v>1524.2918822963313</v>
      </c>
      <c r="S9" s="176">
        <f t="shared" si="32"/>
        <v>1524.2918822963313</v>
      </c>
      <c r="T9" s="176">
        <f t="shared" si="32"/>
        <v>1524.2918822963313</v>
      </c>
      <c r="U9" s="176">
        <f t="shared" si="32"/>
        <v>1524.2918822963313</v>
      </c>
      <c r="V9" s="176">
        <f t="shared" si="32"/>
        <v>1524.2918822963313</v>
      </c>
      <c r="W9" s="176">
        <f t="shared" si="32"/>
        <v>1524.2918822963313</v>
      </c>
      <c r="X9" s="176">
        <f t="shared" si="32"/>
        <v>1524.2918822963313</v>
      </c>
      <c r="Y9" s="176">
        <f t="shared" si="32"/>
        <v>1524.2918822963313</v>
      </c>
      <c r="Z9" s="176">
        <f t="shared" ref="Z9:Z10" si="33">Y9</f>
        <v>1524.2918822963313</v>
      </c>
      <c r="AA9" s="176">
        <f t="shared" ref="AA9:AA10" si="34">Z9</f>
        <v>1524.2918822963313</v>
      </c>
      <c r="AB9" s="176">
        <f t="shared" ref="AB9:AB10" si="35">AA9</f>
        <v>1524.2918822963313</v>
      </c>
      <c r="AC9" s="176">
        <f t="shared" ref="AC9:AC10" si="36">AB9</f>
        <v>1524.2918822963313</v>
      </c>
      <c r="AD9" s="176">
        <f t="shared" ref="AD9:AD10" si="37">AC9</f>
        <v>1524.2918822963313</v>
      </c>
      <c r="AE9" s="176">
        <f t="shared" ref="AE9:AE10" si="38">AD9</f>
        <v>1524.2918822963313</v>
      </c>
      <c r="AF9" s="176">
        <f t="shared" ref="AF9:AF10" si="39">AE9</f>
        <v>1524.2918822963313</v>
      </c>
      <c r="AG9" s="176">
        <f t="shared" ref="AG9:AG10" si="40">AF9</f>
        <v>1524.2918822963313</v>
      </c>
      <c r="AH9" s="176">
        <f t="shared" ref="AH9:AH10" si="41">AG9</f>
        <v>1524.2918822963313</v>
      </c>
      <c r="AI9" s="176">
        <f t="shared" ref="AI9:AI10" si="42">AH9</f>
        <v>1524.2918822963313</v>
      </c>
      <c r="AJ9" s="176">
        <f t="shared" ref="AJ9:AJ10" si="43">AI9</f>
        <v>1524.2918822963313</v>
      </c>
      <c r="AK9" s="176">
        <f t="shared" ref="AK9:AK10" si="44">AJ9</f>
        <v>1524.2918822963313</v>
      </c>
      <c r="AL9" s="176">
        <f t="shared" ref="AL9:AL10" si="45">AK9</f>
        <v>1524.2918822963313</v>
      </c>
      <c r="AM9" s="176">
        <f t="shared" ref="AM9:AM10" si="46">AL9</f>
        <v>1524.2918822963313</v>
      </c>
      <c r="AN9" s="176">
        <f t="shared" ref="AN9:AN10" si="47">AM9</f>
        <v>1524.2918822963313</v>
      </c>
    </row>
    <row r="10" spans="2:40">
      <c r="B10" s="161" t="s">
        <v>2306</v>
      </c>
      <c r="C10" s="175"/>
      <c r="D10" s="176"/>
      <c r="E10" s="176"/>
      <c r="F10" s="176"/>
      <c r="G10" s="176"/>
      <c r="H10" s="176"/>
      <c r="I10" s="176"/>
      <c r="J10" s="176"/>
      <c r="K10" s="176"/>
      <c r="L10" s="176"/>
      <c r="M10" s="176"/>
      <c r="N10" s="176">
        <f>SOP!$G$24</f>
        <v>693.19143129330246</v>
      </c>
      <c r="O10" s="176">
        <f t="shared" ref="O10:Y10" si="48">N10</f>
        <v>693.19143129330246</v>
      </c>
      <c r="P10" s="176">
        <f t="shared" si="48"/>
        <v>693.19143129330246</v>
      </c>
      <c r="Q10" s="176">
        <f t="shared" si="48"/>
        <v>693.19143129330246</v>
      </c>
      <c r="R10" s="176">
        <f t="shared" si="48"/>
        <v>693.19143129330246</v>
      </c>
      <c r="S10" s="176">
        <f t="shared" si="48"/>
        <v>693.19143129330246</v>
      </c>
      <c r="T10" s="176">
        <f t="shared" si="48"/>
        <v>693.19143129330246</v>
      </c>
      <c r="U10" s="176">
        <f t="shared" si="48"/>
        <v>693.19143129330246</v>
      </c>
      <c r="V10" s="176">
        <f t="shared" si="48"/>
        <v>693.19143129330246</v>
      </c>
      <c r="W10" s="176">
        <f t="shared" si="48"/>
        <v>693.19143129330246</v>
      </c>
      <c r="X10" s="176">
        <f t="shared" si="48"/>
        <v>693.19143129330246</v>
      </c>
      <c r="Y10" s="176">
        <f t="shared" si="48"/>
        <v>693.19143129330246</v>
      </c>
      <c r="Z10" s="176">
        <f t="shared" si="33"/>
        <v>693.19143129330246</v>
      </c>
      <c r="AA10" s="176">
        <f t="shared" si="34"/>
        <v>693.19143129330246</v>
      </c>
      <c r="AB10" s="176">
        <f t="shared" si="35"/>
        <v>693.19143129330246</v>
      </c>
      <c r="AC10" s="176">
        <f t="shared" si="36"/>
        <v>693.19143129330246</v>
      </c>
      <c r="AD10" s="176">
        <f t="shared" si="37"/>
        <v>693.19143129330246</v>
      </c>
      <c r="AE10" s="176">
        <f t="shared" si="38"/>
        <v>693.19143129330246</v>
      </c>
      <c r="AF10" s="176">
        <f t="shared" si="39"/>
        <v>693.19143129330246</v>
      </c>
      <c r="AG10" s="176">
        <f t="shared" si="40"/>
        <v>693.19143129330246</v>
      </c>
      <c r="AH10" s="176">
        <f t="shared" si="41"/>
        <v>693.19143129330246</v>
      </c>
      <c r="AI10" s="176">
        <f t="shared" si="42"/>
        <v>693.19143129330246</v>
      </c>
      <c r="AJ10" s="176">
        <f t="shared" si="43"/>
        <v>693.19143129330246</v>
      </c>
      <c r="AK10" s="176">
        <f t="shared" si="44"/>
        <v>693.19143129330246</v>
      </c>
      <c r="AL10" s="176">
        <f t="shared" si="45"/>
        <v>693.19143129330246</v>
      </c>
      <c r="AM10" s="176">
        <f t="shared" si="46"/>
        <v>693.19143129330246</v>
      </c>
      <c r="AN10" s="176">
        <f t="shared" si="47"/>
        <v>693.19143129330246</v>
      </c>
    </row>
    <row r="11" spans="2:40">
      <c r="B11" s="161" t="s">
        <v>2307</v>
      </c>
      <c r="C11" s="175"/>
      <c r="D11" s="176"/>
      <c r="E11" s="176"/>
      <c r="F11" s="176"/>
      <c r="G11" s="176"/>
      <c r="H11" s="176"/>
      <c r="I11" s="176"/>
      <c r="J11" s="176"/>
      <c r="K11" s="176"/>
      <c r="L11" s="176"/>
      <c r="M11" s="176"/>
      <c r="N11" s="176"/>
      <c r="O11" s="176"/>
      <c r="P11" s="176"/>
      <c r="Q11" s="176"/>
      <c r="R11" s="176"/>
      <c r="S11" s="176">
        <f>-Valuation!J16*Master!M7</f>
        <v>0</v>
      </c>
      <c r="T11" s="176">
        <f>-Valuation!K16*Master!N7</f>
        <v>0</v>
      </c>
      <c r="U11" s="176">
        <f>-Valuation!L16*Master!O7</f>
        <v>0</v>
      </c>
      <c r="V11" s="176">
        <f>-Valuation!M16*Master!P7</f>
        <v>0</v>
      </c>
      <c r="W11" s="176">
        <f>-Valuation!N16*Master!Q7</f>
        <v>0</v>
      </c>
      <c r="X11" s="176">
        <f>-Valuation!O16*Master!R7</f>
        <v>0</v>
      </c>
      <c r="Y11" s="176">
        <f>-Valuation!P16*Master!S7</f>
        <v>0</v>
      </c>
      <c r="Z11" s="176">
        <f>-Valuation!Q16*Master!T7</f>
        <v>0</v>
      </c>
      <c r="AA11" s="176">
        <f>-Valuation!R16*Master!U7</f>
        <v>0</v>
      </c>
      <c r="AB11" s="176">
        <f>-Valuation!S16*Master!V7</f>
        <v>0</v>
      </c>
      <c r="AC11" s="176">
        <f>-Valuation!T16*Master!W7</f>
        <v>0</v>
      </c>
      <c r="AD11" s="176">
        <f>-Valuation!U16*Master!X7</f>
        <v>0</v>
      </c>
      <c r="AE11" s="176">
        <f>-Valuation!V16*Master!Y7</f>
        <v>0</v>
      </c>
      <c r="AF11" s="176">
        <f>-Valuation!W16*Master!Z7</f>
        <v>1244.0848717948718</v>
      </c>
      <c r="AG11" s="176">
        <f>-Valuation!X16*Master!AA7</f>
        <v>2513.051441025641</v>
      </c>
      <c r="AH11" s="176">
        <f>-Valuation!Y16*Master!AB7</f>
        <v>3807.3973416410254</v>
      </c>
      <c r="AI11" s="176">
        <f>-Valuation!Z16*Master!AC7</f>
        <v>5127.6301602687181</v>
      </c>
      <c r="AJ11" s="176">
        <f>-Valuation!AA16*Master!AD7</f>
        <v>6474.2676352689641</v>
      </c>
      <c r="AK11" s="176">
        <f>-Valuation!AB16*Master!AE7</f>
        <v>7847.8378597692154</v>
      </c>
      <c r="AL11" s="176">
        <f>-Valuation!AC16*Master!AF7</f>
        <v>9248.8794887594722</v>
      </c>
      <c r="AM11" s="176">
        <f>-Valuation!AD16*Master!AG7</f>
        <v>10677.941950329532</v>
      </c>
      <c r="AN11" s="176">
        <f>-Valuation!AE16*Master!AH7</f>
        <v>12135.585661130996</v>
      </c>
    </row>
    <row r="12" spans="2:40">
      <c r="B12" s="161" t="s">
        <v>2308</v>
      </c>
      <c r="C12" s="175"/>
      <c r="D12" s="175"/>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row>
    <row r="13" spans="2:40">
      <c r="B13" s="161" t="s">
        <v>248</v>
      </c>
      <c r="C13" s="175"/>
      <c r="D13" s="175"/>
      <c r="E13" s="175"/>
      <c r="F13" s="175"/>
      <c r="G13" s="175"/>
      <c r="H13" s="175"/>
      <c r="I13" s="175"/>
      <c r="J13" s="175"/>
      <c r="K13" s="175"/>
      <c r="L13" s="175"/>
      <c r="M13" s="175"/>
      <c r="N13" s="180">
        <f>Master!H166</f>
        <v>0</v>
      </c>
      <c r="O13" s="180">
        <f>Master!I166</f>
        <v>1.75</v>
      </c>
      <c r="P13" s="180">
        <f>Master!J166</f>
        <v>1.75</v>
      </c>
      <c r="Q13" s="180">
        <f>Master!K166</f>
        <v>1.75</v>
      </c>
      <c r="R13" s="180">
        <f>Master!L166</f>
        <v>1.75</v>
      </c>
      <c r="S13" s="180">
        <f>Master!M166</f>
        <v>0</v>
      </c>
      <c r="T13" s="180">
        <f>Master!N166</f>
        <v>1.75</v>
      </c>
      <c r="U13" s="180">
        <f>Master!O166</f>
        <v>1.75</v>
      </c>
      <c r="V13" s="180">
        <f>Master!P166</f>
        <v>1.75</v>
      </c>
      <c r="W13" s="180">
        <f>Master!Q166</f>
        <v>1.75</v>
      </c>
      <c r="X13" s="180">
        <f>Master!R166</f>
        <v>0</v>
      </c>
      <c r="Y13" s="180">
        <f>Master!S166</f>
        <v>1.75</v>
      </c>
      <c r="Z13" s="180">
        <f>Master!T166</f>
        <v>1.764957264955</v>
      </c>
      <c r="AA13" s="180">
        <f>Master!U166</f>
        <v>1.764957264955</v>
      </c>
      <c r="AB13" s="180">
        <f>Master!V166</f>
        <v>1.764957264955</v>
      </c>
      <c r="AC13" s="180">
        <f>Master!W166</f>
        <v>1.764957264955</v>
      </c>
      <c r="AD13" s="180">
        <f>Master!X166</f>
        <v>1.764957264955</v>
      </c>
      <c r="AE13" s="180">
        <f>Master!Y166</f>
        <v>0</v>
      </c>
      <c r="AF13" s="180">
        <f>Master!Z166</f>
        <v>1.75</v>
      </c>
      <c r="AG13" s="180">
        <f>Master!AA166</f>
        <v>1.75</v>
      </c>
      <c r="AH13" s="180">
        <f>Master!AB166</f>
        <v>1.75</v>
      </c>
      <c r="AI13" s="180">
        <f>Master!AC166</f>
        <v>1.75</v>
      </c>
      <c r="AJ13" s="180">
        <f>Master!AD166</f>
        <v>1.75</v>
      </c>
      <c r="AK13" s="180">
        <f>Master!AE166</f>
        <v>1.75</v>
      </c>
      <c r="AL13" s="180">
        <f>Master!AF166</f>
        <v>1.75</v>
      </c>
      <c r="AM13" s="180">
        <f>Master!AG166</f>
        <v>1.75</v>
      </c>
      <c r="AN13" s="180">
        <f>Master!AH166</f>
        <v>1.75</v>
      </c>
    </row>
    <row r="14" spans="2:40">
      <c r="B14" s="161" t="s">
        <v>246</v>
      </c>
      <c r="C14" s="175"/>
      <c r="D14" s="175"/>
      <c r="E14" s="175"/>
      <c r="F14" s="175"/>
      <c r="G14" s="175"/>
      <c r="H14" s="175"/>
      <c r="I14" s="175"/>
      <c r="J14" s="175"/>
      <c r="K14" s="175"/>
      <c r="L14" s="175"/>
      <c r="M14" s="175"/>
      <c r="N14" s="180">
        <f>Master!H164</f>
        <v>10.738881707417697</v>
      </c>
      <c r="O14" s="180">
        <f>Master!I164</f>
        <v>12.76109690698812</v>
      </c>
      <c r="P14" s="180">
        <f>Master!J164</f>
        <v>12.139648999158904</v>
      </c>
      <c r="Q14" s="180">
        <f>Master!K164</f>
        <v>15.337637942406241</v>
      </c>
      <c r="R14" s="180">
        <f>Master!L164</f>
        <v>13.511373966849769</v>
      </c>
      <c r="S14" s="180">
        <f>Master!M164</f>
        <v>9.3179561966064828</v>
      </c>
      <c r="T14" s="180">
        <f>Master!N164</f>
        <v>21.992310964962812</v>
      </c>
      <c r="U14" s="180">
        <f>Master!O164</f>
        <v>6.4316141212341362</v>
      </c>
      <c r="V14" s="180">
        <f>Master!P164</f>
        <v>7.8208787215372784</v>
      </c>
      <c r="W14" s="180">
        <f>Master!Q164</f>
        <v>4.3137229401786596</v>
      </c>
      <c r="X14" s="180">
        <f>Master!R164</f>
        <v>8.2645273773655923</v>
      </c>
      <c r="Y14" s="180">
        <f>Master!S164</f>
        <v>-0.65436183086083755</v>
      </c>
      <c r="Z14" s="180">
        <f>Master!T164</f>
        <v>8.9617224623623812</v>
      </c>
      <c r="AA14" s="180">
        <f>Master!U164</f>
        <v>-22.238308930262765</v>
      </c>
      <c r="AB14" s="180">
        <f>Master!V164</f>
        <v>-18.881356147745283</v>
      </c>
      <c r="AC14" s="180">
        <f>Master!W164</f>
        <v>-15.328308968279792</v>
      </c>
      <c r="AD14" s="180">
        <f>Master!X164</f>
        <v>-1.4032280849384191</v>
      </c>
      <c r="AE14" s="180">
        <f ca="1">Master!Y164</f>
        <v>-0.19397180900977282</v>
      </c>
      <c r="AF14" s="180">
        <f ca="1">Master!Z164</f>
        <v>0.49544381979044805</v>
      </c>
      <c r="AG14" s="180">
        <f ca="1">Master!AA164</f>
        <v>1.2059905365169157</v>
      </c>
      <c r="AH14" s="180">
        <f ca="1">Master!AB164</f>
        <v>2.5958605068069689</v>
      </c>
      <c r="AI14" s="180">
        <f ca="1">Master!AC164</f>
        <v>4.3701327209195115</v>
      </c>
      <c r="AJ14" s="180">
        <f ca="1">Master!AD164</f>
        <v>6.2121160608473263</v>
      </c>
      <c r="AK14" s="180">
        <f ca="1">Master!AE164</f>
        <v>7.8126137836319156</v>
      </c>
      <c r="AL14" s="180">
        <f ca="1">Master!AF164</f>
        <v>9.2316448913805811</v>
      </c>
      <c r="AM14" s="180">
        <f ca="1">Master!AG164</f>
        <v>10.039369935081819</v>
      </c>
      <c r="AN14" s="180">
        <f ca="1">Master!AH164</f>
        <v>10.882321198767256</v>
      </c>
    </row>
    <row r="15" spans="2:40">
      <c r="B15" s="161" t="s">
        <v>247</v>
      </c>
      <c r="C15" s="175"/>
      <c r="D15" s="175"/>
      <c r="E15" s="175"/>
      <c r="F15" s="175"/>
      <c r="G15" s="175"/>
      <c r="H15" s="175"/>
      <c r="I15" s="175"/>
      <c r="J15" s="175"/>
      <c r="K15" s="175"/>
      <c r="L15" s="175"/>
      <c r="M15" s="175"/>
      <c r="N15" s="180">
        <f>Master!H165</f>
        <v>15.485299375670399</v>
      </c>
      <c r="O15" s="180">
        <f>Master!I165</f>
        <v>14.611365964870179</v>
      </c>
      <c r="P15" s="180">
        <f>Master!J165</f>
        <v>13.948343899706449</v>
      </c>
      <c r="Q15" s="180">
        <f>Master!K165</f>
        <v>15.381579309626613</v>
      </c>
      <c r="R15" s="180">
        <f>Master!L165</f>
        <v>14.754207804447718</v>
      </c>
      <c r="S15" s="180">
        <f>Master!M165</f>
        <v>17.266754620536243</v>
      </c>
      <c r="T15" s="180">
        <f>Master!N165</f>
        <v>8.2621318348209041</v>
      </c>
      <c r="U15" s="180">
        <f>Master!O165</f>
        <v>10.810787693998556</v>
      </c>
      <c r="V15" s="180">
        <f>Master!P165</f>
        <v>4.9310424292919031</v>
      </c>
      <c r="W15" s="180">
        <f>Master!Q165</f>
        <v>5.419646137444281</v>
      </c>
      <c r="X15" s="180">
        <f>Master!R165</f>
        <v>8.2645273773655923</v>
      </c>
      <c r="Y15" s="180">
        <f>Master!S165</f>
        <v>8.8600452375777667</v>
      </c>
      <c r="Z15" s="180">
        <f>Master!T165</f>
        <v>8.9617224623623812</v>
      </c>
      <c r="AA15" s="180">
        <f>Master!U165</f>
        <v>-22.238308930262765</v>
      </c>
      <c r="AB15" s="180">
        <f>Master!V165</f>
        <v>-18.881356147745283</v>
      </c>
      <c r="AC15" s="180">
        <f>Master!W165</f>
        <v>-15.433673274332255</v>
      </c>
      <c r="AD15" s="180">
        <f>Master!X165</f>
        <v>-2.6587691051663231</v>
      </c>
      <c r="AE15" s="180">
        <f ca="1">Master!Y165</f>
        <v>-1.3255394329832806</v>
      </c>
      <c r="AF15" s="180">
        <f ca="1">Master!Z165</f>
        <v>-0.43894666697509555</v>
      </c>
      <c r="AG15" s="180">
        <f ca="1">Master!AA165</f>
        <v>0.28147513650118816</v>
      </c>
      <c r="AH15" s="180">
        <f ca="1">Master!AB165</f>
        <v>1.5837644083264386</v>
      </c>
      <c r="AI15" s="180">
        <f ca="1">Master!AC165</f>
        <v>3.2883522908684735</v>
      </c>
      <c r="AJ15" s="180">
        <f ca="1">Master!AD165</f>
        <v>4.949561959484658</v>
      </c>
      <c r="AK15" s="180">
        <f ca="1">Master!AE165</f>
        <v>6.3870887268040653</v>
      </c>
      <c r="AL15" s="180">
        <f ca="1">Master!AF165</f>
        <v>7.6650436230535224</v>
      </c>
      <c r="AM15" s="180">
        <f ca="1">Master!AG165</f>
        <v>8.3628976891132751</v>
      </c>
      <c r="AN15" s="180">
        <f ca="1">Master!AH165</f>
        <v>9.3469967583120273</v>
      </c>
    </row>
    <row r="16" spans="2:40">
      <c r="D16" s="164"/>
      <c r="E16" s="164"/>
      <c r="F16" s="164"/>
      <c r="G16" s="164"/>
      <c r="H16" s="164"/>
      <c r="I16" s="164"/>
      <c r="J16" s="164"/>
      <c r="K16" s="164"/>
      <c r="L16" s="164"/>
      <c r="M16" s="165"/>
      <c r="N16" s="164"/>
      <c r="O16" s="164"/>
      <c r="P16" s="164"/>
      <c r="Q16" s="164"/>
    </row>
    <row r="17" spans="2:40">
      <c r="B17" s="160" t="s">
        <v>2309</v>
      </c>
      <c r="C17" s="160">
        <v>1998</v>
      </c>
      <c r="D17" s="166">
        <v>1999</v>
      </c>
      <c r="E17" s="166">
        <v>2000</v>
      </c>
      <c r="F17" s="166">
        <v>2001</v>
      </c>
      <c r="G17" s="166">
        <v>2002</v>
      </c>
      <c r="H17" s="166">
        <v>2003</v>
      </c>
      <c r="I17" s="166">
        <v>2004</v>
      </c>
      <c r="J17" s="166">
        <v>2005</v>
      </c>
      <c r="K17" s="166">
        <v>2006</v>
      </c>
      <c r="L17" s="166">
        <v>2007</v>
      </c>
      <c r="M17" s="166">
        <v>2008</v>
      </c>
      <c r="N17" s="166">
        <v>2009</v>
      </c>
      <c r="O17" s="166">
        <v>2010</v>
      </c>
      <c r="P17" s="166">
        <v>2011</v>
      </c>
      <c r="Q17" s="166">
        <v>2012</v>
      </c>
      <c r="R17" s="160">
        <v>2013</v>
      </c>
      <c r="S17" s="160">
        <v>2014</v>
      </c>
      <c r="T17" s="160">
        <v>2015</v>
      </c>
      <c r="U17" s="160">
        <v>2016</v>
      </c>
      <c r="V17" s="160">
        <v>2017</v>
      </c>
      <c r="W17" s="160">
        <v>2018</v>
      </c>
      <c r="X17" s="160">
        <f>W17+1</f>
        <v>2019</v>
      </c>
      <c r="Y17" s="160">
        <f>X17+1</f>
        <v>2020</v>
      </c>
      <c r="Z17" s="160">
        <f t="shared" ref="Z17:AN17" si="49">Y17+1</f>
        <v>2021</v>
      </c>
      <c r="AA17" s="160">
        <f t="shared" si="49"/>
        <v>2022</v>
      </c>
      <c r="AB17" s="160">
        <f t="shared" si="49"/>
        <v>2023</v>
      </c>
      <c r="AC17" s="160">
        <f t="shared" si="49"/>
        <v>2024</v>
      </c>
      <c r="AD17" s="160">
        <f t="shared" si="49"/>
        <v>2025</v>
      </c>
      <c r="AE17" s="160">
        <f t="shared" si="49"/>
        <v>2026</v>
      </c>
      <c r="AF17" s="160">
        <f t="shared" si="49"/>
        <v>2027</v>
      </c>
      <c r="AG17" s="160">
        <f t="shared" si="49"/>
        <v>2028</v>
      </c>
      <c r="AH17" s="160">
        <f t="shared" si="49"/>
        <v>2029</v>
      </c>
      <c r="AI17" s="160">
        <f t="shared" si="49"/>
        <v>2030</v>
      </c>
      <c r="AJ17" s="160">
        <f t="shared" si="49"/>
        <v>2031</v>
      </c>
      <c r="AK17" s="160">
        <f t="shared" si="49"/>
        <v>2032</v>
      </c>
      <c r="AL17" s="160">
        <f t="shared" si="49"/>
        <v>2033</v>
      </c>
      <c r="AM17" s="160">
        <f t="shared" si="49"/>
        <v>2034</v>
      </c>
      <c r="AN17" s="160">
        <f t="shared" si="49"/>
        <v>2035</v>
      </c>
    </row>
    <row r="18" spans="2:40">
      <c r="B18" s="161" t="s">
        <v>2310</v>
      </c>
      <c r="C18" s="175"/>
      <c r="D18" s="175"/>
      <c r="E18" s="175"/>
      <c r="F18" s="175"/>
      <c r="G18" s="175"/>
      <c r="H18" s="175"/>
      <c r="I18" s="175"/>
      <c r="J18" s="175">
        <f>Master!D132</f>
        <v>35067.93778783601</v>
      </c>
      <c r="K18" s="175">
        <f>Master!E132</f>
        <v>39357.682798718743</v>
      </c>
      <c r="L18" s="175">
        <f>Master!F132</f>
        <v>41561.558807027344</v>
      </c>
      <c r="M18" s="175">
        <f>Master!G132</f>
        <v>47972.188249737257</v>
      </c>
      <c r="N18" s="175">
        <f>Master!H132</f>
        <v>52352.373298644896</v>
      </c>
      <c r="O18" s="175">
        <f>Master!I132</f>
        <v>57856.799999999996</v>
      </c>
      <c r="P18" s="175">
        <f>Master!J132</f>
        <v>62581.5</v>
      </c>
      <c r="Q18" s="175">
        <f>Master!K132</f>
        <v>69290.399999999994</v>
      </c>
      <c r="R18" s="175">
        <f>Master!L132</f>
        <v>73793.600000000006</v>
      </c>
      <c r="S18" s="175">
        <f>Master!M132</f>
        <v>80118.399999999994</v>
      </c>
      <c r="T18" s="175">
        <f>Master!N132</f>
        <v>88052</v>
      </c>
      <c r="U18" s="175">
        <f>Master!O132</f>
        <v>96287.4</v>
      </c>
      <c r="V18" s="175">
        <f>Master!P132</f>
        <v>94275</v>
      </c>
      <c r="W18" s="175">
        <f>Master!Q132</f>
        <v>101310</v>
      </c>
      <c r="X18" s="175">
        <f>Master!R132</f>
        <v>100650.6</v>
      </c>
      <c r="Y18" s="175">
        <f>Master!S132</f>
        <v>97138.3</v>
      </c>
      <c r="Z18" s="175">
        <f>Master!T132</f>
        <v>103521.8</v>
      </c>
      <c r="AA18" s="175">
        <f>Master!U132</f>
        <v>75526.600000000006</v>
      </c>
      <c r="AB18" s="175">
        <f>Master!V132</f>
        <v>73767.900000000009</v>
      </c>
      <c r="AC18" s="175">
        <f>Master!W132</f>
        <v>62260.864000000001</v>
      </c>
      <c r="AD18" s="175">
        <f>Master!X132</f>
        <v>58878.2</v>
      </c>
      <c r="AE18" s="175">
        <f>Master!Y132</f>
        <v>57082.082599999994</v>
      </c>
      <c r="AF18" s="175">
        <f>Master!Z132</f>
        <v>54906.967513999989</v>
      </c>
      <c r="AG18" s="175">
        <f>Master!AA132</f>
        <v>52481.078674779994</v>
      </c>
      <c r="AH18" s="175">
        <f>Master!AB132</f>
        <v>51910.543243480584</v>
      </c>
      <c r="AI18" s="175">
        <f>Master!AC132</f>
        <v>52126.595162057252</v>
      </c>
      <c r="AJ18" s="175">
        <f>Master!AD132</f>
        <v>52789.33237346766</v>
      </c>
      <c r="AK18" s="175">
        <f>Master!AE132</f>
        <v>53245.451176807837</v>
      </c>
      <c r="AL18" s="175">
        <f>Master!AF132</f>
        <v>53602.351070998826</v>
      </c>
      <c r="AM18" s="175">
        <f>Master!AG132</f>
        <v>52976.364798224429</v>
      </c>
      <c r="AN18" s="175">
        <f>Master!AH132</f>
        <v>53267.726773023562</v>
      </c>
    </row>
    <row r="19" spans="2:40">
      <c r="B19" s="161" t="s">
        <v>1247</v>
      </c>
      <c r="C19" s="175"/>
      <c r="D19" s="175"/>
      <c r="E19" s="175"/>
      <c r="F19" s="175"/>
      <c r="G19" s="175"/>
      <c r="H19" s="175"/>
      <c r="I19" s="175"/>
      <c r="J19" s="175">
        <f>Master!D140</f>
        <v>0</v>
      </c>
      <c r="K19" s="175">
        <f>Master!E140</f>
        <v>17559.151691940959</v>
      </c>
      <c r="L19" s="175">
        <f>Master!F140</f>
        <v>18072.703278763511</v>
      </c>
      <c r="M19" s="175">
        <f>Master!G140</f>
        <v>19916.829977941648</v>
      </c>
      <c r="N19" s="175">
        <f>Master!H140</f>
        <v>20087</v>
      </c>
      <c r="O19" s="175">
        <f>Master!I140</f>
        <v>21568</v>
      </c>
      <c r="P19" s="175">
        <f>Master!J140</f>
        <v>23634.9</v>
      </c>
      <c r="Q19" s="175">
        <f>Master!K140</f>
        <v>26613.8</v>
      </c>
      <c r="R19" s="175">
        <f>Master!L140</f>
        <v>28205.576890624998</v>
      </c>
      <c r="S19" s="175">
        <f>Master!M140</f>
        <v>30007.9</v>
      </c>
      <c r="T19" s="175">
        <f>Master!N140</f>
        <v>32375.299999999992</v>
      </c>
      <c r="U19" s="175">
        <f>Master!O140</f>
        <v>33577.899999999994</v>
      </c>
      <c r="V19" s="175">
        <f>Master!P140</f>
        <v>32780</v>
      </c>
      <c r="W19" s="175">
        <f>Master!Q140</f>
        <v>36572.5</v>
      </c>
      <c r="X19" s="175">
        <f>Master!R140</f>
        <v>38218.1</v>
      </c>
      <c r="Y19" s="175">
        <f>Master!S140</f>
        <v>38810.299999999996</v>
      </c>
      <c r="Z19" s="175">
        <f>Master!T140</f>
        <v>43601.599999999999</v>
      </c>
      <c r="AA19" s="175">
        <f>Master!U140</f>
        <v>25536.03</v>
      </c>
      <c r="AB19" s="175">
        <f>Master!V140</f>
        <v>24124.600000000002</v>
      </c>
      <c r="AC19" s="175">
        <f>Master!W140</f>
        <v>17692.015999999996</v>
      </c>
      <c r="AD19" s="175">
        <f>Master!X140</f>
        <v>21385.4</v>
      </c>
      <c r="AE19" s="175">
        <f>Master!Y140</f>
        <v>21683.037436526331</v>
      </c>
      <c r="AF19" s="175">
        <f>Master!Z140</f>
        <v>21241.153183097853</v>
      </c>
      <c r="AG19" s="175">
        <f>Master!AA140</f>
        <v>20722.529360417931</v>
      </c>
      <c r="AH19" s="175">
        <f>Master!AB140</f>
        <v>20756.802080019293</v>
      </c>
      <c r="AI19" s="175">
        <f>Master!AC140</f>
        <v>21103.824961091603</v>
      </c>
      <c r="AJ19" s="175">
        <f>Master!AD140</f>
        <v>21636.085524170499</v>
      </c>
      <c r="AK19" s="175">
        <f>Master!AE140</f>
        <v>22089.256334643047</v>
      </c>
      <c r="AL19" s="175">
        <f>Master!AF140</f>
        <v>22505.330564338114</v>
      </c>
      <c r="AM19" s="175">
        <f>Master!AG140</f>
        <v>22507.3875734463</v>
      </c>
      <c r="AN19" s="175">
        <f>Master!AH140</f>
        <v>22764.344109753874</v>
      </c>
    </row>
    <row r="20" spans="2:40">
      <c r="B20" s="161" t="s">
        <v>2311</v>
      </c>
      <c r="C20" s="175"/>
      <c r="D20" s="175"/>
      <c r="E20" s="175"/>
      <c r="F20" s="175"/>
      <c r="G20" s="175"/>
      <c r="H20" s="175"/>
      <c r="I20" s="175"/>
      <c r="J20" s="175"/>
      <c r="K20" s="175"/>
      <c r="L20" s="175"/>
      <c r="M20" s="175"/>
      <c r="N20" s="175">
        <f>Master!H228</f>
        <v>4390</v>
      </c>
      <c r="O20" s="175">
        <f>Master!I228</f>
        <v>5697</v>
      </c>
      <c r="P20" s="175">
        <f>Master!J228</f>
        <v>6501</v>
      </c>
      <c r="Q20" s="175">
        <f>Master!K228</f>
        <v>7122.2916099069244</v>
      </c>
      <c r="R20" s="175">
        <f>Master!L228</f>
        <v>8426.7308289351131</v>
      </c>
      <c r="S20" s="175">
        <f>Master!M228</f>
        <v>9411.8212326843186</v>
      </c>
      <c r="T20" s="175">
        <f>Master!N228</f>
        <v>11222.332339055185</v>
      </c>
      <c r="U20" s="175">
        <f>Master!O228</f>
        <v>12681.492375298647</v>
      </c>
      <c r="V20" s="175">
        <f>Master!P228</f>
        <v>13775.112009065635</v>
      </c>
      <c r="W20" s="175">
        <f>Master!Q228</f>
        <v>15461.690203840175</v>
      </c>
      <c r="X20" s="175">
        <f>Master!R228</f>
        <v>15598.453258756492</v>
      </c>
      <c r="Y20" s="175">
        <f>Master!S228</f>
        <v>15664.841174858946</v>
      </c>
      <c r="Z20" s="175">
        <f>Master!T228</f>
        <v>16057.827405879905</v>
      </c>
      <c r="AA20" s="175">
        <f>Master!U228</f>
        <v>15135.795108159535</v>
      </c>
      <c r="AB20" s="175">
        <f>Master!V228</f>
        <v>17634</v>
      </c>
      <c r="AC20" s="175">
        <f>Master!W228</f>
        <v>16258</v>
      </c>
      <c r="AD20" s="175">
        <f>Master!X228</f>
        <v>14258</v>
      </c>
      <c r="AE20" s="175">
        <f>Master!Y228</f>
        <v>13953.961219733854</v>
      </c>
      <c r="AF20" s="175">
        <f>Master!Z228</f>
        <v>14028.502288162032</v>
      </c>
      <c r="AG20" s="175">
        <f>Master!AA228</f>
        <v>13371.182595606751</v>
      </c>
      <c r="AH20" s="175">
        <f>Master!AB228</f>
        <v>12664.208529554813</v>
      </c>
      <c r="AI20" s="175">
        <f>Master!AC228</f>
        <v>12053.423684546047</v>
      </c>
      <c r="AJ20" s="175">
        <f>Master!AD228</f>
        <v>11545.267342408524</v>
      </c>
      <c r="AK20" s="175">
        <f>Master!AE228</f>
        <v>11131.769480421153</v>
      </c>
      <c r="AL20" s="175">
        <f>Master!AF228</f>
        <v>10806.594692997816</v>
      </c>
      <c r="AM20" s="175">
        <f>Master!AG228</f>
        <v>10540.34165419529</v>
      </c>
      <c r="AN20" s="175">
        <f>Master!AH228</f>
        <v>10309.394220941171</v>
      </c>
    </row>
    <row r="21" spans="2:40">
      <c r="B21" s="161" t="s">
        <v>2312</v>
      </c>
      <c r="C21" s="175"/>
      <c r="D21" s="175"/>
      <c r="E21" s="175"/>
      <c r="F21" s="175"/>
      <c r="G21" s="175"/>
      <c r="H21" s="175"/>
      <c r="I21" s="175"/>
      <c r="J21" s="175"/>
      <c r="K21" s="175"/>
      <c r="L21" s="175"/>
      <c r="M21" s="175"/>
      <c r="N21" s="175">
        <f>Master!H252</f>
        <v>540</v>
      </c>
      <c r="O21" s="175">
        <f>Master!I252</f>
        <v>882</v>
      </c>
      <c r="P21" s="175">
        <f>Master!J252</f>
        <v>928.69999999999982</v>
      </c>
      <c r="Q21" s="175">
        <f>Master!K252</f>
        <v>1351.7083900930756</v>
      </c>
      <c r="R21" s="175">
        <f>Master!L252</f>
        <v>1419.2691710648869</v>
      </c>
      <c r="S21" s="175">
        <f>Master!M252</f>
        <v>2151.1787673156814</v>
      </c>
      <c r="T21" s="175">
        <f>Master!N252</f>
        <v>3438.5676609448146</v>
      </c>
      <c r="U21" s="175">
        <f>Master!O252</f>
        <v>4298.3076247013523</v>
      </c>
      <c r="V21" s="175">
        <f>Master!P252</f>
        <v>4760.887990934365</v>
      </c>
      <c r="W21" s="175">
        <f>Master!Q252</f>
        <v>4372.3097961598251</v>
      </c>
      <c r="X21" s="175">
        <f>Master!R252</f>
        <v>5409.5467412435082</v>
      </c>
      <c r="Y21" s="175">
        <f>Master!S252</f>
        <v>5596.158825141054</v>
      </c>
      <c r="Z21" s="175">
        <f>Master!T252</f>
        <v>5360.4725941200941</v>
      </c>
      <c r="AA21" s="175">
        <f>Master!U252</f>
        <v>5981.6048918404667</v>
      </c>
      <c r="AB21" s="175">
        <f>Master!V252</f>
        <v>3920.4000000000015</v>
      </c>
      <c r="AC21" s="175">
        <f>Master!W252</f>
        <v>4252.9000000000015</v>
      </c>
      <c r="AD21" s="175">
        <f>Master!X252</f>
        <v>2902.5</v>
      </c>
      <c r="AE21" s="175">
        <f>Master!Y252</f>
        <v>3069.4746399999999</v>
      </c>
      <c r="AF21" s="175">
        <f>Master!Z252</f>
        <v>3109.8158106000001</v>
      </c>
      <c r="AG21" s="175">
        <f>Master!AA252</f>
        <v>3128.7026294460006</v>
      </c>
      <c r="AH21" s="175">
        <f>Master!AB252</f>
        <v>3127.5681423956307</v>
      </c>
      <c r="AI21" s="175">
        <f>Master!AC252</f>
        <v>3108.1311777558371</v>
      </c>
      <c r="AJ21" s="175">
        <f>Master!AD252</f>
        <v>3072.3305129792666</v>
      </c>
      <c r="AK21" s="175">
        <f>Master!AE252</f>
        <v>3022.2577095505603</v>
      </c>
      <c r="AL21" s="175">
        <f>Master!AF252</f>
        <v>2960.091073386362</v>
      </c>
      <c r="AM21" s="175">
        <f>Master!AG252</f>
        <v>2888.0329564663621</v>
      </c>
      <c r="AN21" s="175">
        <f>Master!AH252</f>
        <v>2808.252293427498</v>
      </c>
    </row>
    <row r="22" spans="2:40">
      <c r="B22" s="161" t="s">
        <v>2313</v>
      </c>
      <c r="C22" s="175"/>
      <c r="D22" s="175"/>
      <c r="E22" s="175"/>
      <c r="F22" s="175"/>
      <c r="G22" s="175"/>
      <c r="H22" s="175"/>
      <c r="I22" s="175"/>
      <c r="J22" s="175"/>
      <c r="K22" s="175"/>
      <c r="L22" s="175"/>
      <c r="M22" s="175"/>
      <c r="N22" s="175">
        <f>Master!H475</f>
        <v>6740.55</v>
      </c>
      <c r="O22" s="175">
        <f>Master!I475</f>
        <v>12768.93</v>
      </c>
      <c r="P22" s="175">
        <f>Master!J475</f>
        <v>9840.0399999999991</v>
      </c>
      <c r="Q22" s="175">
        <f>Master!K475</f>
        <v>11593.960000000001</v>
      </c>
      <c r="R22" s="175">
        <f>Master!L475</f>
        <v>14773.527999999998</v>
      </c>
      <c r="S22" s="175">
        <f>Master!M475</f>
        <v>16944.960999999999</v>
      </c>
      <c r="T22" s="175">
        <f>Master!N475</f>
        <v>25477.698</v>
      </c>
      <c r="U22" s="175">
        <f>Master!O475</f>
        <v>27913.08</v>
      </c>
      <c r="V22" s="175">
        <f>Master!P475</f>
        <v>16720.829999999998</v>
      </c>
      <c r="W22" s="175">
        <f>Master!Q475</f>
        <v>18660.95</v>
      </c>
      <c r="X22" s="175">
        <f>Master!R475</f>
        <v>19067.125</v>
      </c>
      <c r="Y22" s="175">
        <f>Master!S475</f>
        <v>20178.311999999998</v>
      </c>
      <c r="Z22" s="175">
        <f>Master!T475</f>
        <v>23310.092270413064</v>
      </c>
      <c r="AA22" s="175">
        <f>Master!U475</f>
        <v>17214.16</v>
      </c>
      <c r="AB22" s="175">
        <f>Master!V475</f>
        <v>14503.380000000001</v>
      </c>
      <c r="AC22" s="175">
        <f>Master!W475</f>
        <v>9097.5</v>
      </c>
      <c r="AD22" s="175">
        <f>Master!X475</f>
        <v>12186.6</v>
      </c>
      <c r="AE22" s="175">
        <f>Master!Y475</f>
        <v>14278.20668726951</v>
      </c>
      <c r="AF22" s="175">
        <f>Master!Z475</f>
        <v>11169.233759721894</v>
      </c>
      <c r="AG22" s="175">
        <f>Master!AA475</f>
        <v>10295.922991520487</v>
      </c>
      <c r="AH22" s="175">
        <f>Master!AB475</f>
        <v>10007.361481214053</v>
      </c>
      <c r="AI22" s="175">
        <f>Master!AC475</f>
        <v>9842.9993612570379</v>
      </c>
      <c r="AJ22" s="175">
        <f>Master!AD475</f>
        <v>9746.5970199636795</v>
      </c>
      <c r="AK22" s="175">
        <f>Master!AE475</f>
        <v>9717.2948397674299</v>
      </c>
      <c r="AL22" s="175">
        <f>Master!AF475</f>
        <v>9648.4231927797882</v>
      </c>
      <c r="AM22" s="175">
        <f>Master!AG475</f>
        <v>9535.7456636803963</v>
      </c>
      <c r="AN22" s="175">
        <f>Master!AH475</f>
        <v>9588.1908191442399</v>
      </c>
    </row>
    <row r="23" spans="2:40">
      <c r="B23" s="161" t="s">
        <v>2314</v>
      </c>
      <c r="C23" s="175"/>
      <c r="D23" s="175"/>
      <c r="E23" s="175"/>
      <c r="F23" s="175"/>
      <c r="G23" s="175"/>
      <c r="H23" s="175"/>
      <c r="I23" s="175"/>
      <c r="J23" s="175"/>
      <c r="K23" s="175"/>
      <c r="L23" s="175"/>
      <c r="M23" s="175"/>
      <c r="N23" s="175">
        <f>Master!H117</f>
        <v>13346.45</v>
      </c>
      <c r="O23" s="175">
        <f>Master!I117</f>
        <v>8799.0699999999979</v>
      </c>
      <c r="P23" s="175">
        <f>Master!J117</f>
        <v>13794.86</v>
      </c>
      <c r="Q23" s="175">
        <f>Master!K117</f>
        <v>15019.84</v>
      </c>
      <c r="R23" s="175">
        <f>Master!L117</f>
        <v>13432.048890624999</v>
      </c>
      <c r="S23" s="175">
        <f>Master!M117</f>
        <v>13062.938999999998</v>
      </c>
      <c r="T23" s="175">
        <f>Master!N117</f>
        <v>6897.6019999999999</v>
      </c>
      <c r="U23" s="175">
        <f>Master!O117</f>
        <v>5664.8199999999979</v>
      </c>
      <c r="V23" s="175">
        <f>Master!P117</f>
        <v>16059.169999999998</v>
      </c>
      <c r="W23" s="175">
        <f>Master!Q117</f>
        <v>17911.550000000003</v>
      </c>
      <c r="X23" s="175">
        <f>Master!R117</f>
        <v>19150.974999999999</v>
      </c>
      <c r="Y23" s="175">
        <f>Master!S117</f>
        <v>18631.987999999998</v>
      </c>
      <c r="Z23" s="175">
        <f>Master!T117</f>
        <v>20291.507729586941</v>
      </c>
      <c r="AA23" s="175">
        <f>Master!U117</f>
        <v>8321.8700000000008</v>
      </c>
      <c r="AB23" s="175">
        <f>Master!V117</f>
        <v>9621.2200000000012</v>
      </c>
      <c r="AC23" s="175">
        <f>Master!W117</f>
        <v>8670.1159999999982</v>
      </c>
      <c r="AD23" s="175">
        <f>Master!X117</f>
        <v>9198.8000000000011</v>
      </c>
      <c r="AE23" s="175">
        <f>Master!Y117</f>
        <v>7404.8307492568201</v>
      </c>
      <c r="AF23" s="175">
        <f>Master!Z117</f>
        <v>10071.919423375959</v>
      </c>
      <c r="AG23" s="175">
        <f>Master!AA117</f>
        <v>10426.606368897445</v>
      </c>
      <c r="AH23" s="175">
        <f>Master!AB117</f>
        <v>10749.44059880524</v>
      </c>
      <c r="AI23" s="175">
        <f>Master!AC117</f>
        <v>11260.825599834565</v>
      </c>
      <c r="AJ23" s="175">
        <f>Master!AD117</f>
        <v>11889.48850420682</v>
      </c>
      <c r="AK23" s="175">
        <f>Master!AE117</f>
        <v>12371.961494875617</v>
      </c>
      <c r="AL23" s="175">
        <f>Master!AF117</f>
        <v>12856.907371558325</v>
      </c>
      <c r="AM23" s="175">
        <f>Master!AG117</f>
        <v>12971.641909765904</v>
      </c>
      <c r="AN23" s="175">
        <f>Master!AH117</f>
        <v>13176.153290609634</v>
      </c>
    </row>
    <row r="24" spans="2:40">
      <c r="B24" s="161" t="s">
        <v>2315</v>
      </c>
      <c r="C24" s="175"/>
      <c r="D24" s="175"/>
      <c r="E24" s="175"/>
      <c r="F24" s="175"/>
      <c r="G24" s="175"/>
      <c r="H24" s="175"/>
      <c r="I24" s="175"/>
      <c r="J24" s="175"/>
      <c r="K24" s="175"/>
      <c r="L24" s="175"/>
      <c r="M24" s="175"/>
      <c r="N24" s="175">
        <f>(N23*(1-Master!H388))</f>
        <v>9609.4439999999995</v>
      </c>
      <c r="O24" s="175">
        <f>(O23*(1-Master!I388))</f>
        <v>6335.330399999998</v>
      </c>
      <c r="P24" s="175">
        <f>(P23*(1-Master!J388))</f>
        <v>9932.2991999999995</v>
      </c>
      <c r="Q24" s="175">
        <f>(Q23*(1-Master!K388))</f>
        <v>11264.880000000001</v>
      </c>
      <c r="R24" s="175">
        <f>(R23*(1-Master!L388))</f>
        <v>10074.03666796875</v>
      </c>
      <c r="S24" s="175">
        <f>(S23*(1-Master!M388))</f>
        <v>9797.2042499999989</v>
      </c>
      <c r="T24" s="175">
        <f>(T23*(1-Master!N388))</f>
        <v>5173.2015000000001</v>
      </c>
      <c r="U24" s="175">
        <f>(U23*(1-Master!O388))</f>
        <v>4248.614999999998</v>
      </c>
      <c r="V24" s="175">
        <f>(V23*(1-Master!P388))</f>
        <v>11105.941120733203</v>
      </c>
      <c r="W24" s="175">
        <f>(W23*(1-Master!Q388))</f>
        <v>11970.304330369623</v>
      </c>
      <c r="X24" s="175">
        <f>(X23*(1-Master!R388))</f>
        <v>14636.13016395948</v>
      </c>
      <c r="Y24" s="175">
        <f>(Y23*(1-Master!S388))</f>
        <v>3219.8929236835043</v>
      </c>
      <c r="Z24" s="175">
        <f>(Z23*(1-Master!T388))</f>
        <v>9190.4324065652145</v>
      </c>
      <c r="AA24" s="175">
        <f>(AA23*(1-Master!U388))</f>
        <v>7574.1455628661161</v>
      </c>
      <c r="AB24" s="175">
        <f>(AB23*(1-Master!V388))</f>
        <v>13468.158444557876</v>
      </c>
      <c r="AC24" s="175">
        <f>(AC23*(1-Master!W388))</f>
        <v>11346.425465275068</v>
      </c>
      <c r="AD24" s="175">
        <f>(AD23*(1-Master!X388))</f>
        <v>6623.1360000000004</v>
      </c>
      <c r="AE24" s="175">
        <f>(AE23*(1-Master!Y388))</f>
        <v>5331.4781394649099</v>
      </c>
      <c r="AF24" s="175">
        <f>(AF23*(1-Master!Z388))</f>
        <v>7251.7819848306899</v>
      </c>
      <c r="AG24" s="175">
        <f>(AG23*(1-Master!AA388))</f>
        <v>7507.1565856061598</v>
      </c>
      <c r="AH24" s="175">
        <f>(AH23*(1-Master!AB388))</f>
        <v>7739.5972311397727</v>
      </c>
      <c r="AI24" s="175">
        <f>(AI23*(1-Master!AC388))</f>
        <v>8107.7944318808868</v>
      </c>
      <c r="AJ24" s="175">
        <f>(AJ23*(1-Master!AD388))</f>
        <v>8560.4317230289107</v>
      </c>
      <c r="AK24" s="175">
        <f>(AK23*(1-Master!AE388))</f>
        <v>8907.8122763104438</v>
      </c>
      <c r="AL24" s="175">
        <f>(AL23*(1-Master!AF388))</f>
        <v>9256.9733075219938</v>
      </c>
      <c r="AM24" s="175">
        <f>(AM23*(1-Master!AG388))</f>
        <v>9339.5821750314499</v>
      </c>
      <c r="AN24" s="175">
        <f>(AN23*(1-Master!AH388))</f>
        <v>9486.8303692389363</v>
      </c>
    </row>
    <row r="25" spans="2:40">
      <c r="B25" s="161" t="s">
        <v>2303</v>
      </c>
      <c r="C25" s="175"/>
      <c r="D25" s="175"/>
      <c r="E25" s="175"/>
      <c r="F25" s="175"/>
      <c r="G25" s="175"/>
      <c r="H25" s="175"/>
      <c r="I25" s="175"/>
      <c r="J25" s="175"/>
      <c r="K25" s="175"/>
      <c r="L25" s="175"/>
      <c r="M25" s="175"/>
      <c r="N25" s="175"/>
      <c r="O25" s="175">
        <f t="shared" ref="O25:W25" si="50">O7</f>
        <v>12718</v>
      </c>
      <c r="P25" s="175">
        <f t="shared" si="50"/>
        <v>31773</v>
      </c>
      <c r="Q25" s="175">
        <f t="shared" si="50"/>
        <v>25610</v>
      </c>
      <c r="R25" s="175">
        <f t="shared" si="50"/>
        <v>34993</v>
      </c>
      <c r="S25" s="175">
        <f t="shared" si="50"/>
        <v>40507.000000000007</v>
      </c>
      <c r="T25" s="175">
        <f t="shared" si="50"/>
        <v>55481</v>
      </c>
      <c r="U25" s="175">
        <f t="shared" si="50"/>
        <v>78405.899999999994</v>
      </c>
      <c r="V25" s="175">
        <f t="shared" si="50"/>
        <v>79273</v>
      </c>
      <c r="W25" s="175">
        <f t="shared" si="50"/>
        <v>83317.7</v>
      </c>
      <c r="X25" s="175">
        <f>X7</f>
        <v>104172.40000000001</v>
      </c>
      <c r="Y25" s="175">
        <f>Y7</f>
        <v>102787.20000000001</v>
      </c>
      <c r="Z25" s="175">
        <f t="shared" ref="Z25:AN25" si="51">Z7</f>
        <v>109644.49999999999</v>
      </c>
      <c r="AA25" s="175">
        <f t="shared" si="51"/>
        <v>62478.7</v>
      </c>
      <c r="AB25" s="175">
        <f t="shared" si="51"/>
        <v>63241.117999999988</v>
      </c>
      <c r="AC25" s="175">
        <f t="shared" si="51"/>
        <v>62142.627</v>
      </c>
      <c r="AD25" s="175">
        <f t="shared" si="51"/>
        <v>55054.5</v>
      </c>
      <c r="AE25" s="175">
        <f t="shared" ca="1" si="51"/>
        <v>54653.494928780616</v>
      </c>
      <c r="AF25" s="175">
        <f t="shared" ca="1" si="51"/>
        <v>55342.041321279292</v>
      </c>
      <c r="AG25" s="175">
        <f t="shared" ca="1" si="51"/>
        <v>55795.884496091167</v>
      </c>
      <c r="AH25" s="175">
        <f t="shared" ca="1" si="51"/>
        <v>54288.499316489833</v>
      </c>
      <c r="AI25" s="175">
        <f t="shared" ca="1" si="51"/>
        <v>52366.418746178511</v>
      </c>
      <c r="AJ25" s="175">
        <f t="shared" ca="1" si="51"/>
        <v>50049.977498695029</v>
      </c>
      <c r="AK25" s="175">
        <f t="shared" ca="1" si="51"/>
        <v>47444.193638901423</v>
      </c>
      <c r="AL25" s="175">
        <f t="shared" ca="1" si="51"/>
        <v>44541.47810606267</v>
      </c>
      <c r="AM25" s="175">
        <f t="shared" ca="1" si="51"/>
        <v>41607.88530329262</v>
      </c>
      <c r="AN25" s="175">
        <f t="shared" ca="1" si="51"/>
        <v>38726.404307851932</v>
      </c>
    </row>
    <row r="26" spans="2:40">
      <c r="B26" s="161" t="s">
        <v>2316</v>
      </c>
      <c r="C26" s="175"/>
      <c r="D26" s="175"/>
      <c r="E26" s="175"/>
      <c r="F26" s="175"/>
      <c r="G26" s="175"/>
      <c r="H26" s="175"/>
      <c r="I26" s="175"/>
      <c r="J26" s="175"/>
      <c r="K26" s="175"/>
      <c r="L26" s="175"/>
      <c r="M26" s="175"/>
      <c r="N26" s="175"/>
      <c r="O26" s="175">
        <f>Master!I459</f>
        <v>6793</v>
      </c>
      <c r="P26" s="175">
        <f>Master!J459</f>
        <v>7197</v>
      </c>
      <c r="Q26" s="175">
        <f>Master!K459</f>
        <v>7891</v>
      </c>
      <c r="R26" s="175">
        <f>Master!L459</f>
        <v>10234</v>
      </c>
      <c r="S26" s="175">
        <f>Master!M459</f>
        <v>11110</v>
      </c>
      <c r="T26" s="175">
        <f>Master!N459</f>
        <v>12138.8</v>
      </c>
      <c r="U26" s="175">
        <f>Master!O459</f>
        <v>12589.5</v>
      </c>
      <c r="V26" s="175">
        <f>Master!P459</f>
        <v>13995</v>
      </c>
      <c r="W26" s="175">
        <f>Master!Q459</f>
        <v>15070</v>
      </c>
      <c r="X26" s="175">
        <f>Master!R459</f>
        <v>14874</v>
      </c>
      <c r="Y26" s="175">
        <f>Master!S459</f>
        <v>14510.1</v>
      </c>
      <c r="Z26" s="175">
        <f>Master!T459</f>
        <v>15299.2</v>
      </c>
      <c r="AA26" s="175">
        <f>Master!U459</f>
        <v>15619.3</v>
      </c>
      <c r="AB26" s="175">
        <f>Master!V459</f>
        <v>15400.9</v>
      </c>
      <c r="AC26" s="175">
        <f>Master!W459</f>
        <v>9241.5689999999995</v>
      </c>
      <c r="AD26" s="175">
        <f>Master!X459</f>
        <v>9472.723</v>
      </c>
      <c r="AE26" s="175">
        <f>Master!Y459</f>
        <v>9595.1750499999998</v>
      </c>
      <c r="AF26" s="175">
        <f>Master!Z459</f>
        <v>9723.7497025000011</v>
      </c>
      <c r="AG26" s="175">
        <f>Master!AA459</f>
        <v>9858.7530876250021</v>
      </c>
      <c r="AH26" s="175">
        <f>Master!AB459</f>
        <v>10000.506642006252</v>
      </c>
      <c r="AI26" s="175">
        <f>Master!AC459</f>
        <v>10149.347874106565</v>
      </c>
      <c r="AJ26" s="175">
        <f>Master!AD459</f>
        <v>10305.631167811893</v>
      </c>
      <c r="AK26" s="175">
        <f>Master!AE459</f>
        <v>10469.728626202486</v>
      </c>
      <c r="AL26" s="175">
        <f>Master!AF459</f>
        <v>10642.03095751261</v>
      </c>
      <c r="AM26" s="175">
        <f>Master!AG459</f>
        <v>10822.948405388241</v>
      </c>
      <c r="AN26" s="175">
        <f>Master!AH459</f>
        <v>11012.911725657654</v>
      </c>
    </row>
    <row r="27" spans="2:40">
      <c r="B27" s="161" t="s">
        <v>268</v>
      </c>
      <c r="C27" s="175"/>
      <c r="D27" s="175"/>
      <c r="E27" s="175"/>
      <c r="F27" s="175"/>
      <c r="G27" s="175"/>
      <c r="H27" s="175"/>
      <c r="I27" s="175"/>
      <c r="J27" s="175"/>
      <c r="K27" s="175"/>
      <c r="L27" s="175"/>
      <c r="M27" s="175"/>
      <c r="N27" s="175"/>
      <c r="O27" s="175">
        <f>Master!I464</f>
        <v>45064</v>
      </c>
      <c r="P27" s="175">
        <f>Master!J464</f>
        <v>51660</v>
      </c>
      <c r="Q27" s="175">
        <f>Master!K464</f>
        <v>60644</v>
      </c>
      <c r="R27" s="175">
        <f>Master!L464</f>
        <v>68675</v>
      </c>
      <c r="S27" s="175">
        <f>Master!M464</f>
        <v>76805</v>
      </c>
      <c r="T27" s="175">
        <f>Master!N464</f>
        <v>87382.5</v>
      </c>
      <c r="U27" s="175">
        <f>Master!O464</f>
        <v>82204.2</v>
      </c>
      <c r="V27" s="175">
        <f>Master!P464</f>
        <v>85662</v>
      </c>
      <c r="W27" s="175">
        <f>Master!Q464</f>
        <v>89710</v>
      </c>
      <c r="X27" s="175">
        <f>Master!R464</f>
        <v>90627</v>
      </c>
      <c r="Y27" s="175">
        <f>Master!S464</f>
        <v>73801</v>
      </c>
      <c r="Z27" s="175">
        <f>Master!T464</f>
        <v>80487.5</v>
      </c>
      <c r="AA27" s="175">
        <f>Master!U464</f>
        <v>126772.4</v>
      </c>
      <c r="AB27" s="175">
        <f>Master!V464</f>
        <v>117625.9</v>
      </c>
      <c r="AC27" s="175">
        <f>Master!W464</f>
        <v>102454.056</v>
      </c>
      <c r="AD27" s="175">
        <f>Master!X464</f>
        <v>93056.138000000006</v>
      </c>
      <c r="AE27" s="175">
        <f ca="1">Master!Y464</f>
        <v>92742.547290319955</v>
      </c>
      <c r="AF27" s="175">
        <f ca="1">Master!Z464</f>
        <v>94151.890677792093</v>
      </c>
      <c r="AG27" s="175">
        <f ca="1">Master!AA464</f>
        <v>94987.691812469871</v>
      </c>
      <c r="AH27" s="175">
        <f ca="1">Master!AB464</f>
        <v>96912.84136094623</v>
      </c>
      <c r="AI27" s="175">
        <f ca="1">Master!AC464</f>
        <v>100179.61350525948</v>
      </c>
      <c r="AJ27" s="175">
        <f ca="1">Master!AD464</f>
        <v>104817.32665413816</v>
      </c>
      <c r="AK27" s="175">
        <f ca="1">Master!AE464</f>
        <v>110655.40622033409</v>
      </c>
      <c r="AL27" s="175">
        <f ca="1">Master!AF464</f>
        <v>117570.30367551235</v>
      </c>
      <c r="AM27" s="175">
        <f ca="1">Master!AG464</f>
        <v>125142.17519383825</v>
      </c>
      <c r="AN27" s="175">
        <f ca="1">Master!AH464</f>
        <v>133374.78458030327</v>
      </c>
    </row>
    <row r="28" spans="2:40">
      <c r="B28" s="161" t="s">
        <v>2317</v>
      </c>
      <c r="C28" s="175"/>
      <c r="D28" s="175"/>
      <c r="E28" s="175"/>
      <c r="F28" s="175"/>
      <c r="G28" s="175"/>
      <c r="H28" s="175"/>
      <c r="I28" s="175"/>
      <c r="J28" s="175"/>
      <c r="K28" s="175"/>
      <c r="L28" s="175"/>
      <c r="M28" s="175"/>
      <c r="N28" s="175"/>
      <c r="O28" s="175">
        <f>Master!I148</f>
        <v>3028</v>
      </c>
      <c r="P28" s="175">
        <f>Master!J148</f>
        <v>4143</v>
      </c>
      <c r="Q28" s="175">
        <f>Master!K148</f>
        <v>3350.5</v>
      </c>
      <c r="R28" s="175">
        <f>Master!L148</f>
        <v>-885</v>
      </c>
      <c r="S28" s="175">
        <f>Master!M148</f>
        <v>4329</v>
      </c>
      <c r="T28" s="175">
        <f>Master!N148</f>
        <v>-1702</v>
      </c>
      <c r="U28" s="175">
        <f>Master!O148</f>
        <v>9532.1</v>
      </c>
      <c r="V28" s="175">
        <f>Master!P148</f>
        <v>5305</v>
      </c>
      <c r="W28" s="175">
        <f>Master!Q148</f>
        <v>8779.6</v>
      </c>
      <c r="X28" s="175">
        <f>Master!R148</f>
        <v>8810.8000000000011</v>
      </c>
      <c r="Y28" s="175">
        <f>Master!S148</f>
        <v>5584.2</v>
      </c>
      <c r="Z28" s="175">
        <f>Master!T148</f>
        <v>11918</v>
      </c>
      <c r="AA28" s="175">
        <f>Master!U148</f>
        <v>9206.2000000000007</v>
      </c>
      <c r="AB28" s="175">
        <f>Master!V148</f>
        <v>4751.5079999999998</v>
      </c>
      <c r="AC28" s="175">
        <f>Master!W148</f>
        <v>4695.1710000000003</v>
      </c>
      <c r="AD28" s="175">
        <f>Master!X148</f>
        <v>4140.2860000000001</v>
      </c>
      <c r="AE28" s="175">
        <f>Master!Y148</f>
        <v>4812.8646437269408</v>
      </c>
      <c r="AF28" s="175">
        <f>Master!Z148</f>
        <v>4512.8813375383452</v>
      </c>
      <c r="AG28" s="175">
        <f>Master!AA148</f>
        <v>4543.1872679744629</v>
      </c>
      <c r="AH28" s="175">
        <f>Master!AB148</f>
        <v>4494.0337368389701</v>
      </c>
      <c r="AI28" s="175">
        <f>Master!AC148</f>
        <v>4309.7974294223168</v>
      </c>
      <c r="AJ28" s="175">
        <f>Master!AD148</f>
        <v>4142.1443259662392</v>
      </c>
      <c r="AK28" s="175">
        <f>Master!AE148</f>
        <v>4001.888358113727</v>
      </c>
      <c r="AL28" s="175">
        <f>Master!AF148</f>
        <v>3899.1288779927181</v>
      </c>
      <c r="AM28" s="175">
        <f>Master!AG148</f>
        <v>3849.2659235696874</v>
      </c>
      <c r="AN28" s="175">
        <f>Master!AH148</f>
        <v>3864.8289532308404</v>
      </c>
    </row>
    <row r="29" spans="2:40">
      <c r="B29" s="161" t="s">
        <v>2318</v>
      </c>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row>
    <row r="30" spans="2:40">
      <c r="B30" s="161" t="s">
        <v>418</v>
      </c>
      <c r="C30" s="175"/>
      <c r="D30" s="175"/>
      <c r="E30" s="175"/>
      <c r="F30" s="175"/>
      <c r="G30" s="175"/>
      <c r="H30" s="175"/>
      <c r="I30" s="175"/>
      <c r="J30" s="175"/>
      <c r="K30" s="175"/>
      <c r="L30" s="175"/>
      <c r="M30" s="175"/>
      <c r="N30" s="175">
        <f>Master!H589</f>
        <v>8662</v>
      </c>
      <c r="O30" s="175">
        <f>Master!I589</f>
        <v>8118</v>
      </c>
      <c r="P30" s="175">
        <f>Master!J589</f>
        <v>7889.2000000000007</v>
      </c>
      <c r="Q30" s="175">
        <f>Master!K589</f>
        <v>8786.2000000000025</v>
      </c>
      <c r="R30" s="175">
        <f>Master!L589</f>
        <v>8461.6768906249981</v>
      </c>
      <c r="S30" s="175">
        <f>Master!M589</f>
        <v>9978.0000000000018</v>
      </c>
      <c r="T30" s="175">
        <f>Master!N589</f>
        <v>4780.2999999999938</v>
      </c>
      <c r="U30" s="175">
        <f>Master!O589</f>
        <v>6254.8999999999951</v>
      </c>
      <c r="V30" s="175">
        <f>Master!P589</f>
        <v>2853.0000000000018</v>
      </c>
      <c r="W30" s="175">
        <f>Master!Q589</f>
        <v>3134.3999999999996</v>
      </c>
      <c r="X30" s="175">
        <f>Master!R589</f>
        <v>4723.199999999998</v>
      </c>
      <c r="Y30" s="175">
        <f>Master!S589</f>
        <v>5080.1999999999944</v>
      </c>
      <c r="Z30" s="175">
        <f>Master!T589</f>
        <v>5138.4999999999955</v>
      </c>
      <c r="AA30" s="175">
        <f>Master!U589</f>
        <v>-12751.070000000003</v>
      </c>
      <c r="AB30" s="175">
        <f>Master!V589</f>
        <v>-10456.607999999998</v>
      </c>
      <c r="AC30" s="175">
        <f>Master!W589</f>
        <v>-8322.3590000000058</v>
      </c>
      <c r="AD30" s="175">
        <f>Master!X589</f>
        <v>-1413.9870399999991</v>
      </c>
      <c r="AE30" s="175">
        <f ca="1">Master!Y589</f>
        <v>-704.94860783710544</v>
      </c>
      <c r="AF30" s="175">
        <f ca="1">Master!Z589</f>
        <v>-289.90949191424818</v>
      </c>
      <c r="AG30" s="175">
        <f ca="1">Master!AA589</f>
        <v>185.90484892366885</v>
      </c>
      <c r="AH30" s="175">
        <f ca="1">Master!AB589</f>
        <v>1046.0230580947511</v>
      </c>
      <c r="AI30" s="175">
        <f ca="1">Master!AC589</f>
        <v>2171.8459521525924</v>
      </c>
      <c r="AJ30" s="175">
        <f ca="1">Master!AD589</f>
        <v>3269.0189966830321</v>
      </c>
      <c r="AK30" s="175">
        <f ca="1">Master!AE589</f>
        <v>4218.4570174764476</v>
      </c>
      <c r="AL30" s="175">
        <f ca="1">Master!AF589</f>
        <v>5062.5031910450152</v>
      </c>
      <c r="AM30" s="175">
        <f ca="1">Master!AG589</f>
        <v>5523.4123012926939</v>
      </c>
      <c r="AN30" s="175">
        <f ca="1">Master!AH589</f>
        <v>6173.3765967520367</v>
      </c>
    </row>
    <row r="31" spans="2:40">
      <c r="B31" s="161" t="s">
        <v>2319</v>
      </c>
      <c r="C31" s="175"/>
      <c r="D31" s="175"/>
      <c r="E31" s="175"/>
      <c r="F31" s="175"/>
      <c r="G31" s="175"/>
      <c r="H31" s="175"/>
      <c r="I31" s="175"/>
      <c r="J31" s="175"/>
      <c r="K31" s="175"/>
      <c r="L31" s="175"/>
      <c r="M31" s="175"/>
      <c r="N31" s="175">
        <f>Master!H593</f>
        <v>6851.45</v>
      </c>
      <c r="O31" s="175">
        <f>Master!I593</f>
        <v>1928.0699999999997</v>
      </c>
      <c r="P31" s="175">
        <f>Master!J593</f>
        <v>5478.8600000000024</v>
      </c>
      <c r="Q31" s="175">
        <f>Master!K593</f>
        <v>5666.2400000000034</v>
      </c>
      <c r="R31" s="175">
        <f>Master!L593</f>
        <v>3534.1488906250015</v>
      </c>
      <c r="S31" s="175">
        <f>Master!M593</f>
        <v>4596.0390000000007</v>
      </c>
      <c r="T31" s="175">
        <f>Master!N593</f>
        <v>-6036.4980000000069</v>
      </c>
      <c r="U31" s="175">
        <f>Master!O593</f>
        <v>-4678.3800000000083</v>
      </c>
      <c r="V31" s="175">
        <f>Valuation!M33*Valuation!M19</f>
        <v>-1039.8299999999958</v>
      </c>
      <c r="W31" s="175">
        <f>Valuation!N33*Valuation!N19</f>
        <v>-6336.4500000000016</v>
      </c>
      <c r="X31" s="175">
        <f>Valuation!O33*Valuation!O19</f>
        <v>1558.974999999999</v>
      </c>
      <c r="Y31" s="175">
        <f>Valuation!P33*Valuation!P19</f>
        <v>1357.487999999998</v>
      </c>
      <c r="Z31" s="175">
        <f>Valuation!Q33*Valuation!Q19</f>
        <v>-3236.6662704130695</v>
      </c>
      <c r="AA31" s="175">
        <f>Valuation!R33*Valuation!R19</f>
        <v>-13936.812500000005</v>
      </c>
      <c r="AB31" s="175">
        <f>Valuation!S33*Valuation!S19</f>
        <v>-4291.4649999999983</v>
      </c>
      <c r="AC31" s="175">
        <f>Valuation!T33*Valuation!T19</f>
        <v>1536.2404999999965</v>
      </c>
      <c r="AD31" s="175">
        <f>Valuation!U33*Valuation!U19</f>
        <v>3731.4521500000001</v>
      </c>
      <c r="AE31" s="175">
        <f ca="1">Valuation!V33*Valuation!V19</f>
        <v>-76.81957550314057</v>
      </c>
      <c r="AF31" s="175">
        <f ca="1">Valuation!W33*Valuation!W19</f>
        <v>2947.4885273966424</v>
      </c>
      <c r="AG31" s="175">
        <f ca="1">Valuation!X33*Valuation!X19</f>
        <v>3264.3245356122461</v>
      </c>
      <c r="AH31" s="175">
        <f ca="1">Valuation!Y33*Valuation!Y19</f>
        <v>3402.815384744903</v>
      </c>
      <c r="AI31" s="175">
        <f ca="1">Valuation!Z33*Valuation!Z19</f>
        <v>3814.8930620899187</v>
      </c>
      <c r="AJ31" s="175">
        <f ca="1">Valuation!AA33*Valuation!AA19</f>
        <v>4134.9839081017053</v>
      </c>
      <c r="AK31" s="175">
        <f ca="1">Valuation!AB33*Valuation!AB19</f>
        <v>4363.610332773349</v>
      </c>
      <c r="AL31" s="175">
        <f ca="1">Valuation!AC33*Valuation!AC19</f>
        <v>4616.1626718288844</v>
      </c>
      <c r="AM31" s="175">
        <f ca="1">Valuation!AD33*Valuation!AD19</f>
        <v>4625.2311336997027</v>
      </c>
      <c r="AN31" s="175">
        <f ca="1">Valuation!AE33*Valuation!AE19</f>
        <v>4719.1489309151684</v>
      </c>
    </row>
    <row r="32" spans="2:40">
      <c r="B32" s="161" t="s">
        <v>2320</v>
      </c>
      <c r="C32" s="175"/>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row>
    <row r="33" spans="2:40">
      <c r="B33" s="161" t="s">
        <v>2321</v>
      </c>
      <c r="C33" s="175"/>
      <c r="D33" s="175"/>
      <c r="E33" s="175"/>
      <c r="F33" s="175"/>
      <c r="G33" s="175"/>
      <c r="H33" s="175"/>
      <c r="I33" s="175"/>
      <c r="J33" s="175"/>
      <c r="K33" s="175"/>
      <c r="L33" s="175"/>
      <c r="M33" s="175"/>
      <c r="N33" s="175"/>
      <c r="O33" s="175">
        <f>Master!I179</f>
        <v>38652</v>
      </c>
      <c r="P33" s="175">
        <f>Master!J179</f>
        <v>41499</v>
      </c>
      <c r="Q33" s="175">
        <f>Master!K179</f>
        <v>48363</v>
      </c>
      <c r="R33" s="175">
        <f>Master!L179</f>
        <v>53476.5</v>
      </c>
      <c r="S33" s="175">
        <f>Master!M179</f>
        <v>61213</v>
      </c>
      <c r="T33" s="175">
        <f>Master!N179</f>
        <v>76089.3</v>
      </c>
      <c r="U33" s="175">
        <f>Master!O179</f>
        <v>86783.6</v>
      </c>
      <c r="V33" s="175">
        <f>Master!P179</f>
        <v>85720</v>
      </c>
      <c r="W33" s="175">
        <f>Master!Q179</f>
        <v>87343</v>
      </c>
      <c r="X33" s="175">
        <f>Master!R179</f>
        <v>83329</v>
      </c>
      <c r="Y33" s="175">
        <f>Master!S179</f>
        <v>83284</v>
      </c>
      <c r="Z33" s="175">
        <f>Master!T179</f>
        <v>87922.1</v>
      </c>
      <c r="AA33" s="175">
        <f>Master!U179</f>
        <v>82236.399999999994</v>
      </c>
      <c r="AB33" s="175">
        <f>Master!V179</f>
        <v>77848.100000000006</v>
      </c>
      <c r="AC33" s="175">
        <f>Master!W179</f>
        <v>63664.260999999999</v>
      </c>
      <c r="AD33" s="175">
        <f>Master!X179</f>
        <v>60698.2</v>
      </c>
      <c r="AE33" s="175">
        <f>Master!Y179</f>
        <v>61022.445467535668</v>
      </c>
      <c r="AF33" s="175">
        <f>Master!Z179</f>
        <v>58163.176939095545</v>
      </c>
      <c r="AG33" s="175">
        <f>Master!AA179</f>
        <v>55087.91733500929</v>
      </c>
      <c r="AH33" s="175">
        <f>Master!AB179</f>
        <v>52431.070286668546</v>
      </c>
      <c r="AI33" s="175">
        <f>Master!AC179</f>
        <v>50220.645963379502</v>
      </c>
      <c r="AJ33" s="175">
        <f>Master!AD179</f>
        <v>48421.97564093463</v>
      </c>
      <c r="AK33" s="175">
        <f>Master!AE179</f>
        <v>47007.501000280899</v>
      </c>
      <c r="AL33" s="175">
        <f>Master!AF179</f>
        <v>45849.329500062857</v>
      </c>
      <c r="AM33" s="175">
        <f>Master!AG179</f>
        <v>44844.73350954795</v>
      </c>
      <c r="AN33" s="175">
        <f>Master!AH179</f>
        <v>44123.530107751023</v>
      </c>
    </row>
    <row r="34" spans="2:40">
      <c r="B34" s="161" t="s">
        <v>2322</v>
      </c>
      <c r="C34" s="175"/>
      <c r="D34" s="175"/>
      <c r="E34" s="175"/>
      <c r="F34" s="175"/>
      <c r="G34" s="175"/>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row>
    <row r="35" spans="2:40">
      <c r="B35" s="161" t="s">
        <v>2323</v>
      </c>
      <c r="C35" s="175"/>
      <c r="D35" s="175"/>
      <c r="E35" s="175"/>
      <c r="F35" s="175"/>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c r="AD35" s="175"/>
      <c r="AE35" s="175"/>
      <c r="AF35" s="175"/>
      <c r="AG35" s="175"/>
      <c r="AH35" s="175"/>
      <c r="AI35" s="175"/>
      <c r="AJ35" s="175"/>
      <c r="AK35" s="175"/>
      <c r="AL35" s="175"/>
      <c r="AM35" s="175"/>
      <c r="AN35" s="175"/>
    </row>
    <row r="36" spans="2:40">
      <c r="B36" s="161" t="s">
        <v>2324</v>
      </c>
      <c r="C36" s="175"/>
      <c r="D36" s="175"/>
      <c r="E36" s="175"/>
      <c r="F36" s="175"/>
      <c r="G36" s="175"/>
      <c r="H36" s="175"/>
      <c r="I36" s="175"/>
      <c r="J36" s="175"/>
      <c r="K36" s="175"/>
      <c r="L36" s="175"/>
      <c r="M36" s="175"/>
      <c r="N36" s="175"/>
      <c r="O36" s="175"/>
      <c r="P36" s="175"/>
      <c r="Q36" s="175"/>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row>
    <row r="37" spans="2:40">
      <c r="B37" s="161" t="s">
        <v>2325</v>
      </c>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c r="AB37" s="175"/>
      <c r="AC37" s="175"/>
      <c r="AD37" s="175"/>
      <c r="AE37" s="175"/>
      <c r="AF37" s="175"/>
      <c r="AG37" s="175"/>
      <c r="AH37" s="175"/>
      <c r="AI37" s="175"/>
      <c r="AJ37" s="175"/>
      <c r="AK37" s="175"/>
      <c r="AL37" s="175"/>
      <c r="AM37" s="175"/>
      <c r="AN37" s="175"/>
    </row>
    <row r="38" spans="2:40">
      <c r="B38" s="161" t="s">
        <v>2326</v>
      </c>
      <c r="C38" s="175"/>
      <c r="D38" s="175"/>
      <c r="E38" s="175"/>
      <c r="F38" s="175"/>
      <c r="G38" s="175"/>
      <c r="H38" s="175"/>
      <c r="I38" s="175"/>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row>
    <row r="39" spans="2:40">
      <c r="B39" s="161" t="s">
        <v>2327</v>
      </c>
      <c r="C39" s="175"/>
      <c r="D39" s="175"/>
      <c r="E39" s="175"/>
      <c r="F39" s="175"/>
      <c r="G39" s="175"/>
      <c r="H39" s="175"/>
      <c r="I39" s="175"/>
      <c r="J39" s="175"/>
      <c r="K39" s="175"/>
      <c r="L39" s="175"/>
      <c r="M39" s="175"/>
      <c r="N39" s="175"/>
      <c r="O39" s="175"/>
      <c r="P39" s="175"/>
      <c r="Q39" s="175"/>
      <c r="R39" s="17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row>
    <row r="40" spans="2:40">
      <c r="B40" s="161" t="s">
        <v>2328</v>
      </c>
      <c r="C40" s="175"/>
      <c r="D40" s="175"/>
      <c r="E40" s="175"/>
      <c r="F40" s="175"/>
      <c r="G40" s="175"/>
      <c r="H40" s="175"/>
      <c r="I40" s="175"/>
      <c r="J40" s="175"/>
      <c r="K40" s="175"/>
      <c r="L40" s="175"/>
      <c r="M40" s="175"/>
      <c r="N40" s="175"/>
      <c r="O40" s="175"/>
      <c r="P40" s="175"/>
      <c r="Q40" s="175"/>
      <c r="R40" s="17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row>
    <row r="41" spans="2:40">
      <c r="B41" s="161" t="s">
        <v>2329</v>
      </c>
      <c r="C41" s="175"/>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75"/>
      <c r="AB41" s="175"/>
      <c r="AC41" s="175"/>
      <c r="AD41" s="175"/>
      <c r="AE41" s="175"/>
      <c r="AF41" s="175"/>
      <c r="AG41" s="175"/>
      <c r="AH41" s="175"/>
      <c r="AI41" s="175"/>
      <c r="AJ41" s="175"/>
      <c r="AK41" s="175"/>
      <c r="AL41" s="175"/>
      <c r="AM41" s="175"/>
      <c r="AN41" s="175"/>
    </row>
    <row r="42" spans="2:40">
      <c r="B42" s="161" t="s">
        <v>2330</v>
      </c>
      <c r="C42" s="175"/>
      <c r="D42" s="175"/>
      <c r="E42" s="175"/>
      <c r="F42" s="175"/>
      <c r="G42" s="175"/>
      <c r="H42" s="175"/>
      <c r="I42" s="175"/>
      <c r="J42" s="175"/>
      <c r="K42" s="175"/>
      <c r="L42" s="175"/>
      <c r="M42" s="175"/>
      <c r="N42" s="175"/>
      <c r="O42" s="175"/>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row>
    <row r="43" spans="2:40">
      <c r="B43" s="161" t="s">
        <v>2331</v>
      </c>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row>
    <row r="44" spans="2:40">
      <c r="B44" s="161" t="s">
        <v>2332</v>
      </c>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row>
    <row r="45" spans="2:40">
      <c r="B45" s="161" t="s">
        <v>2333</v>
      </c>
      <c r="C45" s="175"/>
      <c r="D45" s="175"/>
      <c r="E45" s="175"/>
      <c r="F45" s="175"/>
      <c r="G45" s="175"/>
      <c r="H45" s="175"/>
      <c r="I45" s="175"/>
      <c r="J45" s="175"/>
      <c r="K45" s="175"/>
      <c r="L45" s="175"/>
      <c r="M45" s="175"/>
      <c r="N45" s="175"/>
      <c r="O45" s="175"/>
      <c r="P45" s="175"/>
      <c r="Q45" s="175"/>
      <c r="R45" s="17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row>
    <row r="46" spans="2:40">
      <c r="B46" s="161" t="s">
        <v>2334</v>
      </c>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row>
    <row r="47" spans="2:40">
      <c r="B47" s="161" t="s">
        <v>2335</v>
      </c>
      <c r="C47" s="175"/>
      <c r="D47" s="175"/>
      <c r="E47" s="175"/>
      <c r="F47" s="175"/>
      <c r="G47" s="175"/>
      <c r="H47" s="175"/>
      <c r="I47" s="175"/>
      <c r="J47" s="175"/>
      <c r="K47" s="175"/>
      <c r="L47" s="175"/>
      <c r="M47" s="175"/>
      <c r="N47" s="175"/>
      <c r="O47" s="175"/>
      <c r="P47" s="175"/>
      <c r="Q47" s="175"/>
      <c r="R47" s="17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row>
    <row r="48" spans="2:40">
      <c r="B48" s="161" t="s">
        <v>2336</v>
      </c>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row>
    <row r="49" spans="2:40">
      <c r="B49" s="161" t="s">
        <v>2337</v>
      </c>
      <c r="C49" s="175"/>
      <c r="D49" s="175"/>
      <c r="E49" s="175"/>
      <c r="F49" s="175"/>
      <c r="G49" s="175"/>
      <c r="H49" s="175"/>
      <c r="I49" s="175"/>
      <c r="J49" s="175"/>
      <c r="K49" s="175"/>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row>
    <row r="50" spans="2:40">
      <c r="B50" s="161" t="s">
        <v>2338</v>
      </c>
      <c r="C50" s="175"/>
      <c r="D50" s="175"/>
      <c r="E50" s="175"/>
      <c r="F50" s="175"/>
      <c r="G50" s="175"/>
      <c r="H50" s="175"/>
      <c r="I50" s="175"/>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175"/>
      <c r="AM50" s="175"/>
      <c r="AN50" s="175"/>
    </row>
    <row r="51" spans="2:40">
      <c r="B51" s="161" t="s">
        <v>2339</v>
      </c>
      <c r="C51" s="175"/>
      <c r="D51" s="175"/>
      <c r="E51" s="175"/>
      <c r="F51" s="175"/>
      <c r="G51" s="175"/>
      <c r="H51" s="175"/>
      <c r="I51" s="175"/>
      <c r="J51" s="175"/>
      <c r="K51" s="175"/>
      <c r="L51" s="175"/>
      <c r="M51" s="175"/>
      <c r="N51" s="175"/>
      <c r="O51" s="175"/>
      <c r="P51" s="175"/>
      <c r="Q51" s="175"/>
      <c r="R51" s="175"/>
      <c r="S51" s="175"/>
      <c r="T51" s="175"/>
      <c r="U51" s="175"/>
      <c r="V51" s="175"/>
      <c r="W51" s="175"/>
      <c r="X51" s="175"/>
      <c r="Y51" s="175"/>
      <c r="Z51" s="175"/>
      <c r="AA51" s="175"/>
      <c r="AB51" s="175"/>
      <c r="AC51" s="175"/>
      <c r="AD51" s="175"/>
      <c r="AE51" s="175"/>
      <c r="AF51" s="175"/>
      <c r="AG51" s="175"/>
      <c r="AH51" s="175"/>
      <c r="AI51" s="175"/>
      <c r="AJ51" s="175"/>
      <c r="AK51" s="175"/>
      <c r="AL51" s="175"/>
      <c r="AM51" s="175"/>
      <c r="AN51" s="175"/>
    </row>
    <row r="52" spans="2:40">
      <c r="B52" s="161" t="s">
        <v>2340</v>
      </c>
      <c r="C52" s="175"/>
      <c r="D52" s="175"/>
      <c r="E52" s="175"/>
      <c r="F52" s="175"/>
      <c r="G52" s="175"/>
      <c r="H52" s="175"/>
      <c r="I52" s="175"/>
      <c r="J52" s="175"/>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c r="AH52" s="175"/>
      <c r="AI52" s="175"/>
      <c r="AJ52" s="175"/>
      <c r="AK52" s="175"/>
      <c r="AL52" s="175"/>
      <c r="AM52" s="175"/>
      <c r="AN52" s="175"/>
    </row>
    <row r="53" spans="2:40">
      <c r="B53" s="161" t="s">
        <v>2341</v>
      </c>
      <c r="C53" s="175"/>
      <c r="D53" s="175"/>
      <c r="E53" s="175"/>
      <c r="F53" s="175"/>
      <c r="G53" s="175"/>
      <c r="H53" s="175"/>
      <c r="I53" s="175"/>
      <c r="J53" s="175"/>
      <c r="K53" s="175"/>
      <c r="L53" s="175"/>
      <c r="M53" s="175"/>
      <c r="N53" s="175"/>
      <c r="O53" s="175"/>
      <c r="P53" s="175"/>
      <c r="Q53" s="175"/>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row>
    <row r="54" spans="2:40">
      <c r="B54" s="161" t="s">
        <v>2342</v>
      </c>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c r="AA54" s="175"/>
      <c r="AB54" s="175"/>
      <c r="AC54" s="175"/>
      <c r="AD54" s="175"/>
      <c r="AE54" s="175"/>
      <c r="AF54" s="175"/>
      <c r="AG54" s="175"/>
      <c r="AH54" s="175"/>
      <c r="AI54" s="175"/>
      <c r="AJ54" s="175"/>
      <c r="AK54" s="175"/>
      <c r="AL54" s="175"/>
      <c r="AM54" s="175"/>
      <c r="AN54" s="175"/>
    </row>
    <row r="55" spans="2:40">
      <c r="B55" s="161" t="s">
        <v>2343</v>
      </c>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175"/>
      <c r="AM55" s="175"/>
      <c r="AN55" s="175"/>
    </row>
    <row r="56" spans="2:40">
      <c r="B56" s="161" t="s">
        <v>2344</v>
      </c>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5"/>
      <c r="AE56" s="175"/>
      <c r="AF56" s="175"/>
      <c r="AG56" s="175"/>
      <c r="AH56" s="175"/>
      <c r="AI56" s="175"/>
      <c r="AJ56" s="175"/>
      <c r="AK56" s="175"/>
      <c r="AL56" s="175"/>
      <c r="AM56" s="175"/>
      <c r="AN56" s="175"/>
    </row>
    <row r="57" spans="2:40">
      <c r="B57" s="161" t="s">
        <v>2345</v>
      </c>
      <c r="C57" s="175"/>
      <c r="D57" s="175"/>
      <c r="E57" s="175"/>
      <c r="F57" s="175"/>
      <c r="G57" s="175"/>
      <c r="H57" s="175"/>
      <c r="I57" s="175"/>
      <c r="J57" s="175"/>
      <c r="K57" s="175"/>
      <c r="L57" s="175"/>
      <c r="M57" s="175"/>
      <c r="N57" s="175"/>
      <c r="O57" s="175"/>
      <c r="P57" s="175"/>
      <c r="Q57" s="175"/>
      <c r="R57" s="17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row>
    <row r="58" spans="2:40">
      <c r="B58" s="161" t="s">
        <v>2346</v>
      </c>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5"/>
      <c r="AI58" s="175"/>
      <c r="AJ58" s="175"/>
      <c r="AK58" s="175"/>
      <c r="AL58" s="175"/>
      <c r="AM58" s="175"/>
      <c r="AN58" s="175"/>
    </row>
    <row r="59" spans="2:40">
      <c r="B59" s="161" t="s">
        <v>2347</v>
      </c>
      <c r="C59" s="175"/>
      <c r="D59" s="175"/>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row>
    <row r="60" spans="2:40">
      <c r="B60" s="161" t="s">
        <v>2348</v>
      </c>
      <c r="C60" s="175"/>
      <c r="D60" s="175"/>
      <c r="E60" s="175"/>
      <c r="F60" s="175"/>
      <c r="G60" s="175"/>
      <c r="H60" s="175"/>
      <c r="I60" s="175"/>
      <c r="J60" s="175"/>
      <c r="K60" s="175"/>
      <c r="L60" s="175"/>
      <c r="M60" s="175"/>
      <c r="N60" s="175"/>
      <c r="O60" s="175"/>
      <c r="P60" s="175"/>
      <c r="Q60" s="175"/>
      <c r="R60" s="175"/>
      <c r="S60" s="175"/>
      <c r="T60" s="175"/>
      <c r="U60" s="175"/>
      <c r="V60" s="175"/>
      <c r="W60" s="175"/>
      <c r="X60" s="175"/>
      <c r="Y60" s="175"/>
      <c r="Z60" s="175"/>
      <c r="AA60" s="175"/>
      <c r="AB60" s="175"/>
      <c r="AC60" s="175"/>
      <c r="AD60" s="175"/>
      <c r="AE60" s="175"/>
      <c r="AF60" s="175"/>
      <c r="AG60" s="175"/>
      <c r="AH60" s="175"/>
      <c r="AI60" s="175"/>
      <c r="AJ60" s="175"/>
      <c r="AK60" s="175"/>
      <c r="AL60" s="175"/>
      <c r="AM60" s="175"/>
      <c r="AN60" s="175"/>
    </row>
    <row r="61" spans="2:40">
      <c r="B61" s="161" t="s">
        <v>2349</v>
      </c>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row>
    <row r="62" spans="2:40">
      <c r="B62" s="161" t="s">
        <v>2350</v>
      </c>
      <c r="C62" s="175"/>
      <c r="D62" s="175"/>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row>
    <row r="63" spans="2:40">
      <c r="B63" s="161" t="s">
        <v>2351</v>
      </c>
      <c r="C63" s="175"/>
      <c r="D63" s="175"/>
      <c r="E63" s="175"/>
      <c r="F63" s="175"/>
      <c r="G63" s="175"/>
      <c r="H63" s="175"/>
      <c r="I63" s="175"/>
      <c r="J63" s="175"/>
      <c r="K63" s="175"/>
      <c r="L63" s="175"/>
      <c r="M63" s="175"/>
      <c r="N63" s="175"/>
      <c r="O63" s="175"/>
      <c r="P63" s="175"/>
      <c r="Q63" s="175"/>
      <c r="R63" s="17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row>
    <row r="64" spans="2:40">
      <c r="B64" s="161" t="s">
        <v>2352</v>
      </c>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row>
    <row r="65" spans="2:40">
      <c r="B65" s="161" t="s">
        <v>2353</v>
      </c>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row>
    <row r="66" spans="2:40">
      <c r="B66" s="161" t="s">
        <v>2354</v>
      </c>
      <c r="C66" s="175"/>
      <c r="D66" s="175"/>
      <c r="E66" s="175"/>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row>
    <row r="67" spans="2:40">
      <c r="B67" s="161" t="s">
        <v>2355</v>
      </c>
      <c r="C67" s="175"/>
      <c r="D67" s="175"/>
      <c r="E67" s="175"/>
      <c r="F67" s="175"/>
      <c r="G67" s="175"/>
      <c r="H67" s="175"/>
      <c r="I67" s="175"/>
      <c r="J67" s="175"/>
      <c r="K67" s="175"/>
      <c r="L67" s="175"/>
      <c r="M67" s="175"/>
      <c r="N67" s="175"/>
      <c r="O67" s="175"/>
      <c r="P67" s="175"/>
      <c r="Q67" s="175"/>
      <c r="R67" s="17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row>
    <row r="68" spans="2:40">
      <c r="B68" s="161" t="s">
        <v>2356</v>
      </c>
      <c r="C68" s="175"/>
      <c r="D68" s="175"/>
      <c r="E68" s="175"/>
      <c r="F68" s="175"/>
      <c r="G68" s="175"/>
      <c r="H68" s="175"/>
      <c r="I68" s="175"/>
      <c r="J68" s="175"/>
      <c r="K68" s="175"/>
      <c r="L68" s="175"/>
      <c r="M68" s="175"/>
      <c r="N68" s="175"/>
      <c r="O68" s="175"/>
      <c r="P68" s="175"/>
      <c r="Q68" s="175"/>
      <c r="R68" s="175"/>
      <c r="S68" s="175"/>
      <c r="T68" s="175"/>
      <c r="U68" s="175"/>
      <c r="V68" s="175"/>
      <c r="W68" s="175"/>
      <c r="X68" s="175"/>
      <c r="Y68" s="175"/>
      <c r="Z68" s="175"/>
      <c r="AA68" s="175"/>
      <c r="AB68" s="175"/>
      <c r="AC68" s="175"/>
      <c r="AD68" s="175"/>
      <c r="AE68" s="175"/>
      <c r="AF68" s="175"/>
      <c r="AG68" s="175"/>
      <c r="AH68" s="175"/>
      <c r="AI68" s="175"/>
      <c r="AJ68" s="175"/>
      <c r="AK68" s="175"/>
      <c r="AL68" s="175"/>
      <c r="AM68" s="175"/>
      <c r="AN68" s="175"/>
    </row>
    <row r="69" spans="2:40">
      <c r="B69" s="161" t="s">
        <v>2357</v>
      </c>
      <c r="C69" s="175"/>
      <c r="D69" s="175"/>
      <c r="E69" s="175"/>
      <c r="F69" s="175"/>
      <c r="G69" s="175"/>
      <c r="H69" s="175"/>
      <c r="I69" s="175"/>
      <c r="J69" s="175"/>
      <c r="K69" s="175"/>
      <c r="L69" s="175"/>
      <c r="M69" s="175"/>
      <c r="N69" s="175"/>
      <c r="O69" s="175"/>
      <c r="P69" s="175"/>
      <c r="Q69" s="175"/>
      <c r="R69" s="17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row>
    <row r="71" spans="2:40">
      <c r="B71" s="160" t="s">
        <v>2358</v>
      </c>
      <c r="C71" s="160">
        <v>1998</v>
      </c>
      <c r="D71" s="166">
        <v>1999</v>
      </c>
      <c r="E71" s="166">
        <v>2000</v>
      </c>
      <c r="F71" s="166">
        <v>2001</v>
      </c>
      <c r="G71" s="166">
        <v>2002</v>
      </c>
      <c r="H71" s="166">
        <v>2003</v>
      </c>
      <c r="I71" s="166">
        <v>2004</v>
      </c>
      <c r="J71" s="166">
        <v>2005</v>
      </c>
      <c r="K71" s="166">
        <v>2006</v>
      </c>
      <c r="L71" s="166">
        <v>2007</v>
      </c>
      <c r="M71" s="166">
        <v>2008</v>
      </c>
      <c r="N71" s="166">
        <v>2009</v>
      </c>
      <c r="O71" s="166">
        <v>2010</v>
      </c>
      <c r="P71" s="166">
        <v>2011</v>
      </c>
      <c r="Q71" s="166">
        <v>2012</v>
      </c>
      <c r="R71" s="160">
        <v>2013</v>
      </c>
      <c r="S71" s="160">
        <v>2014</v>
      </c>
      <c r="T71" s="160">
        <v>2015</v>
      </c>
      <c r="U71" s="160">
        <v>2016</v>
      </c>
      <c r="V71" s="160">
        <v>2017</v>
      </c>
      <c r="W71" s="160">
        <v>2018</v>
      </c>
      <c r="X71" s="160">
        <f>W71+1</f>
        <v>2019</v>
      </c>
      <c r="Y71" s="160">
        <f>X71+1</f>
        <v>2020</v>
      </c>
      <c r="Z71" s="160">
        <f t="shared" ref="Z71:AN71" si="52">Y71+1</f>
        <v>2021</v>
      </c>
      <c r="AA71" s="160">
        <f t="shared" si="52"/>
        <v>2022</v>
      </c>
      <c r="AB71" s="160">
        <f t="shared" si="52"/>
        <v>2023</v>
      </c>
      <c r="AC71" s="160">
        <f t="shared" si="52"/>
        <v>2024</v>
      </c>
      <c r="AD71" s="160">
        <f t="shared" si="52"/>
        <v>2025</v>
      </c>
      <c r="AE71" s="160">
        <f t="shared" si="52"/>
        <v>2026</v>
      </c>
      <c r="AF71" s="160">
        <f t="shared" si="52"/>
        <v>2027</v>
      </c>
      <c r="AG71" s="160">
        <f t="shared" si="52"/>
        <v>2028</v>
      </c>
      <c r="AH71" s="160">
        <f t="shared" si="52"/>
        <v>2029</v>
      </c>
      <c r="AI71" s="160">
        <f t="shared" si="52"/>
        <v>2030</v>
      </c>
      <c r="AJ71" s="160">
        <f t="shared" si="52"/>
        <v>2031</v>
      </c>
      <c r="AK71" s="160">
        <f t="shared" si="52"/>
        <v>2032</v>
      </c>
      <c r="AL71" s="160">
        <f t="shared" si="52"/>
        <v>2033</v>
      </c>
      <c r="AM71" s="160">
        <f t="shared" si="52"/>
        <v>2034</v>
      </c>
      <c r="AN71" s="160">
        <f t="shared" si="52"/>
        <v>2035</v>
      </c>
    </row>
    <row r="72" spans="2:40">
      <c r="B72" s="177"/>
      <c r="C72" s="168"/>
      <c r="D72" s="168"/>
      <c r="E72" s="167"/>
      <c r="F72" s="167"/>
      <c r="G72" s="167"/>
      <c r="H72" s="167"/>
      <c r="I72" s="167"/>
      <c r="J72" s="167"/>
      <c r="K72" s="167"/>
      <c r="L72" s="167"/>
      <c r="M72" s="167"/>
      <c r="N72" s="167"/>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row>
    <row r="73" spans="2:40">
      <c r="B73" s="177"/>
      <c r="C73" s="168"/>
      <c r="D73" s="168"/>
      <c r="E73" s="167"/>
      <c r="F73" s="167"/>
      <c r="G73" s="167"/>
      <c r="H73" s="167"/>
      <c r="I73" s="167"/>
      <c r="J73" s="167"/>
      <c r="K73" s="167"/>
      <c r="L73" s="167"/>
      <c r="M73" s="167"/>
      <c r="N73" s="167"/>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row>
    <row r="74" spans="2:40">
      <c r="B74" s="177"/>
      <c r="C74" s="168"/>
      <c r="D74" s="168"/>
      <c r="E74" s="167"/>
      <c r="F74" s="167"/>
      <c r="G74" s="167"/>
      <c r="H74" s="167"/>
      <c r="I74" s="167"/>
      <c r="J74" s="167"/>
      <c r="K74" s="167"/>
      <c r="L74" s="167"/>
      <c r="M74" s="167"/>
      <c r="N74" s="167"/>
      <c r="O74" s="162"/>
      <c r="P74" s="162"/>
      <c r="Q74" s="162"/>
      <c r="R74" s="162"/>
      <c r="S74" s="162"/>
      <c r="T74" s="162"/>
      <c r="U74" s="162"/>
      <c r="V74" s="162"/>
      <c r="W74" s="162"/>
      <c r="X74" s="162"/>
      <c r="Y74" s="162"/>
      <c r="Z74" s="162"/>
      <c r="AA74" s="162"/>
      <c r="AB74" s="162"/>
      <c r="AC74" s="162"/>
      <c r="AD74" s="162"/>
      <c r="AE74" s="162"/>
      <c r="AF74" s="162"/>
      <c r="AG74" s="162"/>
      <c r="AH74" s="162"/>
      <c r="AI74" s="162"/>
      <c r="AJ74" s="162"/>
      <c r="AK74" s="162"/>
      <c r="AL74" s="162"/>
      <c r="AM74" s="162"/>
      <c r="AN74" s="162"/>
    </row>
    <row r="75" spans="2:40">
      <c r="B75" s="177"/>
      <c r="C75" s="168"/>
      <c r="D75" s="168"/>
      <c r="E75" s="167"/>
      <c r="F75" s="167"/>
      <c r="G75" s="167"/>
      <c r="H75" s="167"/>
      <c r="I75" s="167"/>
      <c r="J75" s="167"/>
      <c r="K75" s="167"/>
      <c r="L75" s="167"/>
      <c r="M75" s="167"/>
      <c r="N75" s="167"/>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c r="AM75" s="162"/>
      <c r="AN75" s="162"/>
    </row>
    <row r="76" spans="2:40">
      <c r="B76" s="177"/>
      <c r="C76" s="168"/>
      <c r="D76" s="168"/>
      <c r="E76" s="167"/>
      <c r="F76" s="167"/>
      <c r="G76" s="167"/>
      <c r="H76" s="167"/>
      <c r="I76" s="167"/>
      <c r="J76" s="167"/>
      <c r="K76" s="167"/>
      <c r="L76" s="167"/>
      <c r="M76" s="167"/>
      <c r="N76" s="167"/>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162"/>
      <c r="AL76" s="162"/>
      <c r="AM76" s="162"/>
      <c r="AN76" s="162"/>
    </row>
    <row r="77" spans="2:40">
      <c r="B77" s="177"/>
      <c r="C77" s="168"/>
      <c r="D77" s="168"/>
      <c r="E77" s="167"/>
      <c r="F77" s="167"/>
      <c r="G77" s="167"/>
      <c r="H77" s="167"/>
      <c r="I77" s="167"/>
      <c r="J77" s="167"/>
      <c r="K77" s="167"/>
      <c r="L77" s="167"/>
      <c r="M77" s="167"/>
      <c r="N77" s="167"/>
      <c r="O77" s="162"/>
      <c r="P77" s="162"/>
      <c r="Q77" s="162"/>
      <c r="R77" s="162"/>
      <c r="S77" s="162"/>
      <c r="T77" s="162"/>
      <c r="U77" s="162"/>
      <c r="V77" s="162"/>
      <c r="W77" s="162"/>
      <c r="X77" s="162"/>
      <c r="Y77" s="162"/>
      <c r="Z77" s="162"/>
      <c r="AA77" s="162"/>
      <c r="AB77" s="162"/>
      <c r="AC77" s="162"/>
      <c r="AD77" s="162"/>
      <c r="AE77" s="162"/>
      <c r="AF77" s="162"/>
      <c r="AG77" s="162"/>
      <c r="AH77" s="162"/>
      <c r="AI77" s="162"/>
      <c r="AJ77" s="162"/>
      <c r="AK77" s="162"/>
      <c r="AL77" s="162"/>
      <c r="AM77" s="162"/>
      <c r="AN77" s="162"/>
    </row>
    <row r="78" spans="2:40">
      <c r="B78" s="177"/>
      <c r="C78" s="168"/>
      <c r="D78" s="168"/>
      <c r="E78" s="167"/>
      <c r="F78" s="167"/>
      <c r="G78" s="167"/>
      <c r="H78" s="167"/>
      <c r="I78" s="167"/>
      <c r="J78" s="167"/>
      <c r="K78" s="167"/>
      <c r="L78" s="167"/>
      <c r="M78" s="167"/>
      <c r="N78" s="167"/>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62"/>
      <c r="AN78" s="162"/>
    </row>
    <row r="79" spans="2:40">
      <c r="B79" s="177"/>
      <c r="C79" s="168"/>
      <c r="D79" s="168"/>
      <c r="E79" s="167"/>
      <c r="F79" s="167"/>
      <c r="G79" s="167"/>
      <c r="H79" s="167"/>
      <c r="I79" s="167"/>
      <c r="J79" s="167"/>
      <c r="K79" s="167"/>
      <c r="L79" s="167"/>
      <c r="M79" s="167"/>
      <c r="N79" s="167"/>
      <c r="O79" s="162"/>
      <c r="P79" s="162"/>
      <c r="Q79" s="162"/>
      <c r="R79" s="162"/>
      <c r="S79" s="162"/>
      <c r="T79" s="162"/>
      <c r="U79" s="162"/>
      <c r="V79" s="162"/>
      <c r="W79" s="162"/>
      <c r="X79" s="162"/>
      <c r="Y79" s="162"/>
      <c r="Z79" s="162"/>
      <c r="AA79" s="162"/>
      <c r="AB79" s="162"/>
      <c r="AC79" s="162"/>
      <c r="AD79" s="162"/>
      <c r="AE79" s="162"/>
      <c r="AF79" s="162"/>
      <c r="AG79" s="162"/>
      <c r="AH79" s="162"/>
      <c r="AI79" s="162"/>
      <c r="AJ79" s="162"/>
      <c r="AK79" s="162"/>
      <c r="AL79" s="162"/>
      <c r="AM79" s="162"/>
      <c r="AN79" s="162"/>
    </row>
    <row r="80" spans="2:40">
      <c r="B80" s="177"/>
      <c r="C80" s="168"/>
      <c r="D80" s="168"/>
      <c r="E80" s="167"/>
      <c r="F80" s="167"/>
      <c r="G80" s="167"/>
      <c r="H80" s="167"/>
      <c r="I80" s="167"/>
      <c r="J80" s="167"/>
      <c r="K80" s="167"/>
      <c r="L80" s="167"/>
      <c r="M80" s="167"/>
      <c r="N80" s="167"/>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row>
    <row r="81" spans="2:40">
      <c r="B81" s="177"/>
      <c r="C81" s="168"/>
      <c r="D81" s="168"/>
      <c r="E81" s="167"/>
      <c r="F81" s="167"/>
      <c r="G81" s="167"/>
      <c r="H81" s="167"/>
      <c r="I81" s="167"/>
      <c r="J81" s="167"/>
      <c r="K81" s="167"/>
      <c r="L81" s="167"/>
      <c r="M81" s="167"/>
      <c r="N81" s="167"/>
      <c r="O81" s="162"/>
      <c r="P81" s="162"/>
      <c r="Q81" s="162"/>
      <c r="R81" s="162"/>
      <c r="S81" s="162"/>
      <c r="T81" s="162"/>
      <c r="U81" s="162"/>
      <c r="V81" s="162"/>
      <c r="W81" s="162"/>
      <c r="X81" s="162"/>
      <c r="Y81" s="162"/>
      <c r="Z81" s="162"/>
      <c r="AA81" s="162"/>
      <c r="AB81" s="162"/>
      <c r="AC81" s="162"/>
      <c r="AD81" s="162"/>
      <c r="AE81" s="162"/>
      <c r="AF81" s="162"/>
      <c r="AG81" s="162"/>
      <c r="AH81" s="162"/>
      <c r="AI81" s="162"/>
      <c r="AJ81" s="162"/>
      <c r="AK81" s="162"/>
      <c r="AL81" s="162"/>
      <c r="AM81" s="162"/>
      <c r="AN81" s="162"/>
    </row>
    <row r="82" spans="2:40">
      <c r="B82" s="177"/>
      <c r="C82" s="168"/>
      <c r="D82" s="168"/>
      <c r="E82" s="167"/>
      <c r="F82" s="167"/>
      <c r="G82" s="167"/>
      <c r="H82" s="167"/>
      <c r="I82" s="167"/>
      <c r="J82" s="167"/>
      <c r="K82" s="167"/>
      <c r="L82" s="167"/>
      <c r="M82" s="167"/>
      <c r="N82" s="167"/>
      <c r="O82" s="162"/>
      <c r="P82" s="162"/>
      <c r="Q82" s="162"/>
      <c r="R82" s="162"/>
      <c r="S82" s="162"/>
      <c r="T82" s="162"/>
      <c r="U82" s="162"/>
      <c r="V82" s="162"/>
      <c r="W82" s="162"/>
      <c r="X82" s="162"/>
      <c r="Y82" s="162"/>
      <c r="Z82" s="162"/>
      <c r="AA82" s="162"/>
      <c r="AB82" s="162"/>
      <c r="AC82" s="162"/>
      <c r="AD82" s="162"/>
      <c r="AE82" s="162"/>
      <c r="AF82" s="162"/>
      <c r="AG82" s="162"/>
      <c r="AH82" s="162"/>
      <c r="AI82" s="162"/>
      <c r="AJ82" s="162"/>
      <c r="AK82" s="162"/>
      <c r="AL82" s="162"/>
      <c r="AM82" s="162"/>
      <c r="AN82" s="162"/>
    </row>
    <row r="83" spans="2:40">
      <c r="B83" s="177"/>
      <c r="C83" s="168"/>
      <c r="D83" s="168"/>
      <c r="E83" s="167"/>
      <c r="F83" s="167"/>
      <c r="G83" s="167"/>
      <c r="H83" s="167"/>
      <c r="I83" s="167"/>
      <c r="J83" s="167"/>
      <c r="K83" s="167"/>
      <c r="L83" s="167"/>
      <c r="M83" s="167"/>
      <c r="N83" s="167"/>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row>
    <row r="84" spans="2:40">
      <c r="B84" s="177"/>
      <c r="C84" s="168"/>
      <c r="D84" s="168"/>
      <c r="E84" s="167"/>
      <c r="F84" s="167"/>
      <c r="G84" s="167"/>
      <c r="H84" s="167"/>
      <c r="I84" s="167"/>
      <c r="J84" s="167"/>
      <c r="K84" s="167"/>
      <c r="L84" s="167"/>
      <c r="M84" s="167"/>
      <c r="N84" s="167"/>
      <c r="O84" s="162"/>
      <c r="P84" s="162"/>
      <c r="Q84" s="162"/>
      <c r="R84" s="162"/>
      <c r="S84" s="162"/>
      <c r="T84" s="162"/>
      <c r="U84" s="162"/>
      <c r="V84" s="162"/>
      <c r="W84" s="162"/>
      <c r="X84" s="162"/>
      <c r="Y84" s="162"/>
      <c r="Z84" s="162"/>
      <c r="AA84" s="162"/>
      <c r="AB84" s="162"/>
      <c r="AC84" s="162"/>
      <c r="AD84" s="162"/>
      <c r="AE84" s="162"/>
      <c r="AF84" s="162"/>
      <c r="AG84" s="162"/>
      <c r="AH84" s="162"/>
      <c r="AI84" s="162"/>
      <c r="AJ84" s="162"/>
      <c r="AK84" s="162"/>
      <c r="AL84" s="162"/>
      <c r="AM84" s="162"/>
      <c r="AN84" s="162"/>
    </row>
    <row r="85" spans="2:40">
      <c r="B85" s="177"/>
      <c r="C85" s="168"/>
      <c r="D85" s="168"/>
      <c r="E85" s="167"/>
      <c r="F85" s="167"/>
      <c r="G85" s="167"/>
      <c r="H85" s="167"/>
      <c r="I85" s="167"/>
      <c r="J85" s="167"/>
      <c r="K85" s="167"/>
      <c r="L85" s="167"/>
      <c r="M85" s="167"/>
      <c r="N85" s="167"/>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162"/>
      <c r="AM85" s="162"/>
      <c r="AN85" s="162"/>
    </row>
    <row r="86" spans="2:40">
      <c r="B86" s="177"/>
      <c r="C86" s="168"/>
      <c r="D86" s="168"/>
      <c r="E86" s="167"/>
      <c r="F86" s="167"/>
      <c r="G86" s="167"/>
      <c r="H86" s="167"/>
      <c r="I86" s="167"/>
      <c r="J86" s="167"/>
      <c r="K86" s="167"/>
      <c r="L86" s="167"/>
      <c r="M86" s="167"/>
      <c r="N86" s="167"/>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162"/>
      <c r="AM86" s="162"/>
      <c r="AN86" s="162"/>
    </row>
    <row r="87" spans="2:40">
      <c r="B87" s="177"/>
      <c r="C87" s="168"/>
      <c r="D87" s="168"/>
      <c r="E87" s="167"/>
      <c r="F87" s="167"/>
      <c r="G87" s="167"/>
      <c r="H87" s="167"/>
      <c r="I87" s="167"/>
      <c r="J87" s="167"/>
      <c r="K87" s="167"/>
      <c r="L87" s="167"/>
      <c r="M87" s="167"/>
      <c r="N87" s="167"/>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row>
    <row r="88" spans="2:40">
      <c r="B88" s="177"/>
      <c r="C88" s="168"/>
      <c r="D88" s="168"/>
      <c r="E88" s="167"/>
      <c r="F88" s="167"/>
      <c r="G88" s="167"/>
      <c r="H88" s="167"/>
      <c r="I88" s="167"/>
      <c r="J88" s="167"/>
      <c r="K88" s="167"/>
      <c r="L88" s="167"/>
      <c r="M88" s="167"/>
      <c r="N88" s="167"/>
      <c r="O88" s="162"/>
      <c r="P88" s="162"/>
      <c r="Q88" s="162"/>
      <c r="R88" s="162"/>
      <c r="S88" s="162"/>
      <c r="T88" s="162"/>
      <c r="U88" s="162"/>
      <c r="V88" s="162"/>
      <c r="W88" s="162"/>
      <c r="X88" s="162"/>
      <c r="Y88" s="162"/>
      <c r="Z88" s="162"/>
      <c r="AA88" s="162"/>
      <c r="AB88" s="162"/>
      <c r="AC88" s="162"/>
      <c r="AD88" s="162"/>
      <c r="AE88" s="162"/>
      <c r="AF88" s="162"/>
      <c r="AG88" s="162"/>
      <c r="AH88" s="162"/>
      <c r="AI88" s="162"/>
      <c r="AJ88" s="162"/>
      <c r="AK88" s="162"/>
      <c r="AL88" s="162"/>
      <c r="AM88" s="162"/>
      <c r="AN88" s="162"/>
    </row>
    <row r="89" spans="2:40">
      <c r="B89" s="177"/>
      <c r="C89" s="168"/>
      <c r="D89" s="168"/>
      <c r="E89" s="167"/>
      <c r="F89" s="167"/>
      <c r="G89" s="167"/>
      <c r="H89" s="167"/>
      <c r="I89" s="167"/>
      <c r="J89" s="167"/>
      <c r="K89" s="167"/>
      <c r="L89" s="167"/>
      <c r="M89" s="167"/>
      <c r="N89" s="167"/>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row>
    <row r="90" spans="2:40">
      <c r="B90" s="177"/>
      <c r="C90" s="168"/>
      <c r="D90" s="168"/>
      <c r="E90" s="167"/>
      <c r="F90" s="167"/>
      <c r="G90" s="167"/>
      <c r="H90" s="167"/>
      <c r="I90" s="167"/>
      <c r="J90" s="167"/>
      <c r="K90" s="167"/>
      <c r="L90" s="167"/>
      <c r="M90" s="167"/>
      <c r="N90" s="167"/>
      <c r="O90" s="162"/>
      <c r="P90" s="162"/>
      <c r="Q90" s="162"/>
      <c r="R90" s="162"/>
      <c r="S90" s="162"/>
      <c r="T90" s="162"/>
      <c r="U90" s="162"/>
      <c r="V90" s="162"/>
      <c r="W90" s="162"/>
      <c r="X90" s="162"/>
      <c r="Y90" s="162"/>
      <c r="Z90" s="162"/>
      <c r="AA90" s="162"/>
      <c r="AB90" s="162"/>
      <c r="AC90" s="162"/>
      <c r="AD90" s="162"/>
      <c r="AE90" s="162"/>
      <c r="AF90" s="162"/>
      <c r="AG90" s="162"/>
      <c r="AH90" s="162"/>
      <c r="AI90" s="162"/>
      <c r="AJ90" s="162"/>
      <c r="AK90" s="162"/>
      <c r="AL90" s="162"/>
      <c r="AM90" s="162"/>
      <c r="AN90" s="162"/>
    </row>
    <row r="91" spans="2:40">
      <c r="B91" s="177"/>
      <c r="C91" s="168"/>
      <c r="D91" s="168"/>
      <c r="E91" s="167"/>
      <c r="F91" s="167"/>
      <c r="G91" s="167"/>
      <c r="H91" s="167"/>
      <c r="I91" s="167"/>
      <c r="J91" s="167"/>
      <c r="K91" s="167"/>
      <c r="L91" s="167"/>
      <c r="M91" s="167"/>
      <c r="N91" s="167"/>
      <c r="O91" s="162"/>
      <c r="P91" s="162"/>
      <c r="Q91" s="162"/>
      <c r="R91" s="162"/>
      <c r="S91" s="162"/>
      <c r="T91" s="162"/>
      <c r="U91" s="162"/>
      <c r="V91" s="162"/>
      <c r="W91" s="162"/>
      <c r="X91" s="162"/>
      <c r="Y91" s="162"/>
      <c r="Z91" s="162"/>
      <c r="AA91" s="162"/>
      <c r="AB91" s="162"/>
      <c r="AC91" s="162"/>
      <c r="AD91" s="162"/>
      <c r="AE91" s="162"/>
      <c r="AF91" s="162"/>
      <c r="AG91" s="162"/>
      <c r="AH91" s="162"/>
      <c r="AI91" s="162"/>
      <c r="AJ91" s="162"/>
      <c r="AK91" s="162"/>
      <c r="AL91" s="162"/>
      <c r="AM91" s="162"/>
      <c r="AN91" s="162"/>
    </row>
    <row r="92" spans="2:40">
      <c r="B92" s="177"/>
      <c r="C92" s="168"/>
      <c r="D92" s="168"/>
      <c r="E92" s="167"/>
      <c r="F92" s="167"/>
      <c r="G92" s="167"/>
      <c r="H92" s="167"/>
      <c r="I92" s="167"/>
      <c r="J92" s="167"/>
      <c r="K92" s="167"/>
      <c r="L92" s="167"/>
      <c r="M92" s="167"/>
      <c r="N92" s="167"/>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row>
    <row r="93" spans="2:40">
      <c r="B93" s="177"/>
      <c r="C93" s="168"/>
      <c r="D93" s="168"/>
      <c r="E93" s="167"/>
      <c r="F93" s="167"/>
      <c r="G93" s="167"/>
      <c r="H93" s="167"/>
      <c r="I93" s="167"/>
      <c r="J93" s="167"/>
      <c r="K93" s="167"/>
      <c r="L93" s="167"/>
      <c r="M93" s="167"/>
      <c r="N93" s="167"/>
      <c r="O93" s="162"/>
      <c r="P93" s="162"/>
      <c r="Q93" s="162"/>
      <c r="R93" s="162"/>
      <c r="S93" s="162"/>
      <c r="T93" s="162"/>
      <c r="U93" s="162"/>
      <c r="V93" s="162"/>
      <c r="W93" s="162"/>
      <c r="X93" s="162"/>
      <c r="Y93" s="162"/>
      <c r="Z93" s="162"/>
      <c r="AA93" s="162"/>
      <c r="AB93" s="162"/>
      <c r="AC93" s="162"/>
      <c r="AD93" s="162"/>
      <c r="AE93" s="162"/>
      <c r="AF93" s="162"/>
      <c r="AG93" s="162"/>
      <c r="AH93" s="162"/>
      <c r="AI93" s="162"/>
      <c r="AJ93" s="162"/>
      <c r="AK93" s="162"/>
      <c r="AL93" s="162"/>
      <c r="AM93" s="162"/>
      <c r="AN93" s="162"/>
    </row>
    <row r="94" spans="2:40">
      <c r="B94" s="177"/>
      <c r="C94" s="168"/>
      <c r="D94" s="168"/>
      <c r="E94" s="167"/>
      <c r="F94" s="167"/>
      <c r="G94" s="167"/>
      <c r="H94" s="167"/>
      <c r="I94" s="167"/>
      <c r="J94" s="167"/>
      <c r="K94" s="167"/>
      <c r="L94" s="167"/>
      <c r="M94" s="167"/>
      <c r="N94" s="167"/>
      <c r="O94" s="162"/>
      <c r="P94" s="162"/>
      <c r="Q94" s="162"/>
      <c r="R94" s="162"/>
      <c r="S94" s="162"/>
      <c r="T94" s="162"/>
      <c r="U94" s="162"/>
      <c r="V94" s="162"/>
      <c r="W94" s="162"/>
      <c r="X94" s="162"/>
      <c r="Y94" s="162"/>
      <c r="Z94" s="162"/>
      <c r="AA94" s="162"/>
      <c r="AB94" s="162"/>
      <c r="AC94" s="162"/>
      <c r="AD94" s="162"/>
      <c r="AE94" s="162"/>
      <c r="AF94" s="162"/>
      <c r="AG94" s="162"/>
      <c r="AH94" s="162"/>
      <c r="AI94" s="162"/>
      <c r="AJ94" s="162"/>
      <c r="AK94" s="162"/>
      <c r="AL94" s="162"/>
      <c r="AM94" s="162"/>
      <c r="AN94" s="162"/>
    </row>
    <row r="95" spans="2:40">
      <c r="B95" s="177"/>
      <c r="C95" s="168"/>
      <c r="D95" s="168"/>
      <c r="E95" s="167"/>
      <c r="F95" s="167"/>
      <c r="G95" s="167"/>
      <c r="H95" s="167"/>
      <c r="I95" s="167"/>
      <c r="J95" s="167"/>
      <c r="K95" s="167"/>
      <c r="L95" s="167"/>
      <c r="M95" s="167"/>
      <c r="N95" s="167"/>
      <c r="O95" s="162"/>
      <c r="P95" s="162"/>
      <c r="Q95" s="162"/>
      <c r="R95" s="162"/>
      <c r="S95" s="162"/>
      <c r="T95" s="162"/>
      <c r="U95" s="162"/>
      <c r="V95" s="162"/>
      <c r="W95" s="162"/>
      <c r="X95" s="162"/>
      <c r="Y95" s="162"/>
      <c r="Z95" s="162"/>
      <c r="AA95" s="162"/>
      <c r="AB95" s="162"/>
      <c r="AC95" s="162"/>
      <c r="AD95" s="162"/>
      <c r="AE95" s="162"/>
      <c r="AF95" s="162"/>
      <c r="AG95" s="162"/>
      <c r="AH95" s="162"/>
      <c r="AI95" s="162"/>
      <c r="AJ95" s="162"/>
      <c r="AK95" s="162"/>
      <c r="AL95" s="162"/>
      <c r="AM95" s="162"/>
      <c r="AN95" s="162"/>
    </row>
    <row r="96" spans="2:40">
      <c r="B96" s="177"/>
      <c r="C96" s="168"/>
      <c r="D96" s="168"/>
      <c r="E96" s="167"/>
      <c r="F96" s="167"/>
      <c r="G96" s="167"/>
      <c r="H96" s="167"/>
      <c r="I96" s="167"/>
      <c r="J96" s="167"/>
      <c r="K96" s="167"/>
      <c r="L96" s="167"/>
      <c r="M96" s="167"/>
      <c r="N96" s="167"/>
      <c r="O96" s="162"/>
      <c r="P96" s="162"/>
      <c r="Q96" s="162"/>
      <c r="R96" s="162"/>
      <c r="S96" s="162"/>
      <c r="T96" s="162"/>
      <c r="U96" s="162"/>
      <c r="V96" s="162"/>
      <c r="W96" s="162"/>
      <c r="X96" s="162"/>
      <c r="Y96" s="162"/>
      <c r="Z96" s="162"/>
      <c r="AA96" s="162"/>
      <c r="AB96" s="162"/>
      <c r="AC96" s="162"/>
      <c r="AD96" s="162"/>
      <c r="AE96" s="162"/>
      <c r="AF96" s="162"/>
      <c r="AG96" s="162"/>
      <c r="AH96" s="162"/>
      <c r="AI96" s="162"/>
      <c r="AJ96" s="162"/>
      <c r="AK96" s="162"/>
      <c r="AL96" s="162"/>
      <c r="AM96" s="162"/>
      <c r="AN96" s="162"/>
    </row>
    <row r="97" spans="2:40">
      <c r="B97" s="177"/>
      <c r="C97" s="168"/>
      <c r="D97" s="168"/>
      <c r="E97" s="167"/>
      <c r="F97" s="167"/>
      <c r="G97" s="167"/>
      <c r="H97" s="167"/>
      <c r="I97" s="167"/>
      <c r="J97" s="167"/>
      <c r="K97" s="167"/>
      <c r="L97" s="167"/>
      <c r="M97" s="167"/>
      <c r="N97" s="167"/>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row>
    <row r="98" spans="2:40">
      <c r="B98" s="177"/>
      <c r="C98" s="168"/>
      <c r="D98" s="168"/>
      <c r="E98" s="167"/>
      <c r="F98" s="167"/>
      <c r="G98" s="167"/>
      <c r="H98" s="167"/>
      <c r="I98" s="167"/>
      <c r="J98" s="167"/>
      <c r="K98" s="167"/>
      <c r="L98" s="167"/>
      <c r="M98" s="167"/>
      <c r="N98" s="167"/>
      <c r="O98" s="162"/>
      <c r="P98" s="162"/>
      <c r="Q98" s="162"/>
      <c r="R98" s="162"/>
      <c r="S98" s="162"/>
      <c r="T98" s="162"/>
      <c r="U98" s="162"/>
      <c r="V98" s="162"/>
      <c r="W98" s="162"/>
      <c r="X98" s="162"/>
      <c r="Y98" s="162"/>
      <c r="Z98" s="162"/>
      <c r="AA98" s="162"/>
      <c r="AB98" s="162"/>
      <c r="AC98" s="162"/>
      <c r="AD98" s="162"/>
      <c r="AE98" s="162"/>
      <c r="AF98" s="162"/>
      <c r="AG98" s="162"/>
      <c r="AH98" s="162"/>
      <c r="AI98" s="162"/>
      <c r="AJ98" s="162"/>
      <c r="AK98" s="162"/>
      <c r="AL98" s="162"/>
      <c r="AM98" s="162"/>
      <c r="AN98" s="162"/>
    </row>
    <row r="99" spans="2:40">
      <c r="B99" s="177"/>
      <c r="C99" s="168"/>
      <c r="D99" s="168"/>
      <c r="E99" s="167"/>
      <c r="F99" s="167"/>
      <c r="G99" s="167"/>
      <c r="H99" s="167"/>
      <c r="I99" s="167"/>
      <c r="J99" s="167"/>
      <c r="K99" s="167"/>
      <c r="L99" s="167"/>
      <c r="M99" s="167"/>
      <c r="N99" s="167"/>
      <c r="O99" s="162"/>
      <c r="P99" s="162"/>
      <c r="Q99" s="162"/>
      <c r="R99" s="162"/>
      <c r="S99" s="162"/>
      <c r="T99" s="162"/>
      <c r="U99" s="162"/>
      <c r="V99" s="162"/>
      <c r="W99" s="162"/>
      <c r="X99" s="162"/>
      <c r="Y99" s="162"/>
      <c r="Z99" s="162"/>
      <c r="AA99" s="162"/>
      <c r="AB99" s="162"/>
      <c r="AC99" s="162"/>
      <c r="AD99" s="162"/>
      <c r="AE99" s="162"/>
      <c r="AF99" s="162"/>
      <c r="AG99" s="162"/>
      <c r="AH99" s="162"/>
      <c r="AI99" s="162"/>
      <c r="AJ99" s="162"/>
      <c r="AK99" s="162"/>
      <c r="AL99" s="162"/>
      <c r="AM99" s="162"/>
      <c r="AN99" s="162"/>
    </row>
    <row r="100" spans="2:40">
      <c r="B100" s="177"/>
      <c r="C100" s="168"/>
      <c r="D100" s="168"/>
      <c r="E100" s="167"/>
      <c r="F100" s="167"/>
      <c r="G100" s="167"/>
      <c r="H100" s="167"/>
      <c r="I100" s="167"/>
      <c r="J100" s="167"/>
      <c r="K100" s="167"/>
      <c r="L100" s="167"/>
      <c r="M100" s="167"/>
      <c r="N100" s="167"/>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2"/>
      <c r="AM100" s="162"/>
      <c r="AN100" s="162"/>
    </row>
    <row r="101" spans="2:40">
      <c r="B101" s="177"/>
      <c r="C101" s="168"/>
      <c r="D101" s="168"/>
      <c r="E101" s="167"/>
      <c r="F101" s="167"/>
      <c r="G101" s="167"/>
      <c r="H101" s="167"/>
      <c r="I101" s="167"/>
      <c r="J101" s="167"/>
      <c r="K101" s="167"/>
      <c r="L101" s="167"/>
      <c r="M101" s="167"/>
      <c r="N101" s="167"/>
      <c r="O101" s="162"/>
      <c r="P101" s="162"/>
      <c r="Q101" s="162"/>
      <c r="R101" s="162"/>
      <c r="S101" s="162"/>
      <c r="T101" s="162"/>
      <c r="U101" s="162"/>
      <c r="V101" s="162"/>
      <c r="W101" s="162"/>
      <c r="X101" s="162"/>
      <c r="Y101" s="162"/>
      <c r="Z101" s="162"/>
      <c r="AA101" s="162"/>
      <c r="AB101" s="162"/>
      <c r="AC101" s="162"/>
      <c r="AD101" s="162"/>
      <c r="AE101" s="162"/>
      <c r="AF101" s="162"/>
      <c r="AG101" s="162"/>
      <c r="AH101" s="162"/>
      <c r="AI101" s="162"/>
      <c r="AJ101" s="162"/>
      <c r="AK101" s="162"/>
      <c r="AL101" s="162"/>
      <c r="AM101" s="162"/>
      <c r="AN101" s="162"/>
    </row>
    <row r="102" spans="2:40">
      <c r="B102" s="177"/>
      <c r="C102" s="168"/>
      <c r="D102" s="168"/>
      <c r="E102" s="167"/>
      <c r="F102" s="167"/>
      <c r="G102" s="167"/>
      <c r="H102" s="167"/>
      <c r="I102" s="167"/>
      <c r="J102" s="167"/>
      <c r="K102" s="167"/>
      <c r="L102" s="167"/>
      <c r="M102" s="167"/>
      <c r="N102" s="167"/>
      <c r="O102" s="162"/>
      <c r="P102" s="162"/>
      <c r="Q102" s="162"/>
      <c r="R102" s="162"/>
      <c r="S102" s="162"/>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row>
    <row r="103" spans="2:40">
      <c r="B103" s="177"/>
      <c r="C103" s="168"/>
      <c r="D103" s="168"/>
      <c r="E103" s="167"/>
      <c r="F103" s="167"/>
      <c r="G103" s="167"/>
      <c r="H103" s="167"/>
      <c r="I103" s="167"/>
      <c r="J103" s="167"/>
      <c r="K103" s="167"/>
      <c r="L103" s="167"/>
      <c r="M103" s="167"/>
      <c r="N103" s="167"/>
      <c r="O103" s="162"/>
      <c r="P103" s="162"/>
      <c r="Q103" s="162"/>
      <c r="R103" s="162"/>
      <c r="S103" s="162"/>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row>
    <row r="104" spans="2:40">
      <c r="B104" s="177"/>
      <c r="C104" s="168"/>
      <c r="D104" s="168"/>
      <c r="E104" s="167"/>
      <c r="F104" s="167"/>
      <c r="G104" s="167"/>
      <c r="H104" s="167"/>
      <c r="I104" s="167"/>
      <c r="J104" s="167"/>
      <c r="K104" s="167"/>
      <c r="L104" s="167"/>
      <c r="M104" s="167"/>
      <c r="N104" s="167"/>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row>
    <row r="105" spans="2:40">
      <c r="B105" s="177"/>
      <c r="C105" s="168"/>
      <c r="D105" s="168"/>
      <c r="E105" s="167"/>
      <c r="F105" s="167"/>
      <c r="G105" s="167"/>
      <c r="H105" s="167"/>
      <c r="I105" s="167"/>
      <c r="J105" s="167"/>
      <c r="K105" s="167"/>
      <c r="L105" s="167"/>
      <c r="M105" s="167"/>
      <c r="N105" s="167"/>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row>
    <row r="106" spans="2:40">
      <c r="B106" s="177"/>
      <c r="C106" s="168"/>
      <c r="D106" s="168"/>
      <c r="E106" s="167"/>
      <c r="F106" s="167"/>
      <c r="G106" s="167"/>
      <c r="H106" s="167"/>
      <c r="I106" s="167"/>
      <c r="J106" s="167"/>
      <c r="K106" s="167"/>
      <c r="L106" s="167"/>
      <c r="M106" s="167"/>
      <c r="N106" s="167"/>
      <c r="O106" s="162"/>
      <c r="P106" s="162"/>
      <c r="Q106" s="162"/>
      <c r="R106" s="162"/>
      <c r="S106" s="162"/>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row>
    <row r="107" spans="2:40">
      <c r="B107" s="169"/>
      <c r="C107" s="169"/>
      <c r="D107" s="169"/>
    </row>
    <row r="108" spans="2:40">
      <c r="B108" s="160" t="s">
        <v>780</v>
      </c>
      <c r="C108" s="160">
        <v>1998</v>
      </c>
      <c r="D108" s="160">
        <v>1999</v>
      </c>
      <c r="E108" s="160">
        <v>2000</v>
      </c>
      <c r="F108" s="160">
        <v>2001</v>
      </c>
      <c r="G108" s="160">
        <v>2002</v>
      </c>
      <c r="H108" s="160">
        <v>2003</v>
      </c>
      <c r="I108" s="160">
        <v>2004</v>
      </c>
      <c r="J108" s="160">
        <v>2005</v>
      </c>
      <c r="K108" s="160">
        <v>2006</v>
      </c>
      <c r="L108" s="160">
        <v>2007</v>
      </c>
      <c r="M108" s="160">
        <v>2008</v>
      </c>
      <c r="N108" s="160">
        <v>2009</v>
      </c>
      <c r="O108" s="160">
        <v>2010</v>
      </c>
      <c r="P108" s="160">
        <v>2011</v>
      </c>
      <c r="Q108" s="160">
        <v>2012</v>
      </c>
      <c r="R108" s="160">
        <v>2013</v>
      </c>
      <c r="S108" s="160">
        <v>2014</v>
      </c>
      <c r="T108" s="160">
        <v>2015</v>
      </c>
      <c r="U108" s="160">
        <v>2016</v>
      </c>
      <c r="V108" s="160">
        <v>2017</v>
      </c>
      <c r="W108" s="160">
        <v>2018</v>
      </c>
      <c r="X108" s="160">
        <f>W108+1</f>
        <v>2019</v>
      </c>
      <c r="Y108" s="160">
        <f>X108+1</f>
        <v>2020</v>
      </c>
      <c r="Z108" s="160">
        <f t="shared" ref="Z108:AN108" si="53">Y108+1</f>
        <v>2021</v>
      </c>
      <c r="AA108" s="160">
        <f t="shared" si="53"/>
        <v>2022</v>
      </c>
      <c r="AB108" s="160">
        <f t="shared" si="53"/>
        <v>2023</v>
      </c>
      <c r="AC108" s="160">
        <f t="shared" si="53"/>
        <v>2024</v>
      </c>
      <c r="AD108" s="160">
        <f t="shared" si="53"/>
        <v>2025</v>
      </c>
      <c r="AE108" s="160">
        <f t="shared" si="53"/>
        <v>2026</v>
      </c>
      <c r="AF108" s="160">
        <f t="shared" si="53"/>
        <v>2027</v>
      </c>
      <c r="AG108" s="160">
        <f t="shared" si="53"/>
        <v>2028</v>
      </c>
      <c r="AH108" s="160">
        <f t="shared" si="53"/>
        <v>2029</v>
      </c>
      <c r="AI108" s="160">
        <f t="shared" si="53"/>
        <v>2030</v>
      </c>
      <c r="AJ108" s="160">
        <f t="shared" si="53"/>
        <v>2031</v>
      </c>
      <c r="AK108" s="160">
        <f t="shared" si="53"/>
        <v>2032</v>
      </c>
      <c r="AL108" s="160">
        <f t="shared" si="53"/>
        <v>2033</v>
      </c>
      <c r="AM108" s="160">
        <f t="shared" si="53"/>
        <v>2034</v>
      </c>
      <c r="AN108" s="160">
        <f t="shared" si="53"/>
        <v>2035</v>
      </c>
    </row>
    <row r="109" spans="2:40">
      <c r="B109" s="161" t="s">
        <v>36</v>
      </c>
      <c r="C109" s="162"/>
      <c r="D109" s="163"/>
      <c r="E109" s="163"/>
      <c r="F109" s="163"/>
      <c r="G109" s="163"/>
      <c r="H109" s="163"/>
      <c r="I109" s="163"/>
      <c r="J109" s="163"/>
      <c r="K109" s="163"/>
      <c r="L109" s="163"/>
      <c r="M109" s="163"/>
      <c r="N109" s="175">
        <f>Master!H207</f>
        <v>13346.45</v>
      </c>
      <c r="O109" s="175">
        <f>Master!I207</f>
        <v>8799.0699999999979</v>
      </c>
      <c r="P109" s="175">
        <f>Master!J207</f>
        <v>13794.86</v>
      </c>
      <c r="Q109" s="175">
        <f>Master!K207</f>
        <v>15019.84</v>
      </c>
      <c r="R109" s="175">
        <f>Master!L207</f>
        <v>13432.048890624999</v>
      </c>
      <c r="S109" s="175">
        <f>Master!M207</f>
        <v>13062.938999999998</v>
      </c>
      <c r="T109" s="175">
        <f>Master!N207</f>
        <v>6897.6019999999999</v>
      </c>
      <c r="U109" s="175">
        <f>Master!O207</f>
        <v>5664.8199999999979</v>
      </c>
      <c r="V109" s="175">
        <f>Master!P207</f>
        <v>16059.169999999998</v>
      </c>
      <c r="W109" s="175">
        <f>Master!Q207</f>
        <v>17911.550000000003</v>
      </c>
      <c r="X109" s="175">
        <f>Master!R207</f>
        <v>19150.974999999999</v>
      </c>
      <c r="Y109" s="175">
        <f>Master!S207</f>
        <v>18631.987999999998</v>
      </c>
      <c r="Z109" s="175">
        <f>Master!T207</f>
        <v>20291.507729586941</v>
      </c>
      <c r="AA109" s="175">
        <f>Master!U207</f>
        <v>8321.8700000000008</v>
      </c>
      <c r="AB109" s="175">
        <f>Master!V207</f>
        <v>9621.2200000000012</v>
      </c>
      <c r="AC109" s="175">
        <f>Master!W207</f>
        <v>8670.1159999999982</v>
      </c>
      <c r="AD109" s="175">
        <f>Master!X207</f>
        <v>9198.8000000000011</v>
      </c>
      <c r="AE109" s="175">
        <f>Master!Y207</f>
        <v>7404.8307492568201</v>
      </c>
      <c r="AF109" s="175">
        <f>Master!Z207</f>
        <v>10071.919423375959</v>
      </c>
      <c r="AG109" s="175">
        <f>Master!AA207</f>
        <v>10426.606368897445</v>
      </c>
      <c r="AH109" s="175">
        <f>Master!AB207</f>
        <v>10749.44059880524</v>
      </c>
      <c r="AI109" s="175">
        <f>Master!AC207</f>
        <v>11260.825599834565</v>
      </c>
      <c r="AJ109" s="175">
        <f>Master!AD207</f>
        <v>11889.48850420682</v>
      </c>
      <c r="AK109" s="175">
        <f>Master!AE207</f>
        <v>12371.961494875617</v>
      </c>
      <c r="AL109" s="175">
        <f>Master!AF207</f>
        <v>12856.907371558325</v>
      </c>
      <c r="AM109" s="175">
        <f>Master!AG207</f>
        <v>12971.641909765904</v>
      </c>
      <c r="AN109" s="175">
        <f>Master!AH207</f>
        <v>13176.153290609634</v>
      </c>
    </row>
    <row r="110" spans="2:40">
      <c r="B110" s="161" t="s">
        <v>274</v>
      </c>
      <c r="C110" s="162"/>
      <c r="D110" s="163"/>
      <c r="E110" s="163"/>
      <c r="F110" s="163"/>
      <c r="G110" s="163"/>
      <c r="H110" s="163"/>
      <c r="I110" s="163"/>
      <c r="J110" s="163"/>
      <c r="K110" s="163"/>
      <c r="L110" s="163"/>
      <c r="M110" s="163"/>
      <c r="N110" s="175">
        <f>Master!H208</f>
        <v>-2973</v>
      </c>
      <c r="O110" s="175">
        <f>Master!I208</f>
        <v>-3028</v>
      </c>
      <c r="P110" s="175">
        <f>Master!J208</f>
        <v>-4143</v>
      </c>
      <c r="Q110" s="175">
        <f>Master!K208</f>
        <v>-3350.5</v>
      </c>
      <c r="R110" s="175">
        <f>Master!L208</f>
        <v>885</v>
      </c>
      <c r="S110" s="175">
        <f>Master!M208</f>
        <v>-4329</v>
      </c>
      <c r="T110" s="175">
        <f>Master!N208</f>
        <v>1702</v>
      </c>
      <c r="U110" s="175">
        <f>Master!O208</f>
        <v>-9532.1</v>
      </c>
      <c r="V110" s="175">
        <f>Master!P208</f>
        <v>-5305</v>
      </c>
      <c r="W110" s="175">
        <f>Master!Q208</f>
        <v>-8779.6</v>
      </c>
      <c r="X110" s="175">
        <f>Master!R208</f>
        <v>-8810.8000000000011</v>
      </c>
      <c r="Y110" s="175">
        <f>Master!S208</f>
        <v>-5584.2</v>
      </c>
      <c r="Z110" s="175">
        <f>Master!T208</f>
        <v>-11918</v>
      </c>
      <c r="AA110" s="175">
        <f>Master!U208</f>
        <v>-9206.2000000000007</v>
      </c>
      <c r="AB110" s="175">
        <f>Master!V208</f>
        <v>-4751.5079999999998</v>
      </c>
      <c r="AC110" s="175">
        <f>Master!W208</f>
        <v>-4695.1710000000003</v>
      </c>
      <c r="AD110" s="175">
        <f>Master!X208</f>
        <v>-4140.2860000000001</v>
      </c>
      <c r="AE110" s="175">
        <f>Master!Y208</f>
        <v>-4812.8646437269408</v>
      </c>
      <c r="AF110" s="175">
        <f>Master!Z208</f>
        <v>-4512.8813375383452</v>
      </c>
      <c r="AG110" s="175">
        <f>Master!AA208</f>
        <v>-4543.1872679744629</v>
      </c>
      <c r="AH110" s="175">
        <f>Master!AB208</f>
        <v>-4494.0337368389701</v>
      </c>
      <c r="AI110" s="175">
        <f>Master!AC208</f>
        <v>-4309.7974294223168</v>
      </c>
      <c r="AJ110" s="175">
        <f>Master!AD208</f>
        <v>-4142.1443259662392</v>
      </c>
      <c r="AK110" s="175">
        <f>Master!AE208</f>
        <v>-4001.888358113727</v>
      </c>
      <c r="AL110" s="175">
        <f>Master!AF208</f>
        <v>-3899.1288779927181</v>
      </c>
      <c r="AM110" s="175">
        <f>Master!AG208</f>
        <v>-3849.2659235696874</v>
      </c>
      <c r="AN110" s="175">
        <f>Master!AH208</f>
        <v>-3864.8289532308404</v>
      </c>
    </row>
    <row r="111" spans="2:40">
      <c r="B111" s="161" t="s">
        <v>2359</v>
      </c>
      <c r="C111" s="162"/>
      <c r="D111" s="163"/>
      <c r="E111" s="163"/>
      <c r="F111" s="163"/>
      <c r="G111" s="163"/>
      <c r="H111" s="163"/>
      <c r="I111" s="163"/>
      <c r="J111" s="163"/>
      <c r="K111" s="163"/>
      <c r="L111" s="163"/>
      <c r="M111" s="163"/>
      <c r="N111" s="175">
        <f>Master!H209</f>
        <v>-3121</v>
      </c>
      <c r="O111" s="175">
        <f>Master!I209</f>
        <v>-3259</v>
      </c>
      <c r="P111" s="175">
        <f>Master!J209</f>
        <v>-3410</v>
      </c>
      <c r="Q111" s="175">
        <f>Master!K209</f>
        <v>-4053</v>
      </c>
      <c r="R111" s="175">
        <f>Master!L209</f>
        <v>-3728.9999999999995</v>
      </c>
      <c r="S111" s="175">
        <f>Master!M209</f>
        <v>-2983</v>
      </c>
      <c r="T111" s="175">
        <f>Master!N209</f>
        <v>-4396.5599999999995</v>
      </c>
      <c r="U111" s="175">
        <f>Master!O209</f>
        <v>-7269</v>
      </c>
      <c r="V111" s="175">
        <f>Master!P209</f>
        <v>-6420</v>
      </c>
      <c r="W111" s="175">
        <f>Master!Q209</f>
        <v>-6723</v>
      </c>
      <c r="X111" s="175">
        <f>Master!R209</f>
        <v>-4593.5</v>
      </c>
      <c r="Y111" s="175">
        <f>Master!S209</f>
        <v>-8681</v>
      </c>
      <c r="Z111" s="175">
        <f>Master!T209</f>
        <v>-9166</v>
      </c>
      <c r="AA111" s="175">
        <f>Master!U209</f>
        <v>-12188</v>
      </c>
      <c r="AB111" s="175">
        <f>Master!V209</f>
        <v>-7014.3090000000002</v>
      </c>
      <c r="AC111" s="175">
        <f>Master!W209</f>
        <v>-812.21500000000003</v>
      </c>
      <c r="AD111" s="175">
        <f>Master!X209</f>
        <v>24</v>
      </c>
      <c r="AE111" s="175">
        <f ca="1">Master!Y209</f>
        <v>-379.22947558088572</v>
      </c>
      <c r="AF111" s="175">
        <f ca="1">Master!Z209</f>
        <v>-524.12781779395857</v>
      </c>
      <c r="AG111" s="175">
        <f ca="1">Master!AA209</f>
        <v>-690.44706195240747</v>
      </c>
      <c r="AH111" s="175">
        <f ca="1">Master!AB209</f>
        <v>-1024.6090420678022</v>
      </c>
      <c r="AI111" s="175">
        <f ca="1">Master!AC209</f>
        <v>-1470.0542013679806</v>
      </c>
      <c r="AJ111" s="175">
        <f ca="1">Master!AD209</f>
        <v>-1909.000972037298</v>
      </c>
      <c r="AK111" s="175">
        <f ca="1">Master!AE209</f>
        <v>-2288.7643789927924</v>
      </c>
      <c r="AL111" s="175">
        <f ca="1">Master!AF209</f>
        <v>-2626.8758117473003</v>
      </c>
      <c r="AM111" s="175">
        <f ca="1">Master!AG209</f>
        <v>-2806.698137755031</v>
      </c>
      <c r="AN111" s="175">
        <f ca="1">Master!AH209</f>
        <v>-3069.3465803506142</v>
      </c>
    </row>
    <row r="112" spans="2:40">
      <c r="B112" s="161" t="s">
        <v>2360</v>
      </c>
      <c r="C112" s="162"/>
      <c r="D112" s="163"/>
      <c r="E112" s="163"/>
      <c r="F112" s="163"/>
      <c r="G112" s="163"/>
      <c r="H112" s="163"/>
      <c r="I112" s="163"/>
      <c r="J112" s="163"/>
      <c r="K112" s="163"/>
      <c r="L112" s="163"/>
      <c r="M112" s="163"/>
      <c r="N112" s="175">
        <f>Master!H210</f>
        <v>0</v>
      </c>
      <c r="O112" s="175">
        <f>Master!I210</f>
        <v>7312</v>
      </c>
      <c r="P112" s="175">
        <f>Master!J210</f>
        <v>1914</v>
      </c>
      <c r="Q112" s="175">
        <f>Master!K210</f>
        <v>-612</v>
      </c>
      <c r="R112" s="175">
        <f>Master!L210</f>
        <v>3956</v>
      </c>
      <c r="S112" s="175">
        <f>Master!M210</f>
        <v>-7848.8999999999978</v>
      </c>
      <c r="T112" s="175">
        <f>Master!N210</f>
        <v>10889.599999999993</v>
      </c>
      <c r="U112" s="175">
        <f>Master!O210</f>
        <v>1519.0999999999976</v>
      </c>
      <c r="V112" s="175">
        <f>Master!P210</f>
        <v>-7444.7999999999938</v>
      </c>
      <c r="W112" s="175">
        <f>Master!Q210</f>
        <v>11570.000000000002</v>
      </c>
      <c r="X112" s="175">
        <f>Master!R210</f>
        <v>-19953.599999999999</v>
      </c>
      <c r="Y112" s="175">
        <f>Master!S210</f>
        <v>381.99999999999932</v>
      </c>
      <c r="Z112" s="175">
        <f>Master!T210</f>
        <v>-3773.1779999999999</v>
      </c>
      <c r="AA112" s="175">
        <f>Master!U210</f>
        <v>-4201.4210000000003</v>
      </c>
      <c r="AB112" s="175">
        <f>Master!V210</f>
        <v>-2519.424</v>
      </c>
      <c r="AC112" s="175">
        <f>Master!W210</f>
        <v>4108.4750000000004</v>
      </c>
      <c r="AD112" s="175">
        <f>Master!X210</f>
        <v>396.71699999999987</v>
      </c>
      <c r="AE112" s="175">
        <f>Master!Y210</f>
        <v>-30.588769185279034</v>
      </c>
      <c r="AF112" s="175">
        <f>Master!Z210</f>
        <v>-58.698830814722442</v>
      </c>
      <c r="AG112" s="175">
        <f>Master!AA210</f>
        <v>-79.213708709820025</v>
      </c>
      <c r="AH112" s="175">
        <f>Master!AB210</f>
        <v>-63.138372906999734</v>
      </c>
      <c r="AI112" s="175">
        <f>Master!AC210</f>
        <v>4.4275882884833209</v>
      </c>
      <c r="AJ112" s="175">
        <f>Master!AD210</f>
        <v>-37.955878116856866</v>
      </c>
      <c r="AK112" s="175">
        <f>Master!AE210</f>
        <v>-57.627037862176508</v>
      </c>
      <c r="AL112" s="175">
        <f>Master!AF210</f>
        <v>-70.324625406715313</v>
      </c>
      <c r="AM112" s="175">
        <f>Master!AG210</f>
        <v>-65.769968640789102</v>
      </c>
      <c r="AN112" s="175">
        <f>Master!AH210</f>
        <v>-63.759327008878131</v>
      </c>
    </row>
    <row r="113" spans="2:40">
      <c r="B113" s="161" t="s">
        <v>2361</v>
      </c>
      <c r="C113" s="162"/>
      <c r="D113" s="162"/>
      <c r="E113" s="162"/>
      <c r="F113" s="162"/>
      <c r="G113" s="162"/>
      <c r="H113" s="163"/>
      <c r="I113" s="163"/>
      <c r="J113" s="163"/>
      <c r="K113" s="163"/>
      <c r="L113" s="163"/>
      <c r="M113" s="163"/>
      <c r="N113" s="175"/>
      <c r="O113" s="175"/>
      <c r="P113" s="175"/>
      <c r="Q113" s="175"/>
      <c r="R113" s="175"/>
      <c r="S113" s="175"/>
      <c r="T113" s="175"/>
      <c r="U113" s="175"/>
      <c r="V113" s="175"/>
      <c r="W113" s="175"/>
      <c r="X113" s="175">
        <f>Master!R216</f>
        <v>-600</v>
      </c>
      <c r="Y113" s="175">
        <f>Master!S216</f>
        <v>-208</v>
      </c>
      <c r="Z113" s="175">
        <f>Master!T216</f>
        <v>-216</v>
      </c>
      <c r="AA113" s="175">
        <f>Master!U216</f>
        <v>-249</v>
      </c>
      <c r="AB113" s="175">
        <f>Master!V216</f>
        <v>-1345.002</v>
      </c>
      <c r="AC113" s="175">
        <f>Master!W216</f>
        <v>-1267.0160000000001</v>
      </c>
      <c r="AD113" s="175">
        <f>Master!X216</f>
        <v>-1500.9170000000001</v>
      </c>
      <c r="AE113" s="175">
        <f>Master!Y216</f>
        <v>-1545.9445100000003</v>
      </c>
      <c r="AF113" s="175">
        <f>Master!Z216</f>
        <v>-1592.3228453000004</v>
      </c>
      <c r="AG113" s="175">
        <f>Master!AA216</f>
        <v>-1640.0925306590004</v>
      </c>
      <c r="AH113" s="175">
        <f>Master!AB216</f>
        <v>-1689.2953065787706</v>
      </c>
      <c r="AI113" s="175">
        <f>Master!AC216</f>
        <v>-1739.9741657761338</v>
      </c>
      <c r="AJ113" s="175">
        <f>Master!AD216</f>
        <v>-1792.1733907494179</v>
      </c>
      <c r="AK113" s="175">
        <f>Master!AE216</f>
        <v>-1845.9385924719004</v>
      </c>
      <c r="AL113" s="175">
        <f>Master!AF216</f>
        <v>-1901.3167502460574</v>
      </c>
      <c r="AM113" s="175">
        <f>Master!AG216</f>
        <v>-1958.3562527534391</v>
      </c>
      <c r="AN113" s="175">
        <f>Master!AH216</f>
        <v>-2017.1069403360423</v>
      </c>
    </row>
    <row r="114" spans="2:40">
      <c r="B114" s="161" t="s">
        <v>2362</v>
      </c>
      <c r="C114" s="162"/>
      <c r="D114" s="167"/>
      <c r="E114" s="167"/>
      <c r="F114" s="167"/>
      <c r="G114" s="167"/>
      <c r="H114" s="163"/>
      <c r="I114" s="163"/>
      <c r="J114" s="163"/>
      <c r="K114" s="163"/>
      <c r="L114" s="163"/>
      <c r="M114" s="163"/>
      <c r="N114" s="175">
        <f>Master!H219</f>
        <v>0</v>
      </c>
      <c r="O114" s="175">
        <f>Master!I219</f>
        <v>-13966</v>
      </c>
      <c r="P114" s="175">
        <f>Master!J219</f>
        <v>-19299</v>
      </c>
      <c r="Q114" s="175">
        <f>Master!K219</f>
        <v>0</v>
      </c>
      <c r="R114" s="175">
        <f>Master!L219</f>
        <v>-11122.5</v>
      </c>
      <c r="S114" s="175">
        <f>Master!M219</f>
        <v>-6015</v>
      </c>
      <c r="T114" s="175">
        <f>Master!N219</f>
        <v>-879</v>
      </c>
      <c r="U114" s="175">
        <f>Master!O219</f>
        <v>-6750</v>
      </c>
      <c r="V114" s="175">
        <f>Master!P219</f>
        <v>0</v>
      </c>
      <c r="W114" s="175">
        <f>Master!Q219</f>
        <v>4057.7800000000007</v>
      </c>
      <c r="X114" s="175">
        <f>Master!R219</f>
        <v>-9500</v>
      </c>
      <c r="Y114" s="175">
        <f>Master!S219</f>
        <v>0</v>
      </c>
      <c r="Z114" s="175">
        <f>Master!T219</f>
        <v>5206</v>
      </c>
      <c r="AA114" s="175">
        <f>Master!U219</f>
        <v>45247.5</v>
      </c>
      <c r="AB114" s="175">
        <f>Master!V219</f>
        <v>-633.53599999999392</v>
      </c>
      <c r="AC114" s="175">
        <f>Master!W219</f>
        <v>5398.8459999999905</v>
      </c>
      <c r="AD114" s="175">
        <f>Master!X219</f>
        <v>-3847.3579999999965</v>
      </c>
      <c r="AE114" s="175">
        <f>Master!Y219</f>
        <v>0</v>
      </c>
      <c r="AF114" s="175">
        <f>Master!Z219</f>
        <v>-1771.23</v>
      </c>
      <c r="AG114" s="175">
        <f>Master!AA219</f>
        <v>-1806.6545999999998</v>
      </c>
      <c r="AH114" s="175">
        <f>Master!AB219</f>
        <v>0</v>
      </c>
      <c r="AI114" s="175">
        <f>Master!AC219</f>
        <v>0</v>
      </c>
      <c r="AJ114" s="175">
        <f>Master!AD219</f>
        <v>0</v>
      </c>
      <c r="AK114" s="175">
        <f>Master!AE219</f>
        <v>0</v>
      </c>
      <c r="AL114" s="175">
        <f>Master!AF219</f>
        <v>0</v>
      </c>
      <c r="AM114" s="175">
        <f>Master!AG219</f>
        <v>0</v>
      </c>
      <c r="AN114" s="175">
        <f>Master!AH219</f>
        <v>0</v>
      </c>
    </row>
    <row r="115" spans="2:40">
      <c r="B115" s="161" t="s">
        <v>278</v>
      </c>
      <c r="C115" s="162"/>
      <c r="D115" s="163"/>
      <c r="E115" s="163"/>
      <c r="F115" s="163"/>
      <c r="G115" s="163"/>
      <c r="H115" s="163"/>
      <c r="I115" s="163"/>
      <c r="J115" s="163"/>
      <c r="K115" s="163"/>
      <c r="L115" s="163"/>
      <c r="M115" s="163"/>
      <c r="N115" s="175">
        <f>Master!H212</f>
        <v>0</v>
      </c>
      <c r="O115" s="175">
        <f>Master!I212</f>
        <v>-1066.6543162393161</v>
      </c>
      <c r="P115" s="175">
        <f>Master!J212</f>
        <v>-1084.2353846153844</v>
      </c>
      <c r="Q115" s="175">
        <f>Master!K212</f>
        <v>-1094.060811965812</v>
      </c>
      <c r="R115" s="175">
        <f>Master!L212</f>
        <v>-1098.0747435897435</v>
      </c>
      <c r="S115" s="175">
        <f>Master!M212</f>
        <v>0</v>
      </c>
      <c r="T115" s="175">
        <f>Master!N212</f>
        <v>-1084.1938034188033</v>
      </c>
      <c r="U115" s="175">
        <f>Master!O212</f>
        <v>-1084.1938034188033</v>
      </c>
      <c r="V115" s="175">
        <f>Master!P212</f>
        <v>-1084.1938034188033</v>
      </c>
      <c r="W115" s="175">
        <f>Master!Q212</f>
        <v>-1068.8679914529912</v>
      </c>
      <c r="X115" s="175">
        <f>Master!R212</f>
        <v>0</v>
      </c>
      <c r="Y115" s="175">
        <f>Master!S212</f>
        <v>-1068.8679914529912</v>
      </c>
      <c r="Z115" s="175">
        <f>Master!T212</f>
        <v>-1053.3920000000001</v>
      </c>
      <c r="AA115" s="175">
        <f>Master!U212</f>
        <v>-1053.3920000000001</v>
      </c>
      <c r="AB115" s="175">
        <f>Master!V212</f>
        <v>-1027.354</v>
      </c>
      <c r="AC115" s="175">
        <f>Master!W212</f>
        <v>-1018.954</v>
      </c>
      <c r="AD115" s="175">
        <f>Master!X212</f>
        <v>-1018.954</v>
      </c>
      <c r="AE115" s="175">
        <f>Master!Y212</f>
        <v>0</v>
      </c>
      <c r="AF115" s="175">
        <f>Master!Z212</f>
        <v>-1244.0848717948718</v>
      </c>
      <c r="AG115" s="175">
        <f>Master!AA212</f>
        <v>-1244.0848717948718</v>
      </c>
      <c r="AH115" s="175">
        <f>Master!AB212</f>
        <v>-1244.0848717948718</v>
      </c>
      <c r="AI115" s="175">
        <f>Master!AC212</f>
        <v>-1244.0848717948718</v>
      </c>
      <c r="AJ115" s="175">
        <f>Master!AD212</f>
        <v>-1244.0848717948718</v>
      </c>
      <c r="AK115" s="175">
        <f>Master!AE212</f>
        <v>-1244.0848717948718</v>
      </c>
      <c r="AL115" s="175">
        <f>Master!AF212</f>
        <v>-1244.0848717948718</v>
      </c>
      <c r="AM115" s="175">
        <f>Master!AG212</f>
        <v>-1244.0848717948718</v>
      </c>
      <c r="AN115" s="175">
        <f>Master!AH212</f>
        <v>-1244.0848717948718</v>
      </c>
    </row>
    <row r="116" spans="2:40">
      <c r="B116" s="161" t="s">
        <v>279</v>
      </c>
      <c r="C116" s="162"/>
      <c r="D116" s="163"/>
      <c r="E116" s="163"/>
      <c r="F116" s="163"/>
      <c r="G116" s="163"/>
      <c r="H116" s="163"/>
      <c r="I116" s="163"/>
      <c r="J116" s="163"/>
      <c r="K116" s="163"/>
      <c r="L116" s="163"/>
      <c r="M116" s="163"/>
      <c r="N116" s="175">
        <f>Master!H213</f>
        <v>-76.3</v>
      </c>
      <c r="O116" s="175">
        <f>Master!I213</f>
        <v>-243.55799999999999</v>
      </c>
      <c r="P116" s="175">
        <f>Master!J213</f>
        <v>-2649</v>
      </c>
      <c r="Q116" s="175" t="e">
        <f>Master!K213</f>
        <v>#REF!</v>
      </c>
      <c r="R116" s="175" t="e">
        <f>Master!L213</f>
        <v>#REF!</v>
      </c>
      <c r="S116" s="175" t="e">
        <f>Master!M213</f>
        <v>#REF!</v>
      </c>
      <c r="T116" s="175">
        <f>Master!N213</f>
        <v>0</v>
      </c>
      <c r="U116" s="175">
        <f>Master!O213</f>
        <v>0</v>
      </c>
      <c r="V116" s="175">
        <f>Master!P213</f>
        <v>0</v>
      </c>
      <c r="W116" s="175">
        <f>Master!Q213</f>
        <v>-1270</v>
      </c>
      <c r="X116" s="175">
        <f>Master!R213</f>
        <v>-1594</v>
      </c>
      <c r="Y116" s="175">
        <f>Master!S213</f>
        <v>-1420</v>
      </c>
      <c r="Z116" s="175">
        <f>Master!T213</f>
        <v>-328.774</v>
      </c>
      <c r="AA116" s="175">
        <f>Master!U213</f>
        <v>0</v>
      </c>
      <c r="AB116" s="175">
        <f>Master!V213</f>
        <v>0</v>
      </c>
      <c r="AC116" s="175">
        <f>Master!W213</f>
        <v>0</v>
      </c>
      <c r="AD116" s="175">
        <f>Master!X213</f>
        <v>-116.621</v>
      </c>
      <c r="AE116" s="175">
        <f>Master!Y213</f>
        <v>-122.45205</v>
      </c>
      <c r="AF116" s="175">
        <f>Master!Z213</f>
        <v>-128.57465250000001</v>
      </c>
      <c r="AG116" s="175">
        <f>Master!AA213</f>
        <v>-135.00338512500002</v>
      </c>
      <c r="AH116" s="175">
        <f>Master!AB213</f>
        <v>-141.75355438125004</v>
      </c>
      <c r="AI116" s="175">
        <f>Master!AC213</f>
        <v>-148.84123210031254</v>
      </c>
      <c r="AJ116" s="175">
        <f>Master!AD213</f>
        <v>-156.28329370532816</v>
      </c>
      <c r="AK116" s="175">
        <f>Master!AE213</f>
        <v>-164.09745839059457</v>
      </c>
      <c r="AL116" s="175">
        <f>Master!AF213</f>
        <v>-172.30233131012432</v>
      </c>
      <c r="AM116" s="175">
        <f>Master!AG213</f>
        <v>-180.91744787563053</v>
      </c>
      <c r="AN116" s="175">
        <f>Master!AH213</f>
        <v>-189.96332026941207</v>
      </c>
    </row>
    <row r="117" spans="2:40">
      <c r="B117" s="161" t="s">
        <v>2363</v>
      </c>
      <c r="C117" s="162"/>
      <c r="D117" s="162"/>
      <c r="E117" s="167"/>
      <c r="F117" s="167"/>
      <c r="G117" s="167"/>
      <c r="H117" s="163"/>
      <c r="I117" s="163"/>
      <c r="J117" s="163"/>
      <c r="K117" s="163"/>
      <c r="L117" s="163"/>
      <c r="M117" s="163"/>
      <c r="N117" s="175"/>
      <c r="O117" s="175">
        <f>O118-SUM(O109:O116)</f>
        <v>-6688.9576837606801</v>
      </c>
      <c r="P117" s="175">
        <f>P118-SUM(P109:P116)</f>
        <v>-4178.6246153846168</v>
      </c>
      <c r="Q117" s="175" t="e">
        <f t="shared" ref="Q117:W117" si="54">Q118-SUM(Q109:Q116)</f>
        <v>#REF!</v>
      </c>
      <c r="R117" s="175" t="e">
        <f t="shared" si="54"/>
        <v>#REF!</v>
      </c>
      <c r="S117" s="175" t="e">
        <f t="shared" si="54"/>
        <v>#REF!</v>
      </c>
      <c r="T117" s="175">
        <f t="shared" si="54"/>
        <v>-28103.448196581183</v>
      </c>
      <c r="U117" s="175">
        <f t="shared" si="54"/>
        <v>-5473.5261965811878</v>
      </c>
      <c r="V117" s="175">
        <f t="shared" si="54"/>
        <v>3327.7238034187931</v>
      </c>
      <c r="W117" s="175">
        <f t="shared" si="54"/>
        <v>-19742.562008547007</v>
      </c>
      <c r="X117" s="175">
        <f>X118-SUM(X109:X116)</f>
        <v>5046.2249999999913</v>
      </c>
      <c r="Y117" s="175">
        <f>Y118-SUM(Y109:Y116)</f>
        <v>-666.72000854700764</v>
      </c>
      <c r="Z117" s="175">
        <f t="shared" ref="Z117:AN117" si="55">Z118-SUM(Z109:Z116)</f>
        <v>-5899.4637295869152</v>
      </c>
      <c r="AA117" s="175">
        <f t="shared" si="55"/>
        <v>20494.442999999988</v>
      </c>
      <c r="AB117" s="175">
        <f t="shared" si="55"/>
        <v>6907.4950000000026</v>
      </c>
      <c r="AC117" s="175">
        <f t="shared" si="55"/>
        <v>-9285.590000000002</v>
      </c>
      <c r="AD117" s="175">
        <f t="shared" si="55"/>
        <v>8092.7459999999965</v>
      </c>
      <c r="AE117" s="175">
        <f t="shared" ca="1" si="55"/>
        <v>-112.74622954433005</v>
      </c>
      <c r="AF117" s="175">
        <f t="shared" ca="1" si="55"/>
        <v>-928.54546013273671</v>
      </c>
      <c r="AG117" s="175">
        <f t="shared" ca="1" si="55"/>
        <v>-741.76611749375684</v>
      </c>
      <c r="AH117" s="175">
        <f t="shared" ca="1" si="55"/>
        <v>-585.14053463524306</v>
      </c>
      <c r="AI117" s="175">
        <f t="shared" ca="1" si="55"/>
        <v>-430.42071735011086</v>
      </c>
      <c r="AJ117" s="175">
        <f t="shared" ca="1" si="55"/>
        <v>-291.40452435332463</v>
      </c>
      <c r="AK117" s="175">
        <f t="shared" ca="1" si="55"/>
        <v>-163.77693745594752</v>
      </c>
      <c r="AL117" s="175">
        <f t="shared" ca="1" si="55"/>
        <v>-40.158570221784885</v>
      </c>
      <c r="AM117" s="175">
        <f t="shared" ca="1" si="55"/>
        <v>67.04349539359464</v>
      </c>
      <c r="AN117" s="175">
        <f t="shared" ca="1" si="55"/>
        <v>154.41769782171377</v>
      </c>
    </row>
    <row r="118" spans="2:40">
      <c r="B118" s="161" t="s">
        <v>272</v>
      </c>
      <c r="C118" s="162"/>
      <c r="D118" s="162"/>
      <c r="E118" s="167"/>
      <c r="F118" s="167"/>
      <c r="G118" s="167"/>
      <c r="H118" s="163"/>
      <c r="I118" s="163"/>
      <c r="J118" s="163"/>
      <c r="K118" s="163"/>
      <c r="L118" s="163"/>
      <c r="M118" s="163"/>
      <c r="N118" s="175"/>
      <c r="O118" s="175">
        <f>-(O119-N119)</f>
        <v>-12141.099999999999</v>
      </c>
      <c r="P118" s="175">
        <f>-(P119-O119)</f>
        <v>-19055</v>
      </c>
      <c r="Q118" s="175">
        <f>-(Q119-P119)</f>
        <v>6163</v>
      </c>
      <c r="R118" s="175">
        <f t="shared" ref="R118:Y118" si="56">-(R119-Q119)</f>
        <v>-9383</v>
      </c>
      <c r="S118" s="175">
        <f t="shared" si="56"/>
        <v>-5514.0000000000073</v>
      </c>
      <c r="T118" s="175">
        <f t="shared" si="56"/>
        <v>-14973.999999999993</v>
      </c>
      <c r="U118" s="175">
        <f t="shared" si="56"/>
        <v>-22924.899999999994</v>
      </c>
      <c r="V118" s="175">
        <f t="shared" si="56"/>
        <v>-867.10000000000582</v>
      </c>
      <c r="W118" s="175">
        <f t="shared" si="56"/>
        <v>-4044.6999999999971</v>
      </c>
      <c r="X118" s="175">
        <f t="shared" si="56"/>
        <v>-20854.700000000012</v>
      </c>
      <c r="Y118" s="175">
        <f t="shared" si="56"/>
        <v>1385.1999999999971</v>
      </c>
      <c r="Z118" s="175">
        <f t="shared" ref="Z118" si="57">-(Z119-Y119)</f>
        <v>-6857.2999999999738</v>
      </c>
      <c r="AA118" s="175">
        <f t="shared" ref="AA118" si="58">-(AA119-Z119)</f>
        <v>47165.799999999988</v>
      </c>
      <c r="AB118" s="175">
        <f t="shared" ref="AB118" si="59">-(AB119-AA119)</f>
        <v>-762.41799999999057</v>
      </c>
      <c r="AC118" s="175">
        <f t="shared" ref="AC118" si="60">-(AC119-AB119)</f>
        <v>1098.4909999999873</v>
      </c>
      <c r="AD118" s="175">
        <f t="shared" ref="AD118" si="61">-(AD119-AC119)</f>
        <v>7088.1270000000004</v>
      </c>
      <c r="AE118" s="175">
        <f t="shared" ref="AE118" ca="1" si="62">-(AE119-AD119)</f>
        <v>401.00507121938426</v>
      </c>
      <c r="AF118" s="175">
        <f t="shared" ref="AF118" ca="1" si="63">-(AF119-AE119)</f>
        <v>-688.54639249867614</v>
      </c>
      <c r="AG118" s="175">
        <f t="shared" ref="AG118" ca="1" si="64">-(AG119-AF119)</f>
        <v>-453.84317481187463</v>
      </c>
      <c r="AH118" s="175">
        <f t="shared" ref="AH118" ca="1" si="65">-(AH119-AG119)</f>
        <v>1507.3851796013332</v>
      </c>
      <c r="AI118" s="175">
        <f t="shared" ref="AI118" ca="1" si="66">-(AI119-AH119)</f>
        <v>1922.0805703113219</v>
      </c>
      <c r="AJ118" s="175">
        <f t="shared" ref="AJ118" ca="1" si="67">-(AJ119-AI119)</f>
        <v>2316.4412474834826</v>
      </c>
      <c r="AK118" s="175">
        <f t="shared" ref="AK118" ca="1" si="68">-(AK119-AJ119)</f>
        <v>2605.7838597936061</v>
      </c>
      <c r="AL118" s="175">
        <f t="shared" ref="AL118" ca="1" si="69">-(AL119-AK119)</f>
        <v>2902.7155328387526</v>
      </c>
      <c r="AM118" s="175">
        <f t="shared" ref="AM118" ca="1" si="70">-(AM119-AL119)</f>
        <v>2933.5928027700502</v>
      </c>
      <c r="AN118" s="175">
        <f t="shared" ref="AN118" ca="1" si="71">-(AN119-AM119)</f>
        <v>2881.4809954406883</v>
      </c>
    </row>
    <row r="119" spans="2:40">
      <c r="B119" s="161" t="s">
        <v>271</v>
      </c>
      <c r="C119" s="162"/>
      <c r="D119" s="162"/>
      <c r="E119" s="162"/>
      <c r="F119" s="162"/>
      <c r="G119" s="162"/>
      <c r="H119" s="163"/>
      <c r="I119" s="163"/>
      <c r="J119" s="163"/>
      <c r="K119" s="163"/>
      <c r="L119" s="163"/>
      <c r="M119" s="163"/>
      <c r="N119" s="175">
        <f>Master!H308</f>
        <v>576.90000000000146</v>
      </c>
      <c r="O119" s="175">
        <f>Master!I308</f>
        <v>12718</v>
      </c>
      <c r="P119" s="175">
        <f>Master!J308</f>
        <v>31773</v>
      </c>
      <c r="Q119" s="175">
        <f>Master!K308</f>
        <v>25610</v>
      </c>
      <c r="R119" s="175">
        <f>Master!L308</f>
        <v>34993</v>
      </c>
      <c r="S119" s="175">
        <f>Master!M308</f>
        <v>40507.000000000007</v>
      </c>
      <c r="T119" s="175">
        <f>Master!N308</f>
        <v>55481</v>
      </c>
      <c r="U119" s="175">
        <f>Master!O308</f>
        <v>78405.899999999994</v>
      </c>
      <c r="V119" s="175">
        <f>Master!P308</f>
        <v>79273</v>
      </c>
      <c r="W119" s="175">
        <f>Master!Q308</f>
        <v>83317.7</v>
      </c>
      <c r="X119" s="175">
        <f>Master!R308</f>
        <v>104172.40000000001</v>
      </c>
      <c r="Y119" s="175">
        <f>Master!S308</f>
        <v>102787.20000000001</v>
      </c>
      <c r="Z119" s="175">
        <f>Master!T308</f>
        <v>109644.49999999999</v>
      </c>
      <c r="AA119" s="175">
        <f>Master!U308</f>
        <v>62478.7</v>
      </c>
      <c r="AB119" s="175">
        <f>Master!V308</f>
        <v>63241.117999999988</v>
      </c>
      <c r="AC119" s="175">
        <f>Master!W308</f>
        <v>62142.627</v>
      </c>
      <c r="AD119" s="175">
        <f>Master!X308</f>
        <v>55054.5</v>
      </c>
      <c r="AE119" s="175">
        <f ca="1">Master!Y308</f>
        <v>54653.494928780616</v>
      </c>
      <c r="AF119" s="175">
        <f ca="1">Master!Z308</f>
        <v>55342.041321279292</v>
      </c>
      <c r="AG119" s="175">
        <f ca="1">Master!AA308</f>
        <v>55795.884496091167</v>
      </c>
      <c r="AH119" s="175">
        <f ca="1">Master!AB308</f>
        <v>54288.499316489833</v>
      </c>
      <c r="AI119" s="175">
        <f ca="1">Master!AC308</f>
        <v>52366.418746178511</v>
      </c>
      <c r="AJ119" s="175">
        <f ca="1">Master!AD308</f>
        <v>50049.977498695029</v>
      </c>
      <c r="AK119" s="175">
        <f ca="1">Master!AE308</f>
        <v>47444.193638901423</v>
      </c>
      <c r="AL119" s="175">
        <f ca="1">Master!AF308</f>
        <v>44541.47810606267</v>
      </c>
      <c r="AM119" s="175">
        <f ca="1">Master!AG308</f>
        <v>41607.88530329262</v>
      </c>
      <c r="AN119" s="175">
        <f ca="1">Master!AH308</f>
        <v>38726.404307851932</v>
      </c>
    </row>
    <row r="120" spans="2:40">
      <c r="E120" s="170"/>
      <c r="F120" s="170"/>
    </row>
    <row r="121" spans="2:40">
      <c r="B121" s="160" t="s">
        <v>2364</v>
      </c>
      <c r="C121" s="160">
        <v>1998</v>
      </c>
      <c r="D121" s="160">
        <v>1999</v>
      </c>
      <c r="E121" s="160">
        <v>2000</v>
      </c>
      <c r="F121" s="160">
        <v>2001</v>
      </c>
      <c r="G121" s="160">
        <v>2002</v>
      </c>
      <c r="H121" s="160">
        <v>2003</v>
      </c>
      <c r="I121" s="160">
        <v>2004</v>
      </c>
      <c r="J121" s="160">
        <v>2005</v>
      </c>
      <c r="K121" s="160">
        <v>2006</v>
      </c>
      <c r="L121" s="160">
        <v>2007</v>
      </c>
      <c r="M121" s="160">
        <v>2008</v>
      </c>
      <c r="N121" s="160">
        <v>2009</v>
      </c>
      <c r="O121" s="160">
        <v>2010</v>
      </c>
      <c r="P121" s="160">
        <v>2011</v>
      </c>
      <c r="Q121" s="160">
        <v>2012</v>
      </c>
      <c r="R121" s="160">
        <v>2013</v>
      </c>
      <c r="S121" s="160">
        <v>2014</v>
      </c>
      <c r="T121" s="160">
        <v>2015</v>
      </c>
      <c r="U121" s="160">
        <v>2016</v>
      </c>
      <c r="V121" s="160">
        <v>2017</v>
      </c>
      <c r="W121" s="160">
        <v>2018</v>
      </c>
      <c r="X121" s="160">
        <f>W121+1</f>
        <v>2019</v>
      </c>
      <c r="Y121" s="160">
        <f>X121+1</f>
        <v>2020</v>
      </c>
      <c r="Z121" s="160">
        <f t="shared" ref="Z121:AN121" si="72">Y121+1</f>
        <v>2021</v>
      </c>
      <c r="AA121" s="160">
        <f t="shared" si="72"/>
        <v>2022</v>
      </c>
      <c r="AB121" s="160">
        <f t="shared" si="72"/>
        <v>2023</v>
      </c>
      <c r="AC121" s="160">
        <f t="shared" si="72"/>
        <v>2024</v>
      </c>
      <c r="AD121" s="160">
        <f t="shared" si="72"/>
        <v>2025</v>
      </c>
      <c r="AE121" s="160">
        <f t="shared" si="72"/>
        <v>2026</v>
      </c>
      <c r="AF121" s="160">
        <f t="shared" si="72"/>
        <v>2027</v>
      </c>
      <c r="AG121" s="160">
        <f t="shared" si="72"/>
        <v>2028</v>
      </c>
      <c r="AH121" s="160">
        <f t="shared" si="72"/>
        <v>2029</v>
      </c>
      <c r="AI121" s="160">
        <f t="shared" si="72"/>
        <v>2030</v>
      </c>
      <c r="AJ121" s="160">
        <f t="shared" si="72"/>
        <v>2031</v>
      </c>
      <c r="AK121" s="160">
        <f t="shared" si="72"/>
        <v>2032</v>
      </c>
      <c r="AL121" s="160">
        <f t="shared" si="72"/>
        <v>2033</v>
      </c>
      <c r="AM121" s="160">
        <f t="shared" si="72"/>
        <v>2034</v>
      </c>
      <c r="AN121" s="160">
        <f t="shared" si="72"/>
        <v>2035</v>
      </c>
    </row>
    <row r="122" spans="2:40">
      <c r="B122" s="161" t="s">
        <v>2365</v>
      </c>
      <c r="C122" s="162"/>
      <c r="D122" s="163"/>
      <c r="E122" s="163"/>
      <c r="F122" s="163"/>
      <c r="G122" s="163"/>
      <c r="H122" s="163"/>
      <c r="I122" s="163"/>
      <c r="J122" s="163"/>
      <c r="K122" s="163"/>
      <c r="L122" s="163"/>
      <c r="M122" s="163"/>
      <c r="N122" s="163">
        <f>-SOP!$G$19</f>
        <v>-1524.2918822963313</v>
      </c>
      <c r="O122" s="163">
        <f>N122</f>
        <v>-1524.2918822963313</v>
      </c>
      <c r="P122" s="163">
        <f t="shared" ref="P122:Y122" si="73">O122</f>
        <v>-1524.2918822963313</v>
      </c>
      <c r="Q122" s="163">
        <f t="shared" si="73"/>
        <v>-1524.2918822963313</v>
      </c>
      <c r="R122" s="163">
        <f t="shared" si="73"/>
        <v>-1524.2918822963313</v>
      </c>
      <c r="S122" s="163">
        <f t="shared" si="73"/>
        <v>-1524.2918822963313</v>
      </c>
      <c r="T122" s="163">
        <f t="shared" si="73"/>
        <v>-1524.2918822963313</v>
      </c>
      <c r="U122" s="163">
        <f t="shared" si="73"/>
        <v>-1524.2918822963313</v>
      </c>
      <c r="V122" s="163">
        <f t="shared" si="73"/>
        <v>-1524.2918822963313</v>
      </c>
      <c r="W122" s="163">
        <f t="shared" si="73"/>
        <v>-1524.2918822963313</v>
      </c>
      <c r="X122" s="163">
        <f t="shared" si="73"/>
        <v>-1524.2918822963313</v>
      </c>
      <c r="Y122" s="163">
        <f t="shared" si="73"/>
        <v>-1524.2918822963313</v>
      </c>
      <c r="Z122" s="163">
        <f t="shared" ref="Z122" si="74">Y122</f>
        <v>-1524.2918822963313</v>
      </c>
      <c r="AA122" s="163">
        <f t="shared" ref="AA122" si="75">Z122</f>
        <v>-1524.2918822963313</v>
      </c>
      <c r="AB122" s="163">
        <f t="shared" ref="AB122" si="76">AA122</f>
        <v>-1524.2918822963313</v>
      </c>
      <c r="AC122" s="163">
        <f t="shared" ref="AC122" si="77">AB122</f>
        <v>-1524.2918822963313</v>
      </c>
      <c r="AD122" s="163">
        <f t="shared" ref="AD122" si="78">AC122</f>
        <v>-1524.2918822963313</v>
      </c>
      <c r="AE122" s="163">
        <f t="shared" ref="AE122" si="79">AD122</f>
        <v>-1524.2918822963313</v>
      </c>
      <c r="AF122" s="163">
        <f t="shared" ref="AF122" si="80">AE122</f>
        <v>-1524.2918822963313</v>
      </c>
      <c r="AG122" s="163">
        <f t="shared" ref="AG122" si="81">AF122</f>
        <v>-1524.2918822963313</v>
      </c>
      <c r="AH122" s="163">
        <f t="shared" ref="AH122" si="82">AG122</f>
        <v>-1524.2918822963313</v>
      </c>
      <c r="AI122" s="163">
        <f t="shared" ref="AI122" si="83">AH122</f>
        <v>-1524.2918822963313</v>
      </c>
      <c r="AJ122" s="163">
        <f t="shared" ref="AJ122" si="84">AI122</f>
        <v>-1524.2918822963313</v>
      </c>
      <c r="AK122" s="163">
        <f t="shared" ref="AK122" si="85">AJ122</f>
        <v>-1524.2918822963313</v>
      </c>
      <c r="AL122" s="163">
        <f t="shared" ref="AL122" si="86">AK122</f>
        <v>-1524.2918822963313</v>
      </c>
      <c r="AM122" s="163">
        <f t="shared" ref="AM122" si="87">AL122</f>
        <v>-1524.2918822963313</v>
      </c>
      <c r="AN122" s="163">
        <f t="shared" ref="AN122" si="88">AM122</f>
        <v>-1524.2918822963313</v>
      </c>
    </row>
    <row r="123" spans="2:40">
      <c r="B123" s="161" t="s">
        <v>2366</v>
      </c>
      <c r="C123" s="162"/>
      <c r="D123" s="162"/>
      <c r="E123" s="167"/>
      <c r="F123" s="167"/>
      <c r="G123" s="167"/>
      <c r="H123" s="167"/>
      <c r="I123" s="167"/>
      <c r="J123" s="167"/>
      <c r="K123" s="167"/>
      <c r="L123" s="167"/>
      <c r="M123" s="167"/>
      <c r="N123" s="167"/>
      <c r="O123" s="162"/>
      <c r="P123" s="162"/>
      <c r="Q123" s="162"/>
      <c r="R123" s="162"/>
      <c r="S123" s="162"/>
      <c r="T123" s="162"/>
      <c r="U123" s="162"/>
      <c r="V123" s="162"/>
      <c r="W123" s="162"/>
      <c r="X123" s="162"/>
      <c r="Y123" s="162"/>
      <c r="Z123" s="162"/>
      <c r="AA123" s="162"/>
      <c r="AB123" s="162"/>
      <c r="AC123" s="162"/>
      <c r="AD123" s="162"/>
      <c r="AE123" s="162"/>
      <c r="AF123" s="162"/>
      <c r="AG123" s="162"/>
      <c r="AH123" s="162"/>
      <c r="AI123" s="162"/>
      <c r="AJ123" s="162"/>
      <c r="AK123" s="162"/>
      <c r="AL123" s="162"/>
      <c r="AM123" s="162"/>
      <c r="AN123" s="162"/>
    </row>
    <row r="124" spans="2:40">
      <c r="B124" s="161" t="s">
        <v>2367</v>
      </c>
      <c r="C124" s="162"/>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row>
    <row r="125" spans="2:40">
      <c r="B125" s="161" t="s">
        <v>2368</v>
      </c>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c r="AA125" s="162"/>
      <c r="AB125" s="162"/>
      <c r="AC125" s="162"/>
      <c r="AD125" s="162"/>
      <c r="AE125" s="162"/>
      <c r="AF125" s="162"/>
      <c r="AG125" s="162"/>
      <c r="AH125" s="162"/>
      <c r="AI125" s="162"/>
      <c r="AJ125" s="162"/>
      <c r="AK125" s="162"/>
      <c r="AL125" s="162"/>
      <c r="AM125" s="162"/>
      <c r="AN125" s="162"/>
    </row>
    <row r="126" spans="2:40">
      <c r="B126" s="161" t="s">
        <v>2369</v>
      </c>
      <c r="C126" s="162"/>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c r="AL126" s="162"/>
      <c r="AM126" s="162"/>
      <c r="AN126" s="162"/>
    </row>
    <row r="127" spans="2:40">
      <c r="B127" s="161" t="s">
        <v>2370</v>
      </c>
      <c r="C127" s="162"/>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c r="AJ127" s="162"/>
      <c r="AK127" s="162"/>
      <c r="AL127" s="162"/>
      <c r="AM127" s="162"/>
      <c r="AN127" s="162"/>
    </row>
    <row r="129" spans="2:40">
      <c r="B129" s="160" t="s">
        <v>2371</v>
      </c>
      <c r="C129" s="160">
        <v>1998</v>
      </c>
      <c r="D129" s="160">
        <v>1999</v>
      </c>
      <c r="E129" s="160">
        <v>2000</v>
      </c>
      <c r="F129" s="160">
        <v>2001</v>
      </c>
      <c r="G129" s="160">
        <v>2002</v>
      </c>
      <c r="H129" s="160">
        <v>2003</v>
      </c>
      <c r="I129" s="160">
        <v>2004</v>
      </c>
      <c r="J129" s="160">
        <v>2005</v>
      </c>
      <c r="K129" s="160">
        <v>2006</v>
      </c>
      <c r="L129" s="160">
        <v>2007</v>
      </c>
      <c r="M129" s="160">
        <v>2008</v>
      </c>
      <c r="N129" s="160">
        <v>2009</v>
      </c>
      <c r="O129" s="160">
        <v>2010</v>
      </c>
      <c r="P129" s="160">
        <v>2011</v>
      </c>
      <c r="Q129" s="160">
        <v>2012</v>
      </c>
      <c r="R129" s="160">
        <v>2013</v>
      </c>
      <c r="S129" s="160">
        <v>2014</v>
      </c>
      <c r="T129" s="160">
        <v>2015</v>
      </c>
      <c r="U129" s="160">
        <v>2016</v>
      </c>
      <c r="V129" s="160">
        <v>2017</v>
      </c>
      <c r="W129" s="160">
        <v>2018</v>
      </c>
      <c r="X129" s="160">
        <f>W129+1</f>
        <v>2019</v>
      </c>
      <c r="Y129" s="160">
        <f>X129+1</f>
        <v>2020</v>
      </c>
      <c r="Z129" s="160">
        <f t="shared" ref="Z129:AN129" si="89">Y129+1</f>
        <v>2021</v>
      </c>
      <c r="AA129" s="160">
        <f t="shared" si="89"/>
        <v>2022</v>
      </c>
      <c r="AB129" s="160">
        <f t="shared" si="89"/>
        <v>2023</v>
      </c>
      <c r="AC129" s="160">
        <f t="shared" si="89"/>
        <v>2024</v>
      </c>
      <c r="AD129" s="160">
        <f t="shared" si="89"/>
        <v>2025</v>
      </c>
      <c r="AE129" s="160">
        <f t="shared" si="89"/>
        <v>2026</v>
      </c>
      <c r="AF129" s="160">
        <f t="shared" si="89"/>
        <v>2027</v>
      </c>
      <c r="AG129" s="160">
        <f t="shared" si="89"/>
        <v>2028</v>
      </c>
      <c r="AH129" s="160">
        <f t="shared" si="89"/>
        <v>2029</v>
      </c>
      <c r="AI129" s="160">
        <f t="shared" si="89"/>
        <v>2030</v>
      </c>
      <c r="AJ129" s="160">
        <f t="shared" si="89"/>
        <v>2031</v>
      </c>
      <c r="AK129" s="160">
        <f t="shared" si="89"/>
        <v>2032</v>
      </c>
      <c r="AL129" s="160">
        <f t="shared" si="89"/>
        <v>2033</v>
      </c>
      <c r="AM129" s="160">
        <f t="shared" si="89"/>
        <v>2034</v>
      </c>
      <c r="AN129" s="160">
        <f t="shared" si="89"/>
        <v>2035</v>
      </c>
    </row>
    <row r="130" spans="2:40">
      <c r="B130" s="171" t="s">
        <v>2273</v>
      </c>
      <c r="C130" s="175"/>
      <c r="D130" s="175"/>
      <c r="E130" s="175"/>
      <c r="F130" s="175"/>
      <c r="G130" s="175"/>
      <c r="H130" s="175"/>
      <c r="I130" s="175"/>
      <c r="J130" s="175"/>
      <c r="K130" s="175"/>
      <c r="L130" s="175"/>
      <c r="M130" s="175"/>
      <c r="N130" s="175"/>
      <c r="O130" s="175"/>
      <c r="P130" s="175"/>
      <c r="Q130" s="175"/>
      <c r="R130" s="175"/>
      <c r="S130" s="175"/>
      <c r="T130" s="175"/>
      <c r="U130" s="175"/>
      <c r="V130" s="175"/>
      <c r="W130" s="175"/>
      <c r="X130" s="175"/>
      <c r="Y130" s="175"/>
      <c r="Z130" s="175"/>
      <c r="AA130" s="175"/>
      <c r="AB130" s="175"/>
      <c r="AC130" s="175"/>
      <c r="AD130" s="175"/>
      <c r="AE130" s="175"/>
      <c r="AF130" s="175"/>
      <c r="AG130" s="175"/>
      <c r="AH130" s="175"/>
      <c r="AI130" s="175"/>
      <c r="AJ130" s="175"/>
      <c r="AK130" s="175"/>
      <c r="AL130" s="175"/>
      <c r="AM130" s="175"/>
      <c r="AN130" s="175"/>
    </row>
    <row r="131" spans="2:40">
      <c r="B131" s="55" t="s">
        <v>218</v>
      </c>
      <c r="C131" s="175"/>
      <c r="D131" s="175"/>
      <c r="E131" s="175"/>
      <c r="F131" s="175"/>
      <c r="G131" s="175"/>
      <c r="H131" s="175"/>
      <c r="I131" s="175"/>
      <c r="J131" s="175"/>
      <c r="K131" s="175"/>
      <c r="L131" s="175"/>
      <c r="M131" s="175"/>
      <c r="N131" s="175">
        <f>Master!H17+Master!H20+Master!H25+Master!H27</f>
        <v>33368.443377914999</v>
      </c>
      <c r="O131" s="175">
        <f>Master!I17+Master!I20+Master!I25+Master!I27</f>
        <v>35058.300000000003</v>
      </c>
      <c r="P131" s="175">
        <f>Master!J17+Master!J20+Master!J25+Master!J27</f>
        <v>36466.9</v>
      </c>
      <c r="Q131" s="175">
        <f>Master!K17+Master!K20+Master!K25+Master!K27</f>
        <v>39254.600000000006</v>
      </c>
      <c r="R131" s="175">
        <f>Master!L17+Master!L20+Master!L25+Master!L27</f>
        <v>40556.6</v>
      </c>
      <c r="S131" s="175">
        <f>Master!M17+Master!M20+Master!M25+Master!M27</f>
        <v>41682.69999999999</v>
      </c>
      <c r="T131" s="175">
        <f>Master!N17+Master!N20+Master!N25+Master!N27</f>
        <v>40310</v>
      </c>
      <c r="U131" s="175">
        <f>Master!O17+Master!O20+Master!O25+Master!O27</f>
        <v>42450.6</v>
      </c>
      <c r="V131" s="175">
        <f>Master!P17+Master!P20+Master!P25+Master!P27</f>
        <v>39030</v>
      </c>
      <c r="W131" s="175">
        <f>Master!Q17+Master!Q20+Master!Q25+Master!Q27</f>
        <v>43075</v>
      </c>
      <c r="X131" s="175">
        <f>Master!R17+Master!R20+Master!R25+Master!R27</f>
        <v>37601.600000000006</v>
      </c>
      <c r="Y131" s="175">
        <f>Master!S17+Master!S20+Master!S25+Master!S27</f>
        <v>29636.5</v>
      </c>
      <c r="Z131" s="175">
        <f>Master!T17+Master!T20+Master!T25+Master!T27</f>
        <v>33474.300000000003</v>
      </c>
      <c r="AA131" s="175">
        <f>Master!U17+Master!U20+Master!U25+Master!U27</f>
        <v>6775.8</v>
      </c>
      <c r="AB131" s="175">
        <f>Master!V17+Master!V20+Master!V25+Master!V27</f>
        <v>7380.2000000000007</v>
      </c>
      <c r="AC131" s="175">
        <f>Master!W17+Master!W20+Master!W25+Master!W27</f>
        <v>-3.6000000007334165E-2</v>
      </c>
      <c r="AD131" s="175">
        <f>Master!X17+Master!X20+Master!X25+Master!X27</f>
        <v>0</v>
      </c>
      <c r="AE131" s="175">
        <f>Master!Y17+Master!Y20+Master!Y25+Master!Y27</f>
        <v>0</v>
      </c>
      <c r="AF131" s="175">
        <f>Master!Z17+Master!Z20+Master!Z25+Master!Z27</f>
        <v>0</v>
      </c>
      <c r="AG131" s="175">
        <f>Master!AA17+Master!AA20+Master!AA25+Master!AA27</f>
        <v>0</v>
      </c>
      <c r="AH131" s="175">
        <f>Master!AB17+Master!AB20+Master!AB25+Master!AB27</f>
        <v>0</v>
      </c>
      <c r="AI131" s="175">
        <f>Master!AC17+Master!AC20+Master!AC25+Master!AC27</f>
        <v>0</v>
      </c>
      <c r="AJ131" s="175">
        <f>Master!AD17+Master!AD20+Master!AD25+Master!AD27</f>
        <v>0</v>
      </c>
      <c r="AK131" s="175">
        <f>Master!AE17+Master!AE20+Master!AE25+Master!AE27</f>
        <v>0</v>
      </c>
      <c r="AL131" s="175">
        <f>Master!AF17+Master!AF20+Master!AF25+Master!AF27</f>
        <v>0</v>
      </c>
      <c r="AM131" s="175">
        <f>Master!AG17+Master!AG20+Master!AG25+Master!AG27</f>
        <v>0</v>
      </c>
      <c r="AN131" s="175">
        <f>Master!AH17+Master!AH20+Master!AH25+Master!AH27</f>
        <v>0</v>
      </c>
    </row>
    <row r="132" spans="2:40">
      <c r="B132" s="55" t="s">
        <v>70</v>
      </c>
      <c r="C132" s="175"/>
      <c r="D132" s="175"/>
      <c r="E132" s="175"/>
      <c r="F132" s="175"/>
      <c r="G132" s="175"/>
      <c r="H132" s="175"/>
      <c r="I132" s="175"/>
      <c r="J132" s="175"/>
      <c r="K132" s="175"/>
      <c r="L132" s="175"/>
      <c r="M132" s="175"/>
      <c r="N132" s="175">
        <f>Master!H23</f>
        <v>10005.1</v>
      </c>
      <c r="O132" s="175">
        <f>Master!I23</f>
        <v>11248.2</v>
      </c>
      <c r="P132" s="175">
        <f>Master!J23</f>
        <v>12479.2</v>
      </c>
      <c r="Q132" s="175">
        <f>Master!K23</f>
        <v>14465.4</v>
      </c>
      <c r="R132" s="175">
        <f>Master!L23</f>
        <v>16098.3</v>
      </c>
      <c r="S132" s="175">
        <f>Master!M23</f>
        <v>17498.5</v>
      </c>
      <c r="T132" s="175">
        <f>Master!N23</f>
        <v>19253.5</v>
      </c>
      <c r="U132" s="175">
        <f>Master!O23</f>
        <v>21941.200000000001</v>
      </c>
      <c r="V132" s="175">
        <f>Master!P23</f>
        <v>22197</v>
      </c>
      <c r="W132" s="175">
        <f>Master!Q23</f>
        <v>22002</v>
      </c>
      <c r="X132" s="175">
        <f>Master!R23</f>
        <v>21347</v>
      </c>
      <c r="Y132" s="175">
        <f>Master!S23</f>
        <v>22134.7</v>
      </c>
      <c r="Z132" s="175">
        <f>Master!T23</f>
        <v>22026.6</v>
      </c>
      <c r="AA132" s="175">
        <f>Master!U23</f>
        <v>20339</v>
      </c>
      <c r="AB132" s="175">
        <f>Master!V23</f>
        <v>17585.2</v>
      </c>
      <c r="AC132" s="175">
        <f>Master!W23</f>
        <v>15034.7</v>
      </c>
      <c r="AD132" s="175">
        <f>Master!X23</f>
        <v>12397</v>
      </c>
      <c r="AE132" s="175">
        <f>Master!Y23</f>
        <v>9545.69</v>
      </c>
      <c r="AF132" s="175">
        <f>Master!Z23</f>
        <v>6681.9830000000002</v>
      </c>
      <c r="AG132" s="175">
        <f>Master!AA23</f>
        <v>3340.9915000000001</v>
      </c>
      <c r="AH132" s="175">
        <f>Master!AB23</f>
        <v>1837.5453250000003</v>
      </c>
      <c r="AI132" s="175">
        <f>Master!AC23</f>
        <v>1102.5271950000001</v>
      </c>
      <c r="AJ132" s="175">
        <f>Master!AD23</f>
        <v>1025.3502913500001</v>
      </c>
      <c r="AK132" s="175">
        <f>Master!AE23</f>
        <v>963.82927386900008</v>
      </c>
      <c r="AL132" s="175">
        <f>Master!AF23</f>
        <v>915.63781017555004</v>
      </c>
      <c r="AM132" s="175">
        <f>Master!AG23</f>
        <v>0</v>
      </c>
      <c r="AN132" s="175">
        <f>Master!AH23</f>
        <v>0</v>
      </c>
    </row>
    <row r="133" spans="2:40" ht="15.75">
      <c r="B133" s="178" t="s">
        <v>52</v>
      </c>
      <c r="C133" s="175"/>
      <c r="D133" s="175"/>
      <c r="E133" s="175"/>
      <c r="F133" s="175"/>
      <c r="G133" s="175"/>
      <c r="H133" s="175"/>
      <c r="I133" s="175"/>
      <c r="J133" s="175"/>
      <c r="K133" s="175"/>
      <c r="L133" s="175"/>
      <c r="M133" s="175"/>
      <c r="N133" s="175">
        <f>Master!H21</f>
        <v>9241.7000000000007</v>
      </c>
      <c r="O133" s="175">
        <f>Master!I21</f>
        <v>11814.2</v>
      </c>
      <c r="P133" s="175">
        <f>Master!J21</f>
        <v>13635.400000000001</v>
      </c>
      <c r="Q133" s="175">
        <f>Master!K21</f>
        <v>15570.4</v>
      </c>
      <c r="R133" s="175">
        <f>Master!L21</f>
        <v>17138.8</v>
      </c>
      <c r="S133" s="175">
        <f>Master!M21</f>
        <v>20937.2</v>
      </c>
      <c r="T133" s="175">
        <f>Master!N21</f>
        <v>28488.3</v>
      </c>
      <c r="U133" s="175">
        <f>Master!O21</f>
        <v>31891.599999999999</v>
      </c>
      <c r="V133" s="175">
        <f>Master!P21</f>
        <v>33048</v>
      </c>
      <c r="W133" s="175">
        <f>Master!Q21</f>
        <v>36233</v>
      </c>
      <c r="X133" s="175">
        <f>Master!R21</f>
        <v>41702</v>
      </c>
      <c r="Y133" s="175">
        <f>Master!S21</f>
        <v>45367.1</v>
      </c>
      <c r="Z133" s="175">
        <f>Master!T21</f>
        <v>48020.9</v>
      </c>
      <c r="AA133" s="175">
        <f>Master!U21</f>
        <v>48411.8</v>
      </c>
      <c r="AB133" s="175">
        <f>Master!V21</f>
        <v>48802.5</v>
      </c>
      <c r="AC133" s="175">
        <f>Master!W21</f>
        <v>47393</v>
      </c>
      <c r="AD133" s="175">
        <f>Master!X21</f>
        <v>46569.1</v>
      </c>
      <c r="AE133" s="175">
        <f>Master!Y21</f>
        <v>47536.392599999992</v>
      </c>
      <c r="AF133" s="175">
        <f>Master!Z21</f>
        <v>48224.984513999989</v>
      </c>
      <c r="AG133" s="175">
        <f>Master!AA21</f>
        <v>49140.08717477999</v>
      </c>
      <c r="AH133" s="175">
        <f>Master!AB21</f>
        <v>50072.997918480585</v>
      </c>
      <c r="AI133" s="175">
        <f>Master!AC21</f>
        <v>51024.06796705725</v>
      </c>
      <c r="AJ133" s="175">
        <f>Master!AD21</f>
        <v>51763.982082117662</v>
      </c>
      <c r="AK133" s="175">
        <f>Master!AE21</f>
        <v>52281.621902938838</v>
      </c>
      <c r="AL133" s="175">
        <f>Master!AF21</f>
        <v>52686.713260823279</v>
      </c>
      <c r="AM133" s="175">
        <f>Master!AG21</f>
        <v>52976.364798224429</v>
      </c>
      <c r="AN133" s="175">
        <f>Master!AH21</f>
        <v>53267.726773023562</v>
      </c>
    </row>
    <row r="134" spans="2:40" ht="15.75">
      <c r="B134" s="178" t="s">
        <v>85</v>
      </c>
      <c r="C134" s="175"/>
      <c r="D134" s="175"/>
      <c r="E134" s="175"/>
      <c r="F134" s="175"/>
      <c r="G134" s="175"/>
      <c r="H134" s="175"/>
      <c r="I134" s="175"/>
      <c r="J134" s="175"/>
      <c r="K134" s="175"/>
      <c r="L134" s="175"/>
      <c r="M134" s="175"/>
      <c r="N134" s="179">
        <f>Master!H28</f>
        <v>52352.373298644896</v>
      </c>
      <c r="O134" s="179">
        <f>Master!I28</f>
        <v>57856.799999999996</v>
      </c>
      <c r="P134" s="179">
        <f>Master!J28</f>
        <v>62581.5</v>
      </c>
      <c r="Q134" s="179">
        <f>Master!K28</f>
        <v>69290.399999999994</v>
      </c>
      <c r="R134" s="179">
        <f>Master!L28</f>
        <v>73793.600000000006</v>
      </c>
      <c r="S134" s="179">
        <f>Master!M28</f>
        <v>80118.399999999994</v>
      </c>
      <c r="T134" s="179">
        <f>Master!N28</f>
        <v>88052</v>
      </c>
      <c r="U134" s="179">
        <f>Master!O28</f>
        <v>96287.4</v>
      </c>
      <c r="V134" s="179">
        <f>Master!P28</f>
        <v>94275</v>
      </c>
      <c r="W134" s="179">
        <f>Master!Q28</f>
        <v>101310</v>
      </c>
      <c r="X134" s="179">
        <f>Master!R28</f>
        <v>100650.6</v>
      </c>
      <c r="Y134" s="179">
        <f>Master!S28</f>
        <v>97138.3</v>
      </c>
      <c r="Z134" s="179">
        <f>Master!T28</f>
        <v>103521.8</v>
      </c>
      <c r="AA134" s="179">
        <f>Master!U28</f>
        <v>75526.600000000006</v>
      </c>
      <c r="AB134" s="179">
        <f>Master!V28</f>
        <v>73767.900000000009</v>
      </c>
      <c r="AC134" s="179">
        <f>Master!W28</f>
        <v>62260.864000000001</v>
      </c>
      <c r="AD134" s="179">
        <f>Master!X28</f>
        <v>58878.2</v>
      </c>
      <c r="AE134" s="179">
        <f>Master!Y28</f>
        <v>57082.082599999994</v>
      </c>
      <c r="AF134" s="179">
        <f>Master!Z28</f>
        <v>54906.967513999989</v>
      </c>
      <c r="AG134" s="179">
        <f>Master!AA28</f>
        <v>52481.078674779994</v>
      </c>
      <c r="AH134" s="179">
        <f>Master!AB28</f>
        <v>51910.543243480584</v>
      </c>
      <c r="AI134" s="179">
        <f>Master!AC28</f>
        <v>52126.595162057252</v>
      </c>
      <c r="AJ134" s="179">
        <f>Master!AD28</f>
        <v>52789.33237346766</v>
      </c>
      <c r="AK134" s="179">
        <f>Master!AE28</f>
        <v>53245.451176807837</v>
      </c>
      <c r="AL134" s="179">
        <f>Master!AF28</f>
        <v>53602.351070998826</v>
      </c>
      <c r="AM134" s="179">
        <f>Master!AG28</f>
        <v>52976.364798224429</v>
      </c>
      <c r="AN134" s="179">
        <f>Master!AH28</f>
        <v>53267.726773023562</v>
      </c>
    </row>
    <row r="135" spans="2:40" ht="15.75">
      <c r="B135" s="178"/>
      <c r="C135" s="175"/>
      <c r="D135" s="175"/>
      <c r="E135" s="175"/>
      <c r="F135" s="175"/>
      <c r="G135" s="175"/>
      <c r="H135" s="175"/>
      <c r="I135" s="175"/>
      <c r="J135" s="175"/>
      <c r="K135" s="175"/>
      <c r="L135" s="175"/>
      <c r="M135" s="175"/>
      <c r="N135" s="175"/>
      <c r="O135" s="175"/>
      <c r="P135" s="175"/>
      <c r="Q135" s="175"/>
      <c r="R135" s="175"/>
      <c r="S135" s="175"/>
      <c r="T135" s="175"/>
      <c r="U135" s="175"/>
      <c r="V135" s="175"/>
      <c r="W135" s="175"/>
      <c r="X135" s="175"/>
      <c r="Y135" s="175"/>
      <c r="Z135" s="175"/>
      <c r="AA135" s="175"/>
      <c r="AB135" s="175"/>
      <c r="AC135" s="175"/>
      <c r="AD135" s="175"/>
      <c r="AE135" s="175"/>
      <c r="AF135" s="175"/>
      <c r="AG135" s="175"/>
      <c r="AH135" s="175"/>
      <c r="AI135" s="175"/>
      <c r="AJ135" s="175"/>
      <c r="AK135" s="175"/>
      <c r="AL135" s="175"/>
      <c r="AM135" s="175"/>
      <c r="AN135" s="175"/>
    </row>
    <row r="136" spans="2:40">
      <c r="C136" s="175"/>
      <c r="D136" s="175"/>
      <c r="E136" s="175"/>
      <c r="F136" s="175"/>
      <c r="G136" s="175"/>
      <c r="H136" s="175"/>
      <c r="I136" s="175"/>
      <c r="J136" s="175"/>
      <c r="K136" s="175"/>
      <c r="L136" s="175"/>
      <c r="M136" s="175"/>
      <c r="N136" s="175"/>
      <c r="O136" s="175"/>
      <c r="P136" s="175"/>
      <c r="Q136" s="175"/>
      <c r="R136" s="175"/>
      <c r="S136" s="175"/>
      <c r="T136" s="175"/>
      <c r="U136" s="175"/>
      <c r="V136" s="175"/>
      <c r="W136" s="175"/>
      <c r="X136" s="175"/>
      <c r="Y136" s="175"/>
      <c r="Z136" s="175"/>
      <c r="AA136" s="175"/>
      <c r="AB136" s="175"/>
      <c r="AC136" s="175"/>
      <c r="AD136" s="175"/>
      <c r="AE136" s="175"/>
      <c r="AF136" s="175"/>
      <c r="AG136" s="175"/>
      <c r="AH136" s="175"/>
      <c r="AI136" s="175"/>
      <c r="AJ136" s="175"/>
      <c r="AK136" s="175"/>
      <c r="AL136" s="175"/>
      <c r="AM136" s="175"/>
      <c r="AN136" s="175"/>
    </row>
    <row r="137" spans="2:40" ht="15.75">
      <c r="B137" s="178"/>
      <c r="C137" s="175"/>
      <c r="D137" s="175"/>
      <c r="E137" s="175"/>
      <c r="F137" s="175"/>
      <c r="G137" s="175"/>
      <c r="H137" s="175"/>
      <c r="I137" s="175"/>
      <c r="J137" s="175"/>
      <c r="K137" s="175"/>
      <c r="L137" s="175"/>
      <c r="M137" s="175"/>
      <c r="N137" s="175"/>
      <c r="O137" s="175"/>
      <c r="P137" s="175"/>
      <c r="Q137" s="175"/>
      <c r="R137" s="175"/>
      <c r="S137" s="175"/>
      <c r="T137" s="175"/>
      <c r="U137" s="175"/>
      <c r="V137" s="175"/>
      <c r="W137" s="175"/>
      <c r="X137" s="175"/>
      <c r="Y137" s="175"/>
      <c r="Z137" s="175"/>
      <c r="AA137" s="175"/>
      <c r="AB137" s="175"/>
      <c r="AC137" s="175"/>
      <c r="AD137" s="175"/>
      <c r="AE137" s="175"/>
      <c r="AF137" s="175"/>
      <c r="AG137" s="175"/>
      <c r="AH137" s="175"/>
      <c r="AI137" s="175"/>
      <c r="AJ137" s="175"/>
      <c r="AK137" s="175"/>
      <c r="AL137" s="175"/>
      <c r="AM137" s="175"/>
      <c r="AN137" s="175"/>
    </row>
    <row r="138" spans="2:40">
      <c r="B138" s="171" t="s">
        <v>34</v>
      </c>
      <c r="C138" s="175"/>
      <c r="D138" s="175"/>
      <c r="E138" s="175"/>
      <c r="F138" s="175"/>
      <c r="G138" s="175"/>
      <c r="H138" s="175"/>
      <c r="I138" s="175"/>
      <c r="J138" s="175"/>
      <c r="K138" s="175"/>
      <c r="L138" s="175"/>
      <c r="M138" s="175"/>
      <c r="N138" s="175"/>
      <c r="O138" s="175"/>
      <c r="P138" s="175"/>
      <c r="Q138" s="175"/>
      <c r="R138" s="175"/>
      <c r="S138" s="175"/>
      <c r="T138" s="175"/>
      <c r="U138" s="175"/>
      <c r="V138" s="175"/>
      <c r="W138" s="175"/>
      <c r="X138" s="175"/>
      <c r="Y138" s="175"/>
      <c r="Z138" s="175"/>
      <c r="AA138" s="175"/>
      <c r="AB138" s="175"/>
      <c r="AC138" s="175"/>
      <c r="AD138" s="175"/>
      <c r="AE138" s="175"/>
      <c r="AF138" s="175"/>
      <c r="AG138" s="175"/>
      <c r="AH138" s="175"/>
      <c r="AI138" s="175"/>
      <c r="AJ138" s="175"/>
      <c r="AK138" s="175"/>
      <c r="AL138" s="175"/>
      <c r="AM138" s="175"/>
      <c r="AN138" s="175"/>
    </row>
    <row r="139" spans="2:40">
      <c r="B139" s="55" t="str">
        <f>B131</f>
        <v>Content/other</v>
      </c>
      <c r="C139" s="175"/>
      <c r="D139" s="175"/>
      <c r="E139" s="175"/>
      <c r="F139" s="175"/>
      <c r="G139" s="175"/>
      <c r="H139" s="175"/>
      <c r="I139" s="175"/>
      <c r="J139" s="175"/>
      <c r="K139" s="175"/>
      <c r="L139" s="175"/>
      <c r="M139" s="175"/>
      <c r="N139" s="175">
        <f>Master!H53+Master!H54+Master!H57+Master!H61+Master!H62</f>
        <v>12636</v>
      </c>
      <c r="O139" s="175">
        <f>Master!I53+Master!I54+Master!I57+Master!I61+Master!I62</f>
        <v>12586</v>
      </c>
      <c r="P139" s="175">
        <f>Master!J53+Master!J54+Master!J57+Master!J61+Master!J62</f>
        <v>13066.1</v>
      </c>
      <c r="Q139" s="175">
        <f>Master!K53+Master!K54+Master!K57+Master!K61+Master!K62</f>
        <v>14243.000000000002</v>
      </c>
      <c r="R139" s="175">
        <f>Master!L53+Master!L54+Master!L57+Master!L61+Master!L62</f>
        <v>14733.276890624998</v>
      </c>
      <c r="S139" s="175">
        <f>Master!M53+Master!M54+Master!M57+Master!M61+Master!M62</f>
        <v>13913.7</v>
      </c>
      <c r="T139" s="175">
        <f>Master!N53+Master!N54+Master!N57+Master!N61+Master!N62</f>
        <v>11997.400000000001</v>
      </c>
      <c r="U139" s="175">
        <f>Master!O53+Master!O54+Master!O57+Master!O61+Master!O62</f>
        <v>10443.300000000001</v>
      </c>
      <c r="V139" s="175">
        <f>Master!P53+Master!P54+Master!P57+Master!P61+Master!P62</f>
        <v>8638</v>
      </c>
      <c r="W139" s="175">
        <f>Master!Q53+Master!Q54+Master!Q57+Master!Q61+Master!Q62</f>
        <v>11502.5</v>
      </c>
      <c r="X139" s="175">
        <f>Master!R53+Master!R54+Master!R57+Master!R61+Master!R62</f>
        <v>11299.1</v>
      </c>
      <c r="Y139" s="175">
        <f>Master!S53+Master!S54+Master!S57+Master!S61+Master!S62</f>
        <v>10776.199999999999</v>
      </c>
      <c r="Z139" s="175">
        <f>Master!T53+Master!T54+Master!T57+Master!T61+Master!T62</f>
        <v>14812.4</v>
      </c>
      <c r="AA139" s="175">
        <f>Master!U53+Master!U54+Master!U57+Master!U61+Master!U62</f>
        <v>-783.09999999999991</v>
      </c>
      <c r="AB139" s="175">
        <f>Master!V53+Master!V54+Master!V57+Master!V61+Master!V62</f>
        <v>-334.29999999999995</v>
      </c>
      <c r="AC139" s="175">
        <f>Master!W53+Master!W54+Master!W57+Master!W61+Master!W62</f>
        <v>-5465.9</v>
      </c>
      <c r="AD139" s="175">
        <f>Master!X53+Master!X54+Master!X57+Master!X61+Master!X62</f>
        <v>-1636.5</v>
      </c>
      <c r="AE139" s="175">
        <f>Master!Y53+Master!Y54+Master!Y57+Master!Y61+Master!Y62</f>
        <v>-1435.2060164736695</v>
      </c>
      <c r="AF139" s="175">
        <f>Master!Z53+Master!Z54+Master!Z57+Master!Z61+Master!Z62</f>
        <v>-1380.517432670144</v>
      </c>
      <c r="AG139" s="175">
        <f>Master!AA53+Master!AA54+Master!AA57+Master!AA61+Master!AA62</f>
        <v>-1319.5236829896644</v>
      </c>
      <c r="AH139" s="175">
        <f>Master!AB53+Master!AB54+Master!AB57+Master!AB61+Master!AB62</f>
        <v>-1305.1787984599555</v>
      </c>
      <c r="AI139" s="175">
        <f>Master!AC53+Master!AC54+Master!AC57+Master!AC61+Master!AC62</f>
        <v>-1310.6109585930183</v>
      </c>
      <c r="AJ139" s="175">
        <f>Master!AD53+Master!AD54+Master!AD57+Master!AD61+Master!AD62</f>
        <v>-1327.2740582879335</v>
      </c>
      <c r="AK139" s="175">
        <f>Master!AE53+Master!AE54+Master!AE57+Master!AE61+Master!AE62</f>
        <v>-1338.7421831523998</v>
      </c>
      <c r="AL139" s="175">
        <f>Master!AF53+Master!AF54+Master!AF57+Master!AF61+Master!AF62</f>
        <v>-1347.7156622563616</v>
      </c>
      <c r="AM139" s="175">
        <f>Master!AG53+Master!AG54+Master!AG57+Master!AG61+Master!AG62</f>
        <v>-1331.976585754697</v>
      </c>
      <c r="AN139" s="175">
        <f>Master!AH53+Master!AH54+Master!AH57+Master!AH61+Master!AH62</f>
        <v>-1339.3022550392889</v>
      </c>
    </row>
    <row r="140" spans="2:40">
      <c r="B140" s="55" t="s">
        <v>70</v>
      </c>
      <c r="C140" s="175"/>
      <c r="D140" s="175"/>
      <c r="E140" s="175"/>
      <c r="F140" s="175"/>
      <c r="G140" s="175"/>
      <c r="H140" s="175"/>
      <c r="I140" s="175"/>
      <c r="J140" s="175"/>
      <c r="K140" s="175"/>
      <c r="L140" s="175"/>
      <c r="M140" s="175"/>
      <c r="N140" s="175">
        <f>Master!H55</f>
        <v>4479</v>
      </c>
      <c r="O140" s="175">
        <f>Master!I55</f>
        <v>5075</v>
      </c>
      <c r="P140" s="175">
        <f>Master!J55</f>
        <v>5789.8</v>
      </c>
      <c r="Q140" s="175">
        <f>Master!K55</f>
        <v>6558</v>
      </c>
      <c r="R140" s="175">
        <f>Master!L55</f>
        <v>7340.5</v>
      </c>
      <c r="S140" s="175">
        <f>Master!M55</f>
        <v>8211.2999999999993</v>
      </c>
      <c r="T140" s="175">
        <f>Master!N55</f>
        <v>8972.2999999999993</v>
      </c>
      <c r="U140" s="175">
        <f>Master!O55</f>
        <v>9898.5</v>
      </c>
      <c r="V140" s="175">
        <f>Master!P55</f>
        <v>10107</v>
      </c>
      <c r="W140" s="175">
        <f>Master!Q55</f>
        <v>9767</v>
      </c>
      <c r="X140" s="175">
        <f>Master!R55</f>
        <v>9121</v>
      </c>
      <c r="Y140" s="175">
        <f>Master!S55</f>
        <v>9135.7999999999993</v>
      </c>
      <c r="Z140" s="175">
        <f>Master!T55</f>
        <v>8504.2000000000007</v>
      </c>
      <c r="AA140" s="175">
        <f>Master!U55</f>
        <v>6416.33</v>
      </c>
      <c r="AB140" s="175">
        <f>Master!V55</f>
        <v>5731.4</v>
      </c>
      <c r="AC140" s="175">
        <f>Master!W55</f>
        <v>4672.3159999999998</v>
      </c>
      <c r="AD140" s="175">
        <f>Master!X55</f>
        <v>3781.085</v>
      </c>
      <c r="AE140" s="175">
        <f>Master!Y55</f>
        <v>2863.7069999999999</v>
      </c>
      <c r="AF140" s="175">
        <f>Master!Z55</f>
        <v>1971.1849849999999</v>
      </c>
      <c r="AG140" s="175">
        <f>Master!AA55</f>
        <v>952.18257749999998</v>
      </c>
      <c r="AH140" s="175">
        <f>Master!AB55</f>
        <v>505.32496437500004</v>
      </c>
      <c r="AI140" s="175">
        <f>Master!AC55</f>
        <v>292.16970667499999</v>
      </c>
      <c r="AJ140" s="175">
        <f>Master!AD55</f>
        <v>261.46432429424999</v>
      </c>
      <c r="AK140" s="175">
        <f>Master!AE55</f>
        <v>236.13817209790497</v>
      </c>
      <c r="AL140" s="175">
        <f>Master!AF55</f>
        <v>215.17488539125421</v>
      </c>
      <c r="AM140" s="175">
        <f>Master!AG55</f>
        <v>0</v>
      </c>
      <c r="AN140" s="175">
        <f>Master!AH55</f>
        <v>0</v>
      </c>
    </row>
    <row r="141" spans="2:40" ht="15.75">
      <c r="B141" s="178" t="s">
        <v>52</v>
      </c>
      <c r="C141" s="175"/>
      <c r="D141" s="175"/>
      <c r="E141" s="175"/>
      <c r="F141" s="175"/>
      <c r="G141" s="175"/>
      <c r="H141" s="175"/>
      <c r="I141" s="175"/>
      <c r="J141" s="175"/>
      <c r="K141" s="175"/>
      <c r="L141" s="175"/>
      <c r="M141" s="175"/>
      <c r="N141" s="175">
        <f>Master!H56</f>
        <v>2972</v>
      </c>
      <c r="O141" s="175">
        <f>Master!I56</f>
        <v>3907</v>
      </c>
      <c r="P141" s="175">
        <f>Master!J56</f>
        <v>4779</v>
      </c>
      <c r="Q141" s="175">
        <f>Master!K56</f>
        <v>5812.7999999999993</v>
      </c>
      <c r="R141" s="175">
        <f>Master!L56</f>
        <v>6131.8</v>
      </c>
      <c r="S141" s="175">
        <f>Master!M56</f>
        <v>7882.9</v>
      </c>
      <c r="T141" s="175">
        <f>Master!N56</f>
        <v>11405.6</v>
      </c>
      <c r="U141" s="175">
        <f>Master!O56</f>
        <v>13236.1</v>
      </c>
      <c r="V141" s="175">
        <f>Master!P56</f>
        <v>14035</v>
      </c>
      <c r="W141" s="175">
        <f>Master!Q56</f>
        <v>15303</v>
      </c>
      <c r="X141" s="175">
        <f>Master!R56</f>
        <v>17798</v>
      </c>
      <c r="Y141" s="175">
        <f>Master!S56</f>
        <v>18898.3</v>
      </c>
      <c r="Z141" s="175">
        <f>Master!T56</f>
        <v>20285</v>
      </c>
      <c r="AA141" s="175">
        <f>Master!U56</f>
        <v>19902.8</v>
      </c>
      <c r="AB141" s="175">
        <f>Master!V56</f>
        <v>18727.5</v>
      </c>
      <c r="AC141" s="175">
        <f>Master!W56</f>
        <v>18485.599999999999</v>
      </c>
      <c r="AD141" s="175">
        <f>Master!X56</f>
        <v>19240.815000000002</v>
      </c>
      <c r="AE141" s="175">
        <f>Master!Y56</f>
        <v>20254.536453000001</v>
      </c>
      <c r="AF141" s="175">
        <f>Master!Z56</f>
        <v>20650.485630767995</v>
      </c>
      <c r="AG141" s="175">
        <f>Master!AA56</f>
        <v>21089.870465907596</v>
      </c>
      <c r="AH141" s="175">
        <f>Master!AB56</f>
        <v>21556.655914104249</v>
      </c>
      <c r="AI141" s="175">
        <f>Master!AC56</f>
        <v>22122.266213009621</v>
      </c>
      <c r="AJ141" s="175">
        <f>Master!AD56</f>
        <v>22701.895258164182</v>
      </c>
      <c r="AK141" s="175">
        <f>Master!AE56</f>
        <v>23191.860345697543</v>
      </c>
      <c r="AL141" s="175">
        <f>Master!AF56</f>
        <v>23637.871341203223</v>
      </c>
      <c r="AM141" s="175">
        <f>Master!AG56</f>
        <v>23839.364159200995</v>
      </c>
      <c r="AN141" s="175">
        <f>Master!AH56</f>
        <v>24103.646364793163</v>
      </c>
    </row>
    <row r="142" spans="2:40" ht="15.75">
      <c r="B142" s="178" t="s">
        <v>85</v>
      </c>
      <c r="C142" s="175"/>
      <c r="D142" s="175"/>
      <c r="E142" s="175"/>
      <c r="F142" s="175"/>
      <c r="G142" s="175"/>
      <c r="H142" s="175"/>
      <c r="I142" s="175"/>
      <c r="J142" s="175"/>
      <c r="K142" s="175"/>
      <c r="L142" s="175"/>
      <c r="M142" s="175"/>
      <c r="N142" s="179">
        <f>Master!H63</f>
        <v>20087</v>
      </c>
      <c r="O142" s="179">
        <f>Master!I63</f>
        <v>21568</v>
      </c>
      <c r="P142" s="179">
        <f>Master!J63</f>
        <v>23634.9</v>
      </c>
      <c r="Q142" s="179">
        <f>Master!K63</f>
        <v>26613.8</v>
      </c>
      <c r="R142" s="179">
        <f>Master!L63</f>
        <v>28205.576890624998</v>
      </c>
      <c r="S142" s="179">
        <f>Master!M63</f>
        <v>30007.9</v>
      </c>
      <c r="T142" s="179">
        <f>Master!N63</f>
        <v>32375.299999999992</v>
      </c>
      <c r="U142" s="179">
        <f>Master!O63</f>
        <v>33577.899999999994</v>
      </c>
      <c r="V142" s="179">
        <f>Master!P63</f>
        <v>32780</v>
      </c>
      <c r="W142" s="179">
        <f>Master!Q63</f>
        <v>36572.5</v>
      </c>
      <c r="X142" s="179">
        <f>Master!R63</f>
        <v>38218.1</v>
      </c>
      <c r="Y142" s="179">
        <f>Master!S63</f>
        <v>38810.299999999996</v>
      </c>
      <c r="Z142" s="179">
        <f>Master!T63</f>
        <v>43601.599999999999</v>
      </c>
      <c r="AA142" s="179">
        <f>Master!U63</f>
        <v>25536.03</v>
      </c>
      <c r="AB142" s="179">
        <f>Master!V63</f>
        <v>24124.600000000002</v>
      </c>
      <c r="AC142" s="179">
        <f>Master!W63</f>
        <v>17692.015999999996</v>
      </c>
      <c r="AD142" s="179">
        <f>Master!X63</f>
        <v>21385.4</v>
      </c>
      <c r="AE142" s="179">
        <f>Master!Y63</f>
        <v>21683.037436526331</v>
      </c>
      <c r="AF142" s="179">
        <f>Master!Z63</f>
        <v>21241.153183097853</v>
      </c>
      <c r="AG142" s="179">
        <f>Master!AA63</f>
        <v>20722.529360417931</v>
      </c>
      <c r="AH142" s="179">
        <f>Master!AB63</f>
        <v>20756.802080019293</v>
      </c>
      <c r="AI142" s="179">
        <f>Master!AC63</f>
        <v>21103.824961091603</v>
      </c>
      <c r="AJ142" s="179">
        <f>Master!AD63</f>
        <v>21636.085524170499</v>
      </c>
      <c r="AK142" s="179">
        <f>Master!AE63</f>
        <v>22089.256334643047</v>
      </c>
      <c r="AL142" s="179">
        <f>Master!AF63</f>
        <v>22505.330564338114</v>
      </c>
      <c r="AM142" s="179">
        <f>Master!AG63</f>
        <v>22507.3875734463</v>
      </c>
      <c r="AN142" s="179">
        <f>Master!AH63</f>
        <v>22764.344109753874</v>
      </c>
    </row>
    <row r="143" spans="2:40">
      <c r="C143" s="175"/>
      <c r="D143" s="175"/>
      <c r="E143" s="175"/>
      <c r="F143" s="175"/>
      <c r="G143" s="175"/>
      <c r="H143" s="175"/>
      <c r="I143" s="175"/>
      <c r="J143" s="175"/>
      <c r="K143" s="175"/>
      <c r="L143" s="175"/>
      <c r="M143" s="175"/>
      <c r="N143" s="179"/>
      <c r="O143" s="179"/>
      <c r="P143" s="179"/>
      <c r="Q143" s="179"/>
      <c r="R143" s="179"/>
      <c r="S143" s="179"/>
      <c r="T143" s="179"/>
      <c r="U143" s="179"/>
      <c r="V143" s="179"/>
      <c r="W143" s="179"/>
      <c r="X143" s="179"/>
      <c r="Y143" s="179"/>
      <c r="Z143" s="179"/>
      <c r="AA143" s="179"/>
      <c r="AB143" s="179"/>
      <c r="AC143" s="179"/>
      <c r="AD143" s="179"/>
      <c r="AE143" s="179"/>
      <c r="AF143" s="179"/>
      <c r="AG143" s="179"/>
      <c r="AH143" s="179"/>
      <c r="AI143" s="179"/>
      <c r="AJ143" s="179"/>
      <c r="AK143" s="179"/>
      <c r="AL143" s="179"/>
      <c r="AM143" s="179"/>
      <c r="AN143" s="179"/>
    </row>
    <row r="144" spans="2:40" ht="15.75">
      <c r="B144" s="178"/>
      <c r="C144" s="175"/>
      <c r="D144" s="175"/>
      <c r="E144" s="175"/>
      <c r="F144" s="175"/>
      <c r="G144" s="175"/>
      <c r="H144" s="175"/>
      <c r="I144" s="175"/>
      <c r="J144" s="175"/>
      <c r="K144" s="175"/>
      <c r="L144" s="175"/>
      <c r="M144" s="175"/>
      <c r="N144" s="175"/>
      <c r="O144" s="175"/>
      <c r="P144" s="175"/>
      <c r="Q144" s="175"/>
      <c r="R144" s="175"/>
      <c r="S144" s="175"/>
      <c r="T144" s="175"/>
      <c r="U144" s="175"/>
      <c r="V144" s="175"/>
      <c r="W144" s="175"/>
      <c r="X144" s="175"/>
      <c r="Y144" s="175"/>
      <c r="Z144" s="175"/>
      <c r="AA144" s="175"/>
      <c r="AB144" s="175"/>
      <c r="AC144" s="175"/>
      <c r="AD144" s="175"/>
      <c r="AE144" s="175"/>
      <c r="AF144" s="175"/>
      <c r="AG144" s="175"/>
      <c r="AH144" s="175"/>
      <c r="AI144" s="175"/>
      <c r="AJ144" s="175"/>
      <c r="AK144" s="175"/>
      <c r="AL144" s="175"/>
      <c r="AM144" s="175"/>
      <c r="AN144" s="175"/>
    </row>
    <row r="145" spans="2:40">
      <c r="B145" s="171" t="s">
        <v>35</v>
      </c>
      <c r="C145" s="175"/>
      <c r="D145" s="175"/>
      <c r="E145" s="175"/>
      <c r="F145" s="175"/>
      <c r="G145" s="175"/>
      <c r="H145" s="175"/>
      <c r="I145" s="175"/>
      <c r="J145" s="175"/>
      <c r="K145" s="175"/>
      <c r="L145" s="175"/>
      <c r="M145" s="175"/>
      <c r="N145" s="175"/>
      <c r="O145" s="175"/>
      <c r="P145" s="175"/>
      <c r="Q145" s="175"/>
      <c r="R145" s="175"/>
      <c r="S145" s="175"/>
      <c r="T145" s="175"/>
      <c r="U145" s="175"/>
      <c r="V145" s="175"/>
      <c r="W145" s="175"/>
      <c r="X145" s="175"/>
      <c r="Y145" s="175"/>
      <c r="Z145" s="175"/>
      <c r="AA145" s="175"/>
      <c r="AB145" s="175"/>
      <c r="AC145" s="175"/>
      <c r="AD145" s="175"/>
      <c r="AE145" s="175"/>
      <c r="AF145" s="175"/>
      <c r="AG145" s="175"/>
      <c r="AH145" s="175"/>
      <c r="AI145" s="175"/>
      <c r="AJ145" s="175"/>
      <c r="AK145" s="175"/>
      <c r="AL145" s="175"/>
      <c r="AM145" s="175"/>
      <c r="AN145" s="175"/>
    </row>
    <row r="146" spans="2:40">
      <c r="B146" s="55" t="str">
        <f>B139</f>
        <v>Content/other</v>
      </c>
      <c r="C146" s="175"/>
      <c r="D146" s="175"/>
      <c r="E146" s="175"/>
      <c r="F146" s="175"/>
      <c r="G146" s="175"/>
      <c r="H146" s="175"/>
      <c r="I146" s="175"/>
      <c r="J146" s="175"/>
      <c r="K146" s="175"/>
      <c r="L146" s="175"/>
      <c r="M146" s="175"/>
      <c r="N146" s="175">
        <f>Master!H82</f>
        <v>1775.25</v>
      </c>
      <c r="O146" s="175">
        <f>Master!I82</f>
        <v>1717.68</v>
      </c>
      <c r="P146" s="175">
        <f>Master!J82</f>
        <v>1783.8959999999997</v>
      </c>
      <c r="Q146" s="175">
        <f>Master!K82</f>
        <v>1763.44</v>
      </c>
      <c r="R146" s="175">
        <f>Master!L82</f>
        <v>2044.1519999999991</v>
      </c>
      <c r="S146" s="175">
        <f>Master!M82</f>
        <v>2414.4339999999997</v>
      </c>
      <c r="T146" s="175">
        <f>Master!N82</f>
        <v>2643.9419999999996</v>
      </c>
      <c r="U146" s="175">
        <f>Master!O82</f>
        <v>2827.5</v>
      </c>
      <c r="V146" s="175">
        <f>Master!P82</f>
        <v>2147.0399999999995</v>
      </c>
      <c r="W146" s="175">
        <f>Master!Q82</f>
        <v>1824.8999999999999</v>
      </c>
      <c r="X146" s="175">
        <f>Master!R82</f>
        <v>2075.15</v>
      </c>
      <c r="Y146" s="175">
        <f>Master!S82</f>
        <v>573.51599999999996</v>
      </c>
      <c r="Z146" s="175">
        <f>Master!T82</f>
        <v>1024.4188144250802</v>
      </c>
      <c r="AA146" s="175">
        <f>Master!U82</f>
        <v>341.87</v>
      </c>
      <c r="AB146" s="175">
        <f>Master!V82</f>
        <v>658.44</v>
      </c>
      <c r="AC146" s="175">
        <f>Master!W82</f>
        <v>0</v>
      </c>
      <c r="AD146" s="175">
        <f>Master!X82</f>
        <v>0</v>
      </c>
      <c r="AE146" s="175">
        <f>Master!Y82</f>
        <v>0</v>
      </c>
      <c r="AF146" s="175">
        <f>Master!Z82</f>
        <v>0</v>
      </c>
      <c r="AG146" s="175">
        <f>Master!AA82</f>
        <v>0</v>
      </c>
      <c r="AH146" s="175">
        <f>Master!AB82</f>
        <v>0</v>
      </c>
      <c r="AI146" s="175">
        <f>Master!AC82</f>
        <v>0</v>
      </c>
      <c r="AJ146" s="175">
        <f>Master!AD82</f>
        <v>0</v>
      </c>
      <c r="AK146" s="175">
        <f>Master!AE82</f>
        <v>0</v>
      </c>
      <c r="AL146" s="175">
        <f>Master!AF82</f>
        <v>0</v>
      </c>
      <c r="AM146" s="175">
        <f>Master!AG82</f>
        <v>0</v>
      </c>
      <c r="AN146" s="175">
        <f>Master!AH82</f>
        <v>0</v>
      </c>
    </row>
    <row r="147" spans="2:40">
      <c r="B147" s="55" t="str">
        <f>B140</f>
        <v>Sky</v>
      </c>
      <c r="C147" s="175"/>
      <c r="D147" s="175"/>
      <c r="E147" s="175"/>
      <c r="F147" s="175"/>
      <c r="G147" s="175"/>
      <c r="H147" s="175"/>
      <c r="I147" s="175"/>
      <c r="J147" s="175"/>
      <c r="K147" s="175"/>
      <c r="L147" s="175"/>
      <c r="M147" s="175"/>
      <c r="N147" s="175">
        <f>Master!H83</f>
        <v>1738.8000000000002</v>
      </c>
      <c r="O147" s="175">
        <f>Master!I83</f>
        <v>5519.31</v>
      </c>
      <c r="P147" s="175">
        <f>Master!J83</f>
        <v>3005.5039999999999</v>
      </c>
      <c r="Q147" s="175">
        <f>Master!K83</f>
        <v>3842.7200000000003</v>
      </c>
      <c r="R147" s="175">
        <f>Master!L83</f>
        <v>5074.652</v>
      </c>
      <c r="S147" s="175">
        <f>Master!M83</f>
        <v>5174.9280000000008</v>
      </c>
      <c r="T147" s="175">
        <f>Master!N83</f>
        <v>5738.5919999999996</v>
      </c>
      <c r="U147" s="175">
        <f>Master!O83</f>
        <v>6533.4100000000008</v>
      </c>
      <c r="V147" s="175">
        <f>Master!P83</f>
        <v>3995.4599999999996</v>
      </c>
      <c r="W147" s="175">
        <f>Master!Q83</f>
        <v>4034.7999999999997</v>
      </c>
      <c r="X147" s="175">
        <f>Master!R83</f>
        <v>4025.1749999999997</v>
      </c>
      <c r="Y147" s="175">
        <f>Master!S83</f>
        <v>5374.2960000000003</v>
      </c>
      <c r="Z147" s="175">
        <f>Master!T83</f>
        <v>4951.6956950725162</v>
      </c>
      <c r="AA147" s="175">
        <f>Master!U83</f>
        <v>3883.241</v>
      </c>
      <c r="AB147" s="175">
        <f>Master!V83</f>
        <v>2640.8399999999997</v>
      </c>
      <c r="AC147" s="175">
        <f>Master!W83</f>
        <v>1524.39</v>
      </c>
      <c r="AD147" s="175">
        <f>Master!X83</f>
        <v>1638.4872989824</v>
      </c>
      <c r="AE147" s="175">
        <f>Master!Y83</f>
        <v>1240.9397000000001</v>
      </c>
      <c r="AF147" s="175">
        <f>Master!Z83</f>
        <v>868.65779000000009</v>
      </c>
      <c r="AG147" s="175">
        <f>Master!AA83</f>
        <v>434.32889500000005</v>
      </c>
      <c r="AH147" s="175">
        <f>Master!AB83</f>
        <v>238.88089225000004</v>
      </c>
      <c r="AI147" s="175">
        <f>Master!AC83</f>
        <v>143.32853535000001</v>
      </c>
      <c r="AJ147" s="175">
        <f>Master!AD83</f>
        <v>133.29553787550003</v>
      </c>
      <c r="AK147" s="175">
        <f>Master!AE83</f>
        <v>125.29780560297002</v>
      </c>
      <c r="AL147" s="175">
        <f>Master!AF83</f>
        <v>119.03291532282151</v>
      </c>
      <c r="AM147" s="175">
        <f>Master!AG83</f>
        <v>0</v>
      </c>
      <c r="AN147" s="175">
        <f>Master!AH83</f>
        <v>0</v>
      </c>
    </row>
    <row r="148" spans="2:40">
      <c r="B148" s="55" t="str">
        <f>B141</f>
        <v>Cable</v>
      </c>
      <c r="C148" s="175"/>
      <c r="D148" s="175"/>
      <c r="E148" s="175"/>
      <c r="F148" s="175"/>
      <c r="G148" s="175"/>
      <c r="H148" s="175"/>
      <c r="I148" s="175"/>
      <c r="J148" s="175"/>
      <c r="K148" s="175"/>
      <c r="L148" s="175"/>
      <c r="M148" s="175"/>
      <c r="N148" s="175">
        <f>Master!H84</f>
        <v>3226.5</v>
      </c>
      <c r="O148" s="175">
        <f>Master!I84</f>
        <v>5531.9400000000005</v>
      </c>
      <c r="P148" s="175">
        <f>Master!J84</f>
        <v>5050.6399999999994</v>
      </c>
      <c r="Q148" s="175">
        <f>Master!K84</f>
        <v>5987.8</v>
      </c>
      <c r="R148" s="175">
        <f>Master!L84</f>
        <v>7654.7239999999993</v>
      </c>
      <c r="S148" s="175">
        <f>Master!M84</f>
        <v>9355.5990000000002</v>
      </c>
      <c r="T148" s="175">
        <f>Master!N84</f>
        <v>17095.164000000001</v>
      </c>
      <c r="U148" s="175">
        <f>Master!O84</f>
        <v>18552.170000000002</v>
      </c>
      <c r="V148" s="175">
        <f>Master!P84</f>
        <v>10578.33</v>
      </c>
      <c r="W148" s="175">
        <f>Master!Q84</f>
        <v>12801.25</v>
      </c>
      <c r="X148" s="175">
        <f>Master!R84</f>
        <v>12966.800000000001</v>
      </c>
      <c r="Y148" s="175">
        <f>Master!S84</f>
        <v>14230.5</v>
      </c>
      <c r="Z148" s="175">
        <f>Master!T84</f>
        <v>17333.977760915466</v>
      </c>
      <c r="AA148" s="175">
        <f>Master!U84</f>
        <v>12989.048999999999</v>
      </c>
      <c r="AB148" s="175">
        <f>Master!V84</f>
        <v>11204.1</v>
      </c>
      <c r="AC148" s="175">
        <f>Master!W84</f>
        <v>7305.36</v>
      </c>
      <c r="AD148" s="175">
        <f>Master!X84</f>
        <v>10355.962701017601</v>
      </c>
      <c r="AE148" s="175">
        <f>Master!Y84</f>
        <v>12845.11698726951</v>
      </c>
      <c r="AF148" s="175">
        <f>Master!Z84</f>
        <v>10108.425969721895</v>
      </c>
      <c r="AG148" s="175">
        <f>Master!AA84</f>
        <v>9669.4440965204867</v>
      </c>
      <c r="AH148" s="175">
        <f>Master!AB84</f>
        <v>9576.3305889640542</v>
      </c>
      <c r="AI148" s="175">
        <f>Master!AC84</f>
        <v>9507.5208259070387</v>
      </c>
      <c r="AJ148" s="175">
        <f>Master!AD84</f>
        <v>9421.1514820881803</v>
      </c>
      <c r="AK148" s="175">
        <f>Master!AE84</f>
        <v>9399.8470341644606</v>
      </c>
      <c r="AL148" s="175">
        <f>Master!AF84</f>
        <v>9337.2402774569673</v>
      </c>
      <c r="AM148" s="175">
        <f>Master!AG84</f>
        <v>9343.5956636803967</v>
      </c>
      <c r="AN148" s="175">
        <f>Master!AH84</f>
        <v>9396.0408191442402</v>
      </c>
    </row>
    <row r="149" spans="2:40">
      <c r="B149" s="55" t="str">
        <f>B142</f>
        <v>Total</v>
      </c>
      <c r="C149" s="175"/>
      <c r="D149" s="175"/>
      <c r="E149" s="175"/>
      <c r="F149" s="175"/>
      <c r="G149" s="175"/>
      <c r="H149" s="175"/>
      <c r="I149" s="175"/>
      <c r="J149" s="175"/>
      <c r="K149" s="175"/>
      <c r="L149" s="175"/>
      <c r="M149" s="175"/>
      <c r="N149" s="179">
        <f>Master!H87</f>
        <v>6740.55</v>
      </c>
      <c r="O149" s="179">
        <f>Master!I87</f>
        <v>12768.93</v>
      </c>
      <c r="P149" s="179">
        <f>Master!J87</f>
        <v>9840.0399999999991</v>
      </c>
      <c r="Q149" s="179">
        <f>Master!K87</f>
        <v>11593.960000000001</v>
      </c>
      <c r="R149" s="179">
        <f>Master!L87</f>
        <v>14773.527999999998</v>
      </c>
      <c r="S149" s="179">
        <f>Master!M87</f>
        <v>16944.960999999999</v>
      </c>
      <c r="T149" s="179">
        <f>Master!N87</f>
        <v>25477.698</v>
      </c>
      <c r="U149" s="179">
        <f>Master!O87</f>
        <v>27913.08</v>
      </c>
      <c r="V149" s="179">
        <f>Master!P87</f>
        <v>16720.829999999998</v>
      </c>
      <c r="W149" s="179">
        <f>Master!Q87</f>
        <v>18660.95</v>
      </c>
      <c r="X149" s="179">
        <f>Master!R87</f>
        <v>19067.125</v>
      </c>
      <c r="Y149" s="179">
        <f>Master!S87</f>
        <v>20178.311999999998</v>
      </c>
      <c r="Z149" s="179">
        <f>Master!T87</f>
        <v>23310.092270413064</v>
      </c>
      <c r="AA149" s="179">
        <f>Master!U87</f>
        <v>17214.16</v>
      </c>
      <c r="AB149" s="179">
        <f>Master!V87</f>
        <v>14503.380000000001</v>
      </c>
      <c r="AC149" s="179">
        <f>Master!W87</f>
        <v>9097.5</v>
      </c>
      <c r="AD149" s="179">
        <f>Master!X87</f>
        <v>12186.6</v>
      </c>
      <c r="AE149" s="179">
        <f>Master!Y87</f>
        <v>14278.20668726951</v>
      </c>
      <c r="AF149" s="179">
        <f>Master!Z87</f>
        <v>11169.233759721894</v>
      </c>
      <c r="AG149" s="179">
        <f>Master!AA87</f>
        <v>10295.922991520487</v>
      </c>
      <c r="AH149" s="179">
        <f>Master!AB87</f>
        <v>10007.361481214053</v>
      </c>
      <c r="AI149" s="179">
        <f>Master!AC87</f>
        <v>9842.9993612570379</v>
      </c>
      <c r="AJ149" s="179">
        <f>Master!AD87</f>
        <v>9746.5970199636795</v>
      </c>
      <c r="AK149" s="179">
        <f>Master!AE87</f>
        <v>9717.2948397674299</v>
      </c>
      <c r="AL149" s="179">
        <f>Master!AF87</f>
        <v>9648.4231927797882</v>
      </c>
      <c r="AM149" s="179">
        <f>Master!AG87</f>
        <v>9535.7456636803963</v>
      </c>
      <c r="AN149" s="179">
        <f>Master!AH87</f>
        <v>9588.1908191442399</v>
      </c>
    </row>
    <row r="150" spans="2:40">
      <c r="B150" s="55"/>
      <c r="C150" s="175"/>
      <c r="D150" s="175"/>
      <c r="E150" s="175"/>
      <c r="F150" s="175"/>
      <c r="G150" s="175"/>
      <c r="H150" s="175"/>
      <c r="I150" s="175"/>
      <c r="J150" s="175"/>
      <c r="K150" s="175"/>
      <c r="L150" s="175"/>
      <c r="M150" s="175"/>
      <c r="N150" s="175"/>
      <c r="O150" s="175"/>
      <c r="P150" s="175"/>
      <c r="Q150" s="175"/>
      <c r="R150" s="175"/>
      <c r="S150" s="175"/>
      <c r="T150" s="175"/>
      <c r="U150" s="175"/>
      <c r="V150" s="175"/>
      <c r="W150" s="175"/>
      <c r="X150" s="175"/>
      <c r="Y150" s="175"/>
      <c r="Z150" s="175"/>
      <c r="AA150" s="175"/>
      <c r="AB150" s="175"/>
      <c r="AC150" s="175"/>
      <c r="AD150" s="175"/>
      <c r="AE150" s="175"/>
      <c r="AF150" s="175"/>
      <c r="AG150" s="175"/>
      <c r="AH150" s="175"/>
      <c r="AI150" s="175"/>
      <c r="AJ150" s="175"/>
      <c r="AK150" s="175"/>
      <c r="AL150" s="175"/>
      <c r="AM150" s="175"/>
      <c r="AN150" s="175"/>
    </row>
    <row r="151" spans="2:40" ht="15.75">
      <c r="B151" s="191" t="s">
        <v>36</v>
      </c>
      <c r="C151" s="175"/>
      <c r="D151" s="175"/>
      <c r="E151" s="175"/>
      <c r="F151" s="175"/>
      <c r="G151" s="175"/>
      <c r="H151" s="175"/>
      <c r="I151" s="175"/>
      <c r="J151" s="175"/>
      <c r="K151" s="175"/>
      <c r="L151" s="175"/>
      <c r="M151" s="175"/>
      <c r="N151" s="175"/>
      <c r="O151" s="175"/>
      <c r="P151" s="175"/>
      <c r="Q151" s="175"/>
      <c r="R151" s="175"/>
      <c r="S151" s="175"/>
      <c r="T151" s="175"/>
      <c r="U151" s="175"/>
      <c r="V151" s="175"/>
      <c r="W151" s="175"/>
      <c r="X151" s="175"/>
      <c r="Y151" s="175"/>
      <c r="Z151" s="175"/>
      <c r="AA151" s="175"/>
      <c r="AB151" s="175"/>
      <c r="AC151" s="175"/>
      <c r="AD151" s="175"/>
      <c r="AE151" s="175"/>
      <c r="AF151" s="175"/>
      <c r="AG151" s="175"/>
      <c r="AH151" s="175"/>
      <c r="AI151" s="175"/>
      <c r="AJ151" s="175"/>
      <c r="AK151" s="175"/>
      <c r="AL151" s="175"/>
      <c r="AM151" s="175"/>
      <c r="AN151" s="175"/>
    </row>
    <row r="152" spans="2:40">
      <c r="B152" s="55" t="s">
        <v>218</v>
      </c>
      <c r="C152" s="175"/>
      <c r="D152" s="175"/>
      <c r="E152" s="175"/>
      <c r="F152" s="175"/>
      <c r="G152" s="175"/>
      <c r="H152" s="175"/>
      <c r="I152" s="175"/>
      <c r="J152" s="175"/>
      <c r="K152" s="175"/>
      <c r="L152" s="175"/>
      <c r="M152" s="175"/>
      <c r="N152" s="175">
        <f>N139-N146</f>
        <v>10860.75</v>
      </c>
      <c r="O152" s="175">
        <f t="shared" ref="O152:W152" si="90">O139-O146</f>
        <v>10868.32</v>
      </c>
      <c r="P152" s="175">
        <f t="shared" si="90"/>
        <v>11282.204000000002</v>
      </c>
      <c r="Q152" s="175">
        <f t="shared" si="90"/>
        <v>12479.560000000001</v>
      </c>
      <c r="R152" s="175">
        <f t="shared" si="90"/>
        <v>12689.124890625</v>
      </c>
      <c r="S152" s="175">
        <f t="shared" si="90"/>
        <v>11499.266000000001</v>
      </c>
      <c r="T152" s="175">
        <f t="shared" si="90"/>
        <v>9353.4580000000024</v>
      </c>
      <c r="U152" s="175">
        <f t="shared" si="90"/>
        <v>7615.8000000000011</v>
      </c>
      <c r="V152" s="175">
        <f t="shared" si="90"/>
        <v>6490.9600000000009</v>
      </c>
      <c r="W152" s="175">
        <f t="shared" si="90"/>
        <v>9677.6</v>
      </c>
      <c r="X152" s="175">
        <f t="shared" ref="X152:Y155" si="91">X139-X146</f>
        <v>9223.9500000000007</v>
      </c>
      <c r="Y152" s="175">
        <f t="shared" si="91"/>
        <v>10202.683999999999</v>
      </c>
      <c r="Z152" s="175">
        <f t="shared" ref="Z152:AN152" si="92">Z139-Z146</f>
        <v>13787.981185574919</v>
      </c>
      <c r="AA152" s="175">
        <f t="shared" si="92"/>
        <v>-1124.9699999999998</v>
      </c>
      <c r="AB152" s="175">
        <f t="shared" si="92"/>
        <v>-992.74</v>
      </c>
      <c r="AC152" s="175">
        <f t="shared" si="92"/>
        <v>-5465.9</v>
      </c>
      <c r="AD152" s="175">
        <f t="shared" si="92"/>
        <v>-1636.5</v>
      </c>
      <c r="AE152" s="175">
        <f t="shared" si="92"/>
        <v>-1435.2060164736695</v>
      </c>
      <c r="AF152" s="175">
        <f t="shared" si="92"/>
        <v>-1380.517432670144</v>
      </c>
      <c r="AG152" s="175">
        <f t="shared" si="92"/>
        <v>-1319.5236829896644</v>
      </c>
      <c r="AH152" s="175">
        <f t="shared" si="92"/>
        <v>-1305.1787984599555</v>
      </c>
      <c r="AI152" s="175">
        <f t="shared" si="92"/>
        <v>-1310.6109585930183</v>
      </c>
      <c r="AJ152" s="175">
        <f t="shared" si="92"/>
        <v>-1327.2740582879335</v>
      </c>
      <c r="AK152" s="175">
        <f t="shared" si="92"/>
        <v>-1338.7421831523998</v>
      </c>
      <c r="AL152" s="175">
        <f t="shared" si="92"/>
        <v>-1347.7156622563616</v>
      </c>
      <c r="AM152" s="175">
        <f t="shared" si="92"/>
        <v>-1331.976585754697</v>
      </c>
      <c r="AN152" s="175">
        <f t="shared" si="92"/>
        <v>-1339.3022550392889</v>
      </c>
    </row>
    <row r="153" spans="2:40">
      <c r="B153" s="55" t="s">
        <v>70</v>
      </c>
      <c r="C153" s="175"/>
      <c r="D153" s="175"/>
      <c r="E153" s="175"/>
      <c r="F153" s="175"/>
      <c r="G153" s="175"/>
      <c r="H153" s="175"/>
      <c r="I153" s="175"/>
      <c r="J153" s="175"/>
      <c r="K153" s="175"/>
      <c r="L153" s="175"/>
      <c r="M153" s="175"/>
      <c r="N153" s="175">
        <f t="shared" ref="N153:W155" si="93">N140-N147</f>
        <v>2740.2</v>
      </c>
      <c r="O153" s="175">
        <f t="shared" si="93"/>
        <v>-444.3100000000004</v>
      </c>
      <c r="P153" s="175">
        <f t="shared" si="93"/>
        <v>2784.2960000000003</v>
      </c>
      <c r="Q153" s="175">
        <f t="shared" si="93"/>
        <v>2715.2799999999997</v>
      </c>
      <c r="R153" s="175">
        <f t="shared" si="93"/>
        <v>2265.848</v>
      </c>
      <c r="S153" s="175">
        <f t="shared" si="93"/>
        <v>3036.3719999999985</v>
      </c>
      <c r="T153" s="175">
        <f t="shared" si="93"/>
        <v>3233.7079999999996</v>
      </c>
      <c r="U153" s="175">
        <f t="shared" si="93"/>
        <v>3365.0899999999992</v>
      </c>
      <c r="V153" s="175">
        <f t="shared" si="93"/>
        <v>6111.5400000000009</v>
      </c>
      <c r="W153" s="175">
        <f t="shared" si="93"/>
        <v>5732.2000000000007</v>
      </c>
      <c r="X153" s="175">
        <f t="shared" si="91"/>
        <v>5095.8250000000007</v>
      </c>
      <c r="Y153" s="175">
        <f t="shared" si="91"/>
        <v>3761.503999999999</v>
      </c>
      <c r="Z153" s="175">
        <f t="shared" ref="Z153:AN153" si="94">Z140-Z147</f>
        <v>3552.5043049274846</v>
      </c>
      <c r="AA153" s="175">
        <f t="shared" si="94"/>
        <v>2533.0889999999999</v>
      </c>
      <c r="AB153" s="175">
        <f t="shared" si="94"/>
        <v>3090.56</v>
      </c>
      <c r="AC153" s="175">
        <f t="shared" si="94"/>
        <v>3147.9259999999995</v>
      </c>
      <c r="AD153" s="175">
        <f t="shared" si="94"/>
        <v>2142.5977010176002</v>
      </c>
      <c r="AE153" s="175">
        <f t="shared" si="94"/>
        <v>1622.7672999999998</v>
      </c>
      <c r="AF153" s="175">
        <f t="shared" si="94"/>
        <v>1102.5271949999997</v>
      </c>
      <c r="AG153" s="175">
        <f t="shared" si="94"/>
        <v>517.85368249999988</v>
      </c>
      <c r="AH153" s="175">
        <f t="shared" si="94"/>
        <v>266.44407212499999</v>
      </c>
      <c r="AI153" s="175">
        <f t="shared" si="94"/>
        <v>148.84117132499998</v>
      </c>
      <c r="AJ153" s="175">
        <f t="shared" si="94"/>
        <v>128.16878641874996</v>
      </c>
      <c r="AK153" s="175">
        <f t="shared" si="94"/>
        <v>110.84036649493495</v>
      </c>
      <c r="AL153" s="175">
        <f t="shared" si="94"/>
        <v>96.141970068432698</v>
      </c>
      <c r="AM153" s="175">
        <f t="shared" si="94"/>
        <v>0</v>
      </c>
      <c r="AN153" s="175">
        <f t="shared" si="94"/>
        <v>0</v>
      </c>
    </row>
    <row r="154" spans="2:40">
      <c r="B154" s="55" t="s">
        <v>52</v>
      </c>
      <c r="C154" s="175"/>
      <c r="D154" s="175"/>
      <c r="E154" s="175"/>
      <c r="F154" s="175"/>
      <c r="G154" s="175"/>
      <c r="H154" s="175"/>
      <c r="I154" s="175"/>
      <c r="J154" s="175"/>
      <c r="K154" s="175"/>
      <c r="L154" s="175"/>
      <c r="M154" s="175"/>
      <c r="N154" s="175">
        <f t="shared" si="93"/>
        <v>-254.5</v>
      </c>
      <c r="O154" s="175">
        <f t="shared" si="93"/>
        <v>-1624.9400000000005</v>
      </c>
      <c r="P154" s="175">
        <f t="shared" si="93"/>
        <v>-271.63999999999942</v>
      </c>
      <c r="Q154" s="175">
        <f t="shared" si="93"/>
        <v>-175.00000000000091</v>
      </c>
      <c r="R154" s="175">
        <f t="shared" si="93"/>
        <v>-1522.9239999999991</v>
      </c>
      <c r="S154" s="175">
        <f t="shared" si="93"/>
        <v>-1472.6990000000005</v>
      </c>
      <c r="T154" s="175">
        <f t="shared" si="93"/>
        <v>-5689.5640000000003</v>
      </c>
      <c r="U154" s="175">
        <f t="shared" si="93"/>
        <v>-5316.0700000000015</v>
      </c>
      <c r="V154" s="175">
        <f t="shared" si="93"/>
        <v>3456.67</v>
      </c>
      <c r="W154" s="175">
        <f t="shared" si="93"/>
        <v>2501.75</v>
      </c>
      <c r="X154" s="175">
        <f t="shared" si="91"/>
        <v>4831.1999999999989</v>
      </c>
      <c r="Y154" s="175">
        <f t="shared" si="91"/>
        <v>4667.7999999999993</v>
      </c>
      <c r="Z154" s="175">
        <f t="shared" ref="Z154:AN154" si="95">Z141-Z148</f>
        <v>2951.0222390845338</v>
      </c>
      <c r="AA154" s="175">
        <f t="shared" si="95"/>
        <v>6913.7510000000002</v>
      </c>
      <c r="AB154" s="175">
        <f t="shared" si="95"/>
        <v>7523.4</v>
      </c>
      <c r="AC154" s="175">
        <f t="shared" si="95"/>
        <v>11180.239999999998</v>
      </c>
      <c r="AD154" s="175">
        <f t="shared" si="95"/>
        <v>8884.8522989824014</v>
      </c>
      <c r="AE154" s="175">
        <f t="shared" si="95"/>
        <v>7409.4194657304906</v>
      </c>
      <c r="AF154" s="175">
        <f t="shared" si="95"/>
        <v>10542.0596610461</v>
      </c>
      <c r="AG154" s="175">
        <f t="shared" si="95"/>
        <v>11420.426369387109</v>
      </c>
      <c r="AH154" s="175">
        <f t="shared" si="95"/>
        <v>11980.325325140195</v>
      </c>
      <c r="AI154" s="175">
        <f t="shared" si="95"/>
        <v>12614.745387102583</v>
      </c>
      <c r="AJ154" s="175">
        <f t="shared" si="95"/>
        <v>13280.743776076002</v>
      </c>
      <c r="AK154" s="175">
        <f t="shared" si="95"/>
        <v>13792.013311533083</v>
      </c>
      <c r="AL154" s="175">
        <f t="shared" si="95"/>
        <v>14300.631063746256</v>
      </c>
      <c r="AM154" s="175">
        <f t="shared" si="95"/>
        <v>14495.768495520599</v>
      </c>
      <c r="AN154" s="175">
        <f t="shared" si="95"/>
        <v>14707.605545648923</v>
      </c>
    </row>
    <row r="155" spans="2:40">
      <c r="B155" s="55" t="s">
        <v>85</v>
      </c>
      <c r="C155" s="175"/>
      <c r="D155" s="175"/>
      <c r="E155" s="175"/>
      <c r="F155" s="175"/>
      <c r="G155" s="175"/>
      <c r="H155" s="175"/>
      <c r="I155" s="175"/>
      <c r="J155" s="175"/>
      <c r="K155" s="175"/>
      <c r="L155" s="175"/>
      <c r="M155" s="175"/>
      <c r="N155" s="179">
        <f t="shared" si="93"/>
        <v>13346.45</v>
      </c>
      <c r="O155" s="179">
        <f t="shared" si="93"/>
        <v>8799.07</v>
      </c>
      <c r="P155" s="179">
        <f t="shared" si="93"/>
        <v>13794.860000000002</v>
      </c>
      <c r="Q155" s="179">
        <f t="shared" si="93"/>
        <v>15019.839999999998</v>
      </c>
      <c r="R155" s="179">
        <f t="shared" si="93"/>
        <v>13432.048890624999</v>
      </c>
      <c r="S155" s="179">
        <f t="shared" si="93"/>
        <v>13062.939000000002</v>
      </c>
      <c r="T155" s="179">
        <f t="shared" si="93"/>
        <v>6897.6019999999917</v>
      </c>
      <c r="U155" s="179">
        <f t="shared" si="93"/>
        <v>5664.8199999999924</v>
      </c>
      <c r="V155" s="179">
        <f t="shared" si="93"/>
        <v>16059.170000000002</v>
      </c>
      <c r="W155" s="179">
        <f t="shared" si="93"/>
        <v>17911.55</v>
      </c>
      <c r="X155" s="179">
        <f t="shared" si="91"/>
        <v>19150.974999999999</v>
      </c>
      <c r="Y155" s="179">
        <f t="shared" si="91"/>
        <v>18631.987999999998</v>
      </c>
      <c r="Z155" s="179">
        <f t="shared" ref="Z155:AN155" si="96">Z142-Z149</f>
        <v>20291.507729586934</v>
      </c>
      <c r="AA155" s="179">
        <f t="shared" si="96"/>
        <v>8321.869999999999</v>
      </c>
      <c r="AB155" s="179">
        <f t="shared" si="96"/>
        <v>9621.2200000000012</v>
      </c>
      <c r="AC155" s="179">
        <f t="shared" si="96"/>
        <v>8594.515999999996</v>
      </c>
      <c r="AD155" s="179">
        <f t="shared" si="96"/>
        <v>9198.8000000000011</v>
      </c>
      <c r="AE155" s="179">
        <f t="shared" si="96"/>
        <v>7404.8307492568201</v>
      </c>
      <c r="AF155" s="179">
        <f t="shared" si="96"/>
        <v>10071.919423375959</v>
      </c>
      <c r="AG155" s="179">
        <f t="shared" si="96"/>
        <v>10426.606368897445</v>
      </c>
      <c r="AH155" s="179">
        <f t="shared" si="96"/>
        <v>10749.44059880524</v>
      </c>
      <c r="AI155" s="179">
        <f t="shared" si="96"/>
        <v>11260.825599834565</v>
      </c>
      <c r="AJ155" s="179">
        <f t="shared" si="96"/>
        <v>11889.48850420682</v>
      </c>
      <c r="AK155" s="179">
        <f t="shared" si="96"/>
        <v>12371.961494875617</v>
      </c>
      <c r="AL155" s="179">
        <f t="shared" si="96"/>
        <v>12856.907371558325</v>
      </c>
      <c r="AM155" s="179">
        <f t="shared" si="96"/>
        <v>12971.641909765904</v>
      </c>
      <c r="AN155" s="179">
        <f t="shared" si="96"/>
        <v>13176.153290609634</v>
      </c>
    </row>
    <row r="156" spans="2:40">
      <c r="C156" s="175"/>
      <c r="D156" s="175"/>
      <c r="E156" s="175"/>
      <c r="F156" s="175"/>
      <c r="G156" s="175"/>
      <c r="H156" s="175"/>
      <c r="I156" s="175"/>
      <c r="J156" s="175"/>
      <c r="K156" s="175"/>
      <c r="L156" s="175"/>
      <c r="M156" s="175"/>
      <c r="N156" s="175"/>
      <c r="O156" s="175"/>
      <c r="P156" s="175"/>
      <c r="Q156" s="175"/>
      <c r="R156" s="175"/>
      <c r="S156" s="175"/>
      <c r="T156" s="175"/>
      <c r="U156" s="175"/>
      <c r="V156" s="175"/>
      <c r="W156" s="175"/>
      <c r="X156" s="175"/>
      <c r="Y156" s="175"/>
      <c r="Z156" s="175"/>
      <c r="AA156" s="175"/>
      <c r="AB156" s="175"/>
      <c r="AC156" s="175"/>
      <c r="AD156" s="175"/>
      <c r="AE156" s="175"/>
      <c r="AF156" s="175"/>
      <c r="AG156" s="175"/>
      <c r="AH156" s="175"/>
      <c r="AI156" s="175"/>
      <c r="AJ156" s="175"/>
      <c r="AK156" s="175"/>
      <c r="AL156" s="175"/>
      <c r="AM156" s="175"/>
      <c r="AN156" s="175"/>
    </row>
    <row r="157" spans="2:40">
      <c r="C157" s="175"/>
      <c r="D157" s="175"/>
      <c r="E157" s="175"/>
      <c r="F157" s="175"/>
      <c r="G157" s="175"/>
      <c r="H157" s="175"/>
      <c r="I157" s="175"/>
      <c r="J157" s="175"/>
      <c r="K157" s="175"/>
      <c r="L157" s="175"/>
      <c r="M157" s="175"/>
      <c r="N157" s="175"/>
      <c r="O157" s="175"/>
      <c r="P157" s="175"/>
      <c r="Q157" s="175"/>
      <c r="R157" s="175"/>
      <c r="S157" s="175"/>
      <c r="T157" s="175"/>
      <c r="U157" s="175"/>
      <c r="V157" s="175"/>
      <c r="W157" s="175"/>
      <c r="X157" s="175"/>
      <c r="Y157" s="175"/>
      <c r="Z157" s="175"/>
      <c r="AA157" s="175"/>
      <c r="AB157" s="175"/>
      <c r="AC157" s="175"/>
      <c r="AD157" s="175"/>
      <c r="AE157" s="175"/>
      <c r="AF157" s="175"/>
      <c r="AG157" s="175"/>
      <c r="AH157" s="175"/>
      <c r="AI157" s="175"/>
      <c r="AJ157" s="175"/>
      <c r="AK157" s="175"/>
      <c r="AL157" s="175"/>
      <c r="AM157" s="175"/>
      <c r="AN157" s="175"/>
    </row>
    <row r="158" spans="2:40">
      <c r="C158" s="175"/>
      <c r="D158" s="175"/>
      <c r="E158" s="175"/>
      <c r="F158" s="175"/>
      <c r="G158" s="175"/>
      <c r="H158" s="175"/>
      <c r="I158" s="175"/>
      <c r="J158" s="175"/>
      <c r="K158" s="175"/>
      <c r="L158" s="175"/>
      <c r="M158" s="175"/>
      <c r="N158" s="175"/>
      <c r="O158" s="175"/>
      <c r="P158" s="175"/>
      <c r="Q158" s="175"/>
      <c r="R158" s="175"/>
      <c r="S158" s="175"/>
      <c r="T158" s="175"/>
      <c r="U158" s="175"/>
      <c r="V158" s="175"/>
      <c r="W158" s="175"/>
      <c r="X158" s="175"/>
      <c r="Y158" s="175"/>
      <c r="Z158" s="175"/>
      <c r="AA158" s="175"/>
      <c r="AB158" s="175"/>
      <c r="AC158" s="175"/>
      <c r="AD158" s="175"/>
      <c r="AE158" s="175"/>
      <c r="AF158" s="175"/>
      <c r="AG158" s="175"/>
      <c r="AH158" s="175"/>
      <c r="AI158" s="175"/>
      <c r="AJ158" s="175"/>
      <c r="AK158" s="175"/>
      <c r="AL158" s="175"/>
      <c r="AM158" s="175"/>
      <c r="AN158" s="175"/>
    </row>
    <row r="159" spans="2:40">
      <c r="C159" s="175"/>
      <c r="D159" s="175"/>
      <c r="E159" s="175"/>
      <c r="F159" s="175"/>
      <c r="G159" s="175"/>
      <c r="H159" s="175"/>
      <c r="I159" s="175"/>
      <c r="J159" s="175"/>
      <c r="K159" s="175"/>
      <c r="L159" s="175"/>
      <c r="M159" s="175"/>
      <c r="N159" s="175"/>
      <c r="O159" s="175"/>
      <c r="P159" s="175"/>
      <c r="Q159" s="175"/>
      <c r="R159" s="175"/>
      <c r="S159" s="175"/>
      <c r="T159" s="175"/>
      <c r="U159" s="175"/>
      <c r="V159" s="175"/>
      <c r="W159" s="175"/>
      <c r="X159" s="175"/>
      <c r="Y159" s="175"/>
      <c r="Z159" s="175"/>
      <c r="AA159" s="175"/>
      <c r="AB159" s="175"/>
      <c r="AC159" s="175"/>
      <c r="AD159" s="175"/>
      <c r="AE159" s="175"/>
      <c r="AF159" s="175"/>
      <c r="AG159" s="175"/>
      <c r="AH159" s="175"/>
      <c r="AI159" s="175"/>
      <c r="AJ159" s="175"/>
      <c r="AK159" s="175"/>
      <c r="AL159" s="175"/>
      <c r="AM159" s="175"/>
      <c r="AN159" s="175"/>
    </row>
    <row r="160" spans="2:40">
      <c r="B160" s="171"/>
      <c r="C160" s="175"/>
      <c r="D160" s="175"/>
      <c r="E160" s="175"/>
      <c r="F160" s="175"/>
      <c r="G160" s="175"/>
      <c r="H160" s="175"/>
      <c r="I160" s="175"/>
      <c r="J160" s="175"/>
      <c r="K160" s="175"/>
      <c r="L160" s="175"/>
      <c r="M160" s="175"/>
      <c r="N160" s="175"/>
      <c r="O160" s="175"/>
      <c r="P160" s="175"/>
      <c r="Q160" s="175"/>
      <c r="R160" s="175"/>
      <c r="S160" s="175"/>
      <c r="T160" s="175"/>
      <c r="U160" s="175"/>
      <c r="V160" s="175"/>
      <c r="W160" s="175"/>
      <c r="X160" s="175"/>
      <c r="Y160" s="175"/>
      <c r="Z160" s="175"/>
      <c r="AA160" s="175"/>
      <c r="AB160" s="175"/>
      <c r="AC160" s="175"/>
      <c r="AD160" s="175"/>
      <c r="AE160" s="175"/>
      <c r="AF160" s="175"/>
      <c r="AG160" s="175"/>
      <c r="AH160" s="175"/>
      <c r="AI160" s="175"/>
      <c r="AJ160" s="175"/>
      <c r="AK160" s="175"/>
      <c r="AL160" s="175"/>
      <c r="AM160" s="175"/>
      <c r="AN160" s="175"/>
    </row>
    <row r="161" spans="2:40">
      <c r="C161" s="175"/>
      <c r="D161" s="175"/>
      <c r="E161" s="175"/>
      <c r="F161" s="175"/>
      <c r="G161" s="175"/>
      <c r="H161" s="175"/>
      <c r="I161" s="175"/>
      <c r="J161" s="175"/>
      <c r="K161" s="175"/>
      <c r="L161" s="175"/>
      <c r="M161" s="175"/>
      <c r="N161" s="175"/>
      <c r="O161" s="175"/>
      <c r="P161" s="175"/>
      <c r="Q161" s="175"/>
      <c r="R161" s="175"/>
      <c r="S161" s="175"/>
      <c r="T161" s="175"/>
      <c r="U161" s="175"/>
      <c r="V161" s="175"/>
      <c r="W161" s="175"/>
      <c r="X161" s="175"/>
      <c r="Y161" s="175"/>
      <c r="Z161" s="175"/>
      <c r="AA161" s="175"/>
      <c r="AB161" s="175"/>
      <c r="AC161" s="175"/>
      <c r="AD161" s="175"/>
      <c r="AE161" s="175"/>
      <c r="AF161" s="175"/>
      <c r="AG161" s="175"/>
      <c r="AH161" s="175"/>
      <c r="AI161" s="175"/>
      <c r="AJ161" s="175"/>
      <c r="AK161" s="175"/>
      <c r="AL161" s="175"/>
      <c r="AM161" s="175"/>
      <c r="AN161" s="175"/>
    </row>
    <row r="162" spans="2:40">
      <c r="C162" s="175"/>
      <c r="D162" s="175"/>
      <c r="E162" s="175"/>
      <c r="F162" s="175"/>
      <c r="G162" s="175"/>
      <c r="H162" s="175"/>
      <c r="I162" s="175"/>
      <c r="J162" s="175"/>
      <c r="K162" s="175"/>
      <c r="L162" s="175"/>
      <c r="M162" s="175"/>
      <c r="N162" s="175"/>
      <c r="O162" s="175"/>
      <c r="P162" s="175"/>
      <c r="Q162" s="175"/>
      <c r="R162" s="175"/>
      <c r="S162" s="175"/>
      <c r="T162" s="175"/>
      <c r="U162" s="175"/>
      <c r="V162" s="175"/>
      <c r="W162" s="175"/>
      <c r="X162" s="175"/>
      <c r="Y162" s="175"/>
      <c r="Z162" s="175"/>
      <c r="AA162" s="175"/>
      <c r="AB162" s="175"/>
      <c r="AC162" s="175"/>
      <c r="AD162" s="175"/>
      <c r="AE162" s="175"/>
      <c r="AF162" s="175"/>
      <c r="AG162" s="175"/>
      <c r="AH162" s="175"/>
      <c r="AI162" s="175"/>
      <c r="AJ162" s="175"/>
      <c r="AK162" s="175"/>
      <c r="AL162" s="175"/>
      <c r="AM162" s="175"/>
      <c r="AN162" s="175"/>
    </row>
    <row r="163" spans="2:40">
      <c r="C163" s="175"/>
      <c r="D163" s="175"/>
      <c r="E163" s="175"/>
      <c r="F163" s="175"/>
      <c r="G163" s="175"/>
      <c r="H163" s="175"/>
      <c r="I163" s="175"/>
      <c r="J163" s="175"/>
      <c r="K163" s="175"/>
      <c r="L163" s="175"/>
      <c r="M163" s="175"/>
      <c r="N163" s="175"/>
      <c r="O163" s="175"/>
      <c r="P163" s="175"/>
      <c r="Q163" s="175"/>
      <c r="R163" s="175"/>
      <c r="S163" s="175"/>
      <c r="T163" s="175"/>
      <c r="U163" s="175"/>
      <c r="V163" s="175"/>
      <c r="W163" s="175"/>
      <c r="X163" s="175"/>
      <c r="Y163" s="175"/>
      <c r="Z163" s="175"/>
      <c r="AA163" s="175"/>
      <c r="AB163" s="175"/>
      <c r="AC163" s="175"/>
      <c r="AD163" s="175"/>
      <c r="AE163" s="175"/>
      <c r="AF163" s="175"/>
      <c r="AG163" s="175"/>
      <c r="AH163" s="175"/>
      <c r="AI163" s="175"/>
      <c r="AJ163" s="175"/>
      <c r="AK163" s="175"/>
      <c r="AL163" s="175"/>
      <c r="AM163" s="175"/>
      <c r="AN163" s="175"/>
    </row>
    <row r="164" spans="2:40">
      <c r="C164" s="175"/>
      <c r="D164" s="175"/>
      <c r="E164" s="175"/>
      <c r="F164" s="175"/>
      <c r="G164" s="175"/>
      <c r="H164" s="175"/>
      <c r="I164" s="175"/>
      <c r="J164" s="175"/>
      <c r="K164" s="175"/>
      <c r="L164" s="175"/>
      <c r="M164" s="175"/>
      <c r="N164" s="175"/>
      <c r="O164" s="175"/>
      <c r="P164" s="175"/>
      <c r="Q164" s="175"/>
      <c r="R164" s="175"/>
      <c r="S164" s="175"/>
      <c r="T164" s="175"/>
      <c r="U164" s="175"/>
      <c r="V164" s="175"/>
      <c r="W164" s="175"/>
      <c r="X164" s="175"/>
      <c r="Y164" s="175"/>
      <c r="Z164" s="175"/>
      <c r="AA164" s="175"/>
      <c r="AB164" s="175"/>
      <c r="AC164" s="175"/>
      <c r="AD164" s="175"/>
      <c r="AE164" s="175"/>
      <c r="AF164" s="175"/>
      <c r="AG164" s="175"/>
      <c r="AH164" s="175"/>
      <c r="AI164" s="175"/>
      <c r="AJ164" s="175"/>
      <c r="AK164" s="175"/>
      <c r="AL164" s="175"/>
      <c r="AM164" s="175"/>
      <c r="AN164" s="175"/>
    </row>
    <row r="165" spans="2:40">
      <c r="C165" s="175"/>
      <c r="D165" s="175"/>
      <c r="E165" s="175"/>
      <c r="F165" s="175"/>
      <c r="G165" s="175"/>
      <c r="H165" s="175"/>
      <c r="I165" s="175"/>
      <c r="J165" s="175"/>
      <c r="K165" s="175"/>
      <c r="L165" s="175"/>
      <c r="M165" s="175"/>
      <c r="N165" s="175"/>
      <c r="O165" s="175"/>
      <c r="P165" s="175"/>
      <c r="Q165" s="175"/>
      <c r="R165" s="175"/>
      <c r="S165" s="175"/>
      <c r="T165" s="175"/>
      <c r="U165" s="175"/>
      <c r="V165" s="175"/>
      <c r="W165" s="175"/>
      <c r="X165" s="175"/>
      <c r="Y165" s="175"/>
      <c r="Z165" s="175"/>
      <c r="AA165" s="175"/>
      <c r="AB165" s="175"/>
      <c r="AC165" s="175"/>
      <c r="AD165" s="175"/>
      <c r="AE165" s="175"/>
      <c r="AF165" s="175"/>
      <c r="AG165" s="175"/>
      <c r="AH165" s="175"/>
      <c r="AI165" s="175"/>
      <c r="AJ165" s="175"/>
      <c r="AK165" s="175"/>
      <c r="AL165" s="175"/>
      <c r="AM165" s="175"/>
      <c r="AN165" s="175"/>
    </row>
    <row r="166" spans="2:40">
      <c r="C166" s="175"/>
      <c r="D166" s="175"/>
      <c r="E166" s="175"/>
      <c r="F166" s="175"/>
      <c r="G166" s="175"/>
      <c r="H166" s="175"/>
      <c r="I166" s="175"/>
      <c r="J166" s="175"/>
      <c r="K166" s="175"/>
      <c r="L166" s="175"/>
      <c r="M166" s="175"/>
      <c r="N166" s="175"/>
      <c r="O166" s="175"/>
      <c r="P166" s="175"/>
      <c r="Q166" s="175"/>
      <c r="R166" s="175"/>
      <c r="S166" s="175"/>
      <c r="T166" s="175"/>
      <c r="U166" s="175"/>
      <c r="V166" s="175"/>
      <c r="W166" s="175"/>
      <c r="X166" s="175"/>
      <c r="Y166" s="175"/>
      <c r="Z166" s="175"/>
      <c r="AA166" s="175"/>
      <c r="AB166" s="175"/>
      <c r="AC166" s="175"/>
      <c r="AD166" s="175"/>
      <c r="AE166" s="175"/>
      <c r="AF166" s="175"/>
      <c r="AG166" s="175"/>
      <c r="AH166" s="175"/>
      <c r="AI166" s="175"/>
      <c r="AJ166" s="175"/>
      <c r="AK166" s="175"/>
      <c r="AL166" s="175"/>
      <c r="AM166" s="175"/>
      <c r="AN166" s="175"/>
    </row>
    <row r="167" spans="2:40">
      <c r="C167" s="175"/>
      <c r="D167" s="175"/>
      <c r="E167" s="175"/>
      <c r="F167" s="175"/>
      <c r="G167" s="175"/>
      <c r="H167" s="175"/>
      <c r="I167" s="175"/>
      <c r="J167" s="175"/>
      <c r="K167" s="175"/>
      <c r="L167" s="175"/>
      <c r="M167" s="175"/>
      <c r="N167" s="175"/>
      <c r="O167" s="175"/>
      <c r="P167" s="175"/>
      <c r="Q167" s="175"/>
      <c r="R167" s="175"/>
      <c r="S167" s="175"/>
      <c r="T167" s="175"/>
      <c r="U167" s="175"/>
      <c r="V167" s="175"/>
      <c r="W167" s="175"/>
      <c r="X167" s="175"/>
      <c r="Y167" s="175"/>
      <c r="Z167" s="175"/>
      <c r="AA167" s="175"/>
      <c r="AB167" s="175"/>
      <c r="AC167" s="175"/>
      <c r="AD167" s="175"/>
      <c r="AE167" s="175"/>
      <c r="AF167" s="175"/>
      <c r="AG167" s="175"/>
      <c r="AH167" s="175"/>
      <c r="AI167" s="175"/>
      <c r="AJ167" s="175"/>
      <c r="AK167" s="175"/>
      <c r="AL167" s="175"/>
      <c r="AM167" s="175"/>
      <c r="AN167" s="175"/>
    </row>
    <row r="169" spans="2:40">
      <c r="B169" s="160" t="s">
        <v>2372</v>
      </c>
      <c r="C169" s="160" t="s">
        <v>2373</v>
      </c>
      <c r="D169" s="160" t="s">
        <v>2374</v>
      </c>
      <c r="E169" s="160" t="s">
        <v>2375</v>
      </c>
      <c r="F169" s="160"/>
      <c r="G169" s="160" t="s">
        <v>2376</v>
      </c>
      <c r="H169" s="160" t="s">
        <v>2377</v>
      </c>
      <c r="I169" s="160" t="s">
        <v>2378</v>
      </c>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row>
    <row r="170" spans="2:40" ht="15.75">
      <c r="C170" s="172"/>
      <c r="D170" s="172"/>
      <c r="E170" s="172"/>
      <c r="F170" s="173"/>
      <c r="G170" s="172"/>
      <c r="H170" s="172"/>
      <c r="I170" s="172"/>
      <c r="J170" s="172"/>
      <c r="K170" s="172"/>
      <c r="L170" s="172"/>
      <c r="M170" s="172"/>
      <c r="N170" s="17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L170" s="162"/>
      <c r="AM170" s="162"/>
      <c r="AN170" s="162"/>
    </row>
    <row r="171" spans="2:40">
      <c r="B171" s="55" t="s">
        <v>218</v>
      </c>
      <c r="C171" s="175">
        <f t="shared" ref="C171:E174" si="97">V139</f>
        <v>8638</v>
      </c>
      <c r="D171" s="175">
        <f t="shared" si="97"/>
        <v>11502.5</v>
      </c>
      <c r="E171" s="175">
        <f t="shared" si="97"/>
        <v>11299.1</v>
      </c>
      <c r="F171" s="175"/>
      <c r="G171" s="175">
        <f t="shared" ref="G171:I174" si="98">V152</f>
        <v>6490.9600000000009</v>
      </c>
      <c r="H171" s="175">
        <f t="shared" si="98"/>
        <v>9677.6</v>
      </c>
      <c r="I171" s="175">
        <f t="shared" si="98"/>
        <v>9223.9500000000007</v>
      </c>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L171" s="162"/>
      <c r="AM171" s="162"/>
      <c r="AN171" s="162"/>
    </row>
    <row r="172" spans="2:40">
      <c r="B172" s="55" t="s">
        <v>70</v>
      </c>
      <c r="C172" s="175">
        <f t="shared" si="97"/>
        <v>10107</v>
      </c>
      <c r="D172" s="175">
        <f t="shared" si="97"/>
        <v>9767</v>
      </c>
      <c r="E172" s="175">
        <f t="shared" si="97"/>
        <v>9121</v>
      </c>
      <c r="F172" s="175"/>
      <c r="G172" s="175">
        <f t="shared" si="98"/>
        <v>6111.5400000000009</v>
      </c>
      <c r="H172" s="175">
        <f t="shared" si="98"/>
        <v>5732.2000000000007</v>
      </c>
      <c r="I172" s="175">
        <f t="shared" si="98"/>
        <v>5095.8250000000007</v>
      </c>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L172" s="162"/>
      <c r="AM172" s="162"/>
      <c r="AN172" s="162"/>
    </row>
    <row r="173" spans="2:40" ht="15.75">
      <c r="B173" s="178" t="s">
        <v>52</v>
      </c>
      <c r="C173" s="175">
        <f t="shared" si="97"/>
        <v>14035</v>
      </c>
      <c r="D173" s="175">
        <f t="shared" si="97"/>
        <v>15303</v>
      </c>
      <c r="E173" s="175">
        <f t="shared" si="97"/>
        <v>17798</v>
      </c>
      <c r="F173" s="175"/>
      <c r="G173" s="175">
        <f t="shared" si="98"/>
        <v>3456.67</v>
      </c>
      <c r="H173" s="175">
        <f t="shared" si="98"/>
        <v>2501.75</v>
      </c>
      <c r="I173" s="175">
        <f t="shared" si="98"/>
        <v>4831.1999999999989</v>
      </c>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row>
    <row r="174" spans="2:40" ht="15.75">
      <c r="B174" s="178" t="s">
        <v>85</v>
      </c>
      <c r="C174" s="175">
        <f t="shared" si="97"/>
        <v>32780</v>
      </c>
      <c r="D174" s="175">
        <f t="shared" si="97"/>
        <v>36572.5</v>
      </c>
      <c r="E174" s="175">
        <f t="shared" si="97"/>
        <v>38218.1</v>
      </c>
      <c r="F174" s="175"/>
      <c r="G174" s="175">
        <f t="shared" si="98"/>
        <v>16059.170000000002</v>
      </c>
      <c r="H174" s="175">
        <f t="shared" si="98"/>
        <v>17911.55</v>
      </c>
      <c r="I174" s="175">
        <f t="shared" si="98"/>
        <v>19150.974999999999</v>
      </c>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L174" s="162"/>
      <c r="AM174" s="162"/>
      <c r="AN174" s="162"/>
    </row>
    <row r="175" spans="2:40" ht="15.75">
      <c r="B175" s="178"/>
      <c r="C175" s="163"/>
      <c r="D175" s="163"/>
      <c r="E175" s="163"/>
      <c r="F175" s="167"/>
      <c r="G175" s="167"/>
      <c r="H175" s="167"/>
      <c r="I175" s="167"/>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L175" s="162"/>
      <c r="AM175" s="162"/>
      <c r="AN175" s="162"/>
    </row>
    <row r="176" spans="2:40">
      <c r="B176" s="174"/>
      <c r="C176" s="163"/>
      <c r="D176" s="163"/>
      <c r="E176" s="163"/>
      <c r="F176" s="167"/>
      <c r="G176" s="167"/>
      <c r="H176" s="167"/>
      <c r="I176" s="167"/>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L176" s="162"/>
      <c r="AM176" s="162"/>
      <c r="AN176" s="162"/>
    </row>
    <row r="177" spans="2:40">
      <c r="B177" s="174"/>
      <c r="C177" s="163"/>
      <c r="D177" s="163"/>
      <c r="E177" s="163"/>
      <c r="F177" s="167"/>
      <c r="G177" s="167"/>
      <c r="H177" s="167"/>
      <c r="I177" s="167"/>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row>
    <row r="178" spans="2:40">
      <c r="B178" s="174"/>
      <c r="C178" s="163"/>
      <c r="D178" s="163"/>
      <c r="E178" s="163"/>
      <c r="F178" s="167"/>
      <c r="G178" s="167"/>
      <c r="H178" s="167"/>
      <c r="I178" s="167"/>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c r="AL178" s="162"/>
      <c r="AM178" s="162"/>
      <c r="AN178" s="162"/>
    </row>
    <row r="179" spans="2:40">
      <c r="B179" s="174"/>
      <c r="C179" s="164"/>
      <c r="D179" s="164"/>
      <c r="E179" s="164"/>
      <c r="F179" s="1727"/>
      <c r="G179" s="1727"/>
      <c r="H179" s="1727"/>
      <c r="I179" s="1727"/>
      <c r="J179" s="1727"/>
      <c r="K179" s="1727"/>
      <c r="L179" s="1727"/>
      <c r="M179" s="1727"/>
      <c r="N179" s="1727"/>
      <c r="O179" s="1727"/>
      <c r="P179" s="1727"/>
      <c r="Q179" s="1727"/>
      <c r="R179" s="1727"/>
      <c r="S179" s="1727"/>
      <c r="T179" s="1727"/>
      <c r="U179" s="1727"/>
      <c r="V179" s="1727"/>
      <c r="W179" s="1727"/>
      <c r="X179" s="1727"/>
      <c r="Y179" s="1727"/>
      <c r="Z179" s="1727"/>
      <c r="AA179" s="1727"/>
      <c r="AB179" s="1727"/>
      <c r="AC179" s="1727"/>
      <c r="AD179" s="1727"/>
      <c r="AE179" s="1727"/>
      <c r="AF179" s="1727"/>
      <c r="AG179" s="1727"/>
      <c r="AH179" s="1727"/>
      <c r="AI179" s="1727"/>
      <c r="AJ179" s="1727"/>
      <c r="AK179" s="1727"/>
      <c r="AL179" s="1727"/>
      <c r="AM179" s="1727"/>
      <c r="AN179" s="1727"/>
    </row>
    <row r="180" spans="2:40" ht="15.75">
      <c r="B180" s="1560" t="s">
        <v>154</v>
      </c>
      <c r="C180" s="1560">
        <f>C2</f>
        <v>1998</v>
      </c>
      <c r="D180" s="1560">
        <f t="shared" ref="D180:AA180" si="99">D2</f>
        <v>1999</v>
      </c>
      <c r="E180" s="1560">
        <f t="shared" si="99"/>
        <v>2000</v>
      </c>
      <c r="F180" s="1560">
        <f t="shared" si="99"/>
        <v>2001</v>
      </c>
      <c r="G180" s="1560">
        <f t="shared" si="99"/>
        <v>2002</v>
      </c>
      <c r="H180" s="1560">
        <f t="shared" si="99"/>
        <v>2003</v>
      </c>
      <c r="I180" s="1560">
        <f t="shared" si="99"/>
        <v>2004</v>
      </c>
      <c r="J180" s="1560">
        <f t="shared" si="99"/>
        <v>2005</v>
      </c>
      <c r="K180" s="1560">
        <f t="shared" si="99"/>
        <v>2006</v>
      </c>
      <c r="L180" s="1560">
        <f t="shared" si="99"/>
        <v>2007</v>
      </c>
      <c r="M180" s="1560">
        <f t="shared" si="99"/>
        <v>2008</v>
      </c>
      <c r="N180" s="1560">
        <f t="shared" si="99"/>
        <v>2009</v>
      </c>
      <c r="O180" s="1560">
        <f t="shared" si="99"/>
        <v>2010</v>
      </c>
      <c r="P180" s="1560">
        <f t="shared" si="99"/>
        <v>2011</v>
      </c>
      <c r="Q180" s="1560">
        <f t="shared" si="99"/>
        <v>2012</v>
      </c>
      <c r="R180" s="1560">
        <f t="shared" si="99"/>
        <v>2013</v>
      </c>
      <c r="S180" s="1560">
        <f t="shared" si="99"/>
        <v>2014</v>
      </c>
      <c r="T180" s="1560">
        <f t="shared" si="99"/>
        <v>2015</v>
      </c>
      <c r="U180" s="1560">
        <f t="shared" si="99"/>
        <v>2016</v>
      </c>
      <c r="V180" s="1560">
        <f t="shared" si="99"/>
        <v>2017</v>
      </c>
      <c r="W180" s="1560">
        <f t="shared" si="99"/>
        <v>2018</v>
      </c>
      <c r="X180" s="1560">
        <f t="shared" si="99"/>
        <v>2019</v>
      </c>
      <c r="Y180" s="1560">
        <f t="shared" si="99"/>
        <v>2020</v>
      </c>
      <c r="Z180" s="1560">
        <f t="shared" si="99"/>
        <v>2021</v>
      </c>
      <c r="AA180" s="1560">
        <f t="shared" si="99"/>
        <v>2022</v>
      </c>
      <c r="AB180" s="1560">
        <v>2023</v>
      </c>
      <c r="AC180" s="1560">
        <v>2024</v>
      </c>
      <c r="AD180" s="1560">
        <v>2025</v>
      </c>
      <c r="AE180" s="1560">
        <v>2026</v>
      </c>
      <c r="AF180" s="1560">
        <v>2027</v>
      </c>
      <c r="AG180" s="1560">
        <v>2028</v>
      </c>
      <c r="AH180" s="1560">
        <v>2029</v>
      </c>
      <c r="AI180" s="1560">
        <v>2030</v>
      </c>
      <c r="AJ180" s="1560">
        <v>2031</v>
      </c>
      <c r="AK180" s="1560">
        <v>2032</v>
      </c>
      <c r="AL180" s="1560">
        <v>2033</v>
      </c>
      <c r="AM180" s="1560">
        <v>2034</v>
      </c>
      <c r="AN180" s="1560">
        <v>2035</v>
      </c>
    </row>
    <row r="181" spans="2:40" ht="15.75">
      <c r="B181" s="1561" t="s">
        <v>34</v>
      </c>
      <c r="C181" s="1562"/>
      <c r="D181" s="1562"/>
      <c r="E181" s="1562"/>
      <c r="F181" s="1562"/>
      <c r="G181" s="1562"/>
      <c r="H181" s="1562"/>
      <c r="I181" s="1562"/>
      <c r="J181" s="1562"/>
      <c r="K181" s="1562"/>
      <c r="L181" s="1562"/>
      <c r="M181" s="1562"/>
      <c r="N181" s="1562"/>
      <c r="O181" s="1562"/>
      <c r="P181" s="1562"/>
      <c r="Q181" s="1562"/>
      <c r="R181" s="1562"/>
      <c r="S181" s="1562"/>
      <c r="T181" s="1562"/>
      <c r="U181" s="1562">
        <f>Valuation!L24</f>
        <v>1781.3209549071614</v>
      </c>
      <c r="V181" s="1562">
        <f>Valuation!M24</f>
        <v>1734.3915343915346</v>
      </c>
      <c r="W181" s="1562">
        <f>Valuation!N24</f>
        <v>1899.8701298701299</v>
      </c>
      <c r="X181" s="1562">
        <f>Valuation!O24</f>
        <v>1985.3558441558441</v>
      </c>
      <c r="Y181" s="1562">
        <f>Valuation!P24</f>
        <v>1806.810986964618</v>
      </c>
      <c r="Z181" s="1562">
        <f>Valuation!Q24</f>
        <v>2149.39511945193</v>
      </c>
      <c r="AA181" s="1562">
        <f>Valuation!R24</f>
        <v>1269.8175037294877</v>
      </c>
      <c r="AB181" s="1562">
        <f>Valuation!S24</f>
        <v>1362.9717514124295</v>
      </c>
      <c r="AC181" s="1562">
        <f>Valuation!T24</f>
        <v>966.77683060109268</v>
      </c>
      <c r="AD181" s="1562">
        <f>Valuation!U24</f>
        <v>1114.4033350703492</v>
      </c>
      <c r="AE181" s="1562">
        <f>Valuation!V24</f>
        <v>1248.6632557746232</v>
      </c>
      <c r="AF181" s="1562">
        <f>Valuation!W24</f>
        <v>1199.2317871252098</v>
      </c>
      <c r="AG181" s="1562">
        <f>Valuation!X24</f>
        <v>1147.0111309830852</v>
      </c>
      <c r="AH181" s="1562">
        <f>Valuation!Y24</f>
        <v>1126.3805467189595</v>
      </c>
      <c r="AI181" s="1562">
        <f>Valuation!Z24</f>
        <v>1122.7568190019381</v>
      </c>
      <c r="AJ181" s="1562">
        <f>Valuation!AA24</f>
        <v>1128.5038447081065</v>
      </c>
      <c r="AK181" s="1562">
        <f>Valuation!AB24</f>
        <v>1129.5495236935265</v>
      </c>
      <c r="AL181" s="1562">
        <f>Valuation!AC24</f>
        <v>1128.260558356197</v>
      </c>
      <c r="AM181" s="1562">
        <f>Valuation!AD24</f>
        <v>1106.2389043812489</v>
      </c>
      <c r="AN181" s="1562">
        <f>Valuation!AE24</f>
        <v>1096.92973267917</v>
      </c>
    </row>
    <row r="182" spans="2:40" ht="15.75">
      <c r="B182" s="1561" t="s">
        <v>2379</v>
      </c>
      <c r="C182" s="1562"/>
      <c r="D182" s="1562"/>
      <c r="E182" s="1562"/>
      <c r="F182" s="1562"/>
      <c r="G182" s="1562"/>
      <c r="H182" s="1562"/>
      <c r="I182" s="1562"/>
      <c r="J182" s="1562"/>
      <c r="K182" s="1562"/>
      <c r="L182" s="1562"/>
      <c r="M182" s="1562"/>
      <c r="N182" s="1562"/>
      <c r="O182" s="1562"/>
      <c r="P182" s="1562"/>
      <c r="Q182" s="1562"/>
      <c r="R182" s="1562"/>
      <c r="S182" s="1562"/>
      <c r="T182" s="1562"/>
      <c r="U182" s="1562">
        <f>Master!O210/Valuation!L19</f>
        <v>80.588859416445487</v>
      </c>
      <c r="V182" s="1562">
        <f>Master!P210/Valuation!M19</f>
        <v>-393.90476190476159</v>
      </c>
      <c r="W182" s="1562">
        <f>Master!Q210/Valuation!N19</f>
        <v>601.03896103896113</v>
      </c>
      <c r="X182" s="1562">
        <f>Master!R210/Valuation!O19</f>
        <v>-1036.5506493506493</v>
      </c>
      <c r="Y182" s="1562">
        <f>Master!S210/Valuation!P19</f>
        <v>17.783985102420825</v>
      </c>
      <c r="Z182" s="1562">
        <f>Master!T210/Valuation!Q19</f>
        <v>-186.00350395451989</v>
      </c>
      <c r="AA182" s="1562">
        <f>Master!U210/Valuation!R19</f>
        <v>-208.92197911486824</v>
      </c>
      <c r="AB182" s="1562">
        <f>Master!V210/Valuation!S19</f>
        <v>-142.34033898305086</v>
      </c>
      <c r="AC182" s="1562">
        <f>Master!W210/Valuation!T19</f>
        <v>224.5068306010929</v>
      </c>
      <c r="AD182" s="1562">
        <f>Master!X210/Valuation!U19</f>
        <v>20.673110995310051</v>
      </c>
      <c r="AE182" s="1562">
        <f>Master!Y210/Valuation!V19</f>
        <v>-1.7615185249224898</v>
      </c>
      <c r="AF182" s="1562">
        <f>Master!Z210/Valuation!W19</f>
        <v>-3.3140151654343279</v>
      </c>
      <c r="AG182" s="1562">
        <f>Master!AA210/Valuation!X19</f>
        <v>-4.3845519065913336</v>
      </c>
      <c r="AH182" s="1562">
        <f>Master!AB210/Valuation!Y19</f>
        <v>-3.4262423816427212</v>
      </c>
      <c r="AI182" s="1562">
        <f>Master!AC210/Valuation!Z19</f>
        <v>0.23555468981536876</v>
      </c>
      <c r="AJ182" s="1562">
        <f>Master!AD210/Valuation!AA19</f>
        <v>-1.9797182968376823</v>
      </c>
      <c r="AK182" s="1562">
        <f>Master!AE210/Valuation!AB19</f>
        <v>-2.9467987596759513</v>
      </c>
      <c r="AL182" s="1562">
        <f>Master!AF210/Valuation!AC19</f>
        <v>-3.5255870115189554</v>
      </c>
      <c r="AM182" s="1562">
        <f>Master!AG210/Valuation!AD19</f>
        <v>-3.2325963114534462</v>
      </c>
      <c r="AN182" s="1562">
        <f>Master!AH210/Valuation!AE19</f>
        <v>-3.0723266699208516</v>
      </c>
    </row>
    <row r="183" spans="2:40" ht="15.75">
      <c r="B183" s="1561" t="s">
        <v>2380</v>
      </c>
      <c r="C183" s="1562"/>
      <c r="D183" s="1562"/>
      <c r="E183" s="1562"/>
      <c r="F183" s="1562"/>
      <c r="G183" s="1562"/>
      <c r="H183" s="1562"/>
      <c r="I183" s="1562"/>
      <c r="J183" s="1562"/>
      <c r="K183" s="1562"/>
      <c r="L183" s="1562"/>
      <c r="M183" s="1562"/>
      <c r="N183" s="1562"/>
      <c r="O183" s="1562"/>
      <c r="P183" s="1562"/>
      <c r="Q183" s="1562"/>
      <c r="R183" s="1562"/>
      <c r="S183" s="1562"/>
      <c r="T183" s="1562"/>
      <c r="U183" s="1562">
        <f>Valuation!L29</f>
        <v>-385.62334217506628</v>
      </c>
      <c r="V183" s="1562">
        <f>Valuation!M29</f>
        <v>-339.6825396825397</v>
      </c>
      <c r="W183" s="1562">
        <f>Valuation!N29</f>
        <v>-349.24675324675326</v>
      </c>
      <c r="X183" s="1562">
        <f>Valuation!O29</f>
        <v>-238.62337662337663</v>
      </c>
      <c r="Y183" s="1562">
        <f>Valuation!P29</f>
        <v>-404.14338919925513</v>
      </c>
      <c r="Z183" s="1562">
        <f>Valuation!Q29</f>
        <v>-451.84937398848649</v>
      </c>
      <c r="AA183" s="1562">
        <f>Valuation!R29</f>
        <v>-606.06663351566385</v>
      </c>
      <c r="AB183" s="1562">
        <f>Valuation!S29</f>
        <v>-396.28864406779661</v>
      </c>
      <c r="AC183" s="1562">
        <f>Valuation!T29</f>
        <v>-44.383333333333333</v>
      </c>
      <c r="AD183" s="1562">
        <f>Valuation!U29</f>
        <v>1.2506513809275663</v>
      </c>
      <c r="AE183" s="1562">
        <f ca="1">Valuation!V29</f>
        <v>-21.838725918853196</v>
      </c>
      <c r="AF183" s="1562">
        <f ca="1">Valuation!W29</f>
        <v>-29.591177757488222</v>
      </c>
      <c r="AG183" s="1562">
        <f ca="1">Valuation!X29</f>
        <v>-38.216882294623858</v>
      </c>
      <c r="AH183" s="1562">
        <f ca="1">Valuation!Y29</f>
        <v>-55.601035676322624</v>
      </c>
      <c r="AI183" s="1562">
        <f ca="1">Valuation!Z29</f>
        <v>-78.209205294838412</v>
      </c>
      <c r="AJ183" s="1562">
        <f ca="1">Valuation!AA29</f>
        <v>-99.570457608375392</v>
      </c>
      <c r="AK183" s="1562">
        <f ca="1">Valuation!AB29</f>
        <v>-117.0375622869422</v>
      </c>
      <c r="AL183" s="1562">
        <f ca="1">Valuation!AC29</f>
        <v>-131.69326091974082</v>
      </c>
      <c r="AM183" s="1562">
        <f ca="1">Valuation!AD29</f>
        <v>-137.94931387337382</v>
      </c>
      <c r="AN183" s="1562">
        <f ca="1">Valuation!AE29</f>
        <v>-147.90048453190977</v>
      </c>
    </row>
    <row r="184" spans="2:40" ht="15.75">
      <c r="B184" s="1561" t="s">
        <v>35</v>
      </c>
      <c r="C184" s="1562"/>
      <c r="D184" s="1562"/>
      <c r="E184" s="1562"/>
      <c r="F184" s="1562"/>
      <c r="G184" s="1562"/>
      <c r="H184" s="1562"/>
      <c r="I184" s="1562"/>
      <c r="J184" s="1562"/>
      <c r="K184" s="1562"/>
      <c r="L184" s="1562"/>
      <c r="M184" s="1562"/>
      <c r="N184" s="1562"/>
      <c r="O184" s="1562"/>
      <c r="P184" s="1562"/>
      <c r="Q184" s="1562"/>
      <c r="R184" s="1562"/>
      <c r="S184" s="1562"/>
      <c r="T184" s="1562"/>
      <c r="U184" s="1562">
        <f>Valuation!L26</f>
        <v>-1480.8</v>
      </c>
      <c r="V184" s="1562">
        <f>Valuation!M26</f>
        <v>-884.69999999999993</v>
      </c>
      <c r="W184" s="1562">
        <f>Valuation!N26</f>
        <v>-969.40000000000009</v>
      </c>
      <c r="X184" s="1562">
        <f>Valuation!O26</f>
        <v>-990.5</v>
      </c>
      <c r="Y184" s="1562">
        <f>Valuation!P26</f>
        <v>-939.39999999999986</v>
      </c>
      <c r="Z184" s="1562">
        <f>Valuation!Q26</f>
        <v>-1149.1000000000001</v>
      </c>
      <c r="AA184" s="1562">
        <f>Valuation!R26</f>
        <v>-856</v>
      </c>
      <c r="AB184" s="1562">
        <f>Valuation!S26</f>
        <v>-819.40000000000009</v>
      </c>
      <c r="AC184" s="1562">
        <f>Valuation!T26</f>
        <v>-497.13114754098359</v>
      </c>
      <c r="AD184" s="1562">
        <f>Valuation!U26</f>
        <v>-635.04950495049502</v>
      </c>
      <c r="AE184" s="1562">
        <f>Valuation!V26</f>
        <v>-822.24052330950258</v>
      </c>
      <c r="AF184" s="1562">
        <f>Valuation!W26</f>
        <v>-630.59194795265967</v>
      </c>
      <c r="AG184" s="1562">
        <f>Valuation!X26</f>
        <v>-569.88884269967753</v>
      </c>
      <c r="AH184" s="1562">
        <f>Valuation!Y26</f>
        <v>-543.05558500626523</v>
      </c>
      <c r="AI184" s="1562">
        <f>Valuation!Z26</f>
        <v>-523.66311190781551</v>
      </c>
      <c r="AJ184" s="1562">
        <f>Valuation!AA26</f>
        <v>-508.36701479859192</v>
      </c>
      <c r="AK184" s="1562">
        <f>Valuation!AB26</f>
        <v>-496.90064670193129</v>
      </c>
      <c r="AL184" s="1562">
        <f>Valuation!AC26</f>
        <v>-483.70475197517999</v>
      </c>
      <c r="AM184" s="1562">
        <f>Valuation!AD26</f>
        <v>-468.68224048770969</v>
      </c>
      <c r="AN184" s="1562">
        <f>Valuation!AE26</f>
        <v>-462.01953113220964</v>
      </c>
    </row>
    <row r="185" spans="2:40" ht="15.75">
      <c r="B185" s="1561" t="s">
        <v>2381</v>
      </c>
      <c r="C185" s="1562"/>
      <c r="D185" s="1562"/>
      <c r="E185" s="1562"/>
      <c r="F185" s="1562"/>
      <c r="G185" s="1562"/>
      <c r="H185" s="1562"/>
      <c r="I185" s="1562"/>
      <c r="J185" s="1562"/>
      <c r="K185" s="1562"/>
      <c r="L185" s="1562"/>
      <c r="M185" s="1562"/>
      <c r="N185" s="1562"/>
      <c r="O185" s="1562"/>
      <c r="P185" s="1562"/>
      <c r="Q185" s="1562"/>
      <c r="R185" s="1562"/>
      <c r="S185" s="1562"/>
      <c r="T185" s="1562"/>
      <c r="U185" s="1562">
        <f>Valuation!L32</f>
        <v>0</v>
      </c>
      <c r="V185" s="1562">
        <f>Valuation!M32</f>
        <v>0</v>
      </c>
      <c r="W185" s="1562">
        <f>Valuation!N32</f>
        <v>0</v>
      </c>
      <c r="X185" s="1562">
        <f>Valuation!O32</f>
        <v>0</v>
      </c>
      <c r="Y185" s="1562">
        <f>Valuation!P32</f>
        <v>0</v>
      </c>
      <c r="Z185" s="1562">
        <f>Valuation!Q32</f>
        <v>0</v>
      </c>
      <c r="AA185" s="1562">
        <f>Valuation!R32</f>
        <v>59.25</v>
      </c>
      <c r="AB185" s="1562">
        <f>Valuation!S32</f>
        <v>60.33</v>
      </c>
      <c r="AC185" s="1562">
        <f>Valuation!T32</f>
        <v>59.835000000000001</v>
      </c>
      <c r="AD185" s="1562">
        <f>Valuation!U32</f>
        <v>60.284999999999997</v>
      </c>
      <c r="AE185" s="1562">
        <f>Valuation!V32</f>
        <v>46.560403739999956</v>
      </c>
      <c r="AF185" s="1562">
        <f>Valuation!W32</f>
        <v>61.09423556946598</v>
      </c>
      <c r="AG185" s="1562">
        <f>Valuation!X32</f>
        <v>71.035707051709693</v>
      </c>
      <c r="AH185" s="1562">
        <f>Valuation!Y32</f>
        <v>78.943221620044625</v>
      </c>
      <c r="AI185" s="1562">
        <f>Valuation!Z32</f>
        <v>86.427642577071396</v>
      </c>
      <c r="AJ185" s="1562">
        <f>Valuation!AA32</f>
        <v>92.784835292735949</v>
      </c>
      <c r="AK185" s="1562">
        <f>Valuation!AB32</f>
        <v>98.29283905853724</v>
      </c>
      <c r="AL185" s="1562">
        <f>Valuation!AC32</f>
        <v>103.3638812254199</v>
      </c>
      <c r="AM185" s="1562">
        <f>Valuation!AD32</f>
        <v>107.40711243770126</v>
      </c>
      <c r="AN185" s="1562">
        <f>Valuation!AE32</f>
        <v>110.31231961430599</v>
      </c>
    </row>
    <row r="186" spans="2:40" ht="15.75">
      <c r="B186" s="1561" t="s">
        <v>2382</v>
      </c>
      <c r="C186" s="1562"/>
      <c r="D186" s="1562"/>
      <c r="E186" s="1562"/>
      <c r="F186" s="1562"/>
      <c r="G186" s="1562"/>
      <c r="H186" s="1562"/>
      <c r="I186" s="1562"/>
      <c r="J186" s="1562"/>
      <c r="K186" s="1562"/>
      <c r="L186" s="1562"/>
      <c r="M186" s="1562"/>
      <c r="N186" s="1562"/>
      <c r="O186" s="1562"/>
      <c r="P186" s="1562"/>
      <c r="Q186" s="1562"/>
      <c r="R186" s="1562"/>
      <c r="S186" s="1562"/>
      <c r="T186" s="1562"/>
      <c r="U186" s="1562">
        <f>Valuation!L31</f>
        <v>-85.517241379310335</v>
      </c>
      <c r="V186" s="1562">
        <f>Valuation!M31</f>
        <v>-108.62433862433863</v>
      </c>
      <c r="W186" s="1562">
        <f>Valuation!N31</f>
        <v>-83.428571428571431</v>
      </c>
      <c r="X186" s="1562">
        <f>Valuation!O31</f>
        <v>-76.919480519480516</v>
      </c>
      <c r="Y186" s="1562">
        <f>Valuation!P31</f>
        <v>-72.918994413407816</v>
      </c>
      <c r="Z186" s="1562">
        <f>Valuation!Q31</f>
        <v>-16.207323378102842</v>
      </c>
      <c r="AA186" s="1562">
        <f>Valuation!R31</f>
        <v>0</v>
      </c>
      <c r="AB186" s="1562">
        <f>Valuation!S31</f>
        <v>0</v>
      </c>
      <c r="AC186" s="1562">
        <f>Valuation!T31</f>
        <v>0</v>
      </c>
      <c r="AD186" s="1562">
        <f>Valuation!U31</f>
        <v>-6.0771756122980713</v>
      </c>
      <c r="AE186" s="1562">
        <f>Valuation!V31</f>
        <v>-7.0516585084940981</v>
      </c>
      <c r="AF186" s="1562">
        <f>Valuation!W31</f>
        <v>-7.2590602293321602</v>
      </c>
      <c r="AG186" s="1562">
        <f>Valuation!X31</f>
        <v>-7.4725620007831068</v>
      </c>
      <c r="AH186" s="1562">
        <f>Valuation!Y31</f>
        <v>-7.6923432361002577</v>
      </c>
      <c r="AI186" s="1562">
        <f>Valuation!Z31</f>
        <v>-7.918588625397323</v>
      </c>
      <c r="AJ186" s="1562">
        <f>Valuation!AA31</f>
        <v>-8.1514882908501853</v>
      </c>
      <c r="AK186" s="1562">
        <f>Valuation!AB31</f>
        <v>-8.391237946463427</v>
      </c>
      <c r="AL186" s="1562">
        <f>Valuation!AC31</f>
        <v>-8.6380390625358814</v>
      </c>
      <c r="AM186" s="1562">
        <f>Valuation!AD31</f>
        <v>-8.8920990349634064</v>
      </c>
      <c r="AN186" s="1562">
        <f>Valuation!AE31</f>
        <v>-9.1536313595211549</v>
      </c>
    </row>
    <row r="187" spans="2:40" ht="15.75">
      <c r="B187" s="1561" t="s">
        <v>1040</v>
      </c>
      <c r="C187" s="1562"/>
      <c r="D187" s="1562"/>
      <c r="E187" s="1562"/>
      <c r="F187" s="1562"/>
      <c r="G187" s="1562"/>
      <c r="H187" s="1562"/>
      <c r="I187" s="1562"/>
      <c r="J187" s="1562"/>
      <c r="K187" s="1562"/>
      <c r="L187" s="1562"/>
      <c r="M187" s="1562"/>
      <c r="N187" s="1562"/>
      <c r="O187" s="1562"/>
      <c r="P187" s="1562"/>
      <c r="Q187" s="1562"/>
      <c r="R187" s="1562"/>
      <c r="S187" s="1562"/>
      <c r="T187" s="1562"/>
      <c r="U187" s="1562"/>
      <c r="V187" s="1562"/>
      <c r="W187" s="1562"/>
      <c r="X187" s="1562"/>
      <c r="Y187" s="1562"/>
      <c r="Z187" s="1562"/>
      <c r="AA187" s="1562"/>
      <c r="AB187" s="1562"/>
      <c r="AC187" s="1562"/>
      <c r="AD187" s="1562"/>
      <c r="AE187" s="1562"/>
      <c r="AF187" s="1562"/>
      <c r="AG187" s="1562"/>
      <c r="AH187" s="1562"/>
      <c r="AI187" s="1562"/>
      <c r="AJ187" s="1562"/>
      <c r="AK187" s="1562"/>
      <c r="AL187" s="1562"/>
      <c r="AM187" s="1562"/>
      <c r="AN187" s="1562"/>
    </row>
    <row r="188" spans="2:40" ht="15.75">
      <c r="B188" s="1563" t="s">
        <v>2383</v>
      </c>
      <c r="C188" s="1564"/>
      <c r="D188" s="1564"/>
      <c r="E188" s="1564"/>
      <c r="F188" s="1564"/>
      <c r="G188" s="1564"/>
      <c r="H188" s="1564"/>
      <c r="I188" s="1564"/>
      <c r="J188" s="1564"/>
      <c r="K188" s="1564"/>
      <c r="L188" s="1564"/>
      <c r="M188" s="1564"/>
      <c r="N188" s="1564"/>
      <c r="O188" s="1564"/>
      <c r="P188" s="1564"/>
      <c r="Q188" s="1564"/>
      <c r="R188" s="1564"/>
      <c r="S188" s="1564"/>
      <c r="T188" s="1564"/>
      <c r="U188" s="1564">
        <f t="shared" ref="U188:AA188" si="100">SUM(U181:U187)</f>
        <v>-90.030769230769565</v>
      </c>
      <c r="V188" s="1564">
        <f t="shared" si="100"/>
        <v>7.4798941798948135</v>
      </c>
      <c r="W188" s="1564">
        <f t="shared" si="100"/>
        <v>1098.8337662337665</v>
      </c>
      <c r="X188" s="1564">
        <f t="shared" si="100"/>
        <v>-357.23766233766241</v>
      </c>
      <c r="Y188" s="1564">
        <f t="shared" si="100"/>
        <v>408.13258845437593</v>
      </c>
      <c r="Z188" s="1564">
        <f t="shared" si="100"/>
        <v>346.2349181308208</v>
      </c>
      <c r="AA188" s="1564">
        <f t="shared" si="100"/>
        <v>-341.92110890104436</v>
      </c>
      <c r="AB188" s="1564">
        <f t="shared" ref="AB188:AI188" si="101">SUM(AB181:AB187)</f>
        <v>65.272768361581782</v>
      </c>
      <c r="AC188" s="1564">
        <f t="shared" si="101"/>
        <v>709.60418032786856</v>
      </c>
      <c r="AD188" s="1564">
        <f t="shared" si="101"/>
        <v>555.48541688379362</v>
      </c>
      <c r="AE188" s="1564">
        <f ca="1">SUM(AE181:AE187)</f>
        <v>442.33123325285084</v>
      </c>
      <c r="AF188" s="1564">
        <f t="shared" ca="1" si="101"/>
        <v>589.56982158976166</v>
      </c>
      <c r="AG188" s="1564">
        <f t="shared" ca="1" si="101"/>
        <v>598.08399913311905</v>
      </c>
      <c r="AH188" s="1564">
        <f t="shared" ca="1" si="101"/>
        <v>595.54856203867337</v>
      </c>
      <c r="AI188" s="1564">
        <f t="shared" ca="1" si="101"/>
        <v>599.62911044077362</v>
      </c>
      <c r="AJ188" s="1564">
        <f t="shared" ref="AJ188:AN188" ca="1" si="102">SUM(AJ181:AJ187)</f>
        <v>603.22000100618709</v>
      </c>
      <c r="AK188" s="1564">
        <f t="shared" ca="1" si="102"/>
        <v>602.56611705705097</v>
      </c>
      <c r="AL188" s="1564">
        <f t="shared" ca="1" si="102"/>
        <v>604.06280061264101</v>
      </c>
      <c r="AM188" s="1564">
        <f t="shared" ca="1" si="102"/>
        <v>594.88976711144983</v>
      </c>
      <c r="AN188" s="1564">
        <f t="shared" ca="1" si="102"/>
        <v>585.09607859991468</v>
      </c>
    </row>
    <row r="189" spans="2:40" ht="15.75">
      <c r="B189" s="1565"/>
      <c r="C189" s="1562"/>
      <c r="D189" s="1562"/>
      <c r="E189" s="1562"/>
      <c r="F189" s="1562"/>
      <c r="G189" s="1562"/>
      <c r="H189" s="1562"/>
      <c r="I189" s="1562"/>
      <c r="J189" s="1562"/>
      <c r="K189" s="1562"/>
      <c r="L189" s="1562"/>
      <c r="M189" s="1562"/>
      <c r="N189" s="1562"/>
      <c r="O189" s="1562"/>
      <c r="P189" s="1562"/>
      <c r="Q189" s="1562"/>
      <c r="R189" s="1562"/>
      <c r="S189" s="1562"/>
      <c r="T189" s="1562"/>
      <c r="U189" s="1562"/>
      <c r="V189" s="1562"/>
      <c r="W189" s="1562"/>
      <c r="X189" s="1562"/>
      <c r="Y189" s="1562"/>
      <c r="Z189" s="1562"/>
      <c r="AA189" s="1562"/>
      <c r="AB189" s="1562"/>
      <c r="AC189" s="1562"/>
      <c r="AD189" s="1562"/>
      <c r="AE189" s="1562"/>
      <c r="AF189" s="1562"/>
      <c r="AG189" s="1562"/>
      <c r="AH189" s="1562"/>
      <c r="AI189" s="1562"/>
      <c r="AJ189" s="1562"/>
      <c r="AK189" s="1562"/>
      <c r="AL189" s="1562"/>
      <c r="AM189" s="1562"/>
      <c r="AN189" s="1562"/>
    </row>
    <row r="190" spans="2:40" ht="15.75">
      <c r="B190" s="1561" t="s">
        <v>2384</v>
      </c>
      <c r="C190" s="1562"/>
      <c r="D190" s="1562"/>
      <c r="E190" s="1562"/>
      <c r="F190" s="1562"/>
      <c r="G190" s="1562"/>
      <c r="H190" s="1562"/>
      <c r="I190" s="1562"/>
      <c r="J190" s="1562"/>
      <c r="K190" s="1562"/>
      <c r="L190" s="1562"/>
      <c r="M190" s="1562"/>
      <c r="N190" s="1562"/>
      <c r="O190" s="1562"/>
      <c r="P190" s="1562"/>
      <c r="Q190" s="1562"/>
      <c r="R190" s="1562"/>
      <c r="S190" s="1562"/>
      <c r="T190" s="1562"/>
      <c r="U190" s="1562">
        <f>Valuation!L27</f>
        <v>-371.26790450928377</v>
      </c>
      <c r="V190" s="1562">
        <f>Valuation!M27</f>
        <v>-369.15343915343919</v>
      </c>
      <c r="W190" s="1562">
        <f>Valuation!N27</f>
        <v>-422.85714285714283</v>
      </c>
      <c r="X190" s="1562">
        <f>Valuation!O27</f>
        <v>-457.70389610389617</v>
      </c>
      <c r="Y190" s="1562">
        <f>Valuation!P27</f>
        <v>-259.97206703910615</v>
      </c>
      <c r="Z190" s="1562">
        <f>Valuation!Q27</f>
        <v>-587.51263792218867</v>
      </c>
      <c r="AA190" s="1562">
        <f>Valuation!R27</f>
        <v>-457.79214321233223</v>
      </c>
      <c r="AB190" s="1562">
        <f>Valuation!S27</f>
        <v>-268.44677966101693</v>
      </c>
      <c r="AC190" s="1562">
        <f>Valuation!T27</f>
        <v>-256.56672131147542</v>
      </c>
      <c r="AD190" s="1562">
        <f>Valuation!U27</f>
        <v>-215.75226680562793</v>
      </c>
      <c r="AE190" s="1562">
        <f ca="1">Valuation!V27</f>
        <v>-283.60765510733631</v>
      </c>
      <c r="AF190" s="1562">
        <f ca="1">Valuation!W27</f>
        <v>-260.59383469383926</v>
      </c>
      <c r="AG190" s="1562">
        <f ca="1">Valuation!X27</f>
        <v>-255.37726004357498</v>
      </c>
      <c r="AH190" s="1562">
        <f ca="1">Valuation!Y27</f>
        <v>-249.37625369206037</v>
      </c>
      <c r="AI190" s="1562">
        <f ca="1">Valuation!Z27</f>
        <v>-235.62511579973585</v>
      </c>
      <c r="AJ190" s="1562">
        <f ca="1">Valuation!AA27</f>
        <v>-226.93528099939712</v>
      </c>
      <c r="AK190" s="1562">
        <f ca="1">Valuation!AB27</f>
        <v>-219.21923611098262</v>
      </c>
      <c r="AL190" s="1562">
        <f ca="1">Valuation!AC27</f>
        <v>-212.79503434199188</v>
      </c>
      <c r="AM190" s="1562">
        <f ca="1">Valuation!AD27</f>
        <v>-208.04470901246151</v>
      </c>
      <c r="AN190" s="1562">
        <f ca="1">Valuation!AE27</f>
        <v>-198.47968684682388</v>
      </c>
    </row>
    <row r="191" spans="2:40" ht="15.75">
      <c r="B191" s="1561" t="s">
        <v>2385</v>
      </c>
      <c r="C191" s="1562"/>
      <c r="D191" s="1562"/>
      <c r="E191" s="1562"/>
      <c r="F191" s="1562"/>
      <c r="G191" s="1562"/>
      <c r="H191" s="1562"/>
      <c r="I191" s="1562"/>
      <c r="J191" s="1562"/>
      <c r="K191" s="1562"/>
      <c r="L191" s="1562"/>
      <c r="M191" s="1562"/>
      <c r="N191" s="1562"/>
      <c r="O191" s="1562"/>
      <c r="P191" s="1562"/>
      <c r="Q191" s="1562"/>
      <c r="R191" s="1562"/>
      <c r="S191" s="1562"/>
      <c r="T191" s="1562"/>
      <c r="U191" s="1562">
        <f>Valuation!L28</f>
        <v>0</v>
      </c>
      <c r="V191" s="1562">
        <f>Valuation!M28</f>
        <v>0</v>
      </c>
      <c r="W191" s="1562">
        <f>Valuation!N28</f>
        <v>0</v>
      </c>
      <c r="X191" s="1562">
        <f>Valuation!O28</f>
        <v>-31.168831168831169</v>
      </c>
      <c r="Y191" s="1562">
        <f>Valuation!P28</f>
        <v>-9.6834264432029791</v>
      </c>
      <c r="Z191" s="1562">
        <f>Valuation!Q28</f>
        <v>-10.647988738982443</v>
      </c>
      <c r="AA191" s="1562">
        <f>Valuation!R28</f>
        <v>-12.381899552461462</v>
      </c>
      <c r="AB191" s="1562">
        <f>Valuation!S28</f>
        <v>-75.98881355932204</v>
      </c>
      <c r="AC191" s="1562">
        <f>Valuation!T28</f>
        <v>-69.235846994535521</v>
      </c>
      <c r="AD191" s="1562">
        <f>Valuation!U28</f>
        <v>-78.213496612819185</v>
      </c>
      <c r="AE191" s="1562">
        <f>Valuation!V28</f>
        <v>-89.026461848545949</v>
      </c>
      <c r="AF191" s="1562">
        <f>Valuation!W28</f>
        <v>-89.8992702980415</v>
      </c>
      <c r="AG191" s="1562">
        <f>Valuation!X28</f>
        <v>-90.780635693120345</v>
      </c>
      <c r="AH191" s="1562">
        <f>Valuation!Y28</f>
        <v>-91.670641925405846</v>
      </c>
      <c r="AI191" s="1562">
        <f>Valuation!Z28</f>
        <v>-92.569373708988252</v>
      </c>
      <c r="AJ191" s="1562">
        <f>Valuation!AA28</f>
        <v>-93.476916588488137</v>
      </c>
      <c r="AK191" s="1562">
        <f>Valuation!AB28</f>
        <v>-94.393356947198811</v>
      </c>
      <c r="AL191" s="1562">
        <f>Valuation!AC28</f>
        <v>-95.318782015308599</v>
      </c>
      <c r="AM191" s="1562">
        <f>Valuation!AD28</f>
        <v>-96.253279878203784</v>
      </c>
      <c r="AN191" s="1562">
        <f>Valuation!AE28</f>
        <v>-97.196939484852834</v>
      </c>
    </row>
    <row r="192" spans="2:40" ht="15.75">
      <c r="B192" s="1566" t="s">
        <v>2386</v>
      </c>
      <c r="C192" s="1567"/>
      <c r="D192" s="1567"/>
      <c r="E192" s="1567"/>
      <c r="F192" s="1567"/>
      <c r="G192" s="1567"/>
      <c r="H192" s="1567"/>
      <c r="I192" s="1567"/>
      <c r="J192" s="1567"/>
      <c r="K192" s="1567"/>
      <c r="L192" s="1567"/>
      <c r="M192" s="1567"/>
      <c r="N192" s="1567"/>
      <c r="O192" s="1567"/>
      <c r="P192" s="1567"/>
      <c r="Q192" s="1567"/>
      <c r="R192" s="1567"/>
      <c r="S192" s="1567"/>
      <c r="T192" s="1567"/>
      <c r="U192" s="1567">
        <f t="shared" ref="U192:AA192" si="103">SUM(U188:U191)</f>
        <v>-461.29867374005335</v>
      </c>
      <c r="V192" s="1567">
        <f t="shared" si="103"/>
        <v>-361.67354497354438</v>
      </c>
      <c r="W192" s="1567">
        <f t="shared" si="103"/>
        <v>675.97662337662359</v>
      </c>
      <c r="X192" s="1567">
        <f t="shared" si="103"/>
        <v>-846.11038961038969</v>
      </c>
      <c r="Y192" s="1567">
        <f t="shared" si="103"/>
        <v>138.47709497206679</v>
      </c>
      <c r="Z192" s="1567">
        <f t="shared" si="103"/>
        <v>-251.92570853035031</v>
      </c>
      <c r="AA192" s="1567">
        <f t="shared" si="103"/>
        <v>-812.0951516658381</v>
      </c>
      <c r="AB192" s="1567">
        <f t="shared" ref="AB192:AI192" si="104">SUM(AB188:AB191)</f>
        <v>-279.16282485875718</v>
      </c>
      <c r="AC192" s="1567">
        <f t="shared" si="104"/>
        <v>383.80161202185764</v>
      </c>
      <c r="AD192" s="1567">
        <f t="shared" si="104"/>
        <v>261.51965346534649</v>
      </c>
      <c r="AE192" s="1567">
        <f t="shared" ca="1" si="104"/>
        <v>69.697116296968574</v>
      </c>
      <c r="AF192" s="1567">
        <f t="shared" ca="1" si="104"/>
        <v>239.0767165978809</v>
      </c>
      <c r="AG192" s="1567">
        <f t="shared" ca="1" si="104"/>
        <v>251.92610339642368</v>
      </c>
      <c r="AH192" s="1567">
        <f t="shared" ca="1" si="104"/>
        <v>254.50166642120718</v>
      </c>
      <c r="AI192" s="1567">
        <f t="shared" ca="1" si="104"/>
        <v>271.43462093204948</v>
      </c>
      <c r="AJ192" s="1567">
        <f t="shared" ref="AJ192:AN192" ca="1" si="105">SUM(AJ188:AJ191)</f>
        <v>282.80780341830177</v>
      </c>
      <c r="AK192" s="1567">
        <f t="shared" ca="1" si="105"/>
        <v>288.95352399886957</v>
      </c>
      <c r="AL192" s="1567">
        <f t="shared" ca="1" si="105"/>
        <v>295.94898425534052</v>
      </c>
      <c r="AM192" s="1567">
        <f t="shared" ca="1" si="105"/>
        <v>290.59177822078453</v>
      </c>
      <c r="AN192" s="1567">
        <f t="shared" ca="1" si="105"/>
        <v>289.41945226823793</v>
      </c>
    </row>
    <row r="193" spans="2:43" ht="15.75">
      <c r="B193" s="1561"/>
      <c r="C193" s="1568"/>
      <c r="D193" s="1568"/>
      <c r="E193" s="1568"/>
      <c r="F193" s="1568"/>
      <c r="G193" s="1568"/>
      <c r="H193" s="1568"/>
      <c r="I193" s="1568"/>
      <c r="J193" s="1568"/>
      <c r="K193" s="1568"/>
      <c r="L193" s="1568"/>
      <c r="M193" s="1568"/>
      <c r="N193" s="1568"/>
      <c r="O193" s="1568"/>
      <c r="P193" s="1568"/>
      <c r="Q193" s="1568"/>
      <c r="R193" s="1568"/>
      <c r="S193" s="1568"/>
      <c r="T193" s="1568"/>
      <c r="U193" s="1568"/>
      <c r="V193" s="1568"/>
      <c r="W193" s="1568"/>
      <c r="X193" s="1568"/>
      <c r="Y193" s="1568"/>
      <c r="Z193" s="1568"/>
      <c r="AA193" s="1568"/>
      <c r="AB193" s="1568"/>
      <c r="AC193" s="1568"/>
      <c r="AD193" s="1568"/>
      <c r="AE193" s="1568"/>
      <c r="AF193" s="1568"/>
      <c r="AG193" s="1568"/>
      <c r="AH193" s="1568"/>
      <c r="AI193" s="1568"/>
      <c r="AJ193" s="1568"/>
      <c r="AK193" s="1568"/>
      <c r="AL193" s="1568"/>
      <c r="AM193" s="1568"/>
      <c r="AN193" s="1568"/>
    </row>
    <row r="194" spans="2:43" ht="15.75">
      <c r="B194" s="1561" t="s">
        <v>2387</v>
      </c>
      <c r="C194" s="1568"/>
      <c r="D194" s="1568"/>
      <c r="E194" s="1568"/>
      <c r="F194" s="1568"/>
      <c r="G194" s="1568"/>
      <c r="H194" s="1568"/>
      <c r="I194" s="1568"/>
      <c r="J194" s="1568"/>
      <c r="K194" s="1568"/>
      <c r="L194" s="1568"/>
      <c r="M194" s="1568"/>
      <c r="N194" s="1568"/>
      <c r="O194" s="1568"/>
      <c r="P194" s="1568"/>
      <c r="Q194" s="1568"/>
      <c r="R194" s="1568"/>
      <c r="S194" s="1568"/>
      <c r="T194" s="1568"/>
      <c r="U194" s="1568">
        <f>Valuation!L30</f>
        <v>-147.90450928381961</v>
      </c>
      <c r="V194" s="1568">
        <f>Valuation!M30</f>
        <v>-87.248677248677254</v>
      </c>
      <c r="W194" s="1568">
        <f>Valuation!N30</f>
        <v>-404.10389610389609</v>
      </c>
      <c r="X194" s="1568">
        <f>Valuation!O30</f>
        <v>-109.45454545454545</v>
      </c>
      <c r="Y194" s="1568">
        <f>Valuation!P30</f>
        <v>-57.495344506517689</v>
      </c>
      <c r="Z194" s="1568">
        <f>Valuation!Q30</f>
        <v>-93.633286161218763</v>
      </c>
      <c r="AA194" s="1568">
        <f>Valuation!R30</f>
        <v>-89.855793137742424</v>
      </c>
      <c r="AB194" s="1568">
        <f>Valuation!S30</f>
        <v>-105.63316384180791</v>
      </c>
      <c r="AC194" s="1568">
        <f>Valuation!T30</f>
        <v>-75.347213114754098</v>
      </c>
      <c r="AD194" s="1568">
        <f>Valuation!U30</f>
        <v>-67.071912454403332</v>
      </c>
      <c r="AE194" s="1568">
        <f>Valuation!V30</f>
        <v>-74.120932911027936</v>
      </c>
      <c r="AF194" s="1568">
        <f>Valuation!W30</f>
        <v>-72.667581285321504</v>
      </c>
      <c r="AG194" s="1568">
        <f>Valuation!X30</f>
        <v>-71.2427267503152</v>
      </c>
      <c r="AH194" s="1568">
        <f>Valuation!Y30</f>
        <v>-69.845810539524706</v>
      </c>
      <c r="AI194" s="1568">
        <f>Valuation!Z30</f>
        <v>-68.476284842671276</v>
      </c>
      <c r="AJ194" s="1568">
        <f>Valuation!AA30</f>
        <v>-67.133612590854185</v>
      </c>
      <c r="AK194" s="1568">
        <f>Valuation!AB30</f>
        <v>-65.817267245935483</v>
      </c>
      <c r="AL194" s="1568">
        <f>Valuation!AC30</f>
        <v>-64.526732594054394</v>
      </c>
      <c r="AM194" s="1568">
        <f>Valuation!AD30</f>
        <v>-63.261502543190581</v>
      </c>
      <c r="AN194" s="1568">
        <f>Valuation!AE30</f>
        <v>-62.021080924696648</v>
      </c>
    </row>
    <row r="195" spans="2:43" ht="15.75">
      <c r="B195" s="1569" t="s">
        <v>154</v>
      </c>
      <c r="C195" s="1564"/>
      <c r="D195" s="1564"/>
      <c r="E195" s="1564"/>
      <c r="F195" s="1564"/>
      <c r="G195" s="1564"/>
      <c r="H195" s="1564"/>
      <c r="I195" s="1564"/>
      <c r="J195" s="1564"/>
      <c r="K195" s="1564"/>
      <c r="L195" s="1564"/>
      <c r="M195" s="1564"/>
      <c r="N195" s="1564"/>
      <c r="O195" s="1564"/>
      <c r="P195" s="1564"/>
      <c r="Q195" s="1564"/>
      <c r="R195" s="1564"/>
      <c r="S195" s="1564"/>
      <c r="T195" s="1564"/>
      <c r="U195" s="1564">
        <f t="shared" ref="U195:AA195" si="106">SUM(U192:U194)</f>
        <v>-609.20318302387295</v>
      </c>
      <c r="V195" s="1564">
        <f t="shared" si="106"/>
        <v>-448.92222222222165</v>
      </c>
      <c r="W195" s="1564">
        <f t="shared" si="106"/>
        <v>271.8727272727275</v>
      </c>
      <c r="X195" s="1564">
        <f t="shared" si="106"/>
        <v>-955.56493506493518</v>
      </c>
      <c r="Y195" s="1564">
        <f t="shared" si="106"/>
        <v>80.981750465549112</v>
      </c>
      <c r="Z195" s="1564">
        <f t="shared" si="106"/>
        <v>-345.55899469156907</v>
      </c>
      <c r="AA195" s="1564">
        <f t="shared" si="106"/>
        <v>-901.95094480358057</v>
      </c>
      <c r="AB195" s="1564">
        <f t="shared" ref="AB195:AI195" si="107">SUM(AB192:AB194)</f>
        <v>-384.79598870056509</v>
      </c>
      <c r="AC195" s="1564">
        <f t="shared" si="107"/>
        <v>308.45439890710355</v>
      </c>
      <c r="AD195" s="1564">
        <f t="shared" si="107"/>
        <v>194.44774101094316</v>
      </c>
      <c r="AE195" s="1564">
        <f t="shared" ca="1" si="107"/>
        <v>-4.423816614059362</v>
      </c>
      <c r="AF195" s="1564">
        <f t="shared" ca="1" si="107"/>
        <v>166.40913531255939</v>
      </c>
      <c r="AG195" s="1564">
        <f t="shared" ca="1" si="107"/>
        <v>180.68337664610848</v>
      </c>
      <c r="AH195" s="1564">
        <f t="shared" ca="1" si="107"/>
        <v>184.65585588168247</v>
      </c>
      <c r="AI195" s="1564">
        <f t="shared" ca="1" si="107"/>
        <v>202.95833608937821</v>
      </c>
      <c r="AJ195" s="1564">
        <f t="shared" ref="AJ195:AN195" ca="1" si="108">SUM(AJ192:AJ194)</f>
        <v>215.6741908274476</v>
      </c>
      <c r="AK195" s="1564">
        <f t="shared" ca="1" si="108"/>
        <v>223.13625675293409</v>
      </c>
      <c r="AL195" s="1564">
        <f t="shared" ca="1" si="108"/>
        <v>231.42225166128611</v>
      </c>
      <c r="AM195" s="1564">
        <f t="shared" ca="1" si="108"/>
        <v>227.33027567759396</v>
      </c>
      <c r="AN195" s="1564">
        <f t="shared" ca="1" si="108"/>
        <v>227.39837134354127</v>
      </c>
      <c r="AQ195" s="161">
        <f ca="1">(AG195/AD195)^(1/3)-1</f>
        <v>-2.4175393022896063E-2</v>
      </c>
    </row>
    <row r="196" spans="2:43" ht="15.75">
      <c r="B196" s="1561"/>
      <c r="C196" s="1570"/>
      <c r="D196" s="1570"/>
      <c r="E196" s="1570"/>
      <c r="F196" s="1570"/>
      <c r="G196" s="1570"/>
      <c r="H196" s="1570"/>
      <c r="I196" s="1570"/>
      <c r="J196" s="1570"/>
      <c r="K196" s="1570"/>
      <c r="L196" s="1570"/>
      <c r="M196" s="1570"/>
      <c r="N196" s="1570"/>
      <c r="O196" s="1570"/>
      <c r="P196" s="1570"/>
      <c r="Q196" s="1570"/>
      <c r="R196" s="1570"/>
      <c r="S196" s="1570"/>
      <c r="T196" s="1570"/>
      <c r="U196" s="1570"/>
      <c r="V196" s="1570"/>
      <c r="W196" s="1570"/>
      <c r="X196" s="1570"/>
      <c r="Y196" s="1570"/>
      <c r="Z196" s="1570"/>
      <c r="AA196" s="1570"/>
      <c r="AB196" s="1570"/>
      <c r="AC196" s="1570"/>
      <c r="AD196" s="1570"/>
      <c r="AE196" s="1570"/>
      <c r="AF196" s="1570"/>
      <c r="AG196" s="1570"/>
      <c r="AH196" s="1570"/>
      <c r="AI196" s="1570"/>
      <c r="AJ196" s="1570"/>
      <c r="AK196" s="1570"/>
      <c r="AL196" s="1570"/>
      <c r="AM196" s="1570"/>
      <c r="AN196" s="1570"/>
    </row>
    <row r="197" spans="2:43" ht="15.75">
      <c r="B197" s="1561" t="s">
        <v>2170</v>
      </c>
      <c r="C197" s="1568"/>
      <c r="D197" s="1568"/>
      <c r="E197" s="1568"/>
      <c r="F197" s="1568"/>
      <c r="G197" s="1568"/>
      <c r="H197" s="1568"/>
      <c r="I197" s="1568"/>
      <c r="J197" s="1568"/>
      <c r="K197" s="1568"/>
      <c r="L197" s="1568"/>
      <c r="M197" s="1568"/>
      <c r="N197" s="1568"/>
      <c r="O197" s="1568"/>
      <c r="P197" s="1568"/>
      <c r="Q197" s="1568"/>
      <c r="R197" s="1568"/>
      <c r="S197" s="1568"/>
      <c r="T197" s="1568"/>
      <c r="U197" s="1568">
        <f>-Master!O212/Valuation!L19</f>
        <v>57.516912648212376</v>
      </c>
      <c r="V197" s="1568">
        <f>-Master!P212/Valuation!M19</f>
        <v>57.364751503640392</v>
      </c>
      <c r="W197" s="1568">
        <f>-Master!Q212/Valuation!N19</f>
        <v>55.525609945609929</v>
      </c>
      <c r="X197" s="1568">
        <f>-Master!R212/Valuation!O19</f>
        <v>0</v>
      </c>
      <c r="Y197" s="1568">
        <f>-Master!S212/Valuation!P19</f>
        <v>49.761079676582455</v>
      </c>
      <c r="Z197" s="1568">
        <f>-Master!T212/Valuation!Q19</f>
        <v>51.928269230250905</v>
      </c>
      <c r="AA197" s="1568">
        <f>-Master!U212/Valuation!R19</f>
        <v>52.381501740427652</v>
      </c>
      <c r="AB197" s="1568">
        <f>-Master!V212/Valuation!S19</f>
        <v>58.042598870056501</v>
      </c>
      <c r="AC197" s="1568">
        <f>-Master!W212/Valuation!T19</f>
        <v>55.680546448087426</v>
      </c>
      <c r="AD197" s="1568">
        <f>-Master!X212/Valuation!U19</f>
        <v>53.098176133402809</v>
      </c>
      <c r="AE197" s="1568">
        <f>-Master!Y212/Valuation!V19</f>
        <v>0</v>
      </c>
      <c r="AF197" s="1568">
        <f>-Master!Z212/Valuation!W19</f>
        <v>70.238471107358833</v>
      </c>
      <c r="AG197" s="1568">
        <f>-Master!AA212/Valuation!X19</f>
        <v>68.861246183685125</v>
      </c>
      <c r="AH197" s="1568">
        <f>-Master!AB212/Valuation!Y19</f>
        <v>67.511025670279537</v>
      </c>
      <c r="AI197" s="1568">
        <f>-Master!AC212/Valuation!Z19</f>
        <v>66.187280068901501</v>
      </c>
      <c r="AJ197" s="1568">
        <f>-Master!AD212/Valuation!AA19</f>
        <v>64.889490263628929</v>
      </c>
      <c r="AK197" s="1568">
        <f>-Master!AE212/Valuation!AB19</f>
        <v>63.617147317283262</v>
      </c>
      <c r="AL197" s="1568">
        <f>-Master!AF212/Valuation!AC19</f>
        <v>62.36975227184633</v>
      </c>
      <c r="AM197" s="1568">
        <f>-Master!AG212/Valuation!AD19</f>
        <v>61.146815952790526</v>
      </c>
      <c r="AN197" s="1568">
        <f>-Master!AH212/Valuation!AE19</f>
        <v>59.947858777245614</v>
      </c>
    </row>
    <row r="198" spans="2:43" ht="15.75">
      <c r="B198" s="1561" t="s">
        <v>394</v>
      </c>
      <c r="C198" s="1568"/>
      <c r="D198" s="1568"/>
      <c r="E198" s="1568"/>
      <c r="F198" s="1568"/>
      <c r="G198" s="1568"/>
      <c r="H198" s="1568"/>
      <c r="I198" s="1568"/>
      <c r="J198" s="1568"/>
      <c r="K198" s="1568"/>
      <c r="L198" s="1568"/>
      <c r="M198" s="1568"/>
      <c r="N198" s="1568"/>
      <c r="O198" s="1568"/>
      <c r="P198" s="1568"/>
      <c r="Q198" s="1568"/>
      <c r="R198" s="1568"/>
      <c r="S198" s="1568"/>
      <c r="T198" s="1568"/>
      <c r="U198" s="1568">
        <f>-Master!O214/Valuation!L19</f>
        <v>0</v>
      </c>
      <c r="V198" s="1568">
        <f>-Master!P214/Valuation!M19</f>
        <v>0</v>
      </c>
      <c r="W198" s="1568">
        <f>-Master!Q214/Valuation!N19</f>
        <v>0</v>
      </c>
      <c r="X198" s="1568">
        <f>-Master!R214/Valuation!O19</f>
        <v>71.040071040071041</v>
      </c>
      <c r="Y198" s="1568">
        <f>-Master!S214/Valuation!P19</f>
        <v>-18.383230673733465</v>
      </c>
      <c r="Z198" s="1568">
        <f>-Master!T214/Valuation!Q19</f>
        <v>63.000600038979456</v>
      </c>
      <c r="AA198" s="1568">
        <f>-Master!U214/Valuation!R19</f>
        <v>31.277971158627551</v>
      </c>
      <c r="AB198" s="1568">
        <f>-Master!V214/Valuation!S19</f>
        <v>67.631751412429381</v>
      </c>
      <c r="AC198" s="1568">
        <f>-Master!W214/Valuation!T19</f>
        <v>0</v>
      </c>
      <c r="AD198" s="1568">
        <f>-Master!X214/Valuation!U19</f>
        <v>0</v>
      </c>
      <c r="AE198" s="1568">
        <f>-Master!Y214/Valuation!V19</f>
        <v>0</v>
      </c>
      <c r="AF198" s="1568">
        <f>-Master!Z214/Valuation!W19</f>
        <v>0</v>
      </c>
      <c r="AG198" s="1568">
        <f>-Master!AA214/Valuation!X19</f>
        <v>0</v>
      </c>
      <c r="AH198" s="1568">
        <f>-Master!AB214/Valuation!Y19</f>
        <v>0</v>
      </c>
      <c r="AI198" s="1568">
        <f>-Master!AC214/Valuation!Z19</f>
        <v>0</v>
      </c>
      <c r="AJ198" s="1568">
        <f>-Master!AD214/Valuation!AA19</f>
        <v>0</v>
      </c>
      <c r="AK198" s="1568">
        <f>-Master!AE214/Valuation!AB19</f>
        <v>0</v>
      </c>
      <c r="AL198" s="1568">
        <f>-Master!AF214/Valuation!AC19</f>
        <v>0</v>
      </c>
      <c r="AM198" s="1568">
        <f>-Master!AG214/Valuation!AD19</f>
        <v>0</v>
      </c>
      <c r="AN198" s="1568">
        <f>-Master!AH214/Valuation!AE19</f>
        <v>0</v>
      </c>
    </row>
    <row r="201" spans="2:43">
      <c r="U201" s="1726">
        <f>Valuation!L39</f>
        <v>1695.2378974358974</v>
      </c>
      <c r="V201" s="1726">
        <f>Valuation!M39</f>
        <v>1695.2378974358974</v>
      </c>
      <c r="W201" s="1726">
        <f>Valuation!N39</f>
        <v>1694.5372017094016</v>
      </c>
      <c r="X201" s="1726">
        <f>Valuation!O39</f>
        <v>1674.5030136752137</v>
      </c>
      <c r="Y201" s="1726">
        <f>Valuation!P39</f>
        <v>1680.0124153846155</v>
      </c>
      <c r="Z201" s="1726">
        <f>Valuation!Q39</f>
        <v>1680.0124153846155</v>
      </c>
      <c r="AA201" s="1726">
        <f>Valuation!R39</f>
        <v>1680.0124153846155</v>
      </c>
      <c r="AB201" s="1726">
        <v>1559.6019692307693</v>
      </c>
      <c r="AC201" s="1726">
        <v>1559.6019692307693</v>
      </c>
      <c r="AD201" s="1726">
        <v>1559.6019692307693</v>
      </c>
      <c r="AE201" s="1726">
        <v>1559.6019692307693</v>
      </c>
      <c r="AF201" s="1726">
        <v>1559.6019692307693</v>
      </c>
      <c r="AG201" s="1726">
        <v>1559.6019692307693</v>
      </c>
      <c r="AH201" s="1726">
        <v>1559.6019692307693</v>
      </c>
      <c r="AI201" s="1726">
        <v>1559.6019692307693</v>
      </c>
      <c r="AJ201" s="1726">
        <v>1559.6019692307693</v>
      </c>
      <c r="AK201" s="1726">
        <v>1559.6019692307693</v>
      </c>
      <c r="AL201" s="1726">
        <v>1559.6019692307693</v>
      </c>
      <c r="AM201" s="1726">
        <v>1559.6019692307693</v>
      </c>
      <c r="AN201" s="1726">
        <v>1559.6019692307693</v>
      </c>
    </row>
    <row r="202" spans="2:43">
      <c r="U202" s="677">
        <f>U195/U201</f>
        <v>-0.35936147011892117</v>
      </c>
      <c r="V202" s="677">
        <f t="shared" ref="V202:AA202" si="109">V195/V201</f>
        <v>-0.26481370131073118</v>
      </c>
      <c r="W202" s="677">
        <f t="shared" si="109"/>
        <v>0.16044069554712043</v>
      </c>
      <c r="X202" s="677">
        <f t="shared" si="109"/>
        <v>-0.57065584669665836</v>
      </c>
      <c r="Y202" s="677">
        <f t="shared" si="109"/>
        <v>4.8203066670200453E-2</v>
      </c>
      <c r="Z202" s="677">
        <f t="shared" si="109"/>
        <v>-0.20568835773303387</v>
      </c>
      <c r="AA202" s="677">
        <f t="shared" si="109"/>
        <v>-0.53687159484300084</v>
      </c>
      <c r="AB202" s="677">
        <v>-0.24246513117171137</v>
      </c>
      <c r="AC202" s="677">
        <v>0.20075426462978466</v>
      </c>
      <c r="AD202" s="677">
        <v>6.7494505446591066E-2</v>
      </c>
      <c r="AE202" s="677">
        <v>0.122962817873793</v>
      </c>
      <c r="AF202" s="677">
        <v>0.15339093406226506</v>
      </c>
      <c r="AG202" s="677">
        <v>0.19938700723408517</v>
      </c>
      <c r="AH202" s="677">
        <v>0.21832687223346031</v>
      </c>
      <c r="AI202" s="677">
        <v>0.24049565056754743</v>
      </c>
      <c r="AJ202" s="677">
        <v>0.24049565056754743</v>
      </c>
      <c r="AK202" s="677">
        <v>0.24049565056754743</v>
      </c>
      <c r="AL202" s="677">
        <v>0.24049565056754743</v>
      </c>
      <c r="AM202" s="677">
        <v>0.24049565056754743</v>
      </c>
      <c r="AN202" s="677">
        <v>0.24049565056754743</v>
      </c>
    </row>
    <row r="204" spans="2:43">
      <c r="AD204" s="2125">
        <f>AD195/Valuation!U10</f>
        <v>0.12478732540355313</v>
      </c>
      <c r="AE204" s="2125">
        <f ca="1">AE195/Valuation!V10</f>
        <v>-2.8389954055223639E-3</v>
      </c>
      <c r="AF204" s="2125">
        <f ca="1">AF195/Valuation!W10</f>
        <v>8.5992161290297978E-2</v>
      </c>
      <c r="AG204" s="2125">
        <f ca="1">AG195/Valuation!X10</f>
        <v>9.3368396139098073E-2</v>
      </c>
      <c r="AH204" s="2125">
        <f ca="1">AH195/Valuation!Y10</f>
        <v>9.5421180528045352E-2</v>
      </c>
      <c r="AI204" s="2125">
        <f ca="1">AI195/Valuation!Z10</f>
        <v>0.10487901363965021</v>
      </c>
      <c r="AJ204" s="2125">
        <f ca="1">AJ195/Valuation!AA10</f>
        <v>0.11144994996190354</v>
      </c>
      <c r="AK204" s="2125">
        <f ca="1">AK195/Valuation!AB10</f>
        <v>0.11530598331859414</v>
      </c>
      <c r="AL204" s="2125">
        <f ca="1">AL195/Valuation!AC10</f>
        <v>0.11958778316853194</v>
      </c>
      <c r="AM204" s="2125">
        <f ca="1">AM195/Valuation!AD10</f>
        <v>0.11747324866220953</v>
      </c>
      <c r="AN204" s="2125">
        <f ca="1">AN195/Valuation!AE10</f>
        <v>0.11750843719605002</v>
      </c>
    </row>
  </sheetData>
  <pageMargins left="0.7" right="0.7" top="0.75" bottom="0.75" header="0.3" footer="0.3"/>
  <pageSetup paperSize="9" scale="27"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pageSetUpPr fitToPage="1"/>
  </sheetPr>
  <dimension ref="A1:BE381"/>
  <sheetViews>
    <sheetView zoomScale="72" zoomScaleNormal="72" workbookViewId="0">
      <pane xSplit="2" ySplit="2" topLeftCell="D39" activePane="bottomRight" state="frozen"/>
      <selection pane="topRight" activeCell="C1" sqref="C1"/>
      <selection pane="bottomLeft" activeCell="A3" sqref="A3"/>
      <selection pane="bottomRight" activeCell="O52" sqref="O52:S52"/>
    </sheetView>
  </sheetViews>
  <sheetFormatPr defaultRowHeight="15"/>
  <cols>
    <col min="1" max="1" width="3" customWidth="1"/>
    <col min="2" max="2" width="36.42578125" customWidth="1"/>
    <col min="3" max="5" width="11" customWidth="1"/>
    <col min="6" max="19" width="9.5703125" customWidth="1"/>
    <col min="20" max="29" width="9.42578125" bestFit="1" customWidth="1"/>
    <col min="31" max="31" width="9.42578125" bestFit="1" customWidth="1"/>
    <col min="32" max="32" width="11" bestFit="1" customWidth="1"/>
    <col min="33" max="34" width="10.85546875" bestFit="1" customWidth="1"/>
    <col min="35" max="47" width="9.42578125" bestFit="1" customWidth="1"/>
  </cols>
  <sheetData>
    <row r="1" spans="1:57">
      <c r="A1" s="685"/>
      <c r="B1" s="685"/>
      <c r="C1" s="685"/>
      <c r="D1" s="685"/>
      <c r="E1" s="685"/>
      <c r="F1" s="685"/>
      <c r="G1" s="685"/>
      <c r="H1" s="685"/>
      <c r="I1" s="685"/>
      <c r="J1" s="685"/>
      <c r="K1" s="685"/>
      <c r="L1" s="685"/>
      <c r="M1" s="685"/>
      <c r="N1" s="685"/>
      <c r="O1" s="685"/>
      <c r="P1" s="685"/>
      <c r="Q1" s="685"/>
      <c r="R1" s="685"/>
      <c r="S1" s="685"/>
      <c r="T1" s="685"/>
      <c r="U1" s="685"/>
      <c r="V1" s="685"/>
      <c r="W1" s="685"/>
      <c r="X1" s="685"/>
      <c r="Y1" s="685"/>
      <c r="Z1" s="685"/>
      <c r="AA1" s="685"/>
      <c r="AB1" s="685"/>
      <c r="AC1" s="685"/>
      <c r="AD1" s="685"/>
      <c r="AE1" s="685"/>
      <c r="AF1" s="685"/>
      <c r="AG1" s="685"/>
      <c r="AH1" s="685"/>
      <c r="AI1" s="685"/>
      <c r="AJ1" s="685"/>
      <c r="AK1" s="685"/>
      <c r="AL1" s="685"/>
      <c r="AM1" s="685"/>
      <c r="AN1" s="685"/>
      <c r="AO1" s="685"/>
      <c r="AP1" s="685"/>
      <c r="AQ1" s="685"/>
      <c r="AR1" s="685"/>
      <c r="AS1" s="685"/>
      <c r="AT1" s="685"/>
      <c r="AU1" s="685"/>
      <c r="AV1" s="685"/>
      <c r="AW1" s="685"/>
      <c r="AX1" s="685"/>
      <c r="AY1" s="685"/>
      <c r="AZ1" s="685"/>
      <c r="BA1" s="685"/>
      <c r="BB1" s="685"/>
      <c r="BC1" s="685"/>
      <c r="BD1" s="685"/>
      <c r="BE1" s="685"/>
    </row>
    <row r="2" spans="1:57">
      <c r="A2" s="685"/>
      <c r="B2" s="804" t="s">
        <v>1288</v>
      </c>
      <c r="C2" s="804">
        <v>2009</v>
      </c>
      <c r="D2" s="804">
        <f>C2+1</f>
        <v>2010</v>
      </c>
      <c r="E2" s="804">
        <f t="shared" ref="E2:L2" si="0">D2+1</f>
        <v>2011</v>
      </c>
      <c r="F2" s="804">
        <f t="shared" si="0"/>
        <v>2012</v>
      </c>
      <c r="G2" s="804">
        <f t="shared" si="0"/>
        <v>2013</v>
      </c>
      <c r="H2" s="804">
        <f t="shared" si="0"/>
        <v>2014</v>
      </c>
      <c r="I2" s="804">
        <f t="shared" si="0"/>
        <v>2015</v>
      </c>
      <c r="J2" s="804">
        <f t="shared" si="0"/>
        <v>2016</v>
      </c>
      <c r="K2" s="804">
        <f t="shared" si="0"/>
        <v>2017</v>
      </c>
      <c r="L2" s="804">
        <f t="shared" si="0"/>
        <v>2018</v>
      </c>
      <c r="M2" s="804">
        <f t="shared" ref="M2:AC2" si="1">L2+1</f>
        <v>2019</v>
      </c>
      <c r="N2" s="804">
        <f t="shared" si="1"/>
        <v>2020</v>
      </c>
      <c r="O2" s="804">
        <f t="shared" si="1"/>
        <v>2021</v>
      </c>
      <c r="P2" s="804">
        <f t="shared" si="1"/>
        <v>2022</v>
      </c>
      <c r="Q2" s="804">
        <f t="shared" si="1"/>
        <v>2023</v>
      </c>
      <c r="R2" s="804">
        <f t="shared" si="1"/>
        <v>2024</v>
      </c>
      <c r="S2" s="804">
        <f t="shared" si="1"/>
        <v>2025</v>
      </c>
      <c r="T2" s="804">
        <f t="shared" si="1"/>
        <v>2026</v>
      </c>
      <c r="U2" s="804">
        <f t="shared" si="1"/>
        <v>2027</v>
      </c>
      <c r="V2" s="804">
        <f t="shared" si="1"/>
        <v>2028</v>
      </c>
      <c r="W2" s="804">
        <f t="shared" si="1"/>
        <v>2029</v>
      </c>
      <c r="X2" s="804">
        <f t="shared" si="1"/>
        <v>2030</v>
      </c>
      <c r="Y2" s="804">
        <f t="shared" si="1"/>
        <v>2031</v>
      </c>
      <c r="Z2" s="804">
        <f t="shared" si="1"/>
        <v>2032</v>
      </c>
      <c r="AA2" s="804">
        <f t="shared" si="1"/>
        <v>2033</v>
      </c>
      <c r="AB2" s="804">
        <f t="shared" si="1"/>
        <v>2034</v>
      </c>
      <c r="AC2" s="804">
        <f t="shared" si="1"/>
        <v>2035</v>
      </c>
      <c r="AD2" s="685"/>
      <c r="AE2" s="685"/>
      <c r="AF2" s="685"/>
      <c r="AG2" s="685"/>
      <c r="AH2" s="685"/>
      <c r="AI2" s="685"/>
      <c r="AJ2" s="685"/>
      <c r="AK2" s="685"/>
      <c r="AL2" s="685"/>
      <c r="AM2" s="685"/>
      <c r="AN2" s="685"/>
      <c r="AO2" s="685"/>
      <c r="AP2" s="685"/>
      <c r="AQ2" s="685"/>
      <c r="AR2" s="685"/>
      <c r="AS2" s="685"/>
      <c r="AT2" s="685"/>
      <c r="AU2" s="685"/>
      <c r="AV2" s="685"/>
      <c r="AW2" s="685"/>
      <c r="AX2" s="685"/>
      <c r="AY2" s="685"/>
      <c r="AZ2" s="685"/>
      <c r="BA2" s="685"/>
      <c r="BB2" s="685"/>
      <c r="BC2" s="685"/>
      <c r="BD2" s="685"/>
      <c r="BE2" s="685"/>
    </row>
    <row r="3" spans="1:57">
      <c r="A3" s="685"/>
      <c r="B3" s="685" t="str">
        <f>Master!B13</f>
        <v>Advertising</v>
      </c>
      <c r="C3" s="910">
        <f>Master!H13</f>
        <v>21397</v>
      </c>
      <c r="D3" s="910">
        <f>Master!I13</f>
        <v>22747</v>
      </c>
      <c r="E3" s="910">
        <f>Master!J13</f>
        <v>23206.1</v>
      </c>
      <c r="F3" s="910">
        <f>Master!K13</f>
        <v>23935.9</v>
      </c>
      <c r="G3" s="910">
        <f>Master!L13</f>
        <v>24865.5</v>
      </c>
      <c r="H3" s="910">
        <f>Master!M13</f>
        <v>25465.699999999997</v>
      </c>
      <c r="I3" s="910">
        <f>Master!N13</f>
        <v>23029.3</v>
      </c>
      <c r="J3" s="910">
        <f>Master!O13</f>
        <v>23223.200000000001</v>
      </c>
      <c r="K3" s="910">
        <f>Master!P13</f>
        <v>20719</v>
      </c>
      <c r="L3" s="910">
        <f>Master!Q13</f>
        <v>21155</v>
      </c>
      <c r="M3" s="910">
        <f>Master!R13</f>
        <v>19420.400000000001</v>
      </c>
      <c r="N3" s="910">
        <f>Master!S13</f>
        <v>16349.8</v>
      </c>
      <c r="O3" s="910">
        <f>Master!T13</f>
        <v>19162</v>
      </c>
      <c r="P3" s="795">
        <f t="shared" ref="P3:AC3" si="2">(1+P4)*O3</f>
        <v>20120.100000000002</v>
      </c>
      <c r="Q3" s="795">
        <f t="shared" si="2"/>
        <v>20924.904000000002</v>
      </c>
      <c r="R3" s="795">
        <f t="shared" si="2"/>
        <v>20924.904000000002</v>
      </c>
      <c r="S3" s="795">
        <f t="shared" si="2"/>
        <v>20924.904000000002</v>
      </c>
      <c r="T3" s="795">
        <f t="shared" si="2"/>
        <v>20924.904000000002</v>
      </c>
      <c r="U3" s="795">
        <f t="shared" si="2"/>
        <v>20924.904000000002</v>
      </c>
      <c r="V3" s="795">
        <f t="shared" si="2"/>
        <v>20924.904000000002</v>
      </c>
      <c r="W3" s="795">
        <f t="shared" si="2"/>
        <v>20924.904000000002</v>
      </c>
      <c r="X3" s="795">
        <f t="shared" si="2"/>
        <v>20924.904000000002</v>
      </c>
      <c r="Y3" s="795">
        <f t="shared" si="2"/>
        <v>20924.904000000002</v>
      </c>
      <c r="Z3" s="795">
        <f t="shared" si="2"/>
        <v>20924.904000000002</v>
      </c>
      <c r="AA3" s="795">
        <f t="shared" si="2"/>
        <v>20924.904000000002</v>
      </c>
      <c r="AB3" s="795">
        <f t="shared" si="2"/>
        <v>20924.904000000002</v>
      </c>
      <c r="AC3" s="795">
        <f t="shared" si="2"/>
        <v>20924.904000000002</v>
      </c>
      <c r="AD3" s="685"/>
      <c r="AE3" s="685"/>
      <c r="AF3" s="685"/>
      <c r="AG3" s="685"/>
      <c r="AH3" s="685"/>
      <c r="AI3" s="685"/>
      <c r="AJ3" s="685"/>
      <c r="AK3" s="685"/>
      <c r="AL3" s="685"/>
      <c r="AM3" s="685"/>
      <c r="AN3" s="685"/>
      <c r="AO3" s="685"/>
      <c r="AP3" s="685"/>
      <c r="AQ3" s="685"/>
      <c r="AR3" s="685"/>
      <c r="AS3" s="685"/>
      <c r="AT3" s="685"/>
      <c r="AU3" s="685"/>
      <c r="AV3" s="685"/>
      <c r="AW3" s="685"/>
      <c r="AX3" s="685"/>
      <c r="AY3" s="685"/>
      <c r="AZ3" s="685"/>
      <c r="BA3" s="685"/>
      <c r="BB3" s="685"/>
      <c r="BC3" s="685"/>
      <c r="BD3" s="685"/>
      <c r="BE3" s="685"/>
    </row>
    <row r="4" spans="1:57">
      <c r="A4" s="685"/>
      <c r="B4" s="685" t="s">
        <v>192</v>
      </c>
      <c r="C4" s="795"/>
      <c r="D4" s="814">
        <f t="shared" ref="D4:O4" si="3">D3/C3-1</f>
        <v>6.3092956956582791E-2</v>
      </c>
      <c r="E4" s="814">
        <f t="shared" si="3"/>
        <v>2.0182881259066976E-2</v>
      </c>
      <c r="F4" s="814">
        <f t="shared" si="3"/>
        <v>3.144862773150181E-2</v>
      </c>
      <c r="G4" s="814">
        <f t="shared" si="3"/>
        <v>3.8837060649484556E-2</v>
      </c>
      <c r="H4" s="814">
        <f t="shared" si="3"/>
        <v>2.4137861695924023E-2</v>
      </c>
      <c r="I4" s="814">
        <f t="shared" si="3"/>
        <v>-9.5673788664752957E-2</v>
      </c>
      <c r="J4" s="814">
        <f t="shared" si="3"/>
        <v>8.4197088057389458E-3</v>
      </c>
      <c r="K4" s="814">
        <f t="shared" si="3"/>
        <v>-0.10783182334906471</v>
      </c>
      <c r="L4" s="814">
        <f t="shared" si="3"/>
        <v>2.1043486654761301E-2</v>
      </c>
      <c r="M4" s="814">
        <f t="shared" si="3"/>
        <v>-8.1994800283620828E-2</v>
      </c>
      <c r="N4" s="814">
        <f t="shared" si="3"/>
        <v>-0.15811208831949919</v>
      </c>
      <c r="O4" s="814">
        <f t="shared" si="3"/>
        <v>0.17200210400127225</v>
      </c>
      <c r="P4" s="933">
        <v>0.05</v>
      </c>
      <c r="Q4" s="933">
        <v>0.04</v>
      </c>
      <c r="R4" s="933">
        <v>0</v>
      </c>
      <c r="S4" s="933">
        <v>0</v>
      </c>
      <c r="T4" s="933">
        <v>0</v>
      </c>
      <c r="U4" s="933">
        <v>0</v>
      </c>
      <c r="V4" s="933">
        <v>0</v>
      </c>
      <c r="W4" s="933">
        <v>0</v>
      </c>
      <c r="X4" s="933">
        <v>0</v>
      </c>
      <c r="Y4" s="933">
        <v>0</v>
      </c>
      <c r="Z4" s="933">
        <v>0</v>
      </c>
      <c r="AA4" s="933">
        <v>0</v>
      </c>
      <c r="AB4" s="933">
        <v>0</v>
      </c>
      <c r="AC4" s="933">
        <v>0</v>
      </c>
      <c r="AD4" s="685"/>
      <c r="AE4" s="685"/>
      <c r="AF4" s="685"/>
      <c r="AG4" s="685"/>
      <c r="AH4" s="685">
        <f t="shared" ref="AH4:AU4" si="4">F2</f>
        <v>2012</v>
      </c>
      <c r="AI4" s="685">
        <f t="shared" si="4"/>
        <v>2013</v>
      </c>
      <c r="AJ4" s="685">
        <f t="shared" si="4"/>
        <v>2014</v>
      </c>
      <c r="AK4" s="685">
        <f t="shared" si="4"/>
        <v>2015</v>
      </c>
      <c r="AL4" s="685">
        <f t="shared" si="4"/>
        <v>2016</v>
      </c>
      <c r="AM4" s="685">
        <f t="shared" si="4"/>
        <v>2017</v>
      </c>
      <c r="AN4" s="685">
        <f t="shared" si="4"/>
        <v>2018</v>
      </c>
      <c r="AO4" s="685">
        <f t="shared" si="4"/>
        <v>2019</v>
      </c>
      <c r="AP4" s="685">
        <f t="shared" si="4"/>
        <v>2020</v>
      </c>
      <c r="AQ4" s="685">
        <f t="shared" si="4"/>
        <v>2021</v>
      </c>
      <c r="AR4" s="685">
        <f t="shared" si="4"/>
        <v>2022</v>
      </c>
      <c r="AS4" s="685">
        <f t="shared" si="4"/>
        <v>2023</v>
      </c>
      <c r="AT4" s="685">
        <f t="shared" si="4"/>
        <v>2024</v>
      </c>
      <c r="AU4" s="685">
        <f t="shared" si="4"/>
        <v>2025</v>
      </c>
      <c r="AV4" s="685"/>
      <c r="AW4" s="685"/>
      <c r="AX4" s="685"/>
      <c r="AY4" s="685"/>
      <c r="AZ4" s="685"/>
      <c r="BA4" s="685"/>
      <c r="BB4" s="685"/>
      <c r="BC4" s="685"/>
      <c r="BD4" s="685"/>
      <c r="BE4" s="685"/>
    </row>
    <row r="5" spans="1:57">
      <c r="A5" s="685"/>
      <c r="B5" s="685"/>
      <c r="C5" s="795"/>
      <c r="D5" s="789"/>
      <c r="E5" s="789"/>
      <c r="F5" s="789"/>
      <c r="G5" s="789"/>
      <c r="H5" s="789"/>
      <c r="I5" s="789"/>
      <c r="J5" s="789"/>
      <c r="K5" s="789"/>
      <c r="L5" s="789"/>
      <c r="M5" s="789"/>
      <c r="N5" s="789"/>
      <c r="O5" s="789"/>
      <c r="P5" s="789"/>
      <c r="Q5" s="789"/>
      <c r="R5" s="789"/>
      <c r="S5" s="789"/>
      <c r="T5" s="789"/>
      <c r="U5" s="789"/>
      <c r="V5" s="789"/>
      <c r="W5" s="789"/>
      <c r="X5" s="789"/>
      <c r="Y5" s="789"/>
      <c r="Z5" s="789"/>
      <c r="AA5" s="789"/>
      <c r="AB5" s="789"/>
      <c r="AC5" s="789"/>
      <c r="AD5" s="685"/>
      <c r="AE5" s="685"/>
      <c r="AF5" s="685"/>
      <c r="AG5" s="685" t="s">
        <v>2388</v>
      </c>
      <c r="AH5" s="814">
        <f t="shared" ref="AH5:AU5" si="5">F4</f>
        <v>3.144862773150181E-2</v>
      </c>
      <c r="AI5" s="814">
        <f t="shared" si="5"/>
        <v>3.8837060649484556E-2</v>
      </c>
      <c r="AJ5" s="814">
        <f t="shared" si="5"/>
        <v>2.4137861695924023E-2</v>
      </c>
      <c r="AK5" s="814">
        <f t="shared" si="5"/>
        <v>-9.5673788664752957E-2</v>
      </c>
      <c r="AL5" s="814">
        <f t="shared" si="5"/>
        <v>8.4197088057389458E-3</v>
      </c>
      <c r="AM5" s="814">
        <f t="shared" si="5"/>
        <v>-0.10783182334906471</v>
      </c>
      <c r="AN5" s="814">
        <f t="shared" si="5"/>
        <v>2.1043486654761301E-2</v>
      </c>
      <c r="AO5" s="814">
        <f t="shared" si="5"/>
        <v>-8.1994800283620828E-2</v>
      </c>
      <c r="AP5" s="814">
        <f t="shared" si="5"/>
        <v>-0.15811208831949919</v>
      </c>
      <c r="AQ5" s="814">
        <f t="shared" si="5"/>
        <v>0.17200210400127225</v>
      </c>
      <c r="AR5" s="814">
        <f t="shared" si="5"/>
        <v>0.05</v>
      </c>
      <c r="AS5" s="814">
        <f t="shared" si="5"/>
        <v>0.04</v>
      </c>
      <c r="AT5" s="814">
        <f t="shared" si="5"/>
        <v>0</v>
      </c>
      <c r="AU5" s="814">
        <f t="shared" si="5"/>
        <v>0</v>
      </c>
      <c r="AV5" s="685"/>
      <c r="AW5" s="685"/>
      <c r="AX5" s="685"/>
      <c r="AY5" s="685"/>
      <c r="AZ5" s="685"/>
      <c r="BA5" s="685"/>
      <c r="BB5" s="685"/>
      <c r="BC5" s="685"/>
      <c r="BD5" s="685"/>
      <c r="BE5" s="685"/>
    </row>
    <row r="6" spans="1:57">
      <c r="A6" s="685"/>
      <c r="B6" s="685" t="s">
        <v>2389</v>
      </c>
      <c r="C6" s="933">
        <v>-4.7E-2</v>
      </c>
      <c r="D6" s="933">
        <v>5.0999999999999997E-2</v>
      </c>
      <c r="E6" s="933">
        <v>0.04</v>
      </c>
      <c r="F6" s="933">
        <v>0.04</v>
      </c>
      <c r="G6" s="933">
        <v>1.4E-2</v>
      </c>
      <c r="H6" s="933">
        <v>2.1000000000000001E-2</v>
      </c>
      <c r="I6" s="933">
        <v>2.5000000000000001E-2</v>
      </c>
      <c r="J6" s="933">
        <v>3.5000000000000003E-2</v>
      </c>
      <c r="K6" s="933">
        <v>0.03</v>
      </c>
      <c r="L6" s="933">
        <v>0.03</v>
      </c>
      <c r="M6" s="933">
        <v>0.03</v>
      </c>
      <c r="N6" s="933">
        <v>-0.105</v>
      </c>
      <c r="O6" s="933">
        <v>3.3000000000000002E-2</v>
      </c>
      <c r="P6" s="933">
        <v>2.5000000000000001E-2</v>
      </c>
      <c r="Q6" s="933">
        <v>2.5000000000000001E-2</v>
      </c>
      <c r="R6" s="933">
        <v>0.04</v>
      </c>
      <c r="S6" s="933">
        <v>0.04</v>
      </c>
      <c r="T6" s="933">
        <v>0.04</v>
      </c>
      <c r="U6" s="933">
        <v>0.04</v>
      </c>
      <c r="V6" s="933">
        <v>0.04</v>
      </c>
      <c r="W6" s="933">
        <v>0.04</v>
      </c>
      <c r="X6" s="933">
        <v>0.04</v>
      </c>
      <c r="Y6" s="933">
        <v>0.04</v>
      </c>
      <c r="Z6" s="933">
        <v>0.04</v>
      </c>
      <c r="AA6" s="933">
        <v>0.04</v>
      </c>
      <c r="AB6" s="933">
        <v>0.04</v>
      </c>
      <c r="AC6" s="933">
        <v>0.04</v>
      </c>
      <c r="AD6" s="685"/>
      <c r="AE6" s="685"/>
      <c r="AF6" s="685"/>
      <c r="AG6" s="685" t="s">
        <v>2390</v>
      </c>
      <c r="AH6" s="814">
        <f t="shared" ref="AH6:AU6" si="6">F29</f>
        <v>0.46865344848558571</v>
      </c>
      <c r="AI6" s="814">
        <f t="shared" si="6"/>
        <v>0.46025203574153029</v>
      </c>
      <c r="AJ6" s="814">
        <f t="shared" si="6"/>
        <v>0.44551610211052511</v>
      </c>
      <c r="AK6" s="814">
        <f t="shared" si="6"/>
        <v>0.42420906077605547</v>
      </c>
      <c r="AL6" s="814">
        <f t="shared" si="6"/>
        <v>0.4019985444316333</v>
      </c>
      <c r="AM6" s="814">
        <f t="shared" si="6"/>
        <v>0.37723916816189662</v>
      </c>
      <c r="AN6" s="814">
        <f t="shared" si="6"/>
        <v>0.38070708235625778</v>
      </c>
      <c r="AO6" s="814">
        <f t="shared" si="6"/>
        <v>0.36303649332957805</v>
      </c>
      <c r="AP6" s="814">
        <f t="shared" si="6"/>
        <v>0.37901450341888204</v>
      </c>
      <c r="AQ6" s="814">
        <f t="shared" si="6"/>
        <v>0.3833687145086932</v>
      </c>
      <c r="AR6" s="814">
        <f t="shared" si="6"/>
        <v>0.37</v>
      </c>
      <c r="AS6" s="814">
        <f t="shared" si="6"/>
        <v>0.36</v>
      </c>
      <c r="AT6" s="814">
        <f t="shared" si="6"/>
        <v>0.34499999999999997</v>
      </c>
      <c r="AU6" s="814">
        <f t="shared" si="6"/>
        <v>0.33</v>
      </c>
      <c r="AV6" s="685"/>
      <c r="AW6" s="685"/>
      <c r="AX6" s="685"/>
      <c r="AY6" s="685"/>
      <c r="AZ6" s="685"/>
      <c r="BA6" s="685"/>
      <c r="BB6" s="685"/>
      <c r="BC6" s="685"/>
      <c r="BD6" s="685"/>
      <c r="BE6" s="685"/>
    </row>
    <row r="7" spans="1:57">
      <c r="A7" s="685"/>
      <c r="B7" s="685" t="s">
        <v>2391</v>
      </c>
      <c r="C7" s="933">
        <v>4.1599999999999998E-2</v>
      </c>
      <c r="D7" s="933">
        <v>3.4099999999999998E-2</v>
      </c>
      <c r="E7" s="933">
        <v>3.4000000000000002E-2</v>
      </c>
      <c r="F7" s="933">
        <v>4.1099999999999998E-2</v>
      </c>
      <c r="G7" s="933">
        <v>3.8100000000000002E-2</v>
      </c>
      <c r="H7" s="933">
        <v>4.02E-2</v>
      </c>
      <c r="I7" s="933">
        <v>0.03</v>
      </c>
      <c r="J7" s="933">
        <f t="shared" ref="J7:AC7" si="7">I7-0.1%</f>
        <v>2.8999999999999998E-2</v>
      </c>
      <c r="K7" s="933">
        <f t="shared" si="7"/>
        <v>2.7999999999999997E-2</v>
      </c>
      <c r="L7" s="933">
        <f t="shared" si="7"/>
        <v>2.6999999999999996E-2</v>
      </c>
      <c r="M7" s="933">
        <f t="shared" si="7"/>
        <v>2.5999999999999995E-2</v>
      </c>
      <c r="N7" s="933">
        <f t="shared" si="7"/>
        <v>2.4999999999999994E-2</v>
      </c>
      <c r="O7" s="933">
        <f t="shared" si="7"/>
        <v>2.3999999999999994E-2</v>
      </c>
      <c r="P7" s="933">
        <f t="shared" si="7"/>
        <v>2.2999999999999993E-2</v>
      </c>
      <c r="Q7" s="933">
        <f t="shared" si="7"/>
        <v>2.1999999999999992E-2</v>
      </c>
      <c r="R7" s="933">
        <f t="shared" si="7"/>
        <v>2.0999999999999991E-2</v>
      </c>
      <c r="S7" s="933">
        <f t="shared" si="7"/>
        <v>1.999999999999999E-2</v>
      </c>
      <c r="T7" s="933">
        <f t="shared" si="7"/>
        <v>1.8999999999999989E-2</v>
      </c>
      <c r="U7" s="933">
        <f t="shared" si="7"/>
        <v>1.7999999999999988E-2</v>
      </c>
      <c r="V7" s="933">
        <f t="shared" si="7"/>
        <v>1.6999999999999987E-2</v>
      </c>
      <c r="W7" s="933">
        <f t="shared" si="7"/>
        <v>1.5999999999999986E-2</v>
      </c>
      <c r="X7" s="933">
        <f t="shared" si="7"/>
        <v>1.4999999999999986E-2</v>
      </c>
      <c r="Y7" s="933">
        <f t="shared" si="7"/>
        <v>1.3999999999999985E-2</v>
      </c>
      <c r="Z7" s="933">
        <f t="shared" si="7"/>
        <v>1.2999999999999984E-2</v>
      </c>
      <c r="AA7" s="933">
        <f t="shared" si="7"/>
        <v>1.1999999999999983E-2</v>
      </c>
      <c r="AB7" s="933">
        <f t="shared" si="7"/>
        <v>1.0999999999999982E-2</v>
      </c>
      <c r="AC7" s="933">
        <f t="shared" si="7"/>
        <v>9.9999999999999811E-3</v>
      </c>
      <c r="AD7" s="685"/>
      <c r="AE7" s="685"/>
      <c r="AF7" s="685"/>
      <c r="AG7" s="685"/>
      <c r="AH7" s="685"/>
      <c r="AI7" s="685"/>
      <c r="AJ7" s="685"/>
      <c r="AK7" s="685"/>
      <c r="AL7" s="685"/>
      <c r="AM7" s="685"/>
      <c r="AN7" s="685"/>
      <c r="AO7" s="685"/>
      <c r="AP7" s="685"/>
      <c r="AQ7" s="685"/>
      <c r="AR7" s="685"/>
      <c r="AS7" s="685"/>
      <c r="AT7" s="685"/>
      <c r="AU7" s="685"/>
      <c r="AV7" s="685"/>
      <c r="AW7" s="685"/>
      <c r="AX7" s="685"/>
      <c r="AY7" s="685"/>
      <c r="AZ7" s="685"/>
      <c r="BA7" s="685"/>
      <c r="BB7" s="685"/>
      <c r="BC7" s="685"/>
      <c r="BD7" s="685"/>
      <c r="BE7" s="685"/>
    </row>
    <row r="8" spans="1:57">
      <c r="A8" s="685"/>
      <c r="B8" s="685" t="s">
        <v>1153</v>
      </c>
      <c r="C8" s="814">
        <f>C6+C7</f>
        <v>-5.400000000000002E-3</v>
      </c>
      <c r="D8" s="814">
        <f t="shared" ref="D8:L8" si="8">D6+D7</f>
        <v>8.5099999999999995E-2</v>
      </c>
      <c r="E8" s="814">
        <f t="shared" si="8"/>
        <v>7.400000000000001E-2</v>
      </c>
      <c r="F8" s="814">
        <f t="shared" si="8"/>
        <v>8.1100000000000005E-2</v>
      </c>
      <c r="G8" s="814">
        <f>G6+G7</f>
        <v>5.21E-2</v>
      </c>
      <c r="H8" s="814">
        <f t="shared" si="8"/>
        <v>6.1200000000000004E-2</v>
      </c>
      <c r="I8" s="814">
        <f t="shared" si="8"/>
        <v>5.5E-2</v>
      </c>
      <c r="J8" s="814">
        <f t="shared" si="8"/>
        <v>6.4000000000000001E-2</v>
      </c>
      <c r="K8" s="814">
        <f t="shared" si="8"/>
        <v>5.7999999999999996E-2</v>
      </c>
      <c r="L8" s="814">
        <f t="shared" si="8"/>
        <v>5.6999999999999995E-2</v>
      </c>
      <c r="M8" s="814">
        <f t="shared" ref="M8:S8" si="9">M6+M7</f>
        <v>5.5999999999999994E-2</v>
      </c>
      <c r="N8" s="814">
        <f t="shared" si="9"/>
        <v>-0.08</v>
      </c>
      <c r="O8" s="814">
        <f t="shared" si="9"/>
        <v>5.6999999999999995E-2</v>
      </c>
      <c r="P8" s="814">
        <f t="shared" si="9"/>
        <v>4.7999999999999994E-2</v>
      </c>
      <c r="Q8" s="814">
        <f t="shared" si="9"/>
        <v>4.6999999999999993E-2</v>
      </c>
      <c r="R8" s="814">
        <f t="shared" si="9"/>
        <v>6.0999999999999992E-2</v>
      </c>
      <c r="S8" s="814">
        <f t="shared" si="9"/>
        <v>5.9999999999999991E-2</v>
      </c>
      <c r="T8" s="814">
        <f t="shared" ref="T8:AC8" si="10">T6+T7</f>
        <v>5.899999999999999E-2</v>
      </c>
      <c r="U8" s="814">
        <f t="shared" si="10"/>
        <v>5.7999999999999989E-2</v>
      </c>
      <c r="V8" s="814">
        <f t="shared" si="10"/>
        <v>5.6999999999999988E-2</v>
      </c>
      <c r="W8" s="814">
        <f t="shared" si="10"/>
        <v>5.5999999999999987E-2</v>
      </c>
      <c r="X8" s="814">
        <f t="shared" si="10"/>
        <v>5.4999999999999986E-2</v>
      </c>
      <c r="Y8" s="814">
        <f t="shared" si="10"/>
        <v>5.3999999999999986E-2</v>
      </c>
      <c r="Z8" s="814">
        <f t="shared" si="10"/>
        <v>5.2999999999999985E-2</v>
      </c>
      <c r="AA8" s="814">
        <f t="shared" si="10"/>
        <v>5.1999999999999984E-2</v>
      </c>
      <c r="AB8" s="814">
        <f t="shared" si="10"/>
        <v>5.0999999999999983E-2</v>
      </c>
      <c r="AC8" s="814">
        <f t="shared" si="10"/>
        <v>4.9999999999999982E-2</v>
      </c>
      <c r="AD8" s="685"/>
      <c r="AE8" s="685"/>
      <c r="AF8" s="685"/>
      <c r="AG8" s="685"/>
      <c r="AH8" s="685"/>
      <c r="AI8" s="685"/>
      <c r="AJ8" s="685"/>
      <c r="AK8" s="685"/>
      <c r="AL8" s="685"/>
      <c r="AM8" s="685"/>
      <c r="AN8" s="685"/>
      <c r="AO8" s="685"/>
      <c r="AP8" s="685"/>
      <c r="AQ8" s="685"/>
      <c r="AR8" s="685"/>
      <c r="AS8" s="685"/>
      <c r="AT8" s="685"/>
      <c r="AU8" s="685"/>
      <c r="AV8" s="685"/>
      <c r="AW8" s="685"/>
      <c r="AX8" s="685"/>
      <c r="AY8" s="685"/>
      <c r="AZ8" s="685"/>
      <c r="BA8" s="685"/>
      <c r="BB8" s="685"/>
      <c r="BC8" s="685"/>
      <c r="BD8" s="685"/>
      <c r="BE8" s="685"/>
    </row>
    <row r="9" spans="1:57">
      <c r="A9" s="685"/>
      <c r="B9" s="685" t="s">
        <v>2392</v>
      </c>
      <c r="C9" s="795"/>
      <c r="D9" s="790">
        <f t="shared" ref="D9:L9" si="11">D4/D8</f>
        <v>0.74139784907852868</v>
      </c>
      <c r="E9" s="790">
        <f t="shared" si="11"/>
        <v>0.27274163863604017</v>
      </c>
      <c r="F9" s="790">
        <f t="shared" si="11"/>
        <v>0.38777592763873991</v>
      </c>
      <c r="G9" s="790">
        <f t="shared" si="11"/>
        <v>0.74543302590181493</v>
      </c>
      <c r="H9" s="790">
        <f t="shared" si="11"/>
        <v>0.3944095048353598</v>
      </c>
      <c r="I9" s="790">
        <f t="shared" si="11"/>
        <v>-1.7395234302682356</v>
      </c>
      <c r="J9" s="790">
        <f t="shared" si="11"/>
        <v>0.13155795008967103</v>
      </c>
      <c r="K9" s="790">
        <f t="shared" si="11"/>
        <v>-1.8591693680873227</v>
      </c>
      <c r="L9" s="790">
        <f t="shared" si="11"/>
        <v>0.3691839763993211</v>
      </c>
      <c r="M9" s="790">
        <f t="shared" ref="M9:S9" si="12">M4/M8</f>
        <v>-1.4641928622075149</v>
      </c>
      <c r="N9" s="790">
        <f t="shared" si="12"/>
        <v>1.9764011039937399</v>
      </c>
      <c r="O9" s="790">
        <f t="shared" si="12"/>
        <v>3.017580771952145</v>
      </c>
      <c r="P9" s="790">
        <f t="shared" si="12"/>
        <v>1.041666666666667</v>
      </c>
      <c r="Q9" s="790">
        <f t="shared" si="12"/>
        <v>0.85106382978723416</v>
      </c>
      <c r="R9" s="790">
        <f t="shared" si="12"/>
        <v>0</v>
      </c>
      <c r="S9" s="790">
        <f t="shared" si="12"/>
        <v>0</v>
      </c>
      <c r="T9" s="790">
        <f t="shared" ref="T9:AC9" si="13">T4/T8</f>
        <v>0</v>
      </c>
      <c r="U9" s="790">
        <f t="shared" si="13"/>
        <v>0</v>
      </c>
      <c r="V9" s="790">
        <f t="shared" si="13"/>
        <v>0</v>
      </c>
      <c r="W9" s="790">
        <f t="shared" si="13"/>
        <v>0</v>
      </c>
      <c r="X9" s="790">
        <f t="shared" si="13"/>
        <v>0</v>
      </c>
      <c r="Y9" s="790">
        <f t="shared" si="13"/>
        <v>0</v>
      </c>
      <c r="Z9" s="790">
        <f t="shared" si="13"/>
        <v>0</v>
      </c>
      <c r="AA9" s="790">
        <f t="shared" si="13"/>
        <v>0</v>
      </c>
      <c r="AB9" s="790">
        <f t="shared" si="13"/>
        <v>0</v>
      </c>
      <c r="AC9" s="790">
        <f t="shared" si="13"/>
        <v>0</v>
      </c>
      <c r="AD9" s="685"/>
      <c r="AE9" s="685"/>
      <c r="AF9" s="685"/>
      <c r="AG9" s="685"/>
      <c r="AH9" s="685"/>
      <c r="AI9" s="685"/>
      <c r="AJ9" s="685"/>
      <c r="AK9" s="685"/>
      <c r="AL9" s="685"/>
      <c r="AM9" s="685"/>
      <c r="AN9" s="685"/>
      <c r="AO9" s="685"/>
      <c r="AP9" s="685"/>
      <c r="AQ9" s="685"/>
      <c r="AR9" s="685"/>
      <c r="AS9" s="685"/>
      <c r="AT9" s="685"/>
      <c r="AU9" s="685"/>
      <c r="AV9" s="685"/>
      <c r="AW9" s="685"/>
      <c r="AX9" s="685"/>
      <c r="AY9" s="685"/>
      <c r="AZ9" s="685"/>
      <c r="BA9" s="685"/>
      <c r="BB9" s="685"/>
      <c r="BC9" s="685"/>
      <c r="BD9" s="685"/>
      <c r="BE9" s="685"/>
    </row>
    <row r="10" spans="1:57">
      <c r="A10" s="685"/>
      <c r="B10" s="685"/>
      <c r="C10" s="795"/>
      <c r="D10" s="795"/>
      <c r="E10" s="795"/>
      <c r="F10" s="795"/>
      <c r="G10" s="795"/>
      <c r="H10" s="814"/>
      <c r="I10" s="795"/>
      <c r="J10" s="789"/>
      <c r="K10" s="789"/>
      <c r="L10" s="795"/>
      <c r="M10" s="795"/>
      <c r="N10" s="795"/>
      <c r="O10" s="795"/>
      <c r="P10" s="795"/>
      <c r="Q10" s="795"/>
      <c r="R10" s="795"/>
      <c r="S10" s="795"/>
      <c r="T10" s="795"/>
      <c r="U10" s="795"/>
      <c r="V10" s="795"/>
      <c r="W10" s="795"/>
      <c r="X10" s="795"/>
      <c r="Y10" s="795"/>
      <c r="Z10" s="795"/>
      <c r="AA10" s="795"/>
      <c r="AB10" s="795"/>
      <c r="AC10" s="795"/>
      <c r="AD10" s="685"/>
      <c r="AE10" s="685"/>
      <c r="AF10" s="685"/>
      <c r="AG10" s="685"/>
      <c r="AH10" s="685"/>
      <c r="AI10" s="685"/>
      <c r="AJ10" s="685"/>
      <c r="AK10" s="685"/>
      <c r="AL10" s="685"/>
      <c r="AM10" s="685"/>
      <c r="AN10" s="685"/>
      <c r="AO10" s="685"/>
      <c r="AP10" s="685"/>
      <c r="AQ10" s="685"/>
      <c r="AR10" s="685"/>
      <c r="AS10" s="685"/>
      <c r="AT10" s="685"/>
      <c r="AU10" s="685"/>
      <c r="AV10" s="685"/>
      <c r="AW10" s="685"/>
      <c r="AX10" s="685"/>
      <c r="AY10" s="685"/>
      <c r="AZ10" s="685"/>
      <c r="BA10" s="685"/>
      <c r="BB10" s="685"/>
      <c r="BC10" s="685"/>
      <c r="BD10" s="685"/>
      <c r="BE10" s="685"/>
    </row>
    <row r="11" spans="1:57">
      <c r="A11" s="685"/>
      <c r="B11" s="685" t="str">
        <f>Master!B14</f>
        <v>Network Subscription Revenue</v>
      </c>
      <c r="C11" s="910">
        <f>Master!H14</f>
        <v>2201</v>
      </c>
      <c r="D11" s="910">
        <f>Master!I14</f>
        <v>2379</v>
      </c>
      <c r="E11" s="910">
        <f>Master!J14</f>
        <v>2590.7999999999997</v>
      </c>
      <c r="F11" s="910">
        <f>Master!K14</f>
        <v>3189.2000000000003</v>
      </c>
      <c r="G11" s="910">
        <f>Master!L14</f>
        <v>3265.5999999999995</v>
      </c>
      <c r="H11" s="910">
        <f>Master!M14</f>
        <v>2854.4</v>
      </c>
      <c r="I11" s="910">
        <f>Master!N14</f>
        <v>3595.4</v>
      </c>
      <c r="J11" s="910">
        <f>Master!O14</f>
        <v>4399.3</v>
      </c>
      <c r="K11" s="910">
        <f>Master!P14</f>
        <v>4058</v>
      </c>
      <c r="L11" s="910">
        <f>Master!Q14</f>
        <v>4841</v>
      </c>
      <c r="M11" s="910">
        <f>Master!R14</f>
        <v>4939</v>
      </c>
      <c r="N11" s="910">
        <f>Master!S14</f>
        <v>5466.2</v>
      </c>
      <c r="O11" s="910">
        <f>Master!T14</f>
        <v>5390.8</v>
      </c>
      <c r="P11" s="795">
        <f t="shared" ref="P11:X11" si="14">P47*P45</f>
        <v>5392.8086022533616</v>
      </c>
      <c r="Q11" s="795">
        <f t="shared" si="14"/>
        <v>5084.2873319644777</v>
      </c>
      <c r="R11" s="795">
        <f t="shared" si="14"/>
        <v>5096.1948119453364</v>
      </c>
      <c r="S11" s="795">
        <f t="shared" si="14"/>
        <v>5137.3817576476713</v>
      </c>
      <c r="T11" s="795">
        <f t="shared" si="14"/>
        <v>4898.9405087088162</v>
      </c>
      <c r="U11" s="795">
        <f t="shared" si="14"/>
        <v>4885.1943001822938</v>
      </c>
      <c r="V11" s="795">
        <f t="shared" si="14"/>
        <v>4871.93093706733</v>
      </c>
      <c r="W11" s="795">
        <f t="shared" si="14"/>
        <v>4859.1489756664068</v>
      </c>
      <c r="X11" s="795">
        <f t="shared" si="14"/>
        <v>4846.8470198895966</v>
      </c>
      <c r="Y11" s="795">
        <f>Y47*Y45</f>
        <v>4835.0237211035574</v>
      </c>
      <c r="Z11" s="795">
        <f>Z47*Z45</f>
        <v>4823.6777779852246</v>
      </c>
      <c r="AA11" s="795">
        <f>AA47*AA45</f>
        <v>4812.8079363801826</v>
      </c>
      <c r="AB11" s="795">
        <f>AB47*AB45</f>
        <v>4802.4129891657049</v>
      </c>
      <c r="AC11" s="795">
        <f>AC47*AC45</f>
        <v>4792.4917761184342</v>
      </c>
      <c r="AD11" s="685"/>
      <c r="AE11" s="795">
        <v>800</v>
      </c>
      <c r="AF11" s="685"/>
      <c r="AG11" s="685"/>
      <c r="AH11" s="685"/>
      <c r="AI11" s="685"/>
      <c r="AJ11" s="685"/>
      <c r="AK11" s="685"/>
      <c r="AL11" s="685"/>
      <c r="AM11" s="685"/>
      <c r="AN11" s="685"/>
      <c r="AO11" s="685"/>
      <c r="AP11" s="685"/>
      <c r="AQ11" s="685"/>
      <c r="AR11" s="685"/>
      <c r="AS11" s="685"/>
      <c r="AT11" s="685"/>
      <c r="AU11" s="685"/>
      <c r="AV11" s="685"/>
      <c r="AW11" s="685"/>
      <c r="AX11" s="685"/>
      <c r="AY11" s="685"/>
      <c r="AZ11" s="685"/>
      <c r="BA11" s="685"/>
      <c r="BB11" s="685"/>
      <c r="BC11" s="685"/>
      <c r="BD11" s="685"/>
      <c r="BE11" s="685"/>
    </row>
    <row r="12" spans="1:57">
      <c r="A12" s="685"/>
      <c r="B12" s="685" t="s">
        <v>192</v>
      </c>
      <c r="C12" s="795"/>
      <c r="D12" s="789">
        <f>D11/C11-1</f>
        <v>8.0872330758746003E-2</v>
      </c>
      <c r="E12" s="789">
        <f>E11/D11-1</f>
        <v>8.9029003783102079E-2</v>
      </c>
      <c r="F12" s="789">
        <f>F11/E11-1</f>
        <v>0.23097112860892421</v>
      </c>
      <c r="G12" s="789">
        <f t="shared" ref="G12:L12" si="15">G11/F11-1</f>
        <v>2.3955850997114947E-2</v>
      </c>
      <c r="H12" s="789">
        <f t="shared" si="15"/>
        <v>-0.12591866731994106</v>
      </c>
      <c r="I12" s="789">
        <f t="shared" si="15"/>
        <v>0.25959921524663687</v>
      </c>
      <c r="J12" s="789">
        <f t="shared" si="15"/>
        <v>0.22359125549313008</v>
      </c>
      <c r="K12" s="789">
        <f t="shared" si="15"/>
        <v>-7.7580524174300503E-2</v>
      </c>
      <c r="L12" s="789">
        <f t="shared" si="15"/>
        <v>0.19295219319862</v>
      </c>
      <c r="M12" s="789">
        <f t="shared" ref="M12:AC12" si="16">M11/L11-1</f>
        <v>2.0243751291055601E-2</v>
      </c>
      <c r="N12" s="789">
        <f t="shared" si="16"/>
        <v>0.1067422555173112</v>
      </c>
      <c r="O12" s="789">
        <f t="shared" si="16"/>
        <v>-1.3793860451501883E-2</v>
      </c>
      <c r="P12" s="789">
        <f t="shared" si="16"/>
        <v>3.7259817714652144E-4</v>
      </c>
      <c r="Q12" s="789">
        <f t="shared" si="16"/>
        <v>-5.7209757112457016E-2</v>
      </c>
      <c r="R12" s="789">
        <f t="shared" si="16"/>
        <v>2.3420155477833493E-3</v>
      </c>
      <c r="S12" s="789">
        <f t="shared" si="16"/>
        <v>8.0819017369182511E-3</v>
      </c>
      <c r="T12" s="789">
        <f t="shared" si="16"/>
        <v>-4.6412990154742539E-2</v>
      </c>
      <c r="U12" s="789">
        <f t="shared" si="16"/>
        <v>-2.8059553901677026E-3</v>
      </c>
      <c r="V12" s="789">
        <f t="shared" si="16"/>
        <v>-2.7150124027756073E-3</v>
      </c>
      <c r="W12" s="789">
        <f t="shared" si="16"/>
        <v>-2.6235924864356219E-3</v>
      </c>
      <c r="X12" s="789">
        <f t="shared" si="16"/>
        <v>-2.5317099431229062E-3</v>
      </c>
      <c r="Y12" s="789">
        <f t="shared" si="16"/>
        <v>-2.4393794022219417E-3</v>
      </c>
      <c r="Z12" s="789">
        <f t="shared" si="16"/>
        <v>-2.3466158126196346E-3</v>
      </c>
      <c r="AA12" s="789">
        <f t="shared" si="16"/>
        <v>-2.2534344343336787E-3</v>
      </c>
      <c r="AB12" s="789">
        <f t="shared" si="16"/>
        <v>-2.1598508296792884E-3</v>
      </c>
      <c r="AC12" s="789">
        <f t="shared" si="16"/>
        <v>-2.0658808539900653E-3</v>
      </c>
      <c r="AD12" s="685"/>
      <c r="AE12" s="795">
        <f>AE11/'SKY Mex'!M83</f>
        <v>5412.5412541254127</v>
      </c>
      <c r="AF12" s="685"/>
      <c r="AG12" s="685"/>
      <c r="AH12" s="685"/>
      <c r="AI12" s="685"/>
      <c r="AJ12" s="685"/>
      <c r="AK12" s="685"/>
      <c r="AL12" s="685"/>
      <c r="AM12" s="685"/>
      <c r="AN12" s="685"/>
      <c r="AO12" s="685"/>
      <c r="AP12" s="685"/>
      <c r="AQ12" s="685"/>
      <c r="AR12" s="685"/>
      <c r="AS12" s="685"/>
      <c r="AT12" s="685"/>
      <c r="AU12" s="685"/>
      <c r="AV12" s="685"/>
      <c r="AW12" s="685"/>
      <c r="AX12" s="685"/>
      <c r="AY12" s="685"/>
      <c r="AZ12" s="685"/>
      <c r="BA12" s="685"/>
      <c r="BB12" s="685"/>
      <c r="BC12" s="685"/>
      <c r="BD12" s="685"/>
      <c r="BE12" s="685"/>
    </row>
    <row r="13" spans="1:57">
      <c r="A13" s="685"/>
      <c r="B13" s="685" t="s">
        <v>2393</v>
      </c>
      <c r="C13" s="795"/>
      <c r="D13" s="789"/>
      <c r="E13" s="789"/>
      <c r="F13" s="789"/>
      <c r="G13" s="910">
        <v>370</v>
      </c>
      <c r="H13" s="910">
        <v>1400</v>
      </c>
      <c r="I13" s="910">
        <v>0</v>
      </c>
      <c r="J13" s="910">
        <v>0</v>
      </c>
      <c r="K13" s="910">
        <v>0</v>
      </c>
      <c r="L13" s="910">
        <v>0</v>
      </c>
      <c r="M13" s="910">
        <v>0</v>
      </c>
      <c r="N13" s="910">
        <v>0</v>
      </c>
      <c r="O13" s="910">
        <v>0</v>
      </c>
      <c r="P13" s="910">
        <v>0</v>
      </c>
      <c r="Q13" s="910">
        <v>0</v>
      </c>
      <c r="R13" s="910">
        <v>0</v>
      </c>
      <c r="S13" s="910">
        <v>0</v>
      </c>
      <c r="T13" s="910">
        <v>0</v>
      </c>
      <c r="U13" s="910">
        <v>0</v>
      </c>
      <c r="V13" s="910">
        <v>0</v>
      </c>
      <c r="W13" s="910">
        <v>0</v>
      </c>
      <c r="X13" s="910">
        <v>0</v>
      </c>
      <c r="Y13" s="910">
        <v>0</v>
      </c>
      <c r="Z13" s="910">
        <v>0</v>
      </c>
      <c r="AA13" s="910">
        <v>0</v>
      </c>
      <c r="AB13" s="910">
        <v>0</v>
      </c>
      <c r="AC13" s="910">
        <v>0</v>
      </c>
      <c r="AD13" s="685"/>
      <c r="AE13" s="685"/>
      <c r="AF13" s="685"/>
      <c r="AG13" s="685"/>
      <c r="AH13" s="685"/>
      <c r="AI13" s="685"/>
      <c r="AJ13" s="685"/>
      <c r="AK13" s="685"/>
      <c r="AL13" s="685"/>
      <c r="AM13" s="685"/>
      <c r="AN13" s="685"/>
      <c r="AO13" s="685"/>
      <c r="AP13" s="685"/>
      <c r="AQ13" s="685"/>
      <c r="AR13" s="685"/>
      <c r="AS13" s="685"/>
      <c r="AT13" s="685"/>
      <c r="AU13" s="685"/>
      <c r="AV13" s="685"/>
      <c r="AW13" s="685"/>
      <c r="AX13" s="685"/>
      <c r="AY13" s="685"/>
      <c r="AZ13" s="685"/>
      <c r="BA13" s="685"/>
      <c r="BB13" s="685"/>
      <c r="BC13" s="685"/>
      <c r="BD13" s="685"/>
      <c r="BE13" s="685"/>
    </row>
    <row r="14" spans="1:57">
      <c r="A14" s="685"/>
      <c r="B14" s="685" t="s">
        <v>2394</v>
      </c>
      <c r="C14" s="795">
        <f t="shared" ref="C14:N14" si="17">C11+C13</f>
        <v>2201</v>
      </c>
      <c r="D14" s="795">
        <f t="shared" si="17"/>
        <v>2379</v>
      </c>
      <c r="E14" s="795">
        <f t="shared" si="17"/>
        <v>2590.7999999999997</v>
      </c>
      <c r="F14" s="795">
        <f t="shared" si="17"/>
        <v>3189.2000000000003</v>
      </c>
      <c r="G14" s="795">
        <f t="shared" si="17"/>
        <v>3635.5999999999995</v>
      </c>
      <c r="H14" s="795">
        <f t="shared" si="17"/>
        <v>4254.3999999999996</v>
      </c>
      <c r="I14" s="795">
        <f t="shared" si="17"/>
        <v>3595.4</v>
      </c>
      <c r="J14" s="795">
        <f t="shared" si="17"/>
        <v>4399.3</v>
      </c>
      <c r="K14" s="795">
        <f t="shared" si="17"/>
        <v>4058</v>
      </c>
      <c r="L14" s="795">
        <f t="shared" si="17"/>
        <v>4841</v>
      </c>
      <c r="M14" s="795">
        <f t="shared" si="17"/>
        <v>4939</v>
      </c>
      <c r="N14" s="795">
        <f t="shared" si="17"/>
        <v>5466.2</v>
      </c>
      <c r="O14" s="795">
        <f t="shared" ref="O14:X14" si="18">O11+O13</f>
        <v>5390.8</v>
      </c>
      <c r="P14" s="795">
        <f t="shared" si="18"/>
        <v>5392.8086022533616</v>
      </c>
      <c r="Q14" s="795">
        <f t="shared" si="18"/>
        <v>5084.2873319644777</v>
      </c>
      <c r="R14" s="795">
        <f t="shared" si="18"/>
        <v>5096.1948119453364</v>
      </c>
      <c r="S14" s="795">
        <f t="shared" si="18"/>
        <v>5137.3817576476713</v>
      </c>
      <c r="T14" s="795">
        <f t="shared" si="18"/>
        <v>4898.9405087088162</v>
      </c>
      <c r="U14" s="795">
        <f t="shared" si="18"/>
        <v>4885.1943001822938</v>
      </c>
      <c r="V14" s="795">
        <f t="shared" si="18"/>
        <v>4871.93093706733</v>
      </c>
      <c r="W14" s="795">
        <f t="shared" si="18"/>
        <v>4859.1489756664068</v>
      </c>
      <c r="X14" s="795">
        <f t="shared" si="18"/>
        <v>4846.8470198895966</v>
      </c>
      <c r="Y14" s="795">
        <f>Y11+Y13</f>
        <v>4835.0237211035574</v>
      </c>
      <c r="Z14" s="795">
        <f>Z11+Z13</f>
        <v>4823.6777779852246</v>
      </c>
      <c r="AA14" s="795">
        <f>AA11+AA13</f>
        <v>4812.8079363801826</v>
      </c>
      <c r="AB14" s="795">
        <f>AB11+AB13</f>
        <v>4802.4129891657049</v>
      </c>
      <c r="AC14" s="795">
        <f>AC11+AC13</f>
        <v>4792.4917761184342</v>
      </c>
      <c r="AD14" s="685"/>
      <c r="AE14" s="685"/>
      <c r="AF14" s="685"/>
      <c r="AG14" s="685"/>
      <c r="AH14" s="685"/>
      <c r="AI14" s="685"/>
      <c r="AJ14" s="685"/>
      <c r="AK14" s="685"/>
      <c r="AL14" s="685"/>
      <c r="AM14" s="685"/>
      <c r="AN14" s="685"/>
      <c r="AO14" s="685"/>
      <c r="AP14" s="685"/>
      <c r="AQ14" s="685"/>
      <c r="AR14" s="685"/>
      <c r="AS14" s="685"/>
      <c r="AT14" s="685"/>
      <c r="AU14" s="685"/>
      <c r="AV14" s="685"/>
      <c r="AW14" s="685"/>
      <c r="AX14" s="685"/>
      <c r="AY14" s="685"/>
      <c r="AZ14" s="685"/>
      <c r="BA14" s="685"/>
      <c r="BB14" s="685"/>
      <c r="BC14" s="685"/>
      <c r="BD14" s="685"/>
      <c r="BE14" s="685"/>
    </row>
    <row r="15" spans="1:57">
      <c r="A15" s="685"/>
      <c r="B15" s="685" t="s">
        <v>192</v>
      </c>
      <c r="C15" s="795"/>
      <c r="D15" s="789">
        <f>D14/C14-1</f>
        <v>8.0872330758746003E-2</v>
      </c>
      <c r="E15" s="789">
        <f>E14/D14-1</f>
        <v>8.9029003783102079E-2</v>
      </c>
      <c r="F15" s="789">
        <f>F14/E14-1</f>
        <v>0.23097112860892421</v>
      </c>
      <c r="G15" s="789">
        <f>G14/F14-1</f>
        <v>0.13997240687319668</v>
      </c>
      <c r="H15" s="789">
        <f>H14/G14-1</f>
        <v>0.17020574320607329</v>
      </c>
      <c r="I15" s="789">
        <f t="shared" ref="I15:AC15" si="19">I14/H11-1</f>
        <v>0.25959921524663687</v>
      </c>
      <c r="J15" s="789">
        <f t="shared" si="19"/>
        <v>0.22359125549313008</v>
      </c>
      <c r="K15" s="789">
        <f t="shared" si="19"/>
        <v>-7.7580524174300503E-2</v>
      </c>
      <c r="L15" s="789">
        <f t="shared" si="19"/>
        <v>0.19295219319862</v>
      </c>
      <c r="M15" s="789">
        <f t="shared" si="19"/>
        <v>2.0243751291055601E-2</v>
      </c>
      <c r="N15" s="789">
        <f t="shared" si="19"/>
        <v>0.1067422555173112</v>
      </c>
      <c r="O15" s="789">
        <f t="shared" si="19"/>
        <v>-1.3793860451501883E-2</v>
      </c>
      <c r="P15" s="789">
        <f t="shared" si="19"/>
        <v>3.7259817714652144E-4</v>
      </c>
      <c r="Q15" s="789">
        <f t="shared" si="19"/>
        <v>-5.7209757112457016E-2</v>
      </c>
      <c r="R15" s="789">
        <f t="shared" si="19"/>
        <v>2.3420155477833493E-3</v>
      </c>
      <c r="S15" s="789">
        <f t="shared" si="19"/>
        <v>8.0819017369182511E-3</v>
      </c>
      <c r="T15" s="789">
        <f t="shared" si="19"/>
        <v>-4.6412990154742539E-2</v>
      </c>
      <c r="U15" s="789">
        <f t="shared" si="19"/>
        <v>-2.8059553901677026E-3</v>
      </c>
      <c r="V15" s="789">
        <f t="shared" si="19"/>
        <v>-2.7150124027756073E-3</v>
      </c>
      <c r="W15" s="789">
        <f t="shared" si="19"/>
        <v>-2.6235924864356219E-3</v>
      </c>
      <c r="X15" s="789">
        <f t="shared" si="19"/>
        <v>-2.5317099431229062E-3</v>
      </c>
      <c r="Y15" s="789">
        <f t="shared" si="19"/>
        <v>-2.4393794022219417E-3</v>
      </c>
      <c r="Z15" s="789">
        <f t="shared" si="19"/>
        <v>-2.3466158126196346E-3</v>
      </c>
      <c r="AA15" s="789">
        <f t="shared" si="19"/>
        <v>-2.2534344343336787E-3</v>
      </c>
      <c r="AB15" s="789">
        <f t="shared" si="19"/>
        <v>-2.1598508296792884E-3</v>
      </c>
      <c r="AC15" s="789">
        <f t="shared" si="19"/>
        <v>-2.0658808539900653E-3</v>
      </c>
      <c r="AD15" s="685"/>
      <c r="AE15" s="685"/>
      <c r="AF15" s="685"/>
      <c r="AG15" s="685"/>
      <c r="AH15" s="685"/>
      <c r="AI15" s="685"/>
      <c r="AJ15" s="685"/>
      <c r="AK15" s="685"/>
      <c r="AL15" s="685"/>
      <c r="AM15" s="685"/>
      <c r="AN15" s="685"/>
      <c r="AO15" s="685"/>
      <c r="AP15" s="685"/>
      <c r="AQ15" s="685"/>
      <c r="AR15" s="685"/>
      <c r="AS15" s="685"/>
      <c r="AT15" s="685"/>
      <c r="AU15" s="685"/>
      <c r="AV15" s="685"/>
      <c r="AW15" s="685"/>
      <c r="AX15" s="685"/>
      <c r="AY15" s="685"/>
      <c r="AZ15" s="685"/>
      <c r="BA15" s="685"/>
      <c r="BB15" s="685"/>
      <c r="BC15" s="685"/>
      <c r="BD15" s="685"/>
      <c r="BE15" s="685"/>
    </row>
    <row r="16" spans="1:57">
      <c r="A16" s="685"/>
      <c r="B16" s="685"/>
      <c r="C16" s="795"/>
      <c r="D16" s="795"/>
      <c r="E16" s="795"/>
      <c r="F16" s="795"/>
      <c r="G16" s="795"/>
      <c r="H16" s="795"/>
      <c r="I16" s="795"/>
      <c r="J16" s="795"/>
      <c r="K16" s="795"/>
      <c r="L16" s="795"/>
      <c r="M16" s="795"/>
      <c r="N16" s="795"/>
      <c r="O16" s="795"/>
      <c r="P16" s="795"/>
      <c r="Q16" s="795"/>
      <c r="R16" s="795"/>
      <c r="S16" s="795"/>
      <c r="T16" s="795"/>
      <c r="U16" s="795"/>
      <c r="V16" s="795"/>
      <c r="W16" s="795"/>
      <c r="X16" s="795"/>
      <c r="Y16" s="795"/>
      <c r="Z16" s="795"/>
      <c r="AA16" s="795"/>
      <c r="AB16" s="795"/>
      <c r="AC16" s="795"/>
      <c r="AD16" s="685"/>
      <c r="AE16" s="685"/>
      <c r="AF16" s="685"/>
      <c r="AG16" s="685"/>
      <c r="AH16" s="685"/>
      <c r="AI16" s="685"/>
      <c r="AJ16" s="685"/>
      <c r="AK16" s="685"/>
      <c r="AL16" s="685"/>
      <c r="AM16" s="685"/>
      <c r="AN16" s="685"/>
      <c r="AO16" s="685"/>
      <c r="AP16" s="685"/>
      <c r="AQ16" s="685"/>
      <c r="AR16" s="685"/>
      <c r="AS16" s="685"/>
      <c r="AT16" s="685"/>
      <c r="AU16" s="685"/>
      <c r="AV16" s="685"/>
      <c r="AW16" s="685"/>
      <c r="AX16" s="685"/>
      <c r="AY16" s="685"/>
      <c r="AZ16" s="685"/>
      <c r="BA16" s="685"/>
      <c r="BB16" s="685"/>
      <c r="BC16" s="685"/>
      <c r="BD16" s="685"/>
      <c r="BE16" s="685"/>
    </row>
    <row r="17" spans="1:57">
      <c r="A17" s="685"/>
      <c r="B17" s="685" t="str">
        <f>Master!B15</f>
        <v>Licensing and Syndication</v>
      </c>
      <c r="C17" s="910">
        <f>Master!H15</f>
        <v>3809</v>
      </c>
      <c r="D17" s="910">
        <f>Master!I15</f>
        <v>4109</v>
      </c>
      <c r="E17" s="910">
        <f>Master!J15</f>
        <v>4888.7000000000007</v>
      </c>
      <c r="F17" s="910">
        <f>Master!K15</f>
        <v>5758.9</v>
      </c>
      <c r="G17" s="910">
        <f>Master!L15</f>
        <v>5689.5</v>
      </c>
      <c r="H17" s="910">
        <f>Master!M15</f>
        <v>6548</v>
      </c>
      <c r="I17" s="910">
        <f>Master!N15</f>
        <v>7707.9</v>
      </c>
      <c r="J17" s="910">
        <f>Master!O15</f>
        <v>9064.2000000000007</v>
      </c>
      <c r="K17" s="910">
        <f>Master!P15</f>
        <v>9220</v>
      </c>
      <c r="L17" s="910">
        <f>Master!Q15</f>
        <v>10521</v>
      </c>
      <c r="M17" s="910">
        <f>Master!R15</f>
        <v>10436</v>
      </c>
      <c r="N17" s="910">
        <f>Master!S15</f>
        <v>10797</v>
      </c>
      <c r="O17" s="910">
        <f>Master!T15</f>
        <v>11389.1</v>
      </c>
      <c r="P17" s="795">
        <f t="shared" ref="P17:X17" si="20">P61*P45</f>
        <v>12378.623467347057</v>
      </c>
      <c r="Q17" s="795">
        <f t="shared" si="20"/>
        <v>11342.292096156511</v>
      </c>
      <c r="R17" s="795">
        <f t="shared" si="20"/>
        <v>12018.01976115477</v>
      </c>
      <c r="S17" s="795">
        <f t="shared" si="20"/>
        <v>12812.215821105166</v>
      </c>
      <c r="T17" s="795">
        <f t="shared" si="20"/>
        <v>2494.3060713943141</v>
      </c>
      <c r="U17" s="795">
        <f t="shared" si="20"/>
        <v>2544.1921928222005</v>
      </c>
      <c r="V17" s="795">
        <f t="shared" si="20"/>
        <v>2595.0760366786444</v>
      </c>
      <c r="W17" s="795">
        <f t="shared" si="20"/>
        <v>2646.9775574122177</v>
      </c>
      <c r="X17" s="795">
        <f t="shared" si="20"/>
        <v>2699.9171085604621</v>
      </c>
      <c r="Y17" s="795">
        <f>Y61*Y45</f>
        <v>2753.9154507316712</v>
      </c>
      <c r="Z17" s="795">
        <f>Z61*Z45</f>
        <v>2808.9937597463045</v>
      </c>
      <c r="AA17" s="795">
        <f>AA61*AA45</f>
        <v>2865.1736349412308</v>
      </c>
      <c r="AB17" s="795">
        <f>AB61*AB45</f>
        <v>2922.4771076400552</v>
      </c>
      <c r="AC17" s="795">
        <f>AC61*AC45</f>
        <v>2980.9266497928566</v>
      </c>
      <c r="AD17" s="685"/>
      <c r="AE17" s="685"/>
      <c r="AF17" s="685"/>
      <c r="AG17" s="685"/>
      <c r="AH17" s="685"/>
      <c r="AI17" s="685"/>
      <c r="AJ17" s="685"/>
      <c r="AK17" s="685"/>
      <c r="AL17" s="685"/>
      <c r="AM17" s="685"/>
      <c r="AN17" s="685"/>
      <c r="AO17" s="685"/>
      <c r="AP17" s="685"/>
      <c r="AQ17" s="685"/>
      <c r="AR17" s="685"/>
      <c r="AS17" s="685"/>
      <c r="AT17" s="685"/>
      <c r="AU17" s="685"/>
      <c r="AV17" s="685"/>
      <c r="AW17" s="685"/>
      <c r="AX17" s="685"/>
      <c r="AY17" s="685"/>
      <c r="AZ17" s="685"/>
      <c r="BA17" s="685"/>
      <c r="BB17" s="685"/>
      <c r="BC17" s="685"/>
      <c r="BD17" s="685"/>
      <c r="BE17" s="685"/>
    </row>
    <row r="18" spans="1:57">
      <c r="A18" s="685"/>
      <c r="B18" s="685" t="s">
        <v>192</v>
      </c>
      <c r="C18" s="685"/>
      <c r="D18" s="789">
        <f>D17/C17-1</f>
        <v>7.8760829614071826E-2</v>
      </c>
      <c r="E18" s="789">
        <f>E17/D17-1</f>
        <v>0.18975419810172811</v>
      </c>
      <c r="F18" s="789">
        <f t="shared" ref="F18:L18" si="21">F17/E17-1</f>
        <v>0.17800233190827797</v>
      </c>
      <c r="G18" s="789">
        <f t="shared" si="21"/>
        <v>-1.2050912500651156E-2</v>
      </c>
      <c r="H18" s="789">
        <f t="shared" si="21"/>
        <v>0.15089199402407938</v>
      </c>
      <c r="I18" s="789">
        <f t="shared" si="21"/>
        <v>0.17713805742211353</v>
      </c>
      <c r="J18" s="789">
        <f t="shared" si="21"/>
        <v>0.17596232436850512</v>
      </c>
      <c r="K18" s="789">
        <f t="shared" si="21"/>
        <v>1.7188499812448965E-2</v>
      </c>
      <c r="L18" s="789">
        <f t="shared" si="21"/>
        <v>0.14110629067245117</v>
      </c>
      <c r="M18" s="789">
        <f t="shared" ref="M18:AC18" si="22">M17/L17-1</f>
        <v>-8.0790799353673837E-3</v>
      </c>
      <c r="N18" s="789">
        <f t="shared" si="22"/>
        <v>3.4591797623610532E-2</v>
      </c>
      <c r="O18" s="789">
        <f t="shared" si="22"/>
        <v>5.4839307214967103E-2</v>
      </c>
      <c r="P18" s="789">
        <f t="shared" si="22"/>
        <v>8.6883376855682704E-2</v>
      </c>
      <c r="Q18" s="789">
        <f t="shared" si="22"/>
        <v>-8.3719435680730814E-2</v>
      </c>
      <c r="R18" s="789">
        <f t="shared" si="22"/>
        <v>5.9575935734121899E-2</v>
      </c>
      <c r="S18" s="789">
        <f t="shared" si="22"/>
        <v>6.6083770515791285E-2</v>
      </c>
      <c r="T18" s="789">
        <f t="shared" si="22"/>
        <v>-0.80531813495636562</v>
      </c>
      <c r="U18" s="789">
        <f t="shared" si="22"/>
        <v>2.0000000000000018E-2</v>
      </c>
      <c r="V18" s="789">
        <f t="shared" si="22"/>
        <v>2.0000000000000018E-2</v>
      </c>
      <c r="W18" s="789">
        <f t="shared" si="22"/>
        <v>2.000000000000024E-2</v>
      </c>
      <c r="X18" s="789">
        <f t="shared" si="22"/>
        <v>2.0000000000000018E-2</v>
      </c>
      <c r="Y18" s="789">
        <f t="shared" si="22"/>
        <v>2.0000000000000018E-2</v>
      </c>
      <c r="Z18" s="789">
        <f t="shared" si="22"/>
        <v>2.0000000000000018E-2</v>
      </c>
      <c r="AA18" s="789">
        <f t="shared" si="22"/>
        <v>2.0000000000000018E-2</v>
      </c>
      <c r="AB18" s="789">
        <f t="shared" si="22"/>
        <v>2.0000000000000018E-2</v>
      </c>
      <c r="AC18" s="789">
        <f t="shared" si="22"/>
        <v>2.0000000000000018E-2</v>
      </c>
      <c r="AD18" s="685"/>
      <c r="AE18" s="685"/>
      <c r="AF18" s="685"/>
      <c r="AG18" s="685"/>
      <c r="AH18" s="685"/>
      <c r="AI18" s="685"/>
      <c r="AJ18" s="685"/>
      <c r="AK18" s="685"/>
      <c r="AL18" s="685"/>
      <c r="AM18" s="685"/>
      <c r="AN18" s="685"/>
      <c r="AO18" s="685"/>
      <c r="AP18" s="685"/>
      <c r="AQ18" s="685"/>
      <c r="AR18" s="685"/>
      <c r="AS18" s="685"/>
      <c r="AT18" s="685"/>
      <c r="AU18" s="685"/>
      <c r="AV18" s="685"/>
      <c r="AW18" s="685"/>
      <c r="AX18" s="685"/>
      <c r="AY18" s="685"/>
      <c r="AZ18" s="685"/>
      <c r="BA18" s="685"/>
      <c r="BB18" s="685"/>
      <c r="BC18" s="685"/>
      <c r="BD18" s="685"/>
      <c r="BE18" s="685"/>
    </row>
    <row r="19" spans="1:57">
      <c r="A19" s="685"/>
      <c r="B19" s="685"/>
      <c r="C19" s="685"/>
      <c r="D19" s="789"/>
      <c r="E19" s="789"/>
      <c r="F19" s="789"/>
      <c r="G19" s="789"/>
      <c r="H19" s="789"/>
      <c r="I19" s="789"/>
      <c r="J19" s="789"/>
      <c r="K19" s="789"/>
      <c r="L19" s="789"/>
      <c r="M19" s="789"/>
      <c r="N19" s="789"/>
      <c r="O19" s="789"/>
      <c r="P19" s="789"/>
      <c r="Q19" s="789"/>
      <c r="R19" s="789"/>
      <c r="S19" s="789"/>
      <c r="T19" s="789"/>
      <c r="U19" s="789"/>
      <c r="V19" s="789"/>
      <c r="W19" s="789"/>
      <c r="X19" s="789"/>
      <c r="Y19" s="789"/>
      <c r="Z19" s="789"/>
      <c r="AA19" s="789"/>
      <c r="AB19" s="789"/>
      <c r="AC19" s="789"/>
      <c r="AD19" s="685"/>
      <c r="AE19" s="685"/>
      <c r="AF19" s="685"/>
      <c r="AG19" s="685"/>
      <c r="AH19" s="685"/>
      <c r="AI19" s="685"/>
      <c r="AJ19" s="685"/>
      <c r="AK19" s="685"/>
      <c r="AL19" s="685"/>
      <c r="AM19" s="685"/>
      <c r="AN19" s="685"/>
      <c r="AO19" s="685"/>
      <c r="AP19" s="685"/>
      <c r="AQ19" s="685"/>
      <c r="AR19" s="685"/>
      <c r="AS19" s="685"/>
      <c r="AT19" s="685"/>
      <c r="AU19" s="685"/>
      <c r="AV19" s="685"/>
      <c r="AW19" s="685"/>
      <c r="AX19" s="685"/>
      <c r="AY19" s="685"/>
      <c r="AZ19" s="685"/>
      <c r="BA19" s="685"/>
      <c r="BB19" s="685"/>
      <c r="BC19" s="685"/>
      <c r="BD19" s="685"/>
      <c r="BE19" s="685"/>
    </row>
    <row r="20" spans="1:57">
      <c r="A20" s="685"/>
      <c r="B20" s="685" t="s">
        <v>107</v>
      </c>
      <c r="C20" s="795"/>
      <c r="D20" s="814"/>
      <c r="E20" s="814"/>
      <c r="F20" s="814"/>
      <c r="G20" s="814"/>
      <c r="H20" s="814"/>
      <c r="I20" s="814"/>
      <c r="J20" s="814"/>
      <c r="K20" s="814"/>
      <c r="L20" s="910">
        <f>130*L45</f>
        <v>2502.5</v>
      </c>
      <c r="M20" s="910">
        <v>0</v>
      </c>
      <c r="N20" s="910">
        <v>0</v>
      </c>
      <c r="O20" s="910">
        <v>0</v>
      </c>
      <c r="P20" s="910">
        <v>0</v>
      </c>
      <c r="Q20" s="910">
        <v>0</v>
      </c>
      <c r="R20" s="910">
        <v>0</v>
      </c>
      <c r="S20" s="910">
        <v>0</v>
      </c>
      <c r="T20" s="910">
        <v>0</v>
      </c>
      <c r="U20" s="910">
        <v>0</v>
      </c>
      <c r="V20" s="910">
        <v>0</v>
      </c>
      <c r="W20" s="910">
        <v>0</v>
      </c>
      <c r="X20" s="910">
        <v>0</v>
      </c>
      <c r="Y20" s="910">
        <v>0</v>
      </c>
      <c r="Z20" s="910">
        <v>0</v>
      </c>
      <c r="AA20" s="910">
        <v>0</v>
      </c>
      <c r="AB20" s="910">
        <v>0</v>
      </c>
      <c r="AC20" s="910">
        <v>0</v>
      </c>
      <c r="AD20" s="685"/>
      <c r="AE20" s="685"/>
      <c r="AF20" s="685"/>
      <c r="AG20" s="685"/>
      <c r="AH20" s="685"/>
      <c r="AI20" s="685"/>
      <c r="AJ20" s="685"/>
      <c r="AK20" s="685"/>
      <c r="AL20" s="685"/>
      <c r="AM20" s="685"/>
      <c r="AN20" s="685"/>
      <c r="AO20" s="685"/>
      <c r="AP20" s="685"/>
      <c r="AQ20" s="685"/>
      <c r="AR20" s="685"/>
      <c r="AS20" s="685"/>
      <c r="AT20" s="685"/>
      <c r="AU20" s="685"/>
      <c r="AV20" s="685"/>
      <c r="AW20" s="685"/>
      <c r="AX20" s="685"/>
      <c r="AY20" s="685"/>
      <c r="AZ20" s="685"/>
      <c r="BA20" s="685"/>
      <c r="BB20" s="685"/>
      <c r="BC20" s="685"/>
      <c r="BD20" s="685"/>
      <c r="BE20" s="685"/>
    </row>
    <row r="21" spans="1:57">
      <c r="A21" s="685"/>
      <c r="B21" s="685"/>
      <c r="C21" s="795"/>
      <c r="D21" s="814"/>
      <c r="E21" s="814"/>
      <c r="F21" s="814"/>
      <c r="G21" s="814"/>
      <c r="H21" s="814"/>
      <c r="I21" s="814"/>
      <c r="J21" s="814"/>
      <c r="K21" s="814"/>
      <c r="L21" s="814"/>
      <c r="M21" s="814"/>
      <c r="N21" s="814"/>
      <c r="O21" s="814"/>
      <c r="P21" s="814"/>
      <c r="Q21" s="814"/>
      <c r="R21" s="814"/>
      <c r="S21" s="814"/>
      <c r="T21" s="814"/>
      <c r="U21" s="814"/>
      <c r="V21" s="814"/>
      <c r="W21" s="814"/>
      <c r="X21" s="814"/>
      <c r="Y21" s="814"/>
      <c r="Z21" s="814"/>
      <c r="AA21" s="814"/>
      <c r="AB21" s="814"/>
      <c r="AC21" s="814"/>
      <c r="AD21" s="685"/>
      <c r="AE21" s="685"/>
      <c r="AF21" s="685"/>
      <c r="AG21" s="685"/>
      <c r="AH21" s="685"/>
      <c r="AI21" s="685"/>
      <c r="AJ21" s="685"/>
      <c r="AK21" s="685"/>
      <c r="AL21" s="685"/>
      <c r="AM21" s="685"/>
      <c r="AN21" s="685"/>
      <c r="AO21" s="685"/>
      <c r="AP21" s="685"/>
      <c r="AQ21" s="685"/>
      <c r="AR21" s="685"/>
      <c r="AS21" s="685"/>
      <c r="AT21" s="685"/>
      <c r="AU21" s="685"/>
      <c r="AV21" s="685"/>
      <c r="AW21" s="685"/>
      <c r="AX21" s="685"/>
      <c r="AY21" s="685"/>
      <c r="AZ21" s="685"/>
      <c r="BA21" s="685"/>
      <c r="BB21" s="685"/>
      <c r="BC21" s="685"/>
      <c r="BD21" s="685"/>
      <c r="BE21" s="685"/>
    </row>
    <row r="22" spans="1:57">
      <c r="A22" s="685"/>
      <c r="B22" s="977" t="s">
        <v>2395</v>
      </c>
      <c r="C22" s="978">
        <f>C3+C11+C17</f>
        <v>27407</v>
      </c>
      <c r="D22" s="978">
        <f t="shared" ref="D22:K22" si="23">D3+D11+D17</f>
        <v>29235</v>
      </c>
      <c r="E22" s="1082">
        <f t="shared" si="23"/>
        <v>30685.599999999999</v>
      </c>
      <c r="F22" s="978">
        <f t="shared" si="23"/>
        <v>32884</v>
      </c>
      <c r="G22" s="978">
        <f t="shared" si="23"/>
        <v>33820.6</v>
      </c>
      <c r="H22" s="978">
        <f t="shared" si="23"/>
        <v>34868.1</v>
      </c>
      <c r="I22" s="978">
        <f>I3+I11+I17</f>
        <v>34332.6</v>
      </c>
      <c r="J22" s="978">
        <f t="shared" si="23"/>
        <v>36686.699999999997</v>
      </c>
      <c r="K22" s="978">
        <f t="shared" si="23"/>
        <v>33997</v>
      </c>
      <c r="L22" s="978">
        <f>L3+L11+L17+L20</f>
        <v>39019.5</v>
      </c>
      <c r="M22" s="978">
        <f>M3+M11+M17+M20</f>
        <v>34795.4</v>
      </c>
      <c r="N22" s="978">
        <f t="shared" ref="N22:S22" si="24">N3+N11+N17+N20</f>
        <v>32613</v>
      </c>
      <c r="O22" s="978">
        <f t="shared" si="24"/>
        <v>35941.9</v>
      </c>
      <c r="P22" s="978">
        <f t="shared" si="24"/>
        <v>37891.53206960042</v>
      </c>
      <c r="Q22" s="978">
        <f t="shared" si="24"/>
        <v>37351.483428120991</v>
      </c>
      <c r="R22" s="978">
        <f t="shared" si="24"/>
        <v>38039.11857310011</v>
      </c>
      <c r="S22" s="978">
        <f t="shared" si="24"/>
        <v>38874.501578752839</v>
      </c>
      <c r="T22" s="978">
        <f t="shared" ref="T22:AC22" si="25">T3+T11+T17+T20</f>
        <v>28318.150580103131</v>
      </c>
      <c r="U22" s="978">
        <f t="shared" si="25"/>
        <v>28354.290493004497</v>
      </c>
      <c r="V22" s="978">
        <f t="shared" si="25"/>
        <v>28391.910973745977</v>
      </c>
      <c r="W22" s="978">
        <f t="shared" si="25"/>
        <v>28431.030533078629</v>
      </c>
      <c r="X22" s="978">
        <f t="shared" si="25"/>
        <v>28471.668128450059</v>
      </c>
      <c r="Y22" s="978">
        <f t="shared" si="25"/>
        <v>28513.843171835229</v>
      </c>
      <c r="Z22" s="978">
        <f t="shared" si="25"/>
        <v>28557.575537731529</v>
      </c>
      <c r="AA22" s="978">
        <f t="shared" si="25"/>
        <v>28602.885571321414</v>
      </c>
      <c r="AB22" s="978">
        <f t="shared" si="25"/>
        <v>28649.794096805763</v>
      </c>
      <c r="AC22" s="978">
        <f t="shared" si="25"/>
        <v>28698.32242591129</v>
      </c>
      <c r="AD22" s="685"/>
      <c r="AE22" s="685"/>
      <c r="AF22" s="685"/>
      <c r="AG22" s="685"/>
      <c r="AH22" s="685"/>
      <c r="AI22" s="685"/>
      <c r="AJ22" s="685"/>
      <c r="AK22" s="685"/>
      <c r="AL22" s="685"/>
      <c r="AM22" s="685"/>
      <c r="AN22" s="685"/>
      <c r="AO22" s="685"/>
      <c r="AP22" s="685"/>
      <c r="AQ22" s="685"/>
      <c r="AR22" s="685"/>
      <c r="AS22" s="685"/>
      <c r="AT22" s="685"/>
      <c r="AU22" s="685"/>
      <c r="AV22" s="685"/>
      <c r="AW22" s="685"/>
      <c r="AX22" s="685"/>
      <c r="AY22" s="685"/>
      <c r="AZ22" s="685"/>
      <c r="BA22" s="685"/>
      <c r="BB22" s="685"/>
      <c r="BC22" s="685"/>
      <c r="BD22" s="685"/>
      <c r="BE22" s="685"/>
    </row>
    <row r="23" spans="1:57">
      <c r="A23" s="685"/>
      <c r="B23" s="685" t="s">
        <v>192</v>
      </c>
      <c r="C23" s="795"/>
      <c r="D23" s="814">
        <f>D22/C22-1</f>
        <v>6.6698288758346491E-2</v>
      </c>
      <c r="E23" s="814">
        <f t="shared" ref="E23:N23" si="26">E22/D22-1</f>
        <v>4.96186078330767E-2</v>
      </c>
      <c r="F23" s="814">
        <f t="shared" si="26"/>
        <v>7.1642724926349821E-2</v>
      </c>
      <c r="G23" s="814">
        <f t="shared" si="26"/>
        <v>2.8481936504074934E-2</v>
      </c>
      <c r="H23" s="814">
        <f t="shared" si="26"/>
        <v>3.0972247683364484E-2</v>
      </c>
      <c r="I23" s="814">
        <f t="shared" si="26"/>
        <v>-1.535787725743587E-2</v>
      </c>
      <c r="J23" s="814">
        <f t="shared" si="26"/>
        <v>6.8567483965676912E-2</v>
      </c>
      <c r="K23" s="814">
        <f t="shared" si="26"/>
        <v>-7.331539767817763E-2</v>
      </c>
      <c r="L23" s="814">
        <f t="shared" si="26"/>
        <v>0.14773362355501951</v>
      </c>
      <c r="M23" s="814">
        <f t="shared" si="26"/>
        <v>-0.10825612834608334</v>
      </c>
      <c r="N23" s="814">
        <f t="shared" si="26"/>
        <v>-6.2720934376383153E-2</v>
      </c>
      <c r="O23" s="814">
        <f t="shared" ref="O23:AC23" si="27">O22/N22-1</f>
        <v>0.102072793057983</v>
      </c>
      <c r="P23" s="814">
        <f t="shared" si="27"/>
        <v>5.4243990150782739E-2</v>
      </c>
      <c r="Q23" s="814">
        <f t="shared" si="27"/>
        <v>-1.4252488933080065E-2</v>
      </c>
      <c r="R23" s="814">
        <f t="shared" si="27"/>
        <v>1.8409848334468348E-2</v>
      </c>
      <c r="S23" s="814">
        <f t="shared" si="27"/>
        <v>2.1961155699424806E-2</v>
      </c>
      <c r="T23" s="814">
        <f t="shared" si="27"/>
        <v>-0.27154948796615219</v>
      </c>
      <c r="U23" s="814">
        <f t="shared" si="27"/>
        <v>1.2762102100960515E-3</v>
      </c>
      <c r="V23" s="814">
        <f t="shared" si="27"/>
        <v>1.3268002862127926E-3</v>
      </c>
      <c r="W23" s="814">
        <f t="shared" si="27"/>
        <v>1.3778417158614165E-3</v>
      </c>
      <c r="X23" s="814">
        <f t="shared" si="27"/>
        <v>1.4293395142377374E-3</v>
      </c>
      <c r="Y23" s="814">
        <f t="shared" si="27"/>
        <v>1.4812986437919839E-3</v>
      </c>
      <c r="Z23" s="814">
        <f t="shared" si="27"/>
        <v>1.5337240102202276E-3</v>
      </c>
      <c r="AA23" s="814">
        <f t="shared" si="27"/>
        <v>1.5866204583796506E-3</v>
      </c>
      <c r="AB23" s="814">
        <f t="shared" si="27"/>
        <v>1.6399927681205462E-3</v>
      </c>
      <c r="AC23" s="814">
        <f t="shared" si="27"/>
        <v>1.6938456500439347E-3</v>
      </c>
      <c r="AD23" s="685"/>
      <c r="AE23" s="685" t="s">
        <v>57</v>
      </c>
      <c r="AF23" s="685"/>
      <c r="AG23" s="685"/>
      <c r="AH23" s="685"/>
      <c r="AI23" s="685"/>
      <c r="AJ23" s="685"/>
      <c r="AK23" s="685"/>
      <c r="AL23" s="685"/>
      <c r="AM23" s="685"/>
      <c r="AN23" s="685"/>
      <c r="AO23" s="685"/>
      <c r="AP23" s="685"/>
      <c r="AQ23" s="685"/>
      <c r="AR23" s="685"/>
      <c r="AS23" s="685"/>
      <c r="AT23" s="685"/>
      <c r="AU23" s="685"/>
      <c r="AV23" s="685"/>
      <c r="AW23" s="685"/>
      <c r="AX23" s="685"/>
      <c r="AY23" s="685"/>
      <c r="AZ23" s="685"/>
      <c r="BA23" s="685"/>
      <c r="BB23" s="685"/>
      <c r="BC23" s="685"/>
      <c r="BD23" s="685"/>
      <c r="BE23" s="685"/>
    </row>
    <row r="24" spans="1:57">
      <c r="A24" s="685"/>
      <c r="B24" s="685" t="s">
        <v>2396</v>
      </c>
      <c r="C24" s="795"/>
      <c r="D24" s="814">
        <f t="shared" ref="D24:AC24" si="28">(D47/2*C45+D47/2*D45+D61*C45+D3)/C22-1</f>
        <v>8.0015317618719717E-2</v>
      </c>
      <c r="E24" s="814">
        <f t="shared" si="28"/>
        <v>5.284938218241475E-2</v>
      </c>
      <c r="F24" s="814">
        <f t="shared" si="28"/>
        <v>5.8531716866016437E-2</v>
      </c>
      <c r="G24" s="814">
        <f t="shared" si="28"/>
        <v>3.5462206086637194E-2</v>
      </c>
      <c r="H24" s="814">
        <f t="shared" si="28"/>
        <v>2.1438013743200868E-2</v>
      </c>
      <c r="I24" s="814">
        <f t="shared" si="28"/>
        <v>-5.9333732132121231E-2</v>
      </c>
      <c r="J24" s="814">
        <f t="shared" si="28"/>
        <v>1.6701207076334601E-2</v>
      </c>
      <c r="K24" s="814">
        <f t="shared" si="28"/>
        <v>-7.4126570644382106E-2</v>
      </c>
      <c r="L24" s="814">
        <f t="shared" si="28"/>
        <v>6.7202988498985095E-2</v>
      </c>
      <c r="M24" s="814">
        <f t="shared" si="28"/>
        <v>-0.10825612834608334</v>
      </c>
      <c r="N24" s="814">
        <f t="shared" si="28"/>
        <v>-0.10309009868371377</v>
      </c>
      <c r="O24" s="814">
        <f t="shared" si="28"/>
        <v>0.12988262615059387</v>
      </c>
      <c r="P24" s="814">
        <f t="shared" si="28"/>
        <v>5.7904775759940685E-2</v>
      </c>
      <c r="Q24" s="814">
        <f t="shared" si="28"/>
        <v>3.5639388441937259E-2</v>
      </c>
      <c r="R24" s="814">
        <f t="shared" si="28"/>
        <v>5.623806972657075E-3</v>
      </c>
      <c r="S24" s="814">
        <f t="shared" si="28"/>
        <v>3.2083383104604124E-3</v>
      </c>
      <c r="T24" s="814">
        <f t="shared" si="28"/>
        <v>-0.25818408489153344</v>
      </c>
      <c r="U24" s="814">
        <f t="shared" si="28"/>
        <v>-2.176705364944409E-3</v>
      </c>
      <c r="V24" s="814">
        <f t="shared" si="28"/>
        <v>-2.1523159581368079E-3</v>
      </c>
      <c r="W24" s="814">
        <f t="shared" si="28"/>
        <v>-2.1280947557388297E-3</v>
      </c>
      <c r="X24" s="814">
        <f t="shared" si="28"/>
        <v>-2.1040413482497078E-3</v>
      </c>
      <c r="Y24" s="814">
        <f t="shared" si="28"/>
        <v>-2.0801553271481144E-3</v>
      </c>
      <c r="Z24" s="814">
        <f t="shared" si="28"/>
        <v>-2.0564362850935547E-3</v>
      </c>
      <c r="AA24" s="814">
        <f t="shared" si="28"/>
        <v>-2.0328838161165486E-3</v>
      </c>
      <c r="AB24" s="814">
        <f t="shared" si="28"/>
        <v>-2.0094975158047035E-3</v>
      </c>
      <c r="AC24" s="814">
        <f t="shared" si="28"/>
        <v>-1.9862769814801284E-3</v>
      </c>
      <c r="AD24" s="685"/>
      <c r="AE24" s="685"/>
      <c r="AF24" s="685"/>
      <c r="AG24" s="685"/>
      <c r="AH24" s="685"/>
      <c r="AI24" s="685"/>
      <c r="AJ24" s="685"/>
      <c r="AK24" s="685"/>
      <c r="AL24" s="685"/>
      <c r="AM24" s="685"/>
      <c r="AN24" s="685"/>
      <c r="AO24" s="685"/>
      <c r="AP24" s="685"/>
      <c r="AQ24" s="685"/>
      <c r="AR24" s="685"/>
      <c r="AS24" s="685"/>
      <c r="AT24" s="685"/>
      <c r="AU24" s="685"/>
      <c r="AV24" s="685"/>
      <c r="AW24" s="685"/>
      <c r="AX24" s="685"/>
      <c r="AY24" s="685"/>
      <c r="AZ24" s="685"/>
      <c r="BA24" s="685"/>
      <c r="BB24" s="685"/>
      <c r="BC24" s="685"/>
      <c r="BD24" s="685"/>
      <c r="BE24" s="685"/>
    </row>
    <row r="25" spans="1:57">
      <c r="A25" s="685"/>
      <c r="B25" s="685"/>
      <c r="C25" s="795"/>
      <c r="D25" s="814"/>
      <c r="E25" s="814"/>
      <c r="F25" s="814"/>
      <c r="G25" s="814"/>
      <c r="H25" s="814"/>
      <c r="I25" s="814"/>
      <c r="J25" s="814"/>
      <c r="K25" s="814"/>
      <c r="L25" s="814"/>
      <c r="M25" s="814"/>
      <c r="N25" s="814"/>
      <c r="O25" s="814"/>
      <c r="P25" s="814"/>
      <c r="Q25" s="814"/>
      <c r="R25" s="814"/>
      <c r="S25" s="814"/>
      <c r="T25" s="814"/>
      <c r="U25" s="814"/>
      <c r="V25" s="814"/>
      <c r="W25" s="814"/>
      <c r="X25" s="814"/>
      <c r="Y25" s="814"/>
      <c r="Z25" s="814"/>
      <c r="AA25" s="814"/>
      <c r="AB25" s="814"/>
      <c r="AC25" s="814"/>
      <c r="AD25" s="685"/>
      <c r="AE25" s="685"/>
      <c r="AF25" s="685"/>
      <c r="AG25" s="685"/>
      <c r="AH25" s="685"/>
      <c r="AI25" s="685"/>
      <c r="AJ25" s="685"/>
      <c r="AK25" s="685"/>
      <c r="AL25" s="685"/>
      <c r="AM25" s="685"/>
      <c r="AN25" s="685"/>
      <c r="AO25" s="685"/>
      <c r="AP25" s="685"/>
      <c r="AQ25" s="685"/>
      <c r="AR25" s="685"/>
      <c r="AS25" s="685"/>
      <c r="AT25" s="685"/>
      <c r="AU25" s="685"/>
      <c r="AV25" s="685"/>
      <c r="AW25" s="685"/>
      <c r="AX25" s="685"/>
      <c r="AY25" s="685"/>
      <c r="AZ25" s="685"/>
      <c r="BA25" s="685"/>
      <c r="BB25" s="685"/>
      <c r="BC25" s="685"/>
      <c r="BD25" s="685"/>
      <c r="BE25" s="685"/>
    </row>
    <row r="26" spans="1:57">
      <c r="A26" s="685"/>
      <c r="B26" s="685"/>
      <c r="C26" s="685"/>
      <c r="D26" s="685"/>
      <c r="E26" s="685"/>
      <c r="F26" s="685"/>
      <c r="G26" s="685"/>
      <c r="H26" s="685"/>
      <c r="I26" s="685"/>
      <c r="J26" s="685"/>
      <c r="K26" s="795"/>
      <c r="L26" s="795"/>
      <c r="M26" s="795"/>
      <c r="N26" s="685"/>
      <c r="O26" s="685"/>
      <c r="P26" s="685"/>
      <c r="Q26" s="685"/>
      <c r="R26" s="685"/>
      <c r="S26" s="685"/>
      <c r="T26" s="685"/>
      <c r="U26" s="685"/>
      <c r="V26" s="685"/>
      <c r="W26" s="685"/>
      <c r="X26" s="685"/>
      <c r="Y26" s="685"/>
      <c r="Z26" s="685"/>
      <c r="AA26" s="685"/>
      <c r="AB26" s="685"/>
      <c r="AC26" s="685"/>
      <c r="AD26" s="685"/>
      <c r="AE26" s="685"/>
      <c r="AF26" s="685"/>
      <c r="AG26" s="685"/>
      <c r="AH26" s="685"/>
      <c r="AI26" s="685"/>
      <c r="AJ26" s="685"/>
      <c r="AK26" s="685"/>
      <c r="AL26" s="685"/>
      <c r="AM26" s="685"/>
      <c r="AN26" s="685"/>
      <c r="AO26" s="685"/>
      <c r="AP26" s="685"/>
      <c r="AQ26" s="685"/>
      <c r="AR26" s="685"/>
      <c r="AS26" s="685"/>
      <c r="AT26" s="685"/>
      <c r="AU26" s="685"/>
      <c r="AV26" s="685"/>
      <c r="AW26" s="685"/>
      <c r="AX26" s="685"/>
      <c r="AY26" s="685"/>
      <c r="AZ26" s="685"/>
      <c r="BA26" s="685"/>
      <c r="BB26" s="685"/>
      <c r="BC26" s="685"/>
      <c r="BD26" s="685"/>
      <c r="BE26" s="685"/>
    </row>
    <row r="27" spans="1:57">
      <c r="A27" s="685"/>
      <c r="B27" s="977" t="s">
        <v>34</v>
      </c>
      <c r="C27" s="1082">
        <f>Master!H53</f>
        <v>13417</v>
      </c>
      <c r="D27" s="1082">
        <f>Master!I53</f>
        <v>13820</v>
      </c>
      <c r="E27" s="1082">
        <f>Master!J53</f>
        <v>14465.6</v>
      </c>
      <c r="F27" s="1082">
        <f>Master!K53</f>
        <v>15411.2</v>
      </c>
      <c r="G27" s="1082">
        <f>Master!L53</f>
        <v>15565.999999999998</v>
      </c>
      <c r="H27" s="1082">
        <f>Master!M53</f>
        <v>15534.3</v>
      </c>
      <c r="I27" s="1082">
        <f>Master!N53</f>
        <v>14564.2</v>
      </c>
      <c r="J27" s="1082">
        <f>Master!O53</f>
        <v>14748</v>
      </c>
      <c r="K27" s="1082">
        <f>Master!P53</f>
        <v>12825</v>
      </c>
      <c r="L27" s="1082">
        <f>Master!Q53</f>
        <v>14855</v>
      </c>
      <c r="M27" s="1082">
        <f>Master!R53</f>
        <v>12632</v>
      </c>
      <c r="N27" s="1082">
        <f>Master!S53</f>
        <v>12360.8</v>
      </c>
      <c r="O27" s="1082">
        <f>Master!T53</f>
        <v>13779</v>
      </c>
      <c r="P27" s="978">
        <f t="shared" ref="P27:X27" si="29">P29*P22</f>
        <v>14019.866865752156</v>
      </c>
      <c r="Q27" s="978">
        <f t="shared" si="29"/>
        <v>13446.534034123557</v>
      </c>
      <c r="R27" s="978">
        <f t="shared" si="29"/>
        <v>13123.495907719536</v>
      </c>
      <c r="S27" s="978">
        <f t="shared" si="29"/>
        <v>12828.585520988438</v>
      </c>
      <c r="T27" s="978">
        <f t="shared" si="29"/>
        <v>9344.9896914340334</v>
      </c>
      <c r="U27" s="978">
        <f t="shared" si="29"/>
        <v>9356.915862691485</v>
      </c>
      <c r="V27" s="978">
        <f t="shared" si="29"/>
        <v>9369.330621336172</v>
      </c>
      <c r="W27" s="978">
        <f t="shared" si="29"/>
        <v>9382.2400759159482</v>
      </c>
      <c r="X27" s="978">
        <f t="shared" si="29"/>
        <v>9395.6504823885207</v>
      </c>
      <c r="Y27" s="978">
        <f>Y29*Y22</f>
        <v>9409.5682467056267</v>
      </c>
      <c r="Z27" s="978">
        <f>Z29*Z22</f>
        <v>9423.9999274514048</v>
      </c>
      <c r="AA27" s="978">
        <f>AA29*AA22</f>
        <v>9438.9522385360669</v>
      </c>
      <c r="AB27" s="978">
        <f>AB29*AB22</f>
        <v>9454.4320519459015</v>
      </c>
      <c r="AC27" s="978">
        <f>AC29*AC22</f>
        <v>9470.446400550727</v>
      </c>
      <c r="AD27" s="685"/>
      <c r="AE27" s="685"/>
      <c r="AF27" s="685"/>
      <c r="AG27" s="685"/>
      <c r="AH27" s="685"/>
      <c r="AI27" s="685"/>
      <c r="AJ27" s="685"/>
      <c r="AK27" s="685"/>
      <c r="AL27" s="685"/>
      <c r="AM27" s="685"/>
      <c r="AN27" s="685"/>
      <c r="AO27" s="685"/>
      <c r="AP27" s="685"/>
      <c r="AQ27" s="685"/>
      <c r="AR27" s="685"/>
      <c r="AS27" s="685"/>
      <c r="AT27" s="685"/>
      <c r="AU27" s="685"/>
      <c r="AV27" s="685"/>
      <c r="AW27" s="685"/>
      <c r="AX27" s="685"/>
      <c r="AY27" s="685"/>
      <c r="AZ27" s="685"/>
      <c r="BA27" s="685"/>
      <c r="BB27" s="685"/>
      <c r="BC27" s="685"/>
      <c r="BD27" s="685"/>
      <c r="BE27" s="685"/>
    </row>
    <row r="28" spans="1:57">
      <c r="A28" s="685"/>
      <c r="B28" s="685" t="s">
        <v>192</v>
      </c>
      <c r="C28" s="795"/>
      <c r="D28" s="814">
        <f>D27/C27-1</f>
        <v>3.0036520831780544E-2</v>
      </c>
      <c r="E28" s="814">
        <f t="shared" ref="E28:N28" si="30">E27/D27-1</f>
        <v>4.6714905933429751E-2</v>
      </c>
      <c r="F28" s="814">
        <f t="shared" si="30"/>
        <v>6.5368875124433234E-2</v>
      </c>
      <c r="G28" s="814">
        <f>G27/F27-1</f>
        <v>1.0044642857142794E-2</v>
      </c>
      <c r="H28" s="814">
        <f>H27/G27-1</f>
        <v>-2.0364897854296959E-3</v>
      </c>
      <c r="I28" s="814">
        <f>I27/H27-1</f>
        <v>-6.2448903394423882E-2</v>
      </c>
      <c r="J28" s="814">
        <f t="shared" si="30"/>
        <v>1.2619985993051364E-2</v>
      </c>
      <c r="K28" s="814">
        <f t="shared" si="30"/>
        <v>-0.13039056143205863</v>
      </c>
      <c r="L28" s="814">
        <f t="shared" si="30"/>
        <v>0.15828460038986347</v>
      </c>
      <c r="M28" s="814">
        <f t="shared" si="30"/>
        <v>-0.14964658364187144</v>
      </c>
      <c r="N28" s="814">
        <f t="shared" si="30"/>
        <v>-2.1469284357188201E-2</v>
      </c>
      <c r="O28" s="814">
        <f t="shared" ref="O28:AC28" si="31">O27/N27-1</f>
        <v>0.1147336741958449</v>
      </c>
      <c r="P28" s="814">
        <f t="shared" si="31"/>
        <v>1.7480721805076982E-2</v>
      </c>
      <c r="Q28" s="814">
        <f t="shared" si="31"/>
        <v>-4.0894313556510409E-2</v>
      </c>
      <c r="R28" s="814">
        <f t="shared" si="31"/>
        <v>-2.4023895346134583E-2</v>
      </c>
      <c r="S28" s="814">
        <f t="shared" si="31"/>
        <v>-2.2471938026637051E-2</v>
      </c>
      <c r="T28" s="814">
        <f t="shared" si="31"/>
        <v>-0.27154948796615219</v>
      </c>
      <c r="U28" s="814">
        <f t="shared" si="31"/>
        <v>1.2762102100962736E-3</v>
      </c>
      <c r="V28" s="814">
        <f t="shared" si="31"/>
        <v>1.3268002862125705E-3</v>
      </c>
      <c r="W28" s="814">
        <f t="shared" si="31"/>
        <v>1.3778417158616385E-3</v>
      </c>
      <c r="X28" s="814">
        <f t="shared" si="31"/>
        <v>1.4293395142377374E-3</v>
      </c>
      <c r="Y28" s="814">
        <f t="shared" si="31"/>
        <v>1.4812986437919839E-3</v>
      </c>
      <c r="Z28" s="814">
        <f t="shared" si="31"/>
        <v>1.5337240102202276E-3</v>
      </c>
      <c r="AA28" s="814">
        <f t="shared" si="31"/>
        <v>1.5866204583796506E-3</v>
      </c>
      <c r="AB28" s="814">
        <f t="shared" si="31"/>
        <v>1.6399927681205462E-3</v>
      </c>
      <c r="AC28" s="814">
        <f t="shared" si="31"/>
        <v>1.6938456500439347E-3</v>
      </c>
      <c r="AD28" s="685"/>
      <c r="AE28" s="685"/>
      <c r="AF28" s="685"/>
      <c r="AG28" s="685"/>
      <c r="AH28" s="685"/>
      <c r="AI28" s="685"/>
      <c r="AJ28" s="685"/>
      <c r="AK28" s="685"/>
      <c r="AL28" s="685"/>
      <c r="AM28" s="685"/>
      <c r="AN28" s="685"/>
      <c r="AO28" s="685"/>
      <c r="AP28" s="685"/>
      <c r="AQ28" s="685"/>
      <c r="AR28" s="685"/>
      <c r="AS28" s="685"/>
      <c r="AT28" s="685"/>
      <c r="AU28" s="685"/>
      <c r="AV28" s="685"/>
      <c r="AW28" s="685"/>
      <c r="AX28" s="685"/>
      <c r="AY28" s="685"/>
      <c r="AZ28" s="685"/>
      <c r="BA28" s="685"/>
      <c r="BB28" s="685"/>
      <c r="BC28" s="685"/>
      <c r="BD28" s="685"/>
      <c r="BE28" s="685"/>
    </row>
    <row r="29" spans="1:57">
      <c r="A29" s="685"/>
      <c r="B29" s="685" t="s">
        <v>548</v>
      </c>
      <c r="C29" s="814">
        <f t="shared" ref="C29:K29" si="32">C27/C22</f>
        <v>0.48954646623125481</v>
      </c>
      <c r="D29" s="814">
        <f t="shared" si="32"/>
        <v>0.47272105353172567</v>
      </c>
      <c r="E29" s="814">
        <f t="shared" si="32"/>
        <v>0.47141330135307769</v>
      </c>
      <c r="F29" s="814">
        <f t="shared" si="32"/>
        <v>0.46865344848558571</v>
      </c>
      <c r="G29" s="814">
        <f t="shared" si="32"/>
        <v>0.46025203574153029</v>
      </c>
      <c r="H29" s="814">
        <f t="shared" si="32"/>
        <v>0.44551610211052511</v>
      </c>
      <c r="I29" s="814">
        <f t="shared" si="32"/>
        <v>0.42420906077605547</v>
      </c>
      <c r="J29" s="814">
        <f t="shared" si="32"/>
        <v>0.4019985444316333</v>
      </c>
      <c r="K29" s="814">
        <f t="shared" si="32"/>
        <v>0.37723916816189662</v>
      </c>
      <c r="L29" s="814">
        <f>L27/L22</f>
        <v>0.38070708235625778</v>
      </c>
      <c r="M29" s="814">
        <f>M27/M22</f>
        <v>0.36303649332957805</v>
      </c>
      <c r="N29" s="814">
        <f>N27/N22</f>
        <v>0.37901450341888204</v>
      </c>
      <c r="O29" s="814">
        <f>O27/O22</f>
        <v>0.3833687145086932</v>
      </c>
      <c r="P29" s="933">
        <v>0.37</v>
      </c>
      <c r="Q29" s="933">
        <v>0.36</v>
      </c>
      <c r="R29" s="933">
        <v>0.34499999999999997</v>
      </c>
      <c r="S29" s="933">
        <v>0.33</v>
      </c>
      <c r="T29" s="933">
        <v>0.33</v>
      </c>
      <c r="U29" s="933">
        <v>0.33</v>
      </c>
      <c r="V29" s="933">
        <v>0.33</v>
      </c>
      <c r="W29" s="933">
        <v>0.33</v>
      </c>
      <c r="X29" s="933">
        <v>0.33</v>
      </c>
      <c r="Y29" s="933">
        <v>0.33</v>
      </c>
      <c r="Z29" s="933">
        <v>0.33</v>
      </c>
      <c r="AA29" s="933">
        <v>0.33</v>
      </c>
      <c r="AB29" s="933">
        <v>0.33</v>
      </c>
      <c r="AC29" s="933">
        <v>0.33</v>
      </c>
      <c r="AD29" s="685"/>
      <c r="AE29" s="685"/>
      <c r="AF29" s="685"/>
      <c r="AG29" s="685"/>
      <c r="AH29" s="685"/>
      <c r="AI29" s="685"/>
      <c r="AJ29" s="685"/>
      <c r="AK29" s="685"/>
      <c r="AL29" s="685"/>
      <c r="AM29" s="685"/>
      <c r="AN29" s="685"/>
      <c r="AO29" s="685"/>
      <c r="AP29" s="685"/>
      <c r="AQ29" s="685"/>
      <c r="AR29" s="685"/>
      <c r="AS29" s="685"/>
      <c r="AT29" s="685"/>
      <c r="AU29" s="685"/>
      <c r="AV29" s="685"/>
      <c r="AW29" s="685"/>
      <c r="AX29" s="685"/>
      <c r="AY29" s="685"/>
      <c r="AZ29" s="685"/>
      <c r="BA29" s="685"/>
      <c r="BB29" s="685"/>
      <c r="BC29" s="685"/>
      <c r="BD29" s="685"/>
      <c r="BE29" s="685"/>
    </row>
    <row r="30" spans="1:57">
      <c r="A30" s="685"/>
      <c r="B30" s="685" t="s">
        <v>2397</v>
      </c>
      <c r="C30" s="796">
        <f t="shared" ref="C30:S30" si="33">C27/C45</f>
        <v>993.85185185185185</v>
      </c>
      <c r="D30" s="796">
        <f t="shared" si="33"/>
        <v>1094.2201108471891</v>
      </c>
      <c r="E30" s="796">
        <f t="shared" si="33"/>
        <v>1162.8295819935693</v>
      </c>
      <c r="F30" s="796">
        <f t="shared" si="33"/>
        <v>1171.063829787234</v>
      </c>
      <c r="G30" s="796">
        <f t="shared" si="33"/>
        <v>1219.9059561128524</v>
      </c>
      <c r="H30" s="796">
        <f t="shared" si="33"/>
        <v>1167.1149511645378</v>
      </c>
      <c r="I30" s="796">
        <f t="shared" si="33"/>
        <v>917.71896660365474</v>
      </c>
      <c r="J30" s="796">
        <f t="shared" si="33"/>
        <v>782.38726790450926</v>
      </c>
      <c r="K30" s="796">
        <f t="shared" si="33"/>
        <v>678.57142857142867</v>
      </c>
      <c r="L30" s="796">
        <f t="shared" si="33"/>
        <v>771.68831168831173</v>
      </c>
      <c r="M30" s="796">
        <f t="shared" si="33"/>
        <v>656.20779220779218</v>
      </c>
      <c r="N30" s="796">
        <f>N27/N45</f>
        <v>575.45623836126629</v>
      </c>
      <c r="O30" s="796">
        <f t="shared" si="33"/>
        <v>679.25294830758833</v>
      </c>
      <c r="P30" s="796">
        <f t="shared" si="33"/>
        <v>697.15896895833691</v>
      </c>
      <c r="Q30" s="796">
        <f t="shared" si="33"/>
        <v>759.69118836856262</v>
      </c>
      <c r="R30" s="796">
        <f t="shared" si="33"/>
        <v>717.13092391910027</v>
      </c>
      <c r="S30" s="796">
        <f t="shared" si="33"/>
        <v>668.50367488214886</v>
      </c>
      <c r="T30" s="796">
        <f t="shared" ref="T30:AC30" si="34">T27/T45</f>
        <v>538.15086043386316</v>
      </c>
      <c r="U30" s="796">
        <f t="shared" si="34"/>
        <v>528.27220985933423</v>
      </c>
      <c r="V30" s="796">
        <f t="shared" si="34"/>
        <v>518.60109958683711</v>
      </c>
      <c r="W30" s="796">
        <f t="shared" si="34"/>
        <v>509.13299001543083</v>
      </c>
      <c r="X30" s="796">
        <f t="shared" si="34"/>
        <v>499.863445015747</v>
      </c>
      <c r="Y30" s="796">
        <f t="shared" si="34"/>
        <v>490.78812946953929</v>
      </c>
      <c r="Z30" s="796">
        <f t="shared" si="34"/>
        <v>481.90280687023306</v>
      </c>
      <c r="AA30" s="796">
        <f t="shared" si="34"/>
        <v>473.2033369829058</v>
      </c>
      <c r="AB30" s="796">
        <f t="shared" si="34"/>
        <v>464.68567356216505</v>
      </c>
      <c r="AC30" s="796">
        <f t="shared" si="34"/>
        <v>456.34586212643734</v>
      </c>
      <c r="AD30" s="685"/>
      <c r="AE30" s="685"/>
      <c r="AF30" s="685"/>
      <c r="AG30" s="685"/>
      <c r="AH30" s="685"/>
      <c r="AI30" s="685"/>
      <c r="AJ30" s="685"/>
      <c r="AK30" s="685"/>
      <c r="AL30" s="685"/>
      <c r="AM30" s="685"/>
      <c r="AN30" s="685"/>
      <c r="AO30" s="685"/>
      <c r="AP30" s="685"/>
      <c r="AQ30" s="685"/>
      <c r="AR30" s="685"/>
      <c r="AS30" s="685"/>
      <c r="AT30" s="685"/>
      <c r="AU30" s="685"/>
      <c r="AV30" s="685"/>
      <c r="AW30" s="685"/>
      <c r="AX30" s="685"/>
      <c r="AY30" s="685"/>
      <c r="AZ30" s="685"/>
      <c r="BA30" s="685"/>
      <c r="BB30" s="685"/>
      <c r="BC30" s="685"/>
      <c r="BD30" s="685"/>
      <c r="BE30" s="685"/>
    </row>
    <row r="31" spans="1:57">
      <c r="A31" s="685"/>
      <c r="B31" s="685" t="s">
        <v>2398</v>
      </c>
      <c r="C31" s="796"/>
      <c r="D31" s="796"/>
      <c r="E31" s="796"/>
      <c r="F31" s="796"/>
      <c r="G31" s="796"/>
      <c r="H31" s="796"/>
      <c r="I31" s="796"/>
      <c r="J31" s="796"/>
      <c r="K31" s="796"/>
      <c r="L31" s="796"/>
      <c r="M31" s="796"/>
      <c r="N31" s="796"/>
      <c r="O31" s="796"/>
      <c r="P31" s="796"/>
      <c r="Q31" s="796"/>
      <c r="R31" s="796"/>
      <c r="S31" s="796"/>
      <c r="T31" s="796"/>
      <c r="U31" s="796"/>
      <c r="V31" s="796"/>
      <c r="W31" s="796"/>
      <c r="X31" s="796"/>
      <c r="Y31" s="796"/>
      <c r="Z31" s="796"/>
      <c r="AA31" s="796"/>
      <c r="AB31" s="796"/>
      <c r="AC31" s="796"/>
      <c r="AD31" s="685"/>
      <c r="AE31" s="685"/>
      <c r="AF31" s="685"/>
      <c r="AG31" s="685"/>
      <c r="AH31" s="685"/>
      <c r="AI31" s="685"/>
      <c r="AJ31" s="685"/>
      <c r="AK31" s="685"/>
      <c r="AL31" s="685"/>
      <c r="AM31" s="685"/>
      <c r="AN31" s="685"/>
      <c r="AO31" s="685"/>
      <c r="AP31" s="685"/>
      <c r="AQ31" s="685"/>
      <c r="AR31" s="685"/>
      <c r="AS31" s="685"/>
      <c r="AT31" s="685"/>
      <c r="AU31" s="685"/>
      <c r="AV31" s="685"/>
      <c r="AW31" s="685"/>
      <c r="AX31" s="685"/>
      <c r="AY31" s="685"/>
      <c r="AZ31" s="685"/>
      <c r="BA31" s="685"/>
      <c r="BB31" s="685"/>
      <c r="BC31" s="685"/>
      <c r="BD31" s="685"/>
      <c r="BE31" s="685"/>
    </row>
    <row r="32" spans="1:57">
      <c r="A32" s="685"/>
      <c r="B32" s="685" t="s">
        <v>2399</v>
      </c>
      <c r="C32" s="796"/>
      <c r="D32" s="796"/>
      <c r="E32" s="796"/>
      <c r="F32" s="796"/>
      <c r="G32" s="796"/>
      <c r="H32" s="796"/>
      <c r="I32" s="796"/>
      <c r="J32" s="796"/>
      <c r="K32" s="796"/>
      <c r="L32" s="910">
        <v>1411</v>
      </c>
      <c r="M32" s="796"/>
      <c r="N32" s="796"/>
      <c r="O32" s="796"/>
      <c r="P32" s="796"/>
      <c r="Q32" s="796"/>
      <c r="R32" s="796"/>
      <c r="S32" s="796"/>
      <c r="T32" s="796"/>
      <c r="U32" s="796"/>
      <c r="V32" s="796"/>
      <c r="W32" s="796"/>
      <c r="X32" s="796"/>
      <c r="Y32" s="796"/>
      <c r="Z32" s="796"/>
      <c r="AA32" s="796"/>
      <c r="AB32" s="796"/>
      <c r="AC32" s="796"/>
      <c r="AD32" s="685"/>
      <c r="AE32" s="685"/>
      <c r="AF32" s="685"/>
      <c r="AG32" s="685"/>
      <c r="AH32" s="685"/>
      <c r="AI32" s="685"/>
      <c r="AJ32" s="685"/>
      <c r="AK32" s="685"/>
      <c r="AL32" s="685"/>
      <c r="AM32" s="685"/>
      <c r="AN32" s="685"/>
      <c r="AO32" s="685"/>
      <c r="AP32" s="685"/>
      <c r="AQ32" s="685"/>
      <c r="AR32" s="685"/>
      <c r="AS32" s="685"/>
      <c r="AT32" s="685"/>
      <c r="AU32" s="685"/>
      <c r="AV32" s="685"/>
      <c r="AW32" s="685"/>
      <c r="AX32" s="685"/>
      <c r="AY32" s="685"/>
      <c r="AZ32" s="685"/>
      <c r="BA32" s="685"/>
      <c r="BB32" s="685"/>
      <c r="BC32" s="685"/>
      <c r="BD32" s="685"/>
      <c r="BE32" s="685"/>
    </row>
    <row r="33" spans="1:57">
      <c r="A33" s="685"/>
      <c r="B33" s="685"/>
      <c r="C33" s="796"/>
      <c r="D33" s="796"/>
      <c r="E33" s="796"/>
      <c r="F33" s="796"/>
      <c r="G33" s="796"/>
      <c r="H33" s="796"/>
      <c r="I33" s="796"/>
      <c r="J33" s="796"/>
      <c r="K33" s="796"/>
      <c r="L33" s="789"/>
      <c r="M33" s="796"/>
      <c r="N33" s="685"/>
      <c r="O33" s="789"/>
      <c r="P33" s="685"/>
      <c r="Q33" s="796"/>
      <c r="R33" s="796"/>
      <c r="S33" s="796"/>
      <c r="T33" s="796"/>
      <c r="U33" s="796"/>
      <c r="V33" s="796"/>
      <c r="W33" s="796"/>
      <c r="X33" s="796"/>
      <c r="Y33" s="796"/>
      <c r="Z33" s="796"/>
      <c r="AA33" s="796"/>
      <c r="AB33" s="796"/>
      <c r="AC33" s="796"/>
      <c r="AD33" s="685"/>
      <c r="AE33" s="685"/>
      <c r="AF33" s="685"/>
      <c r="AG33" s="685"/>
      <c r="AH33" s="685"/>
      <c r="AI33" s="685"/>
      <c r="AJ33" s="685"/>
      <c r="AK33" s="685"/>
      <c r="AL33" s="685"/>
      <c r="AM33" s="685"/>
      <c r="AN33" s="685"/>
      <c r="AO33" s="685"/>
      <c r="AP33" s="685"/>
      <c r="AQ33" s="685"/>
      <c r="AR33" s="685"/>
      <c r="AS33" s="685"/>
      <c r="AT33" s="685"/>
      <c r="AU33" s="685"/>
      <c r="AV33" s="685"/>
      <c r="AW33" s="685"/>
      <c r="AX33" s="685"/>
      <c r="AY33" s="685"/>
      <c r="AZ33" s="685"/>
      <c r="BA33" s="685"/>
      <c r="BB33" s="685"/>
      <c r="BC33" s="685"/>
      <c r="BD33" s="685"/>
      <c r="BE33" s="685"/>
    </row>
    <row r="34" spans="1:57">
      <c r="A34" s="685"/>
      <c r="B34" s="685" t="s">
        <v>2400</v>
      </c>
      <c r="C34" s="795">
        <f t="shared" ref="C34:S34" si="35">C22-C27</f>
        <v>13990</v>
      </c>
      <c r="D34" s="795">
        <f t="shared" si="35"/>
        <v>15415</v>
      </c>
      <c r="E34" s="795">
        <f t="shared" si="35"/>
        <v>16219.999999999998</v>
      </c>
      <c r="F34" s="795">
        <f t="shared" si="35"/>
        <v>17472.8</v>
      </c>
      <c r="G34" s="795">
        <f t="shared" si="35"/>
        <v>18254.599999999999</v>
      </c>
      <c r="H34" s="795">
        <f t="shared" si="35"/>
        <v>19333.8</v>
      </c>
      <c r="I34" s="795">
        <f t="shared" si="35"/>
        <v>19768.399999999998</v>
      </c>
      <c r="J34" s="795">
        <f t="shared" si="35"/>
        <v>21938.699999999997</v>
      </c>
      <c r="K34" s="795">
        <f t="shared" si="35"/>
        <v>21172</v>
      </c>
      <c r="L34" s="795">
        <f t="shared" si="35"/>
        <v>24164.5</v>
      </c>
      <c r="M34" s="795">
        <f t="shared" si="35"/>
        <v>22163.4</v>
      </c>
      <c r="N34" s="795">
        <f t="shared" si="35"/>
        <v>20252.2</v>
      </c>
      <c r="O34" s="795">
        <f t="shared" si="35"/>
        <v>22162.9</v>
      </c>
      <c r="P34" s="795">
        <f t="shared" si="35"/>
        <v>23871.665203848264</v>
      </c>
      <c r="Q34" s="795">
        <f t="shared" si="35"/>
        <v>23904.949393997435</v>
      </c>
      <c r="R34" s="795">
        <f t="shared" si="35"/>
        <v>24915.622665380572</v>
      </c>
      <c r="S34" s="795">
        <f t="shared" si="35"/>
        <v>26045.9160577644</v>
      </c>
      <c r="T34" s="795">
        <f t="shared" ref="T34:AC34" si="36">T22-T27</f>
        <v>18973.160888669096</v>
      </c>
      <c r="U34" s="795">
        <f t="shared" si="36"/>
        <v>18997.37463031301</v>
      </c>
      <c r="V34" s="795">
        <f t="shared" si="36"/>
        <v>19022.580352409805</v>
      </c>
      <c r="W34" s="795">
        <f t="shared" si="36"/>
        <v>19048.790457162679</v>
      </c>
      <c r="X34" s="795">
        <f t="shared" si="36"/>
        <v>19076.01764606154</v>
      </c>
      <c r="Y34" s="795">
        <f t="shared" si="36"/>
        <v>19104.274925129605</v>
      </c>
      <c r="Z34" s="795">
        <f t="shared" si="36"/>
        <v>19133.575610280124</v>
      </c>
      <c r="AA34" s="795">
        <f t="shared" si="36"/>
        <v>19163.933332785346</v>
      </c>
      <c r="AB34" s="795">
        <f t="shared" si="36"/>
        <v>19195.362044859859</v>
      </c>
      <c r="AC34" s="795">
        <f t="shared" si="36"/>
        <v>19227.876025360565</v>
      </c>
      <c r="AD34" s="685"/>
      <c r="AE34" s="685"/>
      <c r="AF34" s="685"/>
      <c r="AG34" s="685"/>
      <c r="AH34" s="685"/>
      <c r="AI34" s="685"/>
      <c r="AJ34" s="685"/>
      <c r="AK34" s="685"/>
      <c r="AL34" s="685"/>
      <c r="AM34" s="685"/>
      <c r="AN34" s="685"/>
      <c r="AO34" s="685"/>
      <c r="AP34" s="685"/>
      <c r="AQ34" s="685"/>
      <c r="AR34" s="685"/>
      <c r="AS34" s="685"/>
      <c r="AT34" s="685"/>
      <c r="AU34" s="685"/>
      <c r="AV34" s="685"/>
      <c r="AW34" s="685"/>
      <c r="AX34" s="685"/>
      <c r="AY34" s="685"/>
      <c r="AZ34" s="685"/>
      <c r="BA34" s="685"/>
      <c r="BB34" s="685"/>
      <c r="BC34" s="685"/>
      <c r="BD34" s="685"/>
      <c r="BE34" s="685"/>
    </row>
    <row r="35" spans="1:57">
      <c r="A35" s="685"/>
      <c r="B35" s="685" t="s">
        <v>2401</v>
      </c>
      <c r="C35" s="795"/>
      <c r="D35" s="814">
        <f>D34/C34-1</f>
        <v>0.10185847033595419</v>
      </c>
      <c r="E35" s="814">
        <f t="shared" ref="E35:AC35" si="37">E34/D34-1</f>
        <v>5.2221861822899562E-2</v>
      </c>
      <c r="F35" s="814">
        <f t="shared" si="37"/>
        <v>7.7237977805178826E-2</v>
      </c>
      <c r="G35" s="814">
        <f t="shared" si="37"/>
        <v>4.4743830410695518E-2</v>
      </c>
      <c r="H35" s="814">
        <f t="shared" si="37"/>
        <v>5.9119345260920664E-2</v>
      </c>
      <c r="I35" s="814">
        <f t="shared" si="37"/>
        <v>2.2478767753881801E-2</v>
      </c>
      <c r="J35" s="814">
        <f>J34/I34-1</f>
        <v>0.10978632565103896</v>
      </c>
      <c r="K35" s="814">
        <f t="shared" si="37"/>
        <v>-3.4947376097945515E-2</v>
      </c>
      <c r="L35" s="814">
        <f t="shared" si="37"/>
        <v>0.14134233893822024</v>
      </c>
      <c r="M35" s="814">
        <f t="shared" si="37"/>
        <v>-8.2811562415940676E-2</v>
      </c>
      <c r="N35" s="814">
        <f t="shared" si="37"/>
        <v>-8.6232256783706496E-2</v>
      </c>
      <c r="O35" s="814">
        <f t="shared" si="37"/>
        <v>9.4345305695183734E-2</v>
      </c>
      <c r="P35" s="814">
        <f t="shared" si="37"/>
        <v>7.7100253299354549E-2</v>
      </c>
      <c r="Q35" s="814">
        <f t="shared" si="37"/>
        <v>1.3942969568709884E-3</v>
      </c>
      <c r="R35" s="814">
        <f t="shared" si="37"/>
        <v>4.2278829154807518E-2</v>
      </c>
      <c r="S35" s="814">
        <f t="shared" si="37"/>
        <v>4.5364846287961003E-2</v>
      </c>
      <c r="T35" s="814">
        <f t="shared" si="37"/>
        <v>-0.27154948796615219</v>
      </c>
      <c r="U35" s="814">
        <f t="shared" si="37"/>
        <v>1.2762102100960515E-3</v>
      </c>
      <c r="V35" s="814">
        <f t="shared" si="37"/>
        <v>1.3268002862130146E-3</v>
      </c>
      <c r="W35" s="814">
        <f t="shared" si="37"/>
        <v>1.3778417158614165E-3</v>
      </c>
      <c r="X35" s="814">
        <f t="shared" si="37"/>
        <v>1.4293395142379595E-3</v>
      </c>
      <c r="Y35" s="814">
        <f t="shared" si="37"/>
        <v>1.4812986437919839E-3</v>
      </c>
      <c r="Z35" s="814">
        <f t="shared" si="37"/>
        <v>1.5337240102202276E-3</v>
      </c>
      <c r="AA35" s="814">
        <f t="shared" si="37"/>
        <v>1.5866204583794286E-3</v>
      </c>
      <c r="AB35" s="814">
        <f t="shared" si="37"/>
        <v>1.6399927681205462E-3</v>
      </c>
      <c r="AC35" s="814">
        <f t="shared" si="37"/>
        <v>1.6938456500439347E-3</v>
      </c>
      <c r="AD35" s="685"/>
      <c r="AE35" s="685"/>
      <c r="AF35" s="685"/>
      <c r="AG35" s="685"/>
      <c r="AH35" s="685"/>
      <c r="AI35" s="685"/>
      <c r="AJ35" s="685"/>
      <c r="AK35" s="685"/>
      <c r="AL35" s="685"/>
      <c r="AM35" s="685"/>
      <c r="AN35" s="685"/>
      <c r="AO35" s="685"/>
      <c r="AP35" s="685"/>
      <c r="AQ35" s="685"/>
      <c r="AR35" s="685"/>
      <c r="AS35" s="685"/>
      <c r="AT35" s="685"/>
      <c r="AU35" s="685"/>
      <c r="AV35" s="685"/>
      <c r="AW35" s="685"/>
      <c r="AX35" s="685"/>
      <c r="AY35" s="685"/>
      <c r="AZ35" s="685"/>
      <c r="BA35" s="685"/>
      <c r="BB35" s="685"/>
      <c r="BC35" s="685"/>
      <c r="BD35" s="685"/>
      <c r="BE35" s="685"/>
    </row>
    <row r="36" spans="1:57">
      <c r="A36" s="685"/>
      <c r="B36" s="685" t="s">
        <v>2402</v>
      </c>
      <c r="C36" s="795"/>
      <c r="D36" s="796">
        <f t="shared" ref="D36:M36" si="38">D34-C34</f>
        <v>1425</v>
      </c>
      <c r="E36" s="796">
        <f t="shared" si="38"/>
        <v>804.99999999999818</v>
      </c>
      <c r="F36" s="796">
        <f t="shared" si="38"/>
        <v>1252.8000000000011</v>
      </c>
      <c r="G36" s="796">
        <f t="shared" si="38"/>
        <v>781.79999999999927</v>
      </c>
      <c r="H36" s="796">
        <f t="shared" si="38"/>
        <v>1079.2000000000007</v>
      </c>
      <c r="I36" s="796">
        <f t="shared" si="38"/>
        <v>434.59999999999854</v>
      </c>
      <c r="J36" s="796">
        <f t="shared" si="38"/>
        <v>2170.2999999999993</v>
      </c>
      <c r="K36" s="796">
        <f t="shared" si="38"/>
        <v>-766.69999999999709</v>
      </c>
      <c r="L36" s="796">
        <f t="shared" si="38"/>
        <v>2992.5</v>
      </c>
      <c r="M36" s="796">
        <f t="shared" si="38"/>
        <v>-2001.0999999999985</v>
      </c>
      <c r="N36" s="796">
        <f t="shared" ref="N36:AC36" si="39">N34-M34</f>
        <v>-1911.2000000000007</v>
      </c>
      <c r="O36" s="796">
        <f t="shared" si="39"/>
        <v>1910.7000000000007</v>
      </c>
      <c r="P36" s="796">
        <f t="shared" si="39"/>
        <v>1708.7652038482629</v>
      </c>
      <c r="Q36" s="796">
        <f t="shared" si="39"/>
        <v>33.284190149170172</v>
      </c>
      <c r="R36" s="796">
        <f t="shared" si="39"/>
        <v>1010.673271383137</v>
      </c>
      <c r="S36" s="796">
        <f t="shared" si="39"/>
        <v>1130.2933923838282</v>
      </c>
      <c r="T36" s="796">
        <f t="shared" si="39"/>
        <v>-7072.7551690953042</v>
      </c>
      <c r="U36" s="796">
        <f t="shared" si="39"/>
        <v>24.213741643914545</v>
      </c>
      <c r="V36" s="796">
        <f t="shared" si="39"/>
        <v>25.205722096794489</v>
      </c>
      <c r="W36" s="796">
        <f t="shared" si="39"/>
        <v>26.210104752874031</v>
      </c>
      <c r="X36" s="796">
        <f t="shared" si="39"/>
        <v>27.227188898861641</v>
      </c>
      <c r="Y36" s="796">
        <f t="shared" si="39"/>
        <v>28.257279068064236</v>
      </c>
      <c r="Z36" s="796">
        <f t="shared" si="39"/>
        <v>29.300685150519712</v>
      </c>
      <c r="AA36" s="796">
        <f t="shared" si="39"/>
        <v>30.357722505221318</v>
      </c>
      <c r="AB36" s="796">
        <f t="shared" si="39"/>
        <v>31.428712074513896</v>
      </c>
      <c r="AC36" s="796">
        <f t="shared" si="39"/>
        <v>32.513980500705657</v>
      </c>
      <c r="AD36" s="685"/>
      <c r="AE36" s="685"/>
      <c r="AF36" s="685"/>
      <c r="AG36" s="685"/>
      <c r="AH36" s="685"/>
      <c r="AI36" s="685"/>
      <c r="AJ36" s="685"/>
      <c r="AK36" s="685"/>
      <c r="AL36" s="685"/>
      <c r="AM36" s="685"/>
      <c r="AN36" s="685"/>
      <c r="AO36" s="685"/>
      <c r="AP36" s="685"/>
      <c r="AQ36" s="685"/>
      <c r="AR36" s="685"/>
      <c r="AS36" s="685"/>
      <c r="AT36" s="685"/>
      <c r="AU36" s="685"/>
      <c r="AV36" s="685"/>
      <c r="AW36" s="685"/>
      <c r="AX36" s="685"/>
      <c r="AY36" s="685"/>
      <c r="AZ36" s="685"/>
      <c r="BA36" s="685"/>
      <c r="BB36" s="685"/>
      <c r="BC36" s="685"/>
      <c r="BD36" s="685"/>
      <c r="BE36" s="685"/>
    </row>
    <row r="37" spans="1:57">
      <c r="A37" s="685"/>
      <c r="B37" s="685" t="s">
        <v>2403</v>
      </c>
      <c r="C37" s="795">
        <f t="shared" ref="C37:S37" si="40">C34/C45</f>
        <v>1036.2962962962963</v>
      </c>
      <c r="D37" s="795">
        <f t="shared" si="40"/>
        <v>1220.5067300079177</v>
      </c>
      <c r="E37" s="795">
        <f t="shared" si="40"/>
        <v>1303.8585209003215</v>
      </c>
      <c r="F37" s="795">
        <f t="shared" si="40"/>
        <v>1327.7203647416413</v>
      </c>
      <c r="G37" s="795">
        <f t="shared" si="40"/>
        <v>1430.6112852664576</v>
      </c>
      <c r="H37" s="795">
        <f t="shared" si="40"/>
        <v>1452.5770097670922</v>
      </c>
      <c r="I37" s="795">
        <f t="shared" si="40"/>
        <v>1245.645872715816</v>
      </c>
      <c r="J37" s="795">
        <f t="shared" si="40"/>
        <v>1163.8567639257292</v>
      </c>
      <c r="K37" s="795">
        <f t="shared" si="40"/>
        <v>1120.2116402116403</v>
      </c>
      <c r="L37" s="795">
        <f t="shared" si="40"/>
        <v>1255.2987012987012</v>
      </c>
      <c r="M37" s="795">
        <f t="shared" si="40"/>
        <v>1151.3454545454547</v>
      </c>
      <c r="N37" s="795">
        <f t="shared" si="40"/>
        <v>942.83985102420854</v>
      </c>
      <c r="O37" s="795">
        <f t="shared" si="40"/>
        <v>1092.5477297370094</v>
      </c>
      <c r="P37" s="795">
        <f t="shared" si="40"/>
        <v>1187.0544606587898</v>
      </c>
      <c r="Q37" s="795">
        <f t="shared" si="40"/>
        <v>1350.5621126552223</v>
      </c>
      <c r="R37" s="795">
        <f t="shared" si="40"/>
        <v>1361.5094352666979</v>
      </c>
      <c r="S37" s="795">
        <f t="shared" si="40"/>
        <v>1357.2650368819384</v>
      </c>
      <c r="T37" s="795">
        <f t="shared" ref="T37:AC37" si="41">T34/T45</f>
        <v>1092.6093226990554</v>
      </c>
      <c r="U37" s="795">
        <f t="shared" si="41"/>
        <v>1072.5526685022844</v>
      </c>
      <c r="V37" s="795">
        <f t="shared" si="41"/>
        <v>1052.9173840096389</v>
      </c>
      <c r="W37" s="795">
        <f t="shared" si="41"/>
        <v>1033.6942524555716</v>
      </c>
      <c r="X37" s="795">
        <f t="shared" si="41"/>
        <v>1014.8742671531832</v>
      </c>
      <c r="Y37" s="795">
        <f t="shared" si="41"/>
        <v>996.44862649876143</v>
      </c>
      <c r="Z37" s="795">
        <f t="shared" si="41"/>
        <v>978.40872910017015</v>
      </c>
      <c r="AA37" s="795">
        <f t="shared" si="41"/>
        <v>960.74616902589958</v>
      </c>
      <c r="AB37" s="795">
        <f t="shared" si="41"/>
        <v>943.45273117166835</v>
      </c>
      <c r="AC37" s="795">
        <f t="shared" si="41"/>
        <v>926.52038674155449</v>
      </c>
      <c r="AD37" s="685"/>
      <c r="AE37" s="685"/>
      <c r="AF37" s="685"/>
      <c r="AG37" s="685"/>
      <c r="AH37" s="685"/>
      <c r="AI37" s="685"/>
      <c r="AJ37" s="685"/>
      <c r="AK37" s="685"/>
      <c r="AL37" s="685"/>
      <c r="AM37" s="685"/>
      <c r="AN37" s="685"/>
      <c r="AO37" s="685"/>
      <c r="AP37" s="685"/>
      <c r="AQ37" s="685"/>
      <c r="AR37" s="685"/>
      <c r="AS37" s="685"/>
      <c r="AT37" s="685"/>
      <c r="AU37" s="685"/>
      <c r="AV37" s="685"/>
      <c r="AW37" s="685"/>
      <c r="AX37" s="685"/>
      <c r="AY37" s="685"/>
      <c r="AZ37" s="685"/>
      <c r="BA37" s="685"/>
      <c r="BB37" s="685"/>
      <c r="BC37" s="685"/>
      <c r="BD37" s="685"/>
      <c r="BE37" s="685"/>
    </row>
    <row r="38" spans="1:57">
      <c r="A38" s="685"/>
      <c r="B38" s="685" t="s">
        <v>2404</v>
      </c>
      <c r="C38" s="795"/>
      <c r="D38" s="795">
        <f t="shared" ref="D38:AC38" si="42">D37-C37</f>
        <v>184.21043371162136</v>
      </c>
      <c r="E38" s="795">
        <f t="shared" si="42"/>
        <v>83.351790892403869</v>
      </c>
      <c r="F38" s="795">
        <f t="shared" si="42"/>
        <v>23.861843841319796</v>
      </c>
      <c r="G38" s="795">
        <f t="shared" si="42"/>
        <v>102.89092052481624</v>
      </c>
      <c r="H38" s="795">
        <f t="shared" si="42"/>
        <v>21.965724500634678</v>
      </c>
      <c r="I38" s="795">
        <f t="shared" si="42"/>
        <v>-206.93113705127621</v>
      </c>
      <c r="J38" s="795">
        <f t="shared" si="42"/>
        <v>-81.789108790086857</v>
      </c>
      <c r="K38" s="795">
        <f t="shared" si="42"/>
        <v>-43.645123714088868</v>
      </c>
      <c r="L38" s="795">
        <f t="shared" si="42"/>
        <v>135.08706108706087</v>
      </c>
      <c r="M38" s="795">
        <f t="shared" si="42"/>
        <v>-103.9532467532465</v>
      </c>
      <c r="N38" s="795">
        <f t="shared" si="42"/>
        <v>-208.50560352124614</v>
      </c>
      <c r="O38" s="795">
        <f t="shared" si="42"/>
        <v>149.70787871280083</v>
      </c>
      <c r="P38" s="795">
        <f t="shared" si="42"/>
        <v>94.506730921780445</v>
      </c>
      <c r="Q38" s="795">
        <f t="shared" si="42"/>
        <v>163.50765199643251</v>
      </c>
      <c r="R38" s="795">
        <f t="shared" si="42"/>
        <v>10.947322611475556</v>
      </c>
      <c r="S38" s="795">
        <f t="shared" si="42"/>
        <v>-4.2443983847595064</v>
      </c>
      <c r="T38" s="795">
        <f t="shared" si="42"/>
        <v>-264.655714182883</v>
      </c>
      <c r="U38" s="795">
        <f t="shared" si="42"/>
        <v>-20.056654196770978</v>
      </c>
      <c r="V38" s="795">
        <f t="shared" si="42"/>
        <v>-19.635284492645496</v>
      </c>
      <c r="W38" s="795">
        <f t="shared" si="42"/>
        <v>-19.223131554067322</v>
      </c>
      <c r="X38" s="795">
        <f t="shared" si="42"/>
        <v>-18.819985302388432</v>
      </c>
      <c r="Y38" s="795">
        <f t="shared" si="42"/>
        <v>-18.425640654421727</v>
      </c>
      <c r="Z38" s="795">
        <f t="shared" si="42"/>
        <v>-18.039897398591279</v>
      </c>
      <c r="AA38" s="795">
        <f t="shared" si="42"/>
        <v>-17.662560074270573</v>
      </c>
      <c r="AB38" s="795">
        <f t="shared" si="42"/>
        <v>-17.293437854231229</v>
      </c>
      <c r="AC38" s="795">
        <f t="shared" si="42"/>
        <v>-16.932344430113858</v>
      </c>
      <c r="AD38" s="685"/>
      <c r="AE38" s="685"/>
      <c r="AF38" s="685"/>
      <c r="AG38" s="685"/>
      <c r="AH38" s="685"/>
      <c r="AI38" s="685"/>
      <c r="AJ38" s="685"/>
      <c r="AK38" s="685"/>
      <c r="AL38" s="685"/>
      <c r="AM38" s="685"/>
      <c r="AN38" s="685"/>
      <c r="AO38" s="685"/>
      <c r="AP38" s="685"/>
      <c r="AQ38" s="685"/>
      <c r="AR38" s="685"/>
      <c r="AS38" s="685"/>
      <c r="AT38" s="685"/>
      <c r="AU38" s="685"/>
      <c r="AV38" s="685"/>
      <c r="AW38" s="685"/>
      <c r="AX38" s="685"/>
      <c r="AY38" s="685"/>
      <c r="AZ38" s="685"/>
      <c r="BA38" s="685"/>
      <c r="BB38" s="685"/>
      <c r="BC38" s="685"/>
      <c r="BD38" s="685"/>
      <c r="BE38" s="685"/>
    </row>
    <row r="39" spans="1:57">
      <c r="A39" s="685"/>
      <c r="B39" s="685" t="s">
        <v>2405</v>
      </c>
      <c r="C39" s="795"/>
      <c r="D39" s="795"/>
      <c r="E39" s="795"/>
      <c r="F39" s="795"/>
      <c r="G39" s="795"/>
      <c r="H39" s="795"/>
      <c r="I39" s="795"/>
      <c r="J39" s="795">
        <f>J37</f>
        <v>1163.8567639257292</v>
      </c>
      <c r="K39" s="795">
        <f>K37</f>
        <v>1120.2116402116403</v>
      </c>
      <c r="L39" s="795">
        <f>L37-(L20-L32)/L45</f>
        <v>1198.5974025974024</v>
      </c>
      <c r="M39" s="795">
        <f>M37</f>
        <v>1151.3454545454547</v>
      </c>
      <c r="N39" s="795"/>
      <c r="O39" s="789">
        <f>-O36/N36</f>
        <v>0.9997383842611971</v>
      </c>
      <c r="P39" s="795"/>
      <c r="Q39" s="795"/>
      <c r="R39" s="795"/>
      <c r="S39" s="795"/>
      <c r="T39" s="795"/>
      <c r="U39" s="795"/>
      <c r="V39" s="795"/>
      <c r="W39" s="795"/>
      <c r="X39" s="795"/>
      <c r="Y39" s="795"/>
      <c r="Z39" s="795"/>
      <c r="AA39" s="795"/>
      <c r="AB39" s="795"/>
      <c r="AC39" s="795"/>
      <c r="AD39" s="685"/>
      <c r="AE39" s="685"/>
      <c r="AF39" s="685"/>
      <c r="AG39" s="685"/>
      <c r="AH39" s="685"/>
      <c r="AI39" s="685"/>
      <c r="AJ39" s="685"/>
      <c r="AK39" s="685"/>
      <c r="AL39" s="685"/>
      <c r="AM39" s="685"/>
      <c r="AN39" s="685"/>
      <c r="AO39" s="685"/>
      <c r="AP39" s="685"/>
      <c r="AQ39" s="685"/>
      <c r="AR39" s="685"/>
      <c r="AS39" s="685"/>
      <c r="AT39" s="685"/>
      <c r="AU39" s="685"/>
      <c r="AV39" s="685"/>
      <c r="AW39" s="685"/>
      <c r="AX39" s="685"/>
      <c r="AY39" s="685"/>
      <c r="AZ39" s="685"/>
      <c r="BA39" s="685"/>
      <c r="BB39" s="685"/>
      <c r="BC39" s="685"/>
      <c r="BD39" s="685"/>
      <c r="BE39" s="685"/>
    </row>
    <row r="40" spans="1:57">
      <c r="A40" s="685"/>
      <c r="B40" s="685" t="s">
        <v>2404</v>
      </c>
      <c r="C40" s="795"/>
      <c r="D40" s="795"/>
      <c r="E40" s="795"/>
      <c r="F40" s="795"/>
      <c r="G40" s="795"/>
      <c r="H40" s="795"/>
      <c r="I40" s="795"/>
      <c r="J40" s="795"/>
      <c r="K40" s="795">
        <f>K39-J39</f>
        <v>-43.645123714088868</v>
      </c>
      <c r="L40" s="795">
        <f>L39-K39</f>
        <v>78.385762385762064</v>
      </c>
      <c r="M40" s="795">
        <f>M39-L39</f>
        <v>-47.251948051947693</v>
      </c>
      <c r="N40" s="795"/>
      <c r="O40" s="795"/>
      <c r="P40" s="795"/>
      <c r="Q40" s="795"/>
      <c r="R40" s="795"/>
      <c r="S40" s="795"/>
      <c r="T40" s="795"/>
      <c r="U40" s="795"/>
      <c r="V40" s="795"/>
      <c r="W40" s="795"/>
      <c r="X40" s="795"/>
      <c r="Y40" s="795"/>
      <c r="Z40" s="795"/>
      <c r="AA40" s="795"/>
      <c r="AB40" s="795"/>
      <c r="AC40" s="795"/>
      <c r="AD40" s="685"/>
      <c r="AE40" s="685"/>
      <c r="AF40" s="685"/>
      <c r="AG40" s="685"/>
      <c r="AH40" s="685"/>
      <c r="AI40" s="685"/>
      <c r="AJ40" s="685"/>
      <c r="AK40" s="685"/>
      <c r="AL40" s="685"/>
      <c r="AM40" s="685"/>
      <c r="AN40" s="685"/>
      <c r="AO40" s="685"/>
      <c r="AP40" s="685"/>
      <c r="AQ40" s="685"/>
      <c r="AR40" s="685"/>
      <c r="AS40" s="685"/>
      <c r="AT40" s="685"/>
      <c r="AU40" s="685"/>
      <c r="AV40" s="685"/>
      <c r="AW40" s="685"/>
      <c r="AX40" s="685"/>
      <c r="AY40" s="685"/>
      <c r="AZ40" s="685"/>
      <c r="BA40" s="685"/>
      <c r="BB40" s="685"/>
      <c r="BC40" s="685"/>
      <c r="BD40" s="685"/>
      <c r="BE40" s="685"/>
    </row>
    <row r="41" spans="1:57">
      <c r="A41" s="685"/>
      <c r="B41" s="685"/>
      <c r="C41" s="795"/>
      <c r="D41" s="795"/>
      <c r="E41" s="795"/>
      <c r="F41" s="795"/>
      <c r="G41" s="795"/>
      <c r="H41" s="795"/>
      <c r="I41" s="795"/>
      <c r="J41" s="795"/>
      <c r="K41" s="795"/>
      <c r="L41" s="789"/>
      <c r="M41" s="795"/>
      <c r="N41" s="795"/>
      <c r="O41" s="795"/>
      <c r="P41" s="795"/>
      <c r="Q41" s="795"/>
      <c r="R41" s="795"/>
      <c r="S41" s="795"/>
      <c r="T41" s="795"/>
      <c r="U41" s="795"/>
      <c r="V41" s="795"/>
      <c r="W41" s="795"/>
      <c r="X41" s="795"/>
      <c r="Y41" s="795"/>
      <c r="Z41" s="795"/>
      <c r="AA41" s="795"/>
      <c r="AB41" s="795"/>
      <c r="AC41" s="795"/>
      <c r="AD41" s="685"/>
      <c r="AE41" s="685"/>
      <c r="AF41" s="685"/>
      <c r="AG41" s="685"/>
      <c r="AH41" s="685"/>
      <c r="AI41" s="685"/>
      <c r="AJ41" s="685"/>
      <c r="AK41" s="685"/>
      <c r="AL41" s="685"/>
      <c r="AM41" s="685"/>
      <c r="AN41" s="685"/>
      <c r="AO41" s="685"/>
      <c r="AP41" s="685"/>
      <c r="AQ41" s="685"/>
      <c r="AR41" s="685"/>
      <c r="AS41" s="685"/>
      <c r="AT41" s="685"/>
      <c r="AU41" s="685"/>
      <c r="AV41" s="685"/>
      <c r="AW41" s="685"/>
      <c r="AX41" s="685"/>
      <c r="AY41" s="685"/>
      <c r="AZ41" s="685"/>
      <c r="BA41" s="685"/>
      <c r="BB41" s="685"/>
      <c r="BC41" s="685"/>
      <c r="BD41" s="685"/>
      <c r="BE41" s="685"/>
    </row>
    <row r="42" spans="1:57">
      <c r="A42" s="685"/>
      <c r="B42" s="685" t="s">
        <v>2406</v>
      </c>
      <c r="C42" s="789">
        <f t="shared" ref="C42:S42" si="43">(C11+C17)/C22</f>
        <v>0.21928704345605138</v>
      </c>
      <c r="D42" s="789">
        <f t="shared" si="43"/>
        <v>0.22192577390114587</v>
      </c>
      <c r="E42" s="789">
        <f t="shared" si="43"/>
        <v>0.24374625231378888</v>
      </c>
      <c r="F42" s="789">
        <f t="shared" si="43"/>
        <v>0.27211105704902083</v>
      </c>
      <c r="G42" s="789">
        <f t="shared" si="43"/>
        <v>0.26478241072009362</v>
      </c>
      <c r="H42" s="789">
        <f t="shared" si="43"/>
        <v>0.2696562187214101</v>
      </c>
      <c r="I42" s="789">
        <f t="shared" si="43"/>
        <v>0.32922936218055143</v>
      </c>
      <c r="J42" s="789">
        <f t="shared" si="43"/>
        <v>0.36698585590963484</v>
      </c>
      <c r="K42" s="789">
        <f t="shared" si="43"/>
        <v>0.39056387328293674</v>
      </c>
      <c r="L42" s="789">
        <f t="shared" si="43"/>
        <v>0.39370058560463356</v>
      </c>
      <c r="M42" s="789">
        <f t="shared" si="43"/>
        <v>0.44186875276617021</v>
      </c>
      <c r="N42" s="789">
        <f t="shared" si="43"/>
        <v>0.49867230858859968</v>
      </c>
      <c r="O42" s="789">
        <f t="shared" si="43"/>
        <v>0.46686179639918873</v>
      </c>
      <c r="P42" s="789">
        <f t="shared" si="43"/>
        <v>0.469008010469391</v>
      </c>
      <c r="Q42" s="789">
        <f t="shared" si="43"/>
        <v>0.43978385650284058</v>
      </c>
      <c r="R42" s="789">
        <f t="shared" si="43"/>
        <v>0.44991091316197485</v>
      </c>
      <c r="S42" s="789">
        <f t="shared" si="43"/>
        <v>0.46173190265578423</v>
      </c>
      <c r="T42" s="789">
        <f t="shared" ref="T42:AC42" si="44">(T11+T17)/T22</f>
        <v>0.26107801634820621</v>
      </c>
      <c r="U42" s="789">
        <f t="shared" si="44"/>
        <v>0.26201983417068592</v>
      </c>
      <c r="V42" s="789">
        <f t="shared" si="44"/>
        <v>0.2629976890477968</v>
      </c>
      <c r="W42" s="789">
        <f t="shared" si="44"/>
        <v>0.2640117643412706</v>
      </c>
      <c r="X42" s="789">
        <f t="shared" si="44"/>
        <v>0.2650622399222553</v>
      </c>
      <c r="Y42" s="789">
        <f t="shared" si="44"/>
        <v>0.26614929198078996</v>
      </c>
      <c r="Z42" s="789">
        <f t="shared" si="44"/>
        <v>0.26727309283124911</v>
      </c>
      <c r="AA42" s="789">
        <f t="shared" si="44"/>
        <v>0.26843381071382938</v>
      </c>
      <c r="AB42" s="789">
        <f t="shared" si="44"/>
        <v>0.26963160959216204</v>
      </c>
      <c r="AC42" s="789">
        <f t="shared" si="44"/>
        <v>0.27086664894714496</v>
      </c>
      <c r="AD42" s="685"/>
      <c r="AE42" s="685"/>
      <c r="AF42" s="685"/>
      <c r="AG42" s="685"/>
      <c r="AH42" s="685"/>
      <c r="AI42" s="685"/>
      <c r="AJ42" s="685"/>
      <c r="AK42" s="685"/>
      <c r="AL42" s="685"/>
      <c r="AM42" s="685"/>
      <c r="AN42" s="685"/>
      <c r="AO42" s="685"/>
      <c r="AP42" s="685"/>
      <c r="AQ42" s="685"/>
      <c r="AR42" s="685"/>
      <c r="AS42" s="685"/>
      <c r="AT42" s="685"/>
      <c r="AU42" s="685"/>
      <c r="AV42" s="685"/>
      <c r="AW42" s="685"/>
      <c r="AX42" s="685"/>
      <c r="AY42" s="685"/>
      <c r="AZ42" s="685"/>
      <c r="BA42" s="685"/>
      <c r="BB42" s="685"/>
      <c r="BC42" s="685"/>
      <c r="BD42" s="685"/>
      <c r="BE42" s="685"/>
    </row>
    <row r="43" spans="1:57">
      <c r="A43" s="685"/>
      <c r="B43" s="685" t="s">
        <v>2407</v>
      </c>
      <c r="C43" s="789">
        <f>(C11+C17)/Master!H28</f>
        <v>0.11479899804572116</v>
      </c>
      <c r="D43" s="789">
        <f>(D11+D17)/Master!I28</f>
        <v>0.11213893613196721</v>
      </c>
      <c r="E43" s="789">
        <f>(E11+E17)/Master!J28</f>
        <v>0.11951615093917531</v>
      </c>
      <c r="F43" s="789">
        <f>(F11+F17)/Master!K28</f>
        <v>0.12913910152055696</v>
      </c>
      <c r="G43" s="789">
        <f>(G11+G17)/Master!L28</f>
        <v>0.12135334229526677</v>
      </c>
      <c r="H43" s="789">
        <f>(H11+H17)/Master!M28</f>
        <v>0.11735631265726724</v>
      </c>
      <c r="I43" s="789">
        <f>(I11+I17)/Master!N28</f>
        <v>0.12837073547449235</v>
      </c>
      <c r="J43" s="789">
        <f>(J11+J17)/Master!O28</f>
        <v>0.13982618701927771</v>
      </c>
      <c r="K43" s="789">
        <f>(K11+K17)/Master!P28</f>
        <v>0.14084327764518695</v>
      </c>
      <c r="L43" s="789">
        <f>(L11+L17)/Master!Q28</f>
        <v>0.15163359984206889</v>
      </c>
      <c r="M43" s="789"/>
      <c r="N43" s="789"/>
      <c r="O43" s="789"/>
      <c r="P43" s="789"/>
      <c r="Q43" s="789"/>
      <c r="R43" s="789"/>
      <c r="S43" s="789"/>
      <c r="T43" s="789"/>
      <c r="U43" s="789"/>
      <c r="V43" s="789"/>
      <c r="W43" s="789"/>
      <c r="X43" s="789"/>
      <c r="Y43" s="789"/>
      <c r="Z43" s="789"/>
      <c r="AA43" s="789"/>
      <c r="AB43" s="789"/>
      <c r="AC43" s="789"/>
      <c r="AD43" s="685"/>
      <c r="AE43" s="685"/>
      <c r="AF43" s="685"/>
      <c r="AG43" s="685"/>
      <c r="AH43" s="685"/>
      <c r="AI43" s="685"/>
      <c r="AJ43" s="685"/>
      <c r="AK43" s="685"/>
      <c r="AL43" s="685"/>
      <c r="AM43" s="685"/>
      <c r="AN43" s="685"/>
      <c r="AO43" s="685"/>
      <c r="AP43" s="685"/>
      <c r="AQ43" s="685"/>
      <c r="AR43" s="685"/>
      <c r="AS43" s="685"/>
      <c r="AT43" s="685"/>
      <c r="AU43" s="685"/>
      <c r="AV43" s="685"/>
      <c r="AW43" s="685"/>
      <c r="AX43" s="685"/>
      <c r="AY43" s="685"/>
      <c r="AZ43" s="685"/>
      <c r="BA43" s="685"/>
      <c r="BB43" s="685"/>
      <c r="BC43" s="685"/>
      <c r="BD43" s="685"/>
      <c r="BE43" s="685"/>
    </row>
    <row r="44" spans="1:57">
      <c r="A44" s="685"/>
      <c r="B44" s="685"/>
      <c r="C44" s="789"/>
      <c r="D44" s="789"/>
      <c r="E44" s="789"/>
      <c r="F44" s="789"/>
      <c r="G44" s="789"/>
      <c r="H44" s="789"/>
      <c r="I44" s="789"/>
      <c r="J44" s="789"/>
      <c r="K44" s="789"/>
      <c r="L44" s="789"/>
      <c r="M44" s="789"/>
      <c r="N44" s="789"/>
      <c r="O44" s="789"/>
      <c r="P44" s="789"/>
      <c r="Q44" s="789"/>
      <c r="R44" s="789"/>
      <c r="S44" s="789"/>
      <c r="T44" s="789"/>
      <c r="U44" s="789"/>
      <c r="V44" s="789"/>
      <c r="W44" s="789"/>
      <c r="X44" s="789"/>
      <c r="Y44" s="789"/>
      <c r="Z44" s="789"/>
      <c r="AA44" s="789"/>
      <c r="AB44" s="789"/>
      <c r="AC44" s="789"/>
      <c r="AD44" s="685"/>
      <c r="AE44" s="685"/>
      <c r="AF44" s="685"/>
      <c r="AG44" s="685"/>
      <c r="AH44" s="685"/>
      <c r="AI44" s="685"/>
      <c r="AJ44" s="685"/>
      <c r="AK44" s="685"/>
      <c r="AL44" s="685"/>
      <c r="AM44" s="685"/>
      <c r="AN44" s="685"/>
      <c r="AO44" s="685"/>
      <c r="AP44" s="685"/>
      <c r="AQ44" s="685"/>
      <c r="AR44" s="685"/>
      <c r="AS44" s="685"/>
      <c r="AT44" s="685"/>
      <c r="AU44" s="685"/>
      <c r="AV44" s="685"/>
      <c r="AW44" s="685"/>
      <c r="AX44" s="685"/>
      <c r="AY44" s="685"/>
      <c r="AZ44" s="685"/>
      <c r="BA44" s="685"/>
      <c r="BB44" s="685"/>
      <c r="BC44" s="685"/>
      <c r="BD44" s="685"/>
      <c r="BE44" s="685"/>
    </row>
    <row r="45" spans="1:57">
      <c r="A45" s="685"/>
      <c r="B45" s="685" t="s">
        <v>804</v>
      </c>
      <c r="C45" s="790">
        <f>Master!H7</f>
        <v>13.5</v>
      </c>
      <c r="D45" s="790">
        <f>Master!I7</f>
        <v>12.63</v>
      </c>
      <c r="E45" s="790">
        <f>Master!J7</f>
        <v>12.44</v>
      </c>
      <c r="F45" s="790">
        <f>Master!K7</f>
        <v>13.16</v>
      </c>
      <c r="G45" s="790">
        <f>Master!L7</f>
        <v>12.76</v>
      </c>
      <c r="H45" s="790">
        <f>Master!M7</f>
        <v>13.31</v>
      </c>
      <c r="I45" s="790">
        <f>Master!N7</f>
        <v>15.87</v>
      </c>
      <c r="J45" s="790">
        <f>Master!O7</f>
        <v>18.850000000000001</v>
      </c>
      <c r="K45" s="790">
        <f>Master!P7</f>
        <v>18.899999999999999</v>
      </c>
      <c r="L45" s="790">
        <f>Master!Q7</f>
        <v>19.25</v>
      </c>
      <c r="M45" s="790">
        <f>Master!R7</f>
        <v>19.25</v>
      </c>
      <c r="N45" s="790">
        <f>Master!S7</f>
        <v>21.48</v>
      </c>
      <c r="O45" s="790">
        <f>Master!T7</f>
        <v>20.285521077724361</v>
      </c>
      <c r="P45" s="790">
        <f>Master!U7</f>
        <v>20.11</v>
      </c>
      <c r="Q45" s="790">
        <f>Master!V7</f>
        <v>17.7</v>
      </c>
      <c r="R45" s="790">
        <f>Master!W7</f>
        <v>18.3</v>
      </c>
      <c r="S45" s="790">
        <f>Master!X7</f>
        <v>19.190000000000001</v>
      </c>
      <c r="T45" s="790">
        <f>Master!Y7</f>
        <v>17.364999999999998</v>
      </c>
      <c r="U45" s="790">
        <f>Master!Z7</f>
        <v>17.712299999999999</v>
      </c>
      <c r="V45" s="790">
        <f>Master!AA7</f>
        <v>18.066545999999999</v>
      </c>
      <c r="W45" s="790">
        <f>Master!AB7</f>
        <v>18.427876919999999</v>
      </c>
      <c r="X45" s="790">
        <f>Master!AC7</f>
        <v>18.7964344584</v>
      </c>
      <c r="Y45" s="790">
        <f>Master!AD7</f>
        <v>19.172363147567999</v>
      </c>
      <c r="Z45" s="790">
        <f>Master!AE7</f>
        <v>19.55581041051936</v>
      </c>
      <c r="AA45" s="790">
        <f>Master!AF7</f>
        <v>19.946926618729748</v>
      </c>
      <c r="AB45" s="790">
        <f>Master!AG7</f>
        <v>20.345865151104341</v>
      </c>
      <c r="AC45" s="790">
        <f>Master!AH7</f>
        <v>20.752782454126429</v>
      </c>
      <c r="AD45" s="685"/>
      <c r="AE45" s="685"/>
      <c r="AF45" s="685" t="s">
        <v>2408</v>
      </c>
      <c r="AG45" s="685">
        <f>0.75*J3</f>
        <v>17417.400000000001</v>
      </c>
      <c r="AH45" s="685">
        <f>AG45*1.089</f>
        <v>18967.548600000002</v>
      </c>
      <c r="AI45" s="814">
        <f>AH45/AG45-1</f>
        <v>8.8999999999999968E-2</v>
      </c>
      <c r="AJ45" s="685"/>
      <c r="AK45" s="685"/>
      <c r="AL45" s="685"/>
      <c r="AM45" s="685"/>
      <c r="AN45" s="685"/>
      <c r="AO45" s="685"/>
      <c r="AP45" s="685"/>
      <c r="AQ45" s="685"/>
      <c r="AR45" s="685"/>
      <c r="AS45" s="685"/>
      <c r="AT45" s="685"/>
      <c r="AU45" s="685"/>
      <c r="AV45" s="685"/>
      <c r="AW45" s="685"/>
      <c r="AX45" s="685"/>
      <c r="AY45" s="685"/>
      <c r="AZ45" s="685"/>
      <c r="BA45" s="685"/>
      <c r="BB45" s="685"/>
      <c r="BC45" s="685"/>
      <c r="BD45" s="685"/>
      <c r="BE45" s="685"/>
    </row>
    <row r="46" spans="1:57">
      <c r="A46" s="685"/>
      <c r="B46" s="685"/>
      <c r="C46" s="790"/>
      <c r="D46" s="790"/>
      <c r="E46" s="790"/>
      <c r="F46" s="790"/>
      <c r="G46" s="790"/>
      <c r="H46" s="790"/>
      <c r="I46" s="790"/>
      <c r="J46" s="790"/>
      <c r="K46" s="790"/>
      <c r="L46" s="790"/>
      <c r="M46" s="790"/>
      <c r="N46" s="790"/>
      <c r="O46" s="790"/>
      <c r="P46" s="790"/>
      <c r="Q46" s="790"/>
      <c r="R46" s="790"/>
      <c r="S46" s="790"/>
      <c r="T46" s="790"/>
      <c r="U46" s="790"/>
      <c r="V46" s="790"/>
      <c r="W46" s="790"/>
      <c r="X46" s="790"/>
      <c r="Y46" s="790"/>
      <c r="Z46" s="790"/>
      <c r="AA46" s="790"/>
      <c r="AB46" s="790"/>
      <c r="AC46" s="790"/>
      <c r="AD46" s="685"/>
      <c r="AE46" s="685"/>
      <c r="AF46" s="685" t="s">
        <v>2409</v>
      </c>
      <c r="AG46" s="795">
        <f>J3-AG45</f>
        <v>5805.7999999999993</v>
      </c>
      <c r="AH46" s="685">
        <f>AG46*0.9</f>
        <v>5225.2199999999993</v>
      </c>
      <c r="AI46" s="814">
        <f>AH46/AG46-1</f>
        <v>-9.9999999999999978E-2</v>
      </c>
      <c r="AJ46" s="685"/>
      <c r="AK46" s="685"/>
      <c r="AL46" s="685"/>
      <c r="AM46" s="685"/>
      <c r="AN46" s="685"/>
      <c r="AO46" s="685"/>
      <c r="AP46" s="685"/>
      <c r="AQ46" s="685"/>
      <c r="AR46" s="685"/>
      <c r="AS46" s="685"/>
      <c r="AT46" s="685"/>
      <c r="AU46" s="685"/>
      <c r="AV46" s="685"/>
      <c r="AW46" s="685"/>
      <c r="AX46" s="685"/>
      <c r="AY46" s="685"/>
      <c r="AZ46" s="685"/>
      <c r="BA46" s="685"/>
      <c r="BB46" s="685"/>
      <c r="BC46" s="685"/>
      <c r="BD46" s="685"/>
      <c r="BE46" s="685"/>
    </row>
    <row r="47" spans="1:57">
      <c r="A47" s="685"/>
      <c r="B47" s="685" t="s">
        <v>2410</v>
      </c>
      <c r="C47" s="796">
        <f>C11/C45</f>
        <v>163.03703703703704</v>
      </c>
      <c r="D47" s="796">
        <f>D11/D45</f>
        <v>188.36104513064132</v>
      </c>
      <c r="E47" s="796">
        <f>E11/E45</f>
        <v>208.2636655948553</v>
      </c>
      <c r="F47" s="796">
        <f>F11/F45</f>
        <v>242.34042553191492</v>
      </c>
      <c r="G47" s="796">
        <f>G11/G45</f>
        <v>255.92476489028209</v>
      </c>
      <c r="H47" s="934">
        <v>215</v>
      </c>
      <c r="I47" s="796">
        <f t="shared" ref="I47:L47" si="45">I11/I45</f>
        <v>226.55324511657216</v>
      </c>
      <c r="J47" s="796">
        <f t="shared" si="45"/>
        <v>233.38461538461539</v>
      </c>
      <c r="K47" s="796">
        <f t="shared" si="45"/>
        <v>214.70899470899474</v>
      </c>
      <c r="L47" s="796">
        <f t="shared" si="45"/>
        <v>251.48051948051949</v>
      </c>
      <c r="M47" s="796">
        <v>256.57142857142856</v>
      </c>
      <c r="N47" s="796">
        <v>254.47858472998138</v>
      </c>
      <c r="O47" s="796">
        <v>269.46312983808258</v>
      </c>
      <c r="P47" s="796">
        <v>268.16551975402098</v>
      </c>
      <c r="Q47" s="796">
        <v>287.2478718623999</v>
      </c>
      <c r="R47" s="796">
        <v>278.48059081668504</v>
      </c>
      <c r="S47" s="796">
        <v>267.71139956475616</v>
      </c>
      <c r="T47" s="796">
        <f t="shared" ref="T47:X47" si="46">T49+T51</f>
        <v>282.11577936704964</v>
      </c>
      <c r="U47" s="796">
        <f t="shared" si="46"/>
        <v>275.80801477968947</v>
      </c>
      <c r="V47" s="796">
        <f t="shared" si="46"/>
        <v>269.66587509684086</v>
      </c>
      <c r="W47" s="796">
        <f t="shared" si="46"/>
        <v>263.68468797361641</v>
      </c>
      <c r="X47" s="796">
        <f t="shared" si="46"/>
        <v>257.85991649727873</v>
      </c>
      <c r="Y47" s="796">
        <f>Y49+Y51</f>
        <v>252.18715522383982</v>
      </c>
      <c r="Z47" s="796">
        <f>Z49+Z51</f>
        <v>246.66212633103135</v>
      </c>
      <c r="AA47" s="796">
        <f>AA49+AA51</f>
        <v>241.28067588422653</v>
      </c>
      <c r="AB47" s="796">
        <f>AB49+AB51</f>
        <v>236.03877021199256</v>
      </c>
      <c r="AC47" s="796">
        <f>AC49+AC51</f>
        <v>230.93249238805123</v>
      </c>
      <c r="AD47" s="685"/>
      <c r="AE47" s="685"/>
      <c r="AF47" s="685"/>
      <c r="AG47" s="795">
        <f>AG45+AG46</f>
        <v>23223.200000000001</v>
      </c>
      <c r="AH47" s="795">
        <f>AH45+AH46</f>
        <v>24192.768600000003</v>
      </c>
      <c r="AI47" s="814">
        <f>AH47/AG47-1</f>
        <v>4.1750000000000176E-2</v>
      </c>
      <c r="AJ47" s="685"/>
      <c r="AK47" s="685"/>
      <c r="AL47" s="685"/>
      <c r="AM47" s="685"/>
      <c r="AN47" s="685"/>
      <c r="AO47" s="685"/>
      <c r="AP47" s="685"/>
      <c r="AQ47" s="685"/>
      <c r="AR47" s="685"/>
      <c r="AS47" s="685"/>
      <c r="AT47" s="685"/>
      <c r="AU47" s="685"/>
      <c r="AV47" s="685"/>
      <c r="AW47" s="685"/>
      <c r="AX47" s="685"/>
      <c r="AY47" s="685"/>
      <c r="AZ47" s="685"/>
      <c r="BA47" s="685"/>
      <c r="BB47" s="685"/>
      <c r="BC47" s="685"/>
      <c r="BD47" s="685"/>
      <c r="BE47" s="685"/>
    </row>
    <row r="48" spans="1:57">
      <c r="A48" s="685"/>
      <c r="B48" s="685" t="s">
        <v>192</v>
      </c>
      <c r="C48" s="789"/>
      <c r="D48" s="789">
        <f>D47/C47-1</f>
        <v>0.15532671933832698</v>
      </c>
      <c r="E48" s="789">
        <f>E47/D47-1</f>
        <v>0.10566208342287631</v>
      </c>
      <c r="F48" s="789">
        <f>F47/E47-1</f>
        <v>0.16362316412576106</v>
      </c>
      <c r="G48" s="789">
        <f>G47/F47-1</f>
        <v>5.6054780495457202E-2</v>
      </c>
      <c r="H48" s="789">
        <f>H47/G47-1</f>
        <v>-0.15990935815776564</v>
      </c>
      <c r="I48" s="789">
        <f t="shared" ref="I48:N48" si="47">I47/H47-1</f>
        <v>5.3736023798010013E-2</v>
      </c>
      <c r="J48" s="789">
        <f t="shared" si="47"/>
        <v>3.0153486720210898E-2</v>
      </c>
      <c r="K48" s="789">
        <f t="shared" si="47"/>
        <v>-8.0020787337860444E-2</v>
      </c>
      <c r="L48" s="789">
        <f t="shared" si="47"/>
        <v>0.17126215332228134</v>
      </c>
      <c r="M48" s="789">
        <f t="shared" si="47"/>
        <v>2.0243751291055379E-2</v>
      </c>
      <c r="N48" s="789">
        <f t="shared" si="47"/>
        <v>-8.1569637472885814E-3</v>
      </c>
      <c r="O48" s="789">
        <f t="shared" ref="O48:AC48" si="48">O47/N47-1</f>
        <v>5.888332459880985E-2</v>
      </c>
      <c r="P48" s="789">
        <f t="shared" si="48"/>
        <v>-4.8155385296730913E-3</v>
      </c>
      <c r="Q48" s="789">
        <f t="shared" si="48"/>
        <v>7.1158857879575654E-2</v>
      </c>
      <c r="R48" s="789">
        <f t="shared" si="48"/>
        <v>-3.0521657093127708E-2</v>
      </c>
      <c r="S48" s="789">
        <f t="shared" si="48"/>
        <v>-3.8671245347284833E-2</v>
      </c>
      <c r="T48" s="789">
        <f t="shared" si="48"/>
        <v>5.3805627349870155E-2</v>
      </c>
      <c r="U48" s="789">
        <f t="shared" si="48"/>
        <v>-2.2358779794282246E-2</v>
      </c>
      <c r="V48" s="789">
        <f t="shared" si="48"/>
        <v>-2.2269620002721258E-2</v>
      </c>
      <c r="W48" s="789">
        <f t="shared" si="48"/>
        <v>-2.2179992633760359E-2</v>
      </c>
      <c r="X48" s="789">
        <f t="shared" si="48"/>
        <v>-2.2089911708944143E-2</v>
      </c>
      <c r="Y48" s="789">
        <f t="shared" si="48"/>
        <v>-2.1999391570805771E-2</v>
      </c>
      <c r="Z48" s="789">
        <f t="shared" si="48"/>
        <v>-2.1908446875117393E-2</v>
      </c>
      <c r="AA48" s="789">
        <f t="shared" si="48"/>
        <v>-2.1817092582679942E-2</v>
      </c>
      <c r="AB48" s="789">
        <f t="shared" si="48"/>
        <v>-2.1725343950665943E-2</v>
      </c>
      <c r="AC48" s="789">
        <f t="shared" si="48"/>
        <v>-2.1633216523519572E-2</v>
      </c>
      <c r="AD48" s="685"/>
      <c r="AE48" s="685"/>
      <c r="AF48" s="685"/>
      <c r="AG48" s="685"/>
      <c r="AH48" s="685"/>
      <c r="AI48" s="685"/>
      <c r="AJ48" s="685"/>
      <c r="AK48" s="685"/>
      <c r="AL48" s="685"/>
      <c r="AM48" s="685"/>
      <c r="AN48" s="685"/>
      <c r="AO48" s="685"/>
      <c r="AP48" s="685"/>
      <c r="AQ48" s="685"/>
      <c r="AR48" s="685"/>
      <c r="AS48" s="685"/>
      <c r="AT48" s="685"/>
      <c r="AU48" s="685"/>
      <c r="AV48" s="685"/>
      <c r="AW48" s="685"/>
      <c r="AX48" s="685"/>
      <c r="AY48" s="685"/>
      <c r="AZ48" s="685"/>
      <c r="BA48" s="685"/>
      <c r="BB48" s="685"/>
      <c r="BC48" s="685"/>
      <c r="BD48" s="685"/>
      <c r="BE48" s="685"/>
    </row>
    <row r="49" spans="1:57">
      <c r="A49" s="685"/>
      <c r="B49" s="924" t="s">
        <v>2411</v>
      </c>
      <c r="C49" s="789"/>
      <c r="D49" s="789"/>
      <c r="E49" s="789"/>
      <c r="F49" s="789"/>
      <c r="G49" s="789"/>
      <c r="H49" s="789"/>
      <c r="I49" s="789"/>
      <c r="J49" s="789"/>
      <c r="K49" s="789"/>
      <c r="L49" s="789"/>
      <c r="M49" s="796">
        <f>0.4*M47</f>
        <v>102.62857142857143</v>
      </c>
      <c r="N49" s="796">
        <f>0.4*N47</f>
        <v>101.79143389199255</v>
      </c>
      <c r="O49" s="796">
        <f>0.4*O47</f>
        <v>107.78525193523303</v>
      </c>
      <c r="P49" s="796">
        <f t="shared" ref="P49:AC49" si="49">(1+P50)*O49</f>
        <v>106.7073994158807</v>
      </c>
      <c r="Q49" s="796">
        <f t="shared" si="49"/>
        <v>105.6403254217219</v>
      </c>
      <c r="R49" s="796">
        <f t="shared" si="49"/>
        <v>104.58392216750468</v>
      </c>
      <c r="S49" s="796">
        <f t="shared" si="49"/>
        <v>103.53808294582963</v>
      </c>
      <c r="T49" s="796">
        <f t="shared" si="49"/>
        <v>102.50270211637134</v>
      </c>
      <c r="U49" s="796">
        <f t="shared" si="49"/>
        <v>101.47767509520763</v>
      </c>
      <c r="V49" s="796">
        <f t="shared" si="49"/>
        <v>100.46289834425555</v>
      </c>
      <c r="W49" s="796">
        <f t="shared" si="49"/>
        <v>99.458269360812992</v>
      </c>
      <c r="X49" s="796">
        <f t="shared" si="49"/>
        <v>98.463686667204854</v>
      </c>
      <c r="Y49" s="796">
        <f t="shared" si="49"/>
        <v>97.479049800532806</v>
      </c>
      <c r="Z49" s="796">
        <f t="shared" si="49"/>
        <v>96.504259302527473</v>
      </c>
      <c r="AA49" s="796">
        <f t="shared" si="49"/>
        <v>95.539216709502199</v>
      </c>
      <c r="AB49" s="796">
        <f t="shared" si="49"/>
        <v>94.583824542407172</v>
      </c>
      <c r="AC49" s="796">
        <f t="shared" si="49"/>
        <v>93.637986296983101</v>
      </c>
      <c r="AD49" s="685"/>
      <c r="AE49" s="685"/>
      <c r="AF49" s="685"/>
      <c r="AG49" s="685"/>
      <c r="AH49" s="685"/>
      <c r="AI49" s="685"/>
      <c r="AJ49" s="685"/>
      <c r="AK49" s="685"/>
      <c r="AL49" s="685"/>
      <c r="AM49" s="685"/>
      <c r="AN49" s="685"/>
      <c r="AO49" s="685"/>
      <c r="AP49" s="685"/>
      <c r="AQ49" s="685"/>
      <c r="AR49" s="685"/>
      <c r="AS49" s="685"/>
      <c r="AT49" s="685"/>
      <c r="AU49" s="685"/>
      <c r="AV49" s="685"/>
      <c r="AW49" s="685"/>
      <c r="AX49" s="685"/>
      <c r="AY49" s="685"/>
      <c r="AZ49" s="685"/>
      <c r="BA49" s="685"/>
      <c r="BB49" s="685"/>
      <c r="BC49" s="685"/>
      <c r="BD49" s="685"/>
      <c r="BE49" s="685"/>
    </row>
    <row r="50" spans="1:57">
      <c r="A50" s="685"/>
      <c r="B50" s="924"/>
      <c r="C50" s="789"/>
      <c r="D50" s="789"/>
      <c r="E50" s="789"/>
      <c r="F50" s="789"/>
      <c r="G50" s="789"/>
      <c r="H50" s="789"/>
      <c r="I50" s="789"/>
      <c r="J50" s="789"/>
      <c r="K50" s="789"/>
      <c r="L50" s="789"/>
      <c r="M50" s="796"/>
      <c r="N50" s="796">
        <f>N49/M49-1</f>
        <v>-8.1569637472885814E-3</v>
      </c>
      <c r="O50" s="796">
        <f>O49/N49-1</f>
        <v>5.888332459880985E-2</v>
      </c>
      <c r="P50" s="925">
        <v>-0.01</v>
      </c>
      <c r="Q50" s="925">
        <v>-0.01</v>
      </c>
      <c r="R50" s="925">
        <v>-0.01</v>
      </c>
      <c r="S50" s="925">
        <v>-0.01</v>
      </c>
      <c r="T50" s="925">
        <v>-0.01</v>
      </c>
      <c r="U50" s="925">
        <v>-0.01</v>
      </c>
      <c r="V50" s="925">
        <v>-0.01</v>
      </c>
      <c r="W50" s="925">
        <v>-0.01</v>
      </c>
      <c r="X50" s="925">
        <v>-0.01</v>
      </c>
      <c r="Y50" s="925">
        <v>-0.01</v>
      </c>
      <c r="Z50" s="925">
        <v>-0.01</v>
      </c>
      <c r="AA50" s="925">
        <v>-0.01</v>
      </c>
      <c r="AB50" s="925">
        <v>-0.01</v>
      </c>
      <c r="AC50" s="925">
        <v>-0.01</v>
      </c>
      <c r="AD50" s="685"/>
      <c r="AE50" s="685"/>
      <c r="AF50" s="685"/>
      <c r="AG50" s="685"/>
      <c r="AH50" s="685"/>
      <c r="AI50" s="685"/>
      <c r="AJ50" s="685"/>
      <c r="AK50" s="685"/>
      <c r="AL50" s="685"/>
      <c r="AM50" s="685"/>
      <c r="AN50" s="685"/>
      <c r="AO50" s="685"/>
      <c r="AP50" s="685"/>
      <c r="AQ50" s="685"/>
      <c r="AR50" s="685"/>
      <c r="AS50" s="685"/>
      <c r="AT50" s="685"/>
      <c r="AU50" s="685"/>
      <c r="AV50" s="685"/>
      <c r="AW50" s="685"/>
      <c r="AX50" s="685"/>
      <c r="AY50" s="685"/>
      <c r="AZ50" s="685"/>
      <c r="BA50" s="685"/>
      <c r="BB50" s="685"/>
      <c r="BC50" s="685"/>
      <c r="BD50" s="685"/>
      <c r="BE50" s="685"/>
    </row>
    <row r="51" spans="1:57">
      <c r="A51" s="685"/>
      <c r="B51" s="924" t="s">
        <v>2412</v>
      </c>
      <c r="C51" s="789"/>
      <c r="D51" s="789"/>
      <c r="E51" s="789"/>
      <c r="F51" s="789"/>
      <c r="G51" s="789"/>
      <c r="H51" s="789"/>
      <c r="I51" s="789"/>
      <c r="J51" s="789"/>
      <c r="K51" s="789"/>
      <c r="L51" s="789"/>
      <c r="M51" s="796">
        <f>M47-M49</f>
        <v>153.94285714285712</v>
      </c>
      <c r="N51" s="796">
        <f>N47-N49</f>
        <v>152.68715083798884</v>
      </c>
      <c r="O51" s="796">
        <f t="shared" ref="O51:X51" si="50">O52/O45</f>
        <v>0</v>
      </c>
      <c r="P51" s="796">
        <f t="shared" si="50"/>
        <v>161.45812033814028</v>
      </c>
      <c r="Q51" s="796">
        <f t="shared" si="50"/>
        <v>181.60754644067802</v>
      </c>
      <c r="R51" s="796">
        <f t="shared" si="50"/>
        <v>173.89666864918036</v>
      </c>
      <c r="S51" s="796">
        <f t="shared" si="50"/>
        <v>164.17331661892655</v>
      </c>
      <c r="T51" s="796">
        <f t="shared" si="50"/>
        <v>179.61307725067832</v>
      </c>
      <c r="U51" s="796">
        <f t="shared" si="50"/>
        <v>174.33033968448186</v>
      </c>
      <c r="V51" s="796">
        <f t="shared" si="50"/>
        <v>169.20297675258533</v>
      </c>
      <c r="W51" s="796">
        <f t="shared" si="50"/>
        <v>164.2264186128034</v>
      </c>
      <c r="X51" s="796">
        <f t="shared" si="50"/>
        <v>159.39622983007388</v>
      </c>
      <c r="Y51" s="796">
        <f>Y52/Y45</f>
        <v>154.70810542330702</v>
      </c>
      <c r="Z51" s="796">
        <f>Z52/Z45</f>
        <v>150.15786702850386</v>
      </c>
      <c r="AA51" s="796">
        <f>AA52/AA45</f>
        <v>145.74145917472433</v>
      </c>
      <c r="AB51" s="796">
        <f>AB52/AB45</f>
        <v>141.45494566958538</v>
      </c>
      <c r="AC51" s="796">
        <f>AC52/AC45</f>
        <v>137.29450609106814</v>
      </c>
      <c r="AD51" s="685"/>
      <c r="AE51" s="685"/>
      <c r="AF51" s="685"/>
      <c r="AG51" s="685"/>
      <c r="AH51" s="685"/>
      <c r="AI51" s="685"/>
      <c r="AJ51" s="685"/>
      <c r="AK51" s="685"/>
      <c r="AL51" s="685"/>
      <c r="AM51" s="685"/>
      <c r="AN51" s="685"/>
      <c r="AO51" s="685"/>
      <c r="AP51" s="685"/>
      <c r="AQ51" s="685"/>
      <c r="AR51" s="685"/>
      <c r="AS51" s="685"/>
      <c r="AT51" s="685"/>
      <c r="AU51" s="685"/>
      <c r="AV51" s="685"/>
      <c r="AW51" s="685"/>
      <c r="AX51" s="685"/>
      <c r="AY51" s="685"/>
      <c r="AZ51" s="685"/>
      <c r="BA51" s="685"/>
      <c r="BB51" s="685"/>
      <c r="BC51" s="685"/>
      <c r="BD51" s="685"/>
      <c r="BE51" s="685"/>
    </row>
    <row r="52" spans="1:57">
      <c r="A52" s="685"/>
      <c r="B52" s="924" t="s">
        <v>2413</v>
      </c>
      <c r="C52" s="789"/>
      <c r="D52" s="789"/>
      <c r="E52" s="789"/>
      <c r="F52" s="789"/>
      <c r="G52" s="789"/>
      <c r="H52" s="789"/>
      <c r="I52" s="789"/>
      <c r="J52" s="789"/>
      <c r="K52" s="789"/>
      <c r="L52" s="789"/>
      <c r="M52" s="796">
        <f>M51*M45</f>
        <v>2963.3999999999996</v>
      </c>
      <c r="N52" s="796">
        <f>N51*N45</f>
        <v>3279.7200000000003</v>
      </c>
      <c r="O52" s="796">
        <v>0</v>
      </c>
      <c r="P52" s="796">
        <v>3246.9228000000007</v>
      </c>
      <c r="Q52" s="796">
        <v>3214.4535720000008</v>
      </c>
      <c r="R52" s="796">
        <v>3182.3090362800008</v>
      </c>
      <c r="S52" s="796">
        <v>3150.4859459172008</v>
      </c>
      <c r="T52" s="796">
        <f t="shared" ref="T52:AC52" si="51">(1+T53)*S52</f>
        <v>3118.9810864580286</v>
      </c>
      <c r="U52" s="796">
        <f t="shared" si="51"/>
        <v>3087.7912755934481</v>
      </c>
      <c r="V52" s="796">
        <f t="shared" si="51"/>
        <v>3056.9133628375134</v>
      </c>
      <c r="W52" s="796">
        <f t="shared" si="51"/>
        <v>3026.3442292091381</v>
      </c>
      <c r="X52" s="796">
        <f t="shared" si="51"/>
        <v>2996.0807869170467</v>
      </c>
      <c r="Y52" s="796">
        <f t="shared" si="51"/>
        <v>2966.1199790478763</v>
      </c>
      <c r="Z52" s="796">
        <f t="shared" si="51"/>
        <v>2936.4587792573975</v>
      </c>
      <c r="AA52" s="796">
        <f t="shared" si="51"/>
        <v>2907.0941914648233</v>
      </c>
      <c r="AB52" s="796">
        <f t="shared" si="51"/>
        <v>2878.023249550175</v>
      </c>
      <c r="AC52" s="796">
        <f t="shared" si="51"/>
        <v>2849.2430170546731</v>
      </c>
      <c r="AD52" s="685"/>
      <c r="AE52" s="685"/>
      <c r="AF52" s="685"/>
      <c r="AG52" s="685"/>
      <c r="AH52" s="685"/>
      <c r="AI52" s="685"/>
      <c r="AJ52" s="685"/>
      <c r="AK52" s="685"/>
      <c r="AL52" s="685"/>
      <c r="AM52" s="685"/>
      <c r="AN52" s="685"/>
      <c r="AO52" s="685"/>
      <c r="AP52" s="685"/>
      <c r="AQ52" s="685"/>
      <c r="AR52" s="685"/>
      <c r="AS52" s="685"/>
      <c r="AT52" s="685"/>
      <c r="AU52" s="685"/>
      <c r="AV52" s="685"/>
      <c r="AW52" s="685"/>
      <c r="AX52" s="685"/>
      <c r="AY52" s="685"/>
      <c r="AZ52" s="685"/>
      <c r="BA52" s="685"/>
      <c r="BB52" s="685"/>
      <c r="BC52" s="685"/>
      <c r="BD52" s="685"/>
      <c r="BE52" s="685"/>
    </row>
    <row r="53" spans="1:57">
      <c r="A53" s="685"/>
      <c r="B53" s="924"/>
      <c r="C53" s="789"/>
      <c r="D53" s="789"/>
      <c r="E53" s="789"/>
      <c r="F53" s="789"/>
      <c r="G53" s="789"/>
      <c r="H53" s="789"/>
      <c r="I53" s="789"/>
      <c r="J53" s="789"/>
      <c r="K53" s="789"/>
      <c r="L53" s="789"/>
      <c r="M53" s="796"/>
      <c r="N53" s="796">
        <f>N52/M52-1</f>
        <v>0.10674225551731142</v>
      </c>
      <c r="O53" s="796">
        <f>O52/N52-1</f>
        <v>-1</v>
      </c>
      <c r="P53" s="925">
        <v>-0.01</v>
      </c>
      <c r="Q53" s="925">
        <v>-0.01</v>
      </c>
      <c r="R53" s="925">
        <v>-0.01</v>
      </c>
      <c r="S53" s="925">
        <v>-0.01</v>
      </c>
      <c r="T53" s="925">
        <v>-0.01</v>
      </c>
      <c r="U53" s="925">
        <v>-0.01</v>
      </c>
      <c r="V53" s="925">
        <v>-0.01</v>
      </c>
      <c r="W53" s="925">
        <v>-0.01</v>
      </c>
      <c r="X53" s="925">
        <v>-0.01</v>
      </c>
      <c r="Y53" s="925">
        <v>-0.01</v>
      </c>
      <c r="Z53" s="925">
        <v>-0.01</v>
      </c>
      <c r="AA53" s="925">
        <v>-0.01</v>
      </c>
      <c r="AB53" s="925">
        <v>-0.01</v>
      </c>
      <c r="AC53" s="925">
        <v>-0.01</v>
      </c>
      <c r="AD53" s="685"/>
      <c r="AE53" s="685"/>
      <c r="AF53" s="685"/>
      <c r="AG53" s="685"/>
      <c r="AH53" s="685"/>
      <c r="AI53" s="685"/>
      <c r="AJ53" s="685"/>
      <c r="AK53" s="685"/>
      <c r="AL53" s="685"/>
      <c r="AM53" s="685"/>
      <c r="AN53" s="685"/>
      <c r="AO53" s="685"/>
      <c r="AP53" s="685"/>
      <c r="AQ53" s="685"/>
      <c r="AR53" s="685"/>
      <c r="AS53" s="685"/>
      <c r="AT53" s="685"/>
      <c r="AU53" s="685"/>
      <c r="AV53" s="685"/>
      <c r="AW53" s="685"/>
      <c r="AX53" s="685"/>
      <c r="AY53" s="685"/>
      <c r="AZ53" s="685"/>
      <c r="BA53" s="685"/>
      <c r="BB53" s="685"/>
      <c r="BC53" s="685"/>
      <c r="BD53" s="685"/>
      <c r="BE53" s="685"/>
    </row>
    <row r="54" spans="1:57">
      <c r="A54" s="685"/>
      <c r="B54" s="924"/>
      <c r="C54" s="789"/>
      <c r="D54" s="789"/>
      <c r="E54" s="789"/>
      <c r="F54" s="789"/>
      <c r="G54" s="789"/>
      <c r="H54" s="789"/>
      <c r="I54" s="789"/>
      <c r="J54" s="789"/>
      <c r="K54" s="789"/>
      <c r="L54" s="789"/>
      <c r="M54" s="796"/>
      <c r="N54" s="796"/>
      <c r="O54" s="796"/>
      <c r="P54" s="796"/>
      <c r="Q54" s="796"/>
      <c r="R54" s="796"/>
      <c r="S54" s="796"/>
      <c r="T54" s="796"/>
      <c r="U54" s="796"/>
      <c r="V54" s="796"/>
      <c r="W54" s="796"/>
      <c r="X54" s="796"/>
      <c r="Y54" s="796"/>
      <c r="Z54" s="796"/>
      <c r="AA54" s="796"/>
      <c r="AB54" s="796"/>
      <c r="AC54" s="796"/>
      <c r="AD54" s="685"/>
      <c r="AE54" s="685"/>
      <c r="AF54" s="685"/>
      <c r="AG54" s="685"/>
      <c r="AH54" s="685"/>
      <c r="AI54" s="685"/>
      <c r="AJ54" s="685"/>
      <c r="AK54" s="685"/>
      <c r="AL54" s="685"/>
      <c r="AM54" s="685"/>
      <c r="AN54" s="685"/>
      <c r="AO54" s="685"/>
      <c r="AP54" s="685"/>
      <c r="AQ54" s="685"/>
      <c r="AR54" s="685"/>
      <c r="AS54" s="685"/>
      <c r="AT54" s="685"/>
      <c r="AU54" s="685"/>
      <c r="AV54" s="685"/>
      <c r="AW54" s="685"/>
      <c r="AX54" s="685"/>
      <c r="AY54" s="685"/>
      <c r="AZ54" s="685"/>
      <c r="BA54" s="685"/>
      <c r="BB54" s="685"/>
      <c r="BC54" s="685"/>
      <c r="BD54" s="685"/>
      <c r="BE54" s="685"/>
    </row>
    <row r="55" spans="1:57">
      <c r="A55" s="685" t="s">
        <v>57</v>
      </c>
      <c r="B55" s="685" t="s">
        <v>2414</v>
      </c>
      <c r="C55" s="964">
        <v>1.96</v>
      </c>
      <c r="D55" s="964">
        <v>1.96</v>
      </c>
      <c r="E55" s="964">
        <v>1.96</v>
      </c>
      <c r="F55" s="964">
        <v>1.96</v>
      </c>
      <c r="G55" s="964">
        <f>G47/G56/12</f>
        <v>1.8816976088828143</v>
      </c>
      <c r="H55" s="964">
        <f>H47/H56/12</f>
        <v>1.4370877745448738</v>
      </c>
      <c r="I55" s="963">
        <f t="shared" ref="I55:AC55" si="52">H55</f>
        <v>1.4370877745448738</v>
      </c>
      <c r="J55" s="963">
        <f t="shared" si="52"/>
        <v>1.4370877745448738</v>
      </c>
      <c r="K55" s="963">
        <f t="shared" si="52"/>
        <v>1.4370877745448738</v>
      </c>
      <c r="L55" s="963">
        <f t="shared" si="52"/>
        <v>1.4370877745448738</v>
      </c>
      <c r="M55" s="963">
        <f t="shared" si="52"/>
        <v>1.4370877745448738</v>
      </c>
      <c r="N55" s="963">
        <f t="shared" si="52"/>
        <v>1.4370877745448738</v>
      </c>
      <c r="O55" s="963">
        <f t="shared" si="52"/>
        <v>1.4370877745448738</v>
      </c>
      <c r="P55" s="963">
        <f t="shared" si="52"/>
        <v>1.4370877745448738</v>
      </c>
      <c r="Q55" s="963">
        <f t="shared" si="52"/>
        <v>1.4370877745448738</v>
      </c>
      <c r="R55" s="963">
        <f t="shared" si="52"/>
        <v>1.4370877745448738</v>
      </c>
      <c r="S55" s="963">
        <f t="shared" si="52"/>
        <v>1.4370877745448738</v>
      </c>
      <c r="T55" s="963">
        <f t="shared" si="52"/>
        <v>1.4370877745448738</v>
      </c>
      <c r="U55" s="963">
        <f t="shared" si="52"/>
        <v>1.4370877745448738</v>
      </c>
      <c r="V55" s="963">
        <f t="shared" si="52"/>
        <v>1.4370877745448738</v>
      </c>
      <c r="W55" s="963">
        <f t="shared" si="52"/>
        <v>1.4370877745448738</v>
      </c>
      <c r="X55" s="963">
        <f t="shared" si="52"/>
        <v>1.4370877745448738</v>
      </c>
      <c r="Y55" s="963">
        <f t="shared" si="52"/>
        <v>1.4370877745448738</v>
      </c>
      <c r="Z55" s="963">
        <f t="shared" si="52"/>
        <v>1.4370877745448738</v>
      </c>
      <c r="AA55" s="963">
        <f t="shared" si="52"/>
        <v>1.4370877745448738</v>
      </c>
      <c r="AB55" s="963">
        <f t="shared" si="52"/>
        <v>1.4370877745448738</v>
      </c>
      <c r="AC55" s="963">
        <f t="shared" si="52"/>
        <v>1.4370877745448738</v>
      </c>
      <c r="AD55" s="685"/>
      <c r="AE55" s="685"/>
      <c r="AF55" s="685"/>
      <c r="AG55" s="685"/>
      <c r="AH55" s="685"/>
      <c r="AI55" s="685"/>
      <c r="AJ55" s="685"/>
      <c r="AK55" s="685"/>
      <c r="AL55" s="685"/>
      <c r="AM55" s="685"/>
      <c r="AN55" s="685"/>
      <c r="AO55" s="685"/>
      <c r="AP55" s="685"/>
      <c r="AQ55" s="685"/>
      <c r="AR55" s="685"/>
      <c r="AS55" s="685"/>
      <c r="AT55" s="685"/>
      <c r="AU55" s="685"/>
      <c r="AV55" s="685"/>
      <c r="AW55" s="685"/>
      <c r="AX55" s="685"/>
      <c r="AY55" s="685"/>
      <c r="AZ55" s="685"/>
      <c r="BA55" s="685"/>
      <c r="BB55" s="685"/>
      <c r="BC55" s="685"/>
      <c r="BD55" s="685"/>
      <c r="BE55" s="685"/>
    </row>
    <row r="56" spans="1:57">
      <c r="A56" s="685"/>
      <c r="B56" s="685" t="s">
        <v>2415</v>
      </c>
      <c r="C56" s="790">
        <f>C47/(C55*12)</f>
        <v>6.9318468127991943</v>
      </c>
      <c r="D56" s="790">
        <f>D47/(D55*12)</f>
        <v>8.0085478371871304</v>
      </c>
      <c r="E56" s="790">
        <f>E47/(E55*12)</f>
        <v>8.8547476868560935</v>
      </c>
      <c r="F56" s="790">
        <f>F47/(F55*12)</f>
        <v>10.30358952091475</v>
      </c>
      <c r="G56" s="1083">
        <f>F56*1.1</f>
        <v>11.333948473006226</v>
      </c>
      <c r="H56" s="1083">
        <f>G56*1.1</f>
        <v>12.467343320306849</v>
      </c>
      <c r="I56" s="1083">
        <f>H56*1.075</f>
        <v>13.402394069329862</v>
      </c>
      <c r="J56" s="790">
        <f t="shared" ref="J56:S56" si="53">J47/(J55*12)</f>
        <v>13.533423840361708</v>
      </c>
      <c r="K56" s="790">
        <f t="shared" si="53"/>
        <v>12.450468609278994</v>
      </c>
      <c r="L56" s="790">
        <f t="shared" si="53"/>
        <v>14.582762673175585</v>
      </c>
      <c r="M56" s="790">
        <f t="shared" si="53"/>
        <v>14.877972493867839</v>
      </c>
      <c r="N56" s="790">
        <f t="shared" si="53"/>
        <v>14.756613411602203</v>
      </c>
      <c r="O56" s="790">
        <f t="shared" si="53"/>
        <v>15.625531869096724</v>
      </c>
      <c r="P56" s="790">
        <f t="shared" si="53"/>
        <v>15.550286518334454</v>
      </c>
      <c r="Q56" s="790">
        <f t="shared" si="53"/>
        <v>16.656827146679298</v>
      </c>
      <c r="R56" s="790">
        <f t="shared" si="53"/>
        <v>16.148433180248851</v>
      </c>
      <c r="S56" s="790">
        <f t="shared" si="53"/>
        <v>15.523953158761211</v>
      </c>
      <c r="T56" s="790">
        <f t="shared" ref="T56:AC56" si="54">T47/(T55*12)</f>
        <v>16.359229197418358</v>
      </c>
      <c r="U56" s="790">
        <f t="shared" si="54"/>
        <v>15.993456794189088</v>
      </c>
      <c r="V56" s="790">
        <f t="shared" si="54"/>
        <v>15.637288588852556</v>
      </c>
      <c r="W56" s="790">
        <f t="shared" si="54"/>
        <v>15.290453643139823</v>
      </c>
      <c r="X56" s="790">
        <f t="shared" si="54"/>
        <v>14.952688872173161</v>
      </c>
      <c r="Y56" s="790">
        <f t="shared" si="54"/>
        <v>14.623738814637793</v>
      </c>
      <c r="Z56" s="790">
        <f t="shared" si="54"/>
        <v>14.303355409701709</v>
      </c>
      <c r="AA56" s="790">
        <f t="shared" si="54"/>
        <v>13.991297780485271</v>
      </c>
      <c r="AB56" s="790">
        <f t="shared" si="54"/>
        <v>13.68733202388804</v>
      </c>
      <c r="AC56" s="790">
        <f t="shared" si="54"/>
        <v>13.391231006585965</v>
      </c>
      <c r="AD56" s="685"/>
      <c r="AE56" s="685"/>
      <c r="AF56" s="685"/>
      <c r="AG56" s="685"/>
      <c r="AH56" s="685"/>
      <c r="AI56" s="685"/>
      <c r="AJ56" s="685"/>
      <c r="AK56" s="685"/>
      <c r="AL56" s="685"/>
      <c r="AM56" s="685"/>
      <c r="AN56" s="685"/>
      <c r="AO56" s="685"/>
      <c r="AP56" s="685"/>
      <c r="AQ56" s="685"/>
      <c r="AR56" s="685"/>
      <c r="AS56" s="685"/>
      <c r="AT56" s="685"/>
      <c r="AU56" s="685"/>
      <c r="AV56" s="685"/>
      <c r="AW56" s="685"/>
      <c r="AX56" s="685"/>
      <c r="AY56" s="685"/>
      <c r="AZ56" s="685"/>
      <c r="BA56" s="685"/>
      <c r="BB56" s="685"/>
      <c r="BC56" s="685"/>
      <c r="BD56" s="685"/>
      <c r="BE56" s="685"/>
    </row>
    <row r="57" spans="1:57">
      <c r="A57" s="685"/>
      <c r="B57" s="685"/>
      <c r="C57" s="685"/>
      <c r="D57" s="685"/>
      <c r="E57" s="685"/>
      <c r="F57" s="685"/>
      <c r="G57" s="685"/>
      <c r="H57" s="789"/>
      <c r="I57" s="685"/>
      <c r="J57" s="685"/>
      <c r="K57" s="685"/>
      <c r="L57" s="789"/>
      <c r="M57" s="685"/>
      <c r="N57" s="685"/>
      <c r="O57" s="685"/>
      <c r="P57" s="685"/>
      <c r="Q57" s="685"/>
      <c r="R57" s="685"/>
      <c r="S57" s="685"/>
      <c r="T57" s="685"/>
      <c r="U57" s="685"/>
      <c r="V57" s="685"/>
      <c r="W57" s="685"/>
      <c r="X57" s="685"/>
      <c r="Y57" s="685"/>
      <c r="Z57" s="685"/>
      <c r="AA57" s="685"/>
      <c r="AB57" s="685"/>
      <c r="AC57" s="685"/>
      <c r="AD57" s="685"/>
      <c r="AE57" s="685"/>
      <c r="AF57" s="685"/>
      <c r="AG57" s="685"/>
      <c r="AH57" s="685"/>
      <c r="AI57" s="685"/>
      <c r="AJ57" s="685"/>
      <c r="AK57" s="685"/>
      <c r="AL57" s="685"/>
      <c r="AM57" s="685"/>
      <c r="AN57" s="685"/>
      <c r="AO57" s="685"/>
      <c r="AP57" s="685"/>
      <c r="AQ57" s="685"/>
      <c r="AR57" s="685"/>
      <c r="AS57" s="685"/>
      <c r="AT57" s="685"/>
      <c r="AU57" s="685"/>
      <c r="AV57" s="685"/>
      <c r="AW57" s="685"/>
      <c r="AX57" s="685"/>
      <c r="AY57" s="685"/>
      <c r="AZ57" s="685"/>
      <c r="BA57" s="685"/>
      <c r="BB57" s="685"/>
      <c r="BC57" s="685"/>
      <c r="BD57" s="685"/>
      <c r="BE57" s="685"/>
    </row>
    <row r="58" spans="1:57">
      <c r="A58" s="685"/>
      <c r="B58" s="685" t="s">
        <v>2416</v>
      </c>
      <c r="C58" s="790"/>
      <c r="D58" s="796">
        <f>Univision!C146</f>
        <v>174.42509759999996</v>
      </c>
      <c r="E58" s="796">
        <f>Univision!D146</f>
        <v>225.16240907562798</v>
      </c>
      <c r="F58" s="934">
        <v>247.6</v>
      </c>
      <c r="G58" s="934">
        <v>273.2</v>
      </c>
      <c r="H58" s="934">
        <v>313.7</v>
      </c>
      <c r="I58" s="934">
        <v>311.5</v>
      </c>
      <c r="J58" s="934">
        <v>324.60000000000002</v>
      </c>
      <c r="K58" s="934">
        <v>313.89999999999998</v>
      </c>
      <c r="L58" s="934">
        <v>383.6</v>
      </c>
      <c r="M58" s="934">
        <v>389.1</v>
      </c>
      <c r="N58" s="934">
        <v>379.5</v>
      </c>
      <c r="O58" s="934">
        <v>417.8</v>
      </c>
      <c r="P58" s="796">
        <f>Univision!O146</f>
        <v>471.90581778548534</v>
      </c>
      <c r="Q58" s="796">
        <f>Univision!P146</f>
        <v>497.16760867475961</v>
      </c>
      <c r="R58" s="796">
        <f>Univision!Q146</f>
        <v>513.08253693500251</v>
      </c>
      <c r="S58" s="796">
        <f>Univision!R146</f>
        <v>524.01078767370257</v>
      </c>
      <c r="T58" s="796">
        <f>Univision!S146</f>
        <v>0</v>
      </c>
      <c r="U58" s="796">
        <f>Univision!T146</f>
        <v>0</v>
      </c>
      <c r="V58" s="796">
        <f>Univision!U146</f>
        <v>0</v>
      </c>
      <c r="W58" s="796">
        <f>Univision!V146</f>
        <v>0</v>
      </c>
      <c r="X58" s="796">
        <f>Univision!W146</f>
        <v>0</v>
      </c>
      <c r="Y58" s="796">
        <f>Univision!X146</f>
        <v>0</v>
      </c>
      <c r="Z58" s="796">
        <f>Univision!Y146</f>
        <v>0</v>
      </c>
      <c r="AA58" s="796">
        <f>Univision!Z146</f>
        <v>0</v>
      </c>
      <c r="AB58" s="796">
        <f>Univision!AA146</f>
        <v>0</v>
      </c>
      <c r="AC58" s="796">
        <f>Univision!AB146</f>
        <v>0</v>
      </c>
      <c r="AD58" s="796"/>
      <c r="AE58" s="796">
        <f>Univision!O146</f>
        <v>471.90581778548534</v>
      </c>
      <c r="AF58" s="796">
        <f>Univision!P146</f>
        <v>497.16760867475961</v>
      </c>
      <c r="AG58" s="796">
        <f>Univision!Q146</f>
        <v>513.08253693500251</v>
      </c>
      <c r="AH58" s="796">
        <f>Univision!R146</f>
        <v>524.01078767370257</v>
      </c>
      <c r="AI58" s="685"/>
      <c r="AJ58" s="685"/>
      <c r="AK58" s="685"/>
      <c r="AL58" s="685"/>
      <c r="AM58" s="685"/>
      <c r="AN58" s="685"/>
      <c r="AO58" s="685"/>
      <c r="AP58" s="685"/>
      <c r="AQ58" s="685"/>
      <c r="AR58" s="685"/>
      <c r="AS58" s="685"/>
      <c r="AT58" s="685"/>
      <c r="AU58" s="685"/>
      <c r="AV58" s="685"/>
      <c r="AW58" s="685"/>
      <c r="AX58" s="685"/>
      <c r="AY58" s="685"/>
      <c r="AZ58" s="685"/>
      <c r="BA58" s="685"/>
      <c r="BB58" s="685"/>
      <c r="BC58" s="685"/>
      <c r="BD58" s="685"/>
      <c r="BE58" s="685"/>
    </row>
    <row r="59" spans="1:57">
      <c r="A59" s="685"/>
      <c r="B59" s="685" t="s">
        <v>107</v>
      </c>
      <c r="C59" s="790"/>
      <c r="D59" s="796">
        <f t="shared" ref="D59:J59" si="55">D61-D58</f>
        <v>150.91140279588285</v>
      </c>
      <c r="E59" s="796">
        <f t="shared" si="55"/>
        <v>167.8199060369123</v>
      </c>
      <c r="F59" s="796">
        <f t="shared" si="55"/>
        <v>190.00638297872339</v>
      </c>
      <c r="G59" s="796">
        <f t="shared" si="55"/>
        <v>172.68557993730411</v>
      </c>
      <c r="H59" s="796">
        <f t="shared" si="55"/>
        <v>178.26093163035313</v>
      </c>
      <c r="I59" s="796">
        <f t="shared" si="55"/>
        <v>174.1899810964083</v>
      </c>
      <c r="J59" s="796">
        <f t="shared" si="55"/>
        <v>156.25941644562334</v>
      </c>
      <c r="K59" s="796">
        <f>K61-K58</f>
        <v>173.93068783068787</v>
      </c>
      <c r="L59" s="796">
        <f>L61-L58</f>
        <v>162.94545454545448</v>
      </c>
      <c r="M59" s="796">
        <f>M61-M58</f>
        <v>153.02987012987012</v>
      </c>
      <c r="N59" s="796">
        <f>N61-N58</f>
        <v>123.15363128491617</v>
      </c>
      <c r="O59" s="796">
        <f>O61-O58</f>
        <v>143.63985438493029</v>
      </c>
      <c r="P59" s="796">
        <f t="shared" ref="P59:AC59" si="56">(1+P60)*O59</f>
        <v>143.63985438493029</v>
      </c>
      <c r="Q59" s="796">
        <f t="shared" si="56"/>
        <v>143.63985438493029</v>
      </c>
      <c r="R59" s="796">
        <f t="shared" si="56"/>
        <v>143.63985438493029</v>
      </c>
      <c r="S59" s="796">
        <f t="shared" si="56"/>
        <v>143.63985438493029</v>
      </c>
      <c r="T59" s="796">
        <f t="shared" si="56"/>
        <v>143.63985438493029</v>
      </c>
      <c r="U59" s="796">
        <f t="shared" si="56"/>
        <v>143.63985438493029</v>
      </c>
      <c r="V59" s="796">
        <f t="shared" si="56"/>
        <v>143.63985438493029</v>
      </c>
      <c r="W59" s="796">
        <f t="shared" si="56"/>
        <v>143.63985438493029</v>
      </c>
      <c r="X59" s="796">
        <f t="shared" si="56"/>
        <v>143.63985438493029</v>
      </c>
      <c r="Y59" s="796">
        <f t="shared" si="56"/>
        <v>143.63985438493029</v>
      </c>
      <c r="Z59" s="796">
        <f t="shared" si="56"/>
        <v>143.63985438493029</v>
      </c>
      <c r="AA59" s="796">
        <f t="shared" si="56"/>
        <v>143.63985438493029</v>
      </c>
      <c r="AB59" s="796">
        <f t="shared" si="56"/>
        <v>143.63985438493029</v>
      </c>
      <c r="AC59" s="796">
        <f t="shared" si="56"/>
        <v>143.63985438493029</v>
      </c>
      <c r="AD59" s="685"/>
      <c r="AE59" s="685"/>
      <c r="AF59" s="685"/>
      <c r="AG59" s="685"/>
      <c r="AH59" s="685"/>
      <c r="AI59" s="685"/>
      <c r="AJ59" s="685"/>
      <c r="AK59" s="685"/>
      <c r="AL59" s="685"/>
      <c r="AM59" s="685"/>
      <c r="AN59" s="685"/>
      <c r="AO59" s="685"/>
      <c r="AP59" s="685"/>
      <c r="AQ59" s="685"/>
      <c r="AR59" s="685"/>
      <c r="AS59" s="685"/>
      <c r="AT59" s="685"/>
      <c r="AU59" s="685"/>
      <c r="AV59" s="685"/>
      <c r="AW59" s="685"/>
      <c r="AX59" s="685"/>
      <c r="AY59" s="685"/>
      <c r="AZ59" s="685"/>
      <c r="BA59" s="685"/>
      <c r="BB59" s="685"/>
      <c r="BC59" s="685"/>
      <c r="BD59" s="685"/>
      <c r="BE59" s="685"/>
    </row>
    <row r="60" spans="1:57">
      <c r="A60" s="685"/>
      <c r="B60" s="743" t="s">
        <v>192</v>
      </c>
      <c r="C60" s="858"/>
      <c r="D60" s="927"/>
      <c r="E60" s="842">
        <f t="shared" ref="E60:O60" si="57">E59/D59-1</f>
        <v>0.11204258212283169</v>
      </c>
      <c r="F60" s="842">
        <f t="shared" si="57"/>
        <v>0.13220408392393646</v>
      </c>
      <c r="G60" s="842">
        <f t="shared" si="57"/>
        <v>-9.1159058816244309E-2</v>
      </c>
      <c r="H60" s="842">
        <f t="shared" si="57"/>
        <v>3.2286145114567288E-2</v>
      </c>
      <c r="I60" s="842">
        <f t="shared" si="57"/>
        <v>-2.2837031629490578E-2</v>
      </c>
      <c r="J60" s="842">
        <f t="shared" si="57"/>
        <v>-0.10293683102738838</v>
      </c>
      <c r="K60" s="842">
        <f t="shared" si="57"/>
        <v>0.11308932150795492</v>
      </c>
      <c r="L60" s="842">
        <f t="shared" si="57"/>
        <v>-6.3158683624173984E-2</v>
      </c>
      <c r="M60" s="842">
        <f t="shared" si="57"/>
        <v>-6.085216947747607E-2</v>
      </c>
      <c r="N60" s="842">
        <f t="shared" si="57"/>
        <v>-0.19523141998094373</v>
      </c>
      <c r="O60" s="842">
        <f t="shared" si="57"/>
        <v>0.16634688629374805</v>
      </c>
      <c r="P60" s="1084">
        <v>0</v>
      </c>
      <c r="Q60" s="1084">
        <v>0</v>
      </c>
      <c r="R60" s="1084">
        <v>0</v>
      </c>
      <c r="S60" s="1084">
        <v>0</v>
      </c>
      <c r="T60" s="1084">
        <v>0</v>
      </c>
      <c r="U60" s="1084">
        <v>0</v>
      </c>
      <c r="V60" s="1084">
        <v>0</v>
      </c>
      <c r="W60" s="1084">
        <v>0</v>
      </c>
      <c r="X60" s="1084">
        <v>0</v>
      </c>
      <c r="Y60" s="1084">
        <v>0</v>
      </c>
      <c r="Z60" s="1084">
        <v>0</v>
      </c>
      <c r="AA60" s="1084">
        <v>0</v>
      </c>
      <c r="AB60" s="1084">
        <v>0</v>
      </c>
      <c r="AC60" s="1084">
        <v>0</v>
      </c>
      <c r="AD60" s="685"/>
      <c r="AE60" s="685"/>
      <c r="AF60" s="685"/>
      <c r="AG60" s="685"/>
      <c r="AH60" s="685"/>
      <c r="AI60" s="685"/>
      <c r="AJ60" s="685"/>
      <c r="AK60" s="685"/>
      <c r="AL60" s="685"/>
      <c r="AM60" s="685"/>
      <c r="AN60" s="685"/>
      <c r="AO60" s="685"/>
      <c r="AP60" s="685"/>
      <c r="AQ60" s="685"/>
      <c r="AR60" s="685"/>
      <c r="AS60" s="685"/>
      <c r="AT60" s="685"/>
      <c r="AU60" s="685"/>
      <c r="AV60" s="685"/>
      <c r="AW60" s="685"/>
      <c r="AX60" s="685"/>
      <c r="AY60" s="685"/>
      <c r="AZ60" s="685"/>
      <c r="BA60" s="685"/>
      <c r="BB60" s="685"/>
      <c r="BC60" s="685"/>
      <c r="BD60" s="685"/>
      <c r="BE60" s="685"/>
    </row>
    <row r="61" spans="1:57">
      <c r="A61" s="685"/>
      <c r="B61" s="685" t="s">
        <v>2417</v>
      </c>
      <c r="C61" s="796">
        <f t="shared" ref="C61:L61" si="58">C17/C45</f>
        <v>282.14814814814815</v>
      </c>
      <c r="D61" s="796">
        <f t="shared" si="58"/>
        <v>325.33650039588281</v>
      </c>
      <c r="E61" s="796">
        <f t="shared" si="58"/>
        <v>392.98231511254028</v>
      </c>
      <c r="F61" s="796">
        <f t="shared" si="58"/>
        <v>437.60638297872339</v>
      </c>
      <c r="G61" s="796">
        <f t="shared" si="58"/>
        <v>445.8855799373041</v>
      </c>
      <c r="H61" s="796">
        <f t="shared" si="58"/>
        <v>491.96093163035312</v>
      </c>
      <c r="I61" s="796">
        <f t="shared" si="58"/>
        <v>485.6899810964083</v>
      </c>
      <c r="J61" s="796">
        <f t="shared" si="58"/>
        <v>480.85941644562337</v>
      </c>
      <c r="K61" s="796">
        <f t="shared" si="58"/>
        <v>487.83068783068785</v>
      </c>
      <c r="L61" s="796">
        <f t="shared" si="58"/>
        <v>546.5454545454545</v>
      </c>
      <c r="M61" s="796">
        <f>M17/M45</f>
        <v>542.12987012987014</v>
      </c>
      <c r="N61" s="796">
        <f>N17/N45</f>
        <v>502.65363128491617</v>
      </c>
      <c r="O61" s="796">
        <f>O17/O45</f>
        <v>561.4398543849303</v>
      </c>
      <c r="P61" s="796">
        <f t="shared" ref="P61:X61" si="59">P58+P59</f>
        <v>615.54567217041563</v>
      </c>
      <c r="Q61" s="796">
        <f t="shared" si="59"/>
        <v>640.80746305968989</v>
      </c>
      <c r="R61" s="796">
        <f t="shared" si="59"/>
        <v>656.72239131993274</v>
      </c>
      <c r="S61" s="796">
        <f t="shared" si="59"/>
        <v>667.65064205863291</v>
      </c>
      <c r="T61" s="796">
        <f t="shared" si="59"/>
        <v>143.63985438493029</v>
      </c>
      <c r="U61" s="796">
        <f t="shared" si="59"/>
        <v>143.63985438493029</v>
      </c>
      <c r="V61" s="796">
        <f t="shared" si="59"/>
        <v>143.63985438493029</v>
      </c>
      <c r="W61" s="796">
        <f t="shared" si="59"/>
        <v>143.63985438493029</v>
      </c>
      <c r="X61" s="796">
        <f t="shared" si="59"/>
        <v>143.63985438493029</v>
      </c>
      <c r="Y61" s="796">
        <f>Y58+Y59</f>
        <v>143.63985438493029</v>
      </c>
      <c r="Z61" s="796">
        <f>Z58+Z59</f>
        <v>143.63985438493029</v>
      </c>
      <c r="AA61" s="796">
        <f>AA58+AA59</f>
        <v>143.63985438493029</v>
      </c>
      <c r="AB61" s="796">
        <f>AB58+AB59</f>
        <v>143.63985438493029</v>
      </c>
      <c r="AC61" s="796">
        <f>AC58+AC59</f>
        <v>143.63985438493029</v>
      </c>
      <c r="AD61" s="685"/>
      <c r="AE61" s="685"/>
      <c r="AF61" s="685"/>
      <c r="AG61" s="685"/>
      <c r="AH61" s="685"/>
      <c r="AI61" s="685"/>
      <c r="AJ61" s="685"/>
      <c r="AK61" s="685"/>
      <c r="AL61" s="685"/>
      <c r="AM61" s="685"/>
      <c r="AN61" s="685"/>
      <c r="AO61" s="685"/>
      <c r="AP61" s="685"/>
      <c r="AQ61" s="685"/>
      <c r="AR61" s="685"/>
      <c r="AS61" s="685"/>
      <c r="AT61" s="685"/>
      <c r="AU61" s="685"/>
      <c r="AV61" s="685"/>
      <c r="AW61" s="685"/>
      <c r="AX61" s="685"/>
      <c r="AY61" s="685"/>
      <c r="AZ61" s="685"/>
      <c r="BA61" s="685"/>
      <c r="BB61" s="685"/>
      <c r="BC61" s="685"/>
      <c r="BD61" s="685"/>
      <c r="BE61" s="685"/>
    </row>
    <row r="62" spans="1:57">
      <c r="A62" s="685"/>
      <c r="B62" s="685" t="s">
        <v>192</v>
      </c>
      <c r="C62" s="789"/>
      <c r="D62" s="789">
        <f>D61/C61-1</f>
        <v>0.15306977037133573</v>
      </c>
      <c r="E62" s="789">
        <f>E61/D61-1</f>
        <v>0.20792568505022735</v>
      </c>
      <c r="F62" s="789">
        <f t="shared" ref="F62:AC62" si="60">F61/E61-1</f>
        <v>0.11355235630235394</v>
      </c>
      <c r="G62" s="789">
        <f t="shared" si="60"/>
        <v>1.8919278330049583E-2</v>
      </c>
      <c r="H62" s="789">
        <f t="shared" si="60"/>
        <v>0.10333447360986114</v>
      </c>
      <c r="I62" s="789">
        <f t="shared" si="60"/>
        <v>-1.2746846610691143E-2</v>
      </c>
      <c r="J62" s="789">
        <f t="shared" si="60"/>
        <v>-9.9457778393540197E-3</v>
      </c>
      <c r="K62" s="789">
        <f t="shared" si="60"/>
        <v>1.4497524945220164E-2</v>
      </c>
      <c r="L62" s="789">
        <f t="shared" si="60"/>
        <v>0.12035890356931556</v>
      </c>
      <c r="M62" s="789">
        <f t="shared" si="60"/>
        <v>-8.0790799353672726E-3</v>
      </c>
      <c r="N62" s="789">
        <f t="shared" si="60"/>
        <v>-7.2816941142714087E-2</v>
      </c>
      <c r="O62" s="789">
        <f t="shared" si="60"/>
        <v>0.11695175254128953</v>
      </c>
      <c r="P62" s="789">
        <f t="shared" si="60"/>
        <v>9.6369748892799034E-2</v>
      </c>
      <c r="Q62" s="789">
        <f t="shared" si="60"/>
        <v>4.1039669404548285E-2</v>
      </c>
      <c r="R62" s="789">
        <f t="shared" si="60"/>
        <v>2.4835741119888288E-2</v>
      </c>
      <c r="S62" s="789">
        <f t="shared" si="60"/>
        <v>1.6640594082281357E-2</v>
      </c>
      <c r="T62" s="789">
        <f t="shared" si="60"/>
        <v>-0.78485776042687327</v>
      </c>
      <c r="U62" s="789">
        <f t="shared" si="60"/>
        <v>0</v>
      </c>
      <c r="V62" s="789">
        <f t="shared" si="60"/>
        <v>0</v>
      </c>
      <c r="W62" s="789">
        <f t="shared" si="60"/>
        <v>0</v>
      </c>
      <c r="X62" s="789">
        <f t="shared" si="60"/>
        <v>0</v>
      </c>
      <c r="Y62" s="789">
        <f t="shared" si="60"/>
        <v>0</v>
      </c>
      <c r="Z62" s="789">
        <f t="shared" si="60"/>
        <v>0</v>
      </c>
      <c r="AA62" s="789">
        <f t="shared" si="60"/>
        <v>0</v>
      </c>
      <c r="AB62" s="789">
        <f t="shared" si="60"/>
        <v>0</v>
      </c>
      <c r="AC62" s="789">
        <f t="shared" si="60"/>
        <v>0</v>
      </c>
      <c r="AD62" s="685"/>
      <c r="AE62" s="685"/>
      <c r="AF62" s="685"/>
      <c r="AG62" s="685"/>
      <c r="AH62" s="685"/>
      <c r="AI62" s="685"/>
      <c r="AJ62" s="685"/>
      <c r="AK62" s="685"/>
      <c r="AL62" s="685"/>
      <c r="AM62" s="685"/>
      <c r="AN62" s="685"/>
      <c r="AO62" s="685"/>
      <c r="AP62" s="685"/>
      <c r="AQ62" s="685"/>
      <c r="AR62" s="685"/>
      <c r="AS62" s="685"/>
      <c r="AT62" s="685"/>
      <c r="AU62" s="685"/>
      <c r="AV62" s="685"/>
      <c r="AW62" s="685"/>
      <c r="AX62" s="685"/>
      <c r="AY62" s="685"/>
      <c r="AZ62" s="685"/>
      <c r="BA62" s="685"/>
      <c r="BB62" s="685"/>
      <c r="BC62" s="685"/>
      <c r="BD62" s="685"/>
      <c r="BE62" s="685"/>
    </row>
    <row r="63" spans="1:57">
      <c r="A63" s="685"/>
      <c r="B63" s="685"/>
      <c r="C63" s="685"/>
      <c r="D63" s="685"/>
      <c r="E63" s="685"/>
      <c r="F63" s="685"/>
      <c r="G63" s="685"/>
      <c r="H63" s="685"/>
      <c r="I63" s="685"/>
      <c r="J63" s="685"/>
      <c r="K63" s="685"/>
      <c r="L63" s="685"/>
      <c r="M63" s="685"/>
      <c r="N63" s="685"/>
      <c r="O63" s="685"/>
      <c r="P63" s="685"/>
      <c r="Q63" s="685"/>
      <c r="R63" s="685"/>
      <c r="S63" s="685"/>
      <c r="T63" s="685"/>
      <c r="U63" s="685"/>
      <c r="V63" s="685"/>
      <c r="W63" s="685"/>
      <c r="X63" s="685"/>
      <c r="Y63" s="685"/>
      <c r="Z63" s="685"/>
      <c r="AA63" s="685"/>
      <c r="AB63" s="685"/>
      <c r="AC63" s="685"/>
      <c r="AD63" s="685"/>
      <c r="AE63" s="685"/>
      <c r="AF63" s="685"/>
      <c r="AG63" s="685"/>
      <c r="AH63" s="685"/>
      <c r="AI63" s="685"/>
      <c r="AJ63" s="685"/>
      <c r="AK63" s="685"/>
      <c r="AL63" s="685"/>
      <c r="AM63" s="685"/>
      <c r="AN63" s="685"/>
      <c r="AO63" s="685"/>
      <c r="AP63" s="685"/>
      <c r="AQ63" s="685"/>
      <c r="AR63" s="685"/>
      <c r="AS63" s="685"/>
      <c r="AT63" s="685"/>
      <c r="AU63" s="685"/>
      <c r="AV63" s="685"/>
      <c r="AW63" s="685"/>
      <c r="AX63" s="685"/>
      <c r="AY63" s="685"/>
      <c r="AZ63" s="685"/>
      <c r="BA63" s="685"/>
      <c r="BB63" s="685"/>
      <c r="BC63" s="685"/>
      <c r="BD63" s="685"/>
      <c r="BE63" s="685"/>
    </row>
    <row r="64" spans="1:57">
      <c r="A64" s="685"/>
      <c r="B64" s="685"/>
      <c r="C64" s="685"/>
      <c r="D64" s="685"/>
      <c r="E64" s="685"/>
      <c r="F64" s="685"/>
      <c r="G64" s="685"/>
      <c r="H64" s="789">
        <f>H63/Master!M132</f>
        <v>0</v>
      </c>
      <c r="I64" s="685"/>
      <c r="J64" s="685">
        <f>J58*J45</f>
        <v>6118.7100000000009</v>
      </c>
      <c r="K64" s="685"/>
      <c r="L64" s="685"/>
      <c r="M64" s="685"/>
      <c r="N64" s="685"/>
      <c r="O64" s="685"/>
      <c r="P64" s="685"/>
      <c r="Q64" s="685"/>
      <c r="R64" s="685"/>
      <c r="S64" s="685"/>
      <c r="T64" s="685"/>
      <c r="U64" s="685"/>
      <c r="V64" s="685"/>
      <c r="W64" s="685"/>
      <c r="X64" s="685"/>
      <c r="Y64" s="685"/>
      <c r="Z64" s="685"/>
      <c r="AA64" s="685"/>
      <c r="AB64" s="685"/>
      <c r="AC64" s="685"/>
      <c r="AD64" s="685"/>
      <c r="AE64" s="685"/>
      <c r="AF64" s="685"/>
      <c r="AG64" s="685"/>
      <c r="AH64" s="685"/>
      <c r="AI64" s="685"/>
      <c r="AJ64" s="685"/>
      <c r="AK64" s="685"/>
      <c r="AL64" s="685"/>
      <c r="AM64" s="685"/>
      <c r="AN64" s="685"/>
      <c r="AO64" s="685"/>
      <c r="AP64" s="685"/>
      <c r="AQ64" s="685"/>
      <c r="AR64" s="685"/>
      <c r="AS64" s="685"/>
      <c r="AT64" s="685"/>
      <c r="AU64" s="685"/>
      <c r="AV64" s="685"/>
      <c r="AW64" s="685"/>
      <c r="AX64" s="685"/>
      <c r="AY64" s="685"/>
      <c r="AZ64" s="685"/>
      <c r="BA64" s="685"/>
      <c r="BB64" s="685"/>
      <c r="BC64" s="685"/>
      <c r="BD64" s="685"/>
      <c r="BE64" s="685"/>
    </row>
    <row r="65" spans="1:57">
      <c r="A65" s="685"/>
      <c r="B65" s="685" t="s">
        <v>2418</v>
      </c>
      <c r="C65" s="685"/>
      <c r="D65" s="685"/>
      <c r="E65" s="685"/>
      <c r="F65" s="685"/>
      <c r="G65" s="685"/>
      <c r="H65" s="685">
        <f>H58*H45</f>
        <v>4175.3469999999998</v>
      </c>
      <c r="I65" s="685"/>
      <c r="J65" s="685">
        <f>J64/Master!O132</f>
        <v>6.3546320702397213E-2</v>
      </c>
      <c r="K65" s="685"/>
      <c r="L65" s="743">
        <f>L2</f>
        <v>2018</v>
      </c>
      <c r="M65" s="685"/>
      <c r="N65" s="796">
        <f>(L58-K58)</f>
        <v>69.700000000000045</v>
      </c>
      <c r="O65" s="685"/>
      <c r="P65" s="685"/>
      <c r="Q65" s="685"/>
      <c r="R65" s="685"/>
      <c r="S65" s="685"/>
      <c r="T65" s="685"/>
      <c r="U65" s="685"/>
      <c r="V65" s="685"/>
      <c r="W65" s="685"/>
      <c r="X65" s="685"/>
      <c r="Y65" s="685"/>
      <c r="Z65" s="685"/>
      <c r="AA65" s="685"/>
      <c r="AB65" s="685"/>
      <c r="AC65" s="685"/>
      <c r="AD65" s="685"/>
      <c r="AE65" s="685"/>
      <c r="AF65" s="685"/>
      <c r="AG65" s="685"/>
      <c r="AH65" s="685"/>
      <c r="AI65" s="685"/>
      <c r="AJ65" s="685"/>
      <c r="AK65" s="685"/>
      <c r="AL65" s="685"/>
      <c r="AM65" s="685"/>
      <c r="AN65" s="685"/>
      <c r="AO65" s="685"/>
      <c r="AP65" s="685"/>
      <c r="AQ65" s="685"/>
      <c r="AR65" s="685"/>
      <c r="AS65" s="685"/>
      <c r="AT65" s="685"/>
      <c r="AU65" s="685"/>
      <c r="AV65" s="685"/>
      <c r="AW65" s="685"/>
      <c r="AX65" s="685"/>
      <c r="AY65" s="685"/>
      <c r="AZ65" s="685"/>
      <c r="BA65" s="685"/>
      <c r="BB65" s="685"/>
      <c r="BC65" s="685"/>
      <c r="BD65" s="685"/>
      <c r="BE65" s="685"/>
    </row>
    <row r="66" spans="1:57">
      <c r="A66" s="685"/>
      <c r="B66" s="685" t="s">
        <v>907</v>
      </c>
      <c r="C66" s="685"/>
      <c r="D66" s="685"/>
      <c r="E66" s="685"/>
      <c r="F66" s="685"/>
      <c r="G66" s="685"/>
      <c r="H66" s="795">
        <f>H27-H65</f>
        <v>11358.953</v>
      </c>
      <c r="I66" s="685"/>
      <c r="J66" s="685">
        <f>J64/Master!O140</f>
        <v>0.18222432016296439</v>
      </c>
      <c r="K66" s="685"/>
      <c r="L66" s="795">
        <f>L22-L58*Valuation!N19+(Univision!$J$136*Univision!$K$5*Valuation!N19)</f>
        <v>36873.319853624875</v>
      </c>
      <c r="M66" s="685"/>
      <c r="N66" s="685">
        <f>N65*L45</f>
        <v>1341.7250000000008</v>
      </c>
      <c r="O66" s="685"/>
      <c r="P66" s="685"/>
      <c r="Q66" s="685"/>
      <c r="R66" s="685"/>
      <c r="S66" s="685"/>
      <c r="T66" s="685"/>
      <c r="U66" s="685"/>
      <c r="V66" s="685"/>
      <c r="W66" s="685"/>
      <c r="X66" s="685"/>
      <c r="Y66" s="685"/>
      <c r="Z66" s="685"/>
      <c r="AA66" s="685"/>
      <c r="AB66" s="685"/>
      <c r="AC66" s="685"/>
      <c r="AD66" s="685"/>
      <c r="AE66" s="685"/>
      <c r="AF66" s="685"/>
      <c r="AG66" s="685"/>
      <c r="AH66" s="685"/>
      <c r="AI66" s="685"/>
      <c r="AJ66" s="685"/>
      <c r="AK66" s="685"/>
      <c r="AL66" s="685"/>
      <c r="AM66" s="685"/>
      <c r="AN66" s="685"/>
      <c r="AO66" s="685"/>
      <c r="AP66" s="685"/>
      <c r="AQ66" s="685"/>
      <c r="AR66" s="685"/>
      <c r="AS66" s="685"/>
      <c r="AT66" s="685"/>
      <c r="AU66" s="685"/>
      <c r="AV66" s="685"/>
      <c r="AW66" s="685"/>
      <c r="AX66" s="685"/>
      <c r="AY66" s="685"/>
      <c r="AZ66" s="685"/>
      <c r="BA66" s="685"/>
      <c r="BB66" s="685"/>
      <c r="BC66" s="685"/>
      <c r="BD66" s="685"/>
      <c r="BE66" s="685"/>
    </row>
    <row r="67" spans="1:57">
      <c r="A67" s="685"/>
      <c r="B67" s="685" t="s">
        <v>989</v>
      </c>
      <c r="C67" s="685"/>
      <c r="D67" s="685"/>
      <c r="E67" s="685"/>
      <c r="F67" s="685"/>
      <c r="G67" s="685"/>
      <c r="H67" s="814">
        <f>H66/(H22-H65)</f>
        <v>0.37008583101033654</v>
      </c>
      <c r="I67" s="685"/>
      <c r="J67" s="685"/>
      <c r="K67" s="685"/>
      <c r="L67" s="789">
        <f>L66/K22-1</f>
        <v>8.4605107910252997E-2</v>
      </c>
      <c r="M67" s="685"/>
      <c r="N67" s="814">
        <f>N66/L22</f>
        <v>3.438601212214408E-2</v>
      </c>
      <c r="O67" s="685"/>
      <c r="P67" s="685"/>
      <c r="Q67" s="685"/>
      <c r="R67" s="685"/>
      <c r="S67" s="685"/>
      <c r="T67" s="685"/>
      <c r="U67" s="685"/>
      <c r="V67" s="685"/>
      <c r="W67" s="685"/>
      <c r="X67" s="685"/>
      <c r="Y67" s="685"/>
      <c r="Z67" s="685"/>
      <c r="AA67" s="685"/>
      <c r="AB67" s="685"/>
      <c r="AC67" s="685"/>
      <c r="AD67" s="685"/>
      <c r="AE67" s="685"/>
      <c r="AF67" s="685"/>
      <c r="AG67" s="685"/>
      <c r="AH67" s="685"/>
      <c r="AI67" s="685"/>
      <c r="AJ67" s="685"/>
      <c r="AK67" s="685"/>
      <c r="AL67" s="685"/>
      <c r="AM67" s="685"/>
      <c r="AN67" s="685"/>
      <c r="AO67" s="685"/>
      <c r="AP67" s="685"/>
      <c r="AQ67" s="685"/>
      <c r="AR67" s="685"/>
      <c r="AS67" s="685"/>
      <c r="AT67" s="685"/>
      <c r="AU67" s="685"/>
      <c r="AV67" s="685"/>
      <c r="AW67" s="685"/>
      <c r="AX67" s="685"/>
      <c r="AY67" s="685"/>
      <c r="AZ67" s="685"/>
      <c r="BA67" s="685"/>
      <c r="BB67" s="685"/>
      <c r="BC67" s="685"/>
      <c r="BD67" s="685"/>
      <c r="BE67" s="685"/>
    </row>
    <row r="68" spans="1:57">
      <c r="A68" s="685"/>
      <c r="B68" s="685" t="s">
        <v>34</v>
      </c>
      <c r="C68" s="685"/>
      <c r="D68" s="685"/>
      <c r="E68" s="685"/>
      <c r="F68" s="685"/>
      <c r="G68" s="685"/>
      <c r="H68" s="685"/>
      <c r="I68" s="685"/>
      <c r="J68" s="685"/>
      <c r="K68" s="685"/>
      <c r="L68" s="795">
        <f>L69*L66</f>
        <v>13910.060508948995</v>
      </c>
      <c r="M68" s="795"/>
      <c r="N68" s="685"/>
      <c r="O68" s="685"/>
      <c r="P68" s="685"/>
      <c r="Q68" s="685"/>
      <c r="R68" s="685"/>
      <c r="S68" s="685"/>
      <c r="T68" s="685"/>
      <c r="U68" s="685"/>
      <c r="V68" s="685"/>
      <c r="W68" s="685"/>
      <c r="X68" s="685"/>
      <c r="Y68" s="685"/>
      <c r="Z68" s="685"/>
      <c r="AA68" s="685"/>
      <c r="AB68" s="685"/>
      <c r="AC68" s="685"/>
      <c r="AD68" s="685"/>
      <c r="AE68" s="685"/>
      <c r="AF68" s="685"/>
      <c r="AG68" s="685"/>
      <c r="AH68" s="685"/>
      <c r="AI68" s="685"/>
      <c r="AJ68" s="685"/>
      <c r="AK68" s="685"/>
      <c r="AL68" s="685"/>
      <c r="AM68" s="685"/>
      <c r="AN68" s="685"/>
      <c r="AO68" s="685"/>
      <c r="AP68" s="685"/>
      <c r="AQ68" s="685"/>
      <c r="AR68" s="685"/>
      <c r="AS68" s="685"/>
      <c r="AT68" s="685"/>
      <c r="AU68" s="685"/>
      <c r="AV68" s="685"/>
      <c r="AW68" s="685"/>
      <c r="AX68" s="685"/>
      <c r="AY68" s="685"/>
      <c r="AZ68" s="685"/>
      <c r="BA68" s="685"/>
      <c r="BB68" s="685"/>
      <c r="BC68" s="685"/>
      <c r="BD68" s="685"/>
      <c r="BE68" s="685"/>
    </row>
    <row r="69" spans="1:57">
      <c r="A69" s="685"/>
      <c r="B69" s="685" t="s">
        <v>548</v>
      </c>
      <c r="C69" s="685"/>
      <c r="D69" s="685"/>
      <c r="E69" s="685"/>
      <c r="F69" s="685"/>
      <c r="G69" s="685"/>
      <c r="H69" s="685"/>
      <c r="I69" s="685"/>
      <c r="J69" s="685"/>
      <c r="K69" s="685"/>
      <c r="L69" s="814">
        <f>K29</f>
        <v>0.37723916816189662</v>
      </c>
      <c r="M69" s="685"/>
      <c r="N69" s="685"/>
      <c r="O69" s="685"/>
      <c r="P69" s="685"/>
      <c r="Q69" s="685"/>
      <c r="R69" s="685"/>
      <c r="S69" s="685"/>
      <c r="T69" s="685"/>
      <c r="U69" s="685"/>
      <c r="V69" s="685"/>
      <c r="W69" s="685"/>
      <c r="X69" s="685"/>
      <c r="Y69" s="685"/>
      <c r="Z69" s="685"/>
      <c r="AA69" s="685"/>
      <c r="AB69" s="685"/>
      <c r="AC69" s="685"/>
      <c r="AD69" s="685"/>
      <c r="AE69" s="685"/>
      <c r="AF69" s="685"/>
      <c r="AG69" s="685"/>
      <c r="AH69" s="685"/>
      <c r="AI69" s="685"/>
      <c r="AJ69" s="685"/>
      <c r="AK69" s="685"/>
      <c r="AL69" s="685"/>
      <c r="AM69" s="685"/>
      <c r="AN69" s="685"/>
      <c r="AO69" s="685"/>
      <c r="AP69" s="685"/>
      <c r="AQ69" s="685"/>
      <c r="AR69" s="685"/>
      <c r="AS69" s="685"/>
      <c r="AT69" s="685"/>
      <c r="AU69" s="685"/>
      <c r="AV69" s="685"/>
      <c r="AW69" s="685"/>
      <c r="AX69" s="685"/>
      <c r="AY69" s="685"/>
      <c r="AZ69" s="685"/>
      <c r="BA69" s="685"/>
      <c r="BB69" s="685"/>
      <c r="BC69" s="685"/>
      <c r="BD69" s="685"/>
      <c r="BE69" s="685"/>
    </row>
    <row r="70" spans="1:57">
      <c r="A70" s="685"/>
      <c r="B70" s="685"/>
      <c r="C70" s="685"/>
      <c r="D70" s="685"/>
      <c r="E70" s="685"/>
      <c r="F70" s="685"/>
      <c r="G70" s="685"/>
      <c r="H70" s="685"/>
      <c r="I70" s="685"/>
      <c r="J70" s="685"/>
      <c r="K70" s="685"/>
      <c r="L70" s="685"/>
      <c r="M70" s="685"/>
      <c r="N70" s="685"/>
      <c r="O70" s="685"/>
      <c r="P70" s="685"/>
      <c r="Q70" s="685"/>
      <c r="R70" s="685"/>
      <c r="S70" s="685"/>
      <c r="T70" s="685"/>
      <c r="U70" s="685"/>
      <c r="V70" s="685"/>
      <c r="W70" s="685"/>
      <c r="X70" s="685"/>
      <c r="Y70" s="685"/>
      <c r="Z70" s="685"/>
      <c r="AA70" s="685"/>
      <c r="AB70" s="685"/>
      <c r="AC70" s="685"/>
      <c r="AD70" s="685"/>
      <c r="AE70" s="685"/>
      <c r="AF70" s="685"/>
      <c r="AG70" s="685"/>
      <c r="AH70" s="685"/>
      <c r="AI70" s="685"/>
      <c r="AJ70" s="685"/>
      <c r="AK70" s="685"/>
      <c r="AL70" s="685"/>
      <c r="AM70" s="685"/>
      <c r="AN70" s="685"/>
      <c r="AO70" s="685"/>
      <c r="AP70" s="685"/>
      <c r="AQ70" s="685"/>
      <c r="AR70" s="685"/>
      <c r="AS70" s="685"/>
      <c r="AT70" s="685"/>
      <c r="AU70" s="685"/>
      <c r="AV70" s="685"/>
      <c r="AW70" s="685"/>
      <c r="AX70" s="685"/>
      <c r="AY70" s="685"/>
      <c r="AZ70" s="685"/>
      <c r="BA70" s="685"/>
      <c r="BB70" s="685"/>
      <c r="BC70" s="685"/>
      <c r="BD70" s="685"/>
      <c r="BE70" s="685"/>
    </row>
    <row r="71" spans="1:57">
      <c r="A71" s="685"/>
      <c r="B71" s="685" t="s">
        <v>2419</v>
      </c>
      <c r="C71" s="685"/>
      <c r="D71" s="685"/>
      <c r="E71" s="685"/>
      <c r="F71" s="685"/>
      <c r="G71" s="685"/>
      <c r="H71" s="685"/>
      <c r="I71" s="685"/>
      <c r="J71" s="685"/>
      <c r="K71" s="685"/>
      <c r="L71" s="795">
        <f>L27-L68</f>
        <v>944.93949105100546</v>
      </c>
      <c r="M71" s="891" t="s">
        <v>1711</v>
      </c>
      <c r="N71" s="685"/>
      <c r="O71" s="685"/>
      <c r="P71" s="685"/>
      <c r="Q71" s="685"/>
      <c r="R71" s="685"/>
      <c r="S71" s="685"/>
      <c r="T71" s="685"/>
      <c r="U71" s="685"/>
      <c r="V71" s="685"/>
      <c r="W71" s="685"/>
      <c r="X71" s="685"/>
      <c r="Y71" s="685"/>
      <c r="Z71" s="685"/>
      <c r="AA71" s="685"/>
      <c r="AB71" s="685"/>
      <c r="AC71" s="685"/>
      <c r="AD71" s="685"/>
      <c r="AE71" s="685"/>
      <c r="AF71" s="685"/>
      <c r="AG71" s="685"/>
      <c r="AH71" s="685"/>
      <c r="AI71" s="685"/>
      <c r="AJ71" s="685"/>
      <c r="AK71" s="685"/>
      <c r="AL71" s="685"/>
      <c r="AM71" s="685"/>
      <c r="AN71" s="685"/>
      <c r="AO71" s="685"/>
      <c r="AP71" s="685"/>
      <c r="AQ71" s="685"/>
      <c r="AR71" s="685"/>
      <c r="AS71" s="685"/>
      <c r="AT71" s="685"/>
      <c r="AU71" s="685"/>
      <c r="AV71" s="685"/>
      <c r="AW71" s="685"/>
      <c r="AX71" s="685"/>
      <c r="AY71" s="685"/>
      <c r="AZ71" s="685"/>
      <c r="BA71" s="685"/>
      <c r="BB71" s="685"/>
      <c r="BC71" s="685"/>
      <c r="BD71" s="685"/>
      <c r="BE71" s="685"/>
    </row>
    <row r="72" spans="1:57">
      <c r="A72" s="685"/>
      <c r="B72" s="685" t="s">
        <v>1138</v>
      </c>
      <c r="C72" s="685"/>
      <c r="D72" s="685"/>
      <c r="E72" s="685"/>
      <c r="F72" s="685"/>
      <c r="G72" s="685"/>
      <c r="H72" s="685"/>
      <c r="I72" s="685"/>
      <c r="J72" s="685"/>
      <c r="K72" s="685"/>
      <c r="L72" s="796">
        <f>L71/L45</f>
        <v>49.087765768883401</v>
      </c>
      <c r="M72" s="796">
        <f>Univision!K137-Univision!J137</f>
        <v>74.192097808658559</v>
      </c>
      <c r="N72" s="685"/>
      <c r="O72" s="685"/>
      <c r="P72" s="685"/>
      <c r="Q72" s="685"/>
      <c r="R72" s="685"/>
      <c r="S72" s="685"/>
      <c r="T72" s="685"/>
      <c r="U72" s="685"/>
      <c r="V72" s="685"/>
      <c r="W72" s="685"/>
      <c r="X72" s="685"/>
      <c r="Y72" s="685"/>
      <c r="Z72" s="685"/>
      <c r="AA72" s="685"/>
      <c r="AB72" s="685"/>
      <c r="AC72" s="685"/>
      <c r="AD72" s="685"/>
      <c r="AE72" s="685"/>
      <c r="AF72" s="685"/>
      <c r="AG72" s="685"/>
      <c r="AH72" s="685"/>
      <c r="AI72" s="685"/>
      <c r="AJ72" s="685"/>
      <c r="AK72" s="685"/>
      <c r="AL72" s="685"/>
      <c r="AM72" s="685"/>
      <c r="AN72" s="685"/>
      <c r="AO72" s="685"/>
      <c r="AP72" s="685"/>
      <c r="AQ72" s="685"/>
      <c r="AR72" s="685"/>
      <c r="AS72" s="685"/>
      <c r="AT72" s="685"/>
      <c r="AU72" s="685"/>
      <c r="AV72" s="685"/>
      <c r="AW72" s="685"/>
      <c r="AX72" s="685"/>
      <c r="AY72" s="685"/>
      <c r="AZ72" s="685"/>
      <c r="BA72" s="685"/>
      <c r="BB72" s="685"/>
      <c r="BC72" s="685"/>
      <c r="BD72" s="685"/>
      <c r="BE72" s="685"/>
    </row>
    <row r="73" spans="1:57">
      <c r="A73" s="685"/>
      <c r="B73" s="685" t="s">
        <v>2420</v>
      </c>
      <c r="C73" s="685"/>
      <c r="D73" s="685"/>
      <c r="E73" s="685"/>
      <c r="F73" s="685"/>
      <c r="G73" s="685"/>
      <c r="H73" s="685"/>
      <c r="I73" s="685"/>
      <c r="J73" s="685"/>
      <c r="K73" s="685"/>
      <c r="L73" s="796">
        <f>L72*(1-0.28)</f>
        <v>35.343191353596048</v>
      </c>
      <c r="M73" s="685"/>
      <c r="N73" s="685"/>
      <c r="O73" s="685"/>
      <c r="P73" s="685"/>
      <c r="Q73" s="685"/>
      <c r="R73" s="685"/>
      <c r="S73" s="685"/>
      <c r="T73" s="685"/>
      <c r="U73" s="685"/>
      <c r="V73" s="685"/>
      <c r="W73" s="685"/>
      <c r="X73" s="685"/>
      <c r="Y73" s="685"/>
      <c r="Z73" s="685"/>
      <c r="AA73" s="685"/>
      <c r="AB73" s="685"/>
      <c r="AC73" s="685"/>
      <c r="AD73" s="685"/>
      <c r="AE73" s="685"/>
      <c r="AF73" s="685"/>
      <c r="AG73" s="685"/>
      <c r="AH73" s="685"/>
      <c r="AI73" s="685"/>
      <c r="AJ73" s="685"/>
      <c r="AK73" s="685"/>
      <c r="AL73" s="685"/>
      <c r="AM73" s="685"/>
      <c r="AN73" s="685"/>
      <c r="AO73" s="685"/>
      <c r="AP73" s="685"/>
      <c r="AQ73" s="685"/>
      <c r="AR73" s="685"/>
      <c r="AS73" s="685"/>
      <c r="AT73" s="685"/>
      <c r="AU73" s="685"/>
      <c r="AV73" s="685"/>
      <c r="AW73" s="685"/>
      <c r="AX73" s="685"/>
      <c r="AY73" s="685"/>
      <c r="AZ73" s="685"/>
      <c r="BA73" s="685"/>
      <c r="BB73" s="685"/>
      <c r="BC73" s="685"/>
      <c r="BD73" s="685"/>
      <c r="BE73" s="685"/>
    </row>
    <row r="74" spans="1:57">
      <c r="A74" s="685"/>
      <c r="B74" s="685" t="s">
        <v>1055</v>
      </c>
      <c r="C74" s="685"/>
      <c r="D74" s="685"/>
      <c r="E74" s="685"/>
      <c r="F74" s="685"/>
      <c r="G74" s="685"/>
      <c r="H74" s="685"/>
      <c r="I74" s="685"/>
      <c r="J74" s="685"/>
      <c r="K74" s="685"/>
      <c r="L74" s="796">
        <f>1/(SOP!L67-SOP!D79)</f>
        <v>12.63583522870862</v>
      </c>
      <c r="M74" s="685"/>
      <c r="N74" s="685"/>
      <c r="O74" s="685"/>
      <c r="P74" s="685"/>
      <c r="Q74" s="685"/>
      <c r="R74" s="685"/>
      <c r="S74" s="685"/>
      <c r="T74" s="685"/>
      <c r="U74" s="685"/>
      <c r="V74" s="685"/>
      <c r="W74" s="685"/>
      <c r="X74" s="685"/>
      <c r="Y74" s="685"/>
      <c r="Z74" s="685"/>
      <c r="AA74" s="685"/>
      <c r="AB74" s="685"/>
      <c r="AC74" s="685"/>
      <c r="AD74" s="685"/>
      <c r="AE74" s="685"/>
      <c r="AF74" s="685"/>
      <c r="AG74" s="685"/>
      <c r="AH74" s="685"/>
      <c r="AI74" s="685"/>
      <c r="AJ74" s="685"/>
      <c r="AK74" s="685"/>
      <c r="AL74" s="685"/>
      <c r="AM74" s="685"/>
      <c r="AN74" s="685"/>
      <c r="AO74" s="685"/>
      <c r="AP74" s="685"/>
      <c r="AQ74" s="685"/>
      <c r="AR74" s="685"/>
      <c r="AS74" s="685"/>
      <c r="AT74" s="685"/>
      <c r="AU74" s="685"/>
      <c r="AV74" s="685"/>
      <c r="AW74" s="685"/>
      <c r="AX74" s="685"/>
      <c r="AY74" s="685"/>
      <c r="AZ74" s="685"/>
      <c r="BA74" s="685"/>
      <c r="BB74" s="685"/>
      <c r="BC74" s="685"/>
      <c r="BD74" s="685"/>
      <c r="BE74" s="685"/>
    </row>
    <row r="75" spans="1:57">
      <c r="A75" s="685"/>
      <c r="B75" s="685" t="s">
        <v>2421</v>
      </c>
      <c r="C75" s="685"/>
      <c r="D75" s="685"/>
      <c r="E75" s="685"/>
      <c r="F75" s="685"/>
      <c r="G75" s="685"/>
      <c r="H75" s="685"/>
      <c r="I75" s="685"/>
      <c r="J75" s="685"/>
      <c r="K75" s="685"/>
      <c r="L75" s="1085">
        <f>L74*L73</f>
        <v>446.59074240075881</v>
      </c>
      <c r="M75" s="685"/>
      <c r="N75" s="685"/>
      <c r="O75" s="685"/>
      <c r="P75" s="685"/>
      <c r="Q75" s="685"/>
      <c r="R75" s="685"/>
      <c r="S75" s="685"/>
      <c r="T75" s="685"/>
      <c r="U75" s="685"/>
      <c r="V75" s="685"/>
      <c r="W75" s="685"/>
      <c r="X75" s="685"/>
      <c r="Y75" s="685"/>
      <c r="Z75" s="685"/>
      <c r="AA75" s="685"/>
      <c r="AB75" s="685"/>
      <c r="AC75" s="685"/>
      <c r="AD75" s="685"/>
      <c r="AE75" s="685"/>
      <c r="AF75" s="685"/>
      <c r="AG75" s="685"/>
      <c r="AH75" s="685"/>
      <c r="AI75" s="685"/>
      <c r="AJ75" s="685"/>
      <c r="AK75" s="685"/>
      <c r="AL75" s="685"/>
      <c r="AM75" s="685"/>
      <c r="AN75" s="685"/>
      <c r="AO75" s="685"/>
      <c r="AP75" s="685"/>
      <c r="AQ75" s="685"/>
      <c r="AR75" s="685"/>
      <c r="AS75" s="685"/>
      <c r="AT75" s="685"/>
      <c r="AU75" s="685"/>
      <c r="AV75" s="685"/>
      <c r="AW75" s="685"/>
      <c r="AX75" s="685"/>
      <c r="AY75" s="685"/>
      <c r="AZ75" s="685"/>
      <c r="BA75" s="685"/>
      <c r="BB75" s="685"/>
      <c r="BC75" s="685"/>
      <c r="BD75" s="685"/>
      <c r="BE75" s="685"/>
    </row>
    <row r="76" spans="1:57">
      <c r="A76" s="685"/>
      <c r="B76" s="685" t="s">
        <v>2422</v>
      </c>
      <c r="C76" s="685"/>
      <c r="D76" s="685"/>
      <c r="E76" s="685"/>
      <c r="F76" s="685"/>
      <c r="G76" s="685"/>
      <c r="H76" s="685"/>
      <c r="I76" s="685"/>
      <c r="J76" s="685"/>
      <c r="K76" s="685"/>
      <c r="L76" s="790">
        <f>L75/Valuation!N24</f>
        <v>0.2350638264054852</v>
      </c>
      <c r="M76" s="685"/>
      <c r="N76" s="685"/>
      <c r="O76" s="685"/>
      <c r="P76" s="685"/>
      <c r="Q76" s="685"/>
      <c r="R76" s="685"/>
      <c r="S76" s="685"/>
      <c r="T76" s="685"/>
      <c r="U76" s="685"/>
      <c r="V76" s="685"/>
      <c r="W76" s="685"/>
      <c r="X76" s="685"/>
      <c r="Y76" s="685"/>
      <c r="Z76" s="685"/>
      <c r="AA76" s="685"/>
      <c r="AB76" s="685"/>
      <c r="AC76" s="685"/>
      <c r="AD76" s="685"/>
      <c r="AE76" s="685"/>
      <c r="AF76" s="685"/>
      <c r="AG76" s="685"/>
      <c r="AH76" s="685"/>
      <c r="AI76" s="685"/>
      <c r="AJ76" s="685"/>
      <c r="AK76" s="685"/>
      <c r="AL76" s="685"/>
      <c r="AM76" s="685"/>
      <c r="AN76" s="685"/>
      <c r="AO76" s="685"/>
      <c r="AP76" s="685"/>
      <c r="AQ76" s="685"/>
      <c r="AR76" s="685"/>
      <c r="AS76" s="685"/>
      <c r="AT76" s="685"/>
      <c r="AU76" s="685"/>
      <c r="AV76" s="685"/>
      <c r="AW76" s="685"/>
      <c r="AX76" s="685"/>
      <c r="AY76" s="685"/>
      <c r="AZ76" s="685"/>
      <c r="BA76" s="685"/>
      <c r="BB76" s="685"/>
      <c r="BC76" s="685"/>
      <c r="BD76" s="685"/>
      <c r="BE76" s="685"/>
    </row>
    <row r="77" spans="1:57">
      <c r="A77" s="685"/>
      <c r="B77" s="685"/>
      <c r="C77" s="685"/>
      <c r="D77" s="685"/>
      <c r="E77" s="685"/>
      <c r="F77" s="685"/>
      <c r="G77" s="685"/>
      <c r="H77" s="685"/>
      <c r="I77" s="685"/>
      <c r="J77" s="685"/>
      <c r="K77" s="685"/>
      <c r="L77" s="685"/>
      <c r="M77" s="685"/>
      <c r="N77" s="685"/>
      <c r="O77" s="685"/>
      <c r="P77" s="685"/>
      <c r="Q77" s="685"/>
      <c r="R77" s="685"/>
      <c r="S77" s="685"/>
      <c r="T77" s="685"/>
      <c r="U77" s="685"/>
      <c r="V77" s="685"/>
      <c r="W77" s="685"/>
      <c r="X77" s="685"/>
      <c r="Y77" s="685"/>
      <c r="Z77" s="685"/>
      <c r="AA77" s="685"/>
      <c r="AB77" s="685"/>
      <c r="AC77" s="685"/>
      <c r="AD77" s="685"/>
      <c r="AE77" s="685"/>
      <c r="AF77" s="685"/>
      <c r="AG77" s="685"/>
      <c r="AH77" s="685"/>
      <c r="AI77" s="685"/>
      <c r="AJ77" s="685"/>
      <c r="AK77" s="685"/>
      <c r="AL77" s="685"/>
      <c r="AM77" s="685"/>
      <c r="AN77" s="685"/>
      <c r="AO77" s="685"/>
      <c r="AP77" s="685"/>
      <c r="AQ77" s="685"/>
      <c r="AR77" s="685"/>
      <c r="AS77" s="685"/>
      <c r="AT77" s="685"/>
      <c r="AU77" s="685"/>
      <c r="AV77" s="685"/>
      <c r="AW77" s="685"/>
      <c r="AX77" s="685"/>
      <c r="AY77" s="685"/>
      <c r="AZ77" s="685"/>
      <c r="BA77" s="685"/>
      <c r="BB77" s="685"/>
      <c r="BC77" s="685"/>
      <c r="BD77" s="685"/>
      <c r="BE77" s="685"/>
    </row>
    <row r="78" spans="1:57">
      <c r="A78" s="685"/>
      <c r="B78" s="743" t="s">
        <v>2423</v>
      </c>
      <c r="C78" s="743"/>
      <c r="D78" s="743">
        <f t="shared" ref="D78:L78" si="61">D2</f>
        <v>2010</v>
      </c>
      <c r="E78" s="743">
        <f t="shared" si="61"/>
        <v>2011</v>
      </c>
      <c r="F78" s="743">
        <f t="shared" si="61"/>
        <v>2012</v>
      </c>
      <c r="G78" s="743">
        <f t="shared" si="61"/>
        <v>2013</v>
      </c>
      <c r="H78" s="743">
        <f t="shared" si="61"/>
        <v>2014</v>
      </c>
      <c r="I78" s="743">
        <f t="shared" si="61"/>
        <v>2015</v>
      </c>
      <c r="J78" s="743">
        <f t="shared" si="61"/>
        <v>2016</v>
      </c>
      <c r="K78" s="743">
        <f t="shared" si="61"/>
        <v>2017</v>
      </c>
      <c r="L78" s="743">
        <f t="shared" si="61"/>
        <v>2018</v>
      </c>
      <c r="M78" s="743">
        <f t="shared" ref="M78:S78" si="62">L78+1</f>
        <v>2019</v>
      </c>
      <c r="N78" s="743">
        <f t="shared" si="62"/>
        <v>2020</v>
      </c>
      <c r="O78" s="743">
        <f t="shared" si="62"/>
        <v>2021</v>
      </c>
      <c r="P78" s="743">
        <f t="shared" si="62"/>
        <v>2022</v>
      </c>
      <c r="Q78" s="743">
        <f t="shared" si="62"/>
        <v>2023</v>
      </c>
      <c r="R78" s="743">
        <f t="shared" si="62"/>
        <v>2024</v>
      </c>
      <c r="S78" s="743">
        <f t="shared" si="62"/>
        <v>2025</v>
      </c>
      <c r="T78" s="743">
        <f>N78+1</f>
        <v>2021</v>
      </c>
      <c r="U78" s="743"/>
      <c r="V78" s="743"/>
      <c r="W78" s="743"/>
      <c r="X78" s="743"/>
      <c r="Y78" s="743"/>
      <c r="Z78" s="743"/>
      <c r="AA78" s="743"/>
      <c r="AB78" s="743"/>
      <c r="AC78" s="743"/>
      <c r="AD78" s="743"/>
      <c r="AE78" s="743">
        <f>T78+1</f>
        <v>2022</v>
      </c>
      <c r="AF78" s="743">
        <f>AE78+1</f>
        <v>2023</v>
      </c>
      <c r="AG78" s="743">
        <f>AF78+1</f>
        <v>2024</v>
      </c>
      <c r="AH78" s="743">
        <f>AG78+1</f>
        <v>2025</v>
      </c>
      <c r="AI78" s="685"/>
      <c r="AJ78" s="685"/>
      <c r="AK78" s="685"/>
      <c r="AL78" s="685"/>
      <c r="AM78" s="685"/>
      <c r="AN78" s="685"/>
      <c r="AO78" s="685"/>
      <c r="AP78" s="685"/>
      <c r="AQ78" s="685"/>
      <c r="AR78" s="685"/>
      <c r="AS78" s="685"/>
      <c r="AT78" s="685"/>
      <c r="AU78" s="685"/>
      <c r="AV78" s="685"/>
      <c r="AW78" s="685"/>
      <c r="AX78" s="685"/>
      <c r="AY78" s="685"/>
      <c r="AZ78" s="685"/>
      <c r="BA78" s="685"/>
      <c r="BB78" s="685"/>
      <c r="BC78" s="685"/>
      <c r="BD78" s="685"/>
      <c r="BE78" s="685"/>
    </row>
    <row r="79" spans="1:57">
      <c r="A79" s="685"/>
      <c r="B79" s="1026" t="s">
        <v>2416</v>
      </c>
      <c r="C79" s="1086"/>
      <c r="D79" s="1086">
        <f t="shared" ref="D79:AH79" si="63">D58*D45</f>
        <v>2202.9889826879994</v>
      </c>
      <c r="E79" s="1086">
        <f t="shared" si="63"/>
        <v>2801.0203689008117</v>
      </c>
      <c r="F79" s="1086">
        <f t="shared" si="63"/>
        <v>3258.4160000000002</v>
      </c>
      <c r="G79" s="1086">
        <f t="shared" si="63"/>
        <v>3486.0319999999997</v>
      </c>
      <c r="H79" s="1086">
        <f t="shared" si="63"/>
        <v>4175.3469999999998</v>
      </c>
      <c r="I79" s="1086">
        <f t="shared" si="63"/>
        <v>4943.5050000000001</v>
      </c>
      <c r="J79" s="1086">
        <f t="shared" si="63"/>
        <v>6118.7100000000009</v>
      </c>
      <c r="K79" s="1086">
        <f t="shared" si="63"/>
        <v>5932.7099999999991</v>
      </c>
      <c r="L79" s="1086">
        <f t="shared" si="63"/>
        <v>7384.3</v>
      </c>
      <c r="M79" s="1086">
        <f t="shared" si="63"/>
        <v>7490.1750000000002</v>
      </c>
      <c r="N79" s="1086">
        <f t="shared" si="63"/>
        <v>8151.66</v>
      </c>
      <c r="O79" s="1086">
        <f>O58*O45</f>
        <v>8475.2907062732393</v>
      </c>
      <c r="P79" s="1086">
        <f>P58*P45</f>
        <v>9490.0259956661102</v>
      </c>
      <c r="Q79" s="1086">
        <f>Q58*Q45</f>
        <v>8799.8666735432453</v>
      </c>
      <c r="R79" s="1086">
        <f>R58*R45</f>
        <v>9389.4104259105461</v>
      </c>
      <c r="S79" s="1086">
        <f>S58*S45</f>
        <v>10055.767015458352</v>
      </c>
      <c r="T79" s="795">
        <f t="shared" si="63"/>
        <v>0</v>
      </c>
      <c r="U79" s="795"/>
      <c r="V79" s="795"/>
      <c r="W79" s="795"/>
      <c r="X79" s="795"/>
      <c r="Y79" s="795"/>
      <c r="Z79" s="795"/>
      <c r="AA79" s="795"/>
      <c r="AB79" s="795"/>
      <c r="AC79" s="795"/>
      <c r="AD79" s="795"/>
      <c r="AE79" s="795">
        <f t="shared" si="63"/>
        <v>0</v>
      </c>
      <c r="AF79" s="795" t="e">
        <f t="shared" si="63"/>
        <v>#VALUE!</v>
      </c>
      <c r="AG79" s="795">
        <f t="shared" si="63"/>
        <v>8936563.7788117137</v>
      </c>
      <c r="AH79" s="795">
        <f t="shared" si="63"/>
        <v>9939200.0821252353</v>
      </c>
      <c r="AI79" s="685"/>
      <c r="AJ79" s="685"/>
      <c r="AK79" s="685"/>
      <c r="AL79" s="685"/>
      <c r="AM79" s="685"/>
      <c r="AN79" s="685"/>
      <c r="AO79" s="685"/>
      <c r="AP79" s="685"/>
      <c r="AQ79" s="685"/>
      <c r="AR79" s="685"/>
      <c r="AS79" s="685"/>
      <c r="AT79" s="685"/>
      <c r="AU79" s="685"/>
      <c r="AV79" s="685"/>
      <c r="AW79" s="685"/>
      <c r="AX79" s="685"/>
      <c r="AY79" s="685"/>
      <c r="AZ79" s="685"/>
      <c r="BA79" s="685"/>
      <c r="BB79" s="685"/>
      <c r="BC79" s="685"/>
      <c r="BD79" s="685"/>
      <c r="BE79" s="685"/>
    </row>
    <row r="80" spans="1:57">
      <c r="A80" s="685"/>
      <c r="B80" s="743" t="s">
        <v>1769</v>
      </c>
      <c r="C80" s="833"/>
      <c r="D80" s="833">
        <f t="shared" ref="D80:L80" si="64">D81-D79</f>
        <v>27032.011017312001</v>
      </c>
      <c r="E80" s="833">
        <f t="shared" si="64"/>
        <v>27884.579631099186</v>
      </c>
      <c r="F80" s="833">
        <f t="shared" si="64"/>
        <v>29625.583999999999</v>
      </c>
      <c r="G80" s="833">
        <f t="shared" si="64"/>
        <v>30334.567999999999</v>
      </c>
      <c r="H80" s="833">
        <f t="shared" si="64"/>
        <v>30692.752999999997</v>
      </c>
      <c r="I80" s="833">
        <f t="shared" si="64"/>
        <v>29389.094999999998</v>
      </c>
      <c r="J80" s="833">
        <f t="shared" si="64"/>
        <v>30567.989999999998</v>
      </c>
      <c r="K80" s="833">
        <f t="shared" si="64"/>
        <v>28064.29</v>
      </c>
      <c r="L80" s="833">
        <f t="shared" si="64"/>
        <v>31635.200000000001</v>
      </c>
      <c r="M80" s="833">
        <f t="shared" ref="M80:S80" si="65">M81-M79</f>
        <v>27305.225000000002</v>
      </c>
      <c r="N80" s="833">
        <f t="shared" si="65"/>
        <v>24461.34</v>
      </c>
      <c r="O80" s="833">
        <f t="shared" si="65"/>
        <v>27466.60929372676</v>
      </c>
      <c r="P80" s="833">
        <f t="shared" si="65"/>
        <v>28401.50607393431</v>
      </c>
      <c r="Q80" s="833">
        <f t="shared" si="65"/>
        <v>28551.616754577746</v>
      </c>
      <c r="R80" s="833">
        <f t="shared" si="65"/>
        <v>28649.708147189565</v>
      </c>
      <c r="S80" s="833">
        <f t="shared" si="65"/>
        <v>28818.734563294485</v>
      </c>
      <c r="T80" s="685"/>
      <c r="U80" s="685"/>
      <c r="V80" s="685"/>
      <c r="W80" s="685"/>
      <c r="X80" s="685"/>
      <c r="Y80" s="685"/>
      <c r="Z80" s="685"/>
      <c r="AA80" s="685"/>
      <c r="AB80" s="685"/>
      <c r="AC80" s="685"/>
      <c r="AD80" s="685"/>
      <c r="AE80" s="685"/>
      <c r="AF80" s="685"/>
      <c r="AG80" s="685"/>
      <c r="AH80" s="685"/>
      <c r="AI80" s="685"/>
      <c r="AJ80" s="685"/>
      <c r="AK80" s="685"/>
      <c r="AL80" s="685"/>
      <c r="AM80" s="685"/>
      <c r="AN80" s="685"/>
      <c r="AO80" s="685"/>
      <c r="AP80" s="685"/>
      <c r="AQ80" s="685"/>
      <c r="AR80" s="685"/>
      <c r="AS80" s="685"/>
      <c r="AT80" s="685"/>
      <c r="AU80" s="685"/>
      <c r="AV80" s="685"/>
      <c r="AW80" s="685"/>
      <c r="AX80" s="685"/>
      <c r="AY80" s="685"/>
      <c r="AZ80" s="685"/>
      <c r="BA80" s="685"/>
      <c r="BB80" s="685"/>
      <c r="BC80" s="685"/>
      <c r="BD80" s="685"/>
      <c r="BE80" s="685"/>
    </row>
    <row r="81" spans="1:57">
      <c r="A81" s="685"/>
      <c r="B81" s="1026" t="s">
        <v>85</v>
      </c>
      <c r="C81" s="1086"/>
      <c r="D81" s="1086">
        <f t="shared" ref="D81:S81" si="66">D22</f>
        <v>29235</v>
      </c>
      <c r="E81" s="1086">
        <f t="shared" si="66"/>
        <v>30685.599999999999</v>
      </c>
      <c r="F81" s="1086">
        <f t="shared" si="66"/>
        <v>32884</v>
      </c>
      <c r="G81" s="1086">
        <f t="shared" si="66"/>
        <v>33820.6</v>
      </c>
      <c r="H81" s="1086">
        <f t="shared" si="66"/>
        <v>34868.1</v>
      </c>
      <c r="I81" s="1086">
        <f t="shared" si="66"/>
        <v>34332.6</v>
      </c>
      <c r="J81" s="1086">
        <f t="shared" si="66"/>
        <v>36686.699999999997</v>
      </c>
      <c r="K81" s="1086">
        <f t="shared" si="66"/>
        <v>33997</v>
      </c>
      <c r="L81" s="1086">
        <f t="shared" si="66"/>
        <v>39019.5</v>
      </c>
      <c r="M81" s="1086">
        <f t="shared" si="66"/>
        <v>34795.4</v>
      </c>
      <c r="N81" s="1086">
        <f t="shared" si="66"/>
        <v>32613</v>
      </c>
      <c r="O81" s="1086">
        <f t="shared" si="66"/>
        <v>35941.9</v>
      </c>
      <c r="P81" s="1086">
        <f t="shared" si="66"/>
        <v>37891.53206960042</v>
      </c>
      <c r="Q81" s="1086">
        <f t="shared" si="66"/>
        <v>37351.483428120991</v>
      </c>
      <c r="R81" s="1086">
        <f t="shared" si="66"/>
        <v>38039.11857310011</v>
      </c>
      <c r="S81" s="1086">
        <f t="shared" si="66"/>
        <v>38874.501578752839</v>
      </c>
      <c r="T81" s="685"/>
      <c r="U81" s="685"/>
      <c r="V81" s="685"/>
      <c r="W81" s="685"/>
      <c r="X81" s="685"/>
      <c r="Y81" s="685"/>
      <c r="Z81" s="685"/>
      <c r="AA81" s="685"/>
      <c r="AB81" s="685"/>
      <c r="AC81" s="685"/>
      <c r="AD81" s="685"/>
      <c r="AE81" s="685"/>
      <c r="AF81" s="685"/>
      <c r="AG81" s="685"/>
      <c r="AH81" s="685"/>
      <c r="AI81" s="685"/>
      <c r="AJ81" s="685"/>
      <c r="AK81" s="685"/>
      <c r="AL81" s="685"/>
      <c r="AM81" s="685"/>
      <c r="AN81" s="685"/>
      <c r="AO81" s="685"/>
      <c r="AP81" s="685"/>
      <c r="AQ81" s="685"/>
      <c r="AR81" s="685"/>
      <c r="AS81" s="685"/>
      <c r="AT81" s="685"/>
      <c r="AU81" s="685"/>
      <c r="AV81" s="685"/>
      <c r="AW81" s="685"/>
      <c r="AX81" s="685"/>
      <c r="AY81" s="685"/>
      <c r="AZ81" s="685"/>
      <c r="BA81" s="685"/>
      <c r="BB81" s="685"/>
      <c r="BC81" s="685"/>
      <c r="BD81" s="685"/>
      <c r="BE81" s="685"/>
    </row>
    <row r="82" spans="1:57">
      <c r="A82" s="685"/>
      <c r="B82" s="685" t="s">
        <v>2424</v>
      </c>
      <c r="C82" s="795"/>
      <c r="D82" s="789">
        <f>D79/D81</f>
        <v>7.535450599240634E-2</v>
      </c>
      <c r="E82" s="789">
        <f t="shared" ref="E82:N82" si="67">E79/E81</f>
        <v>9.1281264466095233E-2</v>
      </c>
      <c r="F82" s="789">
        <f t="shared" si="67"/>
        <v>9.908818878481937E-2</v>
      </c>
      <c r="G82" s="789">
        <f t="shared" si="67"/>
        <v>0.10307422103688284</v>
      </c>
      <c r="H82" s="789">
        <f t="shared" si="67"/>
        <v>0.11974690332997782</v>
      </c>
      <c r="I82" s="789">
        <f t="shared" si="67"/>
        <v>0.14398865801017111</v>
      </c>
      <c r="J82" s="789">
        <f t="shared" si="67"/>
        <v>0.16678278504199073</v>
      </c>
      <c r="K82" s="789">
        <f t="shared" si="67"/>
        <v>0.17450686825308112</v>
      </c>
      <c r="L82" s="789">
        <f t="shared" si="67"/>
        <v>0.18924640243980576</v>
      </c>
      <c r="M82" s="789">
        <f t="shared" si="67"/>
        <v>0.21526336814636418</v>
      </c>
      <c r="N82" s="789">
        <f t="shared" si="67"/>
        <v>0.24995124643547051</v>
      </c>
      <c r="O82" s="789">
        <f>O79/O81</f>
        <v>0.23580530540325467</v>
      </c>
      <c r="P82" s="789">
        <f>P79/P81</f>
        <v>0.25045242241022392</v>
      </c>
      <c r="Q82" s="789">
        <f>Q79/Q81</f>
        <v>0.23559617626640358</v>
      </c>
      <c r="R82" s="789">
        <f>R79/R81</f>
        <v>0.24683564651654147</v>
      </c>
      <c r="S82" s="789">
        <f>S79/S81</f>
        <v>0.25867256445943504</v>
      </c>
      <c r="T82" s="685"/>
      <c r="U82" s="685"/>
      <c r="V82" s="685"/>
      <c r="W82" s="685"/>
      <c r="X82" s="685"/>
      <c r="Y82" s="685"/>
      <c r="Z82" s="685"/>
      <c r="AA82" s="685"/>
      <c r="AB82" s="685"/>
      <c r="AC82" s="685"/>
      <c r="AD82" s="685"/>
      <c r="AE82" s="685"/>
      <c r="AF82" s="685"/>
      <c r="AG82" s="685"/>
      <c r="AH82" s="685"/>
      <c r="AI82" s="685"/>
      <c r="AJ82" s="685"/>
      <c r="AK82" s="685"/>
      <c r="AL82" s="685"/>
      <c r="AM82" s="685"/>
      <c r="AN82" s="685"/>
      <c r="AO82" s="685"/>
      <c r="AP82" s="685"/>
      <c r="AQ82" s="685"/>
      <c r="AR82" s="685"/>
      <c r="AS82" s="685"/>
      <c r="AT82" s="685"/>
      <c r="AU82" s="685"/>
      <c r="AV82" s="685"/>
      <c r="AW82" s="685"/>
      <c r="AX82" s="685"/>
      <c r="AY82" s="685"/>
      <c r="AZ82" s="685"/>
      <c r="BA82" s="685"/>
      <c r="BB82" s="685"/>
      <c r="BC82" s="685"/>
      <c r="BD82" s="685"/>
      <c r="BE82" s="685"/>
    </row>
    <row r="83" spans="1:57">
      <c r="A83" s="685"/>
      <c r="B83" s="1026"/>
      <c r="C83" s="1026"/>
      <c r="D83" s="1026"/>
      <c r="E83" s="1026"/>
      <c r="F83" s="1026"/>
      <c r="G83" s="1026"/>
      <c r="H83" s="1026"/>
      <c r="I83" s="1026"/>
      <c r="J83" s="1026"/>
      <c r="K83" s="1026"/>
      <c r="L83" s="1026"/>
      <c r="M83" s="1026"/>
      <c r="N83" s="1026"/>
      <c r="O83" s="1026"/>
      <c r="P83" s="1026"/>
      <c r="Q83" s="1026"/>
      <c r="R83" s="1026"/>
      <c r="S83" s="1026"/>
      <c r="T83" s="685"/>
      <c r="U83" s="685"/>
      <c r="V83" s="685"/>
      <c r="W83" s="685"/>
      <c r="X83" s="685"/>
      <c r="Y83" s="685"/>
      <c r="Z83" s="685"/>
      <c r="AA83" s="685"/>
      <c r="AB83" s="685"/>
      <c r="AC83" s="685"/>
      <c r="AD83" s="685"/>
      <c r="AE83" s="685"/>
      <c r="AF83" s="685"/>
      <c r="AG83" s="685"/>
      <c r="AH83" s="685"/>
      <c r="AI83" s="685"/>
      <c r="AJ83" s="685"/>
      <c r="AK83" s="685"/>
      <c r="AL83" s="685"/>
      <c r="AM83" s="685"/>
      <c r="AN83" s="685"/>
      <c r="AO83" s="685"/>
      <c r="AP83" s="685"/>
      <c r="AQ83" s="685"/>
      <c r="AR83" s="685"/>
      <c r="AS83" s="685"/>
      <c r="AT83" s="685"/>
      <c r="AU83" s="685"/>
      <c r="AV83" s="685"/>
      <c r="AW83" s="685"/>
      <c r="AX83" s="685"/>
      <c r="AY83" s="685"/>
      <c r="AZ83" s="685"/>
      <c r="BA83" s="685"/>
      <c r="BB83" s="685"/>
      <c r="BC83" s="685"/>
      <c r="BD83" s="685"/>
      <c r="BE83" s="685"/>
    </row>
    <row r="84" spans="1:57">
      <c r="A84" s="685"/>
      <c r="B84" s="743" t="s">
        <v>2425</v>
      </c>
      <c r="C84" s="743"/>
      <c r="D84" s="743">
        <f t="shared" ref="D84:L84" si="68">D78</f>
        <v>2010</v>
      </c>
      <c r="E84" s="743">
        <f t="shared" si="68"/>
        <v>2011</v>
      </c>
      <c r="F84" s="743">
        <f t="shared" si="68"/>
        <v>2012</v>
      </c>
      <c r="G84" s="743">
        <f t="shared" si="68"/>
        <v>2013</v>
      </c>
      <c r="H84" s="743">
        <f t="shared" si="68"/>
        <v>2014</v>
      </c>
      <c r="I84" s="743">
        <f t="shared" si="68"/>
        <v>2015</v>
      </c>
      <c r="J84" s="743">
        <f t="shared" si="68"/>
        <v>2016</v>
      </c>
      <c r="K84" s="743">
        <f t="shared" si="68"/>
        <v>2017</v>
      </c>
      <c r="L84" s="743">
        <f t="shared" si="68"/>
        <v>2018</v>
      </c>
      <c r="M84" s="743">
        <f t="shared" ref="M84:S85" si="69">M78</f>
        <v>2019</v>
      </c>
      <c r="N84" s="743">
        <f t="shared" si="69"/>
        <v>2020</v>
      </c>
      <c r="O84" s="743">
        <f t="shared" si="69"/>
        <v>2021</v>
      </c>
      <c r="P84" s="743">
        <f t="shared" si="69"/>
        <v>2022</v>
      </c>
      <c r="Q84" s="743">
        <f t="shared" si="69"/>
        <v>2023</v>
      </c>
      <c r="R84" s="743">
        <f t="shared" si="69"/>
        <v>2024</v>
      </c>
      <c r="S84" s="743">
        <f t="shared" si="69"/>
        <v>2025</v>
      </c>
      <c r="T84" s="685"/>
      <c r="U84" s="685"/>
      <c r="V84" s="685"/>
      <c r="W84" s="685"/>
      <c r="X84" s="685"/>
      <c r="Y84" s="685"/>
      <c r="Z84" s="685"/>
      <c r="AA84" s="685"/>
      <c r="AB84" s="685"/>
      <c r="AC84" s="685"/>
      <c r="AD84" s="685"/>
      <c r="AE84" s="685"/>
      <c r="AF84" s="685"/>
      <c r="AG84" s="685"/>
      <c r="AH84" s="685"/>
      <c r="AI84" s="685"/>
      <c r="AJ84" s="685"/>
      <c r="AK84" s="685"/>
      <c r="AL84" s="685"/>
      <c r="AM84" s="685"/>
      <c r="AN84" s="685"/>
      <c r="AO84" s="685"/>
      <c r="AP84" s="685"/>
      <c r="AQ84" s="685"/>
      <c r="AR84" s="685"/>
      <c r="AS84" s="685"/>
      <c r="AT84" s="685"/>
      <c r="AU84" s="685"/>
      <c r="AV84" s="685"/>
      <c r="AW84" s="685"/>
      <c r="AX84" s="685"/>
      <c r="AY84" s="685"/>
      <c r="AZ84" s="685"/>
      <c r="BA84" s="685"/>
      <c r="BB84" s="685"/>
      <c r="BC84" s="685"/>
      <c r="BD84" s="685"/>
      <c r="BE84" s="685"/>
    </row>
    <row r="85" spans="1:57">
      <c r="A85" s="685"/>
      <c r="B85" s="1026" t="str">
        <f>B79</f>
        <v>Univision royalties</v>
      </c>
      <c r="C85" s="1086"/>
      <c r="D85" s="1086">
        <f t="shared" ref="D85:L85" si="70">D79</f>
        <v>2202.9889826879994</v>
      </c>
      <c r="E85" s="1086">
        <f t="shared" si="70"/>
        <v>2801.0203689008117</v>
      </c>
      <c r="F85" s="1086">
        <f t="shared" si="70"/>
        <v>3258.4160000000002</v>
      </c>
      <c r="G85" s="1086">
        <f t="shared" si="70"/>
        <v>3486.0319999999997</v>
      </c>
      <c r="H85" s="1086">
        <f t="shared" si="70"/>
        <v>4175.3469999999998</v>
      </c>
      <c r="I85" s="1086">
        <f t="shared" si="70"/>
        <v>4943.5050000000001</v>
      </c>
      <c r="J85" s="1086">
        <f t="shared" si="70"/>
        <v>6118.7100000000009</v>
      </c>
      <c r="K85" s="1086">
        <f t="shared" si="70"/>
        <v>5932.7099999999991</v>
      </c>
      <c r="L85" s="1086">
        <f t="shared" si="70"/>
        <v>7384.3</v>
      </c>
      <c r="M85" s="1086">
        <f t="shared" si="69"/>
        <v>7490.1750000000002</v>
      </c>
      <c r="N85" s="1086">
        <f t="shared" si="69"/>
        <v>8151.66</v>
      </c>
      <c r="O85" s="1086">
        <f t="shared" si="69"/>
        <v>8475.2907062732393</v>
      </c>
      <c r="P85" s="1086">
        <f t="shared" si="69"/>
        <v>9490.0259956661102</v>
      </c>
      <c r="Q85" s="1086">
        <f t="shared" si="69"/>
        <v>8799.8666735432453</v>
      </c>
      <c r="R85" s="1086">
        <f t="shared" si="69"/>
        <v>9389.4104259105461</v>
      </c>
      <c r="S85" s="1086">
        <f t="shared" si="69"/>
        <v>10055.767015458352</v>
      </c>
      <c r="T85" s="685"/>
      <c r="U85" s="685"/>
      <c r="V85" s="685"/>
      <c r="W85" s="685"/>
      <c r="X85" s="685"/>
      <c r="Y85" s="685"/>
      <c r="Z85" s="685"/>
      <c r="AA85" s="685"/>
      <c r="AB85" s="685"/>
      <c r="AC85" s="685"/>
      <c r="AD85" s="685"/>
      <c r="AE85" s="685"/>
      <c r="AF85" s="685"/>
      <c r="AG85" s="685"/>
      <c r="AH85" s="685"/>
      <c r="AI85" s="685"/>
      <c r="AJ85" s="685"/>
      <c r="AK85" s="685"/>
      <c r="AL85" s="685"/>
      <c r="AM85" s="685"/>
      <c r="AN85" s="685"/>
      <c r="AO85" s="685"/>
      <c r="AP85" s="685"/>
      <c r="AQ85" s="685"/>
      <c r="AR85" s="685"/>
      <c r="AS85" s="685"/>
      <c r="AT85" s="685"/>
      <c r="AU85" s="685"/>
      <c r="AV85" s="685"/>
      <c r="AW85" s="685"/>
      <c r="AX85" s="685"/>
      <c r="AY85" s="685"/>
      <c r="AZ85" s="685"/>
      <c r="BA85" s="685"/>
      <c r="BB85" s="685"/>
      <c r="BC85" s="685"/>
      <c r="BD85" s="685"/>
      <c r="BE85" s="685"/>
    </row>
    <row r="86" spans="1:57">
      <c r="A86" s="685"/>
      <c r="B86" s="743" t="str">
        <f>B80</f>
        <v xml:space="preserve">Underlying </v>
      </c>
      <c r="C86" s="833"/>
      <c r="D86" s="833">
        <f t="shared" ref="D86:L86" si="71">D87-D85</f>
        <v>11617.011017312001</v>
      </c>
      <c r="E86" s="833">
        <f t="shared" si="71"/>
        <v>11664.579631099188</v>
      </c>
      <c r="F86" s="833">
        <f t="shared" si="71"/>
        <v>12152.784</v>
      </c>
      <c r="G86" s="833">
        <f t="shared" si="71"/>
        <v>12079.967999999999</v>
      </c>
      <c r="H86" s="833">
        <f t="shared" si="71"/>
        <v>11358.953</v>
      </c>
      <c r="I86" s="833">
        <f t="shared" si="71"/>
        <v>9620.6949999999997</v>
      </c>
      <c r="J86" s="833">
        <f t="shared" si="71"/>
        <v>8629.2899999999991</v>
      </c>
      <c r="K86" s="833">
        <f t="shared" si="71"/>
        <v>6892.2900000000009</v>
      </c>
      <c r="L86" s="833">
        <f t="shared" si="71"/>
        <v>7470.7</v>
      </c>
      <c r="M86" s="833">
        <f t="shared" ref="M86:S86" si="72">M87-M85</f>
        <v>5141.8249999999998</v>
      </c>
      <c r="N86" s="833">
        <f t="shared" si="72"/>
        <v>4209.1399999999994</v>
      </c>
      <c r="O86" s="833">
        <f t="shared" si="72"/>
        <v>5303.7092937267607</v>
      </c>
      <c r="P86" s="833">
        <f t="shared" si="72"/>
        <v>4529.8408700860455</v>
      </c>
      <c r="Q86" s="833">
        <f t="shared" si="72"/>
        <v>4646.6673605803117</v>
      </c>
      <c r="R86" s="833">
        <f t="shared" si="72"/>
        <v>3734.0854818089902</v>
      </c>
      <c r="S86" s="833">
        <f t="shared" si="72"/>
        <v>2772.8185055300855</v>
      </c>
      <c r="T86" s="685"/>
      <c r="U86" s="685"/>
      <c r="V86" s="685"/>
      <c r="W86" s="685"/>
      <c r="X86" s="685"/>
      <c r="Y86" s="685"/>
      <c r="Z86" s="685"/>
      <c r="AA86" s="685"/>
      <c r="AB86" s="685"/>
      <c r="AC86" s="685"/>
      <c r="AD86" s="685"/>
      <c r="AE86" s="685"/>
      <c r="AF86" s="685"/>
      <c r="AG86" s="685"/>
      <c r="AH86" s="685"/>
      <c r="AI86" s="685"/>
      <c r="AJ86" s="685"/>
      <c r="AK86" s="685"/>
      <c r="AL86" s="685"/>
      <c r="AM86" s="685"/>
      <c r="AN86" s="685"/>
      <c r="AO86" s="685"/>
      <c r="AP86" s="685"/>
      <c r="AQ86" s="685"/>
      <c r="AR86" s="685"/>
      <c r="AS86" s="685"/>
      <c r="AT86" s="685"/>
      <c r="AU86" s="685"/>
      <c r="AV86" s="685"/>
      <c r="AW86" s="685"/>
      <c r="AX86" s="685"/>
      <c r="AY86" s="685"/>
      <c r="AZ86" s="685"/>
      <c r="BA86" s="685"/>
      <c r="BB86" s="685"/>
      <c r="BC86" s="685"/>
      <c r="BD86" s="685"/>
      <c r="BE86" s="685"/>
    </row>
    <row r="87" spans="1:57" ht="15.75" thickBot="1">
      <c r="A87" s="685"/>
      <c r="B87" s="1026" t="str">
        <f>B81</f>
        <v>Total</v>
      </c>
      <c r="C87" s="1086"/>
      <c r="D87" s="1086">
        <f t="shared" ref="D87:S87" si="73">D27</f>
        <v>13820</v>
      </c>
      <c r="E87" s="1086">
        <f t="shared" si="73"/>
        <v>14465.6</v>
      </c>
      <c r="F87" s="1086">
        <f t="shared" si="73"/>
        <v>15411.2</v>
      </c>
      <c r="G87" s="1086">
        <f t="shared" si="73"/>
        <v>15565.999999999998</v>
      </c>
      <c r="H87" s="1086">
        <f t="shared" si="73"/>
        <v>15534.3</v>
      </c>
      <c r="I87" s="1086">
        <f t="shared" si="73"/>
        <v>14564.2</v>
      </c>
      <c r="J87" s="1086">
        <f t="shared" si="73"/>
        <v>14748</v>
      </c>
      <c r="K87" s="1086">
        <f t="shared" si="73"/>
        <v>12825</v>
      </c>
      <c r="L87" s="1086">
        <f t="shared" si="73"/>
        <v>14855</v>
      </c>
      <c r="M87" s="1086">
        <f t="shared" si="73"/>
        <v>12632</v>
      </c>
      <c r="N87" s="1086">
        <f t="shared" si="73"/>
        <v>12360.8</v>
      </c>
      <c r="O87" s="1086">
        <f t="shared" si="73"/>
        <v>13779</v>
      </c>
      <c r="P87" s="1086">
        <f t="shared" si="73"/>
        <v>14019.866865752156</v>
      </c>
      <c r="Q87" s="1086">
        <f t="shared" si="73"/>
        <v>13446.534034123557</v>
      </c>
      <c r="R87" s="1086">
        <f t="shared" si="73"/>
        <v>13123.495907719536</v>
      </c>
      <c r="S87" s="1086">
        <f t="shared" si="73"/>
        <v>12828.585520988438</v>
      </c>
      <c r="T87" s="685"/>
      <c r="U87" s="685"/>
      <c r="V87" s="685"/>
      <c r="W87" s="685"/>
      <c r="X87" s="685"/>
      <c r="Y87" s="685"/>
      <c r="Z87" s="685"/>
      <c r="AA87" s="685"/>
      <c r="AB87" s="685"/>
      <c r="AC87" s="685"/>
      <c r="AD87" s="685"/>
      <c r="AE87" s="685"/>
      <c r="AF87" s="685"/>
      <c r="AG87" s="685"/>
      <c r="AH87" s="685"/>
      <c r="AI87" s="685"/>
      <c r="AJ87" s="685"/>
      <c r="AK87" s="685"/>
      <c r="AL87" s="685"/>
      <c r="AM87" s="685"/>
      <c r="AN87" s="685"/>
      <c r="AO87" s="685"/>
      <c r="AP87" s="685"/>
      <c r="AQ87" s="685"/>
      <c r="AR87" s="685"/>
      <c r="AS87" s="685"/>
      <c r="AT87" s="685"/>
      <c r="AU87" s="685"/>
      <c r="AV87" s="685"/>
      <c r="AW87" s="685"/>
      <c r="AX87" s="685"/>
      <c r="AY87" s="685"/>
      <c r="AZ87" s="685"/>
      <c r="BA87" s="685"/>
      <c r="BB87" s="685"/>
      <c r="BC87" s="685"/>
      <c r="BD87" s="685"/>
      <c r="BE87" s="685"/>
    </row>
    <row r="88" spans="1:57">
      <c r="A88" s="685"/>
      <c r="B88" s="1027"/>
      <c r="C88" s="1028"/>
      <c r="D88" s="1028"/>
      <c r="E88" s="1028"/>
      <c r="F88" s="1028"/>
      <c r="G88" s="1028"/>
      <c r="H88" s="1028"/>
      <c r="I88" s="1028"/>
      <c r="J88" s="1028"/>
      <c r="K88" s="1028"/>
      <c r="L88" s="1028"/>
      <c r="M88" s="1028"/>
      <c r="N88" s="1028"/>
      <c r="O88" s="1028"/>
      <c r="P88" s="1028"/>
      <c r="Q88" s="1028"/>
      <c r="R88" s="1028"/>
      <c r="S88" s="1029"/>
      <c r="T88" s="685"/>
      <c r="U88" s="685"/>
      <c r="V88" s="685"/>
      <c r="W88" s="685"/>
      <c r="X88" s="685"/>
      <c r="Y88" s="685"/>
      <c r="Z88" s="685"/>
      <c r="AA88" s="685"/>
      <c r="AB88" s="685"/>
      <c r="AC88" s="685"/>
      <c r="AD88" s="685"/>
      <c r="AE88" s="685"/>
      <c r="AF88" s="685"/>
      <c r="AG88" s="685"/>
      <c r="AH88" s="685"/>
      <c r="AI88" s="685"/>
      <c r="AJ88" s="685"/>
      <c r="AK88" s="685"/>
      <c r="AL88" s="685"/>
      <c r="AM88" s="685"/>
      <c r="AN88" s="685"/>
      <c r="AO88" s="685"/>
      <c r="AP88" s="685"/>
      <c r="AQ88" s="685"/>
      <c r="AR88" s="685"/>
      <c r="AS88" s="685"/>
      <c r="AT88" s="685"/>
      <c r="AU88" s="685"/>
      <c r="AV88" s="685"/>
      <c r="AW88" s="685"/>
      <c r="AX88" s="685"/>
      <c r="AY88" s="685"/>
      <c r="AZ88" s="685"/>
      <c r="BA88" s="685"/>
      <c r="BB88" s="685"/>
      <c r="BC88" s="685"/>
      <c r="BD88" s="685"/>
      <c r="BE88" s="685"/>
    </row>
    <row r="89" spans="1:57">
      <c r="A89" s="685"/>
      <c r="B89" s="1087" t="s">
        <v>2426</v>
      </c>
      <c r="C89" s="1030"/>
      <c r="D89" s="1030">
        <f t="shared" ref="D89:L89" si="74">D84</f>
        <v>2010</v>
      </c>
      <c r="E89" s="1030">
        <f t="shared" si="74"/>
        <v>2011</v>
      </c>
      <c r="F89" s="1030">
        <f t="shared" si="74"/>
        <v>2012</v>
      </c>
      <c r="G89" s="1030">
        <f t="shared" si="74"/>
        <v>2013</v>
      </c>
      <c r="H89" s="1030">
        <f t="shared" si="74"/>
        <v>2014</v>
      </c>
      <c r="I89" s="1030">
        <f t="shared" si="74"/>
        <v>2015</v>
      </c>
      <c r="J89" s="1030">
        <f t="shared" si="74"/>
        <v>2016</v>
      </c>
      <c r="K89" s="1030">
        <f t="shared" si="74"/>
        <v>2017</v>
      </c>
      <c r="L89" s="1030">
        <f t="shared" si="74"/>
        <v>2018</v>
      </c>
      <c r="M89" s="1030">
        <f t="shared" ref="M89:S89" si="75">M84</f>
        <v>2019</v>
      </c>
      <c r="N89" s="1030">
        <f t="shared" si="75"/>
        <v>2020</v>
      </c>
      <c r="O89" s="1030">
        <f t="shared" si="75"/>
        <v>2021</v>
      </c>
      <c r="P89" s="1030">
        <f t="shared" si="75"/>
        <v>2022</v>
      </c>
      <c r="Q89" s="1030">
        <f t="shared" si="75"/>
        <v>2023</v>
      </c>
      <c r="R89" s="1030">
        <f t="shared" si="75"/>
        <v>2024</v>
      </c>
      <c r="S89" s="1088">
        <f t="shared" si="75"/>
        <v>2025</v>
      </c>
      <c r="T89" s="685"/>
      <c r="U89" s="685"/>
      <c r="V89" s="685"/>
      <c r="W89" s="685"/>
      <c r="X89" s="685"/>
      <c r="Y89" s="685"/>
      <c r="Z89" s="685"/>
      <c r="AA89" s="685"/>
      <c r="AB89" s="685"/>
      <c r="AC89" s="685"/>
      <c r="AD89" s="685"/>
      <c r="AE89" s="685"/>
      <c r="AF89" s="685"/>
      <c r="AG89" s="685"/>
      <c r="AH89" s="685"/>
      <c r="AI89" s="685"/>
      <c r="AJ89" s="685"/>
      <c r="AK89" s="685"/>
      <c r="AL89" s="685"/>
      <c r="AM89" s="685"/>
      <c r="AN89" s="685"/>
      <c r="AO89" s="685"/>
      <c r="AP89" s="685"/>
      <c r="AQ89" s="685"/>
      <c r="AR89" s="685"/>
      <c r="AS89" s="685"/>
      <c r="AT89" s="685"/>
      <c r="AU89" s="685"/>
      <c r="AV89" s="685"/>
      <c r="AW89" s="685"/>
      <c r="AX89" s="685"/>
      <c r="AY89" s="685"/>
      <c r="AZ89" s="685"/>
      <c r="BA89" s="685"/>
      <c r="BB89" s="685"/>
      <c r="BC89" s="685"/>
      <c r="BD89" s="685"/>
      <c r="BE89" s="685"/>
    </row>
    <row r="90" spans="1:57">
      <c r="A90" s="685"/>
      <c r="B90" s="1089" t="str">
        <f>B85</f>
        <v>Univision royalties</v>
      </c>
      <c r="C90" s="814"/>
      <c r="D90" s="814">
        <f t="shared" ref="D90:L90" si="76">D85/D79</f>
        <v>1</v>
      </c>
      <c r="E90" s="814">
        <f t="shared" si="76"/>
        <v>1</v>
      </c>
      <c r="F90" s="814">
        <f t="shared" si="76"/>
        <v>1</v>
      </c>
      <c r="G90" s="814">
        <f t="shared" si="76"/>
        <v>1</v>
      </c>
      <c r="H90" s="814">
        <f t="shared" si="76"/>
        <v>1</v>
      </c>
      <c r="I90" s="814">
        <f t="shared" si="76"/>
        <v>1</v>
      </c>
      <c r="J90" s="814">
        <f t="shared" si="76"/>
        <v>1</v>
      </c>
      <c r="K90" s="814">
        <f t="shared" si="76"/>
        <v>1</v>
      </c>
      <c r="L90" s="814">
        <f t="shared" si="76"/>
        <v>1</v>
      </c>
      <c r="M90" s="814">
        <f t="shared" ref="M90:N92" si="77">M85/M79</f>
        <v>1</v>
      </c>
      <c r="N90" s="814">
        <f t="shared" si="77"/>
        <v>1</v>
      </c>
      <c r="O90" s="814">
        <f t="shared" ref="O90:S92" si="78">O85/O79</f>
        <v>1</v>
      </c>
      <c r="P90" s="814">
        <f t="shared" si="78"/>
        <v>1</v>
      </c>
      <c r="Q90" s="814">
        <f t="shared" si="78"/>
        <v>1</v>
      </c>
      <c r="R90" s="814">
        <f t="shared" si="78"/>
        <v>1</v>
      </c>
      <c r="S90" s="1090">
        <f t="shared" si="78"/>
        <v>1</v>
      </c>
      <c r="T90" s="685"/>
      <c r="U90" s="685"/>
      <c r="V90" s="685"/>
      <c r="W90" s="685"/>
      <c r="X90" s="685"/>
      <c r="Y90" s="685"/>
      <c r="Z90" s="685"/>
      <c r="AA90" s="685"/>
      <c r="AB90" s="685"/>
      <c r="AC90" s="685"/>
      <c r="AD90" s="685"/>
      <c r="AE90" s="685">
        <v>2013</v>
      </c>
      <c r="AF90" s="685">
        <f t="shared" ref="AF90:AL90" si="79">AE90+1</f>
        <v>2014</v>
      </c>
      <c r="AG90" s="685">
        <f t="shared" si="79"/>
        <v>2015</v>
      </c>
      <c r="AH90" s="685">
        <f t="shared" si="79"/>
        <v>2016</v>
      </c>
      <c r="AI90" s="685">
        <f t="shared" si="79"/>
        <v>2017</v>
      </c>
      <c r="AJ90" s="685">
        <f t="shared" si="79"/>
        <v>2018</v>
      </c>
      <c r="AK90" s="685">
        <f t="shared" si="79"/>
        <v>2019</v>
      </c>
      <c r="AL90" s="685">
        <f t="shared" si="79"/>
        <v>2020</v>
      </c>
      <c r="AM90" s="685"/>
      <c r="AN90" s="685"/>
      <c r="AO90" s="685"/>
      <c r="AP90" s="685"/>
      <c r="AQ90" s="685"/>
      <c r="AR90" s="685"/>
      <c r="AS90" s="685"/>
      <c r="AT90" s="685"/>
      <c r="AU90" s="685"/>
      <c r="AV90" s="685"/>
      <c r="AW90" s="685"/>
      <c r="AX90" s="685"/>
      <c r="AY90" s="685"/>
      <c r="AZ90" s="685"/>
      <c r="BA90" s="685"/>
      <c r="BB90" s="685"/>
      <c r="BC90" s="685"/>
      <c r="BD90" s="685"/>
      <c r="BE90" s="685"/>
    </row>
    <row r="91" spans="1:57">
      <c r="A91" s="685"/>
      <c r="B91" s="1087" t="str">
        <f>B86</f>
        <v xml:space="preserve">Underlying </v>
      </c>
      <c r="C91" s="1091"/>
      <c r="D91" s="1091">
        <f t="shared" ref="D91:L91" si="80">D86/D80</f>
        <v>0.42975015842780495</v>
      </c>
      <c r="E91" s="1091">
        <f t="shared" si="80"/>
        <v>0.41831649554759237</v>
      </c>
      <c r="F91" s="1091">
        <f t="shared" si="80"/>
        <v>0.41021247041070991</v>
      </c>
      <c r="G91" s="1091">
        <f t="shared" si="80"/>
        <v>0.39822449424695944</v>
      </c>
      <c r="H91" s="1091">
        <f t="shared" si="80"/>
        <v>0.37008583101033654</v>
      </c>
      <c r="I91" s="1091">
        <f t="shared" si="80"/>
        <v>0.32735594614260838</v>
      </c>
      <c r="J91" s="1091">
        <f t="shared" si="80"/>
        <v>0.2822982472841688</v>
      </c>
      <c r="K91" s="1091">
        <f t="shared" si="80"/>
        <v>0.24558932365650443</v>
      </c>
      <c r="L91" s="1091">
        <f t="shared" si="80"/>
        <v>0.23615150212421604</v>
      </c>
      <c r="M91" s="1091">
        <f t="shared" si="77"/>
        <v>0.18830919723239781</v>
      </c>
      <c r="N91" s="1091">
        <f t="shared" si="77"/>
        <v>0.1720731570715259</v>
      </c>
      <c r="O91" s="1091">
        <f t="shared" si="78"/>
        <v>0.19309661549443971</v>
      </c>
      <c r="P91" s="1091">
        <f t="shared" si="78"/>
        <v>0.15949298105156967</v>
      </c>
      <c r="Q91" s="1091">
        <f t="shared" si="78"/>
        <v>0.1627462080526596</v>
      </c>
      <c r="R91" s="1091">
        <f t="shared" si="78"/>
        <v>0.13033589950113647</v>
      </c>
      <c r="S91" s="1092">
        <f t="shared" si="78"/>
        <v>9.6215831387049769E-2</v>
      </c>
      <c r="T91" s="685" t="s">
        <v>2427</v>
      </c>
      <c r="U91" s="685"/>
      <c r="V91" s="685"/>
      <c r="W91" s="685"/>
      <c r="X91" s="685"/>
      <c r="Y91" s="685"/>
      <c r="Z91" s="685"/>
      <c r="AA91" s="685"/>
      <c r="AB91" s="685"/>
      <c r="AC91" s="685"/>
      <c r="AD91" s="685"/>
      <c r="AE91" s="814">
        <f t="shared" ref="AE91:AL91" si="81">G91</f>
        <v>0.39822449424695944</v>
      </c>
      <c r="AF91" s="814">
        <f t="shared" si="81"/>
        <v>0.37008583101033654</v>
      </c>
      <c r="AG91" s="814">
        <f t="shared" si="81"/>
        <v>0.32735594614260838</v>
      </c>
      <c r="AH91" s="814">
        <f t="shared" si="81"/>
        <v>0.2822982472841688</v>
      </c>
      <c r="AI91" s="814">
        <f t="shared" si="81"/>
        <v>0.24558932365650443</v>
      </c>
      <c r="AJ91" s="814">
        <f t="shared" si="81"/>
        <v>0.23615150212421604</v>
      </c>
      <c r="AK91" s="814">
        <f t="shared" si="81"/>
        <v>0.18830919723239781</v>
      </c>
      <c r="AL91" s="814">
        <f t="shared" si="81"/>
        <v>0.1720731570715259</v>
      </c>
      <c r="AM91" s="685"/>
      <c r="AN91" s="685"/>
      <c r="AO91" s="685"/>
      <c r="AP91" s="685"/>
      <c r="AQ91" s="685"/>
      <c r="AR91" s="685"/>
      <c r="AS91" s="685"/>
      <c r="AT91" s="685"/>
      <c r="AU91" s="685"/>
      <c r="AV91" s="685"/>
      <c r="AW91" s="685"/>
      <c r="AX91" s="685"/>
      <c r="AY91" s="685"/>
      <c r="AZ91" s="685"/>
      <c r="BA91" s="685"/>
      <c r="BB91" s="685"/>
      <c r="BC91" s="685"/>
      <c r="BD91" s="685"/>
      <c r="BE91" s="685"/>
    </row>
    <row r="92" spans="1:57" ht="15.75" thickBot="1">
      <c r="A92" s="685"/>
      <c r="B92" s="1093" t="str">
        <f>B87</f>
        <v>Total</v>
      </c>
      <c r="C92" s="1094"/>
      <c r="D92" s="1094">
        <f t="shared" ref="D92:L92" si="82">D87/D81</f>
        <v>0.47272105353172567</v>
      </c>
      <c r="E92" s="1094">
        <f t="shared" si="82"/>
        <v>0.47141330135307769</v>
      </c>
      <c r="F92" s="1094">
        <f t="shared" si="82"/>
        <v>0.46865344848558571</v>
      </c>
      <c r="G92" s="1094">
        <f t="shared" si="82"/>
        <v>0.46025203574153029</v>
      </c>
      <c r="H92" s="1094">
        <f t="shared" si="82"/>
        <v>0.44551610211052511</v>
      </c>
      <c r="I92" s="1094">
        <f t="shared" si="82"/>
        <v>0.42420906077605547</v>
      </c>
      <c r="J92" s="1094">
        <f t="shared" si="82"/>
        <v>0.4019985444316333</v>
      </c>
      <c r="K92" s="1094">
        <f t="shared" si="82"/>
        <v>0.37723916816189662</v>
      </c>
      <c r="L92" s="1094">
        <f t="shared" si="82"/>
        <v>0.38070708235625778</v>
      </c>
      <c r="M92" s="1094">
        <f t="shared" si="77"/>
        <v>0.36303649332957805</v>
      </c>
      <c r="N92" s="1094">
        <f t="shared" si="77"/>
        <v>0.37901450341888204</v>
      </c>
      <c r="O92" s="1094">
        <f t="shared" si="78"/>
        <v>0.3833687145086932</v>
      </c>
      <c r="P92" s="1094">
        <f t="shared" si="78"/>
        <v>0.37</v>
      </c>
      <c r="Q92" s="1094">
        <f t="shared" si="78"/>
        <v>0.36</v>
      </c>
      <c r="R92" s="1094">
        <f t="shared" si="78"/>
        <v>0.34499999999999997</v>
      </c>
      <c r="S92" s="1095">
        <f t="shared" si="78"/>
        <v>0.33</v>
      </c>
      <c r="T92" s="685" t="s">
        <v>2428</v>
      </c>
      <c r="U92" s="685"/>
      <c r="V92" s="685"/>
      <c r="W92" s="685"/>
      <c r="X92" s="685"/>
      <c r="Y92" s="685"/>
      <c r="Z92" s="685"/>
      <c r="AA92" s="685"/>
      <c r="AB92" s="685"/>
      <c r="AC92" s="685"/>
      <c r="AD92" s="685"/>
      <c r="AE92" s="814">
        <f>AE91</f>
        <v>0.39822449424695944</v>
      </c>
      <c r="AF92" s="814">
        <v>0.36499999999999999</v>
      </c>
      <c r="AG92" s="814">
        <v>0.35</v>
      </c>
      <c r="AH92" s="814">
        <v>0.33</v>
      </c>
      <c r="AI92" s="814">
        <v>0.32</v>
      </c>
      <c r="AJ92" s="814">
        <v>0.32</v>
      </c>
      <c r="AK92" s="814">
        <v>0.30499999999999999</v>
      </c>
      <c r="AL92" s="814">
        <v>0.29749999999999999</v>
      </c>
      <c r="AM92" s="685"/>
      <c r="AN92" s="685"/>
      <c r="AO92" s="685"/>
      <c r="AP92" s="685"/>
      <c r="AQ92" s="685"/>
      <c r="AR92" s="685"/>
      <c r="AS92" s="685"/>
      <c r="AT92" s="685"/>
      <c r="AU92" s="685"/>
      <c r="AV92" s="685"/>
      <c r="AW92" s="685"/>
      <c r="AX92" s="685"/>
      <c r="AY92" s="685"/>
      <c r="AZ92" s="685"/>
      <c r="BA92" s="685"/>
      <c r="BB92" s="685"/>
      <c r="BC92" s="685"/>
      <c r="BD92" s="685"/>
      <c r="BE92" s="685"/>
    </row>
    <row r="93" spans="1:57">
      <c r="A93" s="685"/>
      <c r="B93" s="1026"/>
      <c r="C93" s="1026"/>
      <c r="D93" s="1026"/>
      <c r="E93" s="1026"/>
      <c r="F93" s="1026"/>
      <c r="G93" s="1026"/>
      <c r="H93" s="1026"/>
      <c r="I93" s="1026"/>
      <c r="J93" s="1026"/>
      <c r="K93" s="1026"/>
      <c r="L93" s="1026"/>
      <c r="M93" s="1026"/>
      <c r="N93" s="1026"/>
      <c r="O93" s="1026"/>
      <c r="P93" s="1026"/>
      <c r="Q93" s="1026"/>
      <c r="R93" s="1026"/>
      <c r="S93" s="1026"/>
      <c r="T93" s="685"/>
      <c r="U93" s="685"/>
      <c r="V93" s="685"/>
      <c r="W93" s="685"/>
      <c r="X93" s="685"/>
      <c r="Y93" s="685"/>
      <c r="Z93" s="685"/>
      <c r="AA93" s="685"/>
      <c r="AB93" s="685"/>
      <c r="AC93" s="685"/>
      <c r="AD93" s="685"/>
      <c r="AE93" s="685"/>
      <c r="AF93" s="685"/>
      <c r="AG93" s="685"/>
      <c r="AH93" s="685"/>
      <c r="AI93" s="685"/>
      <c r="AJ93" s="685"/>
      <c r="AK93" s="685"/>
      <c r="AL93" s="685"/>
      <c r="AM93" s="685"/>
      <c r="AN93" s="685"/>
      <c r="AO93" s="685"/>
      <c r="AP93" s="685"/>
      <c r="AQ93" s="685"/>
      <c r="AR93" s="685"/>
      <c r="AS93" s="685"/>
      <c r="AT93" s="685"/>
      <c r="AU93" s="685"/>
      <c r="AV93" s="685"/>
      <c r="AW93" s="685"/>
      <c r="AX93" s="685"/>
      <c r="AY93" s="685"/>
      <c r="AZ93" s="685"/>
      <c r="BA93" s="685"/>
      <c r="BB93" s="685"/>
      <c r="BC93" s="685"/>
      <c r="BD93" s="685"/>
      <c r="BE93" s="685"/>
    </row>
    <row r="94" spans="1:57">
      <c r="A94" s="685"/>
      <c r="B94" s="743" t="s">
        <v>2429</v>
      </c>
      <c r="C94" s="743"/>
      <c r="D94" s="743">
        <f t="shared" ref="D94:L94" si="83">D89</f>
        <v>2010</v>
      </c>
      <c r="E94" s="743">
        <f t="shared" si="83"/>
        <v>2011</v>
      </c>
      <c r="F94" s="743">
        <f t="shared" si="83"/>
        <v>2012</v>
      </c>
      <c r="G94" s="743">
        <f t="shared" si="83"/>
        <v>2013</v>
      </c>
      <c r="H94" s="743">
        <f t="shared" si="83"/>
        <v>2014</v>
      </c>
      <c r="I94" s="743">
        <f t="shared" si="83"/>
        <v>2015</v>
      </c>
      <c r="J94" s="743">
        <f t="shared" si="83"/>
        <v>2016</v>
      </c>
      <c r="K94" s="743">
        <f t="shared" si="83"/>
        <v>2017</v>
      </c>
      <c r="L94" s="743">
        <f t="shared" si="83"/>
        <v>2018</v>
      </c>
      <c r="M94" s="743">
        <f t="shared" ref="M94:S94" si="84">M89</f>
        <v>2019</v>
      </c>
      <c r="N94" s="743">
        <f t="shared" si="84"/>
        <v>2020</v>
      </c>
      <c r="O94" s="743">
        <f t="shared" si="84"/>
        <v>2021</v>
      </c>
      <c r="P94" s="743">
        <f t="shared" si="84"/>
        <v>2022</v>
      </c>
      <c r="Q94" s="743">
        <f t="shared" si="84"/>
        <v>2023</v>
      </c>
      <c r="R94" s="743">
        <f t="shared" si="84"/>
        <v>2024</v>
      </c>
      <c r="S94" s="743">
        <f t="shared" si="84"/>
        <v>2025</v>
      </c>
      <c r="T94" s="685"/>
      <c r="U94" s="685"/>
      <c r="V94" s="685"/>
      <c r="W94" s="685"/>
      <c r="X94" s="685"/>
      <c r="Y94" s="685"/>
      <c r="Z94" s="685"/>
      <c r="AA94" s="685"/>
      <c r="AB94" s="685"/>
      <c r="AC94" s="685"/>
      <c r="AD94" s="685"/>
      <c r="AE94" s="685"/>
      <c r="AF94" s="685"/>
      <c r="AG94" s="685"/>
      <c r="AH94" s="685"/>
      <c r="AI94" s="685"/>
      <c r="AJ94" s="685"/>
      <c r="AK94" s="685"/>
      <c r="AL94" s="685"/>
      <c r="AM94" s="685"/>
      <c r="AN94" s="685"/>
      <c r="AO94" s="685"/>
      <c r="AP94" s="685"/>
      <c r="AQ94" s="685"/>
      <c r="AR94" s="685"/>
      <c r="AS94" s="685"/>
      <c r="AT94" s="685"/>
      <c r="AU94" s="685"/>
      <c r="AV94" s="685"/>
      <c r="AW94" s="685"/>
      <c r="AX94" s="685"/>
      <c r="AY94" s="685"/>
      <c r="AZ94" s="685"/>
      <c r="BA94" s="685"/>
      <c r="BB94" s="685"/>
      <c r="BC94" s="685"/>
      <c r="BD94" s="685"/>
      <c r="BE94" s="685"/>
    </row>
    <row r="95" spans="1:57">
      <c r="A95" s="685"/>
      <c r="B95" s="1026" t="str">
        <f>B90</f>
        <v>Univision royalties</v>
      </c>
      <c r="C95" s="1086"/>
      <c r="D95" s="1086">
        <v>0</v>
      </c>
      <c r="E95" s="1086">
        <v>0</v>
      </c>
      <c r="F95" s="1086">
        <v>0</v>
      </c>
      <c r="G95" s="1086">
        <v>0</v>
      </c>
      <c r="H95" s="1086">
        <v>0</v>
      </c>
      <c r="I95" s="1086">
        <v>0</v>
      </c>
      <c r="J95" s="1086">
        <v>0</v>
      </c>
      <c r="K95" s="1086">
        <v>0</v>
      </c>
      <c r="L95" s="1086">
        <v>0</v>
      </c>
      <c r="M95" s="1086">
        <v>0</v>
      </c>
      <c r="N95" s="1086">
        <v>0</v>
      </c>
      <c r="O95" s="1086">
        <v>0</v>
      </c>
      <c r="P95" s="1086">
        <v>0</v>
      </c>
      <c r="Q95" s="1086">
        <v>0</v>
      </c>
      <c r="R95" s="1086">
        <v>0</v>
      </c>
      <c r="S95" s="1086">
        <v>0</v>
      </c>
      <c r="T95" s="685"/>
      <c r="U95" s="685"/>
      <c r="V95" s="685"/>
      <c r="W95" s="685"/>
      <c r="X95" s="685"/>
      <c r="Y95" s="685"/>
      <c r="Z95" s="685"/>
      <c r="AA95" s="685"/>
      <c r="AB95" s="685"/>
      <c r="AC95" s="685"/>
      <c r="AD95" s="685"/>
      <c r="AE95" s="685"/>
      <c r="AF95" s="685"/>
      <c r="AG95" s="685"/>
      <c r="AH95" s="685"/>
      <c r="AI95" s="685"/>
      <c r="AJ95" s="685"/>
      <c r="AK95" s="685"/>
      <c r="AL95" s="685"/>
      <c r="AM95" s="685"/>
      <c r="AN95" s="685"/>
      <c r="AO95" s="685"/>
      <c r="AP95" s="685"/>
      <c r="AQ95" s="685"/>
      <c r="AR95" s="685"/>
      <c r="AS95" s="685"/>
      <c r="AT95" s="685"/>
      <c r="AU95" s="685"/>
      <c r="AV95" s="685"/>
      <c r="AW95" s="685"/>
      <c r="AX95" s="685"/>
      <c r="AY95" s="685"/>
      <c r="AZ95" s="685"/>
      <c r="BA95" s="685"/>
      <c r="BB95" s="685"/>
      <c r="BC95" s="685"/>
      <c r="BD95" s="685"/>
      <c r="BE95" s="685"/>
    </row>
    <row r="96" spans="1:57">
      <c r="A96" s="685"/>
      <c r="B96" s="743" t="str">
        <f>B91</f>
        <v xml:space="preserve">Underlying </v>
      </c>
      <c r="C96" s="833"/>
      <c r="D96" s="833">
        <f t="shared" ref="D96:N96" si="85">D97-D95</f>
        <v>1717.68</v>
      </c>
      <c r="E96" s="833">
        <f t="shared" si="85"/>
        <v>1783.8959999999997</v>
      </c>
      <c r="F96" s="833">
        <f t="shared" si="85"/>
        <v>1763.44</v>
      </c>
      <c r="G96" s="833">
        <f t="shared" si="85"/>
        <v>2044.1519999999991</v>
      </c>
      <c r="H96" s="833">
        <f t="shared" si="85"/>
        <v>2414.4339999999997</v>
      </c>
      <c r="I96" s="833">
        <f t="shared" si="85"/>
        <v>2643.9419999999996</v>
      </c>
      <c r="J96" s="833">
        <f t="shared" si="85"/>
        <v>2827.5</v>
      </c>
      <c r="K96" s="833">
        <f t="shared" si="85"/>
        <v>2147.0399999999995</v>
      </c>
      <c r="L96" s="833">
        <f t="shared" si="85"/>
        <v>1824.8999999999999</v>
      </c>
      <c r="M96" s="833">
        <f t="shared" si="85"/>
        <v>2075.15</v>
      </c>
      <c r="N96" s="833">
        <f t="shared" si="85"/>
        <v>573.51599999999996</v>
      </c>
      <c r="O96" s="833">
        <f>O97-O95</f>
        <v>1024.4188144250802</v>
      </c>
      <c r="P96" s="833">
        <f>P97-P95</f>
        <v>341.87</v>
      </c>
      <c r="Q96" s="833">
        <f>Q97-Q95</f>
        <v>658.44</v>
      </c>
      <c r="R96" s="833">
        <f>R97-R95</f>
        <v>0</v>
      </c>
      <c r="S96" s="833">
        <f>S97-S95</f>
        <v>0</v>
      </c>
      <c r="T96" s="685"/>
      <c r="U96" s="685"/>
      <c r="V96" s="685"/>
      <c r="W96" s="685"/>
      <c r="X96" s="685"/>
      <c r="Y96" s="685"/>
      <c r="Z96" s="685"/>
      <c r="AA96" s="685"/>
      <c r="AB96" s="685"/>
      <c r="AC96" s="685"/>
      <c r="AD96" s="685"/>
      <c r="AE96" s="685"/>
      <c r="AF96" s="685"/>
      <c r="AG96" s="685"/>
      <c r="AH96" s="685"/>
      <c r="AI96" s="685"/>
      <c r="AJ96" s="685"/>
      <c r="AK96" s="685"/>
      <c r="AL96" s="685"/>
      <c r="AM96" s="685"/>
      <c r="AN96" s="685"/>
      <c r="AO96" s="685"/>
      <c r="AP96" s="685"/>
      <c r="AQ96" s="685"/>
      <c r="AR96" s="685"/>
      <c r="AS96" s="685"/>
      <c r="AT96" s="685"/>
      <c r="AU96" s="685"/>
      <c r="AV96" s="685"/>
      <c r="AW96" s="685"/>
      <c r="AX96" s="685"/>
      <c r="AY96" s="685"/>
      <c r="AZ96" s="685"/>
      <c r="BA96" s="685"/>
      <c r="BB96" s="685"/>
      <c r="BC96" s="685"/>
      <c r="BD96" s="685"/>
      <c r="BE96" s="685"/>
    </row>
    <row r="97" spans="1:57">
      <c r="A97" s="685"/>
      <c r="B97" s="1026" t="str">
        <f>B92</f>
        <v>Total</v>
      </c>
      <c r="C97" s="1086"/>
      <c r="D97" s="1086">
        <f>Master!I82</f>
        <v>1717.68</v>
      </c>
      <c r="E97" s="1086">
        <f>Master!J82</f>
        <v>1783.8959999999997</v>
      </c>
      <c r="F97" s="1086">
        <f>Master!K82</f>
        <v>1763.44</v>
      </c>
      <c r="G97" s="1086">
        <f>Master!L82</f>
        <v>2044.1519999999991</v>
      </c>
      <c r="H97" s="1086">
        <f>Master!M82</f>
        <v>2414.4339999999997</v>
      </c>
      <c r="I97" s="1086">
        <f>Master!N82</f>
        <v>2643.9419999999996</v>
      </c>
      <c r="J97" s="1086">
        <f>Master!O82</f>
        <v>2827.5</v>
      </c>
      <c r="K97" s="1086">
        <f>Master!P82</f>
        <v>2147.0399999999995</v>
      </c>
      <c r="L97" s="1086">
        <f>Master!Q82</f>
        <v>1824.8999999999999</v>
      </c>
      <c r="M97" s="1086">
        <f>Master!R82</f>
        <v>2075.15</v>
      </c>
      <c r="N97" s="1086">
        <f>Master!S82</f>
        <v>573.51599999999996</v>
      </c>
      <c r="O97" s="1086">
        <f>Master!T82</f>
        <v>1024.4188144250802</v>
      </c>
      <c r="P97" s="1086">
        <f>Master!U82</f>
        <v>341.87</v>
      </c>
      <c r="Q97" s="1086">
        <f>Master!V82</f>
        <v>658.44</v>
      </c>
      <c r="R97" s="1086">
        <f>Master!W82</f>
        <v>0</v>
      </c>
      <c r="S97" s="1086">
        <f>Master!X82</f>
        <v>0</v>
      </c>
      <c r="T97" s="685"/>
      <c r="U97" s="685"/>
      <c r="V97" s="685"/>
      <c r="W97" s="685"/>
      <c r="X97" s="685"/>
      <c r="Y97" s="685"/>
      <c r="Z97" s="685"/>
      <c r="AA97" s="685"/>
      <c r="AB97" s="685"/>
      <c r="AC97" s="685"/>
      <c r="AD97" s="685"/>
      <c r="AE97" s="685"/>
      <c r="AF97" s="685"/>
      <c r="AG97" s="685"/>
      <c r="AH97" s="685"/>
      <c r="AI97" s="685"/>
      <c r="AJ97" s="685"/>
      <c r="AK97" s="685"/>
      <c r="AL97" s="685"/>
      <c r="AM97" s="685"/>
      <c r="AN97" s="685"/>
      <c r="AO97" s="685"/>
      <c r="AP97" s="685"/>
      <c r="AQ97" s="685"/>
      <c r="AR97" s="685"/>
      <c r="AS97" s="685"/>
      <c r="AT97" s="685"/>
      <c r="AU97" s="685"/>
      <c r="AV97" s="685"/>
      <c r="AW97" s="685"/>
      <c r="AX97" s="685"/>
      <c r="AY97" s="685"/>
      <c r="AZ97" s="685"/>
      <c r="BA97" s="685"/>
      <c r="BB97" s="685"/>
      <c r="BC97" s="685"/>
      <c r="BD97" s="685"/>
      <c r="BE97" s="685"/>
    </row>
    <row r="98" spans="1:57">
      <c r="A98" s="685"/>
      <c r="B98" s="685"/>
      <c r="C98" s="685"/>
      <c r="D98" s="685"/>
      <c r="E98" s="685"/>
      <c r="F98" s="685"/>
      <c r="G98" s="685"/>
      <c r="H98" s="685"/>
      <c r="I98" s="685"/>
      <c r="J98" s="685"/>
      <c r="K98" s="685"/>
      <c r="L98" s="685"/>
      <c r="M98" s="685"/>
      <c r="N98" s="685"/>
      <c r="O98" s="685"/>
      <c r="P98" s="685"/>
      <c r="Q98" s="685"/>
      <c r="R98" s="685"/>
      <c r="S98" s="685"/>
      <c r="T98" s="685"/>
      <c r="U98" s="685"/>
      <c r="V98" s="685"/>
      <c r="W98" s="685"/>
      <c r="X98" s="685"/>
      <c r="Y98" s="685"/>
      <c r="Z98" s="685"/>
      <c r="AA98" s="685"/>
      <c r="AB98" s="685"/>
      <c r="AC98" s="685"/>
      <c r="AD98" s="685"/>
      <c r="AE98" s="685"/>
      <c r="AF98" s="685"/>
      <c r="AG98" s="685"/>
      <c r="AH98" s="685"/>
      <c r="AI98" s="685"/>
      <c r="AJ98" s="685"/>
      <c r="AK98" s="685"/>
      <c r="AL98" s="685"/>
      <c r="AM98" s="685"/>
      <c r="AN98" s="685"/>
      <c r="AO98" s="685"/>
      <c r="AP98" s="685"/>
      <c r="AQ98" s="685"/>
      <c r="AR98" s="685"/>
      <c r="AS98" s="685"/>
      <c r="AT98" s="685"/>
      <c r="AU98" s="685"/>
      <c r="AV98" s="685"/>
      <c r="AW98" s="685"/>
      <c r="AX98" s="685"/>
      <c r="AY98" s="685"/>
      <c r="AZ98" s="685"/>
      <c r="BA98" s="685"/>
      <c r="BB98" s="685"/>
      <c r="BC98" s="685"/>
      <c r="BD98" s="685"/>
      <c r="BE98" s="685"/>
    </row>
    <row r="99" spans="1:57">
      <c r="A99" s="685"/>
      <c r="B99" s="1030" t="s">
        <v>2430</v>
      </c>
      <c r="C99" s="1030"/>
      <c r="D99" s="1030">
        <f t="shared" ref="D99:L99" si="86">D94</f>
        <v>2010</v>
      </c>
      <c r="E99" s="1030">
        <f t="shared" si="86"/>
        <v>2011</v>
      </c>
      <c r="F99" s="1030">
        <f t="shared" si="86"/>
        <v>2012</v>
      </c>
      <c r="G99" s="1030">
        <f t="shared" si="86"/>
        <v>2013</v>
      </c>
      <c r="H99" s="1030">
        <f t="shared" si="86"/>
        <v>2014</v>
      </c>
      <c r="I99" s="1030">
        <f t="shared" si="86"/>
        <v>2015</v>
      </c>
      <c r="J99" s="1030">
        <f t="shared" si="86"/>
        <v>2016</v>
      </c>
      <c r="K99" s="1030">
        <f t="shared" si="86"/>
        <v>2017</v>
      </c>
      <c r="L99" s="1030">
        <f t="shared" si="86"/>
        <v>2018</v>
      </c>
      <c r="M99" s="1030">
        <f t="shared" ref="M99:S99" si="87">M94</f>
        <v>2019</v>
      </c>
      <c r="N99" s="1030">
        <f t="shared" si="87"/>
        <v>2020</v>
      </c>
      <c r="O99" s="1030">
        <f t="shared" si="87"/>
        <v>2021</v>
      </c>
      <c r="P99" s="1030">
        <f t="shared" si="87"/>
        <v>2022</v>
      </c>
      <c r="Q99" s="1030">
        <f t="shared" si="87"/>
        <v>2023</v>
      </c>
      <c r="R99" s="1030">
        <f t="shared" si="87"/>
        <v>2024</v>
      </c>
      <c r="S99" s="1030">
        <f t="shared" si="87"/>
        <v>2025</v>
      </c>
      <c r="T99" s="685"/>
      <c r="U99" s="685"/>
      <c r="V99" s="685"/>
      <c r="W99" s="685"/>
      <c r="X99" s="685"/>
      <c r="Y99" s="685"/>
      <c r="Z99" s="685"/>
      <c r="AA99" s="685"/>
      <c r="AB99" s="685"/>
      <c r="AC99" s="685"/>
      <c r="AD99" s="685"/>
      <c r="AE99" s="685"/>
      <c r="AF99" s="685"/>
      <c r="AG99" s="685"/>
      <c r="AH99" s="685"/>
      <c r="AI99" s="685"/>
      <c r="AJ99" s="685"/>
      <c r="AK99" s="685"/>
      <c r="AL99" s="685"/>
      <c r="AM99" s="685"/>
      <c r="AN99" s="685"/>
      <c r="AO99" s="685"/>
      <c r="AP99" s="685"/>
      <c r="AQ99" s="685"/>
      <c r="AR99" s="685"/>
      <c r="AS99" s="685"/>
      <c r="AT99" s="685"/>
      <c r="AU99" s="685"/>
      <c r="AV99" s="685"/>
      <c r="AW99" s="685"/>
      <c r="AX99" s="685"/>
      <c r="AY99" s="685"/>
      <c r="AZ99" s="685"/>
      <c r="BA99" s="685"/>
      <c r="BB99" s="685"/>
      <c r="BC99" s="685"/>
      <c r="BD99" s="685"/>
      <c r="BE99" s="685"/>
    </row>
    <row r="100" spans="1:57">
      <c r="A100" s="685"/>
      <c r="B100" s="685" t="str">
        <f>B95</f>
        <v>Univision royalties</v>
      </c>
      <c r="C100" s="795"/>
      <c r="D100" s="795">
        <f t="shared" ref="D100:L100" si="88">D85-D95</f>
        <v>2202.9889826879994</v>
      </c>
      <c r="E100" s="795">
        <f t="shared" si="88"/>
        <v>2801.0203689008117</v>
      </c>
      <c r="F100" s="795">
        <f t="shared" si="88"/>
        <v>3258.4160000000002</v>
      </c>
      <c r="G100" s="795">
        <f t="shared" si="88"/>
        <v>3486.0319999999997</v>
      </c>
      <c r="H100" s="795">
        <f t="shared" si="88"/>
        <v>4175.3469999999998</v>
      </c>
      <c r="I100" s="795">
        <f t="shared" si="88"/>
        <v>4943.5050000000001</v>
      </c>
      <c r="J100" s="795">
        <f>J85-J95</f>
        <v>6118.7100000000009</v>
      </c>
      <c r="K100" s="795">
        <f t="shared" si="88"/>
        <v>5932.7099999999991</v>
      </c>
      <c r="L100" s="795">
        <f t="shared" si="88"/>
        <v>7384.3</v>
      </c>
      <c r="M100" s="795">
        <f t="shared" ref="M100:S101" si="89">M85-M95</f>
        <v>7490.1750000000002</v>
      </c>
      <c r="N100" s="795">
        <f t="shared" si="89"/>
        <v>8151.66</v>
      </c>
      <c r="O100" s="795">
        <f t="shared" si="89"/>
        <v>8475.2907062732393</v>
      </c>
      <c r="P100" s="795">
        <f t="shared" si="89"/>
        <v>9490.0259956661102</v>
      </c>
      <c r="Q100" s="795">
        <f t="shared" si="89"/>
        <v>8799.8666735432453</v>
      </c>
      <c r="R100" s="795">
        <f t="shared" si="89"/>
        <v>9389.4104259105461</v>
      </c>
      <c r="S100" s="795">
        <f t="shared" si="89"/>
        <v>10055.767015458352</v>
      </c>
      <c r="T100" s="685"/>
      <c r="U100" s="685"/>
      <c r="V100" s="685"/>
      <c r="W100" s="685"/>
      <c r="X100" s="685"/>
      <c r="Y100" s="685"/>
      <c r="Z100" s="685"/>
      <c r="AA100" s="685"/>
      <c r="AB100" s="685"/>
      <c r="AC100" s="685"/>
      <c r="AD100" s="685"/>
      <c r="AE100" s="685"/>
      <c r="AF100" s="685"/>
      <c r="AG100" s="685"/>
      <c r="AH100" s="685"/>
      <c r="AI100" s="685"/>
      <c r="AJ100" s="685"/>
      <c r="AK100" s="685"/>
      <c r="AL100" s="685"/>
      <c r="AM100" s="685"/>
      <c r="AN100" s="685"/>
      <c r="AO100" s="685"/>
      <c r="AP100" s="685"/>
      <c r="AQ100" s="685"/>
      <c r="AR100" s="685"/>
      <c r="AS100" s="685"/>
      <c r="AT100" s="685"/>
      <c r="AU100" s="685"/>
      <c r="AV100" s="685"/>
      <c r="AW100" s="685"/>
      <c r="AX100" s="685"/>
      <c r="AY100" s="685"/>
      <c r="AZ100" s="685"/>
      <c r="BA100" s="685"/>
      <c r="BB100" s="685"/>
      <c r="BC100" s="685"/>
      <c r="BD100" s="685"/>
      <c r="BE100" s="685"/>
    </row>
    <row r="101" spans="1:57">
      <c r="A101" s="685"/>
      <c r="B101" s="1030" t="str">
        <f>B96</f>
        <v xml:space="preserve">Underlying </v>
      </c>
      <c r="C101" s="1096"/>
      <c r="D101" s="1096">
        <f t="shared" ref="D101:L101" si="90">D86-D96</f>
        <v>9899.3310173120008</v>
      </c>
      <c r="E101" s="1096">
        <f t="shared" si="90"/>
        <v>9880.6836310991894</v>
      </c>
      <c r="F101" s="1096">
        <f t="shared" si="90"/>
        <v>10389.343999999999</v>
      </c>
      <c r="G101" s="1096">
        <f t="shared" si="90"/>
        <v>10035.815999999999</v>
      </c>
      <c r="H101" s="1096">
        <f t="shared" si="90"/>
        <v>8944.5190000000002</v>
      </c>
      <c r="I101" s="1096">
        <f t="shared" si="90"/>
        <v>6976.7530000000006</v>
      </c>
      <c r="J101" s="1096">
        <f t="shared" si="90"/>
        <v>5801.7899999999991</v>
      </c>
      <c r="K101" s="1096">
        <f t="shared" si="90"/>
        <v>4745.2500000000018</v>
      </c>
      <c r="L101" s="1096">
        <f t="shared" si="90"/>
        <v>5645.8</v>
      </c>
      <c r="M101" s="1096">
        <f t="shared" si="89"/>
        <v>3066.6749999999997</v>
      </c>
      <c r="N101" s="1096">
        <f t="shared" si="89"/>
        <v>3635.6239999999993</v>
      </c>
      <c r="O101" s="1096">
        <f t="shared" si="89"/>
        <v>4279.2904793016805</v>
      </c>
      <c r="P101" s="1096">
        <f t="shared" si="89"/>
        <v>4187.9708700860456</v>
      </c>
      <c r="Q101" s="1096">
        <f t="shared" si="89"/>
        <v>3988.2273605803116</v>
      </c>
      <c r="R101" s="1096">
        <f t="shared" si="89"/>
        <v>3734.0854818089902</v>
      </c>
      <c r="S101" s="1096">
        <f t="shared" si="89"/>
        <v>2772.8185055300855</v>
      </c>
      <c r="T101" s="685"/>
      <c r="U101" s="685"/>
      <c r="V101" s="685"/>
      <c r="W101" s="685"/>
      <c r="X101" s="685"/>
      <c r="Y101" s="685"/>
      <c r="Z101" s="685"/>
      <c r="AA101" s="685"/>
      <c r="AB101" s="685"/>
      <c r="AC101" s="685"/>
      <c r="AD101" s="685"/>
      <c r="AE101" s="685"/>
      <c r="AF101" s="685"/>
      <c r="AG101" s="685"/>
      <c r="AH101" s="685"/>
      <c r="AI101" s="685"/>
      <c r="AJ101" s="685"/>
      <c r="AK101" s="685"/>
      <c r="AL101" s="685"/>
      <c r="AM101" s="685"/>
      <c r="AN101" s="685"/>
      <c r="AO101" s="685"/>
      <c r="AP101" s="685"/>
      <c r="AQ101" s="685"/>
      <c r="AR101" s="685"/>
      <c r="AS101" s="685"/>
      <c r="AT101" s="685"/>
      <c r="AU101" s="685"/>
      <c r="AV101" s="685"/>
      <c r="AW101" s="685"/>
      <c r="AX101" s="685"/>
      <c r="AY101" s="685"/>
      <c r="AZ101" s="685"/>
      <c r="BA101" s="685"/>
      <c r="BB101" s="685"/>
      <c r="BC101" s="685"/>
      <c r="BD101" s="685"/>
      <c r="BE101" s="685"/>
    </row>
    <row r="102" spans="1:57">
      <c r="A102" s="685"/>
      <c r="B102" s="685" t="str">
        <f>B97</f>
        <v>Total</v>
      </c>
      <c r="C102" s="795"/>
      <c r="D102" s="795">
        <f t="shared" ref="D102:L102" si="91">D100+D101</f>
        <v>12102.32</v>
      </c>
      <c r="E102" s="795">
        <f t="shared" si="91"/>
        <v>12681.704000000002</v>
      </c>
      <c r="F102" s="795">
        <f t="shared" si="91"/>
        <v>13647.759999999998</v>
      </c>
      <c r="G102" s="795">
        <f t="shared" si="91"/>
        <v>13521.847999999998</v>
      </c>
      <c r="H102" s="795">
        <f t="shared" si="91"/>
        <v>13119.866</v>
      </c>
      <c r="I102" s="795">
        <f t="shared" si="91"/>
        <v>11920.258000000002</v>
      </c>
      <c r="J102" s="795">
        <f t="shared" si="91"/>
        <v>11920.5</v>
      </c>
      <c r="K102" s="795">
        <f t="shared" si="91"/>
        <v>10677.960000000001</v>
      </c>
      <c r="L102" s="795">
        <f t="shared" si="91"/>
        <v>13030.1</v>
      </c>
      <c r="M102" s="795">
        <f t="shared" ref="M102:S102" si="92">M100+M101</f>
        <v>10556.85</v>
      </c>
      <c r="N102" s="795">
        <f t="shared" si="92"/>
        <v>11787.284</v>
      </c>
      <c r="O102" s="795">
        <f t="shared" si="92"/>
        <v>12754.58118557492</v>
      </c>
      <c r="P102" s="795">
        <f t="shared" si="92"/>
        <v>13677.996865752157</v>
      </c>
      <c r="Q102" s="795">
        <f t="shared" si="92"/>
        <v>12788.094034123556</v>
      </c>
      <c r="R102" s="795">
        <f t="shared" si="92"/>
        <v>13123.495907719536</v>
      </c>
      <c r="S102" s="795">
        <f t="shared" si="92"/>
        <v>12828.585520988438</v>
      </c>
      <c r="T102" s="685"/>
      <c r="U102" s="685"/>
      <c r="V102" s="685"/>
      <c r="W102" s="685"/>
      <c r="X102" s="685"/>
      <c r="Y102" s="685"/>
      <c r="Z102" s="685"/>
      <c r="AA102" s="685"/>
      <c r="AB102" s="685"/>
      <c r="AC102" s="685"/>
      <c r="AD102" s="685"/>
      <c r="AE102" s="685"/>
      <c r="AF102" s="685"/>
      <c r="AG102" s="685"/>
      <c r="AH102" s="685"/>
      <c r="AI102" s="685"/>
      <c r="AJ102" s="685"/>
      <c r="AK102" s="685"/>
      <c r="AL102" s="685"/>
      <c r="AM102" s="685"/>
      <c r="AN102" s="685"/>
      <c r="AO102" s="685"/>
      <c r="AP102" s="685"/>
      <c r="AQ102" s="685"/>
      <c r="AR102" s="685"/>
      <c r="AS102" s="685"/>
      <c r="AT102" s="685"/>
      <c r="AU102" s="685"/>
      <c r="AV102" s="685"/>
      <c r="AW102" s="685"/>
      <c r="AX102" s="685"/>
      <c r="AY102" s="685"/>
      <c r="AZ102" s="685"/>
      <c r="BA102" s="685"/>
      <c r="BB102" s="685"/>
      <c r="BC102" s="685"/>
      <c r="BD102" s="685"/>
      <c r="BE102" s="685"/>
    </row>
    <row r="103" spans="1:57">
      <c r="A103" s="685"/>
      <c r="B103" s="1026"/>
      <c r="C103" s="1026"/>
      <c r="D103" s="1026"/>
      <c r="E103" s="1026"/>
      <c r="F103" s="1026"/>
      <c r="G103" s="1026"/>
      <c r="H103" s="1026"/>
      <c r="I103" s="1026"/>
      <c r="J103" s="1026"/>
      <c r="K103" s="1026"/>
      <c r="L103" s="1026"/>
      <c r="M103" s="1026"/>
      <c r="N103" s="1026"/>
      <c r="O103" s="1026"/>
      <c r="P103" s="1026"/>
      <c r="Q103" s="1026"/>
      <c r="R103" s="1026"/>
      <c r="S103" s="1026"/>
      <c r="T103" s="685"/>
      <c r="U103" s="685"/>
      <c r="V103" s="685"/>
      <c r="W103" s="685"/>
      <c r="X103" s="685"/>
      <c r="Y103" s="685"/>
      <c r="Z103" s="685"/>
      <c r="AA103" s="685"/>
      <c r="AB103" s="685"/>
      <c r="AC103" s="685"/>
      <c r="AD103" s="685"/>
      <c r="AE103" s="685"/>
      <c r="AF103" s="685"/>
      <c r="AG103" s="685"/>
      <c r="AH103" s="685"/>
      <c r="AI103" s="685"/>
      <c r="AJ103" s="685"/>
      <c r="AK103" s="685"/>
      <c r="AL103" s="685"/>
      <c r="AM103" s="685"/>
      <c r="AN103" s="685"/>
      <c r="AO103" s="685"/>
      <c r="AP103" s="685"/>
      <c r="AQ103" s="685"/>
      <c r="AR103" s="685"/>
      <c r="AS103" s="685"/>
      <c r="AT103" s="685"/>
      <c r="AU103" s="685"/>
      <c r="AV103" s="685"/>
      <c r="AW103" s="685"/>
      <c r="AX103" s="685"/>
      <c r="AY103" s="685"/>
      <c r="AZ103" s="685"/>
      <c r="BA103" s="685"/>
      <c r="BB103" s="685"/>
      <c r="BC103" s="685"/>
      <c r="BD103" s="685"/>
      <c r="BE103" s="685"/>
    </row>
    <row r="104" spans="1:57">
      <c r="A104" s="685"/>
      <c r="B104" s="743" t="s">
        <v>2431</v>
      </c>
      <c r="C104" s="743"/>
      <c r="D104" s="743">
        <f t="shared" ref="D104:L104" si="93">D99</f>
        <v>2010</v>
      </c>
      <c r="E104" s="743">
        <f t="shared" si="93"/>
        <v>2011</v>
      </c>
      <c r="F104" s="743">
        <f t="shared" si="93"/>
        <v>2012</v>
      </c>
      <c r="G104" s="743">
        <f t="shared" si="93"/>
        <v>2013</v>
      </c>
      <c r="H104" s="743">
        <f t="shared" si="93"/>
        <v>2014</v>
      </c>
      <c r="I104" s="743">
        <f t="shared" si="93"/>
        <v>2015</v>
      </c>
      <c r="J104" s="743">
        <f t="shared" si="93"/>
        <v>2016</v>
      </c>
      <c r="K104" s="743">
        <f t="shared" si="93"/>
        <v>2017</v>
      </c>
      <c r="L104" s="743">
        <f t="shared" si="93"/>
        <v>2018</v>
      </c>
      <c r="M104" s="743">
        <f t="shared" ref="M104:S104" si="94">M99</f>
        <v>2019</v>
      </c>
      <c r="N104" s="743">
        <f t="shared" si="94"/>
        <v>2020</v>
      </c>
      <c r="O104" s="743">
        <f t="shared" si="94"/>
        <v>2021</v>
      </c>
      <c r="P104" s="743">
        <f t="shared" si="94"/>
        <v>2022</v>
      </c>
      <c r="Q104" s="743">
        <f t="shared" si="94"/>
        <v>2023</v>
      </c>
      <c r="R104" s="743">
        <f t="shared" si="94"/>
        <v>2024</v>
      </c>
      <c r="S104" s="743">
        <f t="shared" si="94"/>
        <v>2025</v>
      </c>
      <c r="T104" s="685"/>
      <c r="U104" s="685"/>
      <c r="V104" s="685"/>
      <c r="W104" s="685"/>
      <c r="X104" s="685"/>
      <c r="Y104" s="685"/>
      <c r="Z104" s="685"/>
      <c r="AA104" s="685"/>
      <c r="AB104" s="685"/>
      <c r="AC104" s="685"/>
      <c r="AD104" s="685"/>
      <c r="AE104" s="685"/>
      <c r="AF104" s="685"/>
      <c r="AG104" s="685"/>
      <c r="AH104" s="685"/>
      <c r="AI104" s="685"/>
      <c r="AJ104" s="685"/>
      <c r="AK104" s="685"/>
      <c r="AL104" s="685"/>
      <c r="AM104" s="685"/>
      <c r="AN104" s="685"/>
      <c r="AO104" s="685"/>
      <c r="AP104" s="685"/>
      <c r="AQ104" s="685"/>
      <c r="AR104" s="685"/>
      <c r="AS104" s="685"/>
      <c r="AT104" s="685"/>
      <c r="AU104" s="685"/>
      <c r="AV104" s="685"/>
      <c r="AW104" s="685"/>
      <c r="AX104" s="685"/>
      <c r="AY104" s="685"/>
      <c r="AZ104" s="685"/>
      <c r="BA104" s="685"/>
      <c r="BB104" s="685"/>
      <c r="BC104" s="685"/>
      <c r="BD104" s="685"/>
      <c r="BE104" s="685"/>
    </row>
    <row r="105" spans="1:57">
      <c r="A105" s="685"/>
      <c r="B105" s="1026" t="str">
        <f>B100</f>
        <v>Univision royalties</v>
      </c>
      <c r="C105" s="1086"/>
      <c r="D105" s="1086">
        <f t="shared" ref="D105:L105" si="95">D100*(1-0.28)</f>
        <v>1586.1520675353595</v>
      </c>
      <c r="E105" s="1086">
        <f t="shared" si="95"/>
        <v>2016.7346656085845</v>
      </c>
      <c r="F105" s="1086">
        <f t="shared" si="95"/>
        <v>2346.0595200000002</v>
      </c>
      <c r="G105" s="1086">
        <f t="shared" si="95"/>
        <v>2509.9430399999997</v>
      </c>
      <c r="H105" s="1086">
        <f t="shared" si="95"/>
        <v>3006.2498399999995</v>
      </c>
      <c r="I105" s="1086">
        <f t="shared" si="95"/>
        <v>3559.3236000000002</v>
      </c>
      <c r="J105" s="1086">
        <f t="shared" si="95"/>
        <v>4405.4712000000009</v>
      </c>
      <c r="K105" s="1086">
        <f t="shared" si="95"/>
        <v>4271.551199999999</v>
      </c>
      <c r="L105" s="1086">
        <f t="shared" si="95"/>
        <v>5316.6959999999999</v>
      </c>
      <c r="M105" s="1086">
        <f t="shared" ref="M105:S105" si="96">M100*(1-0.28)</f>
        <v>5392.9260000000004</v>
      </c>
      <c r="N105" s="1086">
        <f t="shared" si="96"/>
        <v>5869.1952000000001</v>
      </c>
      <c r="O105" s="1086">
        <f t="shared" si="96"/>
        <v>6102.2093085167317</v>
      </c>
      <c r="P105" s="1086">
        <f t="shared" si="96"/>
        <v>6832.8187168795994</v>
      </c>
      <c r="Q105" s="1086">
        <f t="shared" si="96"/>
        <v>6335.9040049511368</v>
      </c>
      <c r="R105" s="1086">
        <f t="shared" si="96"/>
        <v>6760.3755066555932</v>
      </c>
      <c r="S105" s="1086">
        <f t="shared" si="96"/>
        <v>7240.1522511300136</v>
      </c>
      <c r="T105" s="685"/>
      <c r="U105" s="685"/>
      <c r="V105" s="685"/>
      <c r="W105" s="685"/>
      <c r="X105" s="685"/>
      <c r="Y105" s="685"/>
      <c r="Z105" s="685"/>
      <c r="AA105" s="685"/>
      <c r="AB105" s="685"/>
      <c r="AC105" s="685"/>
      <c r="AD105" s="685"/>
      <c r="AE105" s="685"/>
      <c r="AF105" s="685"/>
      <c r="AG105" s="685"/>
      <c r="AH105" s="685"/>
      <c r="AI105" s="685"/>
      <c r="AJ105" s="685"/>
      <c r="AK105" s="685"/>
      <c r="AL105" s="685"/>
      <c r="AM105" s="685"/>
      <c r="AN105" s="685"/>
      <c r="AO105" s="685"/>
      <c r="AP105" s="685"/>
      <c r="AQ105" s="685"/>
      <c r="AR105" s="685"/>
      <c r="AS105" s="685"/>
      <c r="AT105" s="685"/>
      <c r="AU105" s="685"/>
      <c r="AV105" s="685"/>
      <c r="AW105" s="685"/>
      <c r="AX105" s="685"/>
      <c r="AY105" s="685"/>
      <c r="AZ105" s="685"/>
      <c r="BA105" s="685"/>
      <c r="BB105" s="685"/>
      <c r="BC105" s="685"/>
      <c r="BD105" s="685"/>
      <c r="BE105" s="685"/>
    </row>
    <row r="106" spans="1:57">
      <c r="A106" s="685"/>
      <c r="B106" s="743" t="str">
        <f>B101</f>
        <v xml:space="preserve">Underlying </v>
      </c>
      <c r="C106" s="833"/>
      <c r="D106" s="833">
        <f t="shared" ref="D106:N106" si="97">D101*(1-0.28)</f>
        <v>7127.5183324646405</v>
      </c>
      <c r="E106" s="833">
        <f t="shared" si="97"/>
        <v>7114.0922143914158</v>
      </c>
      <c r="F106" s="833">
        <f t="shared" si="97"/>
        <v>7480.3276799999994</v>
      </c>
      <c r="G106" s="833">
        <f t="shared" si="97"/>
        <v>7225.7875199999989</v>
      </c>
      <c r="H106" s="833">
        <f t="shared" si="97"/>
        <v>6440.05368</v>
      </c>
      <c r="I106" s="833">
        <f t="shared" si="97"/>
        <v>5023.2621600000002</v>
      </c>
      <c r="J106" s="833">
        <f t="shared" si="97"/>
        <v>4177.2887999999994</v>
      </c>
      <c r="K106" s="833">
        <f t="shared" si="97"/>
        <v>3416.5800000000013</v>
      </c>
      <c r="L106" s="833">
        <f t="shared" si="97"/>
        <v>4064.9760000000001</v>
      </c>
      <c r="M106" s="833">
        <f t="shared" si="97"/>
        <v>2208.0059999999999</v>
      </c>
      <c r="N106" s="833">
        <f t="shared" si="97"/>
        <v>2617.6492799999996</v>
      </c>
      <c r="O106" s="833">
        <f>O101*(1-0.28)</f>
        <v>3081.0891450972099</v>
      </c>
      <c r="P106" s="833">
        <f>P101*(1-0.28)</f>
        <v>3015.3390264619529</v>
      </c>
      <c r="Q106" s="833">
        <f>Q101*(1-0.28)</f>
        <v>2871.5236996178241</v>
      </c>
      <c r="R106" s="833">
        <f>R101*(1-0.28)</f>
        <v>2688.5415469024729</v>
      </c>
      <c r="S106" s="833">
        <f>S101*(1-0.28)</f>
        <v>1996.4293239816616</v>
      </c>
      <c r="T106" s="685"/>
      <c r="U106" s="685"/>
      <c r="V106" s="685"/>
      <c r="W106" s="685"/>
      <c r="X106" s="685"/>
      <c r="Y106" s="685"/>
      <c r="Z106" s="685"/>
      <c r="AA106" s="685"/>
      <c r="AB106" s="685"/>
      <c r="AC106" s="685"/>
      <c r="AD106" s="685"/>
      <c r="AE106" s="685"/>
      <c r="AF106" s="685"/>
      <c r="AG106" s="685"/>
      <c r="AH106" s="685"/>
      <c r="AI106" s="685"/>
      <c r="AJ106" s="685"/>
      <c r="AK106" s="685"/>
      <c r="AL106" s="685"/>
      <c r="AM106" s="685"/>
      <c r="AN106" s="685"/>
      <c r="AO106" s="685"/>
      <c r="AP106" s="685"/>
      <c r="AQ106" s="685"/>
      <c r="AR106" s="685"/>
      <c r="AS106" s="685"/>
      <c r="AT106" s="685"/>
      <c r="AU106" s="685"/>
      <c r="AV106" s="685"/>
      <c r="AW106" s="685"/>
      <c r="AX106" s="685"/>
      <c r="AY106" s="685"/>
      <c r="AZ106" s="685"/>
      <c r="BA106" s="685"/>
      <c r="BB106" s="685"/>
      <c r="BC106" s="685"/>
      <c r="BD106" s="685"/>
      <c r="BE106" s="685"/>
    </row>
    <row r="107" spans="1:57">
      <c r="A107" s="685"/>
      <c r="B107" s="1026" t="s">
        <v>85</v>
      </c>
      <c r="C107" s="1086"/>
      <c r="D107" s="1086">
        <f t="shared" ref="D107:L107" si="98">D105+D106</f>
        <v>8713.6703999999991</v>
      </c>
      <c r="E107" s="1086">
        <f t="shared" si="98"/>
        <v>9130.8268800000005</v>
      </c>
      <c r="F107" s="1086">
        <f t="shared" si="98"/>
        <v>9826.3871999999992</v>
      </c>
      <c r="G107" s="1086">
        <f t="shared" si="98"/>
        <v>9735.7305599999981</v>
      </c>
      <c r="H107" s="1086">
        <f t="shared" si="98"/>
        <v>9446.3035199999995</v>
      </c>
      <c r="I107" s="1086">
        <f t="shared" si="98"/>
        <v>8582.5857599999999</v>
      </c>
      <c r="J107" s="1086">
        <f t="shared" si="98"/>
        <v>8582.76</v>
      </c>
      <c r="K107" s="1086">
        <f t="shared" si="98"/>
        <v>7688.1311999999998</v>
      </c>
      <c r="L107" s="1086">
        <f t="shared" si="98"/>
        <v>9381.6720000000005</v>
      </c>
      <c r="M107" s="1086">
        <f t="shared" ref="M107:S107" si="99">M105+M106</f>
        <v>7600.9320000000007</v>
      </c>
      <c r="N107" s="1086">
        <f t="shared" si="99"/>
        <v>8486.8444799999997</v>
      </c>
      <c r="O107" s="1086">
        <f t="shared" si="99"/>
        <v>9183.2984536139411</v>
      </c>
      <c r="P107" s="1086">
        <f t="shared" si="99"/>
        <v>9848.1577433415514</v>
      </c>
      <c r="Q107" s="1086">
        <f t="shared" si="99"/>
        <v>9207.4277045689614</v>
      </c>
      <c r="R107" s="1086">
        <f t="shared" si="99"/>
        <v>9448.917053558067</v>
      </c>
      <c r="S107" s="1086">
        <f t="shared" si="99"/>
        <v>9236.5815751116752</v>
      </c>
      <c r="T107" s="685"/>
      <c r="U107" s="685"/>
      <c r="V107" s="685"/>
      <c r="W107" s="685"/>
      <c r="X107" s="685"/>
      <c r="Y107" s="685"/>
      <c r="Z107" s="685"/>
      <c r="AA107" s="685"/>
      <c r="AB107" s="685"/>
      <c r="AC107" s="685"/>
      <c r="AD107" s="685"/>
      <c r="AE107" s="685"/>
      <c r="AF107" s="685"/>
      <c r="AG107" s="685"/>
      <c r="AH107" s="685"/>
      <c r="AI107" s="685"/>
      <c r="AJ107" s="685"/>
      <c r="AK107" s="685"/>
      <c r="AL107" s="685"/>
      <c r="AM107" s="685"/>
      <c r="AN107" s="685"/>
      <c r="AO107" s="685"/>
      <c r="AP107" s="685"/>
      <c r="AQ107" s="685"/>
      <c r="AR107" s="685"/>
      <c r="AS107" s="685"/>
      <c r="AT107" s="685"/>
      <c r="AU107" s="685"/>
      <c r="AV107" s="685"/>
      <c r="AW107" s="685"/>
      <c r="AX107" s="685"/>
      <c r="AY107" s="685"/>
      <c r="AZ107" s="685"/>
      <c r="BA107" s="685"/>
      <c r="BB107" s="685"/>
      <c r="BC107" s="685"/>
      <c r="BD107" s="685"/>
      <c r="BE107" s="685"/>
    </row>
    <row r="108" spans="1:57">
      <c r="A108" s="685"/>
      <c r="B108" s="685"/>
      <c r="C108" s="685"/>
      <c r="D108" s="685"/>
      <c r="E108" s="685"/>
      <c r="F108" s="685"/>
      <c r="G108" s="685"/>
      <c r="H108" s="685"/>
      <c r="I108" s="685"/>
      <c r="J108" s="685"/>
      <c r="K108" s="685"/>
      <c r="L108" s="685"/>
      <c r="M108" s="685"/>
      <c r="N108" s="685"/>
      <c r="O108" s="685"/>
      <c r="P108" s="685"/>
      <c r="Q108" s="685"/>
      <c r="R108" s="685"/>
      <c r="S108" s="685"/>
      <c r="T108" s="685"/>
      <c r="U108" s="685"/>
      <c r="V108" s="685"/>
      <c r="W108" s="685"/>
      <c r="X108" s="685"/>
      <c r="Y108" s="685"/>
      <c r="Z108" s="685"/>
      <c r="AA108" s="685"/>
      <c r="AB108" s="685"/>
      <c r="AC108" s="685"/>
      <c r="AD108" s="685"/>
      <c r="AE108" s="685"/>
      <c r="AF108" s="685"/>
      <c r="AG108" s="685"/>
      <c r="AH108" s="685"/>
      <c r="AI108" s="685"/>
      <c r="AJ108" s="685"/>
      <c r="AK108" s="685"/>
      <c r="AL108" s="685"/>
      <c r="AM108" s="685"/>
      <c r="AN108" s="685"/>
      <c r="AO108" s="685"/>
      <c r="AP108" s="685"/>
      <c r="AQ108" s="685"/>
      <c r="AR108" s="685"/>
      <c r="AS108" s="685"/>
      <c r="AT108" s="685"/>
      <c r="AU108" s="685"/>
      <c r="AV108" s="685"/>
      <c r="AW108" s="685"/>
      <c r="AX108" s="685"/>
      <c r="AY108" s="685"/>
      <c r="AZ108" s="685"/>
      <c r="BA108" s="685"/>
      <c r="BB108" s="685"/>
      <c r="BC108" s="685"/>
      <c r="BD108" s="685"/>
      <c r="BE108" s="685"/>
    </row>
    <row r="109" spans="1:57">
      <c r="A109" s="685"/>
      <c r="B109" s="1030" t="s">
        <v>2432</v>
      </c>
      <c r="C109" s="1030"/>
      <c r="D109" s="1030">
        <f>D104</f>
        <v>2010</v>
      </c>
      <c r="E109" s="1030">
        <f t="shared" ref="E109:L109" si="100">E104</f>
        <v>2011</v>
      </c>
      <c r="F109" s="1030">
        <f t="shared" si="100"/>
        <v>2012</v>
      </c>
      <c r="G109" s="1030">
        <f t="shared" si="100"/>
        <v>2013</v>
      </c>
      <c r="H109" s="1030">
        <f t="shared" si="100"/>
        <v>2014</v>
      </c>
      <c r="I109" s="1030">
        <f t="shared" si="100"/>
        <v>2015</v>
      </c>
      <c r="J109" s="1030">
        <f t="shared" si="100"/>
        <v>2016</v>
      </c>
      <c r="K109" s="1030">
        <f t="shared" si="100"/>
        <v>2017</v>
      </c>
      <c r="L109" s="1030">
        <f t="shared" si="100"/>
        <v>2018</v>
      </c>
      <c r="M109" s="1030">
        <f t="shared" ref="M109:S109" si="101">M104</f>
        <v>2019</v>
      </c>
      <c r="N109" s="1030">
        <f t="shared" si="101"/>
        <v>2020</v>
      </c>
      <c r="O109" s="1030">
        <f t="shared" si="101"/>
        <v>2021</v>
      </c>
      <c r="P109" s="1030">
        <f t="shared" si="101"/>
        <v>2022</v>
      </c>
      <c r="Q109" s="1030">
        <f t="shared" si="101"/>
        <v>2023</v>
      </c>
      <c r="R109" s="1030">
        <f t="shared" si="101"/>
        <v>2024</v>
      </c>
      <c r="S109" s="1030">
        <f t="shared" si="101"/>
        <v>2025</v>
      </c>
      <c r="T109" s="685"/>
      <c r="U109" s="685"/>
      <c r="V109" s="685"/>
      <c r="W109" s="685"/>
      <c r="X109" s="685"/>
      <c r="Y109" s="685"/>
      <c r="Z109" s="685"/>
      <c r="AA109" s="685"/>
      <c r="AB109" s="685"/>
      <c r="AC109" s="685"/>
      <c r="AD109" s="685"/>
      <c r="AE109" s="685"/>
      <c r="AF109" s="685"/>
      <c r="AG109" s="685"/>
      <c r="AH109" s="685"/>
      <c r="AI109" s="685"/>
      <c r="AJ109" s="685"/>
      <c r="AK109" s="685"/>
      <c r="AL109" s="685"/>
      <c r="AM109" s="685"/>
      <c r="AN109" s="685"/>
      <c r="AO109" s="685"/>
      <c r="AP109" s="685"/>
      <c r="AQ109" s="685"/>
      <c r="AR109" s="685"/>
      <c r="AS109" s="685"/>
      <c r="AT109" s="685"/>
      <c r="AU109" s="685"/>
      <c r="AV109" s="685"/>
      <c r="AW109" s="685"/>
      <c r="AX109" s="685"/>
      <c r="AY109" s="685"/>
      <c r="AZ109" s="685"/>
      <c r="BA109" s="685"/>
      <c r="BB109" s="685"/>
      <c r="BC109" s="685"/>
      <c r="BD109" s="685"/>
      <c r="BE109" s="685"/>
    </row>
    <row r="110" spans="1:57">
      <c r="A110" s="685"/>
      <c r="B110" s="685" t="str">
        <f>B105</f>
        <v>Univision royalties</v>
      </c>
      <c r="C110" s="685"/>
      <c r="D110" s="795">
        <f t="shared" ref="D110:L110" si="102">D58*(1-0.28)</f>
        <v>125.58607027199997</v>
      </c>
      <c r="E110" s="795">
        <f t="shared" si="102"/>
        <v>162.11693453445213</v>
      </c>
      <c r="F110" s="795">
        <f t="shared" si="102"/>
        <v>178.27199999999999</v>
      </c>
      <c r="G110" s="795">
        <f t="shared" si="102"/>
        <v>196.70399999999998</v>
      </c>
      <c r="H110" s="795">
        <f t="shared" si="102"/>
        <v>225.86399999999998</v>
      </c>
      <c r="I110" s="795">
        <f t="shared" si="102"/>
        <v>224.28</v>
      </c>
      <c r="J110" s="795">
        <f t="shared" si="102"/>
        <v>233.71200000000002</v>
      </c>
      <c r="K110" s="795">
        <f t="shared" si="102"/>
        <v>226.00799999999998</v>
      </c>
      <c r="L110" s="795">
        <f t="shared" si="102"/>
        <v>276.19200000000001</v>
      </c>
      <c r="M110" s="795">
        <f t="shared" ref="M110:S110" si="103">M58*(1-0.28)</f>
        <v>280.15199999999999</v>
      </c>
      <c r="N110" s="795">
        <f t="shared" si="103"/>
        <v>273.24</v>
      </c>
      <c r="O110" s="795">
        <f t="shared" si="103"/>
        <v>300.81599999999997</v>
      </c>
      <c r="P110" s="795">
        <f t="shared" si="103"/>
        <v>339.77218880554943</v>
      </c>
      <c r="Q110" s="795">
        <f t="shared" si="103"/>
        <v>357.9606782458269</v>
      </c>
      <c r="R110" s="795">
        <f t="shared" si="103"/>
        <v>369.41942659320182</v>
      </c>
      <c r="S110" s="795">
        <f t="shared" si="103"/>
        <v>377.28776712506584</v>
      </c>
      <c r="T110" s="795">
        <f>T58*(1-0.28)</f>
        <v>0</v>
      </c>
      <c r="U110" s="795"/>
      <c r="V110" s="795"/>
      <c r="W110" s="795"/>
      <c r="X110" s="795"/>
      <c r="Y110" s="795"/>
      <c r="Z110" s="795"/>
      <c r="AA110" s="795"/>
      <c r="AB110" s="795"/>
      <c r="AC110" s="795"/>
      <c r="AD110" s="795"/>
      <c r="AE110" s="795">
        <f>AE58*(1-0.28)</f>
        <v>339.77218880554943</v>
      </c>
      <c r="AF110" s="795">
        <f>AF58*(1-0.28)</f>
        <v>357.9606782458269</v>
      </c>
      <c r="AG110" s="795">
        <f>AG58*(1-0.28)</f>
        <v>369.41942659320182</v>
      </c>
      <c r="AH110" s="795">
        <f>AH58*(1-0.28)</f>
        <v>377.28776712506584</v>
      </c>
      <c r="AI110" s="685"/>
      <c r="AJ110" s="685"/>
      <c r="AK110" s="685"/>
      <c r="AL110" s="685"/>
      <c r="AM110" s="685"/>
      <c r="AN110" s="685"/>
      <c r="AO110" s="685"/>
      <c r="AP110" s="685"/>
      <c r="AQ110" s="685"/>
      <c r="AR110" s="685"/>
      <c r="AS110" s="685"/>
      <c r="AT110" s="685"/>
      <c r="AU110" s="685"/>
      <c r="AV110" s="685"/>
      <c r="AW110" s="685"/>
      <c r="AX110" s="685"/>
      <c r="AY110" s="685"/>
      <c r="AZ110" s="685"/>
      <c r="BA110" s="685"/>
      <c r="BB110" s="685"/>
      <c r="BC110" s="685"/>
      <c r="BD110" s="685"/>
      <c r="BE110" s="685"/>
    </row>
    <row r="111" spans="1:57">
      <c r="A111" s="685"/>
      <c r="B111" s="1030" t="str">
        <f>B106</f>
        <v xml:space="preserve">Underlying </v>
      </c>
      <c r="C111" s="1030"/>
      <c r="D111" s="1096">
        <f>D106/Valuation!F19</f>
        <v>564.33240953797622</v>
      </c>
      <c r="E111" s="1096">
        <f>E106/Valuation!G19</f>
        <v>571.87236450091768</v>
      </c>
      <c r="F111" s="1096">
        <f>F106/Valuation!H19</f>
        <v>568.41395744680847</v>
      </c>
      <c r="G111" s="1096">
        <f>G106/Valuation!I19</f>
        <v>566.28428840125389</v>
      </c>
      <c r="H111" s="1096">
        <f>H106/Valuation!J19</f>
        <v>483.85076483846728</v>
      </c>
      <c r="I111" s="1096">
        <f>I106/Valuation!K19</f>
        <v>316.52565595463142</v>
      </c>
      <c r="J111" s="1096">
        <f>J106/Valuation!L19</f>
        <v>221.60683289124663</v>
      </c>
      <c r="K111" s="1096">
        <f>K106/Valuation!M19</f>
        <v>180.77142857142866</v>
      </c>
      <c r="L111" s="1096">
        <f>L106/Valuation!N19</f>
        <v>211.16758441558443</v>
      </c>
      <c r="M111" s="1096">
        <f>M106/Valuation!O19</f>
        <v>114.70161038961038</v>
      </c>
      <c r="N111" s="1096">
        <f>N106/Valuation!P19</f>
        <v>121.86449162011171</v>
      </c>
      <c r="O111" s="1096">
        <f>O106/Valuation!Q19</f>
        <v>151.8861227814636</v>
      </c>
      <c r="P111" s="1096">
        <f>P106/Valuation!R19</f>
        <v>149.94226884445317</v>
      </c>
      <c r="Q111" s="1096">
        <f>Q106/Valuation!S19</f>
        <v>162.23297737953808</v>
      </c>
      <c r="R111" s="1096">
        <f>R106/Valuation!T19</f>
        <v>146.91483862855043</v>
      </c>
      <c r="S111" s="1096">
        <f>S106/Valuation!U19</f>
        <v>104.03487879008136</v>
      </c>
      <c r="T111" s="833"/>
      <c r="U111" s="833"/>
      <c r="V111" s="833"/>
      <c r="W111" s="833"/>
      <c r="X111" s="833"/>
      <c r="Y111" s="833"/>
      <c r="Z111" s="833"/>
      <c r="AA111" s="833"/>
      <c r="AB111" s="833"/>
      <c r="AC111" s="833"/>
      <c r="AD111" s="833"/>
      <c r="AE111" s="833"/>
      <c r="AF111" s="833"/>
      <c r="AG111" s="833"/>
      <c r="AH111" s="833"/>
      <c r="AI111" s="685"/>
      <c r="AJ111" s="685"/>
      <c r="AK111" s="685"/>
      <c r="AL111" s="685"/>
      <c r="AM111" s="685"/>
      <c r="AN111" s="685"/>
      <c r="AO111" s="685"/>
      <c r="AP111" s="685"/>
      <c r="AQ111" s="685"/>
      <c r="AR111" s="685"/>
      <c r="AS111" s="685"/>
      <c r="AT111" s="685"/>
      <c r="AU111" s="685"/>
      <c r="AV111" s="685"/>
      <c r="AW111" s="685"/>
      <c r="AX111" s="685"/>
      <c r="AY111" s="685"/>
      <c r="AZ111" s="685"/>
      <c r="BA111" s="685"/>
      <c r="BB111" s="685"/>
      <c r="BC111" s="685"/>
      <c r="BD111" s="685"/>
      <c r="BE111" s="685"/>
    </row>
    <row r="112" spans="1:57">
      <c r="A112" s="685"/>
      <c r="B112" s="685" t="str">
        <f>B107</f>
        <v>Total</v>
      </c>
      <c r="C112" s="795"/>
      <c r="D112" s="795">
        <f>D110+D111</f>
        <v>689.91847980997613</v>
      </c>
      <c r="E112" s="795">
        <f t="shared" ref="E112:L112" si="104">E110+E111</f>
        <v>733.98929903536987</v>
      </c>
      <c r="F112" s="795">
        <f t="shared" si="104"/>
        <v>746.68595744680852</v>
      </c>
      <c r="G112" s="795">
        <f t="shared" si="104"/>
        <v>762.98828840125384</v>
      </c>
      <c r="H112" s="795">
        <f t="shared" si="104"/>
        <v>709.71476483846732</v>
      </c>
      <c r="I112" s="795">
        <f t="shared" si="104"/>
        <v>540.80565595463145</v>
      </c>
      <c r="J112" s="795">
        <f t="shared" si="104"/>
        <v>455.31883289124664</v>
      </c>
      <c r="K112" s="795">
        <f t="shared" si="104"/>
        <v>406.77942857142864</v>
      </c>
      <c r="L112" s="795">
        <f t="shared" si="104"/>
        <v>487.35958441558444</v>
      </c>
      <c r="M112" s="795">
        <f t="shared" ref="M112:S112" si="105">M110+M111</f>
        <v>394.85361038961037</v>
      </c>
      <c r="N112" s="795">
        <f t="shared" si="105"/>
        <v>395.10449162011173</v>
      </c>
      <c r="O112" s="795">
        <f t="shared" si="105"/>
        <v>452.70212278146357</v>
      </c>
      <c r="P112" s="795">
        <f t="shared" si="105"/>
        <v>489.7144576500026</v>
      </c>
      <c r="Q112" s="795">
        <f t="shared" si="105"/>
        <v>520.19365562536495</v>
      </c>
      <c r="R112" s="795">
        <f t="shared" si="105"/>
        <v>516.33426522175228</v>
      </c>
      <c r="S112" s="795">
        <f t="shared" si="105"/>
        <v>481.32264591514718</v>
      </c>
      <c r="T112" s="685"/>
      <c r="U112" s="685"/>
      <c r="V112" s="685"/>
      <c r="W112" s="685"/>
      <c r="X112" s="685"/>
      <c r="Y112" s="685"/>
      <c r="Z112" s="685"/>
      <c r="AA112" s="685"/>
      <c r="AB112" s="685"/>
      <c r="AC112" s="685"/>
      <c r="AD112" s="685"/>
      <c r="AE112" s="685"/>
      <c r="AF112" s="685"/>
      <c r="AG112" s="685"/>
      <c r="AH112" s="685"/>
      <c r="AI112" s="685"/>
      <c r="AJ112" s="685"/>
      <c r="AK112" s="685"/>
      <c r="AL112" s="685"/>
      <c r="AM112" s="685"/>
      <c r="AN112" s="685"/>
      <c r="AO112" s="685"/>
      <c r="AP112" s="685"/>
      <c r="AQ112" s="685"/>
      <c r="AR112" s="685"/>
      <c r="AS112" s="685"/>
      <c r="AT112" s="685"/>
      <c r="AU112" s="685"/>
      <c r="AV112" s="685"/>
      <c r="AW112" s="685"/>
      <c r="AX112" s="685"/>
      <c r="AY112" s="685"/>
      <c r="AZ112" s="685"/>
      <c r="BA112" s="685"/>
      <c r="BB112" s="685"/>
      <c r="BC112" s="685"/>
      <c r="BD112" s="685"/>
      <c r="BE112" s="685"/>
    </row>
    <row r="113" spans="1:57">
      <c r="A113" s="685"/>
      <c r="B113" s="685"/>
      <c r="C113" s="685"/>
      <c r="D113" s="685"/>
      <c r="E113" s="685"/>
      <c r="F113" s="685"/>
      <c r="G113" s="685"/>
      <c r="H113" s="685"/>
      <c r="I113" s="685"/>
      <c r="J113" s="685"/>
      <c r="K113" s="685"/>
      <c r="L113" s="685"/>
      <c r="M113" s="685"/>
      <c r="N113" s="685"/>
      <c r="O113" s="685"/>
      <c r="P113" s="685"/>
      <c r="Q113" s="685"/>
      <c r="R113" s="685"/>
      <c r="S113" s="685"/>
      <c r="T113" s="685"/>
      <c r="U113" s="685"/>
      <c r="V113" s="685"/>
      <c r="W113" s="685"/>
      <c r="X113" s="685"/>
      <c r="Y113" s="685"/>
      <c r="Z113" s="685"/>
      <c r="AA113" s="685"/>
      <c r="AB113" s="685"/>
      <c r="AC113" s="685"/>
      <c r="AD113" s="685"/>
      <c r="AE113" s="685"/>
      <c r="AF113" s="685"/>
      <c r="AG113" s="685"/>
      <c r="AH113" s="685"/>
      <c r="AI113" s="685"/>
      <c r="AJ113" s="685"/>
      <c r="AK113" s="685"/>
      <c r="AL113" s="685"/>
      <c r="AM113" s="685"/>
      <c r="AN113" s="685"/>
      <c r="AO113" s="685"/>
      <c r="AP113" s="685"/>
      <c r="AQ113" s="685"/>
      <c r="AR113" s="685"/>
      <c r="AS113" s="685"/>
      <c r="AT113" s="685"/>
      <c r="AU113" s="685"/>
      <c r="AV113" s="685"/>
      <c r="AW113" s="685"/>
      <c r="AX113" s="685"/>
      <c r="AY113" s="685"/>
      <c r="AZ113" s="685"/>
      <c r="BA113" s="685"/>
      <c r="BB113" s="685"/>
      <c r="BC113" s="685"/>
      <c r="BD113" s="685"/>
      <c r="BE113" s="685"/>
    </row>
    <row r="114" spans="1:57">
      <c r="A114" s="685"/>
      <c r="B114" s="844" t="s">
        <v>110</v>
      </c>
      <c r="C114" s="845" t="s">
        <v>111</v>
      </c>
      <c r="D114" s="845" t="s">
        <v>112</v>
      </c>
      <c r="E114" s="845" t="s">
        <v>113</v>
      </c>
      <c r="F114" s="845" t="s">
        <v>114</v>
      </c>
      <c r="G114" s="845" t="s">
        <v>115</v>
      </c>
      <c r="H114" s="845" t="s">
        <v>116</v>
      </c>
      <c r="I114" s="845" t="s">
        <v>117</v>
      </c>
      <c r="J114" s="845" t="s">
        <v>118</v>
      </c>
      <c r="K114" s="845" t="s">
        <v>119</v>
      </c>
      <c r="L114" s="845" t="s">
        <v>110</v>
      </c>
      <c r="M114" s="685"/>
      <c r="N114" s="685"/>
      <c r="O114" s="685"/>
      <c r="P114" s="685"/>
      <c r="Q114" s="685"/>
      <c r="R114" s="685"/>
      <c r="S114" s="685"/>
      <c r="T114" s="685"/>
      <c r="U114" s="685"/>
      <c r="V114" s="685"/>
      <c r="W114" s="685"/>
      <c r="X114" s="685"/>
      <c r="Y114" s="685"/>
      <c r="Z114" s="685"/>
      <c r="AA114" s="685"/>
      <c r="AB114" s="685"/>
      <c r="AC114" s="685"/>
      <c r="AD114" s="685"/>
      <c r="AE114" s="685"/>
      <c r="AF114" s="685"/>
      <c r="AG114" s="685"/>
      <c r="AH114" s="685"/>
      <c r="AI114" s="685"/>
      <c r="AJ114" s="685"/>
      <c r="AK114" s="685"/>
      <c r="AL114" s="685"/>
      <c r="AM114" s="685"/>
      <c r="AN114" s="685"/>
      <c r="AO114" s="685"/>
      <c r="AP114" s="685"/>
      <c r="AQ114" s="685"/>
      <c r="AR114" s="685"/>
      <c r="AS114" s="685"/>
      <c r="AT114" s="685"/>
      <c r="AU114" s="685"/>
      <c r="AV114" s="685"/>
      <c r="AW114" s="685"/>
      <c r="AX114" s="685"/>
      <c r="AY114" s="685"/>
      <c r="AZ114" s="685"/>
      <c r="BA114" s="685"/>
      <c r="BB114" s="685"/>
      <c r="BC114" s="685"/>
      <c r="BD114" s="685"/>
      <c r="BE114" s="685"/>
    </row>
    <row r="115" spans="1:57">
      <c r="A115" s="685"/>
      <c r="B115" s="685" t="s">
        <v>2433</v>
      </c>
      <c r="C115" s="850">
        <v>4.2500000000000003E-2</v>
      </c>
      <c r="D115" s="850">
        <v>1.4999999999999999E-2</v>
      </c>
      <c r="E115" s="851">
        <f>C115+D115</f>
        <v>5.7500000000000002E-2</v>
      </c>
      <c r="F115" s="850">
        <v>0.28000000000000003</v>
      </c>
      <c r="G115" s="852">
        <f>E115*(1-F115)</f>
        <v>4.1399999999999999E-2</v>
      </c>
      <c r="H115" s="847">
        <v>0.04</v>
      </c>
      <c r="I115" s="849">
        <v>1.2</v>
      </c>
      <c r="J115" s="851">
        <f>C115+H115*I115</f>
        <v>9.0499999999999997E-2</v>
      </c>
      <c r="K115" s="847">
        <v>0.3</v>
      </c>
      <c r="L115" s="851">
        <f>G115*K115+J115*(1-K115)</f>
        <v>7.576999999999999E-2</v>
      </c>
      <c r="M115" s="685"/>
      <c r="N115" s="685"/>
      <c r="O115" s="685"/>
      <c r="P115" s="685"/>
      <c r="Q115" s="685"/>
      <c r="R115" s="685"/>
      <c r="S115" s="685"/>
      <c r="T115" s="685"/>
      <c r="U115" s="685"/>
      <c r="V115" s="685"/>
      <c r="W115" s="685"/>
      <c r="X115" s="685"/>
      <c r="Y115" s="685"/>
      <c r="Z115" s="685"/>
      <c r="AA115" s="685"/>
      <c r="AB115" s="685"/>
      <c r="AC115" s="685"/>
      <c r="AD115" s="685"/>
      <c r="AE115" s="685"/>
      <c r="AF115" s="685"/>
      <c r="AG115" s="685"/>
      <c r="AH115" s="685"/>
      <c r="AI115" s="685"/>
      <c r="AJ115" s="685"/>
      <c r="AK115" s="685"/>
      <c r="AL115" s="685"/>
      <c r="AM115" s="685"/>
      <c r="AN115" s="685"/>
      <c r="AO115" s="685"/>
      <c r="AP115" s="685"/>
      <c r="AQ115" s="685"/>
      <c r="AR115" s="685"/>
      <c r="AS115" s="685"/>
      <c r="AT115" s="685"/>
      <c r="AU115" s="685"/>
      <c r="AV115" s="685"/>
      <c r="AW115" s="685"/>
      <c r="AX115" s="685"/>
      <c r="AY115" s="685"/>
      <c r="AZ115" s="685"/>
      <c r="BA115" s="685"/>
      <c r="BB115" s="685"/>
      <c r="BC115" s="685"/>
      <c r="BD115" s="685"/>
      <c r="BE115" s="685"/>
    </row>
    <row r="116" spans="1:57">
      <c r="A116" s="685"/>
      <c r="B116" s="685"/>
      <c r="C116" s="685"/>
      <c r="D116" s="685"/>
      <c r="E116" s="685"/>
      <c r="F116" s="685"/>
      <c r="G116" s="685"/>
      <c r="H116" s="685"/>
      <c r="I116" s="685"/>
      <c r="J116" s="685"/>
      <c r="K116" s="685"/>
      <c r="L116" s="685"/>
      <c r="M116" s="685"/>
      <c r="N116" s="685"/>
      <c r="O116" s="685"/>
      <c r="P116" s="685"/>
      <c r="Q116" s="685"/>
      <c r="R116" s="685"/>
      <c r="S116" s="685"/>
      <c r="T116" s="685"/>
      <c r="U116" s="685"/>
      <c r="V116" s="685"/>
      <c r="W116" s="685"/>
      <c r="X116" s="685"/>
      <c r="Y116" s="685"/>
      <c r="Z116" s="685"/>
      <c r="AA116" s="685"/>
      <c r="AB116" s="685"/>
      <c r="AC116" s="685"/>
      <c r="AD116" s="685"/>
      <c r="AE116" s="685"/>
      <c r="AF116" s="685"/>
      <c r="AG116" s="685"/>
      <c r="AH116" s="685"/>
      <c r="AI116" s="685"/>
      <c r="AJ116" s="685"/>
      <c r="AK116" s="685"/>
      <c r="AL116" s="685"/>
      <c r="AM116" s="685"/>
      <c r="AN116" s="685"/>
      <c r="AO116" s="685"/>
      <c r="AP116" s="685"/>
      <c r="AQ116" s="685"/>
      <c r="AR116" s="685"/>
      <c r="AS116" s="685"/>
      <c r="AT116" s="685"/>
      <c r="AU116" s="685"/>
      <c r="AV116" s="685"/>
      <c r="AW116" s="685"/>
      <c r="AX116" s="685"/>
      <c r="AY116" s="685"/>
      <c r="AZ116" s="685"/>
      <c r="BA116" s="685"/>
      <c r="BB116" s="685"/>
      <c r="BC116" s="685"/>
      <c r="BD116" s="685"/>
      <c r="BE116" s="685"/>
    </row>
    <row r="117" spans="1:57">
      <c r="A117" s="685"/>
      <c r="B117" s="743"/>
      <c r="C117" s="845" t="s">
        <v>122</v>
      </c>
      <c r="D117" s="845" t="s">
        <v>123</v>
      </c>
      <c r="E117" s="845" t="s">
        <v>6</v>
      </c>
      <c r="F117" s="845" t="s">
        <v>124</v>
      </c>
      <c r="G117" s="845" t="s">
        <v>2434</v>
      </c>
      <c r="H117" s="845" t="s">
        <v>77</v>
      </c>
      <c r="I117" s="685"/>
      <c r="J117" s="685"/>
      <c r="K117" s="685"/>
      <c r="L117" s="685"/>
      <c r="M117" s="685"/>
      <c r="N117" s="685"/>
      <c r="O117" s="685"/>
      <c r="P117" s="685"/>
      <c r="Q117" s="685"/>
      <c r="R117" s="685"/>
      <c r="S117" s="685"/>
      <c r="T117" s="685"/>
      <c r="U117" s="685"/>
      <c r="V117" s="685"/>
      <c r="W117" s="685"/>
      <c r="X117" s="685"/>
      <c r="Y117" s="685"/>
      <c r="Z117" s="685"/>
      <c r="AA117" s="685"/>
      <c r="AB117" s="685"/>
      <c r="AC117" s="685"/>
      <c r="AD117" s="685"/>
      <c r="AE117" s="685"/>
      <c r="AF117" s="685"/>
      <c r="AG117" s="685"/>
      <c r="AH117" s="685"/>
      <c r="AI117" s="685"/>
      <c r="AJ117" s="685"/>
      <c r="AK117" s="685"/>
      <c r="AL117" s="685"/>
      <c r="AM117" s="685"/>
      <c r="AN117" s="685"/>
      <c r="AO117" s="685"/>
      <c r="AP117" s="685"/>
      <c r="AQ117" s="685"/>
      <c r="AR117" s="685"/>
      <c r="AS117" s="685"/>
      <c r="AT117" s="685"/>
      <c r="AU117" s="685"/>
      <c r="AV117" s="685"/>
      <c r="AW117" s="685"/>
      <c r="AX117" s="685"/>
      <c r="AY117" s="685"/>
      <c r="AZ117" s="685"/>
      <c r="BA117" s="685"/>
      <c r="BB117" s="685"/>
      <c r="BC117" s="685"/>
      <c r="BD117" s="685"/>
      <c r="BE117" s="685"/>
    </row>
    <row r="118" spans="1:57">
      <c r="A118" s="685"/>
      <c r="B118" s="685" t="str">
        <f>B110</f>
        <v>Univision royalties</v>
      </c>
      <c r="C118" s="795">
        <f>NPV($L$115,O110:S110)</f>
        <v>1398.4438957548259</v>
      </c>
      <c r="D118" s="850">
        <v>0</v>
      </c>
      <c r="E118" s="846">
        <f>S110/(L115-D118)</f>
        <v>4979.3819074180528</v>
      </c>
      <c r="F118" s="846">
        <f>E118/((1+L115)^5)</f>
        <v>3456.0362750427057</v>
      </c>
      <c r="G118" s="1097">
        <v>0</v>
      </c>
      <c r="H118" s="848">
        <f>(F118*(1-G118))+C118</f>
        <v>4854.4801707975312</v>
      </c>
      <c r="I118" s="685"/>
      <c r="J118" s="685"/>
      <c r="K118" s="685"/>
      <c r="L118" s="685"/>
      <c r="M118" s="685"/>
      <c r="N118" s="685"/>
      <c r="O118" s="685"/>
      <c r="P118" s="685"/>
      <c r="Q118" s="685"/>
      <c r="R118" s="685"/>
      <c r="S118" s="685"/>
      <c r="T118" s="685"/>
      <c r="U118" s="685"/>
      <c r="V118" s="685"/>
      <c r="W118" s="685"/>
      <c r="X118" s="685"/>
      <c r="Y118" s="685"/>
      <c r="Z118" s="685"/>
      <c r="AA118" s="685"/>
      <c r="AB118" s="685"/>
      <c r="AC118" s="685"/>
      <c r="AD118" s="685"/>
      <c r="AE118" s="685"/>
      <c r="AF118" s="685"/>
      <c r="AG118" s="685"/>
      <c r="AH118" s="685"/>
      <c r="AI118" s="685"/>
      <c r="AJ118" s="685"/>
      <c r="AK118" s="685"/>
      <c r="AL118" s="685"/>
      <c r="AM118" s="685"/>
      <c r="AN118" s="685"/>
      <c r="AO118" s="685"/>
      <c r="AP118" s="685"/>
      <c r="AQ118" s="685"/>
      <c r="AR118" s="685"/>
      <c r="AS118" s="685"/>
      <c r="AT118" s="685"/>
      <c r="AU118" s="685"/>
      <c r="AV118" s="685"/>
      <c r="AW118" s="685"/>
      <c r="AX118" s="685"/>
      <c r="AY118" s="685"/>
      <c r="AZ118" s="685"/>
      <c r="BA118" s="685"/>
      <c r="BB118" s="685"/>
      <c r="BC118" s="685"/>
      <c r="BD118" s="685"/>
      <c r="BE118" s="685"/>
    </row>
    <row r="119" spans="1:57">
      <c r="A119" s="685"/>
      <c r="B119" s="743" t="str">
        <f>B111</f>
        <v xml:space="preserve">Underlying </v>
      </c>
      <c r="C119" s="833">
        <f>NPV($L$115,O111:S111)</f>
        <v>582.96617922878511</v>
      </c>
      <c r="D119" s="1098">
        <v>0</v>
      </c>
      <c r="E119" s="1099">
        <f>S111/(L115-D119)</f>
        <v>1373.0352222526249</v>
      </c>
      <c r="F119" s="1099">
        <f>E119/((1+L115)^5)</f>
        <v>952.98163973868463</v>
      </c>
      <c r="G119" s="1100">
        <v>0</v>
      </c>
      <c r="H119" s="1101">
        <f>F119+C119</f>
        <v>1535.9478189674696</v>
      </c>
      <c r="I119" s="685"/>
      <c r="J119" s="685"/>
      <c r="K119" s="685"/>
      <c r="L119" s="685"/>
      <c r="M119" s="685"/>
      <c r="N119" s="685"/>
      <c r="O119" s="685"/>
      <c r="P119" s="685"/>
      <c r="Q119" s="685"/>
      <c r="R119" s="685"/>
      <c r="S119" s="685"/>
      <c r="T119" s="685"/>
      <c r="U119" s="685"/>
      <c r="V119" s="685"/>
      <c r="W119" s="685"/>
      <c r="X119" s="685"/>
      <c r="Y119" s="685"/>
      <c r="Z119" s="685"/>
      <c r="AA119" s="685"/>
      <c r="AB119" s="685"/>
      <c r="AC119" s="685"/>
      <c r="AD119" s="685"/>
      <c r="AE119" s="685"/>
      <c r="AF119" s="685"/>
      <c r="AG119" s="685"/>
      <c r="AH119" s="685"/>
      <c r="AI119" s="685"/>
      <c r="AJ119" s="685"/>
      <c r="AK119" s="685"/>
      <c r="AL119" s="685"/>
      <c r="AM119" s="685"/>
      <c r="AN119" s="685"/>
      <c r="AO119" s="685"/>
      <c r="AP119" s="685"/>
      <c r="AQ119" s="685"/>
      <c r="AR119" s="685"/>
      <c r="AS119" s="685"/>
      <c r="AT119" s="685"/>
      <c r="AU119" s="685"/>
      <c r="AV119" s="685"/>
      <c r="AW119" s="685"/>
      <c r="AX119" s="685"/>
      <c r="AY119" s="685"/>
      <c r="AZ119" s="685"/>
      <c r="BA119" s="685"/>
      <c r="BB119" s="685"/>
      <c r="BC119" s="685"/>
      <c r="BD119" s="685"/>
      <c r="BE119" s="685"/>
    </row>
    <row r="120" spans="1:57">
      <c r="A120" s="685"/>
      <c r="B120" s="685" t="s">
        <v>85</v>
      </c>
      <c r="C120" s="685"/>
      <c r="D120" s="685"/>
      <c r="E120" s="685"/>
      <c r="F120" s="685"/>
      <c r="G120" s="685"/>
      <c r="H120" s="848">
        <f>H118+H119</f>
        <v>6390.4279897650013</v>
      </c>
      <c r="I120" s="685"/>
      <c r="J120" s="685"/>
      <c r="K120" s="685"/>
      <c r="L120" s="685"/>
      <c r="M120" s="685"/>
      <c r="N120" s="685"/>
      <c r="O120" s="685"/>
      <c r="P120" s="685"/>
      <c r="Q120" s="685"/>
      <c r="R120" s="685"/>
      <c r="S120" s="685"/>
      <c r="T120" s="685"/>
      <c r="U120" s="685"/>
      <c r="V120" s="685"/>
      <c r="W120" s="685"/>
      <c r="X120" s="685"/>
      <c r="Y120" s="685"/>
      <c r="Z120" s="685"/>
      <c r="AA120" s="685"/>
      <c r="AB120" s="685"/>
      <c r="AC120" s="685"/>
      <c r="AD120" s="685"/>
      <c r="AE120" s="685"/>
      <c r="AF120" s="685"/>
      <c r="AG120" s="685"/>
      <c r="AH120" s="685"/>
      <c r="AI120" s="685"/>
      <c r="AJ120" s="685"/>
      <c r="AK120" s="685"/>
      <c r="AL120" s="685"/>
      <c r="AM120" s="685"/>
      <c r="AN120" s="685"/>
      <c r="AO120" s="685"/>
      <c r="AP120" s="685"/>
      <c r="AQ120" s="685"/>
      <c r="AR120" s="685"/>
      <c r="AS120" s="685"/>
      <c r="AT120" s="685"/>
      <c r="AU120" s="685"/>
      <c r="AV120" s="685"/>
      <c r="AW120" s="685"/>
      <c r="AX120" s="685"/>
      <c r="AY120" s="685"/>
      <c r="AZ120" s="685"/>
      <c r="BA120" s="685"/>
      <c r="BB120" s="685"/>
      <c r="BC120" s="685"/>
      <c r="BD120" s="685"/>
      <c r="BE120" s="685"/>
    </row>
    <row r="121" spans="1:57">
      <c r="A121" s="685"/>
      <c r="B121" s="685"/>
      <c r="C121" s="685"/>
      <c r="D121" s="685"/>
      <c r="E121" s="685"/>
      <c r="F121" s="685"/>
      <c r="G121" s="685"/>
      <c r="H121" s="685"/>
      <c r="I121" s="685"/>
      <c r="J121" s="685"/>
      <c r="K121" s="685"/>
      <c r="L121" s="685"/>
      <c r="M121" s="685"/>
      <c r="N121" s="685"/>
      <c r="O121" s="685"/>
      <c r="P121" s="685"/>
      <c r="Q121" s="685"/>
      <c r="R121" s="685"/>
      <c r="S121" s="685"/>
      <c r="T121" s="685"/>
      <c r="U121" s="685"/>
      <c r="V121" s="685"/>
      <c r="W121" s="685"/>
      <c r="X121" s="685"/>
      <c r="Y121" s="685"/>
      <c r="Z121" s="685"/>
      <c r="AA121" s="685"/>
      <c r="AB121" s="685"/>
      <c r="AC121" s="685"/>
      <c r="AD121" s="685"/>
      <c r="AE121" s="685"/>
      <c r="AF121" s="685"/>
      <c r="AG121" s="685"/>
      <c r="AH121" s="685"/>
      <c r="AI121" s="685"/>
      <c r="AJ121" s="685"/>
      <c r="AK121" s="685"/>
      <c r="AL121" s="685"/>
      <c r="AM121" s="685"/>
      <c r="AN121" s="685"/>
      <c r="AO121" s="685"/>
      <c r="AP121" s="685"/>
      <c r="AQ121" s="685"/>
      <c r="AR121" s="685"/>
      <c r="AS121" s="685"/>
      <c r="AT121" s="685"/>
      <c r="AU121" s="685"/>
      <c r="AV121" s="685"/>
      <c r="AW121" s="685"/>
      <c r="AX121" s="685"/>
      <c r="AY121" s="685"/>
      <c r="AZ121" s="685"/>
      <c r="BA121" s="685"/>
      <c r="BB121" s="685"/>
      <c r="BC121" s="685"/>
      <c r="BD121" s="685"/>
      <c r="BE121" s="685"/>
    </row>
    <row r="122" spans="1:57">
      <c r="A122" s="685"/>
      <c r="B122" s="817"/>
      <c r="C122" s="685"/>
      <c r="D122" s="817"/>
      <c r="E122" s="685"/>
      <c r="F122" s="685"/>
      <c r="G122" s="685"/>
      <c r="H122" s="685"/>
      <c r="I122" s="903" t="s">
        <v>2435</v>
      </c>
      <c r="J122" s="685"/>
      <c r="K122" s="685"/>
      <c r="L122" s="685"/>
      <c r="M122" s="685"/>
      <c r="N122" s="685"/>
      <c r="O122" s="685"/>
      <c r="P122" s="685"/>
      <c r="Q122" s="685"/>
      <c r="R122" s="685"/>
      <c r="S122" s="685"/>
      <c r="T122" s="685"/>
      <c r="U122" s="685"/>
      <c r="V122" s="685"/>
      <c r="W122" s="685"/>
      <c r="X122" s="685"/>
      <c r="Y122" s="685"/>
      <c r="Z122" s="685"/>
      <c r="AA122" s="685"/>
      <c r="AB122" s="685"/>
      <c r="AC122" s="685"/>
      <c r="AD122" s="685"/>
      <c r="AE122" s="685"/>
      <c r="AF122" s="685"/>
      <c r="AG122" s="685"/>
      <c r="AH122" s="685"/>
      <c r="AI122" s="685"/>
      <c r="AJ122" s="685"/>
      <c r="AK122" s="685"/>
      <c r="AL122" s="685"/>
      <c r="AM122" s="685"/>
      <c r="AN122" s="685"/>
      <c r="AO122" s="685"/>
      <c r="AP122" s="685"/>
      <c r="AQ122" s="685"/>
      <c r="AR122" s="685"/>
      <c r="AS122" s="685"/>
      <c r="AT122" s="685"/>
      <c r="AU122" s="685"/>
      <c r="AV122" s="685"/>
      <c r="AW122" s="685"/>
      <c r="AX122" s="685"/>
      <c r="AY122" s="685"/>
      <c r="AZ122" s="685"/>
      <c r="BA122" s="685"/>
      <c r="BB122" s="685"/>
      <c r="BC122" s="685"/>
      <c r="BD122" s="685"/>
      <c r="BE122" s="685"/>
    </row>
    <row r="123" spans="1:57">
      <c r="A123" s="685"/>
      <c r="B123" s="804" t="s">
        <v>662</v>
      </c>
      <c r="C123" s="804">
        <v>2015</v>
      </c>
      <c r="D123" s="804">
        <v>2016</v>
      </c>
      <c r="E123" s="804">
        <v>2017</v>
      </c>
      <c r="F123" s="804">
        <v>2018</v>
      </c>
      <c r="G123" s="685"/>
      <c r="H123" s="685"/>
      <c r="I123" s="1102">
        <v>0.1</v>
      </c>
      <c r="J123" s="685"/>
      <c r="K123" s="685"/>
      <c r="L123" s="685"/>
      <c r="M123" s="685"/>
      <c r="N123" s="685"/>
      <c r="O123" s="685"/>
      <c r="P123" s="685"/>
      <c r="Q123" s="685"/>
      <c r="R123" s="685"/>
      <c r="S123" s="685"/>
      <c r="T123" s="685"/>
      <c r="U123" s="685"/>
      <c r="V123" s="685"/>
      <c r="W123" s="685"/>
      <c r="X123" s="685"/>
      <c r="Y123" s="685"/>
      <c r="Z123" s="685"/>
      <c r="AA123" s="685"/>
      <c r="AB123" s="685"/>
      <c r="AC123" s="685"/>
      <c r="AD123" s="685"/>
      <c r="AE123" s="685"/>
      <c r="AF123" s="685"/>
      <c r="AG123" s="685"/>
      <c r="AH123" s="685"/>
      <c r="AI123" s="685"/>
      <c r="AJ123" s="685"/>
      <c r="AK123" s="685"/>
      <c r="AL123" s="685"/>
      <c r="AM123" s="685"/>
      <c r="AN123" s="685"/>
      <c r="AO123" s="685"/>
      <c r="AP123" s="685"/>
      <c r="AQ123" s="685"/>
      <c r="AR123" s="685"/>
      <c r="AS123" s="685"/>
      <c r="AT123" s="685"/>
      <c r="AU123" s="685"/>
      <c r="AV123" s="685"/>
      <c r="AW123" s="685"/>
      <c r="AX123" s="685"/>
      <c r="AY123" s="685"/>
      <c r="AZ123" s="685"/>
      <c r="BA123" s="685"/>
      <c r="BB123" s="685"/>
      <c r="BC123" s="685"/>
      <c r="BD123" s="685"/>
      <c r="BE123" s="685"/>
    </row>
    <row r="124" spans="1:57">
      <c r="A124" s="685"/>
      <c r="B124" s="685" t="s">
        <v>2017</v>
      </c>
      <c r="C124" s="795">
        <f>I3</f>
        <v>23029.3</v>
      </c>
      <c r="D124" s="795">
        <f>J3</f>
        <v>23223.200000000001</v>
      </c>
      <c r="E124" s="795">
        <f>K3</f>
        <v>20719</v>
      </c>
      <c r="F124" s="795">
        <f>L3</f>
        <v>21155</v>
      </c>
      <c r="G124" s="685"/>
      <c r="H124" s="685"/>
      <c r="I124" s="795">
        <f>I125+I126</f>
        <v>23455.432000000001</v>
      </c>
      <c r="J124" s="685"/>
      <c r="K124" s="685"/>
      <c r="L124" s="685"/>
      <c r="M124" s="685"/>
      <c r="N124" s="685"/>
      <c r="O124" s="685"/>
      <c r="P124" s="685"/>
      <c r="Q124" s="685"/>
      <c r="R124" s="685"/>
      <c r="S124" s="685"/>
      <c r="T124" s="685"/>
      <c r="U124" s="685"/>
      <c r="V124" s="685"/>
      <c r="W124" s="685"/>
      <c r="X124" s="685"/>
      <c r="Y124" s="685"/>
      <c r="Z124" s="685"/>
      <c r="AA124" s="685"/>
      <c r="AB124" s="685"/>
      <c r="AC124" s="685"/>
      <c r="AD124" s="685"/>
      <c r="AE124" s="685"/>
      <c r="AF124" s="685"/>
      <c r="AG124" s="685"/>
      <c r="AH124" s="685"/>
      <c r="AI124" s="685"/>
      <c r="AJ124" s="685"/>
      <c r="AK124" s="685"/>
      <c r="AL124" s="685"/>
      <c r="AM124" s="685"/>
      <c r="AN124" s="685"/>
      <c r="AO124" s="685"/>
      <c r="AP124" s="685"/>
      <c r="AQ124" s="685"/>
      <c r="AR124" s="685"/>
      <c r="AS124" s="685"/>
      <c r="AT124" s="685"/>
      <c r="AU124" s="685"/>
      <c r="AV124" s="685"/>
      <c r="AW124" s="685"/>
      <c r="AX124" s="685"/>
      <c r="AY124" s="685"/>
      <c r="AZ124" s="685"/>
      <c r="BA124" s="685"/>
      <c r="BB124" s="685"/>
      <c r="BC124" s="685"/>
      <c r="BD124" s="685"/>
      <c r="BE124" s="685"/>
    </row>
    <row r="125" spans="1:57">
      <c r="A125" s="685"/>
      <c r="B125" s="924" t="s">
        <v>2436</v>
      </c>
      <c r="C125" s="795">
        <f>0.1*C124</f>
        <v>2302.9299999999998</v>
      </c>
      <c r="D125" s="795">
        <f>0.1*D124</f>
        <v>2322.3200000000002</v>
      </c>
      <c r="E125" s="795">
        <f>0.1*E124</f>
        <v>2071.9</v>
      </c>
      <c r="F125" s="795">
        <f>0.1*F124</f>
        <v>2115.5</v>
      </c>
      <c r="G125" s="685"/>
      <c r="H125" s="685"/>
      <c r="I125" s="795">
        <f>D125*(1+$I$123)</f>
        <v>2554.5520000000006</v>
      </c>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5"/>
      <c r="AL125" s="685"/>
      <c r="AM125" s="685"/>
      <c r="AN125" s="685"/>
      <c r="AO125" s="685"/>
      <c r="AP125" s="685"/>
      <c r="AQ125" s="685"/>
      <c r="AR125" s="685"/>
      <c r="AS125" s="685"/>
      <c r="AT125" s="685"/>
      <c r="AU125" s="685"/>
      <c r="AV125" s="685"/>
      <c r="AW125" s="685"/>
      <c r="AX125" s="685"/>
      <c r="AY125" s="685"/>
      <c r="AZ125" s="685"/>
      <c r="BA125" s="685"/>
      <c r="BB125" s="685"/>
      <c r="BC125" s="685"/>
      <c r="BD125" s="685"/>
      <c r="BE125" s="685"/>
    </row>
    <row r="126" spans="1:57">
      <c r="A126" s="685"/>
      <c r="B126" s="924" t="s">
        <v>2437</v>
      </c>
      <c r="C126" s="795">
        <f>C124-C125</f>
        <v>20726.37</v>
      </c>
      <c r="D126" s="795">
        <f>D124-D125</f>
        <v>20900.88</v>
      </c>
      <c r="E126" s="795">
        <f>E124-E125</f>
        <v>18647.099999999999</v>
      </c>
      <c r="F126" s="795">
        <f>F124-F125</f>
        <v>19039.5</v>
      </c>
      <c r="G126" s="685"/>
      <c r="H126" s="685"/>
      <c r="I126" s="795">
        <f>D126</f>
        <v>20900.88</v>
      </c>
      <c r="J126" s="685"/>
      <c r="K126" s="685"/>
      <c r="L126" s="685"/>
      <c r="M126" s="685"/>
      <c r="N126" s="685"/>
      <c r="O126" s="685"/>
      <c r="P126" s="685"/>
      <c r="Q126" s="685"/>
      <c r="R126" s="685"/>
      <c r="S126" s="685"/>
      <c r="T126" s="685"/>
      <c r="U126" s="685"/>
      <c r="V126" s="685"/>
      <c r="W126" s="685"/>
      <c r="X126" s="685"/>
      <c r="Y126" s="685"/>
      <c r="Z126" s="685"/>
      <c r="AA126" s="685"/>
      <c r="AB126" s="685"/>
      <c r="AC126" s="685"/>
      <c r="AD126" s="685"/>
      <c r="AE126" s="685"/>
      <c r="AF126" s="685"/>
      <c r="AG126" s="685"/>
      <c r="AH126" s="685"/>
      <c r="AI126" s="685"/>
      <c r="AJ126" s="685"/>
      <c r="AK126" s="685"/>
      <c r="AL126" s="685"/>
      <c r="AM126" s="685"/>
      <c r="AN126" s="685"/>
      <c r="AO126" s="685"/>
      <c r="AP126" s="685"/>
      <c r="AQ126" s="685"/>
      <c r="AR126" s="685"/>
      <c r="AS126" s="685"/>
      <c r="AT126" s="685"/>
      <c r="AU126" s="685"/>
      <c r="AV126" s="685"/>
      <c r="AW126" s="685"/>
      <c r="AX126" s="685"/>
      <c r="AY126" s="685"/>
      <c r="AZ126" s="685"/>
      <c r="BA126" s="685"/>
      <c r="BB126" s="685"/>
      <c r="BC126" s="685"/>
      <c r="BD126" s="685"/>
      <c r="BE126" s="685"/>
    </row>
    <row r="127" spans="1:57">
      <c r="A127" s="685"/>
      <c r="B127" s="685" t="s">
        <v>2438</v>
      </c>
      <c r="C127" s="795">
        <f>I11</f>
        <v>3595.4</v>
      </c>
      <c r="D127" s="795">
        <f>J11</f>
        <v>4399.3</v>
      </c>
      <c r="E127" s="795">
        <f>K11</f>
        <v>4058</v>
      </c>
      <c r="F127" s="795">
        <f>L11</f>
        <v>4841</v>
      </c>
      <c r="G127" s="685"/>
      <c r="H127" s="685"/>
      <c r="I127" s="795">
        <f>I128+I129</f>
        <v>4619.2650000000003</v>
      </c>
      <c r="J127" s="685"/>
      <c r="K127" s="685"/>
      <c r="L127" s="685"/>
      <c r="M127" s="685"/>
      <c r="N127" s="685"/>
      <c r="O127" s="685"/>
      <c r="P127" s="685"/>
      <c r="Q127" s="685"/>
      <c r="R127" s="685"/>
      <c r="S127" s="685"/>
      <c r="T127" s="685"/>
      <c r="U127" s="685"/>
      <c r="V127" s="685"/>
      <c r="W127" s="685"/>
      <c r="X127" s="685"/>
      <c r="Y127" s="685"/>
      <c r="Z127" s="685"/>
      <c r="AA127" s="685"/>
      <c r="AB127" s="685"/>
      <c r="AC127" s="685"/>
      <c r="AD127" s="685"/>
      <c r="AE127" s="685"/>
      <c r="AF127" s="685"/>
      <c r="AG127" s="685"/>
      <c r="AH127" s="685"/>
      <c r="AI127" s="685"/>
      <c r="AJ127" s="685"/>
      <c r="AK127" s="685"/>
      <c r="AL127" s="685"/>
      <c r="AM127" s="685"/>
      <c r="AN127" s="685"/>
      <c r="AO127" s="685"/>
      <c r="AP127" s="685"/>
      <c r="AQ127" s="685"/>
      <c r="AR127" s="685"/>
      <c r="AS127" s="685"/>
      <c r="AT127" s="685"/>
      <c r="AU127" s="685"/>
      <c r="AV127" s="685"/>
      <c r="AW127" s="685"/>
      <c r="AX127" s="685"/>
      <c r="AY127" s="685"/>
      <c r="AZ127" s="685"/>
      <c r="BA127" s="685"/>
      <c r="BB127" s="685"/>
      <c r="BC127" s="685"/>
      <c r="BD127" s="685"/>
      <c r="BE127" s="685"/>
    </row>
    <row r="128" spans="1:57">
      <c r="A128" s="685"/>
      <c r="B128" s="924" t="s">
        <v>2439</v>
      </c>
      <c r="C128" s="795">
        <f>C127*0.5</f>
        <v>1797.7</v>
      </c>
      <c r="D128" s="795">
        <f>D127*0.5</f>
        <v>2199.65</v>
      </c>
      <c r="E128" s="795">
        <f>E127*0.5</f>
        <v>2029</v>
      </c>
      <c r="F128" s="795">
        <f>F127*0.5</f>
        <v>2420.5</v>
      </c>
      <c r="G128" s="685"/>
      <c r="H128" s="685"/>
      <c r="I128" s="795">
        <f>D128*(1+$I$123)</f>
        <v>2419.6150000000002</v>
      </c>
      <c r="J128" s="685"/>
      <c r="K128" s="685"/>
      <c r="L128" s="685"/>
      <c r="M128" s="685"/>
      <c r="N128" s="685"/>
      <c r="O128" s="685"/>
      <c r="P128" s="685"/>
      <c r="Q128" s="685"/>
      <c r="R128" s="685"/>
      <c r="S128" s="685"/>
      <c r="T128" s="685"/>
      <c r="U128" s="685"/>
      <c r="V128" s="685"/>
      <c r="W128" s="685"/>
      <c r="X128" s="685"/>
      <c r="Y128" s="685"/>
      <c r="Z128" s="685"/>
      <c r="AA128" s="685"/>
      <c r="AB128" s="685"/>
      <c r="AC128" s="685"/>
      <c r="AD128" s="685"/>
      <c r="AE128" s="685"/>
      <c r="AF128" s="685"/>
      <c r="AG128" s="685"/>
      <c r="AH128" s="685"/>
      <c r="AI128" s="685"/>
      <c r="AJ128" s="685"/>
      <c r="AK128" s="685"/>
      <c r="AL128" s="685"/>
      <c r="AM128" s="685"/>
      <c r="AN128" s="685"/>
      <c r="AO128" s="685"/>
      <c r="AP128" s="685"/>
      <c r="AQ128" s="685"/>
      <c r="AR128" s="685"/>
      <c r="AS128" s="685"/>
      <c r="AT128" s="685"/>
      <c r="AU128" s="685"/>
      <c r="AV128" s="685"/>
      <c r="AW128" s="685"/>
      <c r="AX128" s="685"/>
      <c r="AY128" s="685"/>
      <c r="AZ128" s="685"/>
      <c r="BA128" s="685"/>
      <c r="BB128" s="685"/>
      <c r="BC128" s="685"/>
      <c r="BD128" s="685"/>
      <c r="BE128" s="685"/>
    </row>
    <row r="129" spans="1:57">
      <c r="A129" s="685"/>
      <c r="B129" s="924" t="s">
        <v>2440</v>
      </c>
      <c r="C129" s="795">
        <f>C127-C128</f>
        <v>1797.7</v>
      </c>
      <c r="D129" s="795">
        <f>D127-D128</f>
        <v>2199.65</v>
      </c>
      <c r="E129" s="795">
        <f>E127-E128</f>
        <v>2029</v>
      </c>
      <c r="F129" s="795">
        <f>F127-F128</f>
        <v>2420.5</v>
      </c>
      <c r="G129" s="685"/>
      <c r="H129" s="685"/>
      <c r="I129" s="795">
        <f>D129</f>
        <v>2199.65</v>
      </c>
      <c r="J129" s="685"/>
      <c r="K129" s="685"/>
      <c r="L129" s="685"/>
      <c r="M129" s="685"/>
      <c r="N129" s="685"/>
      <c r="O129" s="685"/>
      <c r="P129" s="685"/>
      <c r="Q129" s="685"/>
      <c r="R129" s="685"/>
      <c r="S129" s="685"/>
      <c r="T129" s="685"/>
      <c r="U129" s="685"/>
      <c r="V129" s="685"/>
      <c r="W129" s="685"/>
      <c r="X129" s="685"/>
      <c r="Y129" s="685"/>
      <c r="Z129" s="685"/>
      <c r="AA129" s="685"/>
      <c r="AB129" s="685"/>
      <c r="AC129" s="685"/>
      <c r="AD129" s="685"/>
      <c r="AE129" s="685"/>
      <c r="AF129" s="685"/>
      <c r="AG129" s="685"/>
      <c r="AH129" s="685"/>
      <c r="AI129" s="685"/>
      <c r="AJ129" s="685"/>
      <c r="AK129" s="685"/>
      <c r="AL129" s="685"/>
      <c r="AM129" s="685"/>
      <c r="AN129" s="685"/>
      <c r="AO129" s="685"/>
      <c r="AP129" s="685"/>
      <c r="AQ129" s="685"/>
      <c r="AR129" s="685"/>
      <c r="AS129" s="685"/>
      <c r="AT129" s="685"/>
      <c r="AU129" s="685"/>
      <c r="AV129" s="685"/>
      <c r="AW129" s="685"/>
      <c r="AX129" s="685"/>
      <c r="AY129" s="685"/>
      <c r="AZ129" s="685"/>
      <c r="BA129" s="685"/>
      <c r="BB129" s="685"/>
      <c r="BC129" s="685"/>
      <c r="BD129" s="685"/>
      <c r="BE129" s="685"/>
    </row>
    <row r="130" spans="1:57">
      <c r="A130" s="685"/>
      <c r="B130" s="685" t="s">
        <v>2441</v>
      </c>
      <c r="C130" s="795">
        <f>C131+C132+C133</f>
        <v>7707.9</v>
      </c>
      <c r="D130" s="795">
        <f>D131+D132+D133</f>
        <v>9064.2000000000007</v>
      </c>
      <c r="E130" s="795">
        <f>E131+E132+E133</f>
        <v>9220</v>
      </c>
      <c r="F130" s="795">
        <f>F131+F132+F133</f>
        <v>10520.999999999998</v>
      </c>
      <c r="G130" s="685"/>
      <c r="H130" s="685"/>
      <c r="I130" s="795">
        <f>I131+I132+I133</f>
        <v>9896.982750000001</v>
      </c>
      <c r="J130" s="685"/>
      <c r="K130" s="685"/>
      <c r="L130" s="685"/>
      <c r="M130" s="685"/>
      <c r="N130" s="685"/>
      <c r="O130" s="685"/>
      <c r="P130" s="685"/>
      <c r="Q130" s="685"/>
      <c r="R130" s="685"/>
      <c r="S130" s="685"/>
      <c r="T130" s="685"/>
      <c r="U130" s="685"/>
      <c r="V130" s="685"/>
      <c r="W130" s="685"/>
      <c r="X130" s="685"/>
      <c r="Y130" s="685"/>
      <c r="Z130" s="685"/>
      <c r="AA130" s="685"/>
      <c r="AB130" s="685"/>
      <c r="AC130" s="685"/>
      <c r="AD130" s="685"/>
      <c r="AE130" s="685"/>
      <c r="AF130" s="685"/>
      <c r="AG130" s="685"/>
      <c r="AH130" s="685"/>
      <c r="AI130" s="685"/>
      <c r="AJ130" s="685"/>
      <c r="AK130" s="685"/>
      <c r="AL130" s="685"/>
      <c r="AM130" s="685"/>
      <c r="AN130" s="685"/>
      <c r="AO130" s="685"/>
      <c r="AP130" s="685"/>
      <c r="AQ130" s="685"/>
      <c r="AR130" s="685"/>
      <c r="AS130" s="685"/>
      <c r="AT130" s="685"/>
      <c r="AU130" s="685"/>
      <c r="AV130" s="685"/>
      <c r="AW130" s="685"/>
      <c r="AX130" s="685"/>
      <c r="AY130" s="685"/>
      <c r="AZ130" s="685"/>
      <c r="BA130" s="685"/>
      <c r="BB130" s="685"/>
      <c r="BC130" s="685"/>
      <c r="BD130" s="685"/>
      <c r="BE130" s="685"/>
    </row>
    <row r="131" spans="1:57">
      <c r="A131" s="685"/>
      <c r="B131" s="924" t="s">
        <v>2442</v>
      </c>
      <c r="C131" s="795">
        <f>I58*I45</f>
        <v>4943.5050000000001</v>
      </c>
      <c r="D131" s="795">
        <f>J58*J45</f>
        <v>6118.7100000000009</v>
      </c>
      <c r="E131" s="795">
        <f>K58*K45</f>
        <v>5932.7099999999991</v>
      </c>
      <c r="F131" s="795">
        <f>L58*L45</f>
        <v>7384.3</v>
      </c>
      <c r="G131" s="685"/>
      <c r="H131" s="685"/>
      <c r="I131" s="795">
        <f>D131*(1+$I$123)</f>
        <v>6730.5810000000019</v>
      </c>
      <c r="J131" s="685"/>
      <c r="K131" s="685"/>
      <c r="L131" s="685"/>
      <c r="M131" s="685"/>
      <c r="N131" s="685"/>
      <c r="O131" s="685"/>
      <c r="P131" s="685"/>
      <c r="Q131" s="685"/>
      <c r="R131" s="685"/>
      <c r="S131" s="685"/>
      <c r="T131" s="685"/>
      <c r="U131" s="685"/>
      <c r="V131" s="685"/>
      <c r="W131" s="685"/>
      <c r="X131" s="685"/>
      <c r="Y131" s="685"/>
      <c r="Z131" s="685"/>
      <c r="AA131" s="685"/>
      <c r="AB131" s="685"/>
      <c r="AC131" s="685"/>
      <c r="AD131" s="685"/>
      <c r="AE131" s="685"/>
      <c r="AF131" s="685"/>
      <c r="AG131" s="685"/>
      <c r="AH131" s="685"/>
      <c r="AI131" s="685"/>
      <c r="AJ131" s="685"/>
      <c r="AK131" s="685"/>
      <c r="AL131" s="685"/>
      <c r="AM131" s="685"/>
      <c r="AN131" s="685"/>
      <c r="AO131" s="685"/>
      <c r="AP131" s="685"/>
      <c r="AQ131" s="685"/>
      <c r="AR131" s="685"/>
      <c r="AS131" s="685"/>
      <c r="AT131" s="685"/>
      <c r="AU131" s="685"/>
      <c r="AV131" s="685"/>
      <c r="AW131" s="685"/>
      <c r="AX131" s="685"/>
      <c r="AY131" s="685"/>
      <c r="AZ131" s="685"/>
      <c r="BA131" s="685"/>
      <c r="BB131" s="685"/>
      <c r="BC131" s="685"/>
      <c r="BD131" s="685"/>
      <c r="BE131" s="685"/>
    </row>
    <row r="132" spans="1:57">
      <c r="A132" s="685"/>
      <c r="B132" s="924" t="s">
        <v>2443</v>
      </c>
      <c r="C132" s="795">
        <f>I59*I45*0.75</f>
        <v>2073.2962499999994</v>
      </c>
      <c r="D132" s="795">
        <f>J59*J45*0.75</f>
        <v>2209.1175000000003</v>
      </c>
      <c r="E132" s="795">
        <f>K59*K45*0.75</f>
        <v>2465.4675000000002</v>
      </c>
      <c r="F132" s="795">
        <f>L59*L45*0.75</f>
        <v>2352.5249999999992</v>
      </c>
      <c r="G132" s="685"/>
      <c r="H132" s="685"/>
      <c r="I132" s="795">
        <f>D132*(1+$I$123)</f>
        <v>2430.0292500000005</v>
      </c>
      <c r="J132" s="685"/>
      <c r="K132" s="685"/>
      <c r="L132" s="685"/>
      <c r="M132" s="685"/>
      <c r="N132" s="685"/>
      <c r="O132" s="685"/>
      <c r="P132" s="685"/>
      <c r="Q132" s="685"/>
      <c r="R132" s="685"/>
      <c r="S132" s="685"/>
      <c r="T132" s="685"/>
      <c r="U132" s="685"/>
      <c r="V132" s="685"/>
      <c r="W132" s="685"/>
      <c r="X132" s="685"/>
      <c r="Y132" s="685"/>
      <c r="Z132" s="685"/>
      <c r="AA132" s="685"/>
      <c r="AB132" s="685"/>
      <c r="AC132" s="685"/>
      <c r="AD132" s="685"/>
      <c r="AE132" s="685"/>
      <c r="AF132" s="685"/>
      <c r="AG132" s="685"/>
      <c r="AH132" s="685"/>
      <c r="AI132" s="685"/>
      <c r="AJ132" s="685"/>
      <c r="AK132" s="685"/>
      <c r="AL132" s="685"/>
      <c r="AM132" s="685"/>
      <c r="AN132" s="685"/>
      <c r="AO132" s="685"/>
      <c r="AP132" s="685"/>
      <c r="AQ132" s="685"/>
      <c r="AR132" s="685"/>
      <c r="AS132" s="685"/>
      <c r="AT132" s="685"/>
      <c r="AU132" s="685"/>
      <c r="AV132" s="685"/>
      <c r="AW132" s="685"/>
      <c r="AX132" s="685"/>
      <c r="AY132" s="685"/>
      <c r="AZ132" s="685"/>
      <c r="BA132" s="685"/>
      <c r="BB132" s="685"/>
      <c r="BC132" s="685"/>
      <c r="BD132" s="685"/>
      <c r="BE132" s="685"/>
    </row>
    <row r="133" spans="1:57">
      <c r="A133" s="685"/>
      <c r="B133" s="931" t="s">
        <v>2444</v>
      </c>
      <c r="C133" s="833">
        <f>I59*I45*0.25</f>
        <v>691.09874999999988</v>
      </c>
      <c r="D133" s="833">
        <f>J59*J45*0.25</f>
        <v>736.37250000000006</v>
      </c>
      <c r="E133" s="833">
        <f>K59*K45*0.25</f>
        <v>821.8225000000001</v>
      </c>
      <c r="F133" s="833">
        <f>L59*L45*0.25</f>
        <v>784.17499999999973</v>
      </c>
      <c r="G133" s="685"/>
      <c r="H133" s="685"/>
      <c r="I133" s="833">
        <f>D133</f>
        <v>736.37250000000006</v>
      </c>
      <c r="J133" s="685"/>
      <c r="K133" s="685"/>
      <c r="L133" s="685"/>
      <c r="M133" s="685"/>
      <c r="N133" s="685"/>
      <c r="O133" s="685"/>
      <c r="P133" s="685"/>
      <c r="Q133" s="685"/>
      <c r="R133" s="685"/>
      <c r="S133" s="685"/>
      <c r="T133" s="685"/>
      <c r="U133" s="685"/>
      <c r="V133" s="685"/>
      <c r="W133" s="685"/>
      <c r="X133" s="685"/>
      <c r="Y133" s="685"/>
      <c r="Z133" s="685"/>
      <c r="AA133" s="685"/>
      <c r="AB133" s="685"/>
      <c r="AC133" s="685"/>
      <c r="AD133" s="685"/>
      <c r="AE133" s="685"/>
      <c r="AF133" s="685"/>
      <c r="AG133" s="685"/>
      <c r="AH133" s="685"/>
      <c r="AI133" s="685"/>
      <c r="AJ133" s="685"/>
      <c r="AK133" s="685"/>
      <c r="AL133" s="685"/>
      <c r="AM133" s="685"/>
      <c r="AN133" s="685"/>
      <c r="AO133" s="685"/>
      <c r="AP133" s="685"/>
      <c r="AQ133" s="685"/>
      <c r="AR133" s="685"/>
      <c r="AS133" s="685"/>
      <c r="AT133" s="685"/>
      <c r="AU133" s="685"/>
      <c r="AV133" s="685"/>
      <c r="AW133" s="685"/>
      <c r="AX133" s="685"/>
      <c r="AY133" s="685"/>
      <c r="AZ133" s="685"/>
      <c r="BA133" s="685"/>
      <c r="BB133" s="685"/>
      <c r="BC133" s="685"/>
      <c r="BD133" s="685"/>
      <c r="BE133" s="685"/>
    </row>
    <row r="134" spans="1:57" ht="15.75" thickBot="1">
      <c r="A134" s="685"/>
      <c r="B134" s="817" t="s">
        <v>2445</v>
      </c>
      <c r="C134" s="818">
        <f>C124+C127+C130</f>
        <v>34332.6</v>
      </c>
      <c r="D134" s="818">
        <f>D124+D127+D130</f>
        <v>36686.699999999997</v>
      </c>
      <c r="E134" s="818">
        <f>E124+E127+E130</f>
        <v>33997</v>
      </c>
      <c r="F134" s="818">
        <f>F124+F127+F130</f>
        <v>36517</v>
      </c>
      <c r="G134" s="685"/>
      <c r="H134" s="685"/>
      <c r="I134" s="818">
        <f>I124+I127+I130</f>
        <v>37971.679750000003</v>
      </c>
      <c r="J134" s="685"/>
      <c r="K134" s="685"/>
      <c r="L134" s="685"/>
      <c r="M134" s="685"/>
      <c r="N134" s="685"/>
      <c r="O134" s="685"/>
      <c r="P134" s="685"/>
      <c r="Q134" s="685"/>
      <c r="R134" s="685"/>
      <c r="S134" s="685"/>
      <c r="T134" s="685"/>
      <c r="U134" s="685"/>
      <c r="V134" s="685"/>
      <c r="W134" s="685"/>
      <c r="X134" s="685"/>
      <c r="Y134" s="685"/>
      <c r="Z134" s="685"/>
      <c r="AA134" s="685"/>
      <c r="AB134" s="685"/>
      <c r="AC134" s="685"/>
      <c r="AD134" s="685"/>
      <c r="AE134" s="685"/>
      <c r="AF134" s="685"/>
      <c r="AG134" s="685"/>
      <c r="AH134" s="685"/>
      <c r="AI134" s="685"/>
      <c r="AJ134" s="685"/>
      <c r="AK134" s="685"/>
      <c r="AL134" s="685"/>
      <c r="AM134" s="685"/>
      <c r="AN134" s="685"/>
      <c r="AO134" s="685"/>
      <c r="AP134" s="685"/>
      <c r="AQ134" s="685"/>
      <c r="AR134" s="685"/>
      <c r="AS134" s="685"/>
      <c r="AT134" s="685"/>
      <c r="AU134" s="685"/>
      <c r="AV134" s="685"/>
      <c r="AW134" s="685"/>
      <c r="AX134" s="685"/>
      <c r="AY134" s="685"/>
      <c r="AZ134" s="685"/>
      <c r="BA134" s="685"/>
      <c r="BB134" s="685"/>
      <c r="BC134" s="685"/>
      <c r="BD134" s="685"/>
      <c r="BE134" s="685"/>
    </row>
    <row r="135" spans="1:57" ht="15.75" thickBot="1">
      <c r="A135" s="685"/>
      <c r="B135" s="685" t="s">
        <v>192</v>
      </c>
      <c r="C135" s="795"/>
      <c r="D135" s="795"/>
      <c r="E135" s="795"/>
      <c r="F135" s="795"/>
      <c r="G135" s="685"/>
      <c r="H135" s="685"/>
      <c r="I135" s="1103">
        <f>I134/D134-1</f>
        <v>3.5025765468139847E-2</v>
      </c>
      <c r="J135" s="685"/>
      <c r="K135" s="685"/>
      <c r="L135" s="685"/>
      <c r="M135" s="685"/>
      <c r="N135" s="685"/>
      <c r="O135" s="685"/>
      <c r="P135" s="685"/>
      <c r="Q135" s="685"/>
      <c r="R135" s="685"/>
      <c r="S135" s="685"/>
      <c r="T135" s="685"/>
      <c r="U135" s="685"/>
      <c r="V135" s="685"/>
      <c r="W135" s="685"/>
      <c r="X135" s="685"/>
      <c r="Y135" s="685"/>
      <c r="Z135" s="685"/>
      <c r="AA135" s="685"/>
      <c r="AB135" s="685"/>
      <c r="AC135" s="685"/>
      <c r="AD135" s="685"/>
      <c r="AE135" s="685"/>
      <c r="AF135" s="685"/>
      <c r="AG135" s="685"/>
      <c r="AH135" s="685"/>
      <c r="AI135" s="685"/>
      <c r="AJ135" s="685"/>
      <c r="AK135" s="685"/>
      <c r="AL135" s="685"/>
      <c r="AM135" s="685"/>
      <c r="AN135" s="685"/>
      <c r="AO135" s="685"/>
      <c r="AP135" s="685"/>
      <c r="AQ135" s="685"/>
      <c r="AR135" s="685"/>
      <c r="AS135" s="685"/>
      <c r="AT135" s="685"/>
      <c r="AU135" s="685"/>
      <c r="AV135" s="685"/>
      <c r="AW135" s="685"/>
      <c r="AX135" s="685"/>
      <c r="AY135" s="685"/>
      <c r="AZ135" s="685"/>
      <c r="BA135" s="685"/>
      <c r="BB135" s="685"/>
      <c r="BC135" s="685"/>
      <c r="BD135" s="685"/>
      <c r="BE135" s="685"/>
    </row>
    <row r="136" spans="1:57">
      <c r="A136" s="685"/>
      <c r="B136" s="685" t="s">
        <v>2446</v>
      </c>
      <c r="C136" s="795">
        <f>C144*I45</f>
        <v>3847.9787499999989</v>
      </c>
      <c r="D136" s="795">
        <f>D144*J45</f>
        <v>4303.7025000000003</v>
      </c>
      <c r="E136" s="795">
        <f>E144*K45</f>
        <v>2394.1224999999995</v>
      </c>
      <c r="F136" s="795">
        <f>F144*L45</f>
        <v>0</v>
      </c>
      <c r="G136" s="685"/>
      <c r="H136" s="685"/>
      <c r="I136" s="795">
        <f>D136*(1+$I$123)</f>
        <v>4734.0727500000012</v>
      </c>
      <c r="J136" s="685"/>
      <c r="K136" s="685"/>
      <c r="L136" s="685"/>
      <c r="M136" s="685"/>
      <c r="N136" s="685"/>
      <c r="O136" s="685"/>
      <c r="P136" s="685"/>
      <c r="Q136" s="685"/>
      <c r="R136" s="685"/>
      <c r="S136" s="685"/>
      <c r="T136" s="685"/>
      <c r="U136" s="685"/>
      <c r="V136" s="685"/>
      <c r="W136" s="685"/>
      <c r="X136" s="685"/>
      <c r="Y136" s="685"/>
      <c r="Z136" s="685"/>
      <c r="AA136" s="685"/>
      <c r="AB136" s="685"/>
      <c r="AC136" s="685"/>
      <c r="AD136" s="685"/>
      <c r="AE136" s="685"/>
      <c r="AF136" s="685"/>
      <c r="AG136" s="685"/>
      <c r="AH136" s="685"/>
      <c r="AI136" s="685"/>
      <c r="AJ136" s="685"/>
      <c r="AK136" s="685"/>
      <c r="AL136" s="685"/>
      <c r="AM136" s="685"/>
      <c r="AN136" s="685"/>
      <c r="AO136" s="685"/>
      <c r="AP136" s="685"/>
      <c r="AQ136" s="685"/>
      <c r="AR136" s="685"/>
      <c r="AS136" s="685"/>
      <c r="AT136" s="685"/>
      <c r="AU136" s="685"/>
      <c r="AV136" s="685"/>
      <c r="AW136" s="685"/>
      <c r="AX136" s="685"/>
      <c r="AY136" s="685"/>
      <c r="AZ136" s="685"/>
      <c r="BA136" s="685"/>
      <c r="BB136" s="685"/>
      <c r="BC136" s="685"/>
      <c r="BD136" s="685"/>
      <c r="BE136" s="685"/>
    </row>
    <row r="137" spans="1:57">
      <c r="A137" s="685"/>
      <c r="B137" s="685" t="s">
        <v>2447</v>
      </c>
      <c r="C137" s="795">
        <f>C138-C134-C136</f>
        <v>49871.421249999999</v>
      </c>
      <c r="D137" s="795">
        <f>D138-D134-D136</f>
        <v>55296.997499999998</v>
      </c>
      <c r="E137" s="795">
        <f>E138-E134-E136</f>
        <v>57883.877500000002</v>
      </c>
      <c r="F137" s="795">
        <f>F138-F134-F136</f>
        <v>64793</v>
      </c>
      <c r="G137" s="685"/>
      <c r="H137" s="685"/>
      <c r="I137" s="795">
        <f>D137</f>
        <v>55296.997499999998</v>
      </c>
      <c r="J137" s="685"/>
      <c r="K137" s="685"/>
      <c r="L137" s="685"/>
      <c r="M137" s="685"/>
      <c r="N137" s="685"/>
      <c r="O137" s="685"/>
      <c r="P137" s="685"/>
      <c r="Q137" s="685"/>
      <c r="R137" s="685"/>
      <c r="S137" s="685"/>
      <c r="T137" s="685"/>
      <c r="U137" s="685"/>
      <c r="V137" s="685"/>
      <c r="W137" s="685"/>
      <c r="X137" s="685"/>
      <c r="Y137" s="685"/>
      <c r="Z137" s="685"/>
      <c r="AA137" s="685"/>
      <c r="AB137" s="685"/>
      <c r="AC137" s="685"/>
      <c r="AD137" s="685"/>
      <c r="AE137" s="685"/>
      <c r="AF137" s="685"/>
      <c r="AG137" s="685"/>
      <c r="AH137" s="685"/>
      <c r="AI137" s="685"/>
      <c r="AJ137" s="685"/>
      <c r="AK137" s="685"/>
      <c r="AL137" s="685"/>
      <c r="AM137" s="685"/>
      <c r="AN137" s="685"/>
      <c r="AO137" s="685"/>
      <c r="AP137" s="685"/>
      <c r="AQ137" s="685"/>
      <c r="AR137" s="685"/>
      <c r="AS137" s="685"/>
      <c r="AT137" s="685"/>
      <c r="AU137" s="685"/>
      <c r="AV137" s="685"/>
      <c r="AW137" s="685"/>
      <c r="AX137" s="685"/>
      <c r="AY137" s="685"/>
      <c r="AZ137" s="685"/>
      <c r="BA137" s="685"/>
      <c r="BB137" s="685"/>
      <c r="BC137" s="685"/>
      <c r="BD137" s="685"/>
      <c r="BE137" s="685"/>
    </row>
    <row r="138" spans="1:57" ht="15.75" thickBot="1">
      <c r="A138" s="685"/>
      <c r="B138" s="817" t="s">
        <v>1611</v>
      </c>
      <c r="C138" s="818">
        <f>Master!N132</f>
        <v>88052</v>
      </c>
      <c r="D138" s="818">
        <f>Master!O132</f>
        <v>96287.4</v>
      </c>
      <c r="E138" s="818">
        <f>Master!P132</f>
        <v>94275</v>
      </c>
      <c r="F138" s="818">
        <f>Master!Q132</f>
        <v>101310</v>
      </c>
      <c r="G138" s="685"/>
      <c r="H138" s="685"/>
      <c r="I138" s="818">
        <f>I134+I136+I137</f>
        <v>98002.75</v>
      </c>
      <c r="J138" s="685"/>
      <c r="K138" s="685"/>
      <c r="L138" s="685"/>
      <c r="M138" s="685"/>
      <c r="N138" s="685"/>
      <c r="O138" s="685"/>
      <c r="P138" s="685"/>
      <c r="Q138" s="685"/>
      <c r="R138" s="685"/>
      <c r="S138" s="685"/>
      <c r="T138" s="685"/>
      <c r="U138" s="685"/>
      <c r="V138" s="685"/>
      <c r="W138" s="685"/>
      <c r="X138" s="685"/>
      <c r="Y138" s="685"/>
      <c r="Z138" s="685"/>
      <c r="AA138" s="685"/>
      <c r="AB138" s="685"/>
      <c r="AC138" s="685"/>
      <c r="AD138" s="685"/>
      <c r="AE138" s="685"/>
      <c r="AF138" s="685"/>
      <c r="AG138" s="685"/>
      <c r="AH138" s="685"/>
      <c r="AI138" s="685"/>
      <c r="AJ138" s="685"/>
      <c r="AK138" s="685"/>
      <c r="AL138" s="685"/>
      <c r="AM138" s="685"/>
      <c r="AN138" s="685"/>
      <c r="AO138" s="685"/>
      <c r="AP138" s="685"/>
      <c r="AQ138" s="685"/>
      <c r="AR138" s="685"/>
      <c r="AS138" s="685"/>
      <c r="AT138" s="685"/>
      <c r="AU138" s="685"/>
      <c r="AV138" s="685"/>
      <c r="AW138" s="685"/>
      <c r="AX138" s="685"/>
      <c r="AY138" s="685"/>
      <c r="AZ138" s="685"/>
      <c r="BA138" s="685"/>
      <c r="BB138" s="685"/>
      <c r="BC138" s="685"/>
      <c r="BD138" s="685"/>
      <c r="BE138" s="685"/>
    </row>
    <row r="139" spans="1:57" ht="15.75" thickBot="1">
      <c r="A139" s="685"/>
      <c r="B139" s="685" t="s">
        <v>192</v>
      </c>
      <c r="C139" s="795"/>
      <c r="D139" s="795"/>
      <c r="E139" s="685"/>
      <c r="F139" s="685"/>
      <c r="G139" s="685"/>
      <c r="H139" s="685"/>
      <c r="I139" s="1103">
        <f>I138/D138-1</f>
        <v>1.7814895822298782E-2</v>
      </c>
      <c r="J139" s="685"/>
      <c r="K139" s="685"/>
      <c r="L139" s="685"/>
      <c r="M139" s="685"/>
      <c r="N139" s="685"/>
      <c r="O139" s="685"/>
      <c r="P139" s="685"/>
      <c r="Q139" s="685"/>
      <c r="R139" s="685"/>
      <c r="S139" s="685"/>
      <c r="T139" s="685"/>
      <c r="U139" s="685"/>
      <c r="V139" s="685"/>
      <c r="W139" s="685"/>
      <c r="X139" s="685"/>
      <c r="Y139" s="685"/>
      <c r="Z139" s="685"/>
      <c r="AA139" s="685"/>
      <c r="AB139" s="685"/>
      <c r="AC139" s="685"/>
      <c r="AD139" s="685"/>
      <c r="AE139" s="685"/>
      <c r="AF139" s="685"/>
      <c r="AG139" s="685"/>
      <c r="AH139" s="685"/>
      <c r="AI139" s="685"/>
      <c r="AJ139" s="685"/>
      <c r="AK139" s="685"/>
      <c r="AL139" s="685"/>
      <c r="AM139" s="685"/>
      <c r="AN139" s="685"/>
      <c r="AO139" s="685"/>
      <c r="AP139" s="685"/>
      <c r="AQ139" s="685"/>
      <c r="AR139" s="685"/>
      <c r="AS139" s="685"/>
      <c r="AT139" s="685"/>
      <c r="AU139" s="685"/>
      <c r="AV139" s="685"/>
      <c r="AW139" s="685"/>
      <c r="AX139" s="685"/>
      <c r="AY139" s="685"/>
      <c r="AZ139" s="685"/>
      <c r="BA139" s="685"/>
      <c r="BB139" s="685"/>
      <c r="BC139" s="685"/>
      <c r="BD139" s="685"/>
      <c r="BE139" s="685"/>
    </row>
    <row r="140" spans="1:57">
      <c r="A140" s="685"/>
      <c r="B140" s="685"/>
      <c r="C140" s="795"/>
      <c r="D140" s="795"/>
      <c r="E140" s="795"/>
      <c r="F140" s="685"/>
      <c r="G140" s="685"/>
      <c r="H140" s="685"/>
      <c r="I140" s="685"/>
      <c r="J140" s="685"/>
      <c r="K140" s="685"/>
      <c r="L140" s="685"/>
      <c r="M140" s="685"/>
      <c r="N140" s="685"/>
      <c r="O140" s="685"/>
      <c r="P140" s="685"/>
      <c r="Q140" s="685"/>
      <c r="R140" s="685"/>
      <c r="S140" s="685"/>
      <c r="T140" s="685"/>
      <c r="U140" s="685"/>
      <c r="V140" s="685"/>
      <c r="W140" s="685"/>
      <c r="X140" s="685"/>
      <c r="Y140" s="685"/>
      <c r="Z140" s="685"/>
      <c r="AA140" s="685"/>
      <c r="AB140" s="685"/>
      <c r="AC140" s="685"/>
      <c r="AD140" s="685"/>
      <c r="AE140" s="685"/>
      <c r="AF140" s="685"/>
      <c r="AG140" s="685"/>
      <c r="AH140" s="685"/>
      <c r="AI140" s="685"/>
      <c r="AJ140" s="685"/>
      <c r="AK140" s="685"/>
      <c r="AL140" s="685"/>
      <c r="AM140" s="685"/>
      <c r="AN140" s="685"/>
      <c r="AO140" s="685"/>
      <c r="AP140" s="685"/>
      <c r="AQ140" s="685"/>
      <c r="AR140" s="685"/>
      <c r="AS140" s="685"/>
      <c r="AT140" s="685"/>
      <c r="AU140" s="685"/>
      <c r="AV140" s="685"/>
      <c r="AW140" s="685"/>
      <c r="AX140" s="685"/>
      <c r="AY140" s="685"/>
      <c r="AZ140" s="685"/>
      <c r="BA140" s="685"/>
      <c r="BB140" s="685"/>
      <c r="BC140" s="685"/>
      <c r="BD140" s="685"/>
      <c r="BE140" s="685"/>
    </row>
    <row r="141" spans="1:57">
      <c r="A141" s="685"/>
      <c r="B141" s="685" t="s">
        <v>2448</v>
      </c>
      <c r="C141" s="795">
        <f>C128+C131+C132+C125</f>
        <v>11117.43125</v>
      </c>
      <c r="D141" s="795">
        <f>D128+D131+D132+D125</f>
        <v>12849.797500000001</v>
      </c>
      <c r="E141" s="795">
        <f>E128+E131+E132+E125</f>
        <v>12499.077499999999</v>
      </c>
      <c r="F141" s="795">
        <f>F128+F131+F132+F125</f>
        <v>14272.824999999999</v>
      </c>
      <c r="G141" s="685"/>
      <c r="H141" s="685"/>
      <c r="I141" s="685"/>
      <c r="J141" s="685"/>
      <c r="K141" s="685"/>
      <c r="L141" s="685"/>
      <c r="M141" s="685"/>
      <c r="N141" s="685"/>
      <c r="O141" s="685"/>
      <c r="P141" s="685"/>
      <c r="Q141" s="685"/>
      <c r="R141" s="685"/>
      <c r="S141" s="685"/>
      <c r="T141" s="685"/>
      <c r="U141" s="685"/>
      <c r="V141" s="685"/>
      <c r="W141" s="685"/>
      <c r="X141" s="685"/>
      <c r="Y141" s="685"/>
      <c r="Z141" s="685"/>
      <c r="AA141" s="685"/>
      <c r="AB141" s="685"/>
      <c r="AC141" s="685"/>
      <c r="AD141" s="685"/>
      <c r="AE141" s="685"/>
      <c r="AF141" s="685"/>
      <c r="AG141" s="685"/>
      <c r="AH141" s="685"/>
      <c r="AI141" s="685"/>
      <c r="AJ141" s="685"/>
      <c r="AK141" s="685"/>
      <c r="AL141" s="685"/>
      <c r="AM141" s="685"/>
      <c r="AN141" s="685"/>
      <c r="AO141" s="685"/>
      <c r="AP141" s="685"/>
      <c r="AQ141" s="685"/>
      <c r="AR141" s="685"/>
      <c r="AS141" s="685"/>
      <c r="AT141" s="685"/>
      <c r="AU141" s="685"/>
      <c r="AV141" s="685"/>
      <c r="AW141" s="685"/>
      <c r="AX141" s="685"/>
      <c r="AY141" s="685"/>
      <c r="AZ141" s="685"/>
      <c r="BA141" s="685"/>
      <c r="BB141" s="685"/>
      <c r="BC141" s="685"/>
      <c r="BD141" s="685"/>
      <c r="BE141" s="685"/>
    </row>
    <row r="142" spans="1:57">
      <c r="A142" s="685"/>
      <c r="B142" s="787" t="s">
        <v>2093</v>
      </c>
      <c r="C142" s="795"/>
      <c r="D142" s="795"/>
      <c r="E142" s="795"/>
      <c r="F142" s="685"/>
      <c r="G142" s="685"/>
      <c r="H142" s="685"/>
      <c r="I142" s="685"/>
      <c r="J142" s="685"/>
      <c r="K142" s="685"/>
      <c r="L142" s="685"/>
      <c r="M142" s="685"/>
      <c r="N142" s="685"/>
      <c r="O142" s="685"/>
      <c r="P142" s="685"/>
      <c r="Q142" s="685"/>
      <c r="R142" s="685"/>
      <c r="S142" s="685"/>
      <c r="T142" s="685"/>
      <c r="U142" s="685"/>
      <c r="V142" s="685"/>
      <c r="W142" s="685"/>
      <c r="X142" s="685"/>
      <c r="Y142" s="685"/>
      <c r="Z142" s="685"/>
      <c r="AA142" s="685"/>
      <c r="AB142" s="685"/>
      <c r="AC142" s="685"/>
      <c r="AD142" s="685"/>
      <c r="AE142" s="685"/>
      <c r="AF142" s="685"/>
      <c r="AG142" s="685"/>
      <c r="AH142" s="685"/>
      <c r="AI142" s="685"/>
      <c r="AJ142" s="685"/>
      <c r="AK142" s="685"/>
      <c r="AL142" s="685"/>
      <c r="AM142" s="685"/>
      <c r="AN142" s="685"/>
      <c r="AO142" s="685"/>
      <c r="AP142" s="685"/>
      <c r="AQ142" s="685"/>
      <c r="AR142" s="685"/>
      <c r="AS142" s="685"/>
      <c r="AT142" s="685"/>
      <c r="AU142" s="685"/>
      <c r="AV142" s="685"/>
      <c r="AW142" s="685"/>
      <c r="AX142" s="685"/>
      <c r="AY142" s="685"/>
      <c r="AZ142" s="685"/>
      <c r="BA142" s="685"/>
      <c r="BB142" s="685"/>
      <c r="BC142" s="685"/>
      <c r="BD142" s="685"/>
      <c r="BE142" s="685"/>
    </row>
    <row r="143" spans="1:57">
      <c r="A143" s="685"/>
      <c r="B143" s="685" t="s">
        <v>2449</v>
      </c>
      <c r="C143" s="795">
        <f>C141/I45</f>
        <v>700.53126969124139</v>
      </c>
      <c r="D143" s="795">
        <f>D141/J45</f>
        <v>681.68687002652518</v>
      </c>
      <c r="E143" s="795">
        <f>E141/K45</f>
        <v>661.32685185185187</v>
      </c>
      <c r="F143" s="795">
        <f>F141/L45</f>
        <v>741.44545454545448</v>
      </c>
      <c r="G143" s="685"/>
      <c r="H143" s="685"/>
      <c r="I143" s="685"/>
      <c r="J143" s="685"/>
      <c r="K143" s="685"/>
      <c r="L143" s="685"/>
      <c r="M143" s="685"/>
      <c r="N143" s="685"/>
      <c r="O143" s="685"/>
      <c r="P143" s="685"/>
      <c r="Q143" s="685"/>
      <c r="R143" s="685"/>
      <c r="S143" s="685"/>
      <c r="T143" s="685"/>
      <c r="U143" s="685"/>
      <c r="V143" s="685"/>
      <c r="W143" s="685"/>
      <c r="X143" s="685"/>
      <c r="Y143" s="685"/>
      <c r="Z143" s="685"/>
      <c r="AA143" s="685"/>
      <c r="AB143" s="685"/>
      <c r="AC143" s="685"/>
      <c r="AD143" s="685"/>
      <c r="AE143" s="685"/>
      <c r="AF143" s="685"/>
      <c r="AG143" s="685"/>
      <c r="AH143" s="685"/>
      <c r="AI143" s="685"/>
      <c r="AJ143" s="685"/>
      <c r="AK143" s="685"/>
      <c r="AL143" s="685"/>
      <c r="AM143" s="685"/>
      <c r="AN143" s="685"/>
      <c r="AO143" s="685"/>
      <c r="AP143" s="685"/>
      <c r="AQ143" s="685"/>
      <c r="AR143" s="685"/>
      <c r="AS143" s="685"/>
      <c r="AT143" s="685"/>
      <c r="AU143" s="685"/>
      <c r="AV143" s="685"/>
      <c r="AW143" s="685"/>
      <c r="AX143" s="685"/>
      <c r="AY143" s="685"/>
      <c r="AZ143" s="685"/>
      <c r="BA143" s="685"/>
      <c r="BB143" s="685"/>
      <c r="BC143" s="685"/>
      <c r="BD143" s="685"/>
      <c r="BE143" s="685"/>
    </row>
    <row r="144" spans="1:57">
      <c r="A144" s="685"/>
      <c r="B144" s="743" t="s">
        <v>2450</v>
      </c>
      <c r="C144" s="833">
        <f>C145-C143</f>
        <v>242.46873030875861</v>
      </c>
      <c r="D144" s="833">
        <f>D145-D143</f>
        <v>228.31312997347482</v>
      </c>
      <c r="E144" s="833">
        <f>E145-E143</f>
        <v>126.67314814814813</v>
      </c>
      <c r="F144" s="685"/>
      <c r="G144" s="685"/>
      <c r="H144" s="685"/>
      <c r="I144" s="685"/>
      <c r="J144" s="685"/>
      <c r="K144" s="685"/>
      <c r="L144" s="685"/>
      <c r="M144" s="685"/>
      <c r="N144" s="685"/>
      <c r="O144" s="685"/>
      <c r="P144" s="685"/>
      <c r="Q144" s="685"/>
      <c r="R144" s="685"/>
      <c r="S144" s="685"/>
      <c r="T144" s="685"/>
      <c r="U144" s="685"/>
      <c r="V144" s="685"/>
      <c r="W144" s="685"/>
      <c r="X144" s="685"/>
      <c r="Y144" s="685"/>
      <c r="Z144" s="685"/>
      <c r="AA144" s="685"/>
      <c r="AB144" s="685"/>
      <c r="AC144" s="685"/>
      <c r="AD144" s="685"/>
      <c r="AE144" s="685"/>
      <c r="AF144" s="685"/>
      <c r="AG144" s="685"/>
      <c r="AH144" s="685"/>
      <c r="AI144" s="685"/>
      <c r="AJ144" s="685"/>
      <c r="AK144" s="685"/>
      <c r="AL144" s="685"/>
      <c r="AM144" s="685"/>
      <c r="AN144" s="685"/>
      <c r="AO144" s="685"/>
      <c r="AP144" s="685"/>
      <c r="AQ144" s="685"/>
      <c r="AR144" s="685"/>
      <c r="AS144" s="685"/>
      <c r="AT144" s="685"/>
      <c r="AU144" s="685"/>
      <c r="AV144" s="685"/>
      <c r="AW144" s="685"/>
      <c r="AX144" s="685"/>
      <c r="AY144" s="685"/>
      <c r="AZ144" s="685"/>
      <c r="BA144" s="685"/>
      <c r="BB144" s="685"/>
      <c r="BC144" s="685"/>
      <c r="BD144" s="685"/>
      <c r="BE144" s="685"/>
    </row>
    <row r="145" spans="1:57">
      <c r="A145" s="685"/>
      <c r="B145" s="685" t="s">
        <v>2451</v>
      </c>
      <c r="C145" s="910">
        <v>943</v>
      </c>
      <c r="D145" s="910">
        <v>910</v>
      </c>
      <c r="E145" s="910">
        <v>788</v>
      </c>
      <c r="F145" s="685"/>
      <c r="G145" s="685"/>
      <c r="H145" s="685"/>
      <c r="I145" s="685"/>
      <c r="J145" s="685"/>
      <c r="K145" s="685"/>
      <c r="L145" s="685"/>
      <c r="M145" s="685"/>
      <c r="N145" s="685"/>
      <c r="O145" s="685"/>
      <c r="P145" s="685"/>
      <c r="Q145" s="685"/>
      <c r="R145" s="685"/>
      <c r="S145" s="685"/>
      <c r="T145" s="685"/>
      <c r="U145" s="685"/>
      <c r="V145" s="685"/>
      <c r="W145" s="685"/>
      <c r="X145" s="685"/>
      <c r="Y145" s="685"/>
      <c r="Z145" s="685"/>
      <c r="AA145" s="685"/>
      <c r="AB145" s="685"/>
      <c r="AC145" s="685"/>
      <c r="AD145" s="685"/>
      <c r="AE145" s="685"/>
      <c r="AF145" s="685"/>
      <c r="AG145" s="685"/>
      <c r="AH145" s="685"/>
      <c r="AI145" s="685"/>
      <c r="AJ145" s="685"/>
      <c r="AK145" s="685"/>
      <c r="AL145" s="685"/>
      <c r="AM145" s="685"/>
      <c r="AN145" s="685"/>
      <c r="AO145" s="685"/>
      <c r="AP145" s="685"/>
      <c r="AQ145" s="685"/>
      <c r="AR145" s="685"/>
      <c r="AS145" s="685"/>
      <c r="AT145" s="685"/>
      <c r="AU145" s="685"/>
      <c r="AV145" s="685"/>
      <c r="AW145" s="685"/>
      <c r="AX145" s="685"/>
      <c r="AY145" s="685"/>
      <c r="AZ145" s="685"/>
      <c r="BA145" s="685"/>
      <c r="BB145" s="685"/>
      <c r="BC145" s="685"/>
      <c r="BD145" s="685"/>
      <c r="BE145" s="685"/>
    </row>
    <row r="146" spans="1:57">
      <c r="A146" s="685"/>
      <c r="B146" s="685"/>
      <c r="C146" s="685"/>
      <c r="D146" s="685"/>
      <c r="E146" s="685"/>
      <c r="F146" s="685"/>
      <c r="G146" s="685"/>
      <c r="H146" s="685"/>
      <c r="I146" s="685"/>
      <c r="J146" s="685"/>
      <c r="K146" s="685"/>
      <c r="L146" s="685"/>
      <c r="M146" s="685"/>
      <c r="N146" s="685"/>
      <c r="O146" s="685"/>
      <c r="P146" s="685"/>
      <c r="Q146" s="685"/>
      <c r="R146" s="685"/>
      <c r="S146" s="685"/>
      <c r="T146" s="685"/>
      <c r="U146" s="685"/>
      <c r="V146" s="685"/>
      <c r="W146" s="685"/>
      <c r="X146" s="685"/>
      <c r="Y146" s="685"/>
      <c r="Z146" s="685"/>
      <c r="AA146" s="685"/>
      <c r="AB146" s="685"/>
      <c r="AC146" s="685"/>
      <c r="AD146" s="685"/>
      <c r="AE146" s="685"/>
      <c r="AF146" s="685"/>
      <c r="AG146" s="685"/>
      <c r="AH146" s="685"/>
      <c r="AI146" s="685"/>
      <c r="AJ146" s="685"/>
      <c r="AK146" s="685"/>
      <c r="AL146" s="685"/>
      <c r="AM146" s="685"/>
      <c r="AN146" s="685"/>
      <c r="AO146" s="685"/>
      <c r="AP146" s="685"/>
      <c r="AQ146" s="685"/>
      <c r="AR146" s="685"/>
      <c r="AS146" s="685"/>
      <c r="AT146" s="685"/>
      <c r="AU146" s="685"/>
      <c r="AV146" s="685"/>
      <c r="AW146" s="685"/>
      <c r="AX146" s="685"/>
      <c r="AY146" s="685"/>
      <c r="AZ146" s="685"/>
      <c r="BA146" s="685"/>
      <c r="BB146" s="685"/>
      <c r="BC146" s="685"/>
      <c r="BD146" s="685"/>
      <c r="BE146" s="685"/>
    </row>
    <row r="147" spans="1:57">
      <c r="A147" s="685"/>
      <c r="B147" s="817"/>
      <c r="C147" s="817"/>
      <c r="D147" s="817"/>
      <c r="E147" s="817"/>
      <c r="F147" s="685"/>
      <c r="G147" s="685"/>
      <c r="H147" s="685"/>
      <c r="I147" s="685"/>
      <c r="J147" s="685"/>
      <c r="K147" s="685"/>
      <c r="L147" s="685"/>
      <c r="M147" s="685"/>
      <c r="N147" s="685"/>
      <c r="O147" s="685"/>
      <c r="P147" s="685"/>
      <c r="Q147" s="685"/>
      <c r="R147" s="685"/>
      <c r="S147" s="685"/>
      <c r="T147" s="685"/>
      <c r="U147" s="685"/>
      <c r="V147" s="685"/>
      <c r="W147" s="685"/>
      <c r="X147" s="685"/>
      <c r="Y147" s="685"/>
      <c r="Z147" s="685"/>
      <c r="AA147" s="685"/>
      <c r="AB147" s="685"/>
      <c r="AC147" s="685"/>
      <c r="AD147" s="685"/>
      <c r="AE147" s="685"/>
      <c r="AF147" s="685"/>
      <c r="AG147" s="685"/>
      <c r="AH147" s="685"/>
      <c r="AI147" s="685"/>
      <c r="AJ147" s="685"/>
      <c r="AK147" s="685"/>
      <c r="AL147" s="685"/>
      <c r="AM147" s="685"/>
      <c r="AN147" s="685"/>
      <c r="AO147" s="685"/>
      <c r="AP147" s="685"/>
      <c r="AQ147" s="685"/>
      <c r="AR147" s="685"/>
      <c r="AS147" s="685"/>
      <c r="AT147" s="685"/>
      <c r="AU147" s="685"/>
      <c r="AV147" s="685"/>
      <c r="AW147" s="685"/>
      <c r="AX147" s="685"/>
      <c r="AY147" s="685"/>
      <c r="AZ147" s="685"/>
      <c r="BA147" s="685"/>
      <c r="BB147" s="685"/>
      <c r="BC147" s="685"/>
      <c r="BD147" s="685"/>
      <c r="BE147" s="685"/>
    </row>
    <row r="148" spans="1:57">
      <c r="A148" s="685"/>
      <c r="B148" s="804" t="s">
        <v>779</v>
      </c>
      <c r="C148" s="804">
        <f>C123</f>
        <v>2015</v>
      </c>
      <c r="D148" s="804">
        <f>D123</f>
        <v>2016</v>
      </c>
      <c r="E148" s="804">
        <f>E123</f>
        <v>2017</v>
      </c>
      <c r="F148" s="685"/>
      <c r="G148" s="685"/>
      <c r="H148" s="685"/>
      <c r="I148" s="685"/>
      <c r="J148" s="685"/>
      <c r="K148" s="685"/>
      <c r="L148" s="685"/>
      <c r="M148" s="685"/>
      <c r="N148" s="685"/>
      <c r="O148" s="685"/>
      <c r="P148" s="685"/>
      <c r="Q148" s="685"/>
      <c r="R148" s="685"/>
      <c r="S148" s="685"/>
      <c r="T148" s="685"/>
      <c r="U148" s="685"/>
      <c r="V148" s="685"/>
      <c r="W148" s="685"/>
      <c r="X148" s="685"/>
      <c r="Y148" s="685"/>
      <c r="Z148" s="685"/>
      <c r="AA148" s="685"/>
      <c r="AB148" s="685"/>
      <c r="AC148" s="685"/>
      <c r="AD148" s="685"/>
      <c r="AE148" s="685"/>
      <c r="AF148" s="685"/>
      <c r="AG148" s="685"/>
      <c r="AH148" s="685"/>
      <c r="AI148" s="685"/>
      <c r="AJ148" s="685"/>
      <c r="AK148" s="685"/>
      <c r="AL148" s="685"/>
      <c r="AM148" s="685"/>
      <c r="AN148" s="685"/>
      <c r="AO148" s="685"/>
      <c r="AP148" s="685"/>
      <c r="AQ148" s="685"/>
      <c r="AR148" s="685"/>
      <c r="AS148" s="685"/>
      <c r="AT148" s="685"/>
      <c r="AU148" s="685"/>
      <c r="AV148" s="685"/>
      <c r="AW148" s="685"/>
      <c r="AX148" s="685"/>
      <c r="AY148" s="685"/>
      <c r="AZ148" s="685"/>
      <c r="BA148" s="685"/>
      <c r="BB148" s="685"/>
      <c r="BC148" s="685"/>
      <c r="BD148" s="685"/>
      <c r="BE148" s="685"/>
    </row>
    <row r="149" spans="1:57">
      <c r="A149" s="685"/>
      <c r="B149" s="817" t="s">
        <v>2452</v>
      </c>
      <c r="C149" s="818">
        <f>I34</f>
        <v>19768.399999999998</v>
      </c>
      <c r="D149" s="818">
        <f>J34</f>
        <v>21938.699999999997</v>
      </c>
      <c r="E149" s="818">
        <f>K34</f>
        <v>21172</v>
      </c>
      <c r="F149" s="685"/>
      <c r="G149" s="685"/>
      <c r="H149" s="685"/>
      <c r="I149" s="685"/>
      <c r="J149" s="685"/>
      <c r="K149" s="685"/>
      <c r="L149" s="685"/>
      <c r="M149" s="685"/>
      <c r="N149" s="685"/>
      <c r="O149" s="685"/>
      <c r="P149" s="685"/>
      <c r="Q149" s="685"/>
      <c r="R149" s="685"/>
      <c r="S149" s="685"/>
      <c r="T149" s="685"/>
      <c r="U149" s="685"/>
      <c r="V149" s="685"/>
      <c r="W149" s="685"/>
      <c r="X149" s="685"/>
      <c r="Y149" s="685"/>
      <c r="Z149" s="685"/>
      <c r="AA149" s="685"/>
      <c r="AB149" s="685"/>
      <c r="AC149" s="685"/>
      <c r="AD149" s="685"/>
      <c r="AE149" s="685"/>
      <c r="AF149" s="685"/>
      <c r="AG149" s="685"/>
      <c r="AH149" s="685"/>
      <c r="AI149" s="685"/>
      <c r="AJ149" s="685"/>
      <c r="AK149" s="685"/>
      <c r="AL149" s="685"/>
      <c r="AM149" s="685"/>
      <c r="AN149" s="685"/>
      <c r="AO149" s="685"/>
      <c r="AP149" s="685"/>
      <c r="AQ149" s="685"/>
      <c r="AR149" s="685"/>
      <c r="AS149" s="685"/>
      <c r="AT149" s="685"/>
      <c r="AU149" s="685"/>
      <c r="AV149" s="685"/>
      <c r="AW149" s="685"/>
      <c r="AX149" s="685"/>
      <c r="AY149" s="685"/>
      <c r="AZ149" s="685"/>
      <c r="BA149" s="685"/>
      <c r="BB149" s="685"/>
      <c r="BC149" s="685"/>
      <c r="BD149" s="685"/>
      <c r="BE149" s="685"/>
    </row>
    <row r="150" spans="1:57">
      <c r="A150" s="685"/>
      <c r="B150" s="685" t="s">
        <v>2453</v>
      </c>
      <c r="C150" s="925">
        <v>0.2</v>
      </c>
      <c r="D150" s="925">
        <v>0.2</v>
      </c>
      <c r="E150" s="925">
        <v>0.2</v>
      </c>
      <c r="F150" s="685"/>
      <c r="G150" s="685"/>
      <c r="H150" s="685"/>
      <c r="I150" s="685"/>
      <c r="J150" s="685"/>
      <c r="K150" s="685"/>
      <c r="L150" s="685"/>
      <c r="M150" s="685"/>
      <c r="N150" s="685"/>
      <c r="O150" s="685"/>
      <c r="P150" s="685"/>
      <c r="Q150" s="685"/>
      <c r="R150" s="685"/>
      <c r="S150" s="685"/>
      <c r="T150" s="685"/>
      <c r="U150" s="685"/>
      <c r="V150" s="685"/>
      <c r="W150" s="685"/>
      <c r="X150" s="685"/>
      <c r="Y150" s="685"/>
      <c r="Z150" s="685"/>
      <c r="AA150" s="685"/>
      <c r="AB150" s="685"/>
      <c r="AC150" s="685"/>
      <c r="AD150" s="685"/>
      <c r="AE150" s="685"/>
      <c r="AF150" s="685"/>
      <c r="AG150" s="685"/>
      <c r="AH150" s="685"/>
      <c r="AI150" s="685"/>
      <c r="AJ150" s="685"/>
      <c r="AK150" s="685"/>
      <c r="AL150" s="685"/>
      <c r="AM150" s="685"/>
      <c r="AN150" s="685"/>
      <c r="AO150" s="685"/>
      <c r="AP150" s="685"/>
      <c r="AQ150" s="685"/>
      <c r="AR150" s="685"/>
      <c r="AS150" s="685"/>
      <c r="AT150" s="685"/>
      <c r="AU150" s="685"/>
      <c r="AV150" s="685"/>
      <c r="AW150" s="685"/>
      <c r="AX150" s="685"/>
      <c r="AY150" s="685"/>
      <c r="AZ150" s="685"/>
      <c r="BA150" s="685"/>
      <c r="BB150" s="685"/>
      <c r="BC150" s="685"/>
      <c r="BD150" s="685"/>
      <c r="BE150" s="685"/>
    </row>
    <row r="151" spans="1:57">
      <c r="A151" s="685"/>
      <c r="B151" s="924" t="s">
        <v>2454</v>
      </c>
      <c r="C151" s="795">
        <f>C150*C149</f>
        <v>3953.68</v>
      </c>
      <c r="D151" s="795">
        <f>D150*D149</f>
        <v>4387.74</v>
      </c>
      <c r="E151" s="795">
        <f>E150*E149</f>
        <v>4234.4000000000005</v>
      </c>
      <c r="F151" s="685"/>
      <c r="G151" s="685"/>
      <c r="H151" s="685"/>
      <c r="I151" s="685"/>
      <c r="J151" s="685"/>
      <c r="K151" s="685"/>
      <c r="L151" s="685"/>
      <c r="M151" s="685"/>
      <c r="N151" s="685"/>
      <c r="O151" s="685"/>
      <c r="P151" s="685"/>
      <c r="Q151" s="685"/>
      <c r="R151" s="685"/>
      <c r="S151" s="685"/>
      <c r="T151" s="685"/>
      <c r="U151" s="685"/>
      <c r="V151" s="685"/>
      <c r="W151" s="685"/>
      <c r="X151" s="685"/>
      <c r="Y151" s="685"/>
      <c r="Z151" s="685"/>
      <c r="AA151" s="685"/>
      <c r="AB151" s="685"/>
      <c r="AC151" s="685"/>
      <c r="AD151" s="685"/>
      <c r="AE151" s="685"/>
      <c r="AF151" s="685"/>
      <c r="AG151" s="685"/>
      <c r="AH151" s="685"/>
      <c r="AI151" s="685"/>
      <c r="AJ151" s="685"/>
      <c r="AK151" s="685"/>
      <c r="AL151" s="685"/>
      <c r="AM151" s="685"/>
      <c r="AN151" s="685"/>
      <c r="AO151" s="685"/>
      <c r="AP151" s="685"/>
      <c r="AQ151" s="685"/>
      <c r="AR151" s="685"/>
      <c r="AS151" s="685"/>
      <c r="AT151" s="685"/>
      <c r="AU151" s="685"/>
      <c r="AV151" s="685"/>
      <c r="AW151" s="685"/>
      <c r="AX151" s="685"/>
      <c r="AY151" s="685"/>
      <c r="AZ151" s="685"/>
      <c r="BA151" s="685"/>
      <c r="BB151" s="685"/>
      <c r="BC151" s="685"/>
      <c r="BD151" s="685"/>
      <c r="BE151" s="685"/>
    </row>
    <row r="152" spans="1:57">
      <c r="A152" s="685"/>
      <c r="B152" s="924" t="s">
        <v>2455</v>
      </c>
      <c r="C152" s="795">
        <f>C149-C151</f>
        <v>15814.719999999998</v>
      </c>
      <c r="D152" s="795">
        <f>D149-D151</f>
        <v>17550.96</v>
      </c>
      <c r="E152" s="795">
        <f>E149-E151</f>
        <v>16937.599999999999</v>
      </c>
      <c r="F152" s="685"/>
      <c r="G152" s="685"/>
      <c r="H152" s="685"/>
      <c r="I152" s="685"/>
      <c r="J152" s="685"/>
      <c r="K152" s="685"/>
      <c r="L152" s="685"/>
      <c r="M152" s="685"/>
      <c r="N152" s="685"/>
      <c r="O152" s="685"/>
      <c r="P152" s="685"/>
      <c r="Q152" s="685"/>
      <c r="R152" s="685"/>
      <c r="S152" s="685"/>
      <c r="T152" s="685"/>
      <c r="U152" s="685"/>
      <c r="V152" s="685"/>
      <c r="W152" s="685"/>
      <c r="X152" s="685"/>
      <c r="Y152" s="685"/>
      <c r="Z152" s="685"/>
      <c r="AA152" s="685"/>
      <c r="AB152" s="685"/>
      <c r="AC152" s="685"/>
      <c r="AD152" s="685"/>
      <c r="AE152" s="685"/>
      <c r="AF152" s="685"/>
      <c r="AG152" s="685"/>
      <c r="AH152" s="685"/>
      <c r="AI152" s="685"/>
      <c r="AJ152" s="685"/>
      <c r="AK152" s="685"/>
      <c r="AL152" s="685"/>
      <c r="AM152" s="685"/>
      <c r="AN152" s="685"/>
      <c r="AO152" s="685"/>
      <c r="AP152" s="685"/>
      <c r="AQ152" s="685"/>
      <c r="AR152" s="685"/>
      <c r="AS152" s="685"/>
      <c r="AT152" s="685"/>
      <c r="AU152" s="685"/>
      <c r="AV152" s="685"/>
      <c r="AW152" s="685"/>
      <c r="AX152" s="685"/>
      <c r="AY152" s="685"/>
      <c r="AZ152" s="685"/>
      <c r="BA152" s="685"/>
      <c r="BB152" s="685"/>
      <c r="BC152" s="685"/>
      <c r="BD152" s="685"/>
      <c r="BE152" s="685"/>
    </row>
    <row r="153" spans="1:57">
      <c r="A153" s="685"/>
      <c r="B153" s="817"/>
      <c r="C153" s="795"/>
      <c r="D153" s="795"/>
      <c r="E153" s="795"/>
      <c r="F153" s="685"/>
      <c r="G153" s="685"/>
      <c r="H153" s="685"/>
      <c r="I153" s="685"/>
      <c r="J153" s="685"/>
      <c r="K153" s="685"/>
      <c r="L153" s="685"/>
      <c r="M153" s="685"/>
      <c r="N153" s="685"/>
      <c r="O153" s="685"/>
      <c r="P153" s="685"/>
      <c r="Q153" s="685"/>
      <c r="R153" s="685"/>
      <c r="S153" s="685"/>
      <c r="T153" s="685"/>
      <c r="U153" s="685"/>
      <c r="V153" s="685"/>
      <c r="W153" s="685"/>
      <c r="X153" s="685"/>
      <c r="Y153" s="685"/>
      <c r="Z153" s="685"/>
      <c r="AA153" s="685"/>
      <c r="AB153" s="685"/>
      <c r="AC153" s="685"/>
      <c r="AD153" s="685"/>
      <c r="AE153" s="685"/>
      <c r="AF153" s="685"/>
      <c r="AG153" s="685"/>
      <c r="AH153" s="685"/>
      <c r="AI153" s="685"/>
      <c r="AJ153" s="685"/>
      <c r="AK153" s="685"/>
      <c r="AL153" s="685"/>
      <c r="AM153" s="685"/>
      <c r="AN153" s="685"/>
      <c r="AO153" s="685"/>
      <c r="AP153" s="685"/>
      <c r="AQ153" s="685"/>
      <c r="AR153" s="685"/>
      <c r="AS153" s="685"/>
      <c r="AT153" s="685"/>
      <c r="AU153" s="685"/>
      <c r="AV153" s="685"/>
      <c r="AW153" s="685"/>
      <c r="AX153" s="685"/>
      <c r="AY153" s="685"/>
      <c r="AZ153" s="685"/>
      <c r="BA153" s="685"/>
      <c r="BB153" s="685"/>
      <c r="BC153" s="685"/>
      <c r="BD153" s="685"/>
      <c r="BE153" s="685"/>
    </row>
    <row r="154" spans="1:57">
      <c r="A154" s="685"/>
      <c r="B154" s="685" t="s">
        <v>2456</v>
      </c>
      <c r="C154" s="795">
        <f>C158-C149</f>
        <v>35908.300000000017</v>
      </c>
      <c r="D154" s="795">
        <f>D158-D149</f>
        <v>40770.800000000003</v>
      </c>
      <c r="E154" s="795">
        <f>E158-E149</f>
        <v>40323</v>
      </c>
      <c r="F154" s="685"/>
      <c r="G154" s="685"/>
      <c r="H154" s="685"/>
      <c r="I154" s="685"/>
      <c r="J154" s="685"/>
      <c r="K154" s="685"/>
      <c r="L154" s="685"/>
      <c r="M154" s="685"/>
      <c r="N154" s="685"/>
      <c r="O154" s="685"/>
      <c r="P154" s="685"/>
      <c r="Q154" s="685"/>
      <c r="R154" s="685"/>
      <c r="S154" s="685"/>
      <c r="T154" s="685"/>
      <c r="U154" s="685"/>
      <c r="V154" s="685"/>
      <c r="W154" s="685"/>
      <c r="X154" s="685"/>
      <c r="Y154" s="685"/>
      <c r="Z154" s="685"/>
      <c r="AA154" s="685"/>
      <c r="AB154" s="685"/>
      <c r="AC154" s="685"/>
      <c r="AD154" s="685"/>
      <c r="AE154" s="685"/>
      <c r="AF154" s="685"/>
      <c r="AG154" s="685"/>
      <c r="AH154" s="685"/>
      <c r="AI154" s="685"/>
      <c r="AJ154" s="685"/>
      <c r="AK154" s="685"/>
      <c r="AL154" s="685"/>
      <c r="AM154" s="685"/>
      <c r="AN154" s="685"/>
      <c r="AO154" s="685"/>
      <c r="AP154" s="685"/>
      <c r="AQ154" s="685"/>
      <c r="AR154" s="685"/>
      <c r="AS154" s="685"/>
      <c r="AT154" s="685"/>
      <c r="AU154" s="685"/>
      <c r="AV154" s="685"/>
      <c r="AW154" s="685"/>
      <c r="AX154" s="685"/>
      <c r="AY154" s="685"/>
      <c r="AZ154" s="685"/>
      <c r="BA154" s="685"/>
      <c r="BB154" s="685"/>
      <c r="BC154" s="685"/>
      <c r="BD154" s="685"/>
      <c r="BE154" s="685"/>
    </row>
    <row r="155" spans="1:57">
      <c r="A155" s="685"/>
      <c r="B155" s="924" t="s">
        <v>2457</v>
      </c>
      <c r="C155" s="795">
        <f>C162*Master!N7</f>
        <v>9678.65</v>
      </c>
      <c r="D155" s="795">
        <f>D162*Master!O7</f>
        <v>11050.410000000002</v>
      </c>
      <c r="E155" s="795">
        <f>E162*Master!P7</f>
        <v>8806.5999999999985</v>
      </c>
      <c r="F155" s="685"/>
      <c r="G155" s="685"/>
      <c r="H155" s="685"/>
      <c r="I155" s="685"/>
      <c r="J155" s="685"/>
      <c r="K155" s="685"/>
      <c r="L155" s="685"/>
      <c r="M155" s="685"/>
      <c r="N155" s="685"/>
      <c r="O155" s="685"/>
      <c r="P155" s="685"/>
      <c r="Q155" s="685"/>
      <c r="R155" s="685"/>
      <c r="S155" s="685"/>
      <c r="T155" s="685"/>
      <c r="U155" s="685"/>
      <c r="V155" s="685"/>
      <c r="W155" s="685"/>
      <c r="X155" s="685"/>
      <c r="Y155" s="685"/>
      <c r="Z155" s="685"/>
      <c r="AA155" s="685"/>
      <c r="AB155" s="685"/>
      <c r="AC155" s="685"/>
      <c r="AD155" s="685"/>
      <c r="AE155" s="685"/>
      <c r="AF155" s="685"/>
      <c r="AG155" s="685"/>
      <c r="AH155" s="685"/>
      <c r="AI155" s="685"/>
      <c r="AJ155" s="685"/>
      <c r="AK155" s="685"/>
      <c r="AL155" s="685"/>
      <c r="AM155" s="685"/>
      <c r="AN155" s="685"/>
      <c r="AO155" s="685"/>
      <c r="AP155" s="685"/>
      <c r="AQ155" s="685"/>
      <c r="AR155" s="685"/>
      <c r="AS155" s="685"/>
      <c r="AT155" s="685"/>
      <c r="AU155" s="685"/>
      <c r="AV155" s="685"/>
      <c r="AW155" s="685"/>
      <c r="AX155" s="685"/>
      <c r="AY155" s="685"/>
      <c r="AZ155" s="685"/>
      <c r="BA155" s="685"/>
      <c r="BB155" s="685"/>
      <c r="BC155" s="685"/>
      <c r="BD155" s="685"/>
      <c r="BE155" s="685"/>
    </row>
    <row r="156" spans="1:57">
      <c r="A156" s="685"/>
      <c r="B156" s="924" t="s">
        <v>2458</v>
      </c>
      <c r="C156" s="795">
        <f>C154-C155</f>
        <v>26229.650000000016</v>
      </c>
      <c r="D156" s="795">
        <f>D154-D155</f>
        <v>29720.39</v>
      </c>
      <c r="E156" s="795">
        <f>E154-E155</f>
        <v>31516.400000000001</v>
      </c>
      <c r="F156" s="685"/>
      <c r="G156" s="685"/>
      <c r="H156" s="685"/>
      <c r="I156" s="685"/>
      <c r="J156" s="685"/>
      <c r="K156" s="685"/>
      <c r="L156" s="685"/>
      <c r="M156" s="685"/>
      <c r="N156" s="685"/>
      <c r="O156" s="685"/>
      <c r="P156" s="685"/>
      <c r="Q156" s="685"/>
      <c r="R156" s="685"/>
      <c r="S156" s="685"/>
      <c r="T156" s="685"/>
      <c r="U156" s="685"/>
      <c r="V156" s="685"/>
      <c r="W156" s="685"/>
      <c r="X156" s="685"/>
      <c r="Y156" s="685"/>
      <c r="Z156" s="685"/>
      <c r="AA156" s="685"/>
      <c r="AB156" s="685"/>
      <c r="AC156" s="685"/>
      <c r="AD156" s="685"/>
      <c r="AE156" s="685"/>
      <c r="AF156" s="685"/>
      <c r="AG156" s="685"/>
      <c r="AH156" s="685"/>
      <c r="AI156" s="685"/>
      <c r="AJ156" s="685"/>
      <c r="AK156" s="685"/>
      <c r="AL156" s="685"/>
      <c r="AM156" s="685"/>
      <c r="AN156" s="685"/>
      <c r="AO156" s="685"/>
      <c r="AP156" s="685"/>
      <c r="AQ156" s="685"/>
      <c r="AR156" s="685"/>
      <c r="AS156" s="685"/>
      <c r="AT156" s="685"/>
      <c r="AU156" s="685"/>
      <c r="AV156" s="685"/>
      <c r="AW156" s="685"/>
      <c r="AX156" s="685"/>
      <c r="AY156" s="685"/>
      <c r="AZ156" s="685"/>
      <c r="BA156" s="685"/>
      <c r="BB156" s="685"/>
      <c r="BC156" s="685"/>
      <c r="BD156" s="685"/>
      <c r="BE156" s="685"/>
    </row>
    <row r="157" spans="1:57">
      <c r="A157" s="685"/>
      <c r="B157" s="685"/>
      <c r="C157" s="795"/>
      <c r="D157" s="795"/>
      <c r="E157" s="795"/>
      <c r="F157" s="685"/>
      <c r="G157" s="685"/>
      <c r="H157" s="685"/>
      <c r="I157" s="685"/>
      <c r="J157" s="685"/>
      <c r="K157" s="685"/>
      <c r="L157" s="685"/>
      <c r="M157" s="685"/>
      <c r="N157" s="685"/>
      <c r="O157" s="685"/>
      <c r="P157" s="685"/>
      <c r="Q157" s="685"/>
      <c r="R157" s="685"/>
      <c r="S157" s="685"/>
      <c r="T157" s="685"/>
      <c r="U157" s="685"/>
      <c r="V157" s="685"/>
      <c r="W157" s="685"/>
      <c r="X157" s="685"/>
      <c r="Y157" s="685"/>
      <c r="Z157" s="685"/>
      <c r="AA157" s="685"/>
      <c r="AB157" s="685"/>
      <c r="AC157" s="685"/>
      <c r="AD157" s="685"/>
      <c r="AE157" s="685"/>
      <c r="AF157" s="685"/>
      <c r="AG157" s="685"/>
      <c r="AH157" s="685"/>
      <c r="AI157" s="685"/>
      <c r="AJ157" s="685"/>
      <c r="AK157" s="685"/>
      <c r="AL157" s="685"/>
      <c r="AM157" s="685"/>
      <c r="AN157" s="685"/>
      <c r="AO157" s="685"/>
      <c r="AP157" s="685"/>
      <c r="AQ157" s="685"/>
      <c r="AR157" s="685"/>
      <c r="AS157" s="685"/>
      <c r="AT157" s="685"/>
      <c r="AU157" s="685"/>
      <c r="AV157" s="685"/>
      <c r="AW157" s="685"/>
      <c r="AX157" s="685"/>
      <c r="AY157" s="685"/>
      <c r="AZ157" s="685"/>
      <c r="BA157" s="685"/>
      <c r="BB157" s="685"/>
      <c r="BC157" s="685"/>
      <c r="BD157" s="685"/>
      <c r="BE157" s="685"/>
    </row>
    <row r="158" spans="1:57">
      <c r="A158" s="685"/>
      <c r="B158" s="817" t="s">
        <v>2459</v>
      </c>
      <c r="C158" s="818">
        <f>Master!N132-Master!N140</f>
        <v>55676.700000000012</v>
      </c>
      <c r="D158" s="818">
        <f>Master!O132-Master!O140</f>
        <v>62709.5</v>
      </c>
      <c r="E158" s="818">
        <f>Master!P132-Master!P140</f>
        <v>61495</v>
      </c>
      <c r="F158" s="685"/>
      <c r="G158" s="685"/>
      <c r="H158" s="685"/>
      <c r="I158" s="685"/>
      <c r="J158" s="685"/>
      <c r="K158" s="685"/>
      <c r="L158" s="685"/>
      <c r="M158" s="685"/>
      <c r="N158" s="685"/>
      <c r="O158" s="685"/>
      <c r="P158" s="685"/>
      <c r="Q158" s="685"/>
      <c r="R158" s="685"/>
      <c r="S158" s="685"/>
      <c r="T158" s="685"/>
      <c r="U158" s="685"/>
      <c r="V158" s="685"/>
      <c r="W158" s="685"/>
      <c r="X158" s="685"/>
      <c r="Y158" s="685"/>
      <c r="Z158" s="685"/>
      <c r="AA158" s="685"/>
      <c r="AB158" s="685"/>
      <c r="AC158" s="685"/>
      <c r="AD158" s="685"/>
      <c r="AE158" s="685"/>
      <c r="AF158" s="685"/>
      <c r="AG158" s="685"/>
      <c r="AH158" s="685"/>
      <c r="AI158" s="685"/>
      <c r="AJ158" s="685"/>
      <c r="AK158" s="685"/>
      <c r="AL158" s="685"/>
      <c r="AM158" s="685"/>
      <c r="AN158" s="685"/>
      <c r="AO158" s="685"/>
      <c r="AP158" s="685"/>
      <c r="AQ158" s="685"/>
      <c r="AR158" s="685"/>
      <c r="AS158" s="685"/>
      <c r="AT158" s="685"/>
      <c r="AU158" s="685"/>
      <c r="AV158" s="685"/>
      <c r="AW158" s="685"/>
      <c r="AX158" s="685"/>
      <c r="AY158" s="685"/>
      <c r="AZ158" s="685"/>
      <c r="BA158" s="685"/>
      <c r="BB158" s="685"/>
      <c r="BC158" s="685"/>
      <c r="BD158" s="685"/>
      <c r="BE158" s="685"/>
    </row>
    <row r="159" spans="1:57">
      <c r="A159" s="685"/>
      <c r="B159" s="924"/>
      <c r="C159" s="795"/>
      <c r="D159" s="795"/>
      <c r="E159" s="795"/>
      <c r="F159" s="685"/>
      <c r="G159" s="685"/>
      <c r="H159" s="685"/>
      <c r="I159" s="685"/>
      <c r="J159" s="685"/>
      <c r="K159" s="685"/>
      <c r="L159" s="685"/>
      <c r="M159" s="685"/>
      <c r="N159" s="685"/>
      <c r="O159" s="685"/>
      <c r="P159" s="685"/>
      <c r="Q159" s="685"/>
      <c r="R159" s="685"/>
      <c r="S159" s="685"/>
      <c r="T159" s="685"/>
      <c r="U159" s="685"/>
      <c r="V159" s="685"/>
      <c r="W159" s="685"/>
      <c r="X159" s="685"/>
      <c r="Y159" s="685"/>
      <c r="Z159" s="685"/>
      <c r="AA159" s="685"/>
      <c r="AB159" s="685"/>
      <c r="AC159" s="685"/>
      <c r="AD159" s="685"/>
      <c r="AE159" s="685"/>
      <c r="AF159" s="685"/>
      <c r="AG159" s="685"/>
      <c r="AH159" s="685"/>
      <c r="AI159" s="685"/>
      <c r="AJ159" s="685"/>
      <c r="AK159" s="685"/>
      <c r="AL159" s="685"/>
      <c r="AM159" s="685"/>
      <c r="AN159" s="685"/>
      <c r="AO159" s="685"/>
      <c r="AP159" s="685"/>
      <c r="AQ159" s="685"/>
      <c r="AR159" s="685"/>
      <c r="AS159" s="685"/>
      <c r="AT159" s="685"/>
      <c r="AU159" s="685"/>
      <c r="AV159" s="685"/>
      <c r="AW159" s="685"/>
      <c r="AX159" s="685"/>
      <c r="AY159" s="685"/>
      <c r="AZ159" s="685"/>
      <c r="BA159" s="685"/>
      <c r="BB159" s="685"/>
      <c r="BC159" s="685"/>
      <c r="BD159" s="685"/>
      <c r="BE159" s="685"/>
    </row>
    <row r="160" spans="1:57">
      <c r="A160" s="685"/>
      <c r="B160" s="1104" t="s">
        <v>2093</v>
      </c>
      <c r="C160" s="795"/>
      <c r="D160" s="795"/>
      <c r="E160" s="795"/>
      <c r="F160" s="685"/>
      <c r="G160" s="685"/>
      <c r="H160" s="685"/>
      <c r="I160" s="685"/>
      <c r="J160" s="685"/>
      <c r="K160" s="685"/>
      <c r="L160" s="685"/>
      <c r="M160" s="685"/>
      <c r="N160" s="685"/>
      <c r="O160" s="685"/>
      <c r="P160" s="685"/>
      <c r="Q160" s="685"/>
      <c r="R160" s="685"/>
      <c r="S160" s="685"/>
      <c r="T160" s="685"/>
      <c r="U160" s="685"/>
      <c r="V160" s="685"/>
      <c r="W160" s="685"/>
      <c r="X160" s="685"/>
      <c r="Y160" s="685"/>
      <c r="Z160" s="685"/>
      <c r="AA160" s="685"/>
      <c r="AB160" s="685"/>
      <c r="AC160" s="685"/>
      <c r="AD160" s="685"/>
      <c r="AE160" s="685"/>
      <c r="AF160" s="685"/>
      <c r="AG160" s="685"/>
      <c r="AH160" s="685"/>
      <c r="AI160" s="685"/>
      <c r="AJ160" s="685"/>
      <c r="AK160" s="685"/>
      <c r="AL160" s="685"/>
      <c r="AM160" s="685"/>
      <c r="AN160" s="685"/>
      <c r="AO160" s="685"/>
      <c r="AP160" s="685"/>
      <c r="AQ160" s="685"/>
      <c r="AR160" s="685"/>
      <c r="AS160" s="685"/>
      <c r="AT160" s="685"/>
      <c r="AU160" s="685"/>
      <c r="AV160" s="685"/>
      <c r="AW160" s="685"/>
      <c r="AX160" s="685"/>
      <c r="AY160" s="685"/>
      <c r="AZ160" s="685"/>
      <c r="BA160" s="685"/>
      <c r="BB160" s="685"/>
      <c r="BC160" s="685"/>
      <c r="BD160" s="685"/>
      <c r="BE160" s="685"/>
    </row>
    <row r="161" spans="1:57">
      <c r="A161" s="685"/>
      <c r="B161" s="685" t="s">
        <v>2460</v>
      </c>
      <c r="C161" s="795">
        <f>C151/I45</f>
        <v>249.1291745431632</v>
      </c>
      <c r="D161" s="795">
        <f>D151/J45</f>
        <v>232.77135278514587</v>
      </c>
      <c r="E161" s="795">
        <f>E151/K45</f>
        <v>224.04232804232808</v>
      </c>
      <c r="F161" s="685"/>
      <c r="G161" s="685"/>
      <c r="H161" s="685"/>
      <c r="I161" s="685"/>
      <c r="J161" s="685"/>
      <c r="K161" s="685"/>
      <c r="L161" s="685"/>
      <c r="M161" s="685"/>
      <c r="N161" s="685"/>
      <c r="O161" s="685"/>
      <c r="P161" s="685"/>
      <c r="Q161" s="685"/>
      <c r="R161" s="685"/>
      <c r="S161" s="685"/>
      <c r="T161" s="685"/>
      <c r="U161" s="685"/>
      <c r="V161" s="685"/>
      <c r="W161" s="685"/>
      <c r="X161" s="685"/>
      <c r="Y161" s="685"/>
      <c r="Z161" s="685"/>
      <c r="AA161" s="685"/>
      <c r="AB161" s="685"/>
      <c r="AC161" s="685"/>
      <c r="AD161" s="685"/>
      <c r="AE161" s="685"/>
      <c r="AF161" s="685"/>
      <c r="AG161" s="685"/>
      <c r="AH161" s="685"/>
      <c r="AI161" s="685"/>
      <c r="AJ161" s="685"/>
      <c r="AK161" s="685"/>
      <c r="AL161" s="685"/>
      <c r="AM161" s="685"/>
      <c r="AN161" s="685"/>
      <c r="AO161" s="685"/>
      <c r="AP161" s="685"/>
      <c r="AQ161" s="685"/>
      <c r="AR161" s="685"/>
      <c r="AS161" s="685"/>
      <c r="AT161" s="685"/>
      <c r="AU161" s="685"/>
      <c r="AV161" s="685"/>
      <c r="AW161" s="685"/>
      <c r="AX161" s="685"/>
      <c r="AY161" s="685"/>
      <c r="AZ161" s="685"/>
      <c r="BA161" s="685"/>
      <c r="BB161" s="685"/>
      <c r="BC161" s="685"/>
      <c r="BD161" s="685"/>
      <c r="BE161" s="685"/>
    </row>
    <row r="162" spans="1:57">
      <c r="A162" s="685"/>
      <c r="B162" s="743" t="s">
        <v>2461</v>
      </c>
      <c r="C162" s="833">
        <f>C163-C161</f>
        <v>609.87082545683677</v>
      </c>
      <c r="D162" s="833">
        <f>D163-D161</f>
        <v>586.22864721485416</v>
      </c>
      <c r="E162" s="833">
        <f>E163-E161</f>
        <v>465.95767195767189</v>
      </c>
      <c r="F162" s="685"/>
      <c r="G162" s="685"/>
      <c r="H162" s="685"/>
      <c r="I162" s="685"/>
      <c r="J162" s="685"/>
      <c r="K162" s="685"/>
      <c r="L162" s="685"/>
      <c r="M162" s="685"/>
      <c r="N162" s="685"/>
      <c r="O162" s="685"/>
      <c r="P162" s="685"/>
      <c r="Q162" s="685"/>
      <c r="R162" s="685"/>
      <c r="S162" s="685"/>
      <c r="T162" s="685"/>
      <c r="U162" s="685"/>
      <c r="V162" s="685"/>
      <c r="W162" s="685"/>
      <c r="X162" s="685"/>
      <c r="Y162" s="685"/>
      <c r="Z162" s="685"/>
      <c r="AA162" s="685"/>
      <c r="AB162" s="685"/>
      <c r="AC162" s="685"/>
      <c r="AD162" s="685"/>
      <c r="AE162" s="685"/>
      <c r="AF162" s="685"/>
      <c r="AG162" s="685"/>
      <c r="AH162" s="685"/>
      <c r="AI162" s="685"/>
      <c r="AJ162" s="685"/>
      <c r="AK162" s="685"/>
      <c r="AL162" s="685"/>
      <c r="AM162" s="685"/>
      <c r="AN162" s="685"/>
      <c r="AO162" s="685"/>
      <c r="AP162" s="685"/>
      <c r="AQ162" s="685"/>
      <c r="AR162" s="685"/>
      <c r="AS162" s="685"/>
      <c r="AT162" s="685"/>
      <c r="AU162" s="685"/>
      <c r="AV162" s="685"/>
      <c r="AW162" s="685"/>
      <c r="AX162" s="685"/>
      <c r="AY162" s="685"/>
      <c r="AZ162" s="685"/>
      <c r="BA162" s="685"/>
      <c r="BB162" s="685"/>
      <c r="BC162" s="685"/>
      <c r="BD162" s="685"/>
      <c r="BE162" s="685"/>
    </row>
    <row r="163" spans="1:57">
      <c r="A163" s="685"/>
      <c r="B163" s="685" t="s">
        <v>2462</v>
      </c>
      <c r="C163" s="936">
        <v>859</v>
      </c>
      <c r="D163" s="934">
        <v>819</v>
      </c>
      <c r="E163" s="934">
        <v>690</v>
      </c>
      <c r="F163" s="685"/>
      <c r="G163" s="685"/>
      <c r="H163" s="685"/>
      <c r="I163" s="685"/>
      <c r="J163" s="685"/>
      <c r="K163" s="685"/>
      <c r="L163" s="685"/>
      <c r="M163" s="685"/>
      <c r="N163" s="685"/>
      <c r="O163" s="685"/>
      <c r="P163" s="685"/>
      <c r="Q163" s="685"/>
      <c r="R163" s="685"/>
      <c r="S163" s="685"/>
      <c r="T163" s="685"/>
      <c r="U163" s="685"/>
      <c r="V163" s="685"/>
      <c r="W163" s="685"/>
      <c r="X163" s="685"/>
      <c r="Y163" s="685"/>
      <c r="Z163" s="685"/>
      <c r="AA163" s="685"/>
      <c r="AB163" s="685"/>
      <c r="AC163" s="685"/>
      <c r="AD163" s="685"/>
      <c r="AE163" s="685"/>
      <c r="AF163" s="685"/>
      <c r="AG163" s="685"/>
      <c r="AH163" s="685"/>
      <c r="AI163" s="685"/>
      <c r="AJ163" s="685"/>
      <c r="AK163" s="685"/>
      <c r="AL163" s="685"/>
      <c r="AM163" s="685"/>
      <c r="AN163" s="685"/>
      <c r="AO163" s="685"/>
      <c r="AP163" s="685"/>
      <c r="AQ163" s="685"/>
      <c r="AR163" s="685"/>
      <c r="AS163" s="685"/>
      <c r="AT163" s="685"/>
      <c r="AU163" s="685"/>
      <c r="AV163" s="685"/>
      <c r="AW163" s="685"/>
      <c r="AX163" s="685"/>
      <c r="AY163" s="685"/>
      <c r="AZ163" s="685"/>
      <c r="BA163" s="685"/>
      <c r="BB163" s="685"/>
      <c r="BC163" s="685"/>
      <c r="BD163" s="685"/>
      <c r="BE163" s="685"/>
    </row>
    <row r="164" spans="1:57">
      <c r="A164" s="685"/>
      <c r="B164" s="685"/>
      <c r="C164" s="685"/>
      <c r="D164" s="685"/>
      <c r="E164" s="685"/>
      <c r="F164" s="685"/>
      <c r="G164" s="685"/>
      <c r="H164" s="685"/>
      <c r="I164" s="685"/>
      <c r="J164" s="685"/>
      <c r="K164" s="685"/>
      <c r="L164" s="685"/>
      <c r="M164" s="685"/>
      <c r="N164" s="685"/>
      <c r="O164" s="685"/>
      <c r="P164" s="685"/>
      <c r="Q164" s="685"/>
      <c r="R164" s="685"/>
      <c r="S164" s="685"/>
      <c r="T164" s="685"/>
      <c r="U164" s="685"/>
      <c r="V164" s="685"/>
      <c r="W164" s="685"/>
      <c r="X164" s="685"/>
      <c r="Y164" s="685"/>
      <c r="Z164" s="685"/>
      <c r="AA164" s="685"/>
      <c r="AB164" s="685"/>
      <c r="AC164" s="685"/>
      <c r="AD164" s="685"/>
      <c r="AE164" s="685"/>
      <c r="AF164" s="685"/>
      <c r="AG164" s="685"/>
      <c r="AH164" s="685"/>
      <c r="AI164" s="685"/>
      <c r="AJ164" s="685"/>
      <c r="AK164" s="685"/>
      <c r="AL164" s="685"/>
      <c r="AM164" s="685"/>
      <c r="AN164" s="685"/>
      <c r="AO164" s="685"/>
      <c r="AP164" s="685"/>
      <c r="AQ164" s="685"/>
      <c r="AR164" s="685"/>
      <c r="AS164" s="685"/>
      <c r="AT164" s="685"/>
      <c r="AU164" s="685"/>
      <c r="AV164" s="685"/>
      <c r="AW164" s="685"/>
      <c r="AX164" s="685"/>
      <c r="AY164" s="685"/>
      <c r="AZ164" s="685"/>
      <c r="BA164" s="685"/>
      <c r="BB164" s="685"/>
      <c r="BC164" s="685"/>
      <c r="BD164" s="685"/>
      <c r="BE164" s="685"/>
    </row>
    <row r="165" spans="1:57">
      <c r="A165" s="685"/>
      <c r="B165" s="685" t="s">
        <v>2463</v>
      </c>
      <c r="C165" s="795">
        <f>C145-C163</f>
        <v>84</v>
      </c>
      <c r="D165" s="795">
        <f>D145-D163</f>
        <v>91</v>
      </c>
      <c r="E165" s="795">
        <f>E145-E163</f>
        <v>98</v>
      </c>
      <c r="F165" s="685"/>
      <c r="G165" s="685"/>
      <c r="H165" s="685"/>
      <c r="I165" s="685"/>
      <c r="J165" s="685"/>
      <c r="K165" s="685"/>
      <c r="L165" s="685"/>
      <c r="M165" s="685"/>
      <c r="N165" s="685"/>
      <c r="O165" s="685"/>
      <c r="P165" s="685"/>
      <c r="Q165" s="685"/>
      <c r="R165" s="685"/>
      <c r="S165" s="685"/>
      <c r="T165" s="685"/>
      <c r="U165" s="685"/>
      <c r="V165" s="685"/>
      <c r="W165" s="685"/>
      <c r="X165" s="685"/>
      <c r="Y165" s="685"/>
      <c r="Z165" s="685"/>
      <c r="AA165" s="685"/>
      <c r="AB165" s="685"/>
      <c r="AC165" s="685"/>
      <c r="AD165" s="685"/>
      <c r="AE165" s="685"/>
      <c r="AF165" s="685"/>
      <c r="AG165" s="685"/>
      <c r="AH165" s="685"/>
      <c r="AI165" s="685"/>
      <c r="AJ165" s="685"/>
      <c r="AK165" s="685"/>
      <c r="AL165" s="685"/>
      <c r="AM165" s="685"/>
      <c r="AN165" s="685"/>
      <c r="AO165" s="685"/>
      <c r="AP165" s="685"/>
      <c r="AQ165" s="685"/>
      <c r="AR165" s="685"/>
      <c r="AS165" s="685"/>
      <c r="AT165" s="685"/>
      <c r="AU165" s="685"/>
      <c r="AV165" s="685"/>
      <c r="AW165" s="685"/>
      <c r="AX165" s="685"/>
      <c r="AY165" s="685"/>
      <c r="AZ165" s="685"/>
      <c r="BA165" s="685"/>
      <c r="BB165" s="685"/>
      <c r="BC165" s="685"/>
      <c r="BD165" s="685"/>
      <c r="BE165" s="685"/>
    </row>
    <row r="166" spans="1:57">
      <c r="A166" s="685"/>
      <c r="B166" s="685" t="s">
        <v>2464</v>
      </c>
      <c r="C166" s="795">
        <f>C165*Master!N7</f>
        <v>1333.08</v>
      </c>
      <c r="D166" s="795">
        <f>D165*Master!O7</f>
        <v>1715.3500000000001</v>
      </c>
      <c r="E166" s="795">
        <f>E165*Master!P7</f>
        <v>1852.1999999999998</v>
      </c>
      <c r="F166" s="685"/>
      <c r="G166" s="685"/>
      <c r="H166" s="685"/>
      <c r="I166" s="685"/>
      <c r="J166" s="685"/>
      <c r="K166" s="685"/>
      <c r="L166" s="685"/>
      <c r="M166" s="685"/>
      <c r="N166" s="685"/>
      <c r="O166" s="685"/>
      <c r="P166" s="685"/>
      <c r="Q166" s="685"/>
      <c r="R166" s="685"/>
      <c r="S166" s="685"/>
      <c r="T166" s="685"/>
      <c r="U166" s="685"/>
      <c r="V166" s="685"/>
      <c r="W166" s="685"/>
      <c r="X166" s="685"/>
      <c r="Y166" s="685"/>
      <c r="Z166" s="685"/>
      <c r="AA166" s="685"/>
      <c r="AB166" s="685"/>
      <c r="AC166" s="685"/>
      <c r="AD166" s="685"/>
      <c r="AE166" s="685"/>
      <c r="AF166" s="685"/>
      <c r="AG166" s="685"/>
      <c r="AH166" s="685"/>
      <c r="AI166" s="685"/>
      <c r="AJ166" s="685"/>
      <c r="AK166" s="685"/>
      <c r="AL166" s="685"/>
      <c r="AM166" s="685"/>
      <c r="AN166" s="685"/>
      <c r="AO166" s="685"/>
      <c r="AP166" s="685"/>
      <c r="AQ166" s="685"/>
      <c r="AR166" s="685"/>
      <c r="AS166" s="685"/>
      <c r="AT166" s="685"/>
      <c r="AU166" s="685"/>
      <c r="AV166" s="685"/>
      <c r="AW166" s="685"/>
      <c r="AX166" s="685"/>
      <c r="AY166" s="685"/>
      <c r="AZ166" s="685"/>
      <c r="BA166" s="685"/>
      <c r="BB166" s="685"/>
      <c r="BC166" s="685"/>
      <c r="BD166" s="685"/>
      <c r="BE166" s="685"/>
    </row>
    <row r="167" spans="1:57">
      <c r="A167" s="685"/>
      <c r="B167" s="685" t="s">
        <v>592</v>
      </c>
      <c r="C167" s="789">
        <f>C166/Master!N140</f>
        <v>4.1175834664080341E-2</v>
      </c>
      <c r="D167" s="789">
        <f>D166/Master!O140</f>
        <v>5.1085684334041155E-2</v>
      </c>
      <c r="E167" s="789">
        <f>E166/Master!P140</f>
        <v>5.6503965832824889E-2</v>
      </c>
      <c r="F167" s="685"/>
      <c r="G167" s="685"/>
      <c r="H167" s="685"/>
      <c r="I167" s="685"/>
      <c r="J167" s="685"/>
      <c r="K167" s="685"/>
      <c r="L167" s="685"/>
      <c r="M167" s="685"/>
      <c r="N167" s="685"/>
      <c r="O167" s="685"/>
      <c r="P167" s="685"/>
      <c r="Q167" s="685"/>
      <c r="R167" s="685"/>
      <c r="S167" s="685"/>
      <c r="T167" s="685"/>
      <c r="U167" s="685"/>
      <c r="V167" s="685"/>
      <c r="W167" s="685"/>
      <c r="X167" s="685"/>
      <c r="Y167" s="685"/>
      <c r="Z167" s="685"/>
      <c r="AA167" s="685"/>
      <c r="AB167" s="685"/>
      <c r="AC167" s="685"/>
      <c r="AD167" s="685"/>
      <c r="AE167" s="685"/>
      <c r="AF167" s="685"/>
      <c r="AG167" s="685"/>
      <c r="AH167" s="685"/>
      <c r="AI167" s="685"/>
      <c r="AJ167" s="685"/>
      <c r="AK167" s="685"/>
      <c r="AL167" s="685"/>
      <c r="AM167" s="685"/>
      <c r="AN167" s="685"/>
      <c r="AO167" s="685"/>
      <c r="AP167" s="685"/>
      <c r="AQ167" s="685"/>
      <c r="AR167" s="685"/>
      <c r="AS167" s="685"/>
      <c r="AT167" s="685"/>
      <c r="AU167" s="685"/>
      <c r="AV167" s="685"/>
      <c r="AW167" s="685"/>
      <c r="AX167" s="685"/>
      <c r="AY167" s="685"/>
      <c r="AZ167" s="685"/>
      <c r="BA167" s="685"/>
      <c r="BB167" s="685"/>
      <c r="BC167" s="685"/>
      <c r="BD167" s="685"/>
      <c r="BE167" s="685"/>
    </row>
    <row r="168" spans="1:57">
      <c r="A168" s="685"/>
      <c r="B168" s="685"/>
      <c r="C168" s="685"/>
      <c r="D168" s="685"/>
      <c r="E168" s="685"/>
      <c r="F168" s="685"/>
      <c r="G168" s="685"/>
      <c r="H168" s="685"/>
      <c r="I168" s="685"/>
      <c r="J168" s="685"/>
      <c r="K168" s="685"/>
      <c r="L168" s="685"/>
      <c r="M168" s="685"/>
      <c r="N168" s="685"/>
      <c r="O168" s="685"/>
      <c r="P168" s="685"/>
      <c r="Q168" s="685"/>
      <c r="R168" s="685"/>
      <c r="S168" s="685"/>
      <c r="T168" s="685"/>
      <c r="U168" s="685"/>
      <c r="V168" s="685"/>
      <c r="W168" s="685"/>
      <c r="X168" s="685"/>
      <c r="Y168" s="685"/>
      <c r="Z168" s="685"/>
      <c r="AA168" s="685"/>
      <c r="AB168" s="685"/>
      <c r="AC168" s="685"/>
      <c r="AD168" s="685"/>
      <c r="AE168" s="685"/>
      <c r="AF168" s="685"/>
      <c r="AG168" s="685"/>
      <c r="AH168" s="685"/>
      <c r="AI168" s="685"/>
      <c r="AJ168" s="685"/>
      <c r="AK168" s="685"/>
      <c r="AL168" s="685"/>
      <c r="AM168" s="685"/>
      <c r="AN168" s="685"/>
      <c r="AO168" s="685"/>
      <c r="AP168" s="685"/>
      <c r="AQ168" s="685"/>
      <c r="AR168" s="685"/>
      <c r="AS168" s="685"/>
      <c r="AT168" s="685"/>
      <c r="AU168" s="685"/>
      <c r="AV168" s="685"/>
      <c r="AW168" s="685"/>
      <c r="AX168" s="685"/>
      <c r="AY168" s="685"/>
      <c r="AZ168" s="685"/>
      <c r="BA168" s="685"/>
      <c r="BB168" s="685"/>
      <c r="BC168" s="685"/>
      <c r="BD168" s="685"/>
      <c r="BE168" s="685"/>
    </row>
    <row r="169" spans="1:57">
      <c r="A169" s="685"/>
      <c r="B169" s="685" t="s">
        <v>2465</v>
      </c>
      <c r="C169" s="795">
        <f>C162*I45</f>
        <v>9678.65</v>
      </c>
      <c r="D169" s="685"/>
      <c r="E169" s="685"/>
      <c r="F169" s="685"/>
      <c r="G169" s="685"/>
      <c r="H169" s="685"/>
      <c r="I169" s="685"/>
      <c r="J169" s="685"/>
      <c r="K169" s="685"/>
      <c r="L169" s="685"/>
      <c r="M169" s="685"/>
      <c r="N169" s="685"/>
      <c r="O169" s="685"/>
      <c r="P169" s="685"/>
      <c r="Q169" s="685"/>
      <c r="R169" s="685"/>
      <c r="S169" s="685"/>
      <c r="T169" s="685"/>
      <c r="U169" s="685"/>
      <c r="V169" s="685"/>
      <c r="W169" s="685"/>
      <c r="X169" s="685"/>
      <c r="Y169" s="685"/>
      <c r="Z169" s="685"/>
      <c r="AA169" s="685"/>
      <c r="AB169" s="685"/>
      <c r="AC169" s="685"/>
      <c r="AD169" s="685"/>
      <c r="AE169" s="685"/>
      <c r="AF169" s="685"/>
      <c r="AG169" s="685"/>
      <c r="AH169" s="685"/>
      <c r="AI169" s="685"/>
      <c r="AJ169" s="685"/>
      <c r="AK169" s="685"/>
      <c r="AL169" s="685"/>
      <c r="AM169" s="685"/>
      <c r="AN169" s="685"/>
      <c r="AO169" s="685"/>
      <c r="AP169" s="685"/>
      <c r="AQ169" s="685"/>
      <c r="AR169" s="685"/>
      <c r="AS169" s="685"/>
      <c r="AT169" s="685"/>
      <c r="AU169" s="685"/>
      <c r="AV169" s="685"/>
      <c r="AW169" s="685"/>
      <c r="AX169" s="685"/>
      <c r="AY169" s="685"/>
      <c r="AZ169" s="685"/>
      <c r="BA169" s="685"/>
      <c r="BB169" s="685"/>
      <c r="BC169" s="685"/>
      <c r="BD169" s="685"/>
      <c r="BE169" s="685"/>
    </row>
    <row r="170" spans="1:57">
      <c r="A170" s="685"/>
      <c r="B170" s="685" t="s">
        <v>2466</v>
      </c>
      <c r="C170" s="789">
        <f>C169/(Master!N132-Master!N140-Content!C169)</f>
        <v>0.21041435452155033</v>
      </c>
      <c r="D170" s="795"/>
      <c r="E170" s="795"/>
      <c r="F170" s="685"/>
      <c r="G170" s="685"/>
      <c r="H170" s="685"/>
      <c r="I170" s="685"/>
      <c r="J170" s="685"/>
      <c r="K170" s="685"/>
      <c r="L170" s="685"/>
      <c r="M170" s="685"/>
      <c r="N170" s="685"/>
      <c r="O170" s="685"/>
      <c r="P170" s="685"/>
      <c r="Q170" s="685"/>
      <c r="R170" s="685"/>
      <c r="S170" s="685"/>
      <c r="T170" s="685"/>
      <c r="U170" s="685"/>
      <c r="V170" s="685"/>
      <c r="W170" s="685"/>
      <c r="X170" s="685"/>
      <c r="Y170" s="685"/>
      <c r="Z170" s="685"/>
      <c r="AA170" s="685"/>
      <c r="AB170" s="685"/>
      <c r="AC170" s="685"/>
      <c r="AD170" s="685"/>
      <c r="AE170" s="685"/>
      <c r="AF170" s="685"/>
      <c r="AG170" s="685"/>
      <c r="AH170" s="685"/>
      <c r="AI170" s="685"/>
      <c r="AJ170" s="685"/>
      <c r="AK170" s="685"/>
      <c r="AL170" s="685"/>
      <c r="AM170" s="685"/>
      <c r="AN170" s="685"/>
      <c r="AO170" s="685"/>
      <c r="AP170" s="685"/>
      <c r="AQ170" s="685"/>
      <c r="AR170" s="685"/>
      <c r="AS170" s="685"/>
      <c r="AT170" s="685"/>
      <c r="AU170" s="685"/>
      <c r="AV170" s="685"/>
      <c r="AW170" s="685"/>
      <c r="AX170" s="685"/>
      <c r="AY170" s="685"/>
      <c r="AZ170" s="685"/>
      <c r="BA170" s="685"/>
      <c r="BB170" s="685"/>
      <c r="BC170" s="685"/>
      <c r="BD170" s="685"/>
      <c r="BE170" s="685"/>
    </row>
    <row r="171" spans="1:57">
      <c r="A171" s="685"/>
      <c r="B171" s="685"/>
      <c r="C171" s="795"/>
      <c r="D171" s="795"/>
      <c r="E171" s="795"/>
      <c r="F171" s="685"/>
      <c r="G171" s="685"/>
      <c r="H171" s="685"/>
      <c r="I171" s="685"/>
      <c r="J171" s="685"/>
      <c r="K171" s="685"/>
      <c r="L171" s="685"/>
      <c r="M171" s="685"/>
      <c r="N171" s="685"/>
      <c r="O171" s="685"/>
      <c r="P171" s="685"/>
      <c r="Q171" s="685"/>
      <c r="R171" s="685"/>
      <c r="S171" s="685"/>
      <c r="T171" s="685"/>
      <c r="U171" s="685"/>
      <c r="V171" s="685"/>
      <c r="W171" s="685"/>
      <c r="X171" s="685"/>
      <c r="Y171" s="685"/>
      <c r="Z171" s="685"/>
      <c r="AA171" s="685"/>
      <c r="AB171" s="685"/>
      <c r="AC171" s="685"/>
      <c r="AD171" s="685"/>
      <c r="AE171" s="685"/>
      <c r="AF171" s="685"/>
      <c r="AG171" s="685"/>
      <c r="AH171" s="685"/>
      <c r="AI171" s="685"/>
      <c r="AJ171" s="685"/>
      <c r="AK171" s="685"/>
      <c r="AL171" s="685"/>
      <c r="AM171" s="685"/>
      <c r="AN171" s="685"/>
      <c r="AO171" s="685"/>
      <c r="AP171" s="685"/>
      <c r="AQ171" s="685"/>
      <c r="AR171" s="685"/>
      <c r="AS171" s="685"/>
      <c r="AT171" s="685"/>
      <c r="AU171" s="685"/>
      <c r="AV171" s="685"/>
      <c r="AW171" s="685"/>
      <c r="AX171" s="685"/>
      <c r="AY171" s="685"/>
      <c r="AZ171" s="685"/>
      <c r="BA171" s="685"/>
      <c r="BB171" s="685"/>
      <c r="BC171" s="685"/>
      <c r="BD171" s="685"/>
      <c r="BE171" s="685"/>
    </row>
    <row r="172" spans="1:57">
      <c r="A172" s="685"/>
      <c r="B172" s="1105" t="s">
        <v>2467</v>
      </c>
      <c r="C172" s="1080">
        <f>C134-C149</f>
        <v>14564.2</v>
      </c>
      <c r="D172" s="1080">
        <f>D134-D149</f>
        <v>14748</v>
      </c>
      <c r="E172" s="1106">
        <f>I134-E149</f>
        <v>16799.679750000003</v>
      </c>
      <c r="F172" s="685"/>
      <c r="G172" s="685"/>
      <c r="H172" s="685"/>
      <c r="I172" s="685"/>
      <c r="J172" s="685"/>
      <c r="K172" s="685"/>
      <c r="L172" s="685"/>
      <c r="M172" s="685"/>
      <c r="N172" s="685"/>
      <c r="O172" s="685"/>
      <c r="P172" s="685"/>
      <c r="Q172" s="685"/>
      <c r="R172" s="685"/>
      <c r="S172" s="685"/>
      <c r="T172" s="685"/>
      <c r="U172" s="685"/>
      <c r="V172" s="685"/>
      <c r="W172" s="685"/>
      <c r="X172" s="685"/>
      <c r="Y172" s="685"/>
      <c r="Z172" s="685"/>
      <c r="AA172" s="685"/>
      <c r="AB172" s="685"/>
      <c r="AC172" s="685"/>
      <c r="AD172" s="685"/>
      <c r="AE172" s="685"/>
      <c r="AF172" s="685"/>
      <c r="AG172" s="685"/>
      <c r="AH172" s="685"/>
      <c r="AI172" s="685"/>
      <c r="AJ172" s="685"/>
      <c r="AK172" s="685"/>
      <c r="AL172" s="685"/>
      <c r="AM172" s="685"/>
      <c r="AN172" s="685"/>
      <c r="AO172" s="685"/>
      <c r="AP172" s="685"/>
      <c r="AQ172" s="685"/>
      <c r="AR172" s="685"/>
      <c r="AS172" s="685"/>
      <c r="AT172" s="685"/>
      <c r="AU172" s="685"/>
      <c r="AV172" s="685"/>
      <c r="AW172" s="685"/>
      <c r="AX172" s="685"/>
      <c r="AY172" s="685"/>
      <c r="AZ172" s="685"/>
      <c r="BA172" s="685"/>
      <c r="BB172" s="685"/>
      <c r="BC172" s="685"/>
      <c r="BD172" s="685"/>
      <c r="BE172" s="685"/>
    </row>
    <row r="173" spans="1:57">
      <c r="A173" s="685"/>
      <c r="B173" s="1107" t="s">
        <v>548</v>
      </c>
      <c r="C173" s="1108">
        <f>C172/C134</f>
        <v>0.42420906077605547</v>
      </c>
      <c r="D173" s="1108">
        <f>D172/D134</f>
        <v>0.4019985444316333</v>
      </c>
      <c r="E173" s="1109">
        <f>E172/I134</f>
        <v>0.44242656265423713</v>
      </c>
      <c r="F173" s="685"/>
      <c r="G173" s="685"/>
      <c r="H173" s="685"/>
      <c r="I173" s="685"/>
      <c r="J173" s="685"/>
      <c r="K173" s="685"/>
      <c r="L173" s="685"/>
      <c r="M173" s="685"/>
      <c r="N173" s="685"/>
      <c r="O173" s="685"/>
      <c r="P173" s="685"/>
      <c r="Q173" s="685"/>
      <c r="R173" s="685"/>
      <c r="S173" s="685"/>
      <c r="T173" s="685"/>
      <c r="U173" s="685"/>
      <c r="V173" s="685"/>
      <c r="W173" s="685"/>
      <c r="X173" s="685"/>
      <c r="Y173" s="685"/>
      <c r="Z173" s="685"/>
      <c r="AA173" s="685"/>
      <c r="AB173" s="685"/>
      <c r="AC173" s="685"/>
      <c r="AD173" s="685"/>
      <c r="AE173" s="685"/>
      <c r="AF173" s="685"/>
      <c r="AG173" s="685"/>
      <c r="AH173" s="685"/>
      <c r="AI173" s="685"/>
      <c r="AJ173" s="685"/>
      <c r="AK173" s="685"/>
      <c r="AL173" s="685"/>
      <c r="AM173" s="685"/>
      <c r="AN173" s="685"/>
      <c r="AO173" s="685"/>
      <c r="AP173" s="685"/>
      <c r="AQ173" s="685"/>
      <c r="AR173" s="685"/>
      <c r="AS173" s="685"/>
      <c r="AT173" s="685"/>
      <c r="AU173" s="685"/>
      <c r="AV173" s="685"/>
      <c r="AW173" s="685"/>
      <c r="AX173" s="685"/>
      <c r="AY173" s="685"/>
      <c r="AZ173" s="685"/>
      <c r="BA173" s="685"/>
      <c r="BB173" s="685"/>
      <c r="BC173" s="685"/>
      <c r="BD173" s="685"/>
      <c r="BE173" s="685"/>
    </row>
    <row r="174" spans="1:57">
      <c r="A174" s="685"/>
      <c r="B174" s="685"/>
      <c r="C174" s="685"/>
      <c r="D174" s="685"/>
      <c r="E174" s="685"/>
      <c r="F174" s="685"/>
      <c r="G174" s="685"/>
      <c r="H174" s="685"/>
      <c r="I174" s="685"/>
      <c r="J174" s="685"/>
      <c r="K174" s="685"/>
      <c r="L174" s="685"/>
      <c r="M174" s="685"/>
      <c r="N174" s="685"/>
      <c r="O174" s="685"/>
      <c r="P174" s="685"/>
      <c r="Q174" s="685"/>
      <c r="R174" s="685"/>
      <c r="S174" s="685"/>
      <c r="T174" s="685"/>
      <c r="U174" s="685"/>
      <c r="V174" s="685"/>
      <c r="W174" s="685"/>
      <c r="X174" s="685"/>
      <c r="Y174" s="685"/>
      <c r="Z174" s="685"/>
      <c r="AA174" s="685"/>
      <c r="AB174" s="685"/>
      <c r="AC174" s="685"/>
      <c r="AD174" s="685"/>
      <c r="AE174" s="685"/>
      <c r="AF174" s="685"/>
      <c r="AG174" s="685"/>
      <c r="AH174" s="685"/>
      <c r="AI174" s="685"/>
      <c r="AJ174" s="685"/>
      <c r="AK174" s="685"/>
      <c r="AL174" s="685"/>
      <c r="AM174" s="685"/>
      <c r="AN174" s="685"/>
      <c r="AO174" s="685"/>
      <c r="AP174" s="685"/>
      <c r="AQ174" s="685"/>
      <c r="AR174" s="685"/>
      <c r="AS174" s="685"/>
      <c r="AT174" s="685"/>
      <c r="AU174" s="685"/>
      <c r="AV174" s="685"/>
      <c r="AW174" s="685"/>
      <c r="AX174" s="685"/>
      <c r="AY174" s="685"/>
      <c r="AZ174" s="685"/>
      <c r="BA174" s="685"/>
      <c r="BB174" s="685"/>
      <c r="BC174" s="685"/>
      <c r="BD174" s="685"/>
      <c r="BE174" s="685"/>
    </row>
    <row r="175" spans="1:57">
      <c r="A175" s="685"/>
      <c r="B175" s="685" t="s">
        <v>2468</v>
      </c>
      <c r="C175" s="795">
        <f>C136+C137-C154</f>
        <v>17811.099999999984</v>
      </c>
      <c r="D175" s="795">
        <f>D136+D137-D154</f>
        <v>18829.899999999994</v>
      </c>
      <c r="E175" s="795">
        <f>I136+I137-E154</f>
        <v>19708.070249999997</v>
      </c>
      <c r="F175" s="685"/>
      <c r="G175" s="685"/>
      <c r="H175" s="685"/>
      <c r="I175" s="685"/>
      <c r="J175" s="685"/>
      <c r="K175" s="685"/>
      <c r="L175" s="685"/>
      <c r="M175" s="685"/>
      <c r="N175" s="685"/>
      <c r="O175" s="685"/>
      <c r="P175" s="685"/>
      <c r="Q175" s="685"/>
      <c r="R175" s="685"/>
      <c r="S175" s="685"/>
      <c r="T175" s="685"/>
      <c r="U175" s="685"/>
      <c r="V175" s="685"/>
      <c r="W175" s="685"/>
      <c r="X175" s="685"/>
      <c r="Y175" s="685"/>
      <c r="Z175" s="685"/>
      <c r="AA175" s="685"/>
      <c r="AB175" s="685"/>
      <c r="AC175" s="685"/>
      <c r="AD175" s="685"/>
      <c r="AE175" s="685"/>
      <c r="AF175" s="685"/>
      <c r="AG175" s="685"/>
      <c r="AH175" s="685"/>
      <c r="AI175" s="685"/>
      <c r="AJ175" s="685"/>
      <c r="AK175" s="685"/>
      <c r="AL175" s="685"/>
      <c r="AM175" s="685"/>
      <c r="AN175" s="685"/>
      <c r="AO175" s="685"/>
      <c r="AP175" s="685"/>
      <c r="AQ175" s="685"/>
      <c r="AR175" s="685"/>
      <c r="AS175" s="685"/>
      <c r="AT175" s="685"/>
      <c r="AU175" s="685"/>
      <c r="AV175" s="685"/>
      <c r="AW175" s="685"/>
      <c r="AX175" s="685"/>
      <c r="AY175" s="685"/>
      <c r="AZ175" s="685"/>
      <c r="BA175" s="685"/>
      <c r="BB175" s="685"/>
      <c r="BC175" s="685"/>
      <c r="BD175" s="685"/>
      <c r="BE175" s="685"/>
    </row>
    <row r="176" spans="1:57">
      <c r="A176" s="685"/>
      <c r="B176" s="1105" t="s">
        <v>1612</v>
      </c>
      <c r="C176" s="1080">
        <f>C172+C175</f>
        <v>32375.299999999985</v>
      </c>
      <c r="D176" s="1080">
        <f>D172+D175</f>
        <v>33577.899999999994</v>
      </c>
      <c r="E176" s="1106">
        <f>E172+E175</f>
        <v>36507.75</v>
      </c>
      <c r="F176" s="685"/>
      <c r="G176" s="685"/>
      <c r="H176" s="685"/>
      <c r="I176" s="685"/>
      <c r="J176" s="685"/>
      <c r="K176" s="685"/>
      <c r="L176" s="685"/>
      <c r="M176" s="685"/>
      <c r="N176" s="685"/>
      <c r="O176" s="685"/>
      <c r="P176" s="685"/>
      <c r="Q176" s="685"/>
      <c r="R176" s="685"/>
      <c r="S176" s="685"/>
      <c r="T176" s="685"/>
      <c r="U176" s="685"/>
      <c r="V176" s="685"/>
      <c r="W176" s="685"/>
      <c r="X176" s="685"/>
      <c r="Y176" s="685"/>
      <c r="Z176" s="685"/>
      <c r="AA176" s="685"/>
      <c r="AB176" s="685"/>
      <c r="AC176" s="685"/>
      <c r="AD176" s="685"/>
      <c r="AE176" s="685"/>
      <c r="AF176" s="685"/>
      <c r="AG176" s="685"/>
      <c r="AH176" s="685"/>
      <c r="AI176" s="685"/>
      <c r="AJ176" s="685"/>
      <c r="AK176" s="685"/>
      <c r="AL176" s="685"/>
      <c r="AM176" s="685"/>
      <c r="AN176" s="685"/>
      <c r="AO176" s="685"/>
      <c r="AP176" s="685"/>
      <c r="AQ176" s="685"/>
      <c r="AR176" s="685"/>
      <c r="AS176" s="685"/>
      <c r="AT176" s="685"/>
      <c r="AU176" s="685"/>
      <c r="AV176" s="685"/>
      <c r="AW176" s="685"/>
      <c r="AX176" s="685"/>
      <c r="AY176" s="685"/>
      <c r="AZ176" s="685"/>
      <c r="BA176" s="685"/>
      <c r="BB176" s="685"/>
      <c r="BC176" s="685"/>
      <c r="BD176" s="685"/>
      <c r="BE176" s="685"/>
    </row>
    <row r="177" spans="1:57">
      <c r="A177" s="685"/>
      <c r="B177" s="1107" t="s">
        <v>548</v>
      </c>
      <c r="C177" s="1108">
        <f>C176/C138</f>
        <v>0.36768386862308616</v>
      </c>
      <c r="D177" s="1108">
        <f>D176/D138</f>
        <v>0.34872579382141378</v>
      </c>
      <c r="E177" s="1109">
        <f>E176/I138</f>
        <v>0.37251760792426741</v>
      </c>
      <c r="F177" s="685"/>
      <c r="G177" s="685"/>
      <c r="H177" s="685"/>
      <c r="I177" s="685"/>
      <c r="J177" s="685"/>
      <c r="K177" s="685"/>
      <c r="L177" s="685"/>
      <c r="M177" s="685"/>
      <c r="N177" s="685"/>
      <c r="O177" s="685"/>
      <c r="P177" s="685"/>
      <c r="Q177" s="685"/>
      <c r="R177" s="685"/>
      <c r="S177" s="685"/>
      <c r="T177" s="685"/>
      <c r="U177" s="685"/>
      <c r="V177" s="685"/>
      <c r="W177" s="685"/>
      <c r="X177" s="685"/>
      <c r="Y177" s="685"/>
      <c r="Z177" s="685"/>
      <c r="AA177" s="685"/>
      <c r="AB177" s="685"/>
      <c r="AC177" s="685"/>
      <c r="AD177" s="685"/>
      <c r="AE177" s="685"/>
      <c r="AF177" s="685"/>
      <c r="AG177" s="685"/>
      <c r="AH177" s="685"/>
      <c r="AI177" s="685"/>
      <c r="AJ177" s="685"/>
      <c r="AK177" s="685"/>
      <c r="AL177" s="685"/>
      <c r="AM177" s="685"/>
      <c r="AN177" s="685"/>
      <c r="AO177" s="685"/>
      <c r="AP177" s="685"/>
      <c r="AQ177" s="685"/>
      <c r="AR177" s="685"/>
      <c r="AS177" s="685"/>
      <c r="AT177" s="685"/>
      <c r="AU177" s="685"/>
      <c r="AV177" s="685"/>
      <c r="AW177" s="685"/>
      <c r="AX177" s="685"/>
      <c r="AY177" s="685"/>
      <c r="AZ177" s="685"/>
      <c r="BA177" s="685"/>
      <c r="BB177" s="685"/>
      <c r="BC177" s="685"/>
      <c r="BD177" s="685"/>
      <c r="BE177" s="685"/>
    </row>
    <row r="178" spans="1:57">
      <c r="A178" s="685"/>
      <c r="B178" s="685"/>
      <c r="C178" s="685"/>
      <c r="D178" s="685"/>
      <c r="E178" s="685"/>
      <c r="F178" s="685"/>
      <c r="G178" s="685"/>
      <c r="H178" s="685"/>
      <c r="I178" s="685"/>
      <c r="J178" s="685"/>
      <c r="K178" s="685"/>
      <c r="L178" s="685"/>
      <c r="M178" s="685"/>
      <c r="N178" s="685"/>
      <c r="O178" s="685"/>
      <c r="P178" s="685"/>
      <c r="Q178" s="685"/>
      <c r="R178" s="685"/>
      <c r="S178" s="685"/>
      <c r="T178" s="685"/>
      <c r="U178" s="685"/>
      <c r="V178" s="685"/>
      <c r="W178" s="685"/>
      <c r="X178" s="685"/>
      <c r="Y178" s="685"/>
      <c r="Z178" s="685"/>
      <c r="AA178" s="685"/>
      <c r="AB178" s="685"/>
      <c r="AC178" s="685"/>
      <c r="AD178" s="685"/>
      <c r="AE178" s="685"/>
      <c r="AF178" s="685"/>
      <c r="AG178" s="685"/>
      <c r="AH178" s="685"/>
      <c r="AI178" s="685"/>
      <c r="AJ178" s="685"/>
      <c r="AK178" s="685"/>
      <c r="AL178" s="685"/>
      <c r="AM178" s="685"/>
      <c r="AN178" s="685"/>
      <c r="AO178" s="685"/>
      <c r="AP178" s="685"/>
      <c r="AQ178" s="685"/>
      <c r="AR178" s="685"/>
      <c r="AS178" s="685"/>
      <c r="AT178" s="685"/>
      <c r="AU178" s="685"/>
      <c r="AV178" s="685"/>
      <c r="AW178" s="685"/>
      <c r="AX178" s="685"/>
      <c r="AY178" s="685"/>
      <c r="AZ178" s="685"/>
      <c r="BA178" s="685"/>
      <c r="BB178" s="685"/>
      <c r="BC178" s="685"/>
      <c r="BD178" s="685"/>
      <c r="BE178" s="685"/>
    </row>
    <row r="179" spans="1:57">
      <c r="A179" s="685"/>
      <c r="B179" s="685" t="s">
        <v>552</v>
      </c>
      <c r="C179" s="795">
        <f>Master!N142+Master!N143</f>
        <v>14660.9</v>
      </c>
      <c r="D179" s="795">
        <f>Master!O142+Master!O143</f>
        <v>16979.8</v>
      </c>
      <c r="E179" s="795">
        <f>E180+E181</f>
        <v>17998.588</v>
      </c>
      <c r="F179" s="685"/>
      <c r="G179" s="685"/>
      <c r="H179" s="685"/>
      <c r="I179" s="685"/>
      <c r="J179" s="685"/>
      <c r="K179" s="685"/>
      <c r="L179" s="685"/>
      <c r="M179" s="685"/>
      <c r="N179" s="685"/>
      <c r="O179" s="685"/>
      <c r="P179" s="685"/>
      <c r="Q179" s="685"/>
      <c r="R179" s="685"/>
      <c r="S179" s="685"/>
      <c r="T179" s="685"/>
      <c r="U179" s="685"/>
      <c r="V179" s="685"/>
      <c r="W179" s="685"/>
      <c r="X179" s="685"/>
      <c r="Y179" s="685"/>
      <c r="Z179" s="685"/>
      <c r="AA179" s="685"/>
      <c r="AB179" s="685"/>
      <c r="AC179" s="685"/>
      <c r="AD179" s="685"/>
      <c r="AE179" s="685"/>
      <c r="AF179" s="685"/>
      <c r="AG179" s="685"/>
      <c r="AH179" s="685"/>
      <c r="AI179" s="685"/>
      <c r="AJ179" s="685"/>
      <c r="AK179" s="685"/>
      <c r="AL179" s="685"/>
      <c r="AM179" s="685"/>
      <c r="AN179" s="685"/>
      <c r="AO179" s="685"/>
      <c r="AP179" s="685"/>
      <c r="AQ179" s="685"/>
      <c r="AR179" s="685"/>
      <c r="AS179" s="685"/>
      <c r="AT179" s="685"/>
      <c r="AU179" s="685"/>
      <c r="AV179" s="685"/>
      <c r="AW179" s="685"/>
      <c r="AX179" s="685"/>
      <c r="AY179" s="685"/>
      <c r="AZ179" s="685"/>
      <c r="BA179" s="685"/>
      <c r="BB179" s="685"/>
      <c r="BC179" s="685"/>
      <c r="BD179" s="685"/>
      <c r="BE179" s="685"/>
    </row>
    <row r="180" spans="1:57">
      <c r="A180" s="685"/>
      <c r="B180" s="924" t="s">
        <v>2469</v>
      </c>
      <c r="C180" s="795">
        <f>C179*0.6</f>
        <v>8796.5399999999991</v>
      </c>
      <c r="D180" s="795">
        <f>D179*0.6</f>
        <v>10187.879999999999</v>
      </c>
      <c r="E180" s="795">
        <f>D180*(1+$I$123)</f>
        <v>11206.668</v>
      </c>
      <c r="F180" s="685"/>
      <c r="G180" s="685"/>
      <c r="H180" s="685"/>
      <c r="I180" s="685"/>
      <c r="J180" s="685"/>
      <c r="K180" s="685"/>
      <c r="L180" s="685"/>
      <c r="M180" s="685"/>
      <c r="N180" s="685"/>
      <c r="O180" s="685"/>
      <c r="P180" s="685"/>
      <c r="Q180" s="685"/>
      <c r="R180" s="685"/>
      <c r="S180" s="685"/>
      <c r="T180" s="685"/>
      <c r="U180" s="685"/>
      <c r="V180" s="685"/>
      <c r="W180" s="685"/>
      <c r="X180" s="685"/>
      <c r="Y180" s="685"/>
      <c r="Z180" s="685"/>
      <c r="AA180" s="685"/>
      <c r="AB180" s="685"/>
      <c r="AC180" s="685"/>
      <c r="AD180" s="685"/>
      <c r="AE180" s="685"/>
      <c r="AF180" s="685"/>
      <c r="AG180" s="685"/>
      <c r="AH180" s="685"/>
      <c r="AI180" s="685"/>
      <c r="AJ180" s="685"/>
      <c r="AK180" s="685"/>
      <c r="AL180" s="685"/>
      <c r="AM180" s="685"/>
      <c r="AN180" s="685"/>
      <c r="AO180" s="685"/>
      <c r="AP180" s="685"/>
      <c r="AQ180" s="685"/>
      <c r="AR180" s="685"/>
      <c r="AS180" s="685"/>
      <c r="AT180" s="685"/>
      <c r="AU180" s="685"/>
      <c r="AV180" s="685"/>
      <c r="AW180" s="685"/>
      <c r="AX180" s="685"/>
      <c r="AY180" s="685"/>
      <c r="AZ180" s="685"/>
      <c r="BA180" s="685"/>
      <c r="BB180" s="685"/>
      <c r="BC180" s="685"/>
      <c r="BD180" s="685"/>
      <c r="BE180" s="685"/>
    </row>
    <row r="181" spans="1:57">
      <c r="A181" s="685"/>
      <c r="B181" s="924" t="s">
        <v>2458</v>
      </c>
      <c r="C181" s="795">
        <f>C179-C180</f>
        <v>5864.3600000000006</v>
      </c>
      <c r="D181" s="795">
        <f>D179-D180</f>
        <v>6791.92</v>
      </c>
      <c r="E181" s="795">
        <f>D181</f>
        <v>6791.92</v>
      </c>
      <c r="F181" s="685"/>
      <c r="G181" s="685"/>
      <c r="H181" s="685"/>
      <c r="I181" s="685"/>
      <c r="J181" s="685"/>
      <c r="K181" s="685"/>
      <c r="L181" s="685"/>
      <c r="M181" s="685"/>
      <c r="N181" s="685"/>
      <c r="O181" s="685"/>
      <c r="P181" s="685"/>
      <c r="Q181" s="685"/>
      <c r="R181" s="685"/>
      <c r="S181" s="685"/>
      <c r="T181" s="685"/>
      <c r="U181" s="685"/>
      <c r="V181" s="685"/>
      <c r="W181" s="685"/>
      <c r="X181" s="685"/>
      <c r="Y181" s="685"/>
      <c r="Z181" s="685"/>
      <c r="AA181" s="685"/>
      <c r="AB181" s="685"/>
      <c r="AC181" s="685"/>
      <c r="AD181" s="685"/>
      <c r="AE181" s="685"/>
      <c r="AF181" s="685"/>
      <c r="AG181" s="685"/>
      <c r="AH181" s="685"/>
      <c r="AI181" s="685"/>
      <c r="AJ181" s="685"/>
      <c r="AK181" s="685"/>
      <c r="AL181" s="685"/>
      <c r="AM181" s="685"/>
      <c r="AN181" s="685"/>
      <c r="AO181" s="685"/>
      <c r="AP181" s="685"/>
      <c r="AQ181" s="685"/>
      <c r="AR181" s="685"/>
      <c r="AS181" s="685"/>
      <c r="AT181" s="685"/>
      <c r="AU181" s="685"/>
      <c r="AV181" s="685"/>
      <c r="AW181" s="685"/>
      <c r="AX181" s="685"/>
      <c r="AY181" s="685"/>
      <c r="AZ181" s="685"/>
      <c r="BA181" s="685"/>
      <c r="BB181" s="685"/>
      <c r="BC181" s="685"/>
      <c r="BD181" s="685"/>
      <c r="BE181" s="685"/>
    </row>
    <row r="182" spans="1:57">
      <c r="A182" s="685"/>
      <c r="B182" s="924"/>
      <c r="C182" s="795"/>
      <c r="D182" s="795"/>
      <c r="E182" s="795"/>
      <c r="F182" s="685"/>
      <c r="G182" s="685"/>
      <c r="H182" s="685"/>
      <c r="I182" s="685"/>
      <c r="J182" s="685"/>
      <c r="K182" s="685"/>
      <c r="L182" s="685"/>
      <c r="M182" s="685"/>
      <c r="N182" s="685"/>
      <c r="O182" s="685"/>
      <c r="P182" s="685"/>
      <c r="Q182" s="685"/>
      <c r="R182" s="685"/>
      <c r="S182" s="685"/>
      <c r="T182" s="685"/>
      <c r="U182" s="685"/>
      <c r="V182" s="685"/>
      <c r="W182" s="685"/>
      <c r="X182" s="685"/>
      <c r="Y182" s="685"/>
      <c r="Z182" s="685"/>
      <c r="AA182" s="685"/>
      <c r="AB182" s="685"/>
      <c r="AC182" s="685"/>
      <c r="AD182" s="685"/>
      <c r="AE182" s="685"/>
      <c r="AF182" s="685"/>
      <c r="AG182" s="685"/>
      <c r="AH182" s="685"/>
      <c r="AI182" s="685"/>
      <c r="AJ182" s="685"/>
      <c r="AK182" s="685"/>
      <c r="AL182" s="685"/>
      <c r="AM182" s="685"/>
      <c r="AN182" s="685"/>
      <c r="AO182" s="685"/>
      <c r="AP182" s="685"/>
      <c r="AQ182" s="685"/>
      <c r="AR182" s="685"/>
      <c r="AS182" s="685"/>
      <c r="AT182" s="685"/>
      <c r="AU182" s="685"/>
      <c r="AV182" s="685"/>
      <c r="AW182" s="685"/>
      <c r="AX182" s="685"/>
      <c r="AY182" s="685"/>
      <c r="AZ182" s="685"/>
      <c r="BA182" s="685"/>
      <c r="BB182" s="685"/>
      <c r="BC182" s="685"/>
      <c r="BD182" s="685"/>
      <c r="BE182" s="685"/>
    </row>
    <row r="183" spans="1:57">
      <c r="A183" s="685"/>
      <c r="B183" s="932" t="s">
        <v>238</v>
      </c>
      <c r="C183" s="818">
        <f>C176-C179</f>
        <v>17714.399999999987</v>
      </c>
      <c r="D183" s="818">
        <f>D176-D179</f>
        <v>16598.099999999995</v>
      </c>
      <c r="E183" s="818">
        <f>E176-E179</f>
        <v>18509.162</v>
      </c>
      <c r="F183" s="685"/>
      <c r="G183" s="685"/>
      <c r="H183" s="685"/>
      <c r="I183" s="685"/>
      <c r="J183" s="685"/>
      <c r="K183" s="685"/>
      <c r="L183" s="685"/>
      <c r="M183" s="685"/>
      <c r="N183" s="685"/>
      <c r="O183" s="685"/>
      <c r="P183" s="685"/>
      <c r="Q183" s="685"/>
      <c r="R183" s="685"/>
      <c r="S183" s="685"/>
      <c r="T183" s="685"/>
      <c r="U183" s="685"/>
      <c r="V183" s="685"/>
      <c r="W183" s="685"/>
      <c r="X183" s="685"/>
      <c r="Y183" s="685"/>
      <c r="Z183" s="685"/>
      <c r="AA183" s="685"/>
      <c r="AB183" s="685"/>
      <c r="AC183" s="685"/>
      <c r="AD183" s="685"/>
      <c r="AE183" s="685"/>
      <c r="AF183" s="685"/>
      <c r="AG183" s="685"/>
      <c r="AH183" s="685"/>
      <c r="AI183" s="685"/>
      <c r="AJ183" s="685"/>
      <c r="AK183" s="685"/>
      <c r="AL183" s="685"/>
      <c r="AM183" s="685"/>
      <c r="AN183" s="685"/>
      <c r="AO183" s="685"/>
      <c r="AP183" s="685"/>
      <c r="AQ183" s="685"/>
      <c r="AR183" s="685"/>
      <c r="AS183" s="685"/>
      <c r="AT183" s="685"/>
      <c r="AU183" s="685"/>
      <c r="AV183" s="685"/>
      <c r="AW183" s="685"/>
      <c r="AX183" s="685"/>
      <c r="AY183" s="685"/>
      <c r="AZ183" s="685"/>
      <c r="BA183" s="685"/>
      <c r="BB183" s="685"/>
      <c r="BC183" s="685"/>
      <c r="BD183" s="685"/>
      <c r="BE183" s="685"/>
    </row>
    <row r="184" spans="1:57">
      <c r="A184" s="685"/>
      <c r="B184" s="932"/>
      <c r="C184" s="818"/>
      <c r="D184" s="818"/>
      <c r="E184" s="818"/>
      <c r="F184" s="685"/>
      <c r="G184" s="685"/>
      <c r="H184" s="685"/>
      <c r="I184" s="685"/>
      <c r="J184" s="685"/>
      <c r="K184" s="685"/>
      <c r="L184" s="685"/>
      <c r="M184" s="685"/>
      <c r="N184" s="685"/>
      <c r="O184" s="685"/>
      <c r="P184" s="685"/>
      <c r="Q184" s="685"/>
      <c r="R184" s="685"/>
      <c r="S184" s="685"/>
      <c r="T184" s="685"/>
      <c r="U184" s="685"/>
      <c r="V184" s="685"/>
      <c r="W184" s="685"/>
      <c r="X184" s="685"/>
      <c r="Y184" s="685"/>
      <c r="Z184" s="685"/>
      <c r="AA184" s="685"/>
      <c r="AB184" s="685"/>
      <c r="AC184" s="685"/>
      <c r="AD184" s="685"/>
      <c r="AE184" s="685"/>
      <c r="AF184" s="685"/>
      <c r="AG184" s="685"/>
      <c r="AH184" s="685"/>
      <c r="AI184" s="685"/>
      <c r="AJ184" s="685"/>
      <c r="AK184" s="685"/>
      <c r="AL184" s="685"/>
      <c r="AM184" s="685"/>
      <c r="AN184" s="685"/>
      <c r="AO184" s="685"/>
      <c r="AP184" s="685"/>
      <c r="AQ184" s="685"/>
      <c r="AR184" s="685"/>
      <c r="AS184" s="685"/>
      <c r="AT184" s="685"/>
      <c r="AU184" s="685"/>
      <c r="AV184" s="685"/>
      <c r="AW184" s="685"/>
      <c r="AX184" s="685"/>
      <c r="AY184" s="685"/>
      <c r="AZ184" s="685"/>
      <c r="BA184" s="685"/>
      <c r="BB184" s="685"/>
      <c r="BC184" s="685"/>
      <c r="BD184" s="685"/>
      <c r="BE184" s="685"/>
    </row>
    <row r="185" spans="1:57">
      <c r="A185" s="685"/>
      <c r="B185" s="924" t="s">
        <v>2470</v>
      </c>
      <c r="C185" s="795">
        <f>Master!N152</f>
        <v>35.4</v>
      </c>
      <c r="D185" s="795">
        <f>Master!O152</f>
        <v>1139.4000000000001</v>
      </c>
      <c r="E185" s="795">
        <f>E186+E187</f>
        <v>1224.855</v>
      </c>
      <c r="F185" s="685"/>
      <c r="G185" s="685"/>
      <c r="H185" s="685"/>
      <c r="I185" s="685"/>
      <c r="J185" s="685"/>
      <c r="K185" s="685"/>
      <c r="L185" s="685"/>
      <c r="M185" s="685"/>
      <c r="N185" s="685"/>
      <c r="O185" s="685"/>
      <c r="P185" s="685"/>
      <c r="Q185" s="685"/>
      <c r="R185" s="685"/>
      <c r="S185" s="685"/>
      <c r="T185" s="685"/>
      <c r="U185" s="685"/>
      <c r="V185" s="685"/>
      <c r="W185" s="685"/>
      <c r="X185" s="685"/>
      <c r="Y185" s="685"/>
      <c r="Z185" s="685"/>
      <c r="AA185" s="685"/>
      <c r="AB185" s="685"/>
      <c r="AC185" s="685"/>
      <c r="AD185" s="685"/>
      <c r="AE185" s="685"/>
      <c r="AF185" s="685"/>
      <c r="AG185" s="685"/>
      <c r="AH185" s="685"/>
      <c r="AI185" s="685"/>
      <c r="AJ185" s="685"/>
      <c r="AK185" s="685"/>
      <c r="AL185" s="685"/>
      <c r="AM185" s="685"/>
      <c r="AN185" s="685"/>
      <c r="AO185" s="685"/>
      <c r="AP185" s="685"/>
      <c r="AQ185" s="685"/>
      <c r="AR185" s="685"/>
      <c r="AS185" s="685"/>
      <c r="AT185" s="685"/>
      <c r="AU185" s="685"/>
      <c r="AV185" s="685"/>
      <c r="AW185" s="685"/>
      <c r="AX185" s="685"/>
      <c r="AY185" s="685"/>
      <c r="AZ185" s="685"/>
      <c r="BA185" s="685"/>
      <c r="BB185" s="685"/>
      <c r="BC185" s="685"/>
      <c r="BD185" s="685"/>
      <c r="BE185" s="685"/>
    </row>
    <row r="186" spans="1:57">
      <c r="A186" s="685"/>
      <c r="B186" s="924" t="s">
        <v>2471</v>
      </c>
      <c r="C186" s="795">
        <f>C185*0.75</f>
        <v>26.549999999999997</v>
      </c>
      <c r="D186" s="795">
        <f>D185*0.75</f>
        <v>854.55000000000007</v>
      </c>
      <c r="E186" s="795">
        <f>D186*(1+$I$123)</f>
        <v>940.00500000000011</v>
      </c>
      <c r="F186" s="685"/>
      <c r="G186" s="685"/>
      <c r="H186" s="685"/>
      <c r="I186" s="685"/>
      <c r="J186" s="685"/>
      <c r="K186" s="685"/>
      <c r="L186" s="685"/>
      <c r="M186" s="685"/>
      <c r="N186" s="685"/>
      <c r="O186" s="685"/>
      <c r="P186" s="685"/>
      <c r="Q186" s="685"/>
      <c r="R186" s="685"/>
      <c r="S186" s="685"/>
      <c r="T186" s="685"/>
      <c r="U186" s="685"/>
      <c r="V186" s="685"/>
      <c r="W186" s="685"/>
      <c r="X186" s="685"/>
      <c r="Y186" s="685"/>
      <c r="Z186" s="685"/>
      <c r="AA186" s="685"/>
      <c r="AB186" s="685"/>
      <c r="AC186" s="685"/>
      <c r="AD186" s="685"/>
      <c r="AE186" s="685"/>
      <c r="AF186" s="685"/>
      <c r="AG186" s="685"/>
      <c r="AH186" s="685"/>
      <c r="AI186" s="685"/>
      <c r="AJ186" s="685"/>
      <c r="AK186" s="685"/>
      <c r="AL186" s="685"/>
      <c r="AM186" s="685"/>
      <c r="AN186" s="685"/>
      <c r="AO186" s="685"/>
      <c r="AP186" s="685"/>
      <c r="AQ186" s="685"/>
      <c r="AR186" s="685"/>
      <c r="AS186" s="685"/>
      <c r="AT186" s="685"/>
      <c r="AU186" s="685"/>
      <c r="AV186" s="685"/>
      <c r="AW186" s="685"/>
      <c r="AX186" s="685"/>
      <c r="AY186" s="685"/>
      <c r="AZ186" s="685"/>
      <c r="BA186" s="685"/>
      <c r="BB186" s="685"/>
      <c r="BC186" s="685"/>
      <c r="BD186" s="685"/>
      <c r="BE186" s="685"/>
    </row>
    <row r="187" spans="1:57">
      <c r="A187" s="685"/>
      <c r="B187" s="924" t="s">
        <v>2472</v>
      </c>
      <c r="C187" s="795">
        <f>C185-C186</f>
        <v>8.8500000000000014</v>
      </c>
      <c r="D187" s="795">
        <f>D185-D186</f>
        <v>284.85000000000002</v>
      </c>
      <c r="E187" s="795">
        <f>D187</f>
        <v>284.85000000000002</v>
      </c>
      <c r="F187" s="685"/>
      <c r="G187" s="685"/>
      <c r="H187" s="685"/>
      <c r="I187" s="685"/>
      <c r="J187" s="685"/>
      <c r="K187" s="685"/>
      <c r="L187" s="685"/>
      <c r="M187" s="685"/>
      <c r="N187" s="685"/>
      <c r="O187" s="685"/>
      <c r="P187" s="685"/>
      <c r="Q187" s="685"/>
      <c r="R187" s="685"/>
      <c r="S187" s="685"/>
      <c r="T187" s="685"/>
      <c r="U187" s="685"/>
      <c r="V187" s="685"/>
      <c r="W187" s="685"/>
      <c r="X187" s="685"/>
      <c r="Y187" s="685"/>
      <c r="Z187" s="685"/>
      <c r="AA187" s="685"/>
      <c r="AB187" s="685"/>
      <c r="AC187" s="685"/>
      <c r="AD187" s="685"/>
      <c r="AE187" s="685"/>
      <c r="AF187" s="685"/>
      <c r="AG187" s="685"/>
      <c r="AH187" s="685"/>
      <c r="AI187" s="685"/>
      <c r="AJ187" s="685"/>
      <c r="AK187" s="685"/>
      <c r="AL187" s="685"/>
      <c r="AM187" s="685"/>
      <c r="AN187" s="685"/>
      <c r="AO187" s="685"/>
      <c r="AP187" s="685"/>
      <c r="AQ187" s="685"/>
      <c r="AR187" s="685"/>
      <c r="AS187" s="685"/>
      <c r="AT187" s="685"/>
      <c r="AU187" s="685"/>
      <c r="AV187" s="685"/>
      <c r="AW187" s="685"/>
      <c r="AX187" s="685"/>
      <c r="AY187" s="685"/>
      <c r="AZ187" s="685"/>
      <c r="BA187" s="685"/>
      <c r="BB187" s="685"/>
      <c r="BC187" s="685"/>
      <c r="BD187" s="685"/>
      <c r="BE187" s="685"/>
    </row>
    <row r="188" spans="1:57">
      <c r="A188" s="685"/>
      <c r="B188" s="932"/>
      <c r="C188" s="818"/>
      <c r="D188" s="818"/>
      <c r="E188" s="818"/>
      <c r="F188" s="685"/>
      <c r="G188" s="685"/>
      <c r="H188" s="685"/>
      <c r="I188" s="685"/>
      <c r="J188" s="685"/>
      <c r="K188" s="685"/>
      <c r="L188" s="685"/>
      <c r="M188" s="685"/>
      <c r="N188" s="685"/>
      <c r="O188" s="685"/>
      <c r="P188" s="685"/>
      <c r="Q188" s="685"/>
      <c r="R188" s="685"/>
      <c r="S188" s="685"/>
      <c r="T188" s="685"/>
      <c r="U188" s="685"/>
      <c r="V188" s="685"/>
      <c r="W188" s="685"/>
      <c r="X188" s="685"/>
      <c r="Y188" s="685"/>
      <c r="Z188" s="685"/>
      <c r="AA188" s="685"/>
      <c r="AB188" s="685"/>
      <c r="AC188" s="685"/>
      <c r="AD188" s="685"/>
      <c r="AE188" s="685"/>
      <c r="AF188" s="685"/>
      <c r="AG188" s="685"/>
      <c r="AH188" s="685"/>
      <c r="AI188" s="685"/>
      <c r="AJ188" s="685"/>
      <c r="AK188" s="685"/>
      <c r="AL188" s="685"/>
      <c r="AM188" s="685"/>
      <c r="AN188" s="685"/>
      <c r="AO188" s="685"/>
      <c r="AP188" s="685"/>
      <c r="AQ188" s="685"/>
      <c r="AR188" s="685"/>
      <c r="AS188" s="685"/>
      <c r="AT188" s="685"/>
      <c r="AU188" s="685"/>
      <c r="AV188" s="685"/>
      <c r="AW188" s="685"/>
      <c r="AX188" s="685"/>
      <c r="AY188" s="685"/>
      <c r="AZ188" s="685"/>
      <c r="BA188" s="685"/>
      <c r="BB188" s="685"/>
      <c r="BC188" s="685"/>
      <c r="BD188" s="685"/>
      <c r="BE188" s="685"/>
    </row>
    <row r="189" spans="1:57">
      <c r="A189" s="685"/>
      <c r="B189" s="924" t="s">
        <v>2473</v>
      </c>
      <c r="C189" s="795">
        <f>Master!N284</f>
        <v>5211</v>
      </c>
      <c r="D189" s="795">
        <f>Master!O284</f>
        <v>6998.4</v>
      </c>
      <c r="E189" s="795">
        <f>E190+E191</f>
        <v>7348.32</v>
      </c>
      <c r="F189" s="685"/>
      <c r="G189" s="685"/>
      <c r="H189" s="685"/>
      <c r="I189" s="685"/>
      <c r="J189" s="685"/>
      <c r="K189" s="685"/>
      <c r="L189" s="685"/>
      <c r="M189" s="685"/>
      <c r="N189" s="685"/>
      <c r="O189" s="685"/>
      <c r="P189" s="685"/>
      <c r="Q189" s="685"/>
      <c r="R189" s="685"/>
      <c r="S189" s="685"/>
      <c r="T189" s="685"/>
      <c r="U189" s="685"/>
      <c r="V189" s="685"/>
      <c r="W189" s="685"/>
      <c r="X189" s="685"/>
      <c r="Y189" s="685"/>
      <c r="Z189" s="685"/>
      <c r="AA189" s="685"/>
      <c r="AB189" s="685"/>
      <c r="AC189" s="685"/>
      <c r="AD189" s="685"/>
      <c r="AE189" s="685"/>
      <c r="AF189" s="685"/>
      <c r="AG189" s="685"/>
      <c r="AH189" s="685"/>
      <c r="AI189" s="685"/>
      <c r="AJ189" s="685"/>
      <c r="AK189" s="685"/>
      <c r="AL189" s="685"/>
      <c r="AM189" s="685"/>
      <c r="AN189" s="685"/>
      <c r="AO189" s="685"/>
      <c r="AP189" s="685"/>
      <c r="AQ189" s="685"/>
      <c r="AR189" s="685"/>
      <c r="AS189" s="685"/>
      <c r="AT189" s="685"/>
      <c r="AU189" s="685"/>
      <c r="AV189" s="685"/>
      <c r="AW189" s="685"/>
      <c r="AX189" s="685"/>
      <c r="AY189" s="685"/>
      <c r="AZ189" s="685"/>
      <c r="BA189" s="685"/>
      <c r="BB189" s="685"/>
      <c r="BC189" s="685"/>
      <c r="BD189" s="685"/>
      <c r="BE189" s="685"/>
    </row>
    <row r="190" spans="1:57">
      <c r="A190" s="685"/>
      <c r="B190" s="924" t="s">
        <v>2474</v>
      </c>
      <c r="C190" s="795">
        <f>C189*0.5</f>
        <v>2605.5</v>
      </c>
      <c r="D190" s="795">
        <f>D189*0.5</f>
        <v>3499.2</v>
      </c>
      <c r="E190" s="795">
        <f>D190*(1+$I$123)</f>
        <v>3849.12</v>
      </c>
      <c r="F190" s="685"/>
      <c r="G190" s="685"/>
      <c r="H190" s="685"/>
      <c r="I190" s="685"/>
      <c r="J190" s="685"/>
      <c r="K190" s="685"/>
      <c r="L190" s="685"/>
      <c r="M190" s="685"/>
      <c r="N190" s="685"/>
      <c r="O190" s="685"/>
      <c r="P190" s="685"/>
      <c r="Q190" s="685"/>
      <c r="R190" s="685"/>
      <c r="S190" s="685"/>
      <c r="T190" s="685"/>
      <c r="U190" s="685"/>
      <c r="V190" s="685"/>
      <c r="W190" s="685"/>
      <c r="X190" s="685"/>
      <c r="Y190" s="685"/>
      <c r="Z190" s="685"/>
      <c r="AA190" s="685"/>
      <c r="AB190" s="685"/>
      <c r="AC190" s="685"/>
      <c r="AD190" s="685"/>
      <c r="AE190" s="685"/>
      <c r="AF190" s="685"/>
      <c r="AG190" s="685"/>
      <c r="AH190" s="685"/>
      <c r="AI190" s="685"/>
      <c r="AJ190" s="685"/>
      <c r="AK190" s="685"/>
      <c r="AL190" s="685"/>
      <c r="AM190" s="685"/>
      <c r="AN190" s="685"/>
      <c r="AO190" s="685"/>
      <c r="AP190" s="685"/>
      <c r="AQ190" s="685"/>
      <c r="AR190" s="685"/>
      <c r="AS190" s="685"/>
      <c r="AT190" s="685"/>
      <c r="AU190" s="685"/>
      <c r="AV190" s="685"/>
      <c r="AW190" s="685"/>
      <c r="AX190" s="685"/>
      <c r="AY190" s="685"/>
      <c r="AZ190" s="685"/>
      <c r="BA190" s="685"/>
      <c r="BB190" s="685"/>
      <c r="BC190" s="685"/>
      <c r="BD190" s="685"/>
      <c r="BE190" s="685"/>
    </row>
    <row r="191" spans="1:57">
      <c r="A191" s="685"/>
      <c r="B191" s="924" t="s">
        <v>2475</v>
      </c>
      <c r="C191" s="795">
        <f>C189-C190</f>
        <v>2605.5</v>
      </c>
      <c r="D191" s="795">
        <f>D189-D190</f>
        <v>3499.2</v>
      </c>
      <c r="E191" s="795">
        <f>D191</f>
        <v>3499.2</v>
      </c>
      <c r="F191" s="685"/>
      <c r="G191" s="685"/>
      <c r="H191" s="685"/>
      <c r="I191" s="685"/>
      <c r="J191" s="685"/>
      <c r="K191" s="685"/>
      <c r="L191" s="685"/>
      <c r="M191" s="685"/>
      <c r="N191" s="685"/>
      <c r="O191" s="685"/>
      <c r="P191" s="685"/>
      <c r="Q191" s="685"/>
      <c r="R191" s="685"/>
      <c r="S191" s="685"/>
      <c r="T191" s="685"/>
      <c r="U191" s="685"/>
      <c r="V191" s="685"/>
      <c r="W191" s="685"/>
      <c r="X191" s="685"/>
      <c r="Y191" s="685"/>
      <c r="Z191" s="685"/>
      <c r="AA191" s="685"/>
      <c r="AB191" s="685"/>
      <c r="AC191" s="685"/>
      <c r="AD191" s="685"/>
      <c r="AE191" s="685"/>
      <c r="AF191" s="685"/>
      <c r="AG191" s="685"/>
      <c r="AH191" s="685"/>
      <c r="AI191" s="685"/>
      <c r="AJ191" s="685"/>
      <c r="AK191" s="685"/>
      <c r="AL191" s="685"/>
      <c r="AM191" s="685"/>
      <c r="AN191" s="685"/>
      <c r="AO191" s="685"/>
      <c r="AP191" s="685"/>
      <c r="AQ191" s="685"/>
      <c r="AR191" s="685"/>
      <c r="AS191" s="685"/>
      <c r="AT191" s="685"/>
      <c r="AU191" s="685"/>
      <c r="AV191" s="685"/>
      <c r="AW191" s="685"/>
      <c r="AX191" s="685"/>
      <c r="AY191" s="685"/>
      <c r="AZ191" s="685"/>
      <c r="BA191" s="685"/>
      <c r="BB191" s="685"/>
      <c r="BC191" s="685"/>
      <c r="BD191" s="685"/>
      <c r="BE191" s="685"/>
    </row>
    <row r="192" spans="1:57">
      <c r="A192" s="685"/>
      <c r="B192" s="685"/>
      <c r="C192" s="795"/>
      <c r="D192" s="685"/>
      <c r="E192" s="685"/>
      <c r="F192" s="685"/>
      <c r="G192" s="685"/>
      <c r="H192" s="685"/>
      <c r="I192" s="685"/>
      <c r="J192" s="685"/>
      <c r="K192" s="685"/>
      <c r="L192" s="685"/>
      <c r="M192" s="685"/>
      <c r="N192" s="685"/>
      <c r="O192" s="685"/>
      <c r="P192" s="685"/>
      <c r="Q192" s="685"/>
      <c r="R192" s="685"/>
      <c r="S192" s="685"/>
      <c r="T192" s="685"/>
      <c r="U192" s="685"/>
      <c r="V192" s="685"/>
      <c r="W192" s="685"/>
      <c r="X192" s="685"/>
      <c r="Y192" s="685"/>
      <c r="Z192" s="685"/>
      <c r="AA192" s="685"/>
      <c r="AB192" s="685"/>
      <c r="AC192" s="685"/>
      <c r="AD192" s="685"/>
      <c r="AE192" s="685"/>
      <c r="AF192" s="685"/>
      <c r="AG192" s="685"/>
      <c r="AH192" s="685"/>
      <c r="AI192" s="685"/>
      <c r="AJ192" s="685"/>
      <c r="AK192" s="685"/>
      <c r="AL192" s="685"/>
      <c r="AM192" s="685"/>
      <c r="AN192" s="685"/>
      <c r="AO192" s="685"/>
      <c r="AP192" s="685"/>
      <c r="AQ192" s="685"/>
      <c r="AR192" s="685"/>
      <c r="AS192" s="685"/>
      <c r="AT192" s="685"/>
      <c r="AU192" s="685"/>
      <c r="AV192" s="685"/>
      <c r="AW192" s="685"/>
      <c r="AX192" s="685"/>
      <c r="AY192" s="685"/>
      <c r="AZ192" s="685"/>
      <c r="BA192" s="685"/>
      <c r="BB192" s="685"/>
      <c r="BC192" s="685"/>
      <c r="BD192" s="685"/>
      <c r="BE192" s="685"/>
    </row>
    <row r="193" spans="1:57">
      <c r="A193" s="685"/>
      <c r="B193" s="685" t="s">
        <v>2476</v>
      </c>
      <c r="C193" s="795">
        <f>C194-C183+C189-C185</f>
        <v>7944.0000000000091</v>
      </c>
      <c r="D193" s="795">
        <f>D194-D183+D189-D185</f>
        <v>-2533.7000000000012</v>
      </c>
      <c r="E193" s="795">
        <f>D193</f>
        <v>-2533.7000000000012</v>
      </c>
      <c r="F193" s="685"/>
      <c r="G193" s="685"/>
      <c r="H193" s="685"/>
      <c r="I193" s="685"/>
      <c r="J193" s="685"/>
      <c r="K193" s="685"/>
      <c r="L193" s="685"/>
      <c r="M193" s="685"/>
      <c r="N193" s="685"/>
      <c r="O193" s="685"/>
      <c r="P193" s="685"/>
      <c r="Q193" s="685"/>
      <c r="R193" s="685"/>
      <c r="S193" s="685"/>
      <c r="T193" s="685"/>
      <c r="U193" s="685"/>
      <c r="V193" s="685"/>
      <c r="W193" s="685"/>
      <c r="X193" s="685"/>
      <c r="Y193" s="685"/>
      <c r="Z193" s="685"/>
      <c r="AA193" s="685"/>
      <c r="AB193" s="685"/>
      <c r="AC193" s="685"/>
      <c r="AD193" s="685"/>
      <c r="AE193" s="685"/>
      <c r="AF193" s="685"/>
      <c r="AG193" s="685"/>
      <c r="AH193" s="685"/>
      <c r="AI193" s="685"/>
      <c r="AJ193" s="685"/>
      <c r="AK193" s="685"/>
      <c r="AL193" s="685"/>
      <c r="AM193" s="685"/>
      <c r="AN193" s="685"/>
      <c r="AO193" s="685"/>
      <c r="AP193" s="685"/>
      <c r="AQ193" s="685"/>
      <c r="AR193" s="685"/>
      <c r="AS193" s="685"/>
      <c r="AT193" s="685"/>
      <c r="AU193" s="685"/>
      <c r="AV193" s="685"/>
      <c r="AW193" s="685"/>
      <c r="AX193" s="685"/>
      <c r="AY193" s="685"/>
      <c r="AZ193" s="685"/>
      <c r="BA193" s="685"/>
      <c r="BB193" s="685"/>
      <c r="BC193" s="685"/>
      <c r="BD193" s="685"/>
      <c r="BE193" s="685"/>
    </row>
    <row r="194" spans="1:57">
      <c r="A194" s="685"/>
      <c r="B194" s="817" t="s">
        <v>242</v>
      </c>
      <c r="C194" s="818">
        <f>Master!N154</f>
        <v>20482.799999999996</v>
      </c>
      <c r="D194" s="818">
        <f>Master!O154</f>
        <v>8205.3999999999942</v>
      </c>
      <c r="E194" s="818">
        <f>E183+E185-E189+E193</f>
        <v>9851.9969999999994</v>
      </c>
      <c r="F194" s="685"/>
      <c r="G194" s="795"/>
      <c r="H194" s="685"/>
      <c r="I194" s="685"/>
      <c r="J194" s="685"/>
      <c r="K194" s="685"/>
      <c r="L194" s="685"/>
      <c r="M194" s="685"/>
      <c r="N194" s="685"/>
      <c r="O194" s="685"/>
      <c r="P194" s="685"/>
      <c r="Q194" s="685"/>
      <c r="R194" s="685"/>
      <c r="S194" s="685"/>
      <c r="T194" s="685"/>
      <c r="U194" s="685"/>
      <c r="V194" s="685"/>
      <c r="W194" s="685"/>
      <c r="X194" s="685"/>
      <c r="Y194" s="685"/>
      <c r="Z194" s="685"/>
      <c r="AA194" s="685"/>
      <c r="AB194" s="685"/>
      <c r="AC194" s="685"/>
      <c r="AD194" s="685"/>
      <c r="AE194" s="685"/>
      <c r="AF194" s="685"/>
      <c r="AG194" s="685"/>
      <c r="AH194" s="685"/>
      <c r="AI194" s="685"/>
      <c r="AJ194" s="685"/>
      <c r="AK194" s="685"/>
      <c r="AL194" s="685"/>
      <c r="AM194" s="685"/>
      <c r="AN194" s="685"/>
      <c r="AO194" s="685"/>
      <c r="AP194" s="685"/>
      <c r="AQ194" s="685"/>
      <c r="AR194" s="685"/>
      <c r="AS194" s="685"/>
      <c r="AT194" s="685"/>
      <c r="AU194" s="685"/>
      <c r="AV194" s="685"/>
      <c r="AW194" s="685"/>
      <c r="AX194" s="685"/>
      <c r="AY194" s="685"/>
      <c r="AZ194" s="685"/>
      <c r="BA194" s="685"/>
      <c r="BB194" s="685"/>
      <c r="BC194" s="685"/>
      <c r="BD194" s="685"/>
      <c r="BE194" s="685"/>
    </row>
    <row r="195" spans="1:57">
      <c r="A195" s="685"/>
      <c r="B195" s="685" t="s">
        <v>114</v>
      </c>
      <c r="C195" s="795">
        <f>-Master!N156</f>
        <v>6332.2</v>
      </c>
      <c r="D195" s="795">
        <f>-Master!O156</f>
        <v>2872.2</v>
      </c>
      <c r="E195" s="795">
        <f>E196*E194</f>
        <v>3448.5711584322544</v>
      </c>
      <c r="F195" s="685"/>
      <c r="G195" s="685"/>
      <c r="H195" s="685"/>
      <c r="I195" s="685"/>
      <c r="J195" s="685"/>
      <c r="K195" s="685"/>
      <c r="L195" s="685"/>
      <c r="M195" s="685"/>
      <c r="N195" s="685"/>
      <c r="O195" s="685"/>
      <c r="P195" s="685"/>
      <c r="Q195" s="685"/>
      <c r="R195" s="685"/>
      <c r="S195" s="685"/>
      <c r="T195" s="685"/>
      <c r="U195" s="685"/>
      <c r="V195" s="685"/>
      <c r="W195" s="685"/>
      <c r="X195" s="685"/>
      <c r="Y195" s="685"/>
      <c r="Z195" s="685"/>
      <c r="AA195" s="685"/>
      <c r="AB195" s="685"/>
      <c r="AC195" s="685"/>
      <c r="AD195" s="685"/>
      <c r="AE195" s="685"/>
      <c r="AF195" s="685"/>
      <c r="AG195" s="685"/>
      <c r="AH195" s="685"/>
      <c r="AI195" s="685"/>
      <c r="AJ195" s="685"/>
      <c r="AK195" s="685"/>
      <c r="AL195" s="685"/>
      <c r="AM195" s="685"/>
      <c r="AN195" s="685"/>
      <c r="AO195" s="685"/>
      <c r="AP195" s="685"/>
      <c r="AQ195" s="685"/>
      <c r="AR195" s="685"/>
      <c r="AS195" s="685"/>
      <c r="AT195" s="685"/>
      <c r="AU195" s="685"/>
      <c r="AV195" s="685"/>
      <c r="AW195" s="685"/>
      <c r="AX195" s="685"/>
      <c r="AY195" s="685"/>
      <c r="AZ195" s="685"/>
      <c r="BA195" s="685"/>
      <c r="BB195" s="685"/>
      <c r="BC195" s="685"/>
      <c r="BD195" s="685"/>
      <c r="BE195" s="685"/>
    </row>
    <row r="196" spans="1:57">
      <c r="A196" s="685"/>
      <c r="B196" s="685" t="s">
        <v>714</v>
      </c>
      <c r="C196" s="814">
        <f>C195/C194</f>
        <v>0.30914718690803999</v>
      </c>
      <c r="D196" s="814">
        <f>D195/D194</f>
        <v>0.3500377799985378</v>
      </c>
      <c r="E196" s="814">
        <f>D196</f>
        <v>0.3500377799985378</v>
      </c>
      <c r="F196" s="685"/>
      <c r="G196" s="685"/>
      <c r="H196" s="685"/>
      <c r="I196" s="685"/>
      <c r="J196" s="685"/>
      <c r="K196" s="685"/>
      <c r="L196" s="685"/>
      <c r="M196" s="685"/>
      <c r="N196" s="685"/>
      <c r="O196" s="685"/>
      <c r="P196" s="685"/>
      <c r="Q196" s="685"/>
      <c r="R196" s="685"/>
      <c r="S196" s="685"/>
      <c r="T196" s="685"/>
      <c r="U196" s="685"/>
      <c r="V196" s="685"/>
      <c r="W196" s="685"/>
      <c r="X196" s="685"/>
      <c r="Y196" s="685"/>
      <c r="Z196" s="685"/>
      <c r="AA196" s="685"/>
      <c r="AB196" s="685"/>
      <c r="AC196" s="685"/>
      <c r="AD196" s="685"/>
      <c r="AE196" s="685"/>
      <c r="AF196" s="685"/>
      <c r="AG196" s="685"/>
      <c r="AH196" s="685"/>
      <c r="AI196" s="685"/>
      <c r="AJ196" s="685"/>
      <c r="AK196" s="685"/>
      <c r="AL196" s="685"/>
      <c r="AM196" s="685"/>
      <c r="AN196" s="685"/>
      <c r="AO196" s="685"/>
      <c r="AP196" s="685"/>
      <c r="AQ196" s="685"/>
      <c r="AR196" s="685"/>
      <c r="AS196" s="685"/>
      <c r="AT196" s="685"/>
      <c r="AU196" s="685"/>
      <c r="AV196" s="685"/>
      <c r="AW196" s="685"/>
      <c r="AX196" s="685"/>
      <c r="AY196" s="685"/>
      <c r="AZ196" s="685"/>
      <c r="BA196" s="685"/>
      <c r="BB196" s="685"/>
      <c r="BC196" s="685"/>
      <c r="BD196" s="685"/>
      <c r="BE196" s="685"/>
    </row>
    <row r="197" spans="1:57">
      <c r="A197" s="685"/>
      <c r="B197" s="685"/>
      <c r="C197" s="685"/>
      <c r="D197" s="685"/>
      <c r="E197" s="685"/>
      <c r="F197" s="685"/>
      <c r="G197" s="685"/>
      <c r="H197" s="685"/>
      <c r="I197" s="685"/>
      <c r="J197" s="685"/>
      <c r="K197" s="685"/>
      <c r="L197" s="685"/>
      <c r="M197" s="685"/>
      <c r="N197" s="685"/>
      <c r="O197" s="685"/>
      <c r="P197" s="685"/>
      <c r="Q197" s="685"/>
      <c r="R197" s="685"/>
      <c r="S197" s="685"/>
      <c r="T197" s="685"/>
      <c r="U197" s="685"/>
      <c r="V197" s="685"/>
      <c r="W197" s="685"/>
      <c r="X197" s="685"/>
      <c r="Y197" s="685"/>
      <c r="Z197" s="685"/>
      <c r="AA197" s="685"/>
      <c r="AB197" s="685"/>
      <c r="AC197" s="685"/>
      <c r="AD197" s="685"/>
      <c r="AE197" s="685"/>
      <c r="AF197" s="685"/>
      <c r="AG197" s="685"/>
      <c r="AH197" s="685"/>
      <c r="AI197" s="685"/>
      <c r="AJ197" s="685"/>
      <c r="AK197" s="685"/>
      <c r="AL197" s="685"/>
      <c r="AM197" s="685"/>
      <c r="AN197" s="685"/>
      <c r="AO197" s="685"/>
      <c r="AP197" s="685"/>
      <c r="AQ197" s="685"/>
      <c r="AR197" s="685"/>
      <c r="AS197" s="685"/>
      <c r="AT197" s="685"/>
      <c r="AU197" s="685"/>
      <c r="AV197" s="685"/>
      <c r="AW197" s="685"/>
      <c r="AX197" s="685"/>
      <c r="AY197" s="685"/>
      <c r="AZ197" s="685"/>
      <c r="BA197" s="685"/>
      <c r="BB197" s="685"/>
      <c r="BC197" s="685"/>
      <c r="BD197" s="685"/>
      <c r="BE197" s="685"/>
    </row>
    <row r="198" spans="1:57">
      <c r="A198" s="685"/>
      <c r="B198" s="685" t="s">
        <v>2477</v>
      </c>
      <c r="C198" s="795">
        <f>-Master!N160</f>
        <v>1426.3</v>
      </c>
      <c r="D198" s="795">
        <f>-Master!O160</f>
        <v>1612</v>
      </c>
      <c r="E198" s="795">
        <f>D198</f>
        <v>1612</v>
      </c>
      <c r="F198" s="685"/>
      <c r="G198" s="685"/>
      <c r="H198" s="685"/>
      <c r="I198" s="685"/>
      <c r="J198" s="685"/>
      <c r="K198" s="685"/>
      <c r="L198" s="685"/>
      <c r="M198" s="685"/>
      <c r="N198" s="685"/>
      <c r="O198" s="685"/>
      <c r="P198" s="685"/>
      <c r="Q198" s="685"/>
      <c r="R198" s="685"/>
      <c r="S198" s="685"/>
      <c r="T198" s="685"/>
      <c r="U198" s="685"/>
      <c r="V198" s="685"/>
      <c r="W198" s="685"/>
      <c r="X198" s="685"/>
      <c r="Y198" s="685"/>
      <c r="Z198" s="685"/>
      <c r="AA198" s="685"/>
      <c r="AB198" s="685"/>
      <c r="AC198" s="685"/>
      <c r="AD198" s="685"/>
      <c r="AE198" s="685"/>
      <c r="AF198" s="685"/>
      <c r="AG198" s="685"/>
      <c r="AH198" s="685"/>
      <c r="AI198" s="685"/>
      <c r="AJ198" s="685"/>
      <c r="AK198" s="685"/>
      <c r="AL198" s="685"/>
      <c r="AM198" s="685"/>
      <c r="AN198" s="685"/>
      <c r="AO198" s="685"/>
      <c r="AP198" s="685"/>
      <c r="AQ198" s="685"/>
      <c r="AR198" s="685"/>
      <c r="AS198" s="685"/>
      <c r="AT198" s="685"/>
      <c r="AU198" s="685"/>
      <c r="AV198" s="685"/>
      <c r="AW198" s="685"/>
      <c r="AX198" s="685"/>
      <c r="AY198" s="685"/>
      <c r="AZ198" s="685"/>
      <c r="BA198" s="685"/>
      <c r="BB198" s="685"/>
      <c r="BC198" s="685"/>
      <c r="BD198" s="685"/>
      <c r="BE198" s="685"/>
    </row>
    <row r="199" spans="1:57" ht="15.75" thickBot="1">
      <c r="A199" s="685"/>
      <c r="B199" s="817" t="s">
        <v>38</v>
      </c>
      <c r="C199" s="818">
        <f>C194-C195-C198</f>
        <v>12724.299999999996</v>
      </c>
      <c r="D199" s="818">
        <f>D194-D195-D198</f>
        <v>3721.1999999999944</v>
      </c>
      <c r="E199" s="818">
        <f>E194-E195-E198</f>
        <v>4791.425841567745</v>
      </c>
      <c r="F199" s="685"/>
      <c r="G199" s="685"/>
      <c r="H199" s="685"/>
      <c r="I199" s="685"/>
      <c r="J199" s="685"/>
      <c r="K199" s="685"/>
      <c r="L199" s="685"/>
      <c r="M199" s="685"/>
      <c r="N199" s="685"/>
      <c r="O199" s="685"/>
      <c r="P199" s="685"/>
      <c r="Q199" s="685"/>
      <c r="R199" s="685"/>
      <c r="S199" s="685"/>
      <c r="T199" s="685"/>
      <c r="U199" s="685"/>
      <c r="V199" s="685"/>
      <c r="W199" s="685"/>
      <c r="X199" s="685"/>
      <c r="Y199" s="685"/>
      <c r="Z199" s="685"/>
      <c r="AA199" s="685"/>
      <c r="AB199" s="685"/>
      <c r="AC199" s="685"/>
      <c r="AD199" s="685"/>
      <c r="AE199" s="685"/>
      <c r="AF199" s="685"/>
      <c r="AG199" s="685"/>
      <c r="AH199" s="685"/>
      <c r="AI199" s="685"/>
      <c r="AJ199" s="685"/>
      <c r="AK199" s="685"/>
      <c r="AL199" s="685"/>
      <c r="AM199" s="685"/>
      <c r="AN199" s="685"/>
      <c r="AO199" s="685"/>
      <c r="AP199" s="685"/>
      <c r="AQ199" s="685"/>
      <c r="AR199" s="685"/>
      <c r="AS199" s="685"/>
      <c r="AT199" s="685"/>
      <c r="AU199" s="685"/>
      <c r="AV199" s="685"/>
      <c r="AW199" s="685"/>
      <c r="AX199" s="685"/>
      <c r="AY199" s="685"/>
      <c r="AZ199" s="685"/>
      <c r="BA199" s="685"/>
      <c r="BB199" s="685"/>
      <c r="BC199" s="685"/>
      <c r="BD199" s="685"/>
      <c r="BE199" s="685"/>
    </row>
    <row r="200" spans="1:57" ht="15.75" thickBot="1">
      <c r="A200" s="685"/>
      <c r="B200" s="817" t="s">
        <v>192</v>
      </c>
      <c r="C200" s="818"/>
      <c r="D200" s="818"/>
      <c r="E200" s="1110">
        <f>E199/D199-1</f>
        <v>0.28760234375141147</v>
      </c>
      <c r="F200" s="685"/>
      <c r="G200" s="685"/>
      <c r="H200" s="685"/>
      <c r="I200" s="685"/>
      <c r="J200" s="685"/>
      <c r="K200" s="685"/>
      <c r="L200" s="685"/>
      <c r="M200" s="685"/>
      <c r="N200" s="685"/>
      <c r="O200" s="685"/>
      <c r="P200" s="685"/>
      <c r="Q200" s="685"/>
      <c r="R200" s="685"/>
      <c r="S200" s="685"/>
      <c r="T200" s="685"/>
      <c r="U200" s="685"/>
      <c r="V200" s="685"/>
      <c r="W200" s="685"/>
      <c r="X200" s="685"/>
      <c r="Y200" s="685"/>
      <c r="Z200" s="685"/>
      <c r="AA200" s="685"/>
      <c r="AB200" s="685"/>
      <c r="AC200" s="685"/>
      <c r="AD200" s="685"/>
      <c r="AE200" s="685"/>
      <c r="AF200" s="685"/>
      <c r="AG200" s="685"/>
      <c r="AH200" s="685"/>
      <c r="AI200" s="685"/>
      <c r="AJ200" s="685"/>
      <c r="AK200" s="685"/>
      <c r="AL200" s="685"/>
      <c r="AM200" s="685"/>
      <c r="AN200" s="685"/>
      <c r="AO200" s="685"/>
      <c r="AP200" s="685"/>
      <c r="AQ200" s="685"/>
      <c r="AR200" s="685"/>
      <c r="AS200" s="685"/>
      <c r="AT200" s="685"/>
      <c r="AU200" s="685"/>
      <c r="AV200" s="685"/>
      <c r="AW200" s="685"/>
      <c r="AX200" s="685"/>
      <c r="AY200" s="685"/>
      <c r="AZ200" s="685"/>
      <c r="BA200" s="685"/>
      <c r="BB200" s="685"/>
      <c r="BC200" s="685"/>
      <c r="BD200" s="685"/>
      <c r="BE200" s="685"/>
    </row>
    <row r="201" spans="1:57">
      <c r="A201" s="685"/>
      <c r="B201" s="685"/>
      <c r="C201" s="685"/>
      <c r="D201" s="685"/>
      <c r="E201" s="685"/>
      <c r="F201" s="685"/>
      <c r="G201" s="685"/>
      <c r="H201" s="685"/>
      <c r="I201" s="685"/>
      <c r="J201" s="685"/>
      <c r="K201" s="685"/>
      <c r="L201" s="685"/>
      <c r="M201" s="685"/>
      <c r="N201" s="685"/>
      <c r="O201" s="685"/>
      <c r="P201" s="685"/>
      <c r="Q201" s="685"/>
      <c r="R201" s="685"/>
      <c r="S201" s="685"/>
      <c r="T201" s="685"/>
      <c r="U201" s="685"/>
      <c r="V201" s="685"/>
      <c r="W201" s="685"/>
      <c r="X201" s="685"/>
      <c r="Y201" s="685"/>
      <c r="Z201" s="685"/>
      <c r="AA201" s="685"/>
      <c r="AB201" s="685"/>
      <c r="AC201" s="685"/>
      <c r="AD201" s="685"/>
      <c r="AE201" s="685"/>
      <c r="AF201" s="685"/>
      <c r="AG201" s="685"/>
      <c r="AH201" s="685"/>
      <c r="AI201" s="685"/>
      <c r="AJ201" s="685"/>
      <c r="AK201" s="685"/>
      <c r="AL201" s="685"/>
      <c r="AM201" s="685"/>
      <c r="AN201" s="685"/>
      <c r="AO201" s="685"/>
      <c r="AP201" s="685"/>
      <c r="AQ201" s="685"/>
      <c r="AR201" s="685"/>
      <c r="AS201" s="685"/>
      <c r="AT201" s="685"/>
      <c r="AU201" s="685"/>
      <c r="AV201" s="685"/>
      <c r="AW201" s="685"/>
      <c r="AX201" s="685"/>
      <c r="AY201" s="685"/>
      <c r="AZ201" s="685"/>
      <c r="BA201" s="685"/>
      <c r="BB201" s="685"/>
      <c r="BC201" s="685"/>
      <c r="BD201" s="685"/>
      <c r="BE201" s="685"/>
    </row>
    <row r="202" spans="1:57">
      <c r="A202" s="685"/>
      <c r="B202" s="817" t="s">
        <v>216</v>
      </c>
      <c r="C202" s="818">
        <f>Master!N87</f>
        <v>25477.698</v>
      </c>
      <c r="D202" s="818">
        <f>Master!O87</f>
        <v>27913.08</v>
      </c>
      <c r="E202" s="818">
        <f>E203+E204</f>
        <v>29587.864800000003</v>
      </c>
      <c r="F202" s="685"/>
      <c r="G202" s="685"/>
      <c r="H202" s="685"/>
      <c r="I202" s="685"/>
      <c r="J202" s="685"/>
      <c r="K202" s="685"/>
      <c r="L202" s="685"/>
      <c r="M202" s="685"/>
      <c r="N202" s="685"/>
      <c r="O202" s="685"/>
      <c r="P202" s="685"/>
      <c r="Q202" s="685"/>
      <c r="R202" s="685"/>
      <c r="S202" s="685"/>
      <c r="T202" s="685"/>
      <c r="U202" s="685"/>
      <c r="V202" s="685"/>
      <c r="W202" s="685"/>
      <c r="X202" s="685"/>
      <c r="Y202" s="685"/>
      <c r="Z202" s="685"/>
      <c r="AA202" s="685"/>
      <c r="AB202" s="685"/>
      <c r="AC202" s="685"/>
      <c r="AD202" s="685"/>
      <c r="AE202" s="685"/>
      <c r="AF202" s="685"/>
      <c r="AG202" s="685"/>
      <c r="AH202" s="685"/>
      <c r="AI202" s="685"/>
      <c r="AJ202" s="685"/>
      <c r="AK202" s="685"/>
      <c r="AL202" s="685"/>
      <c r="AM202" s="685"/>
      <c r="AN202" s="685"/>
      <c r="AO202" s="685"/>
      <c r="AP202" s="685"/>
      <c r="AQ202" s="685"/>
      <c r="AR202" s="685"/>
      <c r="AS202" s="685"/>
      <c r="AT202" s="685"/>
      <c r="AU202" s="685"/>
      <c r="AV202" s="685"/>
      <c r="AW202" s="685"/>
      <c r="AX202" s="685"/>
      <c r="AY202" s="685"/>
      <c r="AZ202" s="685"/>
      <c r="BA202" s="685"/>
      <c r="BB202" s="685"/>
      <c r="BC202" s="685"/>
      <c r="BD202" s="685"/>
      <c r="BE202" s="685"/>
    </row>
    <row r="203" spans="1:57">
      <c r="A203" s="685"/>
      <c r="B203" s="924" t="s">
        <v>2478</v>
      </c>
      <c r="C203" s="795">
        <f>C202*0.6</f>
        <v>15286.6188</v>
      </c>
      <c r="D203" s="795">
        <f>D202*0.6</f>
        <v>16747.848000000002</v>
      </c>
      <c r="E203" s="795">
        <f>D203*(1+$I$123)</f>
        <v>18422.632800000003</v>
      </c>
      <c r="F203" s="685"/>
      <c r="G203" s="685"/>
      <c r="H203" s="685"/>
      <c r="I203" s="685"/>
      <c r="J203" s="685"/>
      <c r="K203" s="685"/>
      <c r="L203" s="685"/>
      <c r="M203" s="685"/>
      <c r="N203" s="685"/>
      <c r="O203" s="685"/>
      <c r="P203" s="685"/>
      <c r="Q203" s="685"/>
      <c r="R203" s="685"/>
      <c r="S203" s="685"/>
      <c r="T203" s="685"/>
      <c r="U203" s="685"/>
      <c r="V203" s="685"/>
      <c r="W203" s="685"/>
      <c r="X203" s="685"/>
      <c r="Y203" s="685"/>
      <c r="Z203" s="685"/>
      <c r="AA203" s="685"/>
      <c r="AB203" s="685"/>
      <c r="AC203" s="685"/>
      <c r="AD203" s="685"/>
      <c r="AE203" s="685"/>
      <c r="AF203" s="685"/>
      <c r="AG203" s="685"/>
      <c r="AH203" s="685"/>
      <c r="AI203" s="685"/>
      <c r="AJ203" s="685"/>
      <c r="AK203" s="685"/>
      <c r="AL203" s="685"/>
      <c r="AM203" s="685"/>
      <c r="AN203" s="685"/>
      <c r="AO203" s="685"/>
      <c r="AP203" s="685"/>
      <c r="AQ203" s="685"/>
      <c r="AR203" s="685"/>
      <c r="AS203" s="685"/>
      <c r="AT203" s="685"/>
      <c r="AU203" s="685"/>
      <c r="AV203" s="685"/>
      <c r="AW203" s="685"/>
      <c r="AX203" s="685"/>
      <c r="AY203" s="685"/>
      <c r="AZ203" s="685"/>
      <c r="BA203" s="685"/>
      <c r="BB203" s="685"/>
      <c r="BC203" s="685"/>
      <c r="BD203" s="685"/>
      <c r="BE203" s="685"/>
    </row>
    <row r="204" spans="1:57">
      <c r="A204" s="685"/>
      <c r="B204" s="924" t="s">
        <v>2458</v>
      </c>
      <c r="C204" s="795">
        <f>C202-C203</f>
        <v>10191.0792</v>
      </c>
      <c r="D204" s="795">
        <f>D202-D203</f>
        <v>11165.232</v>
      </c>
      <c r="E204" s="795">
        <f>D204</f>
        <v>11165.232</v>
      </c>
      <c r="F204" s="685"/>
      <c r="G204" s="685"/>
      <c r="H204" s="685"/>
      <c r="I204" s="685"/>
      <c r="J204" s="685"/>
      <c r="K204" s="685"/>
      <c r="L204" s="685"/>
      <c r="M204" s="685"/>
      <c r="N204" s="685"/>
      <c r="O204" s="685"/>
      <c r="P204" s="685"/>
      <c r="Q204" s="685"/>
      <c r="R204" s="685"/>
      <c r="S204" s="685"/>
      <c r="T204" s="685"/>
      <c r="U204" s="685"/>
      <c r="V204" s="685"/>
      <c r="W204" s="685"/>
      <c r="X204" s="685"/>
      <c r="Y204" s="685"/>
      <c r="Z204" s="685"/>
      <c r="AA204" s="685"/>
      <c r="AB204" s="685"/>
      <c r="AC204" s="685"/>
      <c r="AD204" s="685"/>
      <c r="AE204" s="685"/>
      <c r="AF204" s="685"/>
      <c r="AG204" s="685"/>
      <c r="AH204" s="685"/>
      <c r="AI204" s="685"/>
      <c r="AJ204" s="685"/>
      <c r="AK204" s="685"/>
      <c r="AL204" s="685"/>
      <c r="AM204" s="685"/>
      <c r="AN204" s="685"/>
      <c r="AO204" s="685"/>
      <c r="AP204" s="685"/>
      <c r="AQ204" s="685"/>
      <c r="AR204" s="685"/>
      <c r="AS204" s="685"/>
      <c r="AT204" s="685"/>
      <c r="AU204" s="685"/>
      <c r="AV204" s="685"/>
      <c r="AW204" s="685"/>
      <c r="AX204" s="685"/>
      <c r="AY204" s="685"/>
      <c r="AZ204" s="685"/>
      <c r="BA204" s="685"/>
      <c r="BB204" s="685"/>
      <c r="BC204" s="685"/>
      <c r="BD204" s="685"/>
      <c r="BE204" s="685"/>
    </row>
    <row r="205" spans="1:57">
      <c r="A205" s="685"/>
      <c r="B205" s="685"/>
      <c r="C205" s="685"/>
      <c r="D205" s="685"/>
      <c r="E205" s="685"/>
      <c r="F205" s="685"/>
      <c r="G205" s="685"/>
      <c r="H205" s="685"/>
      <c r="I205" s="685"/>
      <c r="J205" s="685"/>
      <c r="K205" s="685"/>
      <c r="L205" s="685"/>
      <c r="M205" s="685"/>
      <c r="N205" s="685"/>
      <c r="O205" s="685"/>
      <c r="P205" s="685"/>
      <c r="Q205" s="685"/>
      <c r="R205" s="685"/>
      <c r="S205" s="685"/>
      <c r="T205" s="685"/>
      <c r="U205" s="685"/>
      <c r="V205" s="685"/>
      <c r="W205" s="685"/>
      <c r="X205" s="685"/>
      <c r="Y205" s="685"/>
      <c r="Z205" s="685"/>
      <c r="AA205" s="685"/>
      <c r="AB205" s="685"/>
      <c r="AC205" s="685"/>
      <c r="AD205" s="685"/>
      <c r="AE205" s="685"/>
      <c r="AF205" s="685"/>
      <c r="AG205" s="685"/>
      <c r="AH205" s="685"/>
      <c r="AI205" s="685"/>
      <c r="AJ205" s="685"/>
      <c r="AK205" s="685"/>
      <c r="AL205" s="685"/>
      <c r="AM205" s="685"/>
      <c r="AN205" s="685"/>
      <c r="AO205" s="685"/>
      <c r="AP205" s="685"/>
      <c r="AQ205" s="685"/>
      <c r="AR205" s="685"/>
      <c r="AS205" s="685"/>
      <c r="AT205" s="685"/>
      <c r="AU205" s="685"/>
      <c r="AV205" s="685"/>
      <c r="AW205" s="685"/>
      <c r="AX205" s="685"/>
      <c r="AY205" s="685"/>
      <c r="AZ205" s="685"/>
      <c r="BA205" s="685"/>
      <c r="BB205" s="685"/>
      <c r="BC205" s="685"/>
      <c r="BD205" s="685"/>
      <c r="BE205" s="685"/>
    </row>
    <row r="206" spans="1:57" ht="15.75" thickBot="1">
      <c r="A206" s="685"/>
      <c r="B206" s="817" t="s">
        <v>36</v>
      </c>
      <c r="C206" s="818">
        <f>C176-C202</f>
        <v>6897.6019999999844</v>
      </c>
      <c r="D206" s="818">
        <f>D176-D202</f>
        <v>5664.8199999999924</v>
      </c>
      <c r="E206" s="818">
        <f>E176-E202</f>
        <v>6919.885199999997</v>
      </c>
      <c r="F206" s="685"/>
      <c r="G206" s="685"/>
      <c r="H206" s="685"/>
      <c r="I206" s="685"/>
      <c r="J206" s="685"/>
      <c r="K206" s="685"/>
      <c r="L206" s="685"/>
      <c r="M206" s="685"/>
      <c r="N206" s="685"/>
      <c r="O206" s="685"/>
      <c r="P206" s="685"/>
      <c r="Q206" s="685"/>
      <c r="R206" s="685"/>
      <c r="S206" s="685"/>
      <c r="T206" s="685"/>
      <c r="U206" s="685"/>
      <c r="V206" s="685"/>
      <c r="W206" s="685"/>
      <c r="X206" s="685"/>
      <c r="Y206" s="685"/>
      <c r="Z206" s="685"/>
      <c r="AA206" s="685"/>
      <c r="AB206" s="685"/>
      <c r="AC206" s="685"/>
      <c r="AD206" s="685"/>
      <c r="AE206" s="685"/>
      <c r="AF206" s="685"/>
      <c r="AG206" s="685"/>
      <c r="AH206" s="685"/>
      <c r="AI206" s="685"/>
      <c r="AJ206" s="685"/>
      <c r="AK206" s="685"/>
      <c r="AL206" s="685"/>
      <c r="AM206" s="685"/>
      <c r="AN206" s="685"/>
      <c r="AO206" s="685"/>
      <c r="AP206" s="685"/>
      <c r="AQ206" s="685"/>
      <c r="AR206" s="685"/>
      <c r="AS206" s="685"/>
      <c r="AT206" s="685"/>
      <c r="AU206" s="685"/>
      <c r="AV206" s="685"/>
      <c r="AW206" s="685"/>
      <c r="AX206" s="685"/>
      <c r="AY206" s="685"/>
      <c r="AZ206" s="685"/>
      <c r="BA206" s="685"/>
      <c r="BB206" s="685"/>
      <c r="BC206" s="685"/>
      <c r="BD206" s="685"/>
      <c r="BE206" s="685"/>
    </row>
    <row r="207" spans="1:57" ht="15.75" thickBot="1">
      <c r="A207" s="685"/>
      <c r="B207" s="817"/>
      <c r="C207" s="818"/>
      <c r="D207" s="818"/>
      <c r="E207" s="1103">
        <f>E206/D206-1</f>
        <v>0.22155429475252642</v>
      </c>
      <c r="F207" s="685"/>
      <c r="G207" s="685"/>
      <c r="H207" s="685"/>
      <c r="I207" s="685"/>
      <c r="J207" s="685"/>
      <c r="K207" s="685"/>
      <c r="L207" s="685"/>
      <c r="M207" s="685"/>
      <c r="N207" s="685"/>
      <c r="O207" s="685"/>
      <c r="P207" s="685"/>
      <c r="Q207" s="685"/>
      <c r="R207" s="685"/>
      <c r="S207" s="685"/>
      <c r="T207" s="685"/>
      <c r="U207" s="685"/>
      <c r="V207" s="685"/>
      <c r="W207" s="685"/>
      <c r="X207" s="685"/>
      <c r="Y207" s="685"/>
      <c r="Z207" s="685"/>
      <c r="AA207" s="685"/>
      <c r="AB207" s="685"/>
      <c r="AC207" s="685"/>
      <c r="AD207" s="685"/>
      <c r="AE207" s="685"/>
      <c r="AF207" s="685"/>
      <c r="AG207" s="685"/>
      <c r="AH207" s="685"/>
      <c r="AI207" s="685"/>
      <c r="AJ207" s="685"/>
      <c r="AK207" s="685"/>
      <c r="AL207" s="685"/>
      <c r="AM207" s="685"/>
      <c r="AN207" s="685"/>
      <c r="AO207" s="685"/>
      <c r="AP207" s="685"/>
      <c r="AQ207" s="685"/>
      <c r="AR207" s="685"/>
      <c r="AS207" s="685"/>
      <c r="AT207" s="685"/>
      <c r="AU207" s="685"/>
      <c r="AV207" s="685"/>
      <c r="AW207" s="685"/>
      <c r="AX207" s="685"/>
      <c r="AY207" s="685"/>
      <c r="AZ207" s="685"/>
      <c r="BA207" s="685"/>
      <c r="BB207" s="685"/>
      <c r="BC207" s="685"/>
      <c r="BD207" s="685"/>
      <c r="BE207" s="685"/>
    </row>
    <row r="208" spans="1:57">
      <c r="A208" s="685"/>
      <c r="B208" s="817" t="s">
        <v>154</v>
      </c>
      <c r="C208" s="818">
        <f>C199+C179-C202</f>
        <v>1907.5019999999968</v>
      </c>
      <c r="D208" s="818">
        <f>D199+D179-D202</f>
        <v>-7212.080000000009</v>
      </c>
      <c r="E208" s="818">
        <f>E199+E179-E202</f>
        <v>-6797.8509584322601</v>
      </c>
      <c r="F208" s="685"/>
      <c r="G208" s="685"/>
      <c r="H208" s="685"/>
      <c r="I208" s="685"/>
      <c r="J208" s="685"/>
      <c r="K208" s="685"/>
      <c r="L208" s="685"/>
      <c r="M208" s="685"/>
      <c r="N208" s="685"/>
      <c r="O208" s="685"/>
      <c r="P208" s="685"/>
      <c r="Q208" s="685"/>
      <c r="R208" s="685"/>
      <c r="S208" s="685"/>
      <c r="T208" s="685"/>
      <c r="U208" s="685"/>
      <c r="V208" s="685"/>
      <c r="W208" s="685"/>
      <c r="X208" s="685"/>
      <c r="Y208" s="685"/>
      <c r="Z208" s="685"/>
      <c r="AA208" s="685"/>
      <c r="AB208" s="685"/>
      <c r="AC208" s="685"/>
      <c r="AD208" s="685"/>
      <c r="AE208" s="685"/>
      <c r="AF208" s="685"/>
      <c r="AG208" s="685"/>
      <c r="AH208" s="685"/>
      <c r="AI208" s="685"/>
      <c r="AJ208" s="685"/>
      <c r="AK208" s="685"/>
      <c r="AL208" s="685"/>
      <c r="AM208" s="685"/>
      <c r="AN208" s="685"/>
      <c r="AO208" s="685"/>
      <c r="AP208" s="685"/>
      <c r="AQ208" s="685"/>
      <c r="AR208" s="685"/>
      <c r="AS208" s="685"/>
      <c r="AT208" s="685"/>
      <c r="AU208" s="685"/>
      <c r="AV208" s="685"/>
      <c r="AW208" s="685"/>
      <c r="AX208" s="685"/>
      <c r="AY208" s="685"/>
      <c r="AZ208" s="685"/>
      <c r="BA208" s="685"/>
      <c r="BB208" s="685"/>
      <c r="BC208" s="685"/>
      <c r="BD208" s="685"/>
      <c r="BE208" s="685"/>
    </row>
    <row r="209" spans="1:57">
      <c r="A209" s="685"/>
      <c r="B209" s="817"/>
      <c r="C209" s="959"/>
      <c r="D209" s="959"/>
      <c r="E209" s="959"/>
      <c r="F209" s="685"/>
      <c r="G209" s="685"/>
      <c r="H209" s="685"/>
      <c r="I209" s="685"/>
      <c r="J209" s="685"/>
      <c r="K209" s="685"/>
      <c r="L209" s="685"/>
      <c r="M209" s="685"/>
      <c r="N209" s="685"/>
      <c r="O209" s="685"/>
      <c r="P209" s="685"/>
      <c r="Q209" s="685"/>
      <c r="R209" s="685"/>
      <c r="S209" s="685"/>
      <c r="T209" s="685"/>
      <c r="U209" s="685"/>
      <c r="V209" s="685"/>
      <c r="W209" s="685"/>
      <c r="X209" s="685"/>
      <c r="Y209" s="685"/>
      <c r="Z209" s="685"/>
      <c r="AA209" s="685"/>
      <c r="AB209" s="685"/>
      <c r="AC209" s="685"/>
      <c r="AD209" s="685"/>
      <c r="AE209" s="685"/>
      <c r="AF209" s="685"/>
      <c r="AG209" s="685"/>
      <c r="AH209" s="685"/>
      <c r="AI209" s="685"/>
      <c r="AJ209" s="685"/>
      <c r="AK209" s="685"/>
      <c r="AL209" s="685"/>
      <c r="AM209" s="685"/>
      <c r="AN209" s="685"/>
      <c r="AO209" s="685"/>
      <c r="AP209" s="685"/>
      <c r="AQ209" s="685"/>
      <c r="AR209" s="685"/>
      <c r="AS209" s="685"/>
      <c r="AT209" s="685"/>
      <c r="AU209" s="685"/>
      <c r="AV209" s="685"/>
      <c r="AW209" s="685"/>
      <c r="AX209" s="685"/>
      <c r="AY209" s="685"/>
      <c r="AZ209" s="685"/>
      <c r="BA209" s="685"/>
      <c r="BB209" s="685"/>
      <c r="BC209" s="685"/>
      <c r="BD209" s="685"/>
      <c r="BE209" s="685"/>
    </row>
    <row r="210" spans="1:57">
      <c r="A210" s="685"/>
      <c r="B210" s="817" t="s">
        <v>2479</v>
      </c>
      <c r="C210" s="685"/>
      <c r="D210" s="685"/>
      <c r="E210" s="685"/>
      <c r="F210" s="685"/>
      <c r="G210" s="685"/>
      <c r="H210" s="685"/>
      <c r="I210" s="685"/>
      <c r="J210" s="685"/>
      <c r="K210" s="685"/>
      <c r="L210" s="685"/>
      <c r="M210" s="685"/>
      <c r="N210" s="685"/>
      <c r="O210" s="685"/>
      <c r="P210" s="685"/>
      <c r="Q210" s="685"/>
      <c r="R210" s="685"/>
      <c r="S210" s="685"/>
      <c r="T210" s="685"/>
      <c r="U210" s="685"/>
      <c r="V210" s="685"/>
      <c r="W210" s="685"/>
      <c r="X210" s="685"/>
      <c r="Y210" s="685"/>
      <c r="Z210" s="685"/>
      <c r="AA210" s="685"/>
      <c r="AB210" s="685"/>
      <c r="AC210" s="685"/>
      <c r="AD210" s="685"/>
      <c r="AE210" s="685"/>
      <c r="AF210" s="685"/>
      <c r="AG210" s="685"/>
      <c r="AH210" s="685"/>
      <c r="AI210" s="685"/>
      <c r="AJ210" s="685"/>
      <c r="AK210" s="685"/>
      <c r="AL210" s="685"/>
      <c r="AM210" s="685"/>
      <c r="AN210" s="685"/>
      <c r="AO210" s="685"/>
      <c r="AP210" s="685"/>
      <c r="AQ210" s="685"/>
      <c r="AR210" s="685"/>
      <c r="AS210" s="685"/>
      <c r="AT210" s="685"/>
      <c r="AU210" s="685"/>
      <c r="AV210" s="685"/>
      <c r="AW210" s="685"/>
      <c r="AX210" s="685"/>
      <c r="AY210" s="685"/>
      <c r="AZ210" s="685"/>
      <c r="BA210" s="685"/>
      <c r="BB210" s="685"/>
      <c r="BC210" s="685"/>
      <c r="BD210" s="685"/>
      <c r="BE210" s="685"/>
    </row>
    <row r="211" spans="1:57">
      <c r="A211" s="685"/>
      <c r="B211" s="817"/>
      <c r="C211" s="685"/>
      <c r="D211" s="685"/>
      <c r="E211" s="685"/>
      <c r="F211" s="685"/>
      <c r="G211" s="685"/>
      <c r="H211" s="685"/>
      <c r="I211" s="685"/>
      <c r="J211" s="685"/>
      <c r="K211" s="685"/>
      <c r="L211" s="685"/>
      <c r="M211" s="685"/>
      <c r="N211" s="685"/>
      <c r="O211" s="685"/>
      <c r="P211" s="685"/>
      <c r="Q211" s="685"/>
      <c r="R211" s="685"/>
      <c r="S211" s="685"/>
      <c r="T211" s="685"/>
      <c r="U211" s="685"/>
      <c r="V211" s="685"/>
      <c r="W211" s="685"/>
      <c r="X211" s="685"/>
      <c r="Y211" s="685"/>
      <c r="Z211" s="685"/>
      <c r="AA211" s="685"/>
      <c r="AB211" s="685"/>
      <c r="AC211" s="685"/>
      <c r="AD211" s="685"/>
      <c r="AE211" s="685"/>
      <c r="AF211" s="685"/>
      <c r="AG211" s="685"/>
      <c r="AH211" s="685"/>
      <c r="AI211" s="685"/>
      <c r="AJ211" s="685"/>
      <c r="AK211" s="685"/>
      <c r="AL211" s="685"/>
      <c r="AM211" s="685"/>
      <c r="AN211" s="685"/>
      <c r="AO211" s="685"/>
      <c r="AP211" s="685"/>
      <c r="AQ211" s="685"/>
      <c r="AR211" s="685"/>
      <c r="AS211" s="685"/>
      <c r="AT211" s="685"/>
      <c r="AU211" s="685"/>
      <c r="AV211" s="685"/>
      <c r="AW211" s="685"/>
      <c r="AX211" s="685"/>
      <c r="AY211" s="685"/>
      <c r="AZ211" s="685"/>
      <c r="BA211" s="685"/>
      <c r="BB211" s="685"/>
      <c r="BC211" s="685"/>
      <c r="BD211" s="685"/>
      <c r="BE211" s="685"/>
    </row>
    <row r="212" spans="1:57">
      <c r="A212" s="685"/>
      <c r="B212" s="817" t="s">
        <v>662</v>
      </c>
      <c r="C212" s="817">
        <f>C123</f>
        <v>2015</v>
      </c>
      <c r="D212" s="817">
        <f>D123</f>
        <v>2016</v>
      </c>
      <c r="E212" s="817">
        <f>E123</f>
        <v>2017</v>
      </c>
      <c r="F212" s="817"/>
      <c r="G212" s="685"/>
      <c r="H212" s="685"/>
      <c r="I212" s="685"/>
      <c r="J212" s="685"/>
      <c r="K212" s="685"/>
      <c r="L212" s="685"/>
      <c r="M212" s="685"/>
      <c r="N212" s="685"/>
      <c r="O212" s="685"/>
      <c r="P212" s="685"/>
      <c r="Q212" s="685"/>
      <c r="R212" s="685"/>
      <c r="S212" s="685"/>
      <c r="T212" s="685"/>
      <c r="U212" s="685"/>
      <c r="V212" s="685"/>
      <c r="W212" s="685"/>
      <c r="X212" s="685"/>
      <c r="Y212" s="685"/>
      <c r="Z212" s="685"/>
      <c r="AA212" s="685"/>
      <c r="AB212" s="685"/>
      <c r="AC212" s="685"/>
      <c r="AD212" s="685"/>
      <c r="AE212" s="685"/>
      <c r="AF212" s="685"/>
      <c r="AG212" s="685"/>
      <c r="AH212" s="685"/>
      <c r="AI212" s="685"/>
      <c r="AJ212" s="685"/>
      <c r="AK212" s="685"/>
      <c r="AL212" s="685"/>
      <c r="AM212" s="685"/>
      <c r="AN212" s="685"/>
      <c r="AO212" s="685"/>
      <c r="AP212" s="685"/>
      <c r="AQ212" s="685"/>
      <c r="AR212" s="685"/>
      <c r="AS212" s="685"/>
      <c r="AT212" s="685"/>
      <c r="AU212" s="685"/>
      <c r="AV212" s="685"/>
      <c r="AW212" s="685"/>
      <c r="AX212" s="685"/>
      <c r="AY212" s="685"/>
      <c r="AZ212" s="685"/>
      <c r="BA212" s="685"/>
      <c r="BB212" s="685"/>
      <c r="BC212" s="685"/>
      <c r="BD212" s="685"/>
      <c r="BE212" s="685"/>
    </row>
    <row r="213" spans="1:57">
      <c r="A213" s="685"/>
      <c r="B213" s="804" t="s">
        <v>33</v>
      </c>
      <c r="C213" s="804"/>
      <c r="D213" s="805"/>
      <c r="E213" s="1102"/>
      <c r="F213" s="1111"/>
      <c r="G213" s="685"/>
      <c r="H213" s="685"/>
      <c r="I213" s="685"/>
      <c r="J213" s="685"/>
      <c r="K213" s="685"/>
      <c r="L213" s="685"/>
      <c r="M213" s="685"/>
      <c r="N213" s="685"/>
      <c r="O213" s="685"/>
      <c r="P213" s="685"/>
      <c r="Q213" s="685"/>
      <c r="R213" s="685"/>
      <c r="S213" s="685"/>
      <c r="T213" s="685"/>
      <c r="U213" s="685"/>
      <c r="V213" s="685"/>
      <c r="W213" s="685"/>
      <c r="X213" s="685"/>
      <c r="Y213" s="685"/>
      <c r="Z213" s="685"/>
      <c r="AA213" s="685"/>
      <c r="AB213" s="685"/>
      <c r="AC213" s="685"/>
      <c r="AD213" s="685"/>
      <c r="AE213" s="685"/>
      <c r="AF213" s="685"/>
      <c r="AG213" s="685"/>
      <c r="AH213" s="685"/>
      <c r="AI213" s="685"/>
      <c r="AJ213" s="685"/>
      <c r="AK213" s="685"/>
      <c r="AL213" s="685"/>
      <c r="AM213" s="685"/>
      <c r="AN213" s="685"/>
      <c r="AO213" s="685"/>
      <c r="AP213" s="685"/>
      <c r="AQ213" s="685"/>
      <c r="AR213" s="685"/>
      <c r="AS213" s="685"/>
      <c r="AT213" s="685"/>
      <c r="AU213" s="685"/>
      <c r="AV213" s="685"/>
      <c r="AW213" s="685"/>
      <c r="AX213" s="685"/>
      <c r="AY213" s="685"/>
      <c r="AZ213" s="685"/>
      <c r="BA213" s="685"/>
      <c r="BB213" s="685"/>
      <c r="BC213" s="685"/>
      <c r="BD213" s="685"/>
      <c r="BE213" s="685"/>
    </row>
    <row r="214" spans="1:57">
      <c r="A214" s="685"/>
      <c r="B214" s="924" t="s">
        <v>2480</v>
      </c>
      <c r="C214" s="795">
        <f>C125+C128+C131+C132</f>
        <v>11117.43125</v>
      </c>
      <c r="D214" s="795">
        <f>D125+D128+D131+D132</f>
        <v>12849.797500000001</v>
      </c>
      <c r="E214" s="795">
        <f>E125+E128+E131+E132</f>
        <v>12499.077499999999</v>
      </c>
      <c r="F214" s="795"/>
      <c r="G214" s="685"/>
      <c r="H214" s="685"/>
      <c r="I214" s="685"/>
      <c r="J214" s="685"/>
      <c r="K214" s="685"/>
      <c r="L214" s="685"/>
      <c r="M214" s="685"/>
      <c r="N214" s="685"/>
      <c r="O214" s="685"/>
      <c r="P214" s="685"/>
      <c r="Q214" s="685"/>
      <c r="R214" s="685"/>
      <c r="S214" s="685"/>
      <c r="T214" s="685"/>
      <c r="U214" s="685"/>
      <c r="V214" s="685"/>
      <c r="W214" s="685"/>
      <c r="X214" s="685"/>
      <c r="Y214" s="685"/>
      <c r="Z214" s="685"/>
      <c r="AA214" s="685"/>
      <c r="AB214" s="685"/>
      <c r="AC214" s="685"/>
      <c r="AD214" s="685"/>
      <c r="AE214" s="685"/>
      <c r="AF214" s="685"/>
      <c r="AG214" s="685"/>
      <c r="AH214" s="685"/>
      <c r="AI214" s="685"/>
      <c r="AJ214" s="685"/>
      <c r="AK214" s="685"/>
      <c r="AL214" s="685"/>
      <c r="AM214" s="685"/>
      <c r="AN214" s="685"/>
      <c r="AO214" s="685"/>
      <c r="AP214" s="685"/>
      <c r="AQ214" s="685"/>
      <c r="AR214" s="685"/>
      <c r="AS214" s="685"/>
      <c r="AT214" s="685"/>
      <c r="AU214" s="685"/>
      <c r="AV214" s="685"/>
      <c r="AW214" s="685"/>
      <c r="AX214" s="685"/>
      <c r="AY214" s="685"/>
      <c r="AZ214" s="685"/>
      <c r="BA214" s="685"/>
      <c r="BB214" s="685"/>
      <c r="BC214" s="685"/>
      <c r="BD214" s="685"/>
      <c r="BE214" s="685"/>
    </row>
    <row r="215" spans="1:57">
      <c r="A215" s="685"/>
      <c r="B215" s="931" t="s">
        <v>2481</v>
      </c>
      <c r="C215" s="833">
        <f>C134-C214</f>
        <v>23215.168749999997</v>
      </c>
      <c r="D215" s="833">
        <f>D134-D214</f>
        <v>23836.902499999997</v>
      </c>
      <c r="E215" s="833">
        <f>E134-E214</f>
        <v>21497.922500000001</v>
      </c>
      <c r="F215" s="833"/>
      <c r="G215" s="685"/>
      <c r="H215" s="685"/>
      <c r="I215" s="685"/>
      <c r="J215" s="685"/>
      <c r="K215" s="685"/>
      <c r="L215" s="685"/>
      <c r="M215" s="685"/>
      <c r="N215" s="685"/>
      <c r="O215" s="685"/>
      <c r="P215" s="685"/>
      <c r="Q215" s="685"/>
      <c r="R215" s="685"/>
      <c r="S215" s="685"/>
      <c r="T215" s="685"/>
      <c r="U215" s="685"/>
      <c r="V215" s="685"/>
      <c r="W215" s="685"/>
      <c r="X215" s="685"/>
      <c r="Y215" s="685"/>
      <c r="Z215" s="685"/>
      <c r="AA215" s="685"/>
      <c r="AB215" s="685"/>
      <c r="AC215" s="685"/>
      <c r="AD215" s="685"/>
      <c r="AE215" s="685"/>
      <c r="AF215" s="685"/>
      <c r="AG215" s="685"/>
      <c r="AH215" s="685"/>
      <c r="AI215" s="685"/>
      <c r="AJ215" s="685"/>
      <c r="AK215" s="685"/>
      <c r="AL215" s="685"/>
      <c r="AM215" s="685"/>
      <c r="AN215" s="685"/>
      <c r="AO215" s="685"/>
      <c r="AP215" s="685"/>
      <c r="AQ215" s="685"/>
      <c r="AR215" s="685"/>
      <c r="AS215" s="685"/>
      <c r="AT215" s="685"/>
      <c r="AU215" s="685"/>
      <c r="AV215" s="685"/>
      <c r="AW215" s="685"/>
      <c r="AX215" s="685"/>
      <c r="AY215" s="685"/>
      <c r="AZ215" s="685"/>
      <c r="BA215" s="685"/>
      <c r="BB215" s="685"/>
      <c r="BC215" s="685"/>
      <c r="BD215" s="685"/>
      <c r="BE215" s="685"/>
    </row>
    <row r="216" spans="1:57">
      <c r="A216" s="685"/>
      <c r="B216" s="924" t="s">
        <v>85</v>
      </c>
      <c r="C216" s="795">
        <f>C214+C215</f>
        <v>34332.6</v>
      </c>
      <c r="D216" s="795">
        <f>D214+D215</f>
        <v>36686.699999999997</v>
      </c>
      <c r="E216" s="795">
        <f>E214+E215</f>
        <v>33997</v>
      </c>
      <c r="F216" s="795"/>
      <c r="G216" s="685"/>
      <c r="H216" s="685"/>
      <c r="I216" s="685"/>
      <c r="J216" s="685"/>
      <c r="K216" s="685"/>
      <c r="L216" s="685"/>
      <c r="M216" s="685"/>
      <c r="N216" s="685"/>
      <c r="O216" s="685"/>
      <c r="P216" s="685"/>
      <c r="Q216" s="685"/>
      <c r="R216" s="685"/>
      <c r="S216" s="685"/>
      <c r="T216" s="685"/>
      <c r="U216" s="685"/>
      <c r="V216" s="685"/>
      <c r="W216" s="685"/>
      <c r="X216" s="685"/>
      <c r="Y216" s="685"/>
      <c r="Z216" s="685"/>
      <c r="AA216" s="685"/>
      <c r="AB216" s="685"/>
      <c r="AC216" s="685"/>
      <c r="AD216" s="685"/>
      <c r="AE216" s="685"/>
      <c r="AF216" s="685"/>
      <c r="AG216" s="685"/>
      <c r="AH216" s="685"/>
      <c r="AI216" s="685"/>
      <c r="AJ216" s="685"/>
      <c r="AK216" s="685"/>
      <c r="AL216" s="685"/>
      <c r="AM216" s="685"/>
      <c r="AN216" s="685"/>
      <c r="AO216" s="685"/>
      <c r="AP216" s="685"/>
      <c r="AQ216" s="685"/>
      <c r="AR216" s="685"/>
      <c r="AS216" s="685"/>
      <c r="AT216" s="685"/>
      <c r="AU216" s="685"/>
      <c r="AV216" s="685"/>
      <c r="AW216" s="685"/>
      <c r="AX216" s="685"/>
      <c r="AY216" s="685"/>
      <c r="AZ216" s="685"/>
      <c r="BA216" s="685"/>
      <c r="BB216" s="685"/>
      <c r="BC216" s="685"/>
      <c r="BD216" s="685"/>
      <c r="BE216" s="685"/>
    </row>
    <row r="217" spans="1:57">
      <c r="A217" s="685"/>
      <c r="B217" s="924" t="s">
        <v>192</v>
      </c>
      <c r="C217" s="795"/>
      <c r="D217" s="795"/>
      <c r="E217" s="814"/>
      <c r="F217" s="685"/>
      <c r="G217" s="685"/>
      <c r="H217" s="685"/>
      <c r="I217" s="685"/>
      <c r="J217" s="685"/>
      <c r="K217" s="685"/>
      <c r="L217" s="685"/>
      <c r="M217" s="685"/>
      <c r="N217" s="685"/>
      <c r="O217" s="685"/>
      <c r="P217" s="685"/>
      <c r="Q217" s="685"/>
      <c r="R217" s="685"/>
      <c r="S217" s="685"/>
      <c r="T217" s="685"/>
      <c r="U217" s="685"/>
      <c r="V217" s="685"/>
      <c r="W217" s="685"/>
      <c r="X217" s="685"/>
      <c r="Y217" s="685"/>
      <c r="Z217" s="685"/>
      <c r="AA217" s="685"/>
      <c r="AB217" s="685"/>
      <c r="AC217" s="685"/>
      <c r="AD217" s="685"/>
      <c r="AE217" s="685"/>
      <c r="AF217" s="685"/>
      <c r="AG217" s="685"/>
      <c r="AH217" s="685"/>
      <c r="AI217" s="685"/>
      <c r="AJ217" s="685"/>
      <c r="AK217" s="685"/>
      <c r="AL217" s="685"/>
      <c r="AM217" s="685"/>
      <c r="AN217" s="685"/>
      <c r="AO217" s="685"/>
      <c r="AP217" s="685"/>
      <c r="AQ217" s="685"/>
      <c r="AR217" s="685"/>
      <c r="AS217" s="685"/>
      <c r="AT217" s="685"/>
      <c r="AU217" s="685"/>
      <c r="AV217" s="685"/>
      <c r="AW217" s="685"/>
      <c r="AX217" s="685"/>
      <c r="AY217" s="685"/>
      <c r="AZ217" s="685"/>
      <c r="BA217" s="685"/>
      <c r="BB217" s="685"/>
      <c r="BC217" s="685"/>
      <c r="BD217" s="685"/>
      <c r="BE217" s="685"/>
    </row>
    <row r="218" spans="1:57">
      <c r="A218" s="685"/>
      <c r="B218" s="685"/>
      <c r="C218" s="685"/>
      <c r="D218" s="685"/>
      <c r="E218" s="685"/>
      <c r="F218" s="685"/>
      <c r="G218" s="685"/>
      <c r="H218" s="685"/>
      <c r="I218" s="685"/>
      <c r="J218" s="685"/>
      <c r="K218" s="685"/>
      <c r="L218" s="685"/>
      <c r="M218" s="685"/>
      <c r="N218" s="685"/>
      <c r="O218" s="685"/>
      <c r="P218" s="685"/>
      <c r="Q218" s="685"/>
      <c r="R218" s="685"/>
      <c r="S218" s="685"/>
      <c r="T218" s="685"/>
      <c r="U218" s="685"/>
      <c r="V218" s="685"/>
      <c r="W218" s="685"/>
      <c r="X218" s="685"/>
      <c r="Y218" s="685"/>
      <c r="Z218" s="685"/>
      <c r="AA218" s="685"/>
      <c r="AB218" s="685"/>
      <c r="AC218" s="685"/>
      <c r="AD218" s="685"/>
      <c r="AE218" s="685"/>
      <c r="AF218" s="685"/>
      <c r="AG218" s="685"/>
      <c r="AH218" s="685"/>
      <c r="AI218" s="685"/>
      <c r="AJ218" s="685"/>
      <c r="AK218" s="685"/>
      <c r="AL218" s="685"/>
      <c r="AM218" s="685"/>
      <c r="AN218" s="685"/>
      <c r="AO218" s="685"/>
      <c r="AP218" s="685"/>
      <c r="AQ218" s="685"/>
      <c r="AR218" s="685"/>
      <c r="AS218" s="685"/>
      <c r="AT218" s="685"/>
      <c r="AU218" s="685"/>
      <c r="AV218" s="685"/>
      <c r="AW218" s="685"/>
      <c r="AX218" s="685"/>
      <c r="AY218" s="685"/>
      <c r="AZ218" s="685"/>
      <c r="BA218" s="685"/>
      <c r="BB218" s="685"/>
      <c r="BC218" s="685"/>
      <c r="BD218" s="685"/>
      <c r="BE218" s="685"/>
    </row>
    <row r="219" spans="1:57">
      <c r="A219" s="685"/>
      <c r="B219" s="685" t="s">
        <v>2482</v>
      </c>
      <c r="C219" s="795">
        <f t="shared" ref="C219:E220" si="106">C136</f>
        <v>3847.9787499999989</v>
      </c>
      <c r="D219" s="795">
        <f t="shared" si="106"/>
        <v>4303.7025000000003</v>
      </c>
      <c r="E219" s="795">
        <f t="shared" si="106"/>
        <v>2394.1224999999995</v>
      </c>
      <c r="F219" s="795"/>
      <c r="G219" s="685"/>
      <c r="H219" s="685"/>
      <c r="I219" s="685"/>
      <c r="J219" s="685"/>
      <c r="K219" s="685"/>
      <c r="L219" s="685"/>
      <c r="M219" s="685"/>
      <c r="N219" s="685"/>
      <c r="O219" s="685"/>
      <c r="P219" s="685"/>
      <c r="Q219" s="685"/>
      <c r="R219" s="685"/>
      <c r="S219" s="685"/>
      <c r="T219" s="685"/>
      <c r="U219" s="685"/>
      <c r="V219" s="685"/>
      <c r="W219" s="685"/>
      <c r="X219" s="685"/>
      <c r="Y219" s="685"/>
      <c r="Z219" s="685"/>
      <c r="AA219" s="685"/>
      <c r="AB219" s="685"/>
      <c r="AC219" s="685"/>
      <c r="AD219" s="685"/>
      <c r="AE219" s="685"/>
      <c r="AF219" s="685"/>
      <c r="AG219" s="685"/>
      <c r="AH219" s="685"/>
      <c r="AI219" s="685"/>
      <c r="AJ219" s="685"/>
      <c r="AK219" s="685"/>
      <c r="AL219" s="685"/>
      <c r="AM219" s="685"/>
      <c r="AN219" s="685"/>
      <c r="AO219" s="685"/>
      <c r="AP219" s="685"/>
      <c r="AQ219" s="685"/>
      <c r="AR219" s="685"/>
      <c r="AS219" s="685"/>
      <c r="AT219" s="685"/>
      <c r="AU219" s="685"/>
      <c r="AV219" s="685"/>
      <c r="AW219" s="685"/>
      <c r="AX219" s="685"/>
      <c r="AY219" s="685"/>
      <c r="AZ219" s="685"/>
      <c r="BA219" s="685"/>
      <c r="BB219" s="685"/>
      <c r="BC219" s="685"/>
      <c r="BD219" s="685"/>
      <c r="BE219" s="685"/>
    </row>
    <row r="220" spans="1:57">
      <c r="A220" s="685"/>
      <c r="B220" s="743" t="s">
        <v>2483</v>
      </c>
      <c r="C220" s="833">
        <f t="shared" si="106"/>
        <v>49871.421249999999</v>
      </c>
      <c r="D220" s="833">
        <f t="shared" si="106"/>
        <v>55296.997499999998</v>
      </c>
      <c r="E220" s="833">
        <f>I137</f>
        <v>55296.997499999998</v>
      </c>
      <c r="F220" s="958"/>
      <c r="G220" s="685"/>
      <c r="H220" s="685"/>
      <c r="I220" s="685"/>
      <c r="J220" s="685"/>
      <c r="K220" s="685"/>
      <c r="L220" s="685"/>
      <c r="M220" s="685"/>
      <c r="N220" s="685"/>
      <c r="O220" s="685"/>
      <c r="P220" s="685"/>
      <c r="Q220" s="685"/>
      <c r="R220" s="685"/>
      <c r="S220" s="685"/>
      <c r="T220" s="685"/>
      <c r="U220" s="685"/>
      <c r="V220" s="685"/>
      <c r="W220" s="685"/>
      <c r="X220" s="685"/>
      <c r="Y220" s="685"/>
      <c r="Z220" s="685"/>
      <c r="AA220" s="685"/>
      <c r="AB220" s="685"/>
      <c r="AC220" s="685"/>
      <c r="AD220" s="685"/>
      <c r="AE220" s="685"/>
      <c r="AF220" s="685"/>
      <c r="AG220" s="685"/>
      <c r="AH220" s="685"/>
      <c r="AI220" s="685"/>
      <c r="AJ220" s="685"/>
      <c r="AK220" s="685"/>
      <c r="AL220" s="685"/>
      <c r="AM220" s="685"/>
      <c r="AN220" s="685"/>
      <c r="AO220" s="685"/>
      <c r="AP220" s="685"/>
      <c r="AQ220" s="685"/>
      <c r="AR220" s="685"/>
      <c r="AS220" s="685"/>
      <c r="AT220" s="685"/>
      <c r="AU220" s="685"/>
      <c r="AV220" s="685"/>
      <c r="AW220" s="685"/>
      <c r="AX220" s="685"/>
      <c r="AY220" s="685"/>
      <c r="AZ220" s="685"/>
      <c r="BA220" s="685"/>
      <c r="BB220" s="685"/>
      <c r="BC220" s="685"/>
      <c r="BD220" s="685"/>
      <c r="BE220" s="685"/>
    </row>
    <row r="221" spans="1:57">
      <c r="A221" s="685"/>
      <c r="B221" s="685" t="s">
        <v>2484</v>
      </c>
      <c r="C221" s="795">
        <f>SUM(C219:C220)</f>
        <v>53719.4</v>
      </c>
      <c r="D221" s="795">
        <f>SUM(D219:D220)</f>
        <v>59600.7</v>
      </c>
      <c r="E221" s="795">
        <f>SUM(E219:E220)</f>
        <v>57691.119999999995</v>
      </c>
      <c r="F221" s="814"/>
      <c r="G221" s="685"/>
      <c r="H221" s="685"/>
      <c r="I221" s="685"/>
      <c r="J221" s="685"/>
      <c r="K221" s="685"/>
      <c r="L221" s="685"/>
      <c r="M221" s="685"/>
      <c r="N221" s="685"/>
      <c r="O221" s="685"/>
      <c r="P221" s="685"/>
      <c r="Q221" s="685"/>
      <c r="R221" s="685"/>
      <c r="S221" s="685"/>
      <c r="T221" s="685"/>
      <c r="U221" s="685"/>
      <c r="V221" s="685"/>
      <c r="W221" s="685"/>
      <c r="X221" s="685"/>
      <c r="Y221" s="685"/>
      <c r="Z221" s="685"/>
      <c r="AA221" s="685"/>
      <c r="AB221" s="685"/>
      <c r="AC221" s="685"/>
      <c r="AD221" s="685"/>
      <c r="AE221" s="685"/>
      <c r="AF221" s="685"/>
      <c r="AG221" s="685"/>
      <c r="AH221" s="685"/>
      <c r="AI221" s="685"/>
      <c r="AJ221" s="685"/>
      <c r="AK221" s="685"/>
      <c r="AL221" s="685"/>
      <c r="AM221" s="685"/>
      <c r="AN221" s="685"/>
      <c r="AO221" s="685"/>
      <c r="AP221" s="685"/>
      <c r="AQ221" s="685"/>
      <c r="AR221" s="685"/>
      <c r="AS221" s="685"/>
      <c r="AT221" s="685"/>
      <c r="AU221" s="685"/>
      <c r="AV221" s="685"/>
      <c r="AW221" s="685"/>
      <c r="AX221" s="685"/>
      <c r="AY221" s="685"/>
      <c r="AZ221" s="685"/>
      <c r="BA221" s="685"/>
      <c r="BB221" s="685"/>
      <c r="BC221" s="685"/>
      <c r="BD221" s="685"/>
      <c r="BE221" s="685"/>
    </row>
    <row r="222" spans="1:57">
      <c r="A222" s="685"/>
      <c r="B222" s="924" t="s">
        <v>192</v>
      </c>
      <c r="C222" s="685"/>
      <c r="D222" s="685"/>
      <c r="E222" s="814"/>
      <c r="F222" s="685"/>
      <c r="G222" s="685"/>
      <c r="H222" s="685"/>
      <c r="I222" s="685"/>
      <c r="J222" s="685"/>
      <c r="K222" s="685"/>
      <c r="L222" s="685"/>
      <c r="M222" s="685"/>
      <c r="N222" s="685"/>
      <c r="O222" s="685"/>
      <c r="P222" s="685"/>
      <c r="Q222" s="685"/>
      <c r="R222" s="685"/>
      <c r="S222" s="685"/>
      <c r="T222" s="685"/>
      <c r="U222" s="685"/>
      <c r="V222" s="685"/>
      <c r="W222" s="685"/>
      <c r="X222" s="685"/>
      <c r="Y222" s="685"/>
      <c r="Z222" s="685"/>
      <c r="AA222" s="685"/>
      <c r="AB222" s="685"/>
      <c r="AC222" s="685"/>
      <c r="AD222" s="685"/>
      <c r="AE222" s="685"/>
      <c r="AF222" s="685"/>
      <c r="AG222" s="685"/>
      <c r="AH222" s="685"/>
      <c r="AI222" s="685"/>
      <c r="AJ222" s="685"/>
      <c r="AK222" s="685"/>
      <c r="AL222" s="685"/>
      <c r="AM222" s="685"/>
      <c r="AN222" s="685"/>
      <c r="AO222" s="685"/>
      <c r="AP222" s="685"/>
      <c r="AQ222" s="685"/>
      <c r="AR222" s="685"/>
      <c r="AS222" s="685"/>
      <c r="AT222" s="685"/>
      <c r="AU222" s="685"/>
      <c r="AV222" s="685"/>
      <c r="AW222" s="685"/>
      <c r="AX222" s="685"/>
      <c r="AY222" s="685"/>
      <c r="AZ222" s="685"/>
      <c r="BA222" s="685"/>
      <c r="BB222" s="685"/>
      <c r="BC222" s="685"/>
      <c r="BD222" s="685"/>
      <c r="BE222" s="685"/>
    </row>
    <row r="223" spans="1:57">
      <c r="A223" s="685"/>
      <c r="B223" s="924" t="s">
        <v>2485</v>
      </c>
      <c r="C223" s="685"/>
      <c r="D223" s="685"/>
      <c r="E223" s="814"/>
      <c r="F223" s="685"/>
      <c r="G223" s="685"/>
      <c r="H223" s="685"/>
      <c r="I223" s="685"/>
      <c r="J223" s="685"/>
      <c r="K223" s="685"/>
      <c r="L223" s="685"/>
      <c r="M223" s="685"/>
      <c r="N223" s="685"/>
      <c r="O223" s="685"/>
      <c r="P223" s="685"/>
      <c r="Q223" s="685"/>
      <c r="R223" s="685"/>
      <c r="S223" s="685"/>
      <c r="T223" s="685"/>
      <c r="U223" s="685"/>
      <c r="V223" s="685"/>
      <c r="W223" s="685"/>
      <c r="X223" s="685"/>
      <c r="Y223" s="685"/>
      <c r="Z223" s="685"/>
      <c r="AA223" s="685"/>
      <c r="AB223" s="685"/>
      <c r="AC223" s="685"/>
      <c r="AD223" s="685"/>
      <c r="AE223" s="685"/>
      <c r="AF223" s="685"/>
      <c r="AG223" s="685"/>
      <c r="AH223" s="685"/>
      <c r="AI223" s="685"/>
      <c r="AJ223" s="685"/>
      <c r="AK223" s="685"/>
      <c r="AL223" s="685"/>
      <c r="AM223" s="685"/>
      <c r="AN223" s="685"/>
      <c r="AO223" s="685"/>
      <c r="AP223" s="685"/>
      <c r="AQ223" s="685"/>
      <c r="AR223" s="685"/>
      <c r="AS223" s="685"/>
      <c r="AT223" s="685"/>
      <c r="AU223" s="685"/>
      <c r="AV223" s="685"/>
      <c r="AW223" s="685"/>
      <c r="AX223" s="685"/>
      <c r="AY223" s="685"/>
      <c r="AZ223" s="685"/>
      <c r="BA223" s="685"/>
      <c r="BB223" s="685"/>
      <c r="BC223" s="685"/>
      <c r="BD223" s="685"/>
      <c r="BE223" s="685"/>
    </row>
    <row r="224" spans="1:57">
      <c r="A224" s="685"/>
      <c r="B224" s="685"/>
      <c r="C224" s="685"/>
      <c r="D224" s="685"/>
      <c r="E224" s="814"/>
      <c r="F224" s="685"/>
      <c r="G224" s="685"/>
      <c r="H224" s="685"/>
      <c r="I224" s="685"/>
      <c r="J224" s="685"/>
      <c r="K224" s="685"/>
      <c r="L224" s="685"/>
      <c r="M224" s="685"/>
      <c r="N224" s="685"/>
      <c r="O224" s="685"/>
      <c r="P224" s="685"/>
      <c r="Q224" s="685"/>
      <c r="R224" s="685"/>
      <c r="S224" s="685"/>
      <c r="T224" s="685"/>
      <c r="U224" s="685"/>
      <c r="V224" s="685"/>
      <c r="W224" s="685"/>
      <c r="X224" s="685"/>
      <c r="Y224" s="685"/>
      <c r="Z224" s="685"/>
      <c r="AA224" s="685"/>
      <c r="AB224" s="685"/>
      <c r="AC224" s="685"/>
      <c r="AD224" s="685"/>
      <c r="AE224" s="685"/>
      <c r="AF224" s="685"/>
      <c r="AG224" s="685"/>
      <c r="AH224" s="685"/>
      <c r="AI224" s="685"/>
      <c r="AJ224" s="685"/>
      <c r="AK224" s="685"/>
      <c r="AL224" s="685"/>
      <c r="AM224" s="685"/>
      <c r="AN224" s="685"/>
      <c r="AO224" s="685"/>
      <c r="AP224" s="685"/>
      <c r="AQ224" s="685"/>
      <c r="AR224" s="685"/>
      <c r="AS224" s="685"/>
      <c r="AT224" s="685"/>
      <c r="AU224" s="685"/>
      <c r="AV224" s="685"/>
      <c r="AW224" s="685"/>
      <c r="AX224" s="685"/>
      <c r="AY224" s="685"/>
      <c r="AZ224" s="685"/>
      <c r="BA224" s="685"/>
      <c r="BB224" s="685"/>
      <c r="BC224" s="685"/>
      <c r="BD224" s="685"/>
      <c r="BE224" s="685"/>
    </row>
    <row r="225" spans="1:57">
      <c r="A225" s="685"/>
      <c r="B225" s="817" t="s">
        <v>779</v>
      </c>
      <c r="C225" s="685"/>
      <c r="D225" s="685"/>
      <c r="E225" s="685"/>
      <c r="F225" s="685"/>
      <c r="G225" s="685"/>
      <c r="H225" s="685"/>
      <c r="I225" s="685"/>
      <c r="J225" s="685"/>
      <c r="K225" s="685"/>
      <c r="L225" s="685"/>
      <c r="M225" s="685"/>
      <c r="N225" s="685"/>
      <c r="O225" s="685"/>
      <c r="P225" s="685"/>
      <c r="Q225" s="685"/>
      <c r="R225" s="685"/>
      <c r="S225" s="685"/>
      <c r="T225" s="685"/>
      <c r="U225" s="685"/>
      <c r="V225" s="685"/>
      <c r="W225" s="685"/>
      <c r="X225" s="685"/>
      <c r="Y225" s="685"/>
      <c r="Z225" s="685"/>
      <c r="AA225" s="685"/>
      <c r="AB225" s="685"/>
      <c r="AC225" s="685"/>
      <c r="AD225" s="685"/>
      <c r="AE225" s="685"/>
      <c r="AF225" s="685"/>
      <c r="AG225" s="685"/>
      <c r="AH225" s="685"/>
      <c r="AI225" s="685"/>
      <c r="AJ225" s="685"/>
      <c r="AK225" s="685"/>
      <c r="AL225" s="685"/>
      <c r="AM225" s="685"/>
      <c r="AN225" s="685"/>
      <c r="AO225" s="685"/>
      <c r="AP225" s="685"/>
      <c r="AQ225" s="685"/>
      <c r="AR225" s="685"/>
      <c r="AS225" s="685"/>
      <c r="AT225" s="685"/>
      <c r="AU225" s="685"/>
      <c r="AV225" s="685"/>
      <c r="AW225" s="685"/>
      <c r="AX225" s="685"/>
      <c r="AY225" s="685"/>
      <c r="AZ225" s="685"/>
      <c r="BA225" s="685"/>
      <c r="BB225" s="685"/>
      <c r="BC225" s="685"/>
      <c r="BD225" s="685"/>
      <c r="BE225" s="685"/>
    </row>
    <row r="226" spans="1:57">
      <c r="A226" s="685"/>
      <c r="B226" s="924" t="s">
        <v>2486</v>
      </c>
      <c r="C226" s="795">
        <f t="shared" ref="C226:E227" si="107">C151</f>
        <v>3953.68</v>
      </c>
      <c r="D226" s="795">
        <f t="shared" si="107"/>
        <v>4387.74</v>
      </c>
      <c r="E226" s="795">
        <f t="shared" si="107"/>
        <v>4234.4000000000005</v>
      </c>
      <c r="F226" s="814"/>
      <c r="G226" s="685"/>
      <c r="H226" s="685"/>
      <c r="I226" s="685"/>
      <c r="J226" s="685"/>
      <c r="K226" s="685"/>
      <c r="L226" s="685"/>
      <c r="M226" s="685"/>
      <c r="N226" s="685"/>
      <c r="O226" s="685"/>
      <c r="P226" s="685"/>
      <c r="Q226" s="685"/>
      <c r="R226" s="685"/>
      <c r="S226" s="685"/>
      <c r="T226" s="685"/>
      <c r="U226" s="685"/>
      <c r="V226" s="685"/>
      <c r="W226" s="685"/>
      <c r="X226" s="685"/>
      <c r="Y226" s="685"/>
      <c r="Z226" s="685"/>
      <c r="AA226" s="685"/>
      <c r="AB226" s="685"/>
      <c r="AC226" s="685"/>
      <c r="AD226" s="685"/>
      <c r="AE226" s="685"/>
      <c r="AF226" s="685"/>
      <c r="AG226" s="685"/>
      <c r="AH226" s="685"/>
      <c r="AI226" s="685"/>
      <c r="AJ226" s="685"/>
      <c r="AK226" s="685"/>
      <c r="AL226" s="685"/>
      <c r="AM226" s="685"/>
      <c r="AN226" s="685"/>
      <c r="AO226" s="685"/>
      <c r="AP226" s="685"/>
      <c r="AQ226" s="685"/>
      <c r="AR226" s="685"/>
      <c r="AS226" s="685"/>
      <c r="AT226" s="685"/>
      <c r="AU226" s="685"/>
      <c r="AV226" s="685"/>
      <c r="AW226" s="685"/>
      <c r="AX226" s="685"/>
      <c r="AY226" s="685"/>
      <c r="AZ226" s="685"/>
      <c r="BA226" s="685"/>
      <c r="BB226" s="685"/>
      <c r="BC226" s="685"/>
      <c r="BD226" s="685"/>
      <c r="BE226" s="685"/>
    </row>
    <row r="227" spans="1:57">
      <c r="A227" s="685"/>
      <c r="B227" s="931" t="s">
        <v>2487</v>
      </c>
      <c r="C227" s="833">
        <f t="shared" si="107"/>
        <v>15814.719999999998</v>
      </c>
      <c r="D227" s="833">
        <f t="shared" si="107"/>
        <v>17550.96</v>
      </c>
      <c r="E227" s="833">
        <f t="shared" si="107"/>
        <v>16937.599999999999</v>
      </c>
      <c r="F227" s="958"/>
      <c r="G227" s="685"/>
      <c r="H227" s="685"/>
      <c r="I227" s="685"/>
      <c r="J227" s="685"/>
      <c r="K227" s="685"/>
      <c r="L227" s="685"/>
      <c r="M227" s="685"/>
      <c r="N227" s="685"/>
      <c r="O227" s="685"/>
      <c r="P227" s="685"/>
      <c r="Q227" s="685"/>
      <c r="R227" s="685"/>
      <c r="S227" s="685"/>
      <c r="T227" s="685"/>
      <c r="U227" s="685"/>
      <c r="V227" s="685"/>
      <c r="W227" s="685"/>
      <c r="X227" s="685"/>
      <c r="Y227" s="685"/>
      <c r="Z227" s="685"/>
      <c r="AA227" s="685"/>
      <c r="AB227" s="685"/>
      <c r="AC227" s="685"/>
      <c r="AD227" s="685"/>
      <c r="AE227" s="685"/>
      <c r="AF227" s="685"/>
      <c r="AG227" s="685"/>
      <c r="AH227" s="685"/>
      <c r="AI227" s="685"/>
      <c r="AJ227" s="685"/>
      <c r="AK227" s="685"/>
      <c r="AL227" s="685"/>
      <c r="AM227" s="685"/>
      <c r="AN227" s="685"/>
      <c r="AO227" s="685"/>
      <c r="AP227" s="685"/>
      <c r="AQ227" s="685"/>
      <c r="AR227" s="685"/>
      <c r="AS227" s="685"/>
      <c r="AT227" s="685"/>
      <c r="AU227" s="685"/>
      <c r="AV227" s="685"/>
      <c r="AW227" s="685"/>
      <c r="AX227" s="685"/>
      <c r="AY227" s="685"/>
      <c r="AZ227" s="685"/>
      <c r="BA227" s="685"/>
      <c r="BB227" s="685"/>
      <c r="BC227" s="685"/>
      <c r="BD227" s="685"/>
      <c r="BE227" s="685"/>
    </row>
    <row r="228" spans="1:57">
      <c r="A228" s="685"/>
      <c r="B228" s="924" t="s">
        <v>85</v>
      </c>
      <c r="C228" s="795">
        <f>SUM(C226:C227)</f>
        <v>19768.399999999998</v>
      </c>
      <c r="D228" s="795">
        <f>SUM(D226:D227)</f>
        <v>21938.699999999997</v>
      </c>
      <c r="E228" s="795">
        <f>SUM(E226:E227)</f>
        <v>21172</v>
      </c>
      <c r="F228" s="814"/>
      <c r="G228" s="685"/>
      <c r="H228" s="685"/>
      <c r="I228" s="685"/>
      <c r="J228" s="685"/>
      <c r="K228" s="685"/>
      <c r="L228" s="685"/>
      <c r="M228" s="685"/>
      <c r="N228" s="685"/>
      <c r="O228" s="685"/>
      <c r="P228" s="685"/>
      <c r="Q228" s="685"/>
      <c r="R228" s="685"/>
      <c r="S228" s="685"/>
      <c r="T228" s="685"/>
      <c r="U228" s="685"/>
      <c r="V228" s="685"/>
      <c r="W228" s="685"/>
      <c r="X228" s="685"/>
      <c r="Y228" s="685"/>
      <c r="Z228" s="685"/>
      <c r="AA228" s="685"/>
      <c r="AB228" s="685"/>
      <c r="AC228" s="685"/>
      <c r="AD228" s="685"/>
      <c r="AE228" s="685"/>
      <c r="AF228" s="685"/>
      <c r="AG228" s="685"/>
      <c r="AH228" s="685"/>
      <c r="AI228" s="685"/>
      <c r="AJ228" s="685"/>
      <c r="AK228" s="685"/>
      <c r="AL228" s="685"/>
      <c r="AM228" s="685"/>
      <c r="AN228" s="685"/>
      <c r="AO228" s="685"/>
      <c r="AP228" s="685"/>
      <c r="AQ228" s="685"/>
      <c r="AR228" s="685"/>
      <c r="AS228" s="685"/>
      <c r="AT228" s="685"/>
      <c r="AU228" s="685"/>
      <c r="AV228" s="685"/>
      <c r="AW228" s="685"/>
      <c r="AX228" s="685"/>
      <c r="AY228" s="685"/>
      <c r="AZ228" s="685"/>
      <c r="BA228" s="685"/>
      <c r="BB228" s="685"/>
      <c r="BC228" s="685"/>
      <c r="BD228" s="685"/>
      <c r="BE228" s="685"/>
    </row>
    <row r="229" spans="1:57">
      <c r="A229" s="685"/>
      <c r="B229" s="685"/>
      <c r="C229" s="685"/>
      <c r="D229" s="685"/>
      <c r="E229" s="685"/>
      <c r="F229" s="685"/>
      <c r="G229" s="685"/>
      <c r="H229" s="685"/>
      <c r="I229" s="685"/>
      <c r="J229" s="685"/>
      <c r="K229" s="685"/>
      <c r="L229" s="685"/>
      <c r="M229" s="685"/>
      <c r="N229" s="685"/>
      <c r="O229" s="685"/>
      <c r="P229" s="685"/>
      <c r="Q229" s="685"/>
      <c r="R229" s="685"/>
      <c r="S229" s="685"/>
      <c r="T229" s="685"/>
      <c r="U229" s="685"/>
      <c r="V229" s="685"/>
      <c r="W229" s="685"/>
      <c r="X229" s="685"/>
      <c r="Y229" s="685"/>
      <c r="Z229" s="685"/>
      <c r="AA229" s="685"/>
      <c r="AB229" s="685"/>
      <c r="AC229" s="685"/>
      <c r="AD229" s="685"/>
      <c r="AE229" s="685"/>
      <c r="AF229" s="685"/>
      <c r="AG229" s="685"/>
      <c r="AH229" s="685"/>
      <c r="AI229" s="685"/>
      <c r="AJ229" s="685"/>
      <c r="AK229" s="685"/>
      <c r="AL229" s="685"/>
      <c r="AM229" s="685"/>
      <c r="AN229" s="685"/>
      <c r="AO229" s="685"/>
      <c r="AP229" s="685"/>
      <c r="AQ229" s="685"/>
      <c r="AR229" s="685"/>
      <c r="AS229" s="685"/>
      <c r="AT229" s="685"/>
      <c r="AU229" s="685"/>
      <c r="AV229" s="685"/>
      <c r="AW229" s="685"/>
      <c r="AX229" s="685"/>
      <c r="AY229" s="685"/>
      <c r="AZ229" s="685"/>
      <c r="BA229" s="685"/>
      <c r="BB229" s="685"/>
      <c r="BC229" s="685"/>
      <c r="BD229" s="685"/>
      <c r="BE229" s="685"/>
    </row>
    <row r="230" spans="1:57">
      <c r="A230" s="685"/>
      <c r="B230" s="685" t="s">
        <v>2461</v>
      </c>
      <c r="C230" s="795">
        <f t="shared" ref="C230:E231" si="108">C155</f>
        <v>9678.65</v>
      </c>
      <c r="D230" s="795">
        <f t="shared" si="108"/>
        <v>11050.410000000002</v>
      </c>
      <c r="E230" s="795">
        <f t="shared" si="108"/>
        <v>8806.5999999999985</v>
      </c>
      <c r="F230" s="814"/>
      <c r="G230" s="685"/>
      <c r="H230" s="685"/>
      <c r="I230" s="685"/>
      <c r="J230" s="685"/>
      <c r="K230" s="685"/>
      <c r="L230" s="685"/>
      <c r="M230" s="685"/>
      <c r="N230" s="685"/>
      <c r="O230" s="685"/>
      <c r="P230" s="685"/>
      <c r="Q230" s="685"/>
      <c r="R230" s="685"/>
      <c r="S230" s="685"/>
      <c r="T230" s="685"/>
      <c r="U230" s="685"/>
      <c r="V230" s="685"/>
      <c r="W230" s="685"/>
      <c r="X230" s="685"/>
      <c r="Y230" s="685"/>
      <c r="Z230" s="685"/>
      <c r="AA230" s="685"/>
      <c r="AB230" s="685"/>
      <c r="AC230" s="685"/>
      <c r="AD230" s="685"/>
      <c r="AE230" s="685"/>
      <c r="AF230" s="685"/>
      <c r="AG230" s="685"/>
      <c r="AH230" s="685"/>
      <c r="AI230" s="685"/>
      <c r="AJ230" s="685"/>
      <c r="AK230" s="685"/>
      <c r="AL230" s="685"/>
      <c r="AM230" s="685"/>
      <c r="AN230" s="685"/>
      <c r="AO230" s="685"/>
      <c r="AP230" s="685"/>
      <c r="AQ230" s="685"/>
      <c r="AR230" s="685"/>
      <c r="AS230" s="685"/>
      <c r="AT230" s="685"/>
      <c r="AU230" s="685"/>
      <c r="AV230" s="685"/>
      <c r="AW230" s="685"/>
      <c r="AX230" s="685"/>
      <c r="AY230" s="685"/>
      <c r="AZ230" s="685"/>
      <c r="BA230" s="685"/>
      <c r="BB230" s="685"/>
      <c r="BC230" s="685"/>
      <c r="BD230" s="685"/>
      <c r="BE230" s="685"/>
    </row>
    <row r="231" spans="1:57">
      <c r="A231" s="685"/>
      <c r="B231" s="743" t="s">
        <v>2488</v>
      </c>
      <c r="C231" s="833">
        <f t="shared" si="108"/>
        <v>26229.650000000016</v>
      </c>
      <c r="D231" s="833">
        <f t="shared" si="108"/>
        <v>29720.39</v>
      </c>
      <c r="E231" s="833">
        <f t="shared" si="108"/>
        <v>31516.400000000001</v>
      </c>
      <c r="F231" s="958"/>
      <c r="G231" s="685"/>
      <c r="H231" s="685"/>
      <c r="I231" s="685"/>
      <c r="J231" s="685"/>
      <c r="K231" s="685"/>
      <c r="L231" s="685"/>
      <c r="M231" s="685"/>
      <c r="N231" s="685"/>
      <c r="O231" s="685"/>
      <c r="P231" s="685"/>
      <c r="Q231" s="685"/>
      <c r="R231" s="685"/>
      <c r="S231" s="685"/>
      <c r="T231" s="685"/>
      <c r="U231" s="685"/>
      <c r="V231" s="685"/>
      <c r="W231" s="685"/>
      <c r="X231" s="685"/>
      <c r="Y231" s="685"/>
      <c r="Z231" s="685"/>
      <c r="AA231" s="685"/>
      <c r="AB231" s="685"/>
      <c r="AC231" s="685"/>
      <c r="AD231" s="685"/>
      <c r="AE231" s="685"/>
      <c r="AF231" s="685"/>
      <c r="AG231" s="685"/>
      <c r="AH231" s="685"/>
      <c r="AI231" s="685"/>
      <c r="AJ231" s="685"/>
      <c r="AK231" s="685"/>
      <c r="AL231" s="685"/>
      <c r="AM231" s="685"/>
      <c r="AN231" s="685"/>
      <c r="AO231" s="685"/>
      <c r="AP231" s="685"/>
      <c r="AQ231" s="685"/>
      <c r="AR231" s="685"/>
      <c r="AS231" s="685"/>
      <c r="AT231" s="685"/>
      <c r="AU231" s="685"/>
      <c r="AV231" s="685"/>
      <c r="AW231" s="685"/>
      <c r="AX231" s="685"/>
      <c r="AY231" s="685"/>
      <c r="AZ231" s="685"/>
      <c r="BA231" s="685"/>
      <c r="BB231" s="685"/>
      <c r="BC231" s="685"/>
      <c r="BD231" s="685"/>
      <c r="BE231" s="685"/>
    </row>
    <row r="232" spans="1:57">
      <c r="A232" s="685"/>
      <c r="B232" s="685" t="s">
        <v>85</v>
      </c>
      <c r="C232" s="795">
        <f>SUM(C230:C231)</f>
        <v>35908.300000000017</v>
      </c>
      <c r="D232" s="795">
        <f>SUM(D230:D231)</f>
        <v>40770.800000000003</v>
      </c>
      <c r="E232" s="795">
        <f>SUM(E230:E231)</f>
        <v>40323</v>
      </c>
      <c r="F232" s="814"/>
      <c r="G232" s="685"/>
      <c r="H232" s="685"/>
      <c r="I232" s="685"/>
      <c r="J232" s="685"/>
      <c r="K232" s="685"/>
      <c r="L232" s="685"/>
      <c r="M232" s="685"/>
      <c r="N232" s="685"/>
      <c r="O232" s="685"/>
      <c r="P232" s="685"/>
      <c r="Q232" s="685"/>
      <c r="R232" s="685"/>
      <c r="S232" s="685"/>
      <c r="T232" s="685"/>
      <c r="U232" s="685"/>
      <c r="V232" s="685"/>
      <c r="W232" s="685"/>
      <c r="X232" s="685"/>
      <c r="Y232" s="685"/>
      <c r="Z232" s="685"/>
      <c r="AA232" s="685"/>
      <c r="AB232" s="685"/>
      <c r="AC232" s="685"/>
      <c r="AD232" s="685"/>
      <c r="AE232" s="685"/>
      <c r="AF232" s="685"/>
      <c r="AG232" s="685"/>
      <c r="AH232" s="685"/>
      <c r="AI232" s="685"/>
      <c r="AJ232" s="685"/>
      <c r="AK232" s="685"/>
      <c r="AL232" s="685"/>
      <c r="AM232" s="685"/>
      <c r="AN232" s="685"/>
      <c r="AO232" s="685"/>
      <c r="AP232" s="685"/>
      <c r="AQ232" s="685"/>
      <c r="AR232" s="685"/>
      <c r="AS232" s="685"/>
      <c r="AT232" s="685"/>
      <c r="AU232" s="685"/>
      <c r="AV232" s="685"/>
      <c r="AW232" s="685"/>
      <c r="AX232" s="685"/>
      <c r="AY232" s="685"/>
      <c r="AZ232" s="685"/>
      <c r="BA232" s="685"/>
      <c r="BB232" s="685"/>
      <c r="BC232" s="685"/>
      <c r="BD232" s="685"/>
      <c r="BE232" s="685"/>
    </row>
    <row r="233" spans="1:57">
      <c r="A233" s="685"/>
      <c r="B233" s="685"/>
      <c r="C233" s="685"/>
      <c r="D233" s="685"/>
      <c r="E233" s="685"/>
      <c r="F233" s="685"/>
      <c r="G233" s="685"/>
      <c r="H233" s="685"/>
      <c r="I233" s="685"/>
      <c r="J233" s="685"/>
      <c r="K233" s="685"/>
      <c r="L233" s="685"/>
      <c r="M233" s="685"/>
      <c r="N233" s="685"/>
      <c r="O233" s="685"/>
      <c r="P233" s="685"/>
      <c r="Q233" s="685"/>
      <c r="R233" s="685"/>
      <c r="S233" s="685"/>
      <c r="T233" s="685"/>
      <c r="U233" s="685"/>
      <c r="V233" s="685"/>
      <c r="W233" s="685"/>
      <c r="X233" s="685"/>
      <c r="Y233" s="685"/>
      <c r="Z233" s="685"/>
      <c r="AA233" s="685"/>
      <c r="AB233" s="685"/>
      <c r="AC233" s="685"/>
      <c r="AD233" s="685"/>
      <c r="AE233" s="685"/>
      <c r="AF233" s="685"/>
      <c r="AG233" s="685"/>
      <c r="AH233" s="685"/>
      <c r="AI233" s="685"/>
      <c r="AJ233" s="685"/>
      <c r="AK233" s="685"/>
      <c r="AL233" s="685"/>
      <c r="AM233" s="685"/>
      <c r="AN233" s="685"/>
      <c r="AO233" s="685"/>
      <c r="AP233" s="685"/>
      <c r="AQ233" s="685"/>
      <c r="AR233" s="685"/>
      <c r="AS233" s="685"/>
      <c r="AT233" s="685"/>
      <c r="AU233" s="685"/>
      <c r="AV233" s="685"/>
      <c r="AW233" s="685"/>
      <c r="AX233" s="685"/>
      <c r="AY233" s="685"/>
      <c r="AZ233" s="685"/>
      <c r="BA233" s="685"/>
      <c r="BB233" s="685"/>
      <c r="BC233" s="685"/>
      <c r="BD233" s="685"/>
      <c r="BE233" s="685"/>
    </row>
    <row r="234" spans="1:57">
      <c r="A234" s="685"/>
      <c r="B234" s="817" t="s">
        <v>34</v>
      </c>
      <c r="C234" s="685"/>
      <c r="D234" s="685"/>
      <c r="E234" s="685"/>
      <c r="F234" s="685"/>
      <c r="G234" s="685"/>
      <c r="H234" s="685"/>
      <c r="I234" s="685"/>
      <c r="J234" s="685"/>
      <c r="K234" s="685"/>
      <c r="L234" s="685"/>
      <c r="M234" s="685"/>
      <c r="N234" s="685"/>
      <c r="O234" s="685"/>
      <c r="P234" s="685"/>
      <c r="Q234" s="685"/>
      <c r="R234" s="685"/>
      <c r="S234" s="685"/>
      <c r="T234" s="685"/>
      <c r="U234" s="685"/>
      <c r="V234" s="685"/>
      <c r="W234" s="685"/>
      <c r="X234" s="685"/>
      <c r="Y234" s="685"/>
      <c r="Z234" s="685"/>
      <c r="AA234" s="685"/>
      <c r="AB234" s="685"/>
      <c r="AC234" s="685"/>
      <c r="AD234" s="685"/>
      <c r="AE234" s="685"/>
      <c r="AF234" s="685"/>
      <c r="AG234" s="685"/>
      <c r="AH234" s="685"/>
      <c r="AI234" s="685"/>
      <c r="AJ234" s="685"/>
      <c r="AK234" s="685"/>
      <c r="AL234" s="685"/>
      <c r="AM234" s="685"/>
      <c r="AN234" s="685"/>
      <c r="AO234" s="685"/>
      <c r="AP234" s="685"/>
      <c r="AQ234" s="685"/>
      <c r="AR234" s="685"/>
      <c r="AS234" s="685"/>
      <c r="AT234" s="685"/>
      <c r="AU234" s="685"/>
      <c r="AV234" s="685"/>
      <c r="AW234" s="685"/>
      <c r="AX234" s="685"/>
      <c r="AY234" s="685"/>
      <c r="AZ234" s="685"/>
      <c r="BA234" s="685"/>
      <c r="BB234" s="685"/>
      <c r="BC234" s="685"/>
      <c r="BD234" s="685"/>
      <c r="BE234" s="685"/>
    </row>
    <row r="235" spans="1:57">
      <c r="A235" s="685"/>
      <c r="B235" s="924" t="s">
        <v>94</v>
      </c>
      <c r="C235" s="795">
        <f>C216-C228</f>
        <v>14564.2</v>
      </c>
      <c r="D235" s="795">
        <f>D216-D228</f>
        <v>14748</v>
      </c>
      <c r="E235" s="795">
        <f>E216-E228</f>
        <v>12825</v>
      </c>
      <c r="F235" s="814"/>
      <c r="G235" s="685"/>
      <c r="H235" s="685"/>
      <c r="I235" s="685"/>
      <c r="J235" s="685"/>
      <c r="K235" s="685"/>
      <c r="L235" s="685"/>
      <c r="M235" s="685"/>
      <c r="N235" s="685"/>
      <c r="O235" s="685"/>
      <c r="P235" s="685"/>
      <c r="Q235" s="685"/>
      <c r="R235" s="685"/>
      <c r="S235" s="685"/>
      <c r="T235" s="685"/>
      <c r="U235" s="685"/>
      <c r="V235" s="685"/>
      <c r="W235" s="685"/>
      <c r="X235" s="685"/>
      <c r="Y235" s="685"/>
      <c r="Z235" s="685"/>
      <c r="AA235" s="685"/>
      <c r="AB235" s="685"/>
      <c r="AC235" s="685"/>
      <c r="AD235" s="685"/>
      <c r="AE235" s="685"/>
      <c r="AF235" s="685"/>
      <c r="AG235" s="685"/>
      <c r="AH235" s="685"/>
      <c r="AI235" s="685"/>
      <c r="AJ235" s="685"/>
      <c r="AK235" s="685"/>
      <c r="AL235" s="685"/>
      <c r="AM235" s="685"/>
      <c r="AN235" s="685"/>
      <c r="AO235" s="685"/>
      <c r="AP235" s="685"/>
      <c r="AQ235" s="685"/>
      <c r="AR235" s="685"/>
      <c r="AS235" s="685"/>
      <c r="AT235" s="685"/>
      <c r="AU235" s="685"/>
      <c r="AV235" s="685"/>
      <c r="AW235" s="685"/>
      <c r="AX235" s="685"/>
      <c r="AY235" s="685"/>
      <c r="AZ235" s="685"/>
      <c r="BA235" s="685"/>
      <c r="BB235" s="685"/>
      <c r="BC235" s="685"/>
      <c r="BD235" s="685"/>
      <c r="BE235" s="685"/>
    </row>
    <row r="236" spans="1:57">
      <c r="A236" s="685"/>
      <c r="B236" s="931" t="s">
        <v>107</v>
      </c>
      <c r="C236" s="833">
        <f>C221-C232</f>
        <v>17811.099999999984</v>
      </c>
      <c r="D236" s="833">
        <f>D221-D232</f>
        <v>18829.899999999994</v>
      </c>
      <c r="E236" s="833">
        <f>E221-E232</f>
        <v>17368.119999999995</v>
      </c>
      <c r="F236" s="958"/>
      <c r="G236" s="685"/>
      <c r="H236" s="685"/>
      <c r="I236" s="685"/>
      <c r="J236" s="685"/>
      <c r="K236" s="685"/>
      <c r="L236" s="685"/>
      <c r="M236" s="685"/>
      <c r="N236" s="685"/>
      <c r="O236" s="685"/>
      <c r="P236" s="685"/>
      <c r="Q236" s="685"/>
      <c r="R236" s="685"/>
      <c r="S236" s="685"/>
      <c r="T236" s="685"/>
      <c r="U236" s="685"/>
      <c r="V236" s="685"/>
      <c r="W236" s="685"/>
      <c r="X236" s="685"/>
      <c r="Y236" s="685"/>
      <c r="Z236" s="685"/>
      <c r="AA236" s="685"/>
      <c r="AB236" s="685"/>
      <c r="AC236" s="685"/>
      <c r="AD236" s="685"/>
      <c r="AE236" s="685"/>
      <c r="AF236" s="685"/>
      <c r="AG236" s="685"/>
      <c r="AH236" s="685"/>
      <c r="AI236" s="685"/>
      <c r="AJ236" s="685"/>
      <c r="AK236" s="685"/>
      <c r="AL236" s="685"/>
      <c r="AM236" s="685"/>
      <c r="AN236" s="685"/>
      <c r="AO236" s="685"/>
      <c r="AP236" s="685"/>
      <c r="AQ236" s="685"/>
      <c r="AR236" s="685"/>
      <c r="AS236" s="685"/>
      <c r="AT236" s="685"/>
      <c r="AU236" s="685"/>
      <c r="AV236" s="685"/>
      <c r="AW236" s="685"/>
      <c r="AX236" s="685"/>
      <c r="AY236" s="685"/>
      <c r="AZ236" s="685"/>
      <c r="BA236" s="685"/>
      <c r="BB236" s="685"/>
      <c r="BC236" s="685"/>
      <c r="BD236" s="685"/>
      <c r="BE236" s="685"/>
    </row>
    <row r="237" spans="1:57">
      <c r="A237" s="685"/>
      <c r="B237" s="924" t="s">
        <v>85</v>
      </c>
      <c r="C237" s="795">
        <f>SUM(C235:C236)</f>
        <v>32375.299999999985</v>
      </c>
      <c r="D237" s="795">
        <f>SUM(D235:D236)</f>
        <v>33577.899999999994</v>
      </c>
      <c r="E237" s="795">
        <f>SUM(E235:E236)</f>
        <v>30193.119999999995</v>
      </c>
      <c r="F237" s="814"/>
      <c r="G237" s="685"/>
      <c r="H237" s="685"/>
      <c r="I237" s="685"/>
      <c r="J237" s="685"/>
      <c r="K237" s="685"/>
      <c r="L237" s="685"/>
      <c r="M237" s="685"/>
      <c r="N237" s="685"/>
      <c r="O237" s="685"/>
      <c r="P237" s="685"/>
      <c r="Q237" s="685"/>
      <c r="R237" s="685"/>
      <c r="S237" s="685"/>
      <c r="T237" s="685"/>
      <c r="U237" s="685"/>
      <c r="V237" s="685"/>
      <c r="W237" s="685"/>
      <c r="X237" s="685"/>
      <c r="Y237" s="685"/>
      <c r="Z237" s="685"/>
      <c r="AA237" s="685"/>
      <c r="AB237" s="685"/>
      <c r="AC237" s="685"/>
      <c r="AD237" s="685"/>
      <c r="AE237" s="685"/>
      <c r="AF237" s="685"/>
      <c r="AG237" s="685"/>
      <c r="AH237" s="685"/>
      <c r="AI237" s="685"/>
      <c r="AJ237" s="685"/>
      <c r="AK237" s="685"/>
      <c r="AL237" s="685"/>
      <c r="AM237" s="685"/>
      <c r="AN237" s="685"/>
      <c r="AO237" s="685"/>
      <c r="AP237" s="685"/>
      <c r="AQ237" s="685"/>
      <c r="AR237" s="685"/>
      <c r="AS237" s="685"/>
      <c r="AT237" s="685"/>
      <c r="AU237" s="685"/>
      <c r="AV237" s="685"/>
      <c r="AW237" s="685"/>
      <c r="AX237" s="685"/>
      <c r="AY237" s="685"/>
      <c r="AZ237" s="685"/>
      <c r="BA237" s="685"/>
      <c r="BB237" s="685"/>
      <c r="BC237" s="685"/>
      <c r="BD237" s="685"/>
      <c r="BE237" s="685"/>
    </row>
    <row r="238" spans="1:57">
      <c r="A238" s="685"/>
      <c r="B238" s="924"/>
      <c r="C238" s="795"/>
      <c r="D238" s="795"/>
      <c r="E238" s="795"/>
      <c r="F238" s="814"/>
      <c r="G238" s="685"/>
      <c r="H238" s="685"/>
      <c r="I238" s="685"/>
      <c r="J238" s="685"/>
      <c r="K238" s="685"/>
      <c r="L238" s="685"/>
      <c r="M238" s="685"/>
      <c r="N238" s="685"/>
      <c r="O238" s="685"/>
      <c r="P238" s="685"/>
      <c r="Q238" s="685"/>
      <c r="R238" s="685"/>
      <c r="S238" s="685"/>
      <c r="T238" s="685"/>
      <c r="U238" s="685"/>
      <c r="V238" s="685"/>
      <c r="W238" s="685"/>
      <c r="X238" s="685"/>
      <c r="Y238" s="685"/>
      <c r="Z238" s="685"/>
      <c r="AA238" s="685"/>
      <c r="AB238" s="685"/>
      <c r="AC238" s="685"/>
      <c r="AD238" s="685"/>
      <c r="AE238" s="685"/>
      <c r="AF238" s="685"/>
      <c r="AG238" s="685"/>
      <c r="AH238" s="685"/>
      <c r="AI238" s="685"/>
      <c r="AJ238" s="685"/>
      <c r="AK238" s="685"/>
      <c r="AL238" s="685"/>
      <c r="AM238" s="685"/>
      <c r="AN238" s="685"/>
      <c r="AO238" s="685"/>
      <c r="AP238" s="685"/>
      <c r="AQ238" s="685"/>
      <c r="AR238" s="685"/>
      <c r="AS238" s="685"/>
      <c r="AT238" s="685"/>
      <c r="AU238" s="685"/>
      <c r="AV238" s="685"/>
      <c r="AW238" s="685"/>
      <c r="AX238" s="685"/>
      <c r="AY238" s="685"/>
      <c r="AZ238" s="685"/>
      <c r="BA238" s="685"/>
      <c r="BB238" s="685"/>
      <c r="BC238" s="685"/>
      <c r="BD238" s="685"/>
      <c r="BE238" s="685"/>
    </row>
    <row r="239" spans="1:57">
      <c r="A239" s="685"/>
      <c r="B239" s="924" t="s">
        <v>2489</v>
      </c>
      <c r="C239" s="795"/>
      <c r="D239" s="795"/>
      <c r="E239" s="795"/>
      <c r="F239" s="814"/>
      <c r="G239" s="685"/>
      <c r="H239" s="685"/>
      <c r="I239" s="685"/>
      <c r="J239" s="685"/>
      <c r="K239" s="685"/>
      <c r="L239" s="685"/>
      <c r="M239" s="685"/>
      <c r="N239" s="685"/>
      <c r="O239" s="685"/>
      <c r="P239" s="685"/>
      <c r="Q239" s="685"/>
      <c r="R239" s="685"/>
      <c r="S239" s="685"/>
      <c r="T239" s="685"/>
      <c r="U239" s="685"/>
      <c r="V239" s="685"/>
      <c r="W239" s="685"/>
      <c r="X239" s="685"/>
      <c r="Y239" s="685"/>
      <c r="Z239" s="685"/>
      <c r="AA239" s="685"/>
      <c r="AB239" s="685"/>
      <c r="AC239" s="685"/>
      <c r="AD239" s="685"/>
      <c r="AE239" s="685"/>
      <c r="AF239" s="685"/>
      <c r="AG239" s="685"/>
      <c r="AH239" s="685"/>
      <c r="AI239" s="685"/>
      <c r="AJ239" s="685"/>
      <c r="AK239" s="685"/>
      <c r="AL239" s="685"/>
      <c r="AM239" s="685"/>
      <c r="AN239" s="685"/>
      <c r="AO239" s="685"/>
      <c r="AP239" s="685"/>
      <c r="AQ239" s="685"/>
      <c r="AR239" s="685"/>
      <c r="AS239" s="685"/>
      <c r="AT239" s="685"/>
      <c r="AU239" s="685"/>
      <c r="AV239" s="685"/>
      <c r="AW239" s="685"/>
      <c r="AX239" s="685"/>
      <c r="AY239" s="685"/>
      <c r="AZ239" s="685"/>
      <c r="BA239" s="685"/>
      <c r="BB239" s="685"/>
      <c r="BC239" s="685"/>
      <c r="BD239" s="685"/>
      <c r="BE239" s="685"/>
    </row>
    <row r="240" spans="1:57">
      <c r="A240" s="685"/>
      <c r="B240" s="924" t="s">
        <v>2490</v>
      </c>
      <c r="C240" s="795">
        <f>C214+C219</f>
        <v>14965.409999999998</v>
      </c>
      <c r="D240" s="795">
        <f>D214+D219</f>
        <v>17153.5</v>
      </c>
      <c r="E240" s="795">
        <f>E214+E219</f>
        <v>14893.199999999999</v>
      </c>
      <c r="F240" s="814"/>
      <c r="G240" s="685"/>
      <c r="H240" s="685"/>
      <c r="I240" s="685"/>
      <c r="J240" s="685"/>
      <c r="K240" s="685"/>
      <c r="L240" s="685"/>
      <c r="M240" s="685"/>
      <c r="N240" s="685"/>
      <c r="O240" s="685"/>
      <c r="P240" s="685"/>
      <c r="Q240" s="685"/>
      <c r="R240" s="685"/>
      <c r="S240" s="685"/>
      <c r="T240" s="685"/>
      <c r="U240" s="685"/>
      <c r="V240" s="685"/>
      <c r="W240" s="685"/>
      <c r="X240" s="685"/>
      <c r="Y240" s="685"/>
      <c r="Z240" s="685"/>
      <c r="AA240" s="685"/>
      <c r="AB240" s="685"/>
      <c r="AC240" s="685"/>
      <c r="AD240" s="685"/>
      <c r="AE240" s="685"/>
      <c r="AF240" s="685"/>
      <c r="AG240" s="685"/>
      <c r="AH240" s="685"/>
      <c r="AI240" s="685"/>
      <c r="AJ240" s="685"/>
      <c r="AK240" s="685"/>
      <c r="AL240" s="685"/>
      <c r="AM240" s="685"/>
      <c r="AN240" s="685"/>
      <c r="AO240" s="685"/>
      <c r="AP240" s="685"/>
      <c r="AQ240" s="685"/>
      <c r="AR240" s="685"/>
      <c r="AS240" s="685"/>
      <c r="AT240" s="685"/>
      <c r="AU240" s="685"/>
      <c r="AV240" s="685"/>
      <c r="AW240" s="685"/>
      <c r="AX240" s="685"/>
      <c r="AY240" s="685"/>
      <c r="AZ240" s="685"/>
      <c r="BA240" s="685"/>
      <c r="BB240" s="685"/>
      <c r="BC240" s="685"/>
      <c r="BD240" s="685"/>
      <c r="BE240" s="685"/>
    </row>
    <row r="241" spans="1:57">
      <c r="A241" s="685"/>
      <c r="B241" s="924" t="s">
        <v>2491</v>
      </c>
      <c r="C241" s="795">
        <f>C226+C230</f>
        <v>13632.33</v>
      </c>
      <c r="D241" s="795">
        <f>D226+D230</f>
        <v>15438.150000000001</v>
      </c>
      <c r="E241" s="795">
        <f>E226+E230</f>
        <v>13041</v>
      </c>
      <c r="F241" s="814"/>
      <c r="G241" s="685"/>
      <c r="H241" s="685"/>
      <c r="I241" s="685"/>
      <c r="J241" s="685"/>
      <c r="K241" s="685"/>
      <c r="L241" s="685"/>
      <c r="M241" s="685"/>
      <c r="N241" s="685"/>
      <c r="O241" s="685"/>
      <c r="P241" s="685"/>
      <c r="Q241" s="685"/>
      <c r="R241" s="685"/>
      <c r="S241" s="685"/>
      <c r="T241" s="685"/>
      <c r="U241" s="685"/>
      <c r="V241" s="685"/>
      <c r="W241" s="685"/>
      <c r="X241" s="685"/>
      <c r="Y241" s="685"/>
      <c r="Z241" s="685"/>
      <c r="AA241" s="685"/>
      <c r="AB241" s="685"/>
      <c r="AC241" s="685"/>
      <c r="AD241" s="685"/>
      <c r="AE241" s="685"/>
      <c r="AF241" s="685"/>
      <c r="AG241" s="685"/>
      <c r="AH241" s="685"/>
      <c r="AI241" s="685"/>
      <c r="AJ241" s="685"/>
      <c r="AK241" s="685"/>
      <c r="AL241" s="685"/>
      <c r="AM241" s="685"/>
      <c r="AN241" s="685"/>
      <c r="AO241" s="685"/>
      <c r="AP241" s="685"/>
      <c r="AQ241" s="685"/>
      <c r="AR241" s="685"/>
      <c r="AS241" s="685"/>
      <c r="AT241" s="685"/>
      <c r="AU241" s="685"/>
      <c r="AV241" s="685"/>
      <c r="AW241" s="685"/>
      <c r="AX241" s="685"/>
      <c r="AY241" s="685"/>
      <c r="AZ241" s="685"/>
      <c r="BA241" s="685"/>
      <c r="BB241" s="685"/>
      <c r="BC241" s="685"/>
      <c r="BD241" s="685"/>
      <c r="BE241" s="685"/>
    </row>
    <row r="242" spans="1:57">
      <c r="A242" s="685"/>
      <c r="B242" s="924" t="s">
        <v>2489</v>
      </c>
      <c r="C242" s="795">
        <f>C240-C241</f>
        <v>1333.0799999999981</v>
      </c>
      <c r="D242" s="795">
        <f>D240-D241</f>
        <v>1715.3499999999985</v>
      </c>
      <c r="E242" s="795">
        <f>E240-E241</f>
        <v>1852.1999999999989</v>
      </c>
      <c r="F242" s="814"/>
      <c r="G242" s="685"/>
      <c r="H242" s="685"/>
      <c r="I242" s="685"/>
      <c r="J242" s="685"/>
      <c r="K242" s="685"/>
      <c r="L242" s="685"/>
      <c r="M242" s="685"/>
      <c r="N242" s="685"/>
      <c r="O242" s="685"/>
      <c r="P242" s="685"/>
      <c r="Q242" s="685"/>
      <c r="R242" s="685"/>
      <c r="S242" s="685"/>
      <c r="T242" s="685"/>
      <c r="U242" s="685"/>
      <c r="V242" s="685"/>
      <c r="W242" s="685"/>
      <c r="X242" s="685"/>
      <c r="Y242" s="685"/>
      <c r="Z242" s="685"/>
      <c r="AA242" s="685"/>
      <c r="AB242" s="685"/>
      <c r="AC242" s="685"/>
      <c r="AD242" s="685"/>
      <c r="AE242" s="685"/>
      <c r="AF242" s="685"/>
      <c r="AG242" s="685"/>
      <c r="AH242" s="685"/>
      <c r="AI242" s="685"/>
      <c r="AJ242" s="685"/>
      <c r="AK242" s="685"/>
      <c r="AL242" s="685"/>
      <c r="AM242" s="685"/>
      <c r="AN242" s="685"/>
      <c r="AO242" s="685"/>
      <c r="AP242" s="685"/>
      <c r="AQ242" s="685"/>
      <c r="AR242" s="685"/>
      <c r="AS242" s="685"/>
      <c r="AT242" s="685"/>
      <c r="AU242" s="685"/>
      <c r="AV242" s="685"/>
      <c r="AW242" s="685"/>
      <c r="AX242" s="685"/>
      <c r="AY242" s="685"/>
      <c r="AZ242" s="685"/>
      <c r="BA242" s="685"/>
      <c r="BB242" s="685"/>
      <c r="BC242" s="685"/>
      <c r="BD242" s="685"/>
      <c r="BE242" s="685"/>
    </row>
    <row r="243" spans="1:57">
      <c r="A243" s="685"/>
      <c r="B243" s="685"/>
      <c r="C243" s="685"/>
      <c r="D243" s="685"/>
      <c r="E243" s="685"/>
      <c r="F243" s="685"/>
      <c r="G243" s="685"/>
      <c r="H243" s="685"/>
      <c r="I243" s="685"/>
      <c r="J243" s="685"/>
      <c r="K243" s="685"/>
      <c r="L243" s="685"/>
      <c r="M243" s="685"/>
      <c r="N243" s="685"/>
      <c r="O243" s="685"/>
      <c r="P243" s="685"/>
      <c r="Q243" s="685"/>
      <c r="R243" s="685"/>
      <c r="S243" s="685"/>
      <c r="T243" s="685"/>
      <c r="U243" s="685"/>
      <c r="V243" s="685"/>
      <c r="W243" s="685"/>
      <c r="X243" s="685"/>
      <c r="Y243" s="685"/>
      <c r="Z243" s="685"/>
      <c r="AA243" s="685"/>
      <c r="AB243" s="685"/>
      <c r="AC243" s="685"/>
      <c r="AD243" s="685"/>
      <c r="AE243" s="685"/>
      <c r="AF243" s="685"/>
      <c r="AG243" s="685"/>
      <c r="AH243" s="685"/>
      <c r="AI243" s="685"/>
      <c r="AJ243" s="685"/>
      <c r="AK243" s="685"/>
      <c r="AL243" s="685"/>
      <c r="AM243" s="685"/>
      <c r="AN243" s="685"/>
      <c r="AO243" s="685"/>
      <c r="AP243" s="685"/>
      <c r="AQ243" s="685"/>
      <c r="AR243" s="685"/>
      <c r="AS243" s="685"/>
      <c r="AT243" s="685"/>
      <c r="AU243" s="685"/>
      <c r="AV243" s="685"/>
      <c r="AW243" s="685"/>
      <c r="AX243" s="685"/>
      <c r="AY243" s="685"/>
      <c r="AZ243" s="685"/>
      <c r="BA243" s="685"/>
      <c r="BB243" s="685"/>
      <c r="BC243" s="685"/>
      <c r="BD243" s="685"/>
      <c r="BE243" s="685"/>
    </row>
    <row r="244" spans="1:57">
      <c r="A244" s="685"/>
      <c r="B244" s="817" t="s">
        <v>540</v>
      </c>
      <c r="C244" s="685"/>
      <c r="D244" s="685"/>
      <c r="E244" s="685"/>
      <c r="F244" s="685"/>
      <c r="G244" s="685"/>
      <c r="H244" s="685"/>
      <c r="I244" s="685"/>
      <c r="J244" s="685"/>
      <c r="K244" s="685"/>
      <c r="L244" s="685"/>
      <c r="M244" s="685"/>
      <c r="N244" s="685"/>
      <c r="O244" s="685"/>
      <c r="P244" s="685"/>
      <c r="Q244" s="685"/>
      <c r="R244" s="685"/>
      <c r="S244" s="685"/>
      <c r="T244" s="685"/>
      <c r="U244" s="685"/>
      <c r="V244" s="685"/>
      <c r="W244" s="685"/>
      <c r="X244" s="685"/>
      <c r="Y244" s="685"/>
      <c r="Z244" s="685"/>
      <c r="AA244" s="685"/>
      <c r="AB244" s="685"/>
      <c r="AC244" s="685"/>
      <c r="AD244" s="685"/>
      <c r="AE244" s="685"/>
      <c r="AF244" s="685"/>
      <c r="AG244" s="685"/>
      <c r="AH244" s="685"/>
      <c r="AI244" s="685"/>
      <c r="AJ244" s="685"/>
      <c r="AK244" s="685"/>
      <c r="AL244" s="685"/>
      <c r="AM244" s="685"/>
      <c r="AN244" s="685"/>
      <c r="AO244" s="685"/>
      <c r="AP244" s="685"/>
      <c r="AQ244" s="685"/>
      <c r="AR244" s="685"/>
      <c r="AS244" s="685"/>
      <c r="AT244" s="685"/>
      <c r="AU244" s="685"/>
      <c r="AV244" s="685"/>
      <c r="AW244" s="685"/>
      <c r="AX244" s="685"/>
      <c r="AY244" s="685"/>
      <c r="AZ244" s="685"/>
      <c r="BA244" s="685"/>
      <c r="BB244" s="685"/>
      <c r="BC244" s="685"/>
      <c r="BD244" s="685"/>
      <c r="BE244" s="685"/>
    </row>
    <row r="245" spans="1:57">
      <c r="A245" s="685"/>
      <c r="B245" s="685" t="str">
        <f>B235</f>
        <v>Content</v>
      </c>
      <c r="C245" s="814">
        <f>C235/C216</f>
        <v>0.42420906077605547</v>
      </c>
      <c r="D245" s="814">
        <f>D235/D216</f>
        <v>0.4019985444316333</v>
      </c>
      <c r="E245" s="814">
        <f>E235/E216</f>
        <v>0.37723916816189662</v>
      </c>
      <c r="F245" s="685"/>
      <c r="G245" s="685"/>
      <c r="H245" s="685"/>
      <c r="I245" s="685"/>
      <c r="J245" s="685"/>
      <c r="K245" s="685"/>
      <c r="L245" s="685"/>
      <c r="M245" s="685"/>
      <c r="N245" s="685"/>
      <c r="O245" s="685"/>
      <c r="P245" s="685"/>
      <c r="Q245" s="685"/>
      <c r="R245" s="685"/>
      <c r="S245" s="685"/>
      <c r="T245" s="685"/>
      <c r="U245" s="685"/>
      <c r="V245" s="685"/>
      <c r="W245" s="685"/>
      <c r="X245" s="685"/>
      <c r="Y245" s="685"/>
      <c r="Z245" s="685"/>
      <c r="AA245" s="685"/>
      <c r="AB245" s="685"/>
      <c r="AC245" s="685"/>
      <c r="AD245" s="685"/>
      <c r="AE245" s="685"/>
      <c r="AF245" s="685"/>
      <c r="AG245" s="685"/>
      <c r="AH245" s="685"/>
      <c r="AI245" s="685"/>
      <c r="AJ245" s="685"/>
      <c r="AK245" s="685"/>
      <c r="AL245" s="685"/>
      <c r="AM245" s="685"/>
      <c r="AN245" s="685"/>
      <c r="AO245" s="685"/>
      <c r="AP245" s="685"/>
      <c r="AQ245" s="685"/>
      <c r="AR245" s="685"/>
      <c r="AS245" s="685"/>
      <c r="AT245" s="685"/>
      <c r="AU245" s="685"/>
      <c r="AV245" s="685"/>
      <c r="AW245" s="685"/>
      <c r="AX245" s="685"/>
      <c r="AY245" s="685"/>
      <c r="AZ245" s="685"/>
      <c r="BA245" s="685"/>
      <c r="BB245" s="685"/>
      <c r="BC245" s="685"/>
      <c r="BD245" s="685"/>
      <c r="BE245" s="685"/>
    </row>
    <row r="246" spans="1:57">
      <c r="A246" s="685"/>
      <c r="B246" s="743" t="str">
        <f>B236</f>
        <v>Other</v>
      </c>
      <c r="C246" s="958">
        <f>C236/C221</f>
        <v>0.33155805909969177</v>
      </c>
      <c r="D246" s="958">
        <f>D236/D221</f>
        <v>0.31593420882640633</v>
      </c>
      <c r="E246" s="958">
        <f>E236/E221</f>
        <v>0.30105361102367223</v>
      </c>
      <c r="F246" s="685"/>
      <c r="G246" s="685"/>
      <c r="H246" s="685"/>
      <c r="I246" s="685"/>
      <c r="J246" s="685"/>
      <c r="K246" s="685"/>
      <c r="L246" s="685"/>
      <c r="M246" s="685"/>
      <c r="N246" s="685"/>
      <c r="O246" s="685"/>
      <c r="P246" s="685"/>
      <c r="Q246" s="685"/>
      <c r="R246" s="685"/>
      <c r="S246" s="685"/>
      <c r="T246" s="685"/>
      <c r="U246" s="685"/>
      <c r="V246" s="685"/>
      <c r="W246" s="685"/>
      <c r="X246" s="685"/>
      <c r="Y246" s="685"/>
      <c r="Z246" s="685"/>
      <c r="AA246" s="685"/>
      <c r="AB246" s="685"/>
      <c r="AC246" s="685"/>
      <c r="AD246" s="685"/>
      <c r="AE246" s="685"/>
      <c r="AF246" s="685"/>
      <c r="AG246" s="685"/>
      <c r="AH246" s="685"/>
      <c r="AI246" s="685"/>
      <c r="AJ246" s="685"/>
      <c r="AK246" s="685"/>
      <c r="AL246" s="685"/>
      <c r="AM246" s="685"/>
      <c r="AN246" s="685"/>
      <c r="AO246" s="685"/>
      <c r="AP246" s="685"/>
      <c r="AQ246" s="685"/>
      <c r="AR246" s="685"/>
      <c r="AS246" s="685"/>
      <c r="AT246" s="685"/>
      <c r="AU246" s="685"/>
      <c r="AV246" s="685"/>
      <c r="AW246" s="685"/>
      <c r="AX246" s="685"/>
      <c r="AY246" s="685"/>
      <c r="AZ246" s="685"/>
      <c r="BA246" s="685"/>
      <c r="BB246" s="685"/>
      <c r="BC246" s="685"/>
      <c r="BD246" s="685"/>
      <c r="BE246" s="685"/>
    </row>
    <row r="247" spans="1:57">
      <c r="A247" s="685"/>
      <c r="B247" s="685" t="str">
        <f>B237</f>
        <v>Total</v>
      </c>
      <c r="C247" s="814">
        <f>C237/(C216+C221)</f>
        <v>0.36768386862308616</v>
      </c>
      <c r="D247" s="814">
        <f>D237/(D216+D221)</f>
        <v>0.34872579382141378</v>
      </c>
      <c r="E247" s="814">
        <f>E237/(E216+E221)</f>
        <v>0.32930242216767008</v>
      </c>
      <c r="F247" s="685"/>
      <c r="G247" s="685"/>
      <c r="H247" s="685"/>
      <c r="I247" s="685"/>
      <c r="J247" s="685"/>
      <c r="K247" s="685"/>
      <c r="L247" s="685"/>
      <c r="M247" s="685"/>
      <c r="N247" s="685"/>
      <c r="O247" s="685"/>
      <c r="P247" s="685"/>
      <c r="Q247" s="685"/>
      <c r="R247" s="685"/>
      <c r="S247" s="685"/>
      <c r="T247" s="685"/>
      <c r="U247" s="685"/>
      <c r="V247" s="685"/>
      <c r="W247" s="685"/>
      <c r="X247" s="685"/>
      <c r="Y247" s="685"/>
      <c r="Z247" s="685"/>
      <c r="AA247" s="685"/>
      <c r="AB247" s="685"/>
      <c r="AC247" s="685"/>
      <c r="AD247" s="685"/>
      <c r="AE247" s="685"/>
      <c r="AF247" s="685"/>
      <c r="AG247" s="685"/>
      <c r="AH247" s="685"/>
      <c r="AI247" s="685"/>
      <c r="AJ247" s="685"/>
      <c r="AK247" s="685"/>
      <c r="AL247" s="685"/>
      <c r="AM247" s="685"/>
      <c r="AN247" s="685"/>
      <c r="AO247" s="685"/>
      <c r="AP247" s="685"/>
      <c r="AQ247" s="685"/>
      <c r="AR247" s="685"/>
      <c r="AS247" s="685"/>
      <c r="AT247" s="685"/>
      <c r="AU247" s="685"/>
      <c r="AV247" s="685"/>
      <c r="AW247" s="685"/>
      <c r="AX247" s="685"/>
      <c r="AY247" s="685"/>
      <c r="AZ247" s="685"/>
      <c r="BA247" s="685"/>
      <c r="BB247" s="685"/>
      <c r="BC247" s="685"/>
      <c r="BD247" s="685"/>
      <c r="BE247" s="685"/>
    </row>
    <row r="248" spans="1:57">
      <c r="A248" s="685"/>
      <c r="B248" s="685"/>
      <c r="C248" s="685"/>
      <c r="D248" s="685"/>
      <c r="E248" s="685"/>
      <c r="F248" s="685"/>
      <c r="G248" s="685"/>
      <c r="H248" s="685"/>
      <c r="I248" s="685"/>
      <c r="J248" s="685"/>
      <c r="K248" s="685"/>
      <c r="L248" s="685"/>
      <c r="M248" s="685"/>
      <c r="N248" s="685"/>
      <c r="O248" s="685"/>
      <c r="P248" s="685"/>
      <c r="Q248" s="685"/>
      <c r="R248" s="685"/>
      <c r="S248" s="685"/>
      <c r="T248" s="685"/>
      <c r="U248" s="685"/>
      <c r="V248" s="685"/>
      <c r="W248" s="685"/>
      <c r="X248" s="685"/>
      <c r="Y248" s="685"/>
      <c r="Z248" s="685"/>
      <c r="AA248" s="685"/>
      <c r="AB248" s="685"/>
      <c r="AC248" s="685"/>
      <c r="AD248" s="685"/>
      <c r="AE248" s="685"/>
      <c r="AF248" s="685"/>
      <c r="AG248" s="685"/>
      <c r="AH248" s="685"/>
      <c r="AI248" s="685"/>
      <c r="AJ248" s="685"/>
      <c r="AK248" s="685"/>
      <c r="AL248" s="685"/>
      <c r="AM248" s="685"/>
      <c r="AN248" s="685"/>
      <c r="AO248" s="685"/>
      <c r="AP248" s="685"/>
      <c r="AQ248" s="685"/>
      <c r="AR248" s="685"/>
      <c r="AS248" s="685"/>
      <c r="AT248" s="685"/>
      <c r="AU248" s="685"/>
      <c r="AV248" s="685"/>
      <c r="AW248" s="685"/>
      <c r="AX248" s="685"/>
      <c r="AY248" s="685"/>
      <c r="AZ248" s="685"/>
      <c r="BA248" s="685"/>
      <c r="BB248" s="685"/>
      <c r="BC248" s="685"/>
      <c r="BD248" s="685"/>
      <c r="BE248" s="685"/>
    </row>
    <row r="249" spans="1:57">
      <c r="A249" s="685"/>
      <c r="B249" s="685"/>
      <c r="C249" s="685"/>
      <c r="D249" s="685"/>
      <c r="E249" s="685"/>
      <c r="F249" s="685"/>
      <c r="G249" s="685"/>
      <c r="H249" s="685"/>
      <c r="I249" s="685"/>
      <c r="J249" s="685"/>
      <c r="K249" s="685"/>
      <c r="L249" s="685"/>
      <c r="M249" s="685"/>
      <c r="N249" s="685"/>
      <c r="O249" s="685"/>
      <c r="P249" s="685"/>
      <c r="Q249" s="685"/>
      <c r="R249" s="685"/>
      <c r="S249" s="685"/>
      <c r="T249" s="685"/>
      <c r="U249" s="685"/>
      <c r="V249" s="685"/>
      <c r="W249" s="685"/>
      <c r="X249" s="685"/>
      <c r="Y249" s="685"/>
      <c r="Z249" s="685"/>
      <c r="AA249" s="685"/>
      <c r="AB249" s="685"/>
      <c r="AC249" s="685"/>
      <c r="AD249" s="685"/>
      <c r="AE249" s="685"/>
      <c r="AF249" s="685"/>
      <c r="AG249" s="685"/>
      <c r="AH249" s="685"/>
      <c r="AI249" s="685"/>
      <c r="AJ249" s="685"/>
      <c r="AK249" s="685"/>
      <c r="AL249" s="685"/>
      <c r="AM249" s="685"/>
      <c r="AN249" s="685"/>
      <c r="AO249" s="685"/>
      <c r="AP249" s="685"/>
      <c r="AQ249" s="685"/>
      <c r="AR249" s="685"/>
      <c r="AS249" s="685"/>
      <c r="AT249" s="685"/>
      <c r="AU249" s="685"/>
      <c r="AV249" s="685"/>
      <c r="AW249" s="685"/>
      <c r="AX249" s="685"/>
      <c r="AY249" s="685"/>
      <c r="AZ249" s="685"/>
      <c r="BA249" s="685"/>
      <c r="BB249" s="685"/>
      <c r="BC249" s="685"/>
      <c r="BD249" s="685"/>
      <c r="BE249" s="685"/>
    </row>
    <row r="250" spans="1:57">
      <c r="A250" s="685"/>
      <c r="B250" s="685"/>
      <c r="C250" s="685"/>
      <c r="D250" s="685"/>
      <c r="E250" s="685"/>
      <c r="F250" s="685"/>
      <c r="G250" s="685"/>
      <c r="H250" s="685"/>
      <c r="I250" s="685"/>
      <c r="J250" s="685"/>
      <c r="K250" s="685"/>
      <c r="L250" s="685"/>
      <c r="M250" s="685"/>
      <c r="N250" s="685"/>
      <c r="O250" s="685"/>
      <c r="P250" s="685"/>
      <c r="Q250" s="685"/>
      <c r="R250" s="685"/>
      <c r="S250" s="685"/>
      <c r="T250" s="685"/>
      <c r="U250" s="685"/>
      <c r="V250" s="685"/>
      <c r="W250" s="685"/>
      <c r="X250" s="685"/>
      <c r="Y250" s="685"/>
      <c r="Z250" s="685"/>
      <c r="AA250" s="685"/>
      <c r="AB250" s="685"/>
      <c r="AC250" s="685"/>
      <c r="AD250" s="685"/>
      <c r="AE250" s="685"/>
      <c r="AF250" s="685"/>
      <c r="AG250" s="685"/>
      <c r="AH250" s="685"/>
      <c r="AI250" s="685"/>
      <c r="AJ250" s="685"/>
      <c r="AK250" s="685"/>
      <c r="AL250" s="685"/>
      <c r="AM250" s="685"/>
      <c r="AN250" s="685"/>
      <c r="AO250" s="685"/>
      <c r="AP250" s="685"/>
      <c r="AQ250" s="685"/>
      <c r="AR250" s="685"/>
      <c r="AS250" s="685"/>
      <c r="AT250" s="685"/>
      <c r="AU250" s="685"/>
      <c r="AV250" s="685"/>
      <c r="AW250" s="685"/>
      <c r="AX250" s="685"/>
      <c r="AY250" s="685"/>
      <c r="AZ250" s="685"/>
      <c r="BA250" s="685"/>
      <c r="BB250" s="685"/>
      <c r="BC250" s="685"/>
      <c r="BD250" s="685"/>
      <c r="BE250" s="685"/>
    </row>
    <row r="251" spans="1:57">
      <c r="A251" s="685"/>
      <c r="B251" s="685"/>
      <c r="C251" s="685"/>
      <c r="D251" s="685"/>
      <c r="E251" s="685"/>
      <c r="F251" s="685"/>
      <c r="G251" s="685"/>
      <c r="H251" s="685"/>
      <c r="I251" s="685"/>
      <c r="J251" s="685"/>
      <c r="K251" s="685"/>
      <c r="L251" s="685"/>
      <c r="M251" s="685"/>
      <c r="N251" s="685"/>
      <c r="O251" s="685"/>
      <c r="P251" s="685"/>
      <c r="Q251" s="685"/>
      <c r="R251" s="685"/>
      <c r="S251" s="685"/>
      <c r="T251" s="685"/>
      <c r="U251" s="685"/>
      <c r="V251" s="685"/>
      <c r="W251" s="685"/>
      <c r="X251" s="685"/>
      <c r="Y251" s="685"/>
      <c r="Z251" s="685"/>
      <c r="AA251" s="685"/>
      <c r="AB251" s="685"/>
      <c r="AC251" s="685"/>
      <c r="AD251" s="685"/>
      <c r="AE251" s="685"/>
      <c r="AF251" s="685"/>
      <c r="AG251" s="685"/>
      <c r="AH251" s="685"/>
      <c r="AI251" s="685"/>
      <c r="AJ251" s="685"/>
      <c r="AK251" s="685"/>
      <c r="AL251" s="685"/>
      <c r="AM251" s="685"/>
      <c r="AN251" s="685"/>
      <c r="AO251" s="685"/>
      <c r="AP251" s="685"/>
      <c r="AQ251" s="685"/>
      <c r="AR251" s="685"/>
      <c r="AS251" s="685"/>
      <c r="AT251" s="685"/>
      <c r="AU251" s="685"/>
      <c r="AV251" s="685"/>
      <c r="AW251" s="685"/>
      <c r="AX251" s="685"/>
      <c r="AY251" s="685"/>
      <c r="AZ251" s="685"/>
      <c r="BA251" s="685"/>
      <c r="BB251" s="685"/>
      <c r="BC251" s="685"/>
      <c r="BD251" s="685"/>
      <c r="BE251" s="685"/>
    </row>
    <row r="252" spans="1:57">
      <c r="A252" s="685"/>
      <c r="B252" s="685"/>
      <c r="C252" s="685"/>
      <c r="D252" s="685"/>
      <c r="E252" s="685"/>
      <c r="F252" s="685"/>
      <c r="G252" s="685"/>
      <c r="H252" s="685"/>
      <c r="I252" s="685"/>
      <c r="J252" s="685"/>
      <c r="K252" s="685"/>
      <c r="L252" s="685"/>
      <c r="M252" s="685"/>
      <c r="N252" s="685"/>
      <c r="O252" s="685"/>
      <c r="P252" s="685"/>
      <c r="Q252" s="685"/>
      <c r="R252" s="685"/>
      <c r="S252" s="685"/>
      <c r="T252" s="685"/>
      <c r="U252" s="685"/>
      <c r="V252" s="685"/>
      <c r="W252" s="685"/>
      <c r="X252" s="685"/>
      <c r="Y252" s="685"/>
      <c r="Z252" s="685"/>
      <c r="AA252" s="685"/>
      <c r="AB252" s="685"/>
      <c r="AC252" s="685"/>
      <c r="AD252" s="685"/>
      <c r="AE252" s="685"/>
      <c r="AF252" s="685"/>
      <c r="AG252" s="685"/>
      <c r="AH252" s="685"/>
      <c r="AI252" s="685"/>
      <c r="AJ252" s="685"/>
      <c r="AK252" s="685"/>
      <c r="AL252" s="685"/>
      <c r="AM252" s="685"/>
      <c r="AN252" s="685"/>
      <c r="AO252" s="685"/>
      <c r="AP252" s="685"/>
      <c r="AQ252" s="685"/>
      <c r="AR252" s="685"/>
      <c r="AS252" s="685"/>
      <c r="AT252" s="685"/>
      <c r="AU252" s="685"/>
      <c r="AV252" s="685"/>
      <c r="AW252" s="685"/>
      <c r="AX252" s="685"/>
      <c r="AY252" s="685"/>
      <c r="AZ252" s="685"/>
      <c r="BA252" s="685"/>
      <c r="BB252" s="685"/>
      <c r="BC252" s="685"/>
      <c r="BD252" s="685"/>
      <c r="BE252" s="685"/>
    </row>
    <row r="253" spans="1:57">
      <c r="A253" s="685"/>
      <c r="B253" s="685"/>
      <c r="C253" s="685"/>
      <c r="D253" s="685"/>
      <c r="E253" s="685"/>
      <c r="F253" s="685"/>
      <c r="G253" s="685"/>
      <c r="H253" s="685"/>
      <c r="I253" s="685"/>
      <c r="J253" s="685"/>
      <c r="K253" s="685"/>
      <c r="L253" s="685"/>
      <c r="M253" s="685"/>
      <c r="N253" s="685"/>
      <c r="O253" s="685"/>
      <c r="P253" s="685"/>
      <c r="Q253" s="685"/>
      <c r="R253" s="685"/>
      <c r="S253" s="685"/>
      <c r="T253" s="685"/>
      <c r="U253" s="685"/>
      <c r="V253" s="685"/>
      <c r="W253" s="685"/>
      <c r="X253" s="685"/>
      <c r="Y253" s="685"/>
      <c r="Z253" s="685"/>
      <c r="AA253" s="685"/>
      <c r="AB253" s="685"/>
      <c r="AC253" s="685"/>
      <c r="AD253" s="685"/>
      <c r="AE253" s="685"/>
      <c r="AF253" s="685"/>
      <c r="AG253" s="685"/>
      <c r="AH253" s="685"/>
      <c r="AI253" s="685"/>
      <c r="AJ253" s="685"/>
      <c r="AK253" s="685"/>
      <c r="AL253" s="685"/>
      <c r="AM253" s="685"/>
      <c r="AN253" s="685"/>
      <c r="AO253" s="685"/>
      <c r="AP253" s="685"/>
      <c r="AQ253" s="685"/>
      <c r="AR253" s="685"/>
      <c r="AS253" s="685"/>
      <c r="AT253" s="685"/>
      <c r="AU253" s="685"/>
      <c r="AV253" s="685"/>
      <c r="AW253" s="685"/>
      <c r="AX253" s="685"/>
      <c r="AY253" s="685"/>
      <c r="AZ253" s="685"/>
      <c r="BA253" s="685"/>
      <c r="BB253" s="685"/>
      <c r="BC253" s="685"/>
      <c r="BD253" s="685"/>
      <c r="BE253" s="685"/>
    </row>
    <row r="254" spans="1:57">
      <c r="A254" s="685"/>
      <c r="B254" s="685"/>
      <c r="C254" s="685"/>
      <c r="D254" s="685"/>
      <c r="E254" s="685"/>
      <c r="F254" s="685"/>
      <c r="G254" s="685"/>
      <c r="H254" s="685"/>
      <c r="I254" s="685"/>
      <c r="J254" s="685"/>
      <c r="K254" s="685"/>
      <c r="L254" s="685"/>
      <c r="M254" s="685"/>
      <c r="N254" s="685"/>
      <c r="O254" s="685"/>
      <c r="P254" s="685"/>
      <c r="Q254" s="685"/>
      <c r="R254" s="685"/>
      <c r="S254" s="685"/>
      <c r="T254" s="685"/>
      <c r="U254" s="685"/>
      <c r="V254" s="685"/>
      <c r="W254" s="685"/>
      <c r="X254" s="685"/>
      <c r="Y254" s="685"/>
      <c r="Z254" s="685"/>
      <c r="AA254" s="685"/>
      <c r="AB254" s="685"/>
      <c r="AC254" s="685"/>
      <c r="AD254" s="685"/>
      <c r="AE254" s="685"/>
      <c r="AF254" s="685"/>
      <c r="AG254" s="685"/>
      <c r="AH254" s="685"/>
      <c r="AI254" s="685"/>
      <c r="AJ254" s="685"/>
      <c r="AK254" s="685"/>
      <c r="AL254" s="685"/>
      <c r="AM254" s="685"/>
      <c r="AN254" s="685"/>
      <c r="AO254" s="685"/>
      <c r="AP254" s="685"/>
      <c r="AQ254" s="685"/>
      <c r="AR254" s="685"/>
      <c r="AS254" s="685"/>
      <c r="AT254" s="685"/>
      <c r="AU254" s="685"/>
      <c r="AV254" s="685"/>
      <c r="AW254" s="685"/>
      <c r="AX254" s="685"/>
      <c r="AY254" s="685"/>
      <c r="AZ254" s="685"/>
      <c r="BA254" s="685"/>
      <c r="BB254" s="685"/>
      <c r="BC254" s="685"/>
      <c r="BD254" s="685"/>
      <c r="BE254" s="685"/>
    </row>
    <row r="255" spans="1:57">
      <c r="A255" s="685"/>
      <c r="B255" s="685"/>
      <c r="C255" s="685"/>
      <c r="D255" s="685"/>
      <c r="E255" s="685"/>
      <c r="F255" s="685"/>
      <c r="G255" s="685"/>
      <c r="H255" s="685"/>
      <c r="I255" s="685"/>
      <c r="J255" s="685"/>
      <c r="K255" s="685"/>
      <c r="L255" s="685"/>
      <c r="M255" s="685"/>
      <c r="N255" s="685"/>
      <c r="O255" s="685"/>
      <c r="P255" s="685"/>
      <c r="Q255" s="685"/>
      <c r="R255" s="685"/>
      <c r="S255" s="685"/>
      <c r="T255" s="685"/>
      <c r="U255" s="685"/>
      <c r="V255" s="685"/>
      <c r="W255" s="685"/>
      <c r="X255" s="685"/>
      <c r="Y255" s="685"/>
      <c r="Z255" s="685"/>
      <c r="AA255" s="685"/>
      <c r="AB255" s="685"/>
      <c r="AC255" s="685"/>
      <c r="AD255" s="685"/>
      <c r="AE255" s="685"/>
      <c r="AF255" s="685"/>
      <c r="AG255" s="685"/>
      <c r="AH255" s="685"/>
      <c r="AI255" s="685"/>
      <c r="AJ255" s="685"/>
      <c r="AK255" s="685"/>
      <c r="AL255" s="685"/>
      <c r="AM255" s="685"/>
      <c r="AN255" s="685"/>
      <c r="AO255" s="685"/>
      <c r="AP255" s="685"/>
      <c r="AQ255" s="685"/>
      <c r="AR255" s="685"/>
      <c r="AS255" s="685"/>
      <c r="AT255" s="685"/>
      <c r="AU255" s="685"/>
      <c r="AV255" s="685"/>
      <c r="AW255" s="685"/>
      <c r="AX255" s="685"/>
      <c r="AY255" s="685"/>
      <c r="AZ255" s="685"/>
      <c r="BA255" s="685"/>
      <c r="BB255" s="685"/>
      <c r="BC255" s="685"/>
      <c r="BD255" s="685"/>
      <c r="BE255" s="685"/>
    </row>
    <row r="256" spans="1:57">
      <c r="A256" s="685"/>
      <c r="B256" s="685"/>
      <c r="C256" s="685"/>
      <c r="D256" s="685"/>
      <c r="E256" s="685"/>
      <c r="F256" s="685"/>
      <c r="G256" s="685"/>
      <c r="H256" s="685"/>
      <c r="I256" s="685"/>
      <c r="J256" s="685"/>
      <c r="K256" s="685"/>
      <c r="L256" s="685"/>
      <c r="M256" s="685"/>
      <c r="N256" s="685"/>
      <c r="O256" s="685"/>
      <c r="P256" s="685"/>
      <c r="Q256" s="685"/>
      <c r="R256" s="685"/>
      <c r="S256" s="685"/>
      <c r="T256" s="685"/>
      <c r="U256" s="685"/>
      <c r="V256" s="685"/>
      <c r="W256" s="685"/>
      <c r="X256" s="685"/>
      <c r="Y256" s="685"/>
      <c r="Z256" s="685"/>
      <c r="AA256" s="685"/>
      <c r="AB256" s="685"/>
      <c r="AC256" s="685"/>
      <c r="AD256" s="685"/>
      <c r="AE256" s="685"/>
      <c r="AF256" s="685"/>
      <c r="AG256" s="685"/>
      <c r="AH256" s="685"/>
      <c r="AI256" s="685"/>
      <c r="AJ256" s="685"/>
      <c r="AK256" s="685"/>
      <c r="AL256" s="685"/>
      <c r="AM256" s="685"/>
      <c r="AN256" s="685"/>
      <c r="AO256" s="685"/>
      <c r="AP256" s="685"/>
      <c r="AQ256" s="685"/>
      <c r="AR256" s="685"/>
      <c r="AS256" s="685"/>
      <c r="AT256" s="685"/>
      <c r="AU256" s="685"/>
      <c r="AV256" s="685"/>
      <c r="AW256" s="685"/>
      <c r="AX256" s="685"/>
      <c r="AY256" s="685"/>
      <c r="AZ256" s="685"/>
      <c r="BA256" s="685"/>
      <c r="BB256" s="685"/>
      <c r="BC256" s="685"/>
      <c r="BD256" s="685"/>
      <c r="BE256" s="685"/>
    </row>
    <row r="257" spans="1:57">
      <c r="A257" s="685"/>
      <c r="B257" s="685"/>
      <c r="C257" s="685"/>
      <c r="D257" s="685"/>
      <c r="E257" s="685"/>
      <c r="F257" s="685"/>
      <c r="G257" s="685"/>
      <c r="H257" s="685"/>
      <c r="I257" s="685"/>
      <c r="J257" s="685"/>
      <c r="K257" s="685"/>
      <c r="L257" s="685"/>
      <c r="M257" s="685"/>
      <c r="N257" s="685"/>
      <c r="O257" s="685"/>
      <c r="P257" s="685"/>
      <c r="Q257" s="685"/>
      <c r="R257" s="685"/>
      <c r="S257" s="685"/>
      <c r="T257" s="685"/>
      <c r="U257" s="685"/>
      <c r="V257" s="685"/>
      <c r="W257" s="685"/>
      <c r="X257" s="685"/>
      <c r="Y257" s="685"/>
      <c r="Z257" s="685"/>
      <c r="AA257" s="685"/>
      <c r="AB257" s="685"/>
      <c r="AC257" s="685"/>
      <c r="AD257" s="685"/>
      <c r="AE257" s="685"/>
      <c r="AF257" s="685"/>
      <c r="AG257" s="685"/>
      <c r="AH257" s="685"/>
      <c r="AI257" s="685"/>
      <c r="AJ257" s="685"/>
      <c r="AK257" s="685"/>
      <c r="AL257" s="685"/>
      <c r="AM257" s="685"/>
      <c r="AN257" s="685"/>
      <c r="AO257" s="685"/>
      <c r="AP257" s="685"/>
      <c r="AQ257" s="685"/>
      <c r="AR257" s="685"/>
      <c r="AS257" s="685"/>
      <c r="AT257" s="685"/>
      <c r="AU257" s="685"/>
      <c r="AV257" s="685"/>
      <c r="AW257" s="685"/>
      <c r="AX257" s="685"/>
      <c r="AY257" s="685"/>
      <c r="AZ257" s="685"/>
      <c r="BA257" s="685"/>
      <c r="BB257" s="685"/>
      <c r="BC257" s="685"/>
      <c r="BD257" s="685"/>
      <c r="BE257" s="685"/>
    </row>
    <row r="258" spans="1:57">
      <c r="A258" s="685"/>
      <c r="B258" s="685"/>
      <c r="C258" s="685"/>
      <c r="D258" s="685"/>
      <c r="E258" s="685"/>
      <c r="F258" s="685"/>
      <c r="G258" s="685"/>
      <c r="H258" s="685"/>
      <c r="I258" s="685"/>
      <c r="J258" s="685"/>
      <c r="K258" s="685"/>
      <c r="L258" s="685"/>
      <c r="M258" s="685"/>
      <c r="N258" s="685"/>
      <c r="O258" s="685"/>
      <c r="P258" s="685"/>
      <c r="Q258" s="685"/>
      <c r="R258" s="685"/>
      <c r="S258" s="685"/>
      <c r="T258" s="685"/>
      <c r="U258" s="685"/>
      <c r="V258" s="685"/>
      <c r="W258" s="685"/>
      <c r="X258" s="685"/>
      <c r="Y258" s="685"/>
      <c r="Z258" s="685"/>
      <c r="AA258" s="685"/>
      <c r="AB258" s="685"/>
      <c r="AC258" s="685"/>
      <c r="AD258" s="685"/>
      <c r="AE258" s="685"/>
      <c r="AF258" s="685"/>
      <c r="AG258" s="685"/>
      <c r="AH258" s="685"/>
      <c r="AI258" s="685"/>
      <c r="AJ258" s="685"/>
      <c r="AK258" s="685"/>
      <c r="AL258" s="685"/>
      <c r="AM258" s="685"/>
      <c r="AN258" s="685"/>
      <c r="AO258" s="685"/>
      <c r="AP258" s="685"/>
      <c r="AQ258" s="685"/>
      <c r="AR258" s="685"/>
      <c r="AS258" s="685"/>
      <c r="AT258" s="685"/>
      <c r="AU258" s="685"/>
      <c r="AV258" s="685"/>
      <c r="AW258" s="685"/>
      <c r="AX258" s="685"/>
      <c r="AY258" s="685"/>
      <c r="AZ258" s="685"/>
      <c r="BA258" s="685"/>
      <c r="BB258" s="685"/>
      <c r="BC258" s="685"/>
      <c r="BD258" s="685"/>
      <c r="BE258" s="685"/>
    </row>
    <row r="259" spans="1:57">
      <c r="A259" s="685"/>
      <c r="B259" s="685"/>
      <c r="C259" s="685"/>
      <c r="D259" s="685"/>
      <c r="E259" s="685"/>
      <c r="F259" s="685"/>
      <c r="G259" s="685"/>
      <c r="H259" s="685"/>
      <c r="I259" s="685"/>
      <c r="J259" s="685"/>
      <c r="K259" s="685"/>
      <c r="L259" s="685"/>
      <c r="M259" s="685"/>
      <c r="N259" s="685"/>
      <c r="O259" s="685"/>
      <c r="P259" s="685"/>
      <c r="Q259" s="685"/>
      <c r="R259" s="685"/>
      <c r="S259" s="685"/>
      <c r="T259" s="685"/>
      <c r="U259" s="685"/>
      <c r="V259" s="685"/>
      <c r="W259" s="685"/>
      <c r="X259" s="685"/>
      <c r="Y259" s="685"/>
      <c r="Z259" s="685"/>
      <c r="AA259" s="685"/>
      <c r="AB259" s="685"/>
      <c r="AC259" s="685"/>
      <c r="AD259" s="685"/>
      <c r="AE259" s="685"/>
      <c r="AF259" s="685"/>
      <c r="AG259" s="685"/>
      <c r="AH259" s="685"/>
      <c r="AI259" s="685"/>
      <c r="AJ259" s="685"/>
      <c r="AK259" s="685"/>
      <c r="AL259" s="685"/>
      <c r="AM259" s="685"/>
      <c r="AN259" s="685"/>
      <c r="AO259" s="685"/>
      <c r="AP259" s="685"/>
      <c r="AQ259" s="685"/>
      <c r="AR259" s="685"/>
      <c r="AS259" s="685"/>
      <c r="AT259" s="685"/>
      <c r="AU259" s="685"/>
      <c r="AV259" s="685"/>
      <c r="AW259" s="685"/>
      <c r="AX259" s="685"/>
      <c r="AY259" s="685"/>
      <c r="AZ259" s="685"/>
      <c r="BA259" s="685"/>
      <c r="BB259" s="685"/>
      <c r="BC259" s="685"/>
      <c r="BD259" s="685"/>
      <c r="BE259" s="685"/>
    </row>
    <row r="260" spans="1:57">
      <c r="A260" s="685"/>
      <c r="B260" s="685"/>
      <c r="C260" s="685"/>
      <c r="D260" s="685"/>
      <c r="E260" s="685"/>
      <c r="F260" s="685"/>
      <c r="G260" s="685"/>
      <c r="H260" s="685"/>
      <c r="I260" s="685"/>
      <c r="J260" s="685"/>
      <c r="K260" s="685"/>
      <c r="L260" s="685"/>
      <c r="M260" s="685"/>
      <c r="N260" s="685"/>
      <c r="O260" s="685"/>
      <c r="P260" s="685"/>
      <c r="Q260" s="685"/>
      <c r="R260" s="685"/>
      <c r="S260" s="685"/>
      <c r="T260" s="685"/>
      <c r="U260" s="685"/>
      <c r="V260" s="685"/>
      <c r="W260" s="685"/>
      <c r="X260" s="685"/>
      <c r="Y260" s="685"/>
      <c r="Z260" s="685"/>
      <c r="AA260" s="685"/>
      <c r="AB260" s="685"/>
      <c r="AC260" s="685"/>
      <c r="AD260" s="685"/>
      <c r="AE260" s="685"/>
      <c r="AF260" s="685"/>
      <c r="AG260" s="685"/>
      <c r="AH260" s="685"/>
      <c r="AI260" s="685"/>
      <c r="AJ260" s="685"/>
      <c r="AK260" s="685"/>
      <c r="AL260" s="685"/>
      <c r="AM260" s="685"/>
      <c r="AN260" s="685"/>
      <c r="AO260" s="685"/>
      <c r="AP260" s="685"/>
      <c r="AQ260" s="685"/>
      <c r="AR260" s="685"/>
      <c r="AS260" s="685"/>
      <c r="AT260" s="685"/>
      <c r="AU260" s="685"/>
      <c r="AV260" s="685"/>
      <c r="AW260" s="685"/>
      <c r="AX260" s="685"/>
      <c r="AY260" s="685"/>
      <c r="AZ260" s="685"/>
      <c r="BA260" s="685"/>
      <c r="BB260" s="685"/>
      <c r="BC260" s="685"/>
      <c r="BD260" s="685"/>
      <c r="BE260" s="685"/>
    </row>
    <row r="261" spans="1:57">
      <c r="A261" s="685"/>
      <c r="B261" s="685"/>
      <c r="C261" s="685"/>
      <c r="D261" s="685"/>
      <c r="E261" s="685"/>
      <c r="F261" s="685"/>
      <c r="G261" s="685"/>
      <c r="H261" s="685"/>
      <c r="I261" s="685"/>
      <c r="J261" s="685"/>
      <c r="K261" s="685"/>
      <c r="L261" s="685"/>
      <c r="M261" s="685"/>
      <c r="N261" s="685"/>
      <c r="O261" s="685"/>
      <c r="P261" s="685"/>
      <c r="Q261" s="685"/>
      <c r="R261" s="685"/>
      <c r="S261" s="685"/>
      <c r="T261" s="685"/>
      <c r="U261" s="685"/>
      <c r="V261" s="685"/>
      <c r="W261" s="685"/>
      <c r="X261" s="685"/>
      <c r="Y261" s="685"/>
      <c r="Z261" s="685"/>
      <c r="AA261" s="685"/>
      <c r="AB261" s="685"/>
      <c r="AC261" s="685"/>
      <c r="AD261" s="685"/>
      <c r="AE261" s="685"/>
      <c r="AF261" s="685"/>
      <c r="AG261" s="685"/>
      <c r="AH261" s="685"/>
      <c r="AI261" s="685"/>
      <c r="AJ261" s="685"/>
      <c r="AK261" s="685"/>
      <c r="AL261" s="685"/>
      <c r="AM261" s="685"/>
      <c r="AN261" s="685"/>
      <c r="AO261" s="685"/>
      <c r="AP261" s="685"/>
      <c r="AQ261" s="685"/>
      <c r="AR261" s="685"/>
      <c r="AS261" s="685"/>
      <c r="AT261" s="685"/>
      <c r="AU261" s="685"/>
      <c r="AV261" s="685"/>
      <c r="AW261" s="685"/>
      <c r="AX261" s="685"/>
      <c r="AY261" s="685"/>
      <c r="AZ261" s="685"/>
      <c r="BA261" s="685"/>
      <c r="BB261" s="685"/>
      <c r="BC261" s="685"/>
      <c r="BD261" s="685"/>
      <c r="BE261" s="685"/>
    </row>
    <row r="262" spans="1:57">
      <c r="A262" s="685"/>
      <c r="B262" s="685"/>
      <c r="C262" s="685"/>
      <c r="D262" s="685"/>
      <c r="E262" s="685"/>
      <c r="F262" s="685"/>
      <c r="G262" s="685"/>
      <c r="H262" s="685"/>
      <c r="I262" s="685"/>
      <c r="J262" s="685"/>
      <c r="K262" s="685"/>
      <c r="L262" s="685"/>
      <c r="M262" s="685"/>
      <c r="N262" s="685"/>
      <c r="O262" s="685"/>
      <c r="P262" s="685"/>
      <c r="Q262" s="685"/>
      <c r="R262" s="685"/>
      <c r="S262" s="685"/>
      <c r="T262" s="685"/>
      <c r="U262" s="685"/>
      <c r="V262" s="685"/>
      <c r="W262" s="685"/>
      <c r="X262" s="685"/>
      <c r="Y262" s="685"/>
      <c r="Z262" s="685"/>
      <c r="AA262" s="685"/>
      <c r="AB262" s="685"/>
      <c r="AC262" s="685"/>
      <c r="AD262" s="685"/>
      <c r="AE262" s="685"/>
      <c r="AF262" s="685"/>
      <c r="AG262" s="685"/>
      <c r="AH262" s="685"/>
      <c r="AI262" s="685"/>
      <c r="AJ262" s="685"/>
      <c r="AK262" s="685"/>
      <c r="AL262" s="685"/>
      <c r="AM262" s="685"/>
      <c r="AN262" s="685"/>
      <c r="AO262" s="685"/>
      <c r="AP262" s="685"/>
      <c r="AQ262" s="685"/>
      <c r="AR262" s="685"/>
      <c r="AS262" s="685"/>
      <c r="AT262" s="685"/>
      <c r="AU262" s="685"/>
      <c r="AV262" s="685"/>
      <c r="AW262" s="685"/>
      <c r="AX262" s="685"/>
      <c r="AY262" s="685"/>
      <c r="AZ262" s="685"/>
      <c r="BA262" s="685"/>
      <c r="BB262" s="685"/>
      <c r="BC262" s="685"/>
      <c r="BD262" s="685"/>
      <c r="BE262" s="685"/>
    </row>
    <row r="263" spans="1:57">
      <c r="A263" s="685"/>
      <c r="B263" s="685"/>
      <c r="C263" s="685"/>
      <c r="D263" s="685"/>
      <c r="E263" s="685"/>
      <c r="F263" s="685"/>
      <c r="G263" s="685"/>
      <c r="H263" s="685"/>
      <c r="I263" s="685"/>
      <c r="J263" s="685"/>
      <c r="K263" s="685"/>
      <c r="L263" s="685"/>
      <c r="M263" s="685"/>
      <c r="N263" s="685"/>
      <c r="O263" s="685"/>
      <c r="P263" s="685"/>
      <c r="Q263" s="685"/>
      <c r="R263" s="685"/>
      <c r="S263" s="685"/>
      <c r="T263" s="685"/>
      <c r="U263" s="685"/>
      <c r="V263" s="685"/>
      <c r="W263" s="685"/>
      <c r="X263" s="685"/>
      <c r="Y263" s="685"/>
      <c r="Z263" s="685"/>
      <c r="AA263" s="685"/>
      <c r="AB263" s="685"/>
      <c r="AC263" s="685"/>
      <c r="AD263" s="685"/>
      <c r="AE263" s="685"/>
      <c r="AF263" s="685"/>
      <c r="AG263" s="685"/>
      <c r="AH263" s="685"/>
      <c r="AI263" s="685"/>
      <c r="AJ263" s="685"/>
      <c r="AK263" s="685"/>
      <c r="AL263" s="685"/>
      <c r="AM263" s="685"/>
      <c r="AN263" s="685"/>
      <c r="AO263" s="685"/>
      <c r="AP263" s="685"/>
      <c r="AQ263" s="685"/>
      <c r="AR263" s="685"/>
      <c r="AS263" s="685"/>
      <c r="AT263" s="685"/>
      <c r="AU263" s="685"/>
      <c r="AV263" s="685"/>
      <c r="AW263" s="685"/>
      <c r="AX263" s="685"/>
      <c r="AY263" s="685"/>
      <c r="AZ263" s="685"/>
      <c r="BA263" s="685"/>
      <c r="BB263" s="685"/>
      <c r="BC263" s="685"/>
      <c r="BD263" s="685"/>
      <c r="BE263" s="685"/>
    </row>
    <row r="264" spans="1:57">
      <c r="A264" s="685"/>
      <c r="B264" s="685"/>
      <c r="C264" s="685"/>
      <c r="D264" s="685"/>
      <c r="E264" s="685"/>
      <c r="F264" s="685"/>
      <c r="G264" s="685"/>
      <c r="H264" s="685"/>
      <c r="I264" s="685"/>
      <c r="J264" s="685"/>
      <c r="K264" s="685"/>
      <c r="L264" s="685"/>
      <c r="M264" s="685"/>
      <c r="N264" s="685"/>
      <c r="O264" s="685"/>
      <c r="P264" s="685"/>
      <c r="Q264" s="685"/>
      <c r="R264" s="685"/>
      <c r="S264" s="685"/>
      <c r="T264" s="685"/>
      <c r="U264" s="685"/>
      <c r="V264" s="685"/>
      <c r="W264" s="685"/>
      <c r="X264" s="685"/>
      <c r="Y264" s="685"/>
      <c r="Z264" s="685"/>
      <c r="AA264" s="685"/>
      <c r="AB264" s="685"/>
      <c r="AC264" s="685"/>
      <c r="AD264" s="685"/>
      <c r="AE264" s="685"/>
      <c r="AF264" s="685"/>
      <c r="AG264" s="685"/>
      <c r="AH264" s="685"/>
      <c r="AI264" s="685"/>
      <c r="AJ264" s="685"/>
      <c r="AK264" s="685"/>
      <c r="AL264" s="685"/>
      <c r="AM264" s="685"/>
      <c r="AN264" s="685"/>
      <c r="AO264" s="685"/>
      <c r="AP264" s="685"/>
      <c r="AQ264" s="685"/>
      <c r="AR264" s="685"/>
      <c r="AS264" s="685"/>
      <c r="AT264" s="685"/>
      <c r="AU264" s="685"/>
      <c r="AV264" s="685"/>
      <c r="AW264" s="685"/>
      <c r="AX264" s="685"/>
      <c r="AY264" s="685"/>
      <c r="AZ264" s="685"/>
      <c r="BA264" s="685"/>
      <c r="BB264" s="685"/>
      <c r="BC264" s="685"/>
      <c r="BD264" s="685"/>
      <c r="BE264" s="685"/>
    </row>
    <row r="265" spans="1:57">
      <c r="A265" s="685"/>
      <c r="B265" s="685"/>
      <c r="C265" s="685"/>
      <c r="D265" s="685"/>
      <c r="E265" s="685"/>
      <c r="F265" s="685"/>
      <c r="G265" s="685"/>
      <c r="H265" s="685"/>
      <c r="I265" s="685"/>
      <c r="J265" s="685"/>
      <c r="K265" s="685"/>
      <c r="L265" s="685"/>
      <c r="M265" s="685"/>
      <c r="N265" s="685"/>
      <c r="O265" s="685"/>
      <c r="P265" s="685"/>
      <c r="Q265" s="685"/>
      <c r="R265" s="685"/>
      <c r="S265" s="685"/>
      <c r="T265" s="685"/>
      <c r="U265" s="685"/>
      <c r="V265" s="685"/>
      <c r="W265" s="685"/>
      <c r="X265" s="685"/>
      <c r="Y265" s="685"/>
      <c r="Z265" s="685"/>
      <c r="AA265" s="685"/>
      <c r="AB265" s="685"/>
      <c r="AC265" s="685"/>
      <c r="AD265" s="685"/>
      <c r="AE265" s="685"/>
      <c r="AF265" s="685"/>
      <c r="AG265" s="685"/>
      <c r="AH265" s="685"/>
      <c r="AI265" s="685"/>
      <c r="AJ265" s="685"/>
      <c r="AK265" s="685"/>
      <c r="AL265" s="685"/>
      <c r="AM265" s="685"/>
      <c r="AN265" s="685"/>
      <c r="AO265" s="685"/>
      <c r="AP265" s="685"/>
      <c r="AQ265" s="685"/>
      <c r="AR265" s="685"/>
      <c r="AS265" s="685"/>
      <c r="AT265" s="685"/>
      <c r="AU265" s="685"/>
      <c r="AV265" s="685"/>
      <c r="AW265" s="685"/>
      <c r="AX265" s="685"/>
      <c r="AY265" s="685"/>
      <c r="AZ265" s="685"/>
      <c r="BA265" s="685"/>
      <c r="BB265" s="685"/>
      <c r="BC265" s="685"/>
      <c r="BD265" s="685"/>
      <c r="BE265" s="685"/>
    </row>
    <row r="266" spans="1:57">
      <c r="A266" s="685"/>
      <c r="B266" s="685"/>
      <c r="C266" s="685"/>
      <c r="D266" s="685"/>
      <c r="E266" s="685"/>
      <c r="F266" s="685"/>
      <c r="G266" s="685"/>
      <c r="H266" s="685"/>
      <c r="I266" s="685"/>
      <c r="J266" s="685"/>
      <c r="K266" s="685"/>
      <c r="L266" s="685"/>
      <c r="M266" s="685"/>
      <c r="N266" s="685"/>
      <c r="O266" s="685"/>
      <c r="P266" s="685"/>
      <c r="Q266" s="685"/>
      <c r="R266" s="685"/>
      <c r="S266" s="685"/>
      <c r="T266" s="685"/>
      <c r="U266" s="685"/>
      <c r="V266" s="685"/>
      <c r="W266" s="685"/>
      <c r="X266" s="685"/>
      <c r="Y266" s="685"/>
      <c r="Z266" s="685"/>
      <c r="AA266" s="685"/>
      <c r="AB266" s="685"/>
      <c r="AC266" s="685"/>
      <c r="AD266" s="685"/>
      <c r="AE266" s="685"/>
      <c r="AF266" s="685"/>
      <c r="AG266" s="685"/>
      <c r="AH266" s="685"/>
      <c r="AI266" s="685"/>
      <c r="AJ266" s="685"/>
      <c r="AK266" s="685"/>
      <c r="AL266" s="685"/>
      <c r="AM266" s="685"/>
      <c r="AN266" s="685"/>
      <c r="AO266" s="685"/>
      <c r="AP266" s="685"/>
      <c r="AQ266" s="685"/>
      <c r="AR266" s="685"/>
      <c r="AS266" s="685"/>
      <c r="AT266" s="685"/>
      <c r="AU266" s="685"/>
      <c r="AV266" s="685"/>
      <c r="AW266" s="685"/>
      <c r="AX266" s="685"/>
      <c r="AY266" s="685"/>
      <c r="AZ266" s="685"/>
      <c r="BA266" s="685"/>
      <c r="BB266" s="685"/>
      <c r="BC266" s="685"/>
      <c r="BD266" s="685"/>
      <c r="BE266" s="685"/>
    </row>
    <row r="267" spans="1:57">
      <c r="A267" s="685"/>
      <c r="B267" s="685"/>
      <c r="C267" s="685"/>
      <c r="D267" s="685"/>
      <c r="E267" s="685"/>
      <c r="F267" s="685"/>
      <c r="G267" s="685"/>
      <c r="H267" s="685"/>
      <c r="I267" s="685"/>
      <c r="J267" s="685"/>
      <c r="K267" s="685"/>
      <c r="L267" s="685"/>
      <c r="M267" s="685"/>
      <c r="N267" s="685"/>
      <c r="O267" s="685"/>
      <c r="P267" s="685"/>
      <c r="Q267" s="685"/>
      <c r="R267" s="685"/>
      <c r="S267" s="685"/>
      <c r="T267" s="685"/>
      <c r="U267" s="685"/>
      <c r="V267" s="685"/>
      <c r="W267" s="685"/>
      <c r="X267" s="685"/>
      <c r="Y267" s="685"/>
      <c r="Z267" s="685"/>
      <c r="AA267" s="685"/>
      <c r="AB267" s="685"/>
      <c r="AC267" s="685"/>
      <c r="AD267" s="685"/>
      <c r="AE267" s="685"/>
      <c r="AF267" s="685"/>
      <c r="AG267" s="685"/>
      <c r="AH267" s="685"/>
      <c r="AI267" s="685"/>
      <c r="AJ267" s="685"/>
      <c r="AK267" s="685"/>
      <c r="AL267" s="685"/>
      <c r="AM267" s="685"/>
      <c r="AN267" s="685"/>
      <c r="AO267" s="685"/>
      <c r="AP267" s="685"/>
      <c r="AQ267" s="685"/>
      <c r="AR267" s="685"/>
      <c r="AS267" s="685"/>
      <c r="AT267" s="685"/>
      <c r="AU267" s="685"/>
      <c r="AV267" s="685"/>
      <c r="AW267" s="685"/>
      <c r="AX267" s="685"/>
      <c r="AY267" s="685"/>
      <c r="AZ267" s="685"/>
      <c r="BA267" s="685"/>
      <c r="BB267" s="685"/>
      <c r="BC267" s="685"/>
      <c r="BD267" s="685"/>
      <c r="BE267" s="685"/>
    </row>
    <row r="268" spans="1:57">
      <c r="A268" s="685"/>
      <c r="B268" s="685"/>
      <c r="C268" s="685"/>
      <c r="D268" s="685"/>
      <c r="E268" s="685"/>
      <c r="F268" s="685"/>
      <c r="G268" s="685"/>
      <c r="H268" s="685"/>
      <c r="I268" s="685"/>
      <c r="J268" s="685"/>
      <c r="K268" s="685"/>
      <c r="L268" s="685"/>
      <c r="M268" s="685"/>
      <c r="N268" s="685"/>
      <c r="O268" s="685"/>
      <c r="P268" s="685"/>
      <c r="Q268" s="685"/>
      <c r="R268" s="685"/>
      <c r="S268" s="685"/>
      <c r="T268" s="685"/>
      <c r="U268" s="685"/>
      <c r="V268" s="685"/>
      <c r="W268" s="685"/>
      <c r="X268" s="685"/>
      <c r="Y268" s="685"/>
      <c r="Z268" s="685"/>
      <c r="AA268" s="685"/>
      <c r="AB268" s="685"/>
      <c r="AC268" s="685"/>
      <c r="AD268" s="685"/>
      <c r="AE268" s="685"/>
      <c r="AF268" s="685"/>
      <c r="AG268" s="685"/>
      <c r="AH268" s="685"/>
      <c r="AI268" s="685"/>
      <c r="AJ268" s="685"/>
      <c r="AK268" s="685"/>
      <c r="AL268" s="685"/>
      <c r="AM268" s="685"/>
      <c r="AN268" s="685"/>
      <c r="AO268" s="685"/>
      <c r="AP268" s="685"/>
      <c r="AQ268" s="685"/>
      <c r="AR268" s="685"/>
      <c r="AS268" s="685"/>
      <c r="AT268" s="685"/>
      <c r="AU268" s="685"/>
      <c r="AV268" s="685"/>
      <c r="AW268" s="685"/>
      <c r="AX268" s="685"/>
      <c r="AY268" s="685"/>
      <c r="AZ268" s="685"/>
      <c r="BA268" s="685"/>
      <c r="BB268" s="685"/>
      <c r="BC268" s="685"/>
      <c r="BD268" s="685"/>
      <c r="BE268" s="685"/>
    </row>
    <row r="269" spans="1:57">
      <c r="A269" s="685"/>
      <c r="B269" s="685"/>
      <c r="C269" s="685"/>
      <c r="D269" s="685"/>
      <c r="E269" s="685"/>
      <c r="F269" s="685"/>
      <c r="G269" s="685"/>
      <c r="H269" s="685"/>
      <c r="I269" s="685"/>
      <c r="J269" s="685"/>
      <c r="K269" s="685"/>
      <c r="L269" s="685"/>
      <c r="M269" s="685"/>
      <c r="N269" s="685"/>
      <c r="O269" s="685"/>
      <c r="P269" s="685"/>
      <c r="Q269" s="685"/>
      <c r="R269" s="685"/>
      <c r="S269" s="685"/>
      <c r="T269" s="685"/>
      <c r="U269" s="685"/>
      <c r="V269" s="685"/>
      <c r="W269" s="685"/>
      <c r="X269" s="685"/>
      <c r="Y269" s="685"/>
      <c r="Z269" s="685"/>
      <c r="AA269" s="685"/>
      <c r="AB269" s="685"/>
      <c r="AC269" s="685"/>
      <c r="AD269" s="685"/>
      <c r="AE269" s="685"/>
      <c r="AF269" s="685"/>
      <c r="AG269" s="685"/>
      <c r="AH269" s="685"/>
      <c r="AI269" s="685"/>
      <c r="AJ269" s="685"/>
      <c r="AK269" s="685"/>
      <c r="AL269" s="685"/>
      <c r="AM269" s="685"/>
      <c r="AN269" s="685"/>
      <c r="AO269" s="685"/>
      <c r="AP269" s="685"/>
      <c r="AQ269" s="685"/>
      <c r="AR269" s="685"/>
      <c r="AS269" s="685"/>
      <c r="AT269" s="685"/>
      <c r="AU269" s="685"/>
      <c r="AV269" s="685"/>
      <c r="AW269" s="685"/>
      <c r="AX269" s="685"/>
      <c r="AY269" s="685"/>
      <c r="AZ269" s="685"/>
      <c r="BA269" s="685"/>
      <c r="BB269" s="685"/>
      <c r="BC269" s="685"/>
      <c r="BD269" s="685"/>
      <c r="BE269" s="685"/>
    </row>
    <row r="270" spans="1:57">
      <c r="A270" s="685"/>
      <c r="B270" s="685"/>
      <c r="C270" s="685"/>
      <c r="D270" s="685"/>
      <c r="E270" s="685"/>
      <c r="F270" s="685"/>
      <c r="G270" s="685"/>
      <c r="H270" s="685"/>
      <c r="I270" s="685"/>
      <c r="J270" s="685"/>
      <c r="K270" s="685"/>
      <c r="L270" s="685"/>
      <c r="M270" s="685"/>
      <c r="N270" s="685"/>
      <c r="O270" s="685"/>
      <c r="P270" s="685"/>
      <c r="Q270" s="685"/>
      <c r="R270" s="685"/>
      <c r="S270" s="685"/>
      <c r="T270" s="685"/>
      <c r="U270" s="685"/>
      <c r="V270" s="685"/>
      <c r="W270" s="685"/>
      <c r="X270" s="685"/>
      <c r="Y270" s="685"/>
      <c r="Z270" s="685"/>
      <c r="AA270" s="685"/>
      <c r="AB270" s="685"/>
      <c r="AC270" s="685"/>
      <c r="AD270" s="685"/>
      <c r="AE270" s="685"/>
      <c r="AF270" s="685"/>
      <c r="AG270" s="685"/>
      <c r="AH270" s="685"/>
      <c r="AI270" s="685"/>
      <c r="AJ270" s="685"/>
      <c r="AK270" s="685"/>
      <c r="AL270" s="685"/>
      <c r="AM270" s="685"/>
      <c r="AN270" s="685"/>
      <c r="AO270" s="685"/>
      <c r="AP270" s="685"/>
      <c r="AQ270" s="685"/>
      <c r="AR270" s="685"/>
      <c r="AS270" s="685"/>
      <c r="AT270" s="685"/>
      <c r="AU270" s="685"/>
      <c r="AV270" s="685"/>
      <c r="AW270" s="685"/>
      <c r="AX270" s="685"/>
      <c r="AY270" s="685"/>
      <c r="AZ270" s="685"/>
      <c r="BA270" s="685"/>
      <c r="BB270" s="685"/>
      <c r="BC270" s="685"/>
      <c r="BD270" s="685"/>
      <c r="BE270" s="685"/>
    </row>
    <row r="271" spans="1:57">
      <c r="A271" s="685"/>
      <c r="B271" s="685"/>
      <c r="C271" s="685"/>
      <c r="D271" s="685"/>
      <c r="E271" s="685"/>
      <c r="F271" s="685"/>
      <c r="G271" s="685"/>
      <c r="H271" s="685"/>
      <c r="I271" s="685"/>
      <c r="J271" s="685"/>
      <c r="K271" s="685"/>
      <c r="L271" s="685"/>
      <c r="M271" s="685"/>
      <c r="N271" s="685"/>
      <c r="O271" s="685"/>
      <c r="P271" s="685"/>
      <c r="Q271" s="685"/>
      <c r="R271" s="685"/>
      <c r="S271" s="685"/>
      <c r="T271" s="685"/>
      <c r="U271" s="685"/>
      <c r="V271" s="685"/>
      <c r="W271" s="685"/>
      <c r="X271" s="685"/>
      <c r="Y271" s="685"/>
      <c r="Z271" s="685"/>
      <c r="AA271" s="685"/>
      <c r="AB271" s="685"/>
      <c r="AC271" s="685"/>
      <c r="AD271" s="685"/>
      <c r="AE271" s="685"/>
      <c r="AF271" s="685"/>
      <c r="AG271" s="685"/>
      <c r="AH271" s="685"/>
      <c r="AI271" s="685"/>
      <c r="AJ271" s="685"/>
      <c r="AK271" s="685"/>
      <c r="AL271" s="685"/>
      <c r="AM271" s="685"/>
      <c r="AN271" s="685"/>
      <c r="AO271" s="685"/>
      <c r="AP271" s="685"/>
      <c r="AQ271" s="685"/>
      <c r="AR271" s="685"/>
      <c r="AS271" s="685"/>
      <c r="AT271" s="685"/>
      <c r="AU271" s="685"/>
      <c r="AV271" s="685"/>
      <c r="AW271" s="685"/>
      <c r="AX271" s="685"/>
      <c r="AY271" s="685"/>
      <c r="AZ271" s="685"/>
      <c r="BA271" s="685"/>
      <c r="BB271" s="685"/>
      <c r="BC271" s="685"/>
      <c r="BD271" s="685"/>
      <c r="BE271" s="685"/>
    </row>
    <row r="272" spans="1:57">
      <c r="A272" s="685"/>
      <c r="B272" s="685"/>
      <c r="C272" s="685"/>
      <c r="D272" s="685"/>
      <c r="E272" s="685"/>
      <c r="F272" s="685"/>
      <c r="G272" s="685"/>
      <c r="H272" s="685"/>
      <c r="I272" s="685"/>
      <c r="J272" s="685"/>
      <c r="K272" s="685"/>
      <c r="L272" s="685"/>
      <c r="M272" s="685"/>
      <c r="N272" s="685"/>
      <c r="O272" s="685"/>
      <c r="P272" s="685"/>
      <c r="Q272" s="685"/>
      <c r="R272" s="685"/>
      <c r="S272" s="685"/>
      <c r="T272" s="685"/>
      <c r="U272" s="685"/>
      <c r="V272" s="685"/>
      <c r="W272" s="685"/>
      <c r="X272" s="685"/>
      <c r="Y272" s="685"/>
      <c r="Z272" s="685"/>
      <c r="AA272" s="685"/>
      <c r="AB272" s="685"/>
      <c r="AC272" s="685"/>
      <c r="AD272" s="685"/>
      <c r="AE272" s="685"/>
      <c r="AF272" s="685"/>
      <c r="AG272" s="685"/>
      <c r="AH272" s="685"/>
      <c r="AI272" s="685"/>
      <c r="AJ272" s="685"/>
      <c r="AK272" s="685"/>
      <c r="AL272" s="685"/>
      <c r="AM272" s="685"/>
      <c r="AN272" s="685"/>
      <c r="AO272" s="685"/>
      <c r="AP272" s="685"/>
      <c r="AQ272" s="685"/>
      <c r="AR272" s="685"/>
      <c r="AS272" s="685"/>
      <c r="AT272" s="685"/>
      <c r="AU272" s="685"/>
      <c r="AV272" s="685"/>
      <c r="AW272" s="685"/>
      <c r="AX272" s="685"/>
      <c r="AY272" s="685"/>
      <c r="AZ272" s="685"/>
      <c r="BA272" s="685"/>
      <c r="BB272" s="685"/>
      <c r="BC272" s="685"/>
      <c r="BD272" s="685"/>
      <c r="BE272" s="685"/>
    </row>
    <row r="273" spans="1:57">
      <c r="A273" s="685"/>
      <c r="B273" s="685"/>
      <c r="C273" s="685"/>
      <c r="D273" s="685"/>
      <c r="E273" s="685"/>
      <c r="F273" s="685"/>
      <c r="G273" s="685"/>
      <c r="H273" s="685"/>
      <c r="I273" s="685"/>
      <c r="J273" s="685"/>
      <c r="K273" s="685"/>
      <c r="L273" s="685"/>
      <c r="M273" s="685"/>
      <c r="N273" s="685"/>
      <c r="O273" s="685"/>
      <c r="P273" s="685"/>
      <c r="Q273" s="685"/>
      <c r="R273" s="685"/>
      <c r="S273" s="685"/>
      <c r="T273" s="685"/>
      <c r="U273" s="685"/>
      <c r="V273" s="685"/>
      <c r="W273" s="685"/>
      <c r="X273" s="685"/>
      <c r="Y273" s="685"/>
      <c r="Z273" s="685"/>
      <c r="AA273" s="685"/>
      <c r="AB273" s="685"/>
      <c r="AC273" s="685"/>
      <c r="AD273" s="685"/>
      <c r="AE273" s="685"/>
      <c r="AF273" s="685"/>
      <c r="AG273" s="685"/>
      <c r="AH273" s="685"/>
      <c r="AI273" s="685"/>
      <c r="AJ273" s="685"/>
      <c r="AK273" s="685"/>
      <c r="AL273" s="685"/>
      <c r="AM273" s="685"/>
      <c r="AN273" s="685"/>
      <c r="AO273" s="685"/>
      <c r="AP273" s="685"/>
      <c r="AQ273" s="685"/>
      <c r="AR273" s="685"/>
      <c r="AS273" s="685"/>
      <c r="AT273" s="685"/>
      <c r="AU273" s="685"/>
      <c r="AV273" s="685"/>
      <c r="AW273" s="685"/>
      <c r="AX273" s="685"/>
      <c r="AY273" s="685"/>
      <c r="AZ273" s="685"/>
      <c r="BA273" s="685"/>
      <c r="BB273" s="685"/>
      <c r="BC273" s="685"/>
      <c r="BD273" s="685"/>
      <c r="BE273" s="685"/>
    </row>
    <row r="274" spans="1:57">
      <c r="A274" s="685"/>
      <c r="B274" s="685"/>
      <c r="C274" s="685"/>
      <c r="D274" s="685"/>
      <c r="E274" s="685"/>
      <c r="F274" s="685"/>
      <c r="G274" s="685"/>
      <c r="H274" s="685"/>
      <c r="I274" s="685"/>
      <c r="J274" s="685"/>
      <c r="K274" s="685"/>
      <c r="L274" s="685"/>
      <c r="M274" s="685"/>
      <c r="N274" s="685"/>
      <c r="O274" s="685"/>
      <c r="P274" s="685"/>
      <c r="Q274" s="685"/>
      <c r="R274" s="685"/>
      <c r="S274" s="685"/>
      <c r="T274" s="685"/>
      <c r="U274" s="685"/>
      <c r="V274" s="685"/>
      <c r="W274" s="685"/>
      <c r="X274" s="685"/>
      <c r="Y274" s="685"/>
      <c r="Z274" s="685"/>
      <c r="AA274" s="685"/>
      <c r="AB274" s="685"/>
      <c r="AC274" s="685"/>
      <c r="AD274" s="685"/>
      <c r="AE274" s="685"/>
      <c r="AF274" s="685"/>
      <c r="AG274" s="685"/>
      <c r="AH274" s="685"/>
      <c r="AI274" s="685"/>
      <c r="AJ274" s="685"/>
      <c r="AK274" s="685"/>
      <c r="AL274" s="685"/>
      <c r="AM274" s="685"/>
      <c r="AN274" s="685"/>
      <c r="AO274" s="685"/>
      <c r="AP274" s="685"/>
      <c r="AQ274" s="685"/>
      <c r="AR274" s="685"/>
      <c r="AS274" s="685"/>
      <c r="AT274" s="685"/>
      <c r="AU274" s="685"/>
      <c r="AV274" s="685"/>
      <c r="AW274" s="685"/>
      <c r="AX274" s="685"/>
      <c r="AY274" s="685"/>
      <c r="AZ274" s="685"/>
      <c r="BA274" s="685"/>
      <c r="BB274" s="685"/>
      <c r="BC274" s="685"/>
      <c r="BD274" s="685"/>
      <c r="BE274" s="685"/>
    </row>
    <row r="275" spans="1:57">
      <c r="A275" s="685"/>
      <c r="B275" s="685"/>
      <c r="C275" s="685"/>
      <c r="D275" s="685"/>
      <c r="E275" s="685"/>
      <c r="F275" s="685"/>
      <c r="G275" s="685"/>
      <c r="H275" s="685"/>
      <c r="I275" s="685"/>
      <c r="J275" s="685"/>
      <c r="K275" s="685"/>
      <c r="L275" s="685"/>
      <c r="M275" s="685"/>
      <c r="N275" s="685"/>
      <c r="O275" s="685"/>
      <c r="P275" s="685"/>
      <c r="Q275" s="685"/>
      <c r="R275" s="685"/>
      <c r="S275" s="685"/>
      <c r="T275" s="685"/>
      <c r="U275" s="685"/>
      <c r="V275" s="685"/>
      <c r="W275" s="685"/>
      <c r="X275" s="685"/>
      <c r="Y275" s="685"/>
      <c r="Z275" s="685"/>
      <c r="AA275" s="685"/>
      <c r="AB275" s="685"/>
      <c r="AC275" s="685"/>
      <c r="AD275" s="685"/>
      <c r="AE275" s="685"/>
      <c r="AF275" s="685"/>
      <c r="AG275" s="685"/>
      <c r="AH275" s="685"/>
      <c r="AI275" s="685"/>
      <c r="AJ275" s="685"/>
      <c r="AK275" s="685"/>
      <c r="AL275" s="685"/>
      <c r="AM275" s="685"/>
      <c r="AN275" s="685"/>
      <c r="AO275" s="685"/>
      <c r="AP275" s="685"/>
      <c r="AQ275" s="685"/>
      <c r="AR275" s="685"/>
      <c r="AS275" s="685"/>
      <c r="AT275" s="685"/>
      <c r="AU275" s="685"/>
      <c r="AV275" s="685"/>
      <c r="AW275" s="685"/>
      <c r="AX275" s="685"/>
      <c r="AY275" s="685"/>
      <c r="AZ275" s="685"/>
      <c r="BA275" s="685"/>
      <c r="BB275" s="685"/>
      <c r="BC275" s="685"/>
      <c r="BD275" s="685"/>
      <c r="BE275" s="685"/>
    </row>
    <row r="276" spans="1:57">
      <c r="A276" s="685"/>
      <c r="B276" s="685"/>
      <c r="C276" s="685"/>
      <c r="D276" s="685"/>
      <c r="E276" s="685"/>
      <c r="F276" s="685"/>
      <c r="G276" s="685"/>
      <c r="H276" s="685"/>
      <c r="I276" s="685"/>
      <c r="J276" s="685"/>
      <c r="K276" s="685"/>
      <c r="L276" s="685"/>
      <c r="M276" s="685"/>
      <c r="N276" s="685"/>
      <c r="O276" s="685"/>
      <c r="P276" s="685"/>
      <c r="Q276" s="685"/>
      <c r="R276" s="685"/>
      <c r="S276" s="685"/>
      <c r="T276" s="685"/>
      <c r="U276" s="685"/>
      <c r="V276" s="685"/>
      <c r="W276" s="685"/>
      <c r="X276" s="685"/>
      <c r="Y276" s="685"/>
      <c r="Z276" s="685"/>
      <c r="AA276" s="685"/>
      <c r="AB276" s="685"/>
      <c r="AC276" s="685"/>
      <c r="AD276" s="685"/>
      <c r="AE276" s="685"/>
      <c r="AF276" s="685"/>
      <c r="AG276" s="685"/>
      <c r="AH276" s="685"/>
      <c r="AI276" s="685"/>
      <c r="AJ276" s="685"/>
      <c r="AK276" s="685"/>
      <c r="AL276" s="685"/>
      <c r="AM276" s="685"/>
      <c r="AN276" s="685"/>
      <c r="AO276" s="685"/>
      <c r="AP276" s="685"/>
      <c r="AQ276" s="685"/>
      <c r="AR276" s="685"/>
      <c r="AS276" s="685"/>
      <c r="AT276" s="685"/>
      <c r="AU276" s="685"/>
      <c r="AV276" s="685"/>
      <c r="AW276" s="685"/>
      <c r="AX276" s="685"/>
      <c r="AY276" s="685"/>
      <c r="AZ276" s="685"/>
      <c r="BA276" s="685"/>
      <c r="BB276" s="685"/>
      <c r="BC276" s="685"/>
      <c r="BD276" s="685"/>
      <c r="BE276" s="685"/>
    </row>
    <row r="277" spans="1:57">
      <c r="A277" s="685"/>
      <c r="B277" s="685"/>
      <c r="C277" s="685"/>
      <c r="D277" s="685"/>
      <c r="E277" s="685"/>
      <c r="F277" s="685"/>
      <c r="G277" s="685"/>
      <c r="H277" s="685"/>
      <c r="I277" s="685"/>
      <c r="J277" s="685"/>
      <c r="K277" s="685"/>
      <c r="L277" s="685"/>
      <c r="M277" s="685"/>
      <c r="N277" s="685"/>
      <c r="O277" s="685"/>
      <c r="P277" s="685"/>
      <c r="Q277" s="685"/>
      <c r="R277" s="685"/>
      <c r="S277" s="685"/>
      <c r="T277" s="685"/>
      <c r="U277" s="685"/>
      <c r="V277" s="685"/>
      <c r="W277" s="685"/>
      <c r="X277" s="685"/>
      <c r="Y277" s="685"/>
      <c r="Z277" s="685"/>
      <c r="AA277" s="685"/>
      <c r="AB277" s="685"/>
      <c r="AC277" s="685"/>
      <c r="AD277" s="685"/>
      <c r="AE277" s="685"/>
      <c r="AF277" s="685"/>
      <c r="AG277" s="685"/>
      <c r="AH277" s="685"/>
      <c r="AI277" s="685"/>
      <c r="AJ277" s="685"/>
      <c r="AK277" s="685"/>
      <c r="AL277" s="685"/>
      <c r="AM277" s="685"/>
      <c r="AN277" s="685"/>
      <c r="AO277" s="685"/>
      <c r="AP277" s="685"/>
      <c r="AQ277" s="685"/>
      <c r="AR277" s="685"/>
      <c r="AS277" s="685"/>
      <c r="AT277" s="685"/>
      <c r="AU277" s="685"/>
      <c r="AV277" s="685"/>
      <c r="AW277" s="685"/>
      <c r="AX277" s="685"/>
      <c r="AY277" s="685"/>
      <c r="AZ277" s="685"/>
      <c r="BA277" s="685"/>
      <c r="BB277" s="685"/>
      <c r="BC277" s="685"/>
      <c r="BD277" s="685"/>
      <c r="BE277" s="685"/>
    </row>
    <row r="278" spans="1:57">
      <c r="A278" s="685"/>
      <c r="B278" s="685"/>
      <c r="C278" s="685"/>
      <c r="D278" s="685"/>
      <c r="E278" s="685"/>
      <c r="F278" s="685"/>
      <c r="G278" s="685"/>
      <c r="H278" s="685"/>
      <c r="I278" s="685"/>
      <c r="J278" s="685"/>
      <c r="K278" s="685"/>
      <c r="L278" s="685"/>
      <c r="M278" s="685"/>
      <c r="N278" s="685"/>
      <c r="O278" s="685"/>
      <c r="P278" s="685"/>
      <c r="Q278" s="685"/>
      <c r="R278" s="685"/>
      <c r="S278" s="685"/>
      <c r="T278" s="685"/>
      <c r="U278" s="685"/>
      <c r="V278" s="685"/>
      <c r="W278" s="685"/>
      <c r="X278" s="685"/>
      <c r="Y278" s="685"/>
      <c r="Z278" s="685"/>
      <c r="AA278" s="685"/>
      <c r="AB278" s="685"/>
      <c r="AC278" s="685"/>
      <c r="AD278" s="685"/>
      <c r="AE278" s="685"/>
      <c r="AF278" s="685"/>
      <c r="AG278" s="685"/>
      <c r="AH278" s="685"/>
      <c r="AI278" s="685"/>
      <c r="AJ278" s="685"/>
      <c r="AK278" s="685"/>
      <c r="AL278" s="685"/>
      <c r="AM278" s="685"/>
      <c r="AN278" s="685"/>
      <c r="AO278" s="685"/>
      <c r="AP278" s="685"/>
      <c r="AQ278" s="685"/>
      <c r="AR278" s="685"/>
      <c r="AS278" s="685"/>
      <c r="AT278" s="685"/>
      <c r="AU278" s="685"/>
      <c r="AV278" s="685"/>
      <c r="AW278" s="685"/>
      <c r="AX278" s="685"/>
      <c r="AY278" s="685"/>
      <c r="AZ278" s="685"/>
      <c r="BA278" s="685"/>
      <c r="BB278" s="685"/>
      <c r="BC278" s="685"/>
      <c r="BD278" s="685"/>
      <c r="BE278" s="685"/>
    </row>
    <row r="279" spans="1:57">
      <c r="A279" s="685"/>
      <c r="B279" s="685"/>
      <c r="C279" s="685"/>
      <c r="D279" s="685"/>
      <c r="E279" s="685"/>
      <c r="F279" s="685"/>
      <c r="G279" s="685"/>
      <c r="H279" s="685"/>
      <c r="I279" s="685"/>
      <c r="J279" s="685"/>
      <c r="K279" s="685"/>
      <c r="L279" s="685"/>
      <c r="M279" s="685"/>
      <c r="N279" s="685"/>
      <c r="O279" s="685"/>
      <c r="P279" s="685"/>
      <c r="Q279" s="685"/>
      <c r="R279" s="685"/>
      <c r="S279" s="685"/>
      <c r="T279" s="685"/>
      <c r="U279" s="685"/>
      <c r="V279" s="685"/>
      <c r="W279" s="685"/>
      <c r="X279" s="685"/>
      <c r="Y279" s="685"/>
      <c r="Z279" s="685"/>
      <c r="AA279" s="685"/>
      <c r="AB279" s="685"/>
      <c r="AC279" s="685"/>
      <c r="AD279" s="685"/>
      <c r="AE279" s="685"/>
      <c r="AF279" s="685"/>
      <c r="AG279" s="685"/>
      <c r="AH279" s="685"/>
      <c r="AI279" s="685"/>
      <c r="AJ279" s="685"/>
      <c r="AK279" s="685"/>
      <c r="AL279" s="685"/>
      <c r="AM279" s="685"/>
      <c r="AN279" s="685"/>
      <c r="AO279" s="685"/>
      <c r="AP279" s="685"/>
      <c r="AQ279" s="685"/>
      <c r="AR279" s="685"/>
      <c r="AS279" s="685"/>
      <c r="AT279" s="685"/>
      <c r="AU279" s="685"/>
      <c r="AV279" s="685"/>
      <c r="AW279" s="685"/>
      <c r="AX279" s="685"/>
      <c r="AY279" s="685"/>
      <c r="AZ279" s="685"/>
      <c r="BA279" s="685"/>
      <c r="BB279" s="685"/>
      <c r="BC279" s="685"/>
      <c r="BD279" s="685"/>
      <c r="BE279" s="685"/>
    </row>
    <row r="280" spans="1:57">
      <c r="A280" s="685"/>
      <c r="B280" s="685"/>
      <c r="C280" s="685"/>
      <c r="D280" s="685"/>
      <c r="E280" s="685"/>
      <c r="F280" s="685"/>
      <c r="G280" s="685"/>
      <c r="H280" s="685"/>
      <c r="I280" s="685"/>
      <c r="J280" s="685"/>
      <c r="K280" s="685"/>
      <c r="L280" s="685"/>
      <c r="M280" s="685"/>
      <c r="N280" s="685"/>
      <c r="O280" s="685"/>
      <c r="P280" s="685"/>
      <c r="Q280" s="685"/>
      <c r="R280" s="685"/>
      <c r="S280" s="685"/>
      <c r="T280" s="685"/>
      <c r="U280" s="685"/>
      <c r="V280" s="685"/>
      <c r="W280" s="685"/>
      <c r="X280" s="685"/>
      <c r="Y280" s="685"/>
      <c r="Z280" s="685"/>
      <c r="AA280" s="685"/>
      <c r="AB280" s="685"/>
      <c r="AC280" s="685"/>
      <c r="AD280" s="685"/>
      <c r="AE280" s="685"/>
      <c r="AF280" s="685"/>
      <c r="AG280" s="685"/>
      <c r="AH280" s="685"/>
      <c r="AI280" s="685"/>
      <c r="AJ280" s="685"/>
      <c r="AK280" s="685"/>
      <c r="AL280" s="685"/>
      <c r="AM280" s="685"/>
      <c r="AN280" s="685"/>
      <c r="AO280" s="685"/>
      <c r="AP280" s="685"/>
      <c r="AQ280" s="685"/>
      <c r="AR280" s="685"/>
      <c r="AS280" s="685"/>
      <c r="AT280" s="685"/>
      <c r="AU280" s="685"/>
      <c r="AV280" s="685"/>
      <c r="AW280" s="685"/>
      <c r="AX280" s="685"/>
      <c r="AY280" s="685"/>
      <c r="AZ280" s="685"/>
      <c r="BA280" s="685"/>
      <c r="BB280" s="685"/>
      <c r="BC280" s="685"/>
      <c r="BD280" s="685"/>
      <c r="BE280" s="685"/>
    </row>
    <row r="281" spans="1:57">
      <c r="A281" s="685"/>
      <c r="B281" s="685"/>
      <c r="C281" s="685"/>
      <c r="D281" s="685"/>
      <c r="E281" s="685"/>
      <c r="F281" s="685"/>
      <c r="G281" s="685"/>
      <c r="H281" s="685"/>
      <c r="I281" s="685"/>
      <c r="J281" s="685"/>
      <c r="K281" s="685"/>
      <c r="L281" s="685"/>
      <c r="M281" s="685"/>
      <c r="N281" s="685"/>
      <c r="O281" s="685"/>
      <c r="P281" s="685"/>
      <c r="Q281" s="685"/>
      <c r="R281" s="685"/>
      <c r="S281" s="685"/>
      <c r="T281" s="685"/>
      <c r="U281" s="685"/>
      <c r="V281" s="685"/>
      <c r="W281" s="685"/>
      <c r="X281" s="685"/>
      <c r="Y281" s="685"/>
      <c r="Z281" s="685"/>
      <c r="AA281" s="685"/>
      <c r="AB281" s="685"/>
      <c r="AC281" s="685"/>
      <c r="AD281" s="685"/>
      <c r="AE281" s="685"/>
      <c r="AF281" s="685"/>
      <c r="AG281" s="685"/>
      <c r="AH281" s="685"/>
      <c r="AI281" s="685"/>
      <c r="AJ281" s="685"/>
      <c r="AK281" s="685"/>
      <c r="AL281" s="685"/>
      <c r="AM281" s="685"/>
      <c r="AN281" s="685"/>
      <c r="AO281" s="685"/>
      <c r="AP281" s="685"/>
      <c r="AQ281" s="685"/>
      <c r="AR281" s="685"/>
      <c r="AS281" s="685"/>
      <c r="AT281" s="685"/>
      <c r="AU281" s="685"/>
      <c r="AV281" s="685"/>
      <c r="AW281" s="685"/>
      <c r="AX281" s="685"/>
      <c r="AY281" s="685"/>
      <c r="AZ281" s="685"/>
      <c r="BA281" s="685"/>
      <c r="BB281" s="685"/>
      <c r="BC281" s="685"/>
      <c r="BD281" s="685"/>
      <c r="BE281" s="685"/>
    </row>
    <row r="282" spans="1:57">
      <c r="A282" s="685"/>
      <c r="B282" s="685"/>
      <c r="C282" s="685"/>
      <c r="D282" s="685"/>
      <c r="E282" s="685"/>
      <c r="F282" s="685"/>
      <c r="G282" s="685"/>
      <c r="H282" s="685"/>
      <c r="I282" s="685"/>
      <c r="J282" s="685"/>
      <c r="K282" s="685"/>
      <c r="L282" s="685"/>
      <c r="M282" s="685"/>
      <c r="N282" s="685"/>
      <c r="O282" s="685"/>
      <c r="P282" s="685"/>
      <c r="Q282" s="685"/>
      <c r="R282" s="685"/>
      <c r="S282" s="685"/>
      <c r="T282" s="685"/>
      <c r="U282" s="685"/>
      <c r="V282" s="685"/>
      <c r="W282" s="685"/>
      <c r="X282" s="685"/>
      <c r="Y282" s="685"/>
      <c r="Z282" s="685"/>
      <c r="AA282" s="685"/>
      <c r="AB282" s="685"/>
      <c r="AC282" s="685"/>
      <c r="AD282" s="685"/>
      <c r="AE282" s="685"/>
      <c r="AF282" s="685"/>
      <c r="AG282" s="685"/>
      <c r="AH282" s="685"/>
      <c r="AI282" s="685"/>
      <c r="AJ282" s="685"/>
      <c r="AK282" s="685"/>
      <c r="AL282" s="685"/>
      <c r="AM282" s="685"/>
      <c r="AN282" s="685"/>
      <c r="AO282" s="685"/>
      <c r="AP282" s="685"/>
      <c r="AQ282" s="685"/>
      <c r="AR282" s="685"/>
      <c r="AS282" s="685"/>
      <c r="AT282" s="685"/>
      <c r="AU282" s="685"/>
      <c r="AV282" s="685"/>
      <c r="AW282" s="685"/>
      <c r="AX282" s="685"/>
      <c r="AY282" s="685"/>
      <c r="AZ282" s="685"/>
      <c r="BA282" s="685"/>
      <c r="BB282" s="685"/>
      <c r="BC282" s="685"/>
      <c r="BD282" s="685"/>
      <c r="BE282" s="685"/>
    </row>
    <row r="283" spans="1:57">
      <c r="A283" s="685"/>
      <c r="B283" s="685"/>
      <c r="C283" s="685"/>
      <c r="D283" s="685"/>
      <c r="E283" s="685"/>
      <c r="F283" s="685"/>
      <c r="G283" s="685"/>
      <c r="H283" s="685"/>
      <c r="I283" s="685"/>
      <c r="J283" s="685"/>
      <c r="K283" s="685"/>
      <c r="L283" s="685"/>
      <c r="M283" s="685"/>
      <c r="N283" s="685"/>
      <c r="O283" s="685"/>
      <c r="P283" s="685"/>
      <c r="Q283" s="685"/>
      <c r="R283" s="685"/>
      <c r="S283" s="685"/>
      <c r="T283" s="685"/>
      <c r="U283" s="685"/>
      <c r="V283" s="685"/>
      <c r="W283" s="685"/>
      <c r="X283" s="685"/>
      <c r="Y283" s="685"/>
      <c r="Z283" s="685"/>
      <c r="AA283" s="685"/>
      <c r="AB283" s="685"/>
      <c r="AC283" s="685"/>
      <c r="AD283" s="685"/>
      <c r="AE283" s="685"/>
      <c r="AF283" s="685"/>
      <c r="AG283" s="685"/>
      <c r="AH283" s="685"/>
      <c r="AI283" s="685"/>
      <c r="AJ283" s="685"/>
      <c r="AK283" s="685"/>
      <c r="AL283" s="685"/>
      <c r="AM283" s="685"/>
      <c r="AN283" s="685"/>
      <c r="AO283" s="685"/>
      <c r="AP283" s="685"/>
      <c r="AQ283" s="685"/>
      <c r="AR283" s="685"/>
      <c r="AS283" s="685"/>
      <c r="AT283" s="685"/>
      <c r="AU283" s="685"/>
      <c r="AV283" s="685"/>
      <c r="AW283" s="685"/>
      <c r="AX283" s="685"/>
      <c r="AY283" s="685"/>
      <c r="AZ283" s="685"/>
      <c r="BA283" s="685"/>
      <c r="BB283" s="685"/>
      <c r="BC283" s="685"/>
      <c r="BD283" s="685"/>
      <c r="BE283" s="685"/>
    </row>
    <row r="284" spans="1:57">
      <c r="A284" s="685"/>
      <c r="B284" s="685"/>
      <c r="C284" s="685"/>
      <c r="D284" s="685"/>
      <c r="E284" s="685"/>
      <c r="F284" s="685"/>
      <c r="G284" s="685"/>
      <c r="H284" s="685"/>
      <c r="I284" s="685"/>
      <c r="J284" s="685"/>
      <c r="K284" s="685"/>
      <c r="L284" s="685"/>
      <c r="M284" s="685"/>
      <c r="N284" s="685"/>
      <c r="O284" s="685"/>
      <c r="P284" s="685"/>
      <c r="Q284" s="685"/>
      <c r="R284" s="685"/>
      <c r="S284" s="685"/>
      <c r="T284" s="685"/>
      <c r="U284" s="685"/>
      <c r="V284" s="685"/>
      <c r="W284" s="685"/>
      <c r="X284" s="685"/>
      <c r="Y284" s="685"/>
      <c r="Z284" s="685"/>
      <c r="AA284" s="685"/>
      <c r="AB284" s="685"/>
      <c r="AC284" s="685"/>
      <c r="AD284" s="685"/>
      <c r="AE284" s="685"/>
      <c r="AF284" s="685"/>
      <c r="AG284" s="685"/>
      <c r="AH284" s="685"/>
      <c r="AI284" s="685"/>
      <c r="AJ284" s="685"/>
      <c r="AK284" s="685"/>
      <c r="AL284" s="685"/>
      <c r="AM284" s="685"/>
      <c r="AN284" s="685"/>
      <c r="AO284" s="685"/>
      <c r="AP284" s="685"/>
      <c r="AQ284" s="685"/>
      <c r="AR284" s="685"/>
      <c r="AS284" s="685"/>
      <c r="AT284" s="685"/>
      <c r="AU284" s="685"/>
      <c r="AV284" s="685"/>
      <c r="AW284" s="685"/>
      <c r="AX284" s="685"/>
      <c r="AY284" s="685"/>
      <c r="AZ284" s="685"/>
      <c r="BA284" s="685"/>
      <c r="BB284" s="685"/>
      <c r="BC284" s="685"/>
      <c r="BD284" s="685"/>
      <c r="BE284" s="685"/>
    </row>
    <row r="285" spans="1:57">
      <c r="A285" s="685"/>
      <c r="B285" s="685"/>
      <c r="C285" s="685"/>
      <c r="D285" s="685"/>
      <c r="E285" s="685"/>
      <c r="F285" s="685"/>
      <c r="G285" s="685"/>
      <c r="H285" s="685"/>
      <c r="I285" s="685"/>
      <c r="J285" s="685"/>
      <c r="K285" s="685"/>
      <c r="L285" s="685"/>
      <c r="M285" s="685"/>
      <c r="N285" s="685"/>
      <c r="O285" s="685"/>
      <c r="P285" s="685"/>
      <c r="Q285" s="685"/>
      <c r="R285" s="685"/>
      <c r="S285" s="685"/>
      <c r="T285" s="685"/>
      <c r="U285" s="685"/>
      <c r="V285" s="685"/>
      <c r="W285" s="685"/>
      <c r="X285" s="685"/>
      <c r="Y285" s="685"/>
      <c r="Z285" s="685"/>
      <c r="AA285" s="685"/>
      <c r="AB285" s="685"/>
      <c r="AC285" s="685"/>
      <c r="AD285" s="685"/>
      <c r="AE285" s="685"/>
      <c r="AF285" s="685"/>
      <c r="AG285" s="685"/>
      <c r="AH285" s="685"/>
      <c r="AI285" s="685"/>
      <c r="AJ285" s="685"/>
      <c r="AK285" s="685"/>
      <c r="AL285" s="685"/>
      <c r="AM285" s="685"/>
      <c r="AN285" s="685"/>
      <c r="AO285" s="685"/>
      <c r="AP285" s="685"/>
      <c r="AQ285" s="685"/>
      <c r="AR285" s="685"/>
      <c r="AS285" s="685"/>
      <c r="AT285" s="685"/>
      <c r="AU285" s="685"/>
      <c r="AV285" s="685"/>
      <c r="AW285" s="685"/>
      <c r="AX285" s="685"/>
      <c r="AY285" s="685"/>
      <c r="AZ285" s="685"/>
      <c r="BA285" s="685"/>
      <c r="BB285" s="685"/>
      <c r="BC285" s="685"/>
      <c r="BD285" s="685"/>
      <c r="BE285" s="685"/>
    </row>
    <row r="286" spans="1:57">
      <c r="A286" s="685"/>
      <c r="B286" s="685"/>
      <c r="C286" s="685"/>
      <c r="D286" s="685"/>
      <c r="E286" s="685"/>
      <c r="F286" s="685"/>
      <c r="G286" s="685"/>
      <c r="H286" s="685"/>
      <c r="I286" s="685"/>
      <c r="J286" s="685"/>
      <c r="K286" s="685"/>
      <c r="L286" s="685"/>
      <c r="M286" s="685"/>
      <c r="N286" s="685"/>
      <c r="O286" s="685"/>
      <c r="P286" s="685"/>
      <c r="Q286" s="685"/>
      <c r="R286" s="685"/>
      <c r="S286" s="685"/>
      <c r="T286" s="685"/>
      <c r="U286" s="685"/>
      <c r="V286" s="685"/>
      <c r="W286" s="685"/>
      <c r="X286" s="685"/>
      <c r="Y286" s="685"/>
      <c r="Z286" s="685"/>
      <c r="AA286" s="685"/>
      <c r="AB286" s="685"/>
      <c r="AC286" s="685"/>
      <c r="AD286" s="685"/>
      <c r="AE286" s="685"/>
      <c r="AF286" s="685"/>
      <c r="AG286" s="685"/>
      <c r="AH286" s="685"/>
      <c r="AI286" s="685"/>
      <c r="AJ286" s="685"/>
      <c r="AK286" s="685"/>
      <c r="AL286" s="685"/>
      <c r="AM286" s="685"/>
      <c r="AN286" s="685"/>
      <c r="AO286" s="685"/>
      <c r="AP286" s="685"/>
      <c r="AQ286" s="685"/>
      <c r="AR286" s="685"/>
      <c r="AS286" s="685"/>
      <c r="AT286" s="685"/>
      <c r="AU286" s="685"/>
      <c r="AV286" s="685"/>
      <c r="AW286" s="685"/>
      <c r="AX286" s="685"/>
      <c r="AY286" s="685"/>
      <c r="AZ286" s="685"/>
      <c r="BA286" s="685"/>
      <c r="BB286" s="685"/>
      <c r="BC286" s="685"/>
      <c r="BD286" s="685"/>
      <c r="BE286" s="685"/>
    </row>
    <row r="287" spans="1:57">
      <c r="A287" s="685"/>
      <c r="B287" s="685"/>
      <c r="C287" s="685"/>
      <c r="D287" s="685"/>
      <c r="E287" s="685"/>
      <c r="F287" s="685"/>
      <c r="G287" s="685"/>
      <c r="H287" s="685"/>
      <c r="I287" s="685"/>
      <c r="J287" s="685"/>
      <c r="K287" s="685"/>
      <c r="L287" s="685"/>
      <c r="M287" s="685"/>
      <c r="N287" s="685"/>
      <c r="O287" s="685"/>
      <c r="P287" s="685"/>
      <c r="Q287" s="685"/>
      <c r="R287" s="685"/>
      <c r="S287" s="685"/>
      <c r="T287" s="685"/>
      <c r="U287" s="685"/>
      <c r="V287" s="685"/>
      <c r="W287" s="685"/>
      <c r="X287" s="685"/>
      <c r="Y287" s="685"/>
      <c r="Z287" s="685"/>
      <c r="AA287" s="685"/>
      <c r="AB287" s="685"/>
      <c r="AC287" s="685"/>
      <c r="AD287" s="685"/>
      <c r="AE287" s="685"/>
      <c r="AF287" s="685"/>
      <c r="AG287" s="685"/>
      <c r="AH287" s="685"/>
      <c r="AI287" s="685"/>
      <c r="AJ287" s="685"/>
      <c r="AK287" s="685"/>
      <c r="AL287" s="685"/>
      <c r="AM287" s="685"/>
      <c r="AN287" s="685"/>
      <c r="AO287" s="685"/>
      <c r="AP287" s="685"/>
      <c r="AQ287" s="685"/>
      <c r="AR287" s="685"/>
      <c r="AS287" s="685"/>
      <c r="AT287" s="685"/>
      <c r="AU287" s="685"/>
      <c r="AV287" s="685"/>
      <c r="AW287" s="685"/>
      <c r="AX287" s="685"/>
      <c r="AY287" s="685"/>
      <c r="AZ287" s="685"/>
      <c r="BA287" s="685"/>
      <c r="BB287" s="685"/>
      <c r="BC287" s="685"/>
      <c r="BD287" s="685"/>
      <c r="BE287" s="685"/>
    </row>
    <row r="288" spans="1:57">
      <c r="A288" s="685"/>
      <c r="B288" s="685"/>
      <c r="C288" s="685"/>
      <c r="D288" s="685"/>
      <c r="E288" s="685"/>
      <c r="F288" s="685"/>
      <c r="G288" s="685"/>
      <c r="H288" s="685"/>
      <c r="I288" s="685"/>
      <c r="J288" s="685"/>
      <c r="K288" s="685"/>
      <c r="L288" s="685"/>
      <c r="M288" s="685"/>
      <c r="N288" s="685"/>
      <c r="O288" s="685"/>
      <c r="P288" s="685"/>
      <c r="Q288" s="685"/>
      <c r="R288" s="685"/>
      <c r="S288" s="685"/>
      <c r="T288" s="685"/>
      <c r="U288" s="685"/>
      <c r="V288" s="685"/>
      <c r="W288" s="685"/>
      <c r="X288" s="685"/>
      <c r="Y288" s="685"/>
      <c r="Z288" s="685"/>
      <c r="AA288" s="685"/>
      <c r="AB288" s="685"/>
      <c r="AC288" s="685"/>
      <c r="AD288" s="685"/>
      <c r="AE288" s="685"/>
      <c r="AF288" s="685"/>
      <c r="AG288" s="685"/>
      <c r="AH288" s="685"/>
      <c r="AI288" s="685"/>
      <c r="AJ288" s="685"/>
      <c r="AK288" s="685"/>
      <c r="AL288" s="685"/>
      <c r="AM288" s="685"/>
      <c r="AN288" s="685"/>
      <c r="AO288" s="685"/>
      <c r="AP288" s="685"/>
      <c r="AQ288" s="685"/>
      <c r="AR288" s="685"/>
      <c r="AS288" s="685"/>
      <c r="AT288" s="685"/>
      <c r="AU288" s="685"/>
      <c r="AV288" s="685"/>
      <c r="AW288" s="685"/>
      <c r="AX288" s="685"/>
      <c r="AY288" s="685"/>
      <c r="AZ288" s="685"/>
      <c r="BA288" s="685"/>
      <c r="BB288" s="685"/>
      <c r="BC288" s="685"/>
      <c r="BD288" s="685"/>
      <c r="BE288" s="685"/>
    </row>
    <row r="289" spans="1:57">
      <c r="A289" s="685"/>
      <c r="B289" s="685"/>
      <c r="C289" s="685"/>
      <c r="D289" s="685"/>
      <c r="E289" s="685"/>
      <c r="F289" s="685"/>
      <c r="G289" s="685"/>
      <c r="H289" s="685"/>
      <c r="I289" s="685"/>
      <c r="J289" s="685"/>
      <c r="K289" s="685"/>
      <c r="L289" s="685"/>
      <c r="M289" s="685"/>
      <c r="N289" s="685"/>
      <c r="O289" s="685"/>
      <c r="P289" s="685"/>
      <c r="Q289" s="685"/>
      <c r="R289" s="685"/>
      <c r="S289" s="685"/>
      <c r="T289" s="685"/>
      <c r="U289" s="685"/>
      <c r="V289" s="685"/>
      <c r="W289" s="685"/>
      <c r="X289" s="685"/>
      <c r="Y289" s="685"/>
      <c r="Z289" s="685"/>
      <c r="AA289" s="685"/>
      <c r="AB289" s="685"/>
      <c r="AC289" s="685"/>
      <c r="AD289" s="685"/>
      <c r="AE289" s="685"/>
      <c r="AF289" s="685"/>
      <c r="AG289" s="685"/>
      <c r="AH289" s="685"/>
      <c r="AI289" s="685"/>
      <c r="AJ289" s="685"/>
      <c r="AK289" s="685"/>
      <c r="AL289" s="685"/>
      <c r="AM289" s="685"/>
      <c r="AN289" s="685"/>
      <c r="AO289" s="685"/>
      <c r="AP289" s="685"/>
      <c r="AQ289" s="685"/>
      <c r="AR289" s="685"/>
      <c r="AS289" s="685"/>
      <c r="AT289" s="685"/>
      <c r="AU289" s="685"/>
      <c r="AV289" s="685"/>
      <c r="AW289" s="685"/>
      <c r="AX289" s="685"/>
      <c r="AY289" s="685"/>
      <c r="AZ289" s="685"/>
      <c r="BA289" s="685"/>
      <c r="BB289" s="685"/>
      <c r="BC289" s="685"/>
      <c r="BD289" s="685"/>
      <c r="BE289" s="685"/>
    </row>
    <row r="290" spans="1:57">
      <c r="A290" s="685"/>
      <c r="B290" s="685"/>
      <c r="C290" s="685"/>
      <c r="D290" s="685"/>
      <c r="E290" s="685"/>
      <c r="F290" s="685"/>
      <c r="G290" s="685"/>
      <c r="H290" s="685"/>
      <c r="I290" s="685"/>
      <c r="J290" s="685"/>
      <c r="K290" s="685"/>
      <c r="L290" s="685"/>
      <c r="M290" s="685"/>
      <c r="N290" s="685"/>
      <c r="O290" s="685"/>
      <c r="P290" s="685"/>
      <c r="Q290" s="685"/>
      <c r="R290" s="685"/>
      <c r="S290" s="685"/>
      <c r="T290" s="685"/>
      <c r="U290" s="685"/>
      <c r="V290" s="685"/>
      <c r="W290" s="685"/>
      <c r="X290" s="685"/>
      <c r="Y290" s="685"/>
      <c r="Z290" s="685"/>
      <c r="AA290" s="685"/>
      <c r="AB290" s="685"/>
      <c r="AC290" s="685"/>
      <c r="AD290" s="685"/>
      <c r="AE290" s="685"/>
      <c r="AF290" s="685"/>
      <c r="AG290" s="685"/>
      <c r="AH290" s="685"/>
      <c r="AI290" s="685"/>
      <c r="AJ290" s="685"/>
      <c r="AK290" s="685"/>
      <c r="AL290" s="685"/>
      <c r="AM290" s="685"/>
      <c r="AN290" s="685"/>
      <c r="AO290" s="685"/>
      <c r="AP290" s="685"/>
      <c r="AQ290" s="685"/>
      <c r="AR290" s="685"/>
      <c r="AS290" s="685"/>
      <c r="AT290" s="685"/>
      <c r="AU290" s="685"/>
      <c r="AV290" s="685"/>
      <c r="AW290" s="685"/>
      <c r="AX290" s="685"/>
      <c r="AY290" s="685"/>
      <c r="AZ290" s="685"/>
      <c r="BA290" s="685"/>
      <c r="BB290" s="685"/>
      <c r="BC290" s="685"/>
      <c r="BD290" s="685"/>
      <c r="BE290" s="685"/>
    </row>
    <row r="291" spans="1:57">
      <c r="A291" s="685"/>
      <c r="B291" s="685"/>
      <c r="C291" s="685"/>
      <c r="D291" s="685"/>
      <c r="E291" s="685"/>
      <c r="F291" s="685"/>
      <c r="G291" s="685"/>
      <c r="H291" s="685"/>
      <c r="I291" s="685"/>
      <c r="J291" s="685"/>
      <c r="K291" s="685"/>
      <c r="L291" s="685"/>
      <c r="M291" s="685"/>
      <c r="N291" s="685"/>
      <c r="O291" s="685"/>
      <c r="P291" s="685"/>
      <c r="Q291" s="685"/>
      <c r="R291" s="685"/>
      <c r="S291" s="685"/>
      <c r="T291" s="685"/>
      <c r="U291" s="685"/>
      <c r="V291" s="685"/>
      <c r="W291" s="685"/>
      <c r="X291" s="685"/>
      <c r="Y291" s="685"/>
      <c r="Z291" s="685"/>
      <c r="AA291" s="685"/>
      <c r="AB291" s="685"/>
      <c r="AC291" s="685"/>
      <c r="AD291" s="685"/>
      <c r="AE291" s="685"/>
      <c r="AF291" s="685"/>
      <c r="AG291" s="685"/>
      <c r="AH291" s="685"/>
      <c r="AI291" s="685"/>
      <c r="AJ291" s="685"/>
      <c r="AK291" s="685"/>
      <c r="AL291" s="685"/>
      <c r="AM291" s="685"/>
      <c r="AN291" s="685"/>
      <c r="AO291" s="685"/>
      <c r="AP291" s="685"/>
      <c r="AQ291" s="685"/>
      <c r="AR291" s="685"/>
      <c r="AS291" s="685"/>
      <c r="AT291" s="685"/>
      <c r="AU291" s="685"/>
      <c r="AV291" s="685"/>
      <c r="AW291" s="685"/>
      <c r="AX291" s="685"/>
      <c r="AY291" s="685"/>
      <c r="AZ291" s="685"/>
      <c r="BA291" s="685"/>
      <c r="BB291" s="685"/>
      <c r="BC291" s="685"/>
      <c r="BD291" s="685"/>
      <c r="BE291" s="685"/>
    </row>
    <row r="292" spans="1:57">
      <c r="A292" s="685"/>
      <c r="B292" s="685"/>
      <c r="C292" s="685"/>
      <c r="D292" s="685"/>
      <c r="E292" s="685"/>
      <c r="F292" s="685"/>
      <c r="G292" s="685"/>
      <c r="H292" s="685"/>
      <c r="I292" s="685"/>
      <c r="J292" s="685"/>
      <c r="K292" s="685"/>
      <c r="L292" s="685"/>
      <c r="M292" s="685"/>
      <c r="N292" s="685"/>
      <c r="O292" s="685"/>
      <c r="P292" s="685"/>
      <c r="Q292" s="685"/>
      <c r="R292" s="685"/>
      <c r="S292" s="685"/>
      <c r="T292" s="685"/>
      <c r="U292" s="685"/>
      <c r="V292" s="685"/>
      <c r="W292" s="685"/>
      <c r="X292" s="685"/>
      <c r="Y292" s="685"/>
      <c r="Z292" s="685"/>
      <c r="AA292" s="685"/>
      <c r="AB292" s="685"/>
      <c r="AC292" s="685"/>
      <c r="AD292" s="685"/>
      <c r="AE292" s="685"/>
      <c r="AF292" s="685"/>
      <c r="AG292" s="685"/>
      <c r="AH292" s="685"/>
      <c r="AI292" s="685"/>
      <c r="AJ292" s="685"/>
      <c r="AK292" s="685"/>
      <c r="AL292" s="685"/>
      <c r="AM292" s="685"/>
      <c r="AN292" s="685"/>
      <c r="AO292" s="685"/>
      <c r="AP292" s="685"/>
      <c r="AQ292" s="685"/>
      <c r="AR292" s="685"/>
      <c r="AS292" s="685"/>
      <c r="AT292" s="685"/>
      <c r="AU292" s="685"/>
      <c r="AV292" s="685"/>
      <c r="AW292" s="685"/>
      <c r="AX292" s="685"/>
      <c r="AY292" s="685"/>
      <c r="AZ292" s="685"/>
      <c r="BA292" s="685"/>
      <c r="BB292" s="685"/>
      <c r="BC292" s="685"/>
      <c r="BD292" s="685"/>
      <c r="BE292" s="685"/>
    </row>
    <row r="293" spans="1:57">
      <c r="A293" s="685"/>
      <c r="B293" s="685"/>
      <c r="C293" s="685"/>
      <c r="D293" s="685"/>
      <c r="E293" s="685"/>
      <c r="F293" s="685"/>
      <c r="G293" s="685"/>
      <c r="H293" s="685"/>
      <c r="I293" s="685"/>
      <c r="J293" s="685"/>
      <c r="K293" s="685"/>
      <c r="L293" s="685"/>
      <c r="M293" s="685"/>
      <c r="N293" s="685"/>
      <c r="O293" s="685"/>
      <c r="P293" s="685"/>
      <c r="Q293" s="685"/>
      <c r="R293" s="685"/>
      <c r="S293" s="685"/>
      <c r="T293" s="685"/>
      <c r="U293" s="685"/>
      <c r="V293" s="685"/>
      <c r="W293" s="685"/>
      <c r="X293" s="685"/>
      <c r="Y293" s="685"/>
      <c r="Z293" s="685"/>
      <c r="AA293" s="685"/>
      <c r="AB293" s="685"/>
      <c r="AC293" s="685"/>
      <c r="AD293" s="685"/>
      <c r="AE293" s="685"/>
      <c r="AF293" s="685"/>
      <c r="AG293" s="685"/>
      <c r="AH293" s="685"/>
      <c r="AI293" s="685"/>
      <c r="AJ293" s="685"/>
      <c r="AK293" s="685"/>
      <c r="AL293" s="685"/>
      <c r="AM293" s="685"/>
      <c r="AN293" s="685"/>
      <c r="AO293" s="685"/>
      <c r="AP293" s="685"/>
      <c r="AQ293" s="685"/>
      <c r="AR293" s="685"/>
      <c r="AS293" s="685"/>
      <c r="AT293" s="685"/>
      <c r="AU293" s="685"/>
      <c r="AV293" s="685"/>
      <c r="AW293" s="685"/>
      <c r="AX293" s="685"/>
      <c r="AY293" s="685"/>
      <c r="AZ293" s="685"/>
      <c r="BA293" s="685"/>
      <c r="BB293" s="685"/>
      <c r="BC293" s="685"/>
      <c r="BD293" s="685"/>
      <c r="BE293" s="685"/>
    </row>
    <row r="294" spans="1:57">
      <c r="A294" s="685"/>
      <c r="B294" s="685"/>
      <c r="C294" s="685"/>
      <c r="D294" s="685"/>
      <c r="E294" s="685"/>
      <c r="F294" s="685"/>
      <c r="G294" s="685"/>
      <c r="H294" s="685"/>
      <c r="I294" s="685"/>
      <c r="J294" s="685"/>
      <c r="K294" s="685"/>
      <c r="L294" s="685"/>
      <c r="M294" s="685"/>
      <c r="N294" s="685"/>
      <c r="O294" s="685"/>
      <c r="P294" s="685"/>
      <c r="Q294" s="685"/>
      <c r="R294" s="685"/>
      <c r="S294" s="685"/>
      <c r="T294" s="685"/>
      <c r="U294" s="685"/>
      <c r="V294" s="685"/>
      <c r="W294" s="685"/>
      <c r="X294" s="685"/>
      <c r="Y294" s="685"/>
      <c r="Z294" s="685"/>
      <c r="AA294" s="685"/>
      <c r="AB294" s="685"/>
      <c r="AC294" s="685"/>
      <c r="AD294" s="685"/>
      <c r="AE294" s="685"/>
      <c r="AF294" s="685"/>
      <c r="AG294" s="685"/>
      <c r="AH294" s="685"/>
      <c r="AI294" s="685"/>
      <c r="AJ294" s="685"/>
      <c r="AK294" s="685"/>
      <c r="AL294" s="685"/>
      <c r="AM294" s="685"/>
      <c r="AN294" s="685"/>
      <c r="AO294" s="685"/>
      <c r="AP294" s="685"/>
      <c r="AQ294" s="685"/>
      <c r="AR294" s="685"/>
      <c r="AS294" s="685"/>
      <c r="AT294" s="685"/>
      <c r="AU294" s="685"/>
      <c r="AV294" s="685"/>
      <c r="AW294" s="685"/>
      <c r="AX294" s="685"/>
      <c r="AY294" s="685"/>
      <c r="AZ294" s="685"/>
      <c r="BA294" s="685"/>
      <c r="BB294" s="685"/>
      <c r="BC294" s="685"/>
      <c r="BD294" s="685"/>
      <c r="BE294" s="685"/>
    </row>
    <row r="295" spans="1:57">
      <c r="A295" s="685"/>
      <c r="B295" s="685"/>
      <c r="C295" s="685"/>
      <c r="D295" s="685"/>
      <c r="E295" s="685"/>
      <c r="F295" s="685"/>
      <c r="G295" s="685"/>
      <c r="H295" s="685"/>
      <c r="I295" s="685"/>
      <c r="J295" s="685"/>
      <c r="K295" s="685"/>
      <c r="L295" s="685"/>
      <c r="M295" s="685"/>
      <c r="N295" s="685"/>
      <c r="O295" s="685"/>
      <c r="P295" s="685"/>
      <c r="Q295" s="685"/>
      <c r="R295" s="685"/>
      <c r="S295" s="685"/>
      <c r="T295" s="685"/>
      <c r="U295" s="685"/>
      <c r="V295" s="685"/>
      <c r="W295" s="685"/>
      <c r="X295" s="685"/>
      <c r="Y295" s="685"/>
      <c r="Z295" s="685"/>
      <c r="AA295" s="685"/>
      <c r="AB295" s="685"/>
      <c r="AC295" s="685"/>
      <c r="AD295" s="685"/>
      <c r="AE295" s="685"/>
      <c r="AF295" s="685"/>
      <c r="AG295" s="685"/>
      <c r="AH295" s="685"/>
      <c r="AI295" s="685"/>
      <c r="AJ295" s="685"/>
      <c r="AK295" s="685"/>
      <c r="AL295" s="685"/>
      <c r="AM295" s="685"/>
      <c r="AN295" s="685"/>
      <c r="AO295" s="685"/>
      <c r="AP295" s="685"/>
      <c r="AQ295" s="685"/>
      <c r="AR295" s="685"/>
      <c r="AS295" s="685"/>
      <c r="AT295" s="685"/>
      <c r="AU295" s="685"/>
      <c r="AV295" s="685"/>
      <c r="AW295" s="685"/>
      <c r="AX295" s="685"/>
      <c r="AY295" s="685"/>
      <c r="AZ295" s="685"/>
      <c r="BA295" s="685"/>
      <c r="BB295" s="685"/>
      <c r="BC295" s="685"/>
      <c r="BD295" s="685"/>
      <c r="BE295" s="685"/>
    </row>
    <row r="296" spans="1:57">
      <c r="A296" s="685"/>
      <c r="B296" s="685"/>
      <c r="C296" s="685"/>
      <c r="D296" s="685"/>
      <c r="E296" s="685"/>
      <c r="F296" s="685"/>
      <c r="G296" s="685"/>
      <c r="H296" s="685"/>
      <c r="I296" s="685"/>
      <c r="J296" s="685"/>
      <c r="K296" s="685"/>
      <c r="L296" s="685"/>
      <c r="M296" s="685"/>
      <c r="N296" s="685"/>
      <c r="O296" s="685"/>
      <c r="P296" s="685"/>
      <c r="Q296" s="685"/>
      <c r="R296" s="685"/>
      <c r="S296" s="685"/>
      <c r="T296" s="685"/>
      <c r="U296" s="685"/>
      <c r="V296" s="685"/>
      <c r="W296" s="685"/>
      <c r="X296" s="685"/>
      <c r="Y296" s="685"/>
      <c r="Z296" s="685"/>
      <c r="AA296" s="685"/>
      <c r="AB296" s="685"/>
      <c r="AC296" s="685"/>
      <c r="AD296" s="685"/>
      <c r="AE296" s="685"/>
      <c r="AF296" s="685"/>
      <c r="AG296" s="685"/>
      <c r="AH296" s="685"/>
      <c r="AI296" s="685"/>
      <c r="AJ296" s="685"/>
      <c r="AK296" s="685"/>
      <c r="AL296" s="685"/>
      <c r="AM296" s="685"/>
      <c r="AN296" s="685"/>
      <c r="AO296" s="685"/>
      <c r="AP296" s="685"/>
      <c r="AQ296" s="685"/>
      <c r="AR296" s="685"/>
      <c r="AS296" s="685"/>
      <c r="AT296" s="685"/>
      <c r="AU296" s="685"/>
      <c r="AV296" s="685"/>
      <c r="AW296" s="685"/>
      <c r="AX296" s="685"/>
      <c r="AY296" s="685"/>
      <c r="AZ296" s="685"/>
      <c r="BA296" s="685"/>
      <c r="BB296" s="685"/>
      <c r="BC296" s="685"/>
      <c r="BD296" s="685"/>
      <c r="BE296" s="685"/>
    </row>
    <row r="297" spans="1:57">
      <c r="A297" s="685"/>
      <c r="B297" s="685"/>
      <c r="C297" s="685"/>
      <c r="D297" s="685"/>
      <c r="E297" s="685"/>
      <c r="F297" s="685"/>
      <c r="G297" s="685"/>
      <c r="H297" s="685"/>
      <c r="I297" s="685"/>
      <c r="J297" s="685"/>
      <c r="K297" s="685"/>
      <c r="L297" s="685"/>
      <c r="M297" s="685"/>
      <c r="N297" s="685"/>
      <c r="O297" s="685"/>
      <c r="P297" s="685"/>
      <c r="Q297" s="685"/>
      <c r="R297" s="685"/>
      <c r="S297" s="685"/>
      <c r="T297" s="685"/>
      <c r="U297" s="685"/>
      <c r="V297" s="685"/>
      <c r="W297" s="685"/>
      <c r="X297" s="685"/>
      <c r="Y297" s="685"/>
      <c r="Z297" s="685"/>
      <c r="AA297" s="685"/>
      <c r="AB297" s="685"/>
      <c r="AC297" s="685"/>
      <c r="AD297" s="685"/>
      <c r="AE297" s="685"/>
      <c r="AF297" s="685"/>
      <c r="AG297" s="685"/>
      <c r="AH297" s="685"/>
      <c r="AI297" s="685"/>
      <c r="AJ297" s="685"/>
      <c r="AK297" s="685"/>
      <c r="AL297" s="685"/>
      <c r="AM297" s="685"/>
      <c r="AN297" s="685"/>
      <c r="AO297" s="685"/>
      <c r="AP297" s="685"/>
      <c r="AQ297" s="685"/>
      <c r="AR297" s="685"/>
      <c r="AS297" s="685"/>
      <c r="AT297" s="685"/>
      <c r="AU297" s="685"/>
      <c r="AV297" s="685"/>
      <c r="AW297" s="685"/>
      <c r="AX297" s="685"/>
      <c r="AY297" s="685"/>
      <c r="AZ297" s="685"/>
      <c r="BA297" s="685"/>
      <c r="BB297" s="685"/>
      <c r="BC297" s="685"/>
      <c r="BD297" s="685"/>
      <c r="BE297" s="685"/>
    </row>
    <row r="298" spans="1:57">
      <c r="A298" s="685"/>
      <c r="B298" s="685"/>
      <c r="C298" s="685"/>
      <c r="D298" s="685"/>
      <c r="E298" s="685"/>
      <c r="F298" s="685"/>
      <c r="G298" s="685"/>
      <c r="H298" s="685"/>
      <c r="I298" s="685"/>
      <c r="J298" s="685"/>
      <c r="K298" s="685"/>
      <c r="L298" s="685"/>
      <c r="M298" s="685"/>
      <c r="N298" s="685"/>
      <c r="O298" s="685"/>
      <c r="P298" s="685"/>
      <c r="Q298" s="685"/>
      <c r="R298" s="685"/>
      <c r="S298" s="685"/>
      <c r="T298" s="685"/>
      <c r="U298" s="685"/>
      <c r="V298" s="685"/>
      <c r="W298" s="685"/>
      <c r="X298" s="685"/>
      <c r="Y298" s="685"/>
      <c r="Z298" s="685"/>
      <c r="AA298" s="685"/>
      <c r="AB298" s="685"/>
      <c r="AC298" s="685"/>
      <c r="AD298" s="685"/>
      <c r="AE298" s="685"/>
      <c r="AF298" s="685"/>
      <c r="AG298" s="685"/>
      <c r="AH298" s="685"/>
      <c r="AI298" s="685"/>
      <c r="AJ298" s="685"/>
      <c r="AK298" s="685"/>
      <c r="AL298" s="685"/>
      <c r="AM298" s="685"/>
      <c r="AN298" s="685"/>
      <c r="AO298" s="685"/>
      <c r="AP298" s="685"/>
      <c r="AQ298" s="685"/>
      <c r="AR298" s="685"/>
      <c r="AS298" s="685"/>
      <c r="AT298" s="685"/>
      <c r="AU298" s="685"/>
      <c r="AV298" s="685"/>
      <c r="AW298" s="685"/>
      <c r="AX298" s="685"/>
      <c r="AY298" s="685"/>
      <c r="AZ298" s="685"/>
      <c r="BA298" s="685"/>
      <c r="BB298" s="685"/>
      <c r="BC298" s="685"/>
      <c r="BD298" s="685"/>
      <c r="BE298" s="685"/>
    </row>
    <row r="299" spans="1:57">
      <c r="A299" s="685"/>
      <c r="B299" s="685"/>
      <c r="C299" s="685"/>
      <c r="D299" s="685"/>
      <c r="E299" s="685"/>
      <c r="F299" s="685"/>
      <c r="G299" s="685"/>
      <c r="H299" s="685"/>
      <c r="I299" s="685"/>
      <c r="J299" s="685"/>
      <c r="K299" s="685"/>
      <c r="L299" s="685"/>
      <c r="M299" s="685"/>
      <c r="N299" s="685"/>
      <c r="O299" s="685"/>
      <c r="P299" s="685"/>
      <c r="Q299" s="685"/>
      <c r="R299" s="685"/>
      <c r="S299" s="685"/>
      <c r="T299" s="685"/>
      <c r="U299" s="685"/>
      <c r="V299" s="685"/>
      <c r="W299" s="685"/>
      <c r="X299" s="685"/>
      <c r="Y299" s="685"/>
      <c r="Z299" s="685"/>
      <c r="AA299" s="685"/>
      <c r="AB299" s="685"/>
      <c r="AC299" s="685"/>
      <c r="AD299" s="685"/>
      <c r="AE299" s="685"/>
      <c r="AF299" s="685"/>
      <c r="AG299" s="685"/>
      <c r="AH299" s="685"/>
      <c r="AI299" s="685"/>
      <c r="AJ299" s="685"/>
      <c r="AK299" s="685"/>
      <c r="AL299" s="685"/>
      <c r="AM299" s="685"/>
      <c r="AN299" s="685"/>
      <c r="AO299" s="685"/>
      <c r="AP299" s="685"/>
      <c r="AQ299" s="685"/>
      <c r="AR299" s="685"/>
      <c r="AS299" s="685"/>
      <c r="AT299" s="685"/>
      <c r="AU299" s="685"/>
      <c r="AV299" s="685"/>
      <c r="AW299" s="685"/>
      <c r="AX299" s="685"/>
      <c r="AY299" s="685"/>
      <c r="AZ299" s="685"/>
      <c r="BA299" s="685"/>
      <c r="BB299" s="685"/>
      <c r="BC299" s="685"/>
      <c r="BD299" s="685"/>
      <c r="BE299" s="685"/>
    </row>
    <row r="300" spans="1:57">
      <c r="A300" s="685"/>
      <c r="B300" s="685"/>
      <c r="C300" s="685"/>
      <c r="D300" s="685"/>
      <c r="E300" s="685"/>
      <c r="F300" s="685"/>
      <c r="G300" s="685"/>
      <c r="H300" s="685"/>
      <c r="I300" s="685"/>
      <c r="J300" s="685"/>
      <c r="K300" s="685"/>
      <c r="L300" s="685"/>
      <c r="M300" s="685"/>
      <c r="N300" s="685"/>
      <c r="O300" s="685"/>
      <c r="P300" s="685"/>
      <c r="Q300" s="685"/>
      <c r="R300" s="685"/>
      <c r="S300" s="685"/>
      <c r="T300" s="685"/>
      <c r="U300" s="685"/>
      <c r="V300" s="685"/>
      <c r="W300" s="685"/>
      <c r="X300" s="685"/>
      <c r="Y300" s="685"/>
      <c r="Z300" s="685"/>
      <c r="AA300" s="685"/>
      <c r="AB300" s="685"/>
      <c r="AC300" s="685"/>
      <c r="AD300" s="685"/>
      <c r="AE300" s="685"/>
      <c r="AF300" s="685"/>
      <c r="AG300" s="685"/>
      <c r="AH300" s="685"/>
      <c r="AI300" s="685"/>
      <c r="AJ300" s="685"/>
      <c r="AK300" s="685"/>
      <c r="AL300" s="685"/>
      <c r="AM300" s="685"/>
      <c r="AN300" s="685"/>
      <c r="AO300" s="685"/>
      <c r="AP300" s="685"/>
      <c r="AQ300" s="685"/>
      <c r="AR300" s="685"/>
      <c r="AS300" s="685"/>
      <c r="AT300" s="685"/>
      <c r="AU300" s="685"/>
      <c r="AV300" s="685"/>
      <c r="AW300" s="685"/>
      <c r="AX300" s="685"/>
      <c r="AY300" s="685"/>
      <c r="AZ300" s="685"/>
      <c r="BA300" s="685"/>
      <c r="BB300" s="685"/>
      <c r="BC300" s="685"/>
      <c r="BD300" s="685"/>
      <c r="BE300" s="685"/>
    </row>
    <row r="301" spans="1:57">
      <c r="A301" s="685"/>
      <c r="B301" s="685"/>
      <c r="C301" s="685"/>
      <c r="D301" s="685"/>
      <c r="E301" s="685"/>
      <c r="F301" s="685"/>
      <c r="G301" s="685"/>
      <c r="H301" s="685"/>
      <c r="I301" s="685"/>
      <c r="J301" s="685"/>
      <c r="K301" s="685"/>
      <c r="L301" s="685"/>
      <c r="M301" s="685"/>
      <c r="N301" s="685"/>
      <c r="O301" s="685"/>
      <c r="P301" s="685"/>
      <c r="Q301" s="685"/>
      <c r="R301" s="685"/>
      <c r="S301" s="685"/>
      <c r="T301" s="685"/>
      <c r="U301" s="685"/>
      <c r="V301" s="685"/>
      <c r="W301" s="685"/>
      <c r="X301" s="685"/>
      <c r="Y301" s="685"/>
      <c r="Z301" s="685"/>
      <c r="AA301" s="685"/>
      <c r="AB301" s="685"/>
      <c r="AC301" s="685"/>
      <c r="AD301" s="685"/>
      <c r="AE301" s="685"/>
      <c r="AF301" s="685"/>
      <c r="AG301" s="685"/>
      <c r="AH301" s="685"/>
      <c r="AI301" s="685"/>
      <c r="AJ301" s="685"/>
      <c r="AK301" s="685"/>
      <c r="AL301" s="685"/>
      <c r="AM301" s="685"/>
      <c r="AN301" s="685"/>
      <c r="AO301" s="685"/>
      <c r="AP301" s="685"/>
      <c r="AQ301" s="685"/>
      <c r="AR301" s="685"/>
      <c r="AS301" s="685"/>
      <c r="AT301" s="685"/>
      <c r="AU301" s="685"/>
      <c r="AV301" s="685"/>
      <c r="AW301" s="685"/>
      <c r="AX301" s="685"/>
      <c r="AY301" s="685"/>
      <c r="AZ301" s="685"/>
      <c r="BA301" s="685"/>
      <c r="BB301" s="685"/>
      <c r="BC301" s="685"/>
      <c r="BD301" s="685"/>
      <c r="BE301" s="685"/>
    </row>
    <row r="302" spans="1:57">
      <c r="A302" s="685"/>
      <c r="B302" s="685"/>
      <c r="C302" s="685"/>
      <c r="D302" s="685"/>
      <c r="E302" s="685"/>
      <c r="F302" s="685"/>
      <c r="G302" s="685"/>
      <c r="H302" s="685"/>
      <c r="I302" s="685"/>
      <c r="J302" s="685"/>
      <c r="K302" s="685"/>
      <c r="L302" s="685"/>
      <c r="M302" s="685"/>
      <c r="N302" s="685"/>
      <c r="O302" s="685"/>
      <c r="P302" s="685"/>
      <c r="Q302" s="685"/>
      <c r="R302" s="685"/>
      <c r="S302" s="685"/>
      <c r="T302" s="685"/>
      <c r="U302" s="685"/>
      <c r="V302" s="685"/>
      <c r="W302" s="685"/>
      <c r="X302" s="685"/>
      <c r="Y302" s="685"/>
      <c r="Z302" s="685"/>
      <c r="AA302" s="685"/>
      <c r="AB302" s="685"/>
      <c r="AC302" s="685"/>
      <c r="AD302" s="685"/>
      <c r="AE302" s="685"/>
      <c r="AF302" s="685"/>
      <c r="AG302" s="685"/>
      <c r="AH302" s="685"/>
      <c r="AI302" s="685"/>
      <c r="AJ302" s="685"/>
      <c r="AK302" s="685"/>
      <c r="AL302" s="685"/>
      <c r="AM302" s="685"/>
      <c r="AN302" s="685"/>
      <c r="AO302" s="685"/>
      <c r="AP302" s="685"/>
      <c r="AQ302" s="685"/>
      <c r="AR302" s="685"/>
      <c r="AS302" s="685"/>
      <c r="AT302" s="685"/>
      <c r="AU302" s="685"/>
      <c r="AV302" s="685"/>
      <c r="AW302" s="685"/>
      <c r="AX302" s="685"/>
      <c r="AY302" s="685"/>
      <c r="AZ302" s="685"/>
      <c r="BA302" s="685"/>
      <c r="BB302" s="685"/>
      <c r="BC302" s="685"/>
      <c r="BD302" s="685"/>
      <c r="BE302" s="685"/>
    </row>
    <row r="303" spans="1:57">
      <c r="A303" s="685"/>
      <c r="B303" s="685"/>
      <c r="C303" s="685"/>
      <c r="D303" s="685"/>
      <c r="E303" s="685"/>
      <c r="F303" s="685"/>
      <c r="G303" s="685"/>
      <c r="H303" s="685"/>
      <c r="I303" s="685"/>
      <c r="J303" s="685"/>
      <c r="K303" s="685"/>
      <c r="L303" s="685"/>
      <c r="M303" s="685"/>
      <c r="N303" s="685"/>
      <c r="O303" s="685"/>
      <c r="P303" s="685"/>
      <c r="Q303" s="685"/>
      <c r="R303" s="685"/>
      <c r="S303" s="685"/>
      <c r="T303" s="685"/>
      <c r="U303" s="685"/>
      <c r="V303" s="685"/>
      <c r="W303" s="685"/>
      <c r="X303" s="685"/>
      <c r="Y303" s="685"/>
      <c r="Z303" s="685"/>
      <c r="AA303" s="685"/>
      <c r="AB303" s="685"/>
      <c r="AC303" s="685"/>
      <c r="AD303" s="685"/>
      <c r="AE303" s="685"/>
      <c r="AF303" s="685"/>
      <c r="AG303" s="685"/>
      <c r="AH303" s="685"/>
      <c r="AI303" s="685"/>
      <c r="AJ303" s="685"/>
      <c r="AK303" s="685"/>
      <c r="AL303" s="685"/>
      <c r="AM303" s="685"/>
      <c r="AN303" s="685"/>
      <c r="AO303" s="685"/>
      <c r="AP303" s="685"/>
      <c r="AQ303" s="685"/>
      <c r="AR303" s="685"/>
      <c r="AS303" s="685"/>
      <c r="AT303" s="685"/>
      <c r="AU303" s="685"/>
      <c r="AV303" s="685"/>
      <c r="AW303" s="685"/>
      <c r="AX303" s="685"/>
      <c r="AY303" s="685"/>
      <c r="AZ303" s="685"/>
      <c r="BA303" s="685"/>
      <c r="BB303" s="685"/>
      <c r="BC303" s="685"/>
      <c r="BD303" s="685"/>
      <c r="BE303" s="685"/>
    </row>
    <row r="304" spans="1:57">
      <c r="A304" s="685"/>
      <c r="B304" s="685"/>
      <c r="C304" s="685"/>
      <c r="D304" s="685"/>
      <c r="E304" s="685"/>
      <c r="F304" s="685"/>
      <c r="G304" s="685"/>
      <c r="H304" s="685"/>
      <c r="I304" s="685"/>
      <c r="J304" s="685"/>
      <c r="K304" s="685"/>
      <c r="L304" s="685"/>
      <c r="M304" s="685"/>
      <c r="N304" s="685"/>
      <c r="O304" s="685"/>
      <c r="P304" s="685"/>
      <c r="Q304" s="685"/>
      <c r="R304" s="685"/>
      <c r="S304" s="685"/>
      <c r="T304" s="685"/>
      <c r="U304" s="685"/>
      <c r="V304" s="685"/>
      <c r="W304" s="685"/>
      <c r="X304" s="685"/>
      <c r="Y304" s="685"/>
      <c r="Z304" s="685"/>
      <c r="AA304" s="685"/>
      <c r="AB304" s="685"/>
      <c r="AC304" s="685"/>
      <c r="AD304" s="685"/>
      <c r="AE304" s="685"/>
      <c r="AF304" s="685"/>
      <c r="AG304" s="685"/>
      <c r="AH304" s="685"/>
      <c r="AI304" s="685"/>
      <c r="AJ304" s="685"/>
      <c r="AK304" s="685"/>
      <c r="AL304" s="685"/>
      <c r="AM304" s="685"/>
      <c r="AN304" s="685"/>
      <c r="AO304" s="685"/>
      <c r="AP304" s="685"/>
      <c r="AQ304" s="685"/>
      <c r="AR304" s="685"/>
      <c r="AS304" s="685"/>
      <c r="AT304" s="685"/>
      <c r="AU304" s="685"/>
      <c r="AV304" s="685"/>
      <c r="AW304" s="685"/>
      <c r="AX304" s="685"/>
      <c r="AY304" s="685"/>
      <c r="AZ304" s="685"/>
      <c r="BA304" s="685"/>
      <c r="BB304" s="685"/>
      <c r="BC304" s="685"/>
      <c r="BD304" s="685"/>
      <c r="BE304" s="685"/>
    </row>
    <row r="305" spans="1:57">
      <c r="A305" s="685"/>
      <c r="B305" s="685"/>
      <c r="C305" s="685"/>
      <c r="D305" s="685"/>
      <c r="E305" s="685"/>
      <c r="F305" s="685"/>
      <c r="G305" s="685"/>
      <c r="H305" s="685"/>
      <c r="I305" s="685"/>
      <c r="J305" s="685"/>
      <c r="K305" s="685"/>
      <c r="L305" s="685"/>
      <c r="M305" s="685"/>
      <c r="N305" s="685"/>
      <c r="O305" s="685"/>
      <c r="P305" s="685"/>
      <c r="Q305" s="685"/>
      <c r="R305" s="685"/>
      <c r="S305" s="685"/>
      <c r="T305" s="685"/>
      <c r="U305" s="685"/>
      <c r="V305" s="685"/>
      <c r="W305" s="685"/>
      <c r="X305" s="685"/>
      <c r="Y305" s="685"/>
      <c r="Z305" s="685"/>
      <c r="AA305" s="685"/>
      <c r="AB305" s="685"/>
      <c r="AC305" s="685"/>
      <c r="AD305" s="685"/>
      <c r="AE305" s="685"/>
      <c r="AF305" s="685"/>
      <c r="AG305" s="685"/>
      <c r="AH305" s="685"/>
      <c r="AI305" s="685"/>
      <c r="AJ305" s="685"/>
      <c r="AK305" s="685"/>
      <c r="AL305" s="685"/>
      <c r="AM305" s="685"/>
      <c r="AN305" s="685"/>
      <c r="AO305" s="685"/>
      <c r="AP305" s="685"/>
      <c r="AQ305" s="685"/>
      <c r="AR305" s="685"/>
      <c r="AS305" s="685"/>
      <c r="AT305" s="685"/>
      <c r="AU305" s="685"/>
      <c r="AV305" s="685"/>
      <c r="AW305" s="685"/>
      <c r="AX305" s="685"/>
      <c r="AY305" s="685"/>
      <c r="AZ305" s="685"/>
      <c r="BA305" s="685"/>
      <c r="BB305" s="685"/>
      <c r="BC305" s="685"/>
      <c r="BD305" s="685"/>
      <c r="BE305" s="685"/>
    </row>
    <row r="306" spans="1:57">
      <c r="A306" s="685"/>
      <c r="B306" s="685"/>
      <c r="C306" s="685"/>
      <c r="D306" s="685"/>
      <c r="E306" s="685"/>
      <c r="F306" s="685"/>
      <c r="G306" s="685"/>
      <c r="H306" s="685"/>
      <c r="I306" s="685"/>
      <c r="J306" s="685"/>
      <c r="K306" s="685"/>
      <c r="L306" s="685"/>
      <c r="M306" s="685"/>
      <c r="N306" s="685"/>
      <c r="O306" s="685"/>
      <c r="P306" s="685"/>
      <c r="Q306" s="685"/>
      <c r="R306" s="685"/>
      <c r="S306" s="685"/>
      <c r="T306" s="685"/>
      <c r="U306" s="685"/>
      <c r="V306" s="685"/>
      <c r="W306" s="685"/>
      <c r="X306" s="685"/>
      <c r="Y306" s="685"/>
      <c r="Z306" s="685"/>
      <c r="AA306" s="685"/>
      <c r="AB306" s="685"/>
      <c r="AC306" s="685"/>
      <c r="AD306" s="685"/>
      <c r="AE306" s="685"/>
      <c r="AF306" s="685"/>
      <c r="AG306" s="685"/>
      <c r="AH306" s="685"/>
      <c r="AI306" s="685"/>
      <c r="AJ306" s="685"/>
      <c r="AK306" s="685"/>
      <c r="AL306" s="685"/>
      <c r="AM306" s="685"/>
      <c r="AN306" s="685"/>
      <c r="AO306" s="685"/>
      <c r="AP306" s="685"/>
      <c r="AQ306" s="685"/>
      <c r="AR306" s="685"/>
      <c r="AS306" s="685"/>
      <c r="AT306" s="685"/>
      <c r="AU306" s="685"/>
      <c r="AV306" s="685"/>
      <c r="AW306" s="685"/>
      <c r="AX306" s="685"/>
      <c r="AY306" s="685"/>
      <c r="AZ306" s="685"/>
      <c r="BA306" s="685"/>
      <c r="BB306" s="685"/>
      <c r="BC306" s="685"/>
      <c r="BD306" s="685"/>
      <c r="BE306" s="685"/>
    </row>
    <row r="307" spans="1:57">
      <c r="A307" s="685"/>
      <c r="B307" s="685"/>
      <c r="C307" s="685"/>
      <c r="D307" s="685"/>
      <c r="E307" s="685"/>
      <c r="F307" s="685"/>
      <c r="G307" s="685"/>
      <c r="H307" s="685"/>
      <c r="I307" s="685"/>
      <c r="J307" s="685"/>
      <c r="K307" s="685"/>
      <c r="L307" s="685"/>
      <c r="M307" s="685"/>
      <c r="N307" s="685"/>
      <c r="O307" s="685"/>
      <c r="P307" s="685"/>
      <c r="Q307" s="685"/>
      <c r="R307" s="685"/>
      <c r="S307" s="685"/>
      <c r="T307" s="685"/>
      <c r="U307" s="685"/>
      <c r="V307" s="685"/>
      <c r="W307" s="685"/>
      <c r="X307" s="685"/>
      <c r="Y307" s="685"/>
      <c r="Z307" s="685"/>
      <c r="AA307" s="685"/>
      <c r="AB307" s="685"/>
      <c r="AC307" s="685"/>
      <c r="AD307" s="685"/>
      <c r="AE307" s="685"/>
      <c r="AF307" s="685"/>
      <c r="AG307" s="685"/>
      <c r="AH307" s="685"/>
      <c r="AI307" s="685"/>
      <c r="AJ307" s="685"/>
      <c r="AK307" s="685"/>
      <c r="AL307" s="685"/>
      <c r="AM307" s="685"/>
      <c r="AN307" s="685"/>
      <c r="AO307" s="685"/>
      <c r="AP307" s="685"/>
      <c r="AQ307" s="685"/>
      <c r="AR307" s="685"/>
      <c r="AS307" s="685"/>
      <c r="AT307" s="685"/>
      <c r="AU307" s="685"/>
      <c r="AV307" s="685"/>
      <c r="AW307" s="685"/>
      <c r="AX307" s="685"/>
      <c r="AY307" s="685"/>
      <c r="AZ307" s="685"/>
      <c r="BA307" s="685"/>
      <c r="BB307" s="685"/>
      <c r="BC307" s="685"/>
      <c r="BD307" s="685"/>
      <c r="BE307" s="685"/>
    </row>
    <row r="308" spans="1:57">
      <c r="A308" s="685"/>
      <c r="B308" s="685"/>
      <c r="C308" s="685"/>
      <c r="D308" s="685"/>
      <c r="E308" s="685"/>
      <c r="F308" s="685"/>
      <c r="G308" s="685"/>
      <c r="H308" s="685"/>
      <c r="I308" s="685"/>
      <c r="J308" s="685"/>
      <c r="K308" s="685"/>
      <c r="L308" s="685"/>
      <c r="M308" s="685"/>
      <c r="N308" s="685"/>
      <c r="O308" s="685"/>
      <c r="P308" s="685"/>
      <c r="Q308" s="685"/>
      <c r="R308" s="685"/>
      <c r="S308" s="685"/>
      <c r="T308" s="685"/>
      <c r="U308" s="685"/>
      <c r="V308" s="685"/>
      <c r="W308" s="685"/>
      <c r="X308" s="685"/>
      <c r="Y308" s="685"/>
      <c r="Z308" s="685"/>
      <c r="AA308" s="685"/>
      <c r="AB308" s="685"/>
      <c r="AC308" s="685"/>
      <c r="AD308" s="685"/>
      <c r="AE308" s="685"/>
      <c r="AF308" s="685"/>
      <c r="AG308" s="685"/>
      <c r="AH308" s="685"/>
      <c r="AI308" s="685"/>
      <c r="AJ308" s="685"/>
      <c r="AK308" s="685"/>
      <c r="AL308" s="685"/>
      <c r="AM308" s="685"/>
      <c r="AN308" s="685"/>
      <c r="AO308" s="685"/>
      <c r="AP308" s="685"/>
      <c r="AQ308" s="685"/>
      <c r="AR308" s="685"/>
      <c r="AS308" s="685"/>
      <c r="AT308" s="685"/>
      <c r="AU308" s="685"/>
      <c r="AV308" s="685"/>
      <c r="AW308" s="685"/>
      <c r="AX308" s="685"/>
      <c r="AY308" s="685"/>
      <c r="AZ308" s="685"/>
      <c r="BA308" s="685"/>
      <c r="BB308" s="685"/>
      <c r="BC308" s="685"/>
      <c r="BD308" s="685"/>
      <c r="BE308" s="685"/>
    </row>
    <row r="309" spans="1:57">
      <c r="A309" s="685"/>
      <c r="B309" s="685"/>
      <c r="C309" s="685"/>
      <c r="D309" s="685"/>
      <c r="E309" s="685"/>
      <c r="F309" s="685"/>
      <c r="G309" s="685"/>
      <c r="H309" s="685"/>
      <c r="I309" s="685"/>
      <c r="J309" s="685"/>
      <c r="K309" s="685"/>
      <c r="L309" s="685"/>
      <c r="M309" s="685"/>
      <c r="N309" s="685"/>
      <c r="O309" s="685"/>
      <c r="P309" s="685"/>
      <c r="Q309" s="685"/>
      <c r="R309" s="685"/>
      <c r="S309" s="685"/>
      <c r="T309" s="685"/>
      <c r="U309" s="685"/>
      <c r="V309" s="685"/>
      <c r="W309" s="685"/>
      <c r="X309" s="685"/>
      <c r="Y309" s="685"/>
      <c r="Z309" s="685"/>
      <c r="AA309" s="685"/>
      <c r="AB309" s="685"/>
      <c r="AC309" s="685"/>
      <c r="AD309" s="685"/>
      <c r="AE309" s="685"/>
      <c r="AF309" s="685"/>
      <c r="AG309" s="685"/>
      <c r="AH309" s="685"/>
      <c r="AI309" s="685"/>
      <c r="AJ309" s="685"/>
      <c r="AK309" s="685"/>
      <c r="AL309" s="685"/>
      <c r="AM309" s="685"/>
      <c r="AN309" s="685"/>
      <c r="AO309" s="685"/>
      <c r="AP309" s="685"/>
      <c r="AQ309" s="685"/>
      <c r="AR309" s="685"/>
      <c r="AS309" s="685"/>
      <c r="AT309" s="685"/>
      <c r="AU309" s="685"/>
      <c r="AV309" s="685"/>
      <c r="AW309" s="685"/>
      <c r="AX309" s="685"/>
      <c r="AY309" s="685"/>
      <c r="AZ309" s="685"/>
      <c r="BA309" s="685"/>
      <c r="BB309" s="685"/>
      <c r="BC309" s="685"/>
      <c r="BD309" s="685"/>
      <c r="BE309" s="685"/>
    </row>
    <row r="310" spans="1:57">
      <c r="A310" s="685"/>
      <c r="B310" s="685"/>
      <c r="C310" s="685"/>
      <c r="D310" s="685"/>
      <c r="E310" s="685"/>
      <c r="F310" s="685"/>
      <c r="G310" s="685"/>
      <c r="H310" s="685"/>
      <c r="I310" s="685"/>
      <c r="J310" s="685"/>
      <c r="K310" s="685"/>
      <c r="L310" s="685"/>
      <c r="M310" s="685"/>
      <c r="N310" s="685"/>
      <c r="O310" s="685"/>
      <c r="P310" s="685"/>
      <c r="Q310" s="685"/>
      <c r="R310" s="685"/>
      <c r="S310" s="685"/>
      <c r="T310" s="685"/>
      <c r="U310" s="685"/>
      <c r="V310" s="685"/>
      <c r="W310" s="685"/>
      <c r="X310" s="685"/>
      <c r="Y310" s="685"/>
      <c r="Z310" s="685"/>
      <c r="AA310" s="685"/>
      <c r="AB310" s="685"/>
      <c r="AC310" s="685"/>
      <c r="AD310" s="685"/>
      <c r="AE310" s="685"/>
      <c r="AF310" s="685"/>
      <c r="AG310" s="685"/>
      <c r="AH310" s="685"/>
      <c r="AI310" s="685"/>
      <c r="AJ310" s="685"/>
      <c r="AK310" s="685"/>
      <c r="AL310" s="685"/>
      <c r="AM310" s="685"/>
      <c r="AN310" s="685"/>
      <c r="AO310" s="685"/>
      <c r="AP310" s="685"/>
      <c r="AQ310" s="685"/>
      <c r="AR310" s="685"/>
      <c r="AS310" s="685"/>
      <c r="AT310" s="685"/>
      <c r="AU310" s="685"/>
      <c r="AV310" s="685"/>
      <c r="AW310" s="685"/>
      <c r="AX310" s="685"/>
      <c r="AY310" s="685"/>
      <c r="AZ310" s="685"/>
      <c r="BA310" s="685"/>
      <c r="BB310" s="685"/>
      <c r="BC310" s="685"/>
      <c r="BD310" s="685"/>
      <c r="BE310" s="685"/>
    </row>
    <row r="311" spans="1:57">
      <c r="A311" s="685"/>
      <c r="B311" s="685"/>
      <c r="C311" s="685"/>
      <c r="D311" s="685"/>
      <c r="E311" s="685"/>
      <c r="F311" s="685"/>
      <c r="G311" s="685"/>
      <c r="H311" s="685"/>
      <c r="I311" s="685"/>
      <c r="J311" s="685"/>
      <c r="K311" s="685"/>
      <c r="L311" s="685"/>
      <c r="M311" s="685"/>
      <c r="N311" s="685"/>
      <c r="O311" s="685"/>
      <c r="P311" s="685"/>
      <c r="Q311" s="685"/>
      <c r="R311" s="685"/>
      <c r="S311" s="685"/>
      <c r="T311" s="685"/>
      <c r="U311" s="685"/>
      <c r="V311" s="685"/>
      <c r="W311" s="685"/>
      <c r="X311" s="685"/>
      <c r="Y311" s="685"/>
      <c r="Z311" s="685"/>
      <c r="AA311" s="685"/>
      <c r="AB311" s="685"/>
      <c r="AC311" s="685"/>
      <c r="AD311" s="685"/>
      <c r="AE311" s="685"/>
      <c r="AF311" s="685"/>
      <c r="AG311" s="685"/>
      <c r="AH311" s="685"/>
      <c r="AI311" s="685"/>
      <c r="AJ311" s="685"/>
      <c r="AK311" s="685"/>
      <c r="AL311" s="685"/>
      <c r="AM311" s="685"/>
      <c r="AN311" s="685"/>
      <c r="AO311" s="685"/>
      <c r="AP311" s="685"/>
      <c r="AQ311" s="685"/>
      <c r="AR311" s="685"/>
      <c r="AS311" s="685"/>
      <c r="AT311" s="685"/>
      <c r="AU311" s="685"/>
      <c r="AV311" s="685"/>
      <c r="AW311" s="685"/>
      <c r="AX311" s="685"/>
      <c r="AY311" s="685"/>
      <c r="AZ311" s="685"/>
      <c r="BA311" s="685"/>
      <c r="BB311" s="685"/>
      <c r="BC311" s="685"/>
      <c r="BD311" s="685"/>
      <c r="BE311" s="685"/>
    </row>
    <row r="312" spans="1:57">
      <c r="A312" s="685"/>
      <c r="B312" s="685"/>
      <c r="C312" s="685"/>
      <c r="D312" s="685"/>
      <c r="E312" s="685"/>
      <c r="F312" s="685"/>
      <c r="G312" s="685"/>
      <c r="H312" s="685"/>
      <c r="I312" s="685"/>
      <c r="J312" s="685"/>
      <c r="K312" s="685"/>
      <c r="L312" s="685"/>
      <c r="M312" s="685"/>
      <c r="N312" s="685"/>
      <c r="O312" s="685"/>
      <c r="P312" s="685"/>
      <c r="Q312" s="685"/>
      <c r="R312" s="685"/>
      <c r="S312" s="685"/>
      <c r="T312" s="685"/>
      <c r="U312" s="685"/>
      <c r="V312" s="685"/>
      <c r="W312" s="685"/>
      <c r="X312" s="685"/>
      <c r="Y312" s="685"/>
      <c r="Z312" s="685"/>
      <c r="AA312" s="685"/>
      <c r="AB312" s="685"/>
      <c r="AC312" s="685"/>
      <c r="AD312" s="685"/>
      <c r="AE312" s="685"/>
      <c r="AF312" s="685"/>
      <c r="AG312" s="685"/>
      <c r="AH312" s="685"/>
      <c r="AI312" s="685"/>
      <c r="AJ312" s="685"/>
      <c r="AK312" s="685"/>
      <c r="AL312" s="685"/>
      <c r="AM312" s="685"/>
      <c r="AN312" s="685"/>
      <c r="AO312" s="685"/>
      <c r="AP312" s="685"/>
      <c r="AQ312" s="685"/>
      <c r="AR312" s="685"/>
      <c r="AS312" s="685"/>
      <c r="AT312" s="685"/>
      <c r="AU312" s="685"/>
      <c r="AV312" s="685"/>
      <c r="AW312" s="685"/>
      <c r="AX312" s="685"/>
      <c r="AY312" s="685"/>
      <c r="AZ312" s="685"/>
      <c r="BA312" s="685"/>
      <c r="BB312" s="685"/>
      <c r="BC312" s="685"/>
      <c r="BD312" s="685"/>
      <c r="BE312" s="685"/>
    </row>
    <row r="313" spans="1:57">
      <c r="A313" s="685"/>
      <c r="B313" s="685"/>
      <c r="C313" s="685"/>
      <c r="D313" s="685"/>
      <c r="E313" s="685"/>
      <c r="F313" s="685"/>
      <c r="G313" s="685"/>
      <c r="H313" s="685"/>
      <c r="I313" s="685"/>
      <c r="J313" s="685"/>
      <c r="K313" s="685"/>
      <c r="L313" s="685"/>
      <c r="M313" s="685"/>
      <c r="N313" s="685"/>
      <c r="O313" s="685"/>
      <c r="P313" s="685"/>
      <c r="Q313" s="685"/>
      <c r="R313" s="685"/>
      <c r="S313" s="685"/>
      <c r="T313" s="685"/>
      <c r="U313" s="685"/>
      <c r="V313" s="685"/>
      <c r="W313" s="685"/>
      <c r="X313" s="685"/>
      <c r="Y313" s="685"/>
      <c r="Z313" s="685"/>
      <c r="AA313" s="685"/>
      <c r="AB313" s="685"/>
      <c r="AC313" s="685"/>
      <c r="AD313" s="685"/>
      <c r="AE313" s="685"/>
      <c r="AF313" s="685"/>
      <c r="AG313" s="685"/>
      <c r="AH313" s="685"/>
      <c r="AI313" s="685"/>
      <c r="AJ313" s="685"/>
      <c r="AK313" s="685"/>
      <c r="AL313" s="685"/>
      <c r="AM313" s="685"/>
      <c r="AN313" s="685"/>
      <c r="AO313" s="685"/>
      <c r="AP313" s="685"/>
      <c r="AQ313" s="685"/>
      <c r="AR313" s="685"/>
      <c r="AS313" s="685"/>
      <c r="AT313" s="685"/>
      <c r="AU313" s="685"/>
      <c r="AV313" s="685"/>
      <c r="AW313" s="685"/>
      <c r="AX313" s="685"/>
      <c r="AY313" s="685"/>
      <c r="AZ313" s="685"/>
      <c r="BA313" s="685"/>
      <c r="BB313" s="685"/>
      <c r="BC313" s="685"/>
      <c r="BD313" s="685"/>
      <c r="BE313" s="685"/>
    </row>
    <row r="314" spans="1:57">
      <c r="A314" s="685"/>
      <c r="B314" s="685"/>
      <c r="C314" s="685"/>
      <c r="D314" s="685"/>
      <c r="E314" s="685"/>
      <c r="F314" s="685"/>
      <c r="G314" s="685"/>
      <c r="H314" s="685"/>
      <c r="I314" s="685"/>
      <c r="J314" s="685"/>
      <c r="K314" s="685"/>
      <c r="L314" s="685"/>
      <c r="M314" s="685"/>
      <c r="N314" s="685"/>
      <c r="O314" s="685"/>
      <c r="P314" s="685"/>
      <c r="Q314" s="685"/>
      <c r="R314" s="685"/>
      <c r="S314" s="685"/>
      <c r="T314" s="685"/>
      <c r="U314" s="685"/>
      <c r="V314" s="685"/>
      <c r="W314" s="685"/>
      <c r="X314" s="685"/>
      <c r="Y314" s="685"/>
      <c r="Z314" s="685"/>
      <c r="AA314" s="685"/>
      <c r="AB314" s="685"/>
      <c r="AC314" s="685"/>
      <c r="AD314" s="685"/>
      <c r="AE314" s="685"/>
      <c r="AF314" s="685"/>
      <c r="AG314" s="685"/>
      <c r="AH314" s="685"/>
      <c r="AI314" s="685"/>
      <c r="AJ314" s="685"/>
      <c r="AK314" s="685"/>
      <c r="AL314" s="685"/>
      <c r="AM314" s="685"/>
      <c r="AN314" s="685"/>
      <c r="AO314" s="685"/>
      <c r="AP314" s="685"/>
      <c r="AQ314" s="685"/>
      <c r="AR314" s="685"/>
      <c r="AS314" s="685"/>
      <c r="AT314" s="685"/>
      <c r="AU314" s="685"/>
      <c r="AV314" s="685"/>
      <c r="AW314" s="685"/>
      <c r="AX314" s="685"/>
      <c r="AY314" s="685"/>
      <c r="AZ314" s="685"/>
      <c r="BA314" s="685"/>
      <c r="BB314" s="685"/>
      <c r="BC314" s="685"/>
      <c r="BD314" s="685"/>
      <c r="BE314" s="685"/>
    </row>
    <row r="315" spans="1:57">
      <c r="A315" s="685"/>
      <c r="B315" s="685"/>
      <c r="C315" s="685"/>
      <c r="D315" s="685"/>
      <c r="E315" s="685"/>
      <c r="F315" s="685"/>
      <c r="G315" s="685"/>
      <c r="H315" s="685"/>
      <c r="I315" s="685"/>
      <c r="J315" s="685"/>
      <c r="K315" s="685"/>
      <c r="L315" s="685"/>
      <c r="M315" s="685"/>
      <c r="N315" s="685"/>
      <c r="O315" s="685"/>
      <c r="P315" s="685"/>
      <c r="Q315" s="685"/>
      <c r="R315" s="685"/>
      <c r="S315" s="685"/>
      <c r="T315" s="685"/>
      <c r="U315" s="685"/>
      <c r="V315" s="685"/>
      <c r="W315" s="685"/>
      <c r="X315" s="685"/>
      <c r="Y315" s="685"/>
      <c r="Z315" s="685"/>
      <c r="AA315" s="685"/>
      <c r="AB315" s="685"/>
      <c r="AC315" s="685"/>
      <c r="AD315" s="685"/>
      <c r="AE315" s="685"/>
      <c r="AF315" s="685"/>
      <c r="AG315" s="685"/>
      <c r="AH315" s="685"/>
      <c r="AI315" s="685"/>
      <c r="AJ315" s="685"/>
      <c r="AK315" s="685"/>
      <c r="AL315" s="685"/>
      <c r="AM315" s="685"/>
      <c r="AN315" s="685"/>
      <c r="AO315" s="685"/>
      <c r="AP315" s="685"/>
      <c r="AQ315" s="685"/>
      <c r="AR315" s="685"/>
      <c r="AS315" s="685"/>
      <c r="AT315" s="685"/>
      <c r="AU315" s="685"/>
      <c r="AV315" s="685"/>
      <c r="AW315" s="685"/>
      <c r="AX315" s="685"/>
      <c r="AY315" s="685"/>
      <c r="AZ315" s="685"/>
      <c r="BA315" s="685"/>
      <c r="BB315" s="685"/>
      <c r="BC315" s="685"/>
      <c r="BD315" s="685"/>
      <c r="BE315" s="685"/>
    </row>
    <row r="316" spans="1:57">
      <c r="A316" s="685"/>
      <c r="B316" s="685"/>
      <c r="C316" s="685"/>
      <c r="D316" s="685"/>
      <c r="E316" s="685"/>
      <c r="F316" s="685"/>
      <c r="G316" s="685"/>
      <c r="H316" s="685"/>
      <c r="I316" s="685"/>
      <c r="J316" s="685"/>
      <c r="K316" s="685"/>
      <c r="L316" s="685"/>
      <c r="M316" s="685"/>
      <c r="N316" s="685"/>
      <c r="O316" s="685"/>
      <c r="P316" s="685"/>
      <c r="Q316" s="685"/>
      <c r="R316" s="685"/>
      <c r="S316" s="685"/>
      <c r="T316" s="685"/>
      <c r="U316" s="685"/>
      <c r="V316" s="685"/>
      <c r="W316" s="685"/>
      <c r="X316" s="685"/>
      <c r="Y316" s="685"/>
      <c r="Z316" s="685"/>
      <c r="AA316" s="685"/>
      <c r="AB316" s="685"/>
      <c r="AC316" s="685"/>
      <c r="AD316" s="685"/>
      <c r="AE316" s="685"/>
      <c r="AF316" s="685"/>
      <c r="AG316" s="685"/>
      <c r="AH316" s="685"/>
      <c r="AI316" s="685"/>
      <c r="AJ316" s="685"/>
      <c r="AK316" s="685"/>
      <c r="AL316" s="685"/>
      <c r="AM316" s="685"/>
      <c r="AN316" s="685"/>
      <c r="AO316" s="685"/>
      <c r="AP316" s="685"/>
      <c r="AQ316" s="685"/>
      <c r="AR316" s="685"/>
      <c r="AS316" s="685"/>
      <c r="AT316" s="685"/>
      <c r="AU316" s="685"/>
      <c r="AV316" s="685"/>
      <c r="AW316" s="685"/>
      <c r="AX316" s="685"/>
      <c r="AY316" s="685"/>
      <c r="AZ316" s="685"/>
      <c r="BA316" s="685"/>
      <c r="BB316" s="685"/>
      <c r="BC316" s="685"/>
      <c r="BD316" s="685"/>
      <c r="BE316" s="685"/>
    </row>
    <row r="317" spans="1:57">
      <c r="A317" s="763"/>
      <c r="B317" s="763"/>
      <c r="C317" s="763"/>
      <c r="D317" s="763"/>
      <c r="E317" s="763"/>
      <c r="F317" s="763"/>
      <c r="G317" s="763"/>
      <c r="H317" s="763"/>
      <c r="I317" s="763"/>
      <c r="J317" s="763"/>
      <c r="K317" s="763"/>
      <c r="L317" s="763"/>
      <c r="M317" s="763"/>
      <c r="N317" s="763"/>
      <c r="O317" s="763"/>
      <c r="P317" s="763"/>
      <c r="Q317" s="763"/>
      <c r="R317" s="763"/>
      <c r="S317" s="763"/>
      <c r="T317" s="763"/>
      <c r="U317" s="763"/>
      <c r="V317" s="763"/>
      <c r="W317" s="763"/>
      <c r="X317" s="763"/>
      <c r="Y317" s="763"/>
      <c r="Z317" s="763"/>
      <c r="AA317" s="763"/>
      <c r="AB317" s="763"/>
      <c r="AC317" s="763"/>
      <c r="AD317" s="763"/>
      <c r="AE317" s="763"/>
      <c r="AF317" s="763"/>
      <c r="AG317" s="763"/>
      <c r="AH317" s="763"/>
      <c r="AI317" s="763"/>
      <c r="AJ317" s="763"/>
      <c r="AK317" s="763"/>
      <c r="AL317" s="763"/>
      <c r="AM317" s="763"/>
      <c r="AN317" s="763"/>
      <c r="AO317" s="763"/>
      <c r="AP317" s="763"/>
      <c r="AQ317" s="763"/>
      <c r="AR317" s="763"/>
      <c r="AS317" s="763"/>
      <c r="AT317" s="763"/>
      <c r="AU317" s="763"/>
      <c r="AV317" s="763"/>
      <c r="AW317" s="763"/>
      <c r="AX317" s="763"/>
      <c r="AY317" s="763"/>
      <c r="AZ317" s="763"/>
      <c r="BA317" s="763"/>
      <c r="BB317" s="763"/>
      <c r="BC317" s="763"/>
      <c r="BD317" s="763"/>
      <c r="BE317" s="763"/>
    </row>
    <row r="318" spans="1:57">
      <c r="A318" s="763"/>
      <c r="B318" s="763"/>
      <c r="C318" s="763"/>
      <c r="D318" s="763"/>
      <c r="E318" s="763"/>
      <c r="F318" s="763"/>
      <c r="G318" s="763"/>
      <c r="H318" s="763"/>
      <c r="I318" s="763"/>
      <c r="J318" s="763"/>
      <c r="K318" s="763"/>
      <c r="L318" s="763"/>
      <c r="M318" s="763"/>
      <c r="N318" s="763"/>
      <c r="O318" s="763"/>
      <c r="P318" s="763"/>
      <c r="Q318" s="763"/>
      <c r="R318" s="763"/>
      <c r="S318" s="763"/>
      <c r="T318" s="763"/>
      <c r="U318" s="763"/>
      <c r="V318" s="763"/>
      <c r="W318" s="763"/>
      <c r="X318" s="763"/>
      <c r="Y318" s="763"/>
      <c r="Z318" s="763"/>
      <c r="AA318" s="763"/>
      <c r="AB318" s="763"/>
      <c r="AC318" s="763"/>
      <c r="AD318" s="763"/>
      <c r="AE318" s="763"/>
      <c r="AF318" s="763"/>
      <c r="AG318" s="763"/>
      <c r="AH318" s="763"/>
      <c r="AI318" s="763"/>
      <c r="AJ318" s="763"/>
      <c r="AK318" s="763"/>
      <c r="AL318" s="763"/>
      <c r="AM318" s="763"/>
      <c r="AN318" s="763"/>
      <c r="AO318" s="763"/>
      <c r="AP318" s="763"/>
      <c r="AQ318" s="763"/>
      <c r="AR318" s="763"/>
      <c r="AS318" s="763"/>
      <c r="AT318" s="763"/>
      <c r="AU318" s="763"/>
      <c r="AV318" s="763"/>
      <c r="AW318" s="763"/>
      <c r="AX318" s="763"/>
      <c r="AY318" s="763"/>
      <c r="AZ318" s="763"/>
      <c r="BA318" s="763"/>
      <c r="BB318" s="763"/>
      <c r="BC318" s="763"/>
      <c r="BD318" s="763"/>
      <c r="BE318" s="763"/>
    </row>
    <row r="319" spans="1:57">
      <c r="A319" s="763"/>
      <c r="B319" s="763"/>
      <c r="C319" s="763"/>
      <c r="D319" s="763"/>
      <c r="E319" s="763"/>
      <c r="F319" s="763"/>
      <c r="G319" s="763"/>
      <c r="H319" s="763"/>
      <c r="I319" s="763"/>
      <c r="J319" s="763"/>
      <c r="K319" s="763"/>
      <c r="L319" s="763"/>
      <c r="M319" s="763"/>
      <c r="N319" s="763"/>
      <c r="O319" s="763"/>
      <c r="P319" s="763"/>
      <c r="Q319" s="763"/>
      <c r="R319" s="763"/>
      <c r="S319" s="763"/>
      <c r="T319" s="763"/>
      <c r="U319" s="763"/>
      <c r="V319" s="763"/>
      <c r="W319" s="763"/>
      <c r="X319" s="763"/>
      <c r="Y319" s="763"/>
      <c r="Z319" s="763"/>
      <c r="AA319" s="763"/>
      <c r="AB319" s="763"/>
      <c r="AC319" s="763"/>
      <c r="AD319" s="763"/>
      <c r="AE319" s="763"/>
      <c r="AF319" s="763"/>
      <c r="AG319" s="763"/>
      <c r="AH319" s="763"/>
      <c r="AI319" s="763"/>
      <c r="AJ319" s="763"/>
      <c r="AK319" s="763"/>
      <c r="AL319" s="763"/>
      <c r="AM319" s="763"/>
      <c r="AN319" s="763"/>
      <c r="AO319" s="763"/>
      <c r="AP319" s="763"/>
      <c r="AQ319" s="763"/>
      <c r="AR319" s="763"/>
      <c r="AS319" s="763"/>
      <c r="AT319" s="763"/>
      <c r="AU319" s="763"/>
      <c r="AV319" s="763"/>
      <c r="AW319" s="763"/>
      <c r="AX319" s="763"/>
      <c r="AY319" s="763"/>
      <c r="AZ319" s="763"/>
      <c r="BA319" s="763"/>
      <c r="BB319" s="763"/>
      <c r="BC319" s="763"/>
      <c r="BD319" s="763"/>
      <c r="BE319" s="763"/>
    </row>
    <row r="320" spans="1:57">
      <c r="A320" s="763"/>
      <c r="B320" s="763"/>
      <c r="C320" s="763"/>
      <c r="D320" s="763"/>
      <c r="E320" s="763"/>
      <c r="F320" s="763"/>
      <c r="G320" s="763"/>
      <c r="H320" s="763"/>
      <c r="I320" s="763"/>
      <c r="J320" s="763"/>
      <c r="K320" s="763"/>
      <c r="L320" s="763"/>
      <c r="M320" s="763"/>
      <c r="N320" s="763"/>
      <c r="O320" s="763"/>
      <c r="P320" s="763"/>
      <c r="Q320" s="763"/>
      <c r="R320" s="763"/>
      <c r="S320" s="763"/>
      <c r="T320" s="763"/>
      <c r="U320" s="763"/>
      <c r="V320" s="763"/>
      <c r="W320" s="763"/>
      <c r="X320" s="763"/>
      <c r="Y320" s="763"/>
      <c r="Z320" s="763"/>
      <c r="AA320" s="763"/>
      <c r="AB320" s="763"/>
      <c r="AC320" s="763"/>
      <c r="AD320" s="763"/>
      <c r="AE320" s="763"/>
      <c r="AF320" s="763"/>
      <c r="AG320" s="763"/>
      <c r="AH320" s="763"/>
      <c r="AI320" s="763"/>
      <c r="AJ320" s="763"/>
      <c r="AK320" s="763"/>
      <c r="AL320" s="763"/>
      <c r="AM320" s="763"/>
      <c r="AN320" s="763"/>
      <c r="AO320" s="763"/>
      <c r="AP320" s="763"/>
      <c r="AQ320" s="763"/>
      <c r="AR320" s="763"/>
      <c r="AS320" s="763"/>
      <c r="AT320" s="763"/>
      <c r="AU320" s="763"/>
      <c r="AV320" s="763"/>
      <c r="AW320" s="763"/>
      <c r="AX320" s="763"/>
      <c r="AY320" s="763"/>
      <c r="AZ320" s="763"/>
      <c r="BA320" s="763"/>
      <c r="BB320" s="763"/>
      <c r="BC320" s="763"/>
      <c r="BD320" s="763"/>
      <c r="BE320" s="763"/>
    </row>
    <row r="321" spans="1:57">
      <c r="A321" s="763"/>
      <c r="B321" s="763"/>
      <c r="C321" s="763"/>
      <c r="D321" s="763"/>
      <c r="E321" s="763"/>
      <c r="F321" s="763"/>
      <c r="G321" s="763"/>
      <c r="H321" s="763"/>
      <c r="I321" s="763"/>
      <c r="J321" s="763"/>
      <c r="K321" s="763"/>
      <c r="L321" s="763"/>
      <c r="M321" s="763"/>
      <c r="N321" s="763"/>
      <c r="O321" s="763"/>
      <c r="P321" s="763"/>
      <c r="Q321" s="763"/>
      <c r="R321" s="763"/>
      <c r="S321" s="763"/>
      <c r="T321" s="763"/>
      <c r="U321" s="763"/>
      <c r="V321" s="763"/>
      <c r="W321" s="763"/>
      <c r="X321" s="763"/>
      <c r="Y321" s="763"/>
      <c r="Z321" s="763"/>
      <c r="AA321" s="763"/>
      <c r="AB321" s="763"/>
      <c r="AC321" s="763"/>
      <c r="AD321" s="763"/>
      <c r="AE321" s="763"/>
      <c r="AF321" s="763"/>
      <c r="AG321" s="763"/>
      <c r="AH321" s="763"/>
      <c r="AI321" s="763"/>
      <c r="AJ321" s="763"/>
      <c r="AK321" s="763"/>
      <c r="AL321" s="763"/>
      <c r="AM321" s="763"/>
      <c r="AN321" s="763"/>
      <c r="AO321" s="763"/>
      <c r="AP321" s="763"/>
      <c r="AQ321" s="763"/>
      <c r="AR321" s="763"/>
      <c r="AS321" s="763"/>
      <c r="AT321" s="763"/>
      <c r="AU321" s="763"/>
      <c r="AV321" s="763"/>
      <c r="AW321" s="763"/>
      <c r="AX321" s="763"/>
      <c r="AY321" s="763"/>
      <c r="AZ321" s="763"/>
      <c r="BA321" s="763"/>
      <c r="BB321" s="763"/>
      <c r="BC321" s="763"/>
      <c r="BD321" s="763"/>
      <c r="BE321" s="763"/>
    </row>
    <row r="322" spans="1:57">
      <c r="A322" s="763"/>
      <c r="B322" s="763"/>
      <c r="C322" s="763"/>
      <c r="D322" s="763"/>
      <c r="E322" s="763"/>
      <c r="F322" s="763"/>
      <c r="G322" s="763"/>
      <c r="H322" s="763"/>
      <c r="I322" s="763"/>
      <c r="J322" s="763"/>
      <c r="K322" s="763"/>
      <c r="L322" s="763"/>
      <c r="M322" s="763"/>
      <c r="N322" s="763"/>
      <c r="O322" s="763"/>
      <c r="P322" s="763"/>
      <c r="Q322" s="763"/>
      <c r="R322" s="763"/>
      <c r="S322" s="763"/>
      <c r="T322" s="763"/>
      <c r="U322" s="763"/>
      <c r="V322" s="763"/>
      <c r="W322" s="763"/>
      <c r="X322" s="763"/>
      <c r="Y322" s="763"/>
      <c r="Z322" s="763"/>
      <c r="AA322" s="763"/>
      <c r="AB322" s="763"/>
      <c r="AC322" s="763"/>
      <c r="AD322" s="763"/>
      <c r="AE322" s="763"/>
      <c r="AF322" s="763"/>
      <c r="AG322" s="763"/>
      <c r="AH322" s="763"/>
      <c r="AI322" s="763"/>
      <c r="AJ322" s="763"/>
      <c r="AK322" s="763"/>
      <c r="AL322" s="763"/>
      <c r="AM322" s="763"/>
      <c r="AN322" s="763"/>
      <c r="AO322" s="763"/>
      <c r="AP322" s="763"/>
      <c r="AQ322" s="763"/>
      <c r="AR322" s="763"/>
      <c r="AS322" s="763"/>
      <c r="AT322" s="763"/>
      <c r="AU322" s="763"/>
      <c r="AV322" s="763"/>
      <c r="AW322" s="763"/>
      <c r="AX322" s="763"/>
      <c r="AY322" s="763"/>
      <c r="AZ322" s="763"/>
      <c r="BA322" s="763"/>
      <c r="BB322" s="763"/>
      <c r="BC322" s="763"/>
      <c r="BD322" s="763"/>
      <c r="BE322" s="763"/>
    </row>
    <row r="323" spans="1:57">
      <c r="A323" s="763"/>
      <c r="B323" s="763"/>
      <c r="C323" s="763"/>
      <c r="D323" s="763"/>
      <c r="E323" s="763"/>
      <c r="F323" s="763"/>
      <c r="G323" s="763"/>
      <c r="H323" s="763"/>
      <c r="I323" s="763"/>
      <c r="J323" s="763"/>
      <c r="K323" s="763"/>
      <c r="L323" s="763"/>
      <c r="M323" s="763"/>
      <c r="N323" s="763"/>
      <c r="O323" s="763"/>
      <c r="P323" s="763"/>
      <c r="Q323" s="763"/>
      <c r="R323" s="763"/>
      <c r="S323" s="763"/>
      <c r="T323" s="763"/>
      <c r="U323" s="763"/>
      <c r="V323" s="763"/>
      <c r="W323" s="763"/>
      <c r="X323" s="763"/>
      <c r="Y323" s="763"/>
      <c r="Z323" s="763"/>
      <c r="AA323" s="763"/>
      <c r="AB323" s="763"/>
      <c r="AC323" s="763"/>
      <c r="AD323" s="763"/>
      <c r="AE323" s="763"/>
      <c r="AF323" s="763"/>
      <c r="AG323" s="763"/>
      <c r="AH323" s="763"/>
      <c r="AI323" s="763"/>
      <c r="AJ323" s="763"/>
      <c r="AK323" s="763"/>
      <c r="AL323" s="763"/>
      <c r="AM323" s="763"/>
      <c r="AN323" s="763"/>
      <c r="AO323" s="763"/>
      <c r="AP323" s="763"/>
      <c r="AQ323" s="763"/>
      <c r="AR323" s="763"/>
      <c r="AS323" s="763"/>
      <c r="AT323" s="763"/>
      <c r="AU323" s="763"/>
      <c r="AV323" s="763"/>
      <c r="AW323" s="763"/>
      <c r="AX323" s="763"/>
      <c r="AY323" s="763"/>
      <c r="AZ323" s="763"/>
      <c r="BA323" s="763"/>
      <c r="BB323" s="763"/>
      <c r="BC323" s="763"/>
      <c r="BD323" s="763"/>
      <c r="BE323" s="763"/>
    </row>
    <row r="324" spans="1:57">
      <c r="A324" s="763"/>
      <c r="B324" s="763"/>
      <c r="C324" s="763"/>
      <c r="D324" s="763"/>
      <c r="E324" s="763"/>
      <c r="F324" s="763"/>
      <c r="G324" s="763"/>
      <c r="H324" s="763"/>
      <c r="I324" s="763"/>
      <c r="J324" s="763"/>
      <c r="K324" s="763"/>
      <c r="L324" s="763"/>
      <c r="M324" s="763"/>
      <c r="N324" s="763"/>
      <c r="O324" s="763"/>
      <c r="P324" s="763"/>
      <c r="Q324" s="763"/>
      <c r="R324" s="763"/>
      <c r="S324" s="763"/>
      <c r="T324" s="763"/>
      <c r="U324" s="763"/>
      <c r="V324" s="763"/>
      <c r="W324" s="763"/>
      <c r="X324" s="763"/>
      <c r="Y324" s="763"/>
      <c r="Z324" s="763"/>
      <c r="AA324" s="763"/>
      <c r="AB324" s="763"/>
      <c r="AC324" s="763"/>
      <c r="AD324" s="763"/>
      <c r="AE324" s="763"/>
      <c r="AF324" s="763"/>
      <c r="AG324" s="763"/>
      <c r="AH324" s="763"/>
      <c r="AI324" s="763"/>
      <c r="AJ324" s="763"/>
      <c r="AK324" s="763"/>
      <c r="AL324" s="763"/>
      <c r="AM324" s="763"/>
      <c r="AN324" s="763"/>
      <c r="AO324" s="763"/>
      <c r="AP324" s="763"/>
      <c r="AQ324" s="763"/>
      <c r="AR324" s="763"/>
      <c r="AS324" s="763"/>
      <c r="AT324" s="763"/>
      <c r="AU324" s="763"/>
      <c r="AV324" s="763"/>
      <c r="AW324" s="763"/>
      <c r="AX324" s="763"/>
      <c r="AY324" s="763"/>
      <c r="AZ324" s="763"/>
      <c r="BA324" s="763"/>
      <c r="BB324" s="763"/>
      <c r="BC324" s="763"/>
      <c r="BD324" s="763"/>
      <c r="BE324" s="763"/>
    </row>
    <row r="325" spans="1:57">
      <c r="A325" s="763"/>
      <c r="B325" s="763"/>
      <c r="C325" s="763"/>
      <c r="D325" s="763"/>
      <c r="E325" s="763"/>
      <c r="F325" s="763"/>
      <c r="G325" s="763"/>
      <c r="H325" s="763"/>
      <c r="I325" s="763"/>
      <c r="J325" s="763"/>
      <c r="K325" s="763"/>
      <c r="L325" s="763"/>
      <c r="M325" s="763"/>
      <c r="N325" s="763"/>
      <c r="O325" s="763"/>
      <c r="P325" s="763"/>
      <c r="Q325" s="763"/>
      <c r="R325" s="763"/>
      <c r="S325" s="763"/>
      <c r="T325" s="763"/>
      <c r="U325" s="763"/>
      <c r="V325" s="763"/>
      <c r="W325" s="763"/>
      <c r="X325" s="763"/>
      <c r="Y325" s="763"/>
      <c r="Z325" s="763"/>
      <c r="AA325" s="763"/>
      <c r="AB325" s="763"/>
      <c r="AC325" s="763"/>
      <c r="AD325" s="763"/>
      <c r="AE325" s="763"/>
      <c r="AF325" s="763"/>
      <c r="AG325" s="763"/>
      <c r="AH325" s="763"/>
      <c r="AI325" s="763"/>
      <c r="AJ325" s="763"/>
      <c r="AK325" s="763"/>
      <c r="AL325" s="763"/>
      <c r="AM325" s="763"/>
      <c r="AN325" s="763"/>
      <c r="AO325" s="763"/>
      <c r="AP325" s="763"/>
      <c r="AQ325" s="763"/>
      <c r="AR325" s="763"/>
      <c r="AS325" s="763"/>
      <c r="AT325" s="763"/>
      <c r="AU325" s="763"/>
      <c r="AV325" s="763"/>
      <c r="AW325" s="763"/>
      <c r="AX325" s="763"/>
      <c r="AY325" s="763"/>
      <c r="AZ325" s="763"/>
      <c r="BA325" s="763"/>
      <c r="BB325" s="763"/>
      <c r="BC325" s="763"/>
      <c r="BD325" s="763"/>
      <c r="BE325" s="763"/>
    </row>
    <row r="326" spans="1:57">
      <c r="A326" s="763"/>
      <c r="B326" s="763"/>
      <c r="C326" s="763"/>
      <c r="D326" s="763"/>
      <c r="E326" s="763"/>
      <c r="F326" s="763"/>
      <c r="G326" s="763"/>
      <c r="H326" s="763"/>
      <c r="I326" s="763"/>
      <c r="J326" s="763"/>
      <c r="K326" s="763"/>
      <c r="L326" s="763"/>
      <c r="M326" s="763"/>
      <c r="N326" s="763"/>
      <c r="O326" s="763"/>
      <c r="P326" s="763"/>
      <c r="Q326" s="763"/>
      <c r="R326" s="763"/>
      <c r="S326" s="763"/>
      <c r="T326" s="763"/>
      <c r="U326" s="763"/>
      <c r="V326" s="763"/>
      <c r="W326" s="763"/>
      <c r="X326" s="763"/>
      <c r="Y326" s="763"/>
      <c r="Z326" s="763"/>
      <c r="AA326" s="763"/>
      <c r="AB326" s="763"/>
      <c r="AC326" s="763"/>
      <c r="AD326" s="763"/>
      <c r="AE326" s="763"/>
      <c r="AF326" s="763"/>
      <c r="AG326" s="763"/>
      <c r="AH326" s="763"/>
      <c r="AI326" s="763"/>
      <c r="AJ326" s="763"/>
      <c r="AK326" s="763"/>
      <c r="AL326" s="763"/>
      <c r="AM326" s="763"/>
      <c r="AN326" s="763"/>
      <c r="AO326" s="763"/>
      <c r="AP326" s="763"/>
      <c r="AQ326" s="763"/>
      <c r="AR326" s="763"/>
      <c r="AS326" s="763"/>
      <c r="AT326" s="763"/>
      <c r="AU326" s="763"/>
      <c r="AV326" s="763"/>
      <c r="AW326" s="763"/>
      <c r="AX326" s="763"/>
      <c r="AY326" s="763"/>
      <c r="AZ326" s="763"/>
      <c r="BA326" s="763"/>
      <c r="BB326" s="763"/>
      <c r="BC326" s="763"/>
      <c r="BD326" s="763"/>
      <c r="BE326" s="763"/>
    </row>
    <row r="327" spans="1:57">
      <c r="A327" s="763"/>
      <c r="B327" s="763"/>
      <c r="C327" s="763"/>
      <c r="D327" s="763"/>
      <c r="E327" s="763"/>
      <c r="F327" s="763"/>
      <c r="G327" s="763"/>
      <c r="H327" s="763"/>
      <c r="I327" s="763"/>
      <c r="J327" s="763"/>
      <c r="K327" s="763"/>
      <c r="L327" s="763"/>
      <c r="M327" s="763"/>
      <c r="N327" s="763"/>
      <c r="O327" s="763"/>
      <c r="P327" s="763"/>
      <c r="Q327" s="763"/>
      <c r="R327" s="763"/>
      <c r="S327" s="763"/>
      <c r="T327" s="763"/>
      <c r="U327" s="763"/>
      <c r="V327" s="763"/>
      <c r="W327" s="763"/>
      <c r="X327" s="763"/>
      <c r="Y327" s="763"/>
      <c r="Z327" s="763"/>
      <c r="AA327" s="763"/>
      <c r="AB327" s="763"/>
      <c r="AC327" s="763"/>
      <c r="AD327" s="763"/>
      <c r="AE327" s="763"/>
      <c r="AF327" s="763"/>
      <c r="AG327" s="763"/>
      <c r="AH327" s="763"/>
      <c r="AI327" s="763"/>
      <c r="AJ327" s="763"/>
      <c r="AK327" s="763"/>
      <c r="AL327" s="763"/>
      <c r="AM327" s="763"/>
      <c r="AN327" s="763"/>
      <c r="AO327" s="763"/>
      <c r="AP327" s="763"/>
      <c r="AQ327" s="763"/>
      <c r="AR327" s="763"/>
      <c r="AS327" s="763"/>
      <c r="AT327" s="763"/>
      <c r="AU327" s="763"/>
      <c r="AV327" s="763"/>
      <c r="AW327" s="763"/>
      <c r="AX327" s="763"/>
      <c r="AY327" s="763"/>
      <c r="AZ327" s="763"/>
      <c r="BA327" s="763"/>
      <c r="BB327" s="763"/>
      <c r="BC327" s="763"/>
      <c r="BD327" s="763"/>
      <c r="BE327" s="763"/>
    </row>
    <row r="328" spans="1:57">
      <c r="A328" s="763"/>
      <c r="B328" s="763"/>
      <c r="C328" s="763"/>
      <c r="D328" s="763"/>
      <c r="E328" s="763"/>
      <c r="F328" s="763"/>
      <c r="G328" s="763"/>
      <c r="H328" s="763"/>
      <c r="I328" s="763"/>
      <c r="J328" s="763"/>
      <c r="K328" s="763"/>
      <c r="L328" s="763"/>
      <c r="M328" s="763"/>
      <c r="N328" s="763"/>
      <c r="O328" s="763"/>
      <c r="P328" s="763"/>
      <c r="Q328" s="763"/>
      <c r="R328" s="763"/>
      <c r="S328" s="763"/>
      <c r="T328" s="763"/>
      <c r="U328" s="763"/>
      <c r="V328" s="763"/>
      <c r="W328" s="763"/>
      <c r="X328" s="763"/>
      <c r="Y328" s="763"/>
      <c r="Z328" s="763"/>
      <c r="AA328" s="763"/>
      <c r="AB328" s="763"/>
      <c r="AC328" s="763"/>
      <c r="AD328" s="763"/>
      <c r="AE328" s="763"/>
      <c r="AF328" s="763"/>
      <c r="AG328" s="763"/>
      <c r="AH328" s="763"/>
      <c r="AI328" s="763"/>
      <c r="AJ328" s="763"/>
      <c r="AK328" s="763"/>
      <c r="AL328" s="763"/>
      <c r="AM328" s="763"/>
      <c r="AN328" s="763"/>
      <c r="AO328" s="763"/>
      <c r="AP328" s="763"/>
      <c r="AQ328" s="763"/>
      <c r="AR328" s="763"/>
      <c r="AS328" s="763"/>
      <c r="AT328" s="763"/>
      <c r="AU328" s="763"/>
      <c r="AV328" s="763"/>
      <c r="AW328" s="763"/>
      <c r="AX328" s="763"/>
      <c r="AY328" s="763"/>
      <c r="AZ328" s="763"/>
      <c r="BA328" s="763"/>
      <c r="BB328" s="763"/>
      <c r="BC328" s="763"/>
      <c r="BD328" s="763"/>
      <c r="BE328" s="763"/>
    </row>
    <row r="329" spans="1:57">
      <c r="A329" s="763"/>
      <c r="B329" s="763"/>
      <c r="C329" s="763"/>
      <c r="D329" s="763"/>
      <c r="E329" s="763"/>
      <c r="F329" s="763"/>
      <c r="G329" s="763"/>
      <c r="H329" s="763"/>
      <c r="I329" s="763"/>
      <c r="J329" s="763"/>
      <c r="K329" s="763"/>
      <c r="L329" s="763"/>
      <c r="M329" s="763"/>
      <c r="N329" s="763"/>
      <c r="O329" s="763"/>
      <c r="P329" s="763"/>
      <c r="Q329" s="763"/>
      <c r="R329" s="763"/>
      <c r="S329" s="763"/>
      <c r="T329" s="763"/>
      <c r="U329" s="763"/>
      <c r="V329" s="763"/>
      <c r="W329" s="763"/>
      <c r="X329" s="763"/>
      <c r="Y329" s="763"/>
      <c r="Z329" s="763"/>
      <c r="AA329" s="763"/>
      <c r="AB329" s="763"/>
      <c r="AC329" s="763"/>
      <c r="AD329" s="763"/>
      <c r="AE329" s="763"/>
      <c r="AF329" s="763"/>
      <c r="AG329" s="763"/>
      <c r="AH329" s="763"/>
      <c r="AI329" s="763"/>
      <c r="AJ329" s="763"/>
      <c r="AK329" s="763"/>
      <c r="AL329" s="763"/>
      <c r="AM329" s="763"/>
      <c r="AN329" s="763"/>
      <c r="AO329" s="763"/>
      <c r="AP329" s="763"/>
      <c r="AQ329" s="763"/>
      <c r="AR329" s="763"/>
      <c r="AS329" s="763"/>
      <c r="AT329" s="763"/>
      <c r="AU329" s="763"/>
      <c r="AV329" s="763"/>
      <c r="AW329" s="763"/>
      <c r="AX329" s="763"/>
      <c r="AY329" s="763"/>
      <c r="AZ329" s="763"/>
      <c r="BA329" s="763"/>
      <c r="BB329" s="763"/>
      <c r="BC329" s="763"/>
      <c r="BD329" s="763"/>
      <c r="BE329" s="763"/>
    </row>
    <row r="330" spans="1:57">
      <c r="A330" s="763"/>
      <c r="B330" s="763"/>
      <c r="C330" s="763"/>
      <c r="D330" s="763"/>
      <c r="E330" s="763"/>
      <c r="F330" s="763"/>
      <c r="G330" s="763"/>
      <c r="H330" s="763"/>
      <c r="I330" s="763"/>
      <c r="J330" s="763"/>
      <c r="K330" s="763"/>
      <c r="L330" s="763"/>
      <c r="M330" s="763"/>
      <c r="N330" s="763"/>
      <c r="O330" s="763"/>
      <c r="P330" s="763"/>
      <c r="Q330" s="763"/>
      <c r="R330" s="763"/>
      <c r="S330" s="763"/>
      <c r="T330" s="763"/>
      <c r="U330" s="763"/>
      <c r="V330" s="763"/>
      <c r="W330" s="763"/>
      <c r="X330" s="763"/>
      <c r="Y330" s="763"/>
      <c r="Z330" s="763"/>
      <c r="AA330" s="763"/>
      <c r="AB330" s="763"/>
      <c r="AC330" s="763"/>
      <c r="AD330" s="763"/>
      <c r="AE330" s="763"/>
      <c r="AF330" s="763"/>
      <c r="AG330" s="763"/>
      <c r="AH330" s="763"/>
      <c r="AI330" s="763"/>
      <c r="AJ330" s="763"/>
      <c r="AK330" s="763"/>
      <c r="AL330" s="763"/>
      <c r="AM330" s="763"/>
      <c r="AN330" s="763"/>
      <c r="AO330" s="763"/>
      <c r="AP330" s="763"/>
      <c r="AQ330" s="763"/>
      <c r="AR330" s="763"/>
      <c r="AS330" s="763"/>
      <c r="AT330" s="763"/>
      <c r="AU330" s="763"/>
      <c r="AV330" s="763"/>
      <c r="AW330" s="763"/>
      <c r="AX330" s="763"/>
      <c r="AY330" s="763"/>
      <c r="AZ330" s="763"/>
      <c r="BA330" s="763"/>
      <c r="BB330" s="763"/>
      <c r="BC330" s="763"/>
      <c r="BD330" s="763"/>
      <c r="BE330" s="763"/>
    </row>
    <row r="331" spans="1:57">
      <c r="A331" s="763"/>
      <c r="B331" s="763"/>
      <c r="C331" s="763"/>
      <c r="D331" s="763"/>
      <c r="E331" s="763"/>
      <c r="F331" s="763"/>
      <c r="G331" s="763"/>
      <c r="H331" s="763"/>
      <c r="I331" s="763"/>
      <c r="J331" s="763"/>
      <c r="K331" s="763"/>
      <c r="L331" s="763"/>
      <c r="M331" s="763"/>
      <c r="N331" s="763"/>
      <c r="O331" s="763"/>
      <c r="P331" s="763"/>
      <c r="Q331" s="763"/>
      <c r="R331" s="763"/>
      <c r="S331" s="763"/>
      <c r="T331" s="763"/>
      <c r="U331" s="763"/>
      <c r="V331" s="763"/>
      <c r="W331" s="763"/>
      <c r="X331" s="763"/>
      <c r="Y331" s="763"/>
      <c r="Z331" s="763"/>
      <c r="AA331" s="763"/>
      <c r="AB331" s="763"/>
      <c r="AC331" s="763"/>
      <c r="AD331" s="763"/>
      <c r="AE331" s="763"/>
      <c r="AF331" s="763"/>
      <c r="AG331" s="763"/>
      <c r="AH331" s="763"/>
      <c r="AI331" s="763"/>
      <c r="AJ331" s="763"/>
      <c r="AK331" s="763"/>
      <c r="AL331" s="763"/>
      <c r="AM331" s="763"/>
      <c r="AN331" s="763"/>
      <c r="AO331" s="763"/>
      <c r="AP331" s="763"/>
      <c r="AQ331" s="763"/>
      <c r="AR331" s="763"/>
      <c r="AS331" s="763"/>
      <c r="AT331" s="763"/>
      <c r="AU331" s="763"/>
      <c r="AV331" s="763"/>
      <c r="AW331" s="763"/>
      <c r="AX331" s="763"/>
      <c r="AY331" s="763"/>
      <c r="AZ331" s="763"/>
      <c r="BA331" s="763"/>
      <c r="BB331" s="763"/>
      <c r="BC331" s="763"/>
      <c r="BD331" s="763"/>
      <c r="BE331" s="763"/>
    </row>
    <row r="332" spans="1:57">
      <c r="A332" s="763"/>
      <c r="B332" s="763"/>
      <c r="C332" s="763"/>
      <c r="D332" s="763"/>
      <c r="E332" s="763"/>
      <c r="F332" s="763"/>
      <c r="G332" s="763"/>
      <c r="H332" s="763"/>
      <c r="I332" s="763"/>
      <c r="J332" s="763"/>
      <c r="K332" s="763"/>
      <c r="L332" s="763"/>
      <c r="M332" s="763"/>
      <c r="N332" s="763"/>
      <c r="O332" s="763"/>
      <c r="P332" s="763"/>
      <c r="Q332" s="763"/>
      <c r="R332" s="763"/>
      <c r="S332" s="763"/>
      <c r="T332" s="763"/>
      <c r="U332" s="763"/>
      <c r="V332" s="763"/>
      <c r="W332" s="763"/>
      <c r="X332" s="763"/>
      <c r="Y332" s="763"/>
      <c r="Z332" s="763"/>
      <c r="AA332" s="763"/>
      <c r="AB332" s="763"/>
      <c r="AC332" s="763"/>
      <c r="AD332" s="763"/>
      <c r="AE332" s="763"/>
      <c r="AF332" s="763"/>
      <c r="AG332" s="763"/>
      <c r="AH332" s="763"/>
      <c r="AI332" s="763"/>
      <c r="AJ332" s="763"/>
      <c r="AK332" s="763"/>
      <c r="AL332" s="763"/>
      <c r="AM332" s="763"/>
      <c r="AN332" s="763"/>
      <c r="AO332" s="763"/>
      <c r="AP332" s="763"/>
      <c r="AQ332" s="763"/>
      <c r="AR332" s="763"/>
      <c r="AS332" s="763"/>
      <c r="AT332" s="763"/>
      <c r="AU332" s="763"/>
      <c r="AV332" s="763"/>
      <c r="AW332" s="763"/>
      <c r="AX332" s="763"/>
      <c r="AY332" s="763"/>
      <c r="AZ332" s="763"/>
      <c r="BA332" s="763"/>
      <c r="BB332" s="763"/>
      <c r="BC332" s="763"/>
      <c r="BD332" s="763"/>
      <c r="BE332" s="763"/>
    </row>
    <row r="333" spans="1:57">
      <c r="A333" s="763"/>
      <c r="B333" s="763"/>
      <c r="C333" s="763"/>
      <c r="D333" s="763"/>
      <c r="E333" s="763"/>
      <c r="F333" s="763"/>
      <c r="G333" s="763"/>
      <c r="H333" s="763"/>
      <c r="I333" s="763"/>
      <c r="J333" s="763"/>
      <c r="K333" s="763"/>
      <c r="L333" s="763"/>
      <c r="M333" s="763"/>
      <c r="N333" s="763"/>
      <c r="O333" s="763"/>
      <c r="P333" s="763"/>
      <c r="Q333" s="763"/>
      <c r="R333" s="763"/>
      <c r="S333" s="763"/>
      <c r="T333" s="763"/>
      <c r="U333" s="763"/>
      <c r="V333" s="763"/>
      <c r="W333" s="763"/>
      <c r="X333" s="763"/>
      <c r="Y333" s="763"/>
      <c r="Z333" s="763"/>
      <c r="AA333" s="763"/>
      <c r="AB333" s="763"/>
      <c r="AC333" s="763"/>
      <c r="AD333" s="763"/>
      <c r="AE333" s="763"/>
      <c r="AF333" s="763"/>
      <c r="AG333" s="763"/>
      <c r="AH333" s="763"/>
      <c r="AI333" s="763"/>
      <c r="AJ333" s="763"/>
      <c r="AK333" s="763"/>
      <c r="AL333" s="763"/>
      <c r="AM333" s="763"/>
      <c r="AN333" s="763"/>
      <c r="AO333" s="763"/>
      <c r="AP333" s="763"/>
      <c r="AQ333" s="763"/>
      <c r="AR333" s="763"/>
      <c r="AS333" s="763"/>
      <c r="AT333" s="763"/>
      <c r="AU333" s="763"/>
      <c r="AV333" s="763"/>
      <c r="AW333" s="763"/>
      <c r="AX333" s="763"/>
      <c r="AY333" s="763"/>
      <c r="AZ333" s="763"/>
      <c r="BA333" s="763"/>
      <c r="BB333" s="763"/>
      <c r="BC333" s="763"/>
      <c r="BD333" s="763"/>
      <c r="BE333" s="763"/>
    </row>
    <row r="334" spans="1:57">
      <c r="A334" s="763"/>
      <c r="B334" s="763"/>
      <c r="C334" s="763"/>
      <c r="D334" s="763"/>
      <c r="E334" s="763"/>
      <c r="F334" s="763"/>
      <c r="G334" s="763"/>
      <c r="H334" s="763"/>
      <c r="I334" s="763"/>
      <c r="J334" s="763"/>
      <c r="K334" s="763"/>
      <c r="L334" s="763"/>
      <c r="M334" s="763"/>
      <c r="N334" s="763"/>
      <c r="O334" s="763"/>
      <c r="P334" s="763"/>
      <c r="Q334" s="763"/>
      <c r="R334" s="763"/>
      <c r="S334" s="763"/>
      <c r="T334" s="763"/>
      <c r="U334" s="763"/>
      <c r="V334" s="763"/>
      <c r="W334" s="763"/>
      <c r="X334" s="763"/>
      <c r="Y334" s="763"/>
      <c r="Z334" s="763"/>
      <c r="AA334" s="763"/>
      <c r="AB334" s="763"/>
      <c r="AC334" s="763"/>
      <c r="AD334" s="763"/>
      <c r="AE334" s="763"/>
      <c r="AF334" s="763"/>
      <c r="AG334" s="763"/>
      <c r="AH334" s="763"/>
      <c r="AI334" s="763"/>
      <c r="AJ334" s="763"/>
      <c r="AK334" s="763"/>
      <c r="AL334" s="763"/>
      <c r="AM334" s="763"/>
      <c r="AN334" s="763"/>
      <c r="AO334" s="763"/>
      <c r="AP334" s="763"/>
      <c r="AQ334" s="763"/>
      <c r="AR334" s="763"/>
      <c r="AS334" s="763"/>
      <c r="AT334" s="763"/>
      <c r="AU334" s="763"/>
      <c r="AV334" s="763"/>
      <c r="AW334" s="763"/>
      <c r="AX334" s="763"/>
      <c r="AY334" s="763"/>
      <c r="AZ334" s="763"/>
      <c r="BA334" s="763"/>
      <c r="BB334" s="763"/>
      <c r="BC334" s="763"/>
      <c r="BD334" s="763"/>
      <c r="BE334" s="763"/>
    </row>
    <row r="335" spans="1:57">
      <c r="A335" s="763"/>
      <c r="B335" s="763"/>
      <c r="C335" s="763"/>
      <c r="D335" s="763"/>
      <c r="E335" s="763"/>
      <c r="F335" s="763"/>
      <c r="G335" s="763"/>
      <c r="H335" s="763"/>
      <c r="I335" s="763"/>
      <c r="J335" s="763"/>
      <c r="K335" s="763"/>
      <c r="L335" s="763"/>
      <c r="M335" s="763"/>
      <c r="N335" s="763"/>
      <c r="O335" s="763"/>
      <c r="P335" s="763"/>
      <c r="Q335" s="763"/>
      <c r="R335" s="763"/>
      <c r="S335" s="763"/>
      <c r="T335" s="763"/>
      <c r="U335" s="763"/>
      <c r="V335" s="763"/>
      <c r="W335" s="763"/>
      <c r="X335" s="763"/>
      <c r="Y335" s="763"/>
      <c r="Z335" s="763"/>
      <c r="AA335" s="763"/>
      <c r="AB335" s="763"/>
      <c r="AC335" s="763"/>
      <c r="AD335" s="763"/>
      <c r="AE335" s="763"/>
      <c r="AF335" s="763"/>
      <c r="AG335" s="763"/>
      <c r="AH335" s="763"/>
      <c r="AI335" s="763"/>
      <c r="AJ335" s="763"/>
      <c r="AK335" s="763"/>
      <c r="AL335" s="763"/>
      <c r="AM335" s="763"/>
      <c r="AN335" s="763"/>
      <c r="AO335" s="763"/>
      <c r="AP335" s="763"/>
      <c r="AQ335" s="763"/>
      <c r="AR335" s="763"/>
      <c r="AS335" s="763"/>
      <c r="AT335" s="763"/>
      <c r="AU335" s="763"/>
      <c r="AV335" s="763"/>
      <c r="AW335" s="763"/>
      <c r="AX335" s="763"/>
      <c r="AY335" s="763"/>
      <c r="AZ335" s="763"/>
      <c r="BA335" s="763"/>
      <c r="BB335" s="763"/>
      <c r="BC335" s="763"/>
      <c r="BD335" s="763"/>
      <c r="BE335" s="763"/>
    </row>
    <row r="336" spans="1:57">
      <c r="A336" s="763"/>
      <c r="B336" s="763"/>
      <c r="C336" s="763"/>
      <c r="D336" s="763"/>
      <c r="E336" s="763"/>
      <c r="F336" s="763"/>
      <c r="G336" s="763"/>
      <c r="H336" s="763"/>
      <c r="I336" s="763"/>
      <c r="J336" s="763"/>
      <c r="K336" s="763"/>
      <c r="L336" s="763"/>
      <c r="M336" s="763"/>
      <c r="N336" s="763"/>
      <c r="O336" s="763"/>
      <c r="P336" s="763"/>
      <c r="Q336" s="763"/>
      <c r="R336" s="763"/>
      <c r="S336" s="763"/>
      <c r="T336" s="763"/>
      <c r="U336" s="763"/>
      <c r="V336" s="763"/>
      <c r="W336" s="763"/>
      <c r="X336" s="763"/>
      <c r="Y336" s="763"/>
      <c r="Z336" s="763"/>
      <c r="AA336" s="763"/>
      <c r="AB336" s="763"/>
      <c r="AC336" s="763"/>
      <c r="AD336" s="763"/>
      <c r="AE336" s="763"/>
      <c r="AF336" s="763"/>
      <c r="AG336" s="763"/>
      <c r="AH336" s="763"/>
      <c r="AI336" s="763"/>
      <c r="AJ336" s="763"/>
      <c r="AK336" s="763"/>
      <c r="AL336" s="763"/>
      <c r="AM336" s="763"/>
      <c r="AN336" s="763"/>
      <c r="AO336" s="763"/>
      <c r="AP336" s="763"/>
      <c r="AQ336" s="763"/>
      <c r="AR336" s="763"/>
      <c r="AS336" s="763"/>
      <c r="AT336" s="763"/>
      <c r="AU336" s="763"/>
      <c r="AV336" s="763"/>
      <c r="AW336" s="763"/>
      <c r="AX336" s="763"/>
      <c r="AY336" s="763"/>
      <c r="AZ336" s="763"/>
      <c r="BA336" s="763"/>
      <c r="BB336" s="763"/>
      <c r="BC336" s="763"/>
      <c r="BD336" s="763"/>
      <c r="BE336" s="763"/>
    </row>
    <row r="337" spans="1:57">
      <c r="A337" s="763"/>
      <c r="B337" s="763"/>
      <c r="C337" s="763"/>
      <c r="D337" s="763"/>
      <c r="E337" s="763"/>
      <c r="F337" s="763"/>
      <c r="G337" s="763"/>
      <c r="H337" s="763"/>
      <c r="I337" s="763"/>
      <c r="J337" s="763"/>
      <c r="K337" s="763"/>
      <c r="L337" s="763"/>
      <c r="M337" s="763"/>
      <c r="N337" s="763"/>
      <c r="O337" s="763"/>
      <c r="P337" s="763"/>
      <c r="Q337" s="763"/>
      <c r="R337" s="763"/>
      <c r="S337" s="763"/>
      <c r="T337" s="763"/>
      <c r="U337" s="763"/>
      <c r="V337" s="763"/>
      <c r="W337" s="763"/>
      <c r="X337" s="763"/>
      <c r="Y337" s="763"/>
      <c r="Z337" s="763"/>
      <c r="AA337" s="763"/>
      <c r="AB337" s="763"/>
      <c r="AC337" s="763"/>
      <c r="AD337" s="763"/>
      <c r="AE337" s="763"/>
      <c r="AF337" s="763"/>
      <c r="AG337" s="763"/>
      <c r="AH337" s="763"/>
      <c r="AI337" s="763"/>
      <c r="AJ337" s="763"/>
      <c r="AK337" s="763"/>
      <c r="AL337" s="763"/>
      <c r="AM337" s="763"/>
      <c r="AN337" s="763"/>
      <c r="AO337" s="763"/>
      <c r="AP337" s="763"/>
      <c r="AQ337" s="763"/>
      <c r="AR337" s="763"/>
      <c r="AS337" s="763"/>
      <c r="AT337" s="763"/>
      <c r="AU337" s="763"/>
      <c r="AV337" s="763"/>
      <c r="AW337" s="763"/>
      <c r="AX337" s="763"/>
      <c r="AY337" s="763"/>
      <c r="AZ337" s="763"/>
      <c r="BA337" s="763"/>
      <c r="BB337" s="763"/>
      <c r="BC337" s="763"/>
      <c r="BD337" s="763"/>
      <c r="BE337" s="763"/>
    </row>
    <row r="338" spans="1:57">
      <c r="A338" s="763"/>
      <c r="B338" s="763"/>
      <c r="C338" s="763"/>
      <c r="D338" s="763"/>
      <c r="E338" s="763"/>
      <c r="F338" s="763"/>
      <c r="G338" s="763"/>
      <c r="H338" s="763"/>
      <c r="I338" s="763"/>
      <c r="J338" s="763"/>
      <c r="K338" s="763"/>
      <c r="L338" s="763"/>
      <c r="M338" s="763"/>
      <c r="N338" s="763"/>
      <c r="O338" s="763"/>
      <c r="P338" s="763"/>
      <c r="Q338" s="763"/>
      <c r="R338" s="763"/>
      <c r="S338" s="763"/>
      <c r="T338" s="763"/>
      <c r="U338" s="763"/>
      <c r="V338" s="763"/>
      <c r="W338" s="763"/>
      <c r="X338" s="763"/>
      <c r="Y338" s="763"/>
      <c r="Z338" s="763"/>
      <c r="AA338" s="763"/>
      <c r="AB338" s="763"/>
      <c r="AC338" s="763"/>
      <c r="AD338" s="763"/>
      <c r="AE338" s="763"/>
      <c r="AF338" s="763"/>
      <c r="AG338" s="763"/>
      <c r="AH338" s="763"/>
      <c r="AI338" s="763"/>
      <c r="AJ338" s="763"/>
      <c r="AK338" s="763"/>
      <c r="AL338" s="763"/>
      <c r="AM338" s="763"/>
      <c r="AN338" s="763"/>
      <c r="AO338" s="763"/>
      <c r="AP338" s="763"/>
      <c r="AQ338" s="763"/>
      <c r="AR338" s="763"/>
      <c r="AS338" s="763"/>
      <c r="AT338" s="763"/>
      <c r="AU338" s="763"/>
      <c r="AV338" s="763"/>
      <c r="AW338" s="763"/>
      <c r="AX338" s="763"/>
      <c r="AY338" s="763"/>
      <c r="AZ338" s="763"/>
      <c r="BA338" s="763"/>
      <c r="BB338" s="763"/>
      <c r="BC338" s="763"/>
      <c r="BD338" s="763"/>
      <c r="BE338" s="763"/>
    </row>
    <row r="339" spans="1:57">
      <c r="A339" s="763"/>
      <c r="B339" s="763"/>
      <c r="C339" s="763"/>
      <c r="D339" s="763"/>
      <c r="E339" s="763"/>
      <c r="F339" s="763"/>
      <c r="G339" s="763"/>
      <c r="H339" s="763"/>
      <c r="I339" s="763"/>
      <c r="J339" s="763"/>
      <c r="K339" s="763"/>
      <c r="L339" s="763"/>
      <c r="M339" s="763"/>
      <c r="N339" s="763"/>
      <c r="O339" s="763"/>
      <c r="P339" s="763"/>
      <c r="Q339" s="763"/>
      <c r="R339" s="763"/>
      <c r="S339" s="763"/>
      <c r="T339" s="763"/>
      <c r="U339" s="763"/>
      <c r="V339" s="763"/>
      <c r="W339" s="763"/>
      <c r="X339" s="763"/>
      <c r="Y339" s="763"/>
      <c r="Z339" s="763"/>
      <c r="AA339" s="763"/>
      <c r="AB339" s="763"/>
      <c r="AC339" s="763"/>
      <c r="AD339" s="763"/>
      <c r="AE339" s="763"/>
      <c r="AF339" s="763"/>
      <c r="AG339" s="763"/>
      <c r="AH339" s="763"/>
      <c r="AI339" s="763"/>
      <c r="AJ339" s="763"/>
      <c r="AK339" s="763"/>
      <c r="AL339" s="763"/>
      <c r="AM339" s="763"/>
      <c r="AN339" s="763"/>
      <c r="AO339" s="763"/>
      <c r="AP339" s="763"/>
      <c r="AQ339" s="763"/>
      <c r="AR339" s="763"/>
      <c r="AS339" s="763"/>
      <c r="AT339" s="763"/>
      <c r="AU339" s="763"/>
      <c r="AV339" s="763"/>
      <c r="AW339" s="763"/>
      <c r="AX339" s="763"/>
      <c r="AY339" s="763"/>
      <c r="AZ339" s="763"/>
      <c r="BA339" s="763"/>
      <c r="BB339" s="763"/>
      <c r="BC339" s="763"/>
      <c r="BD339" s="763"/>
      <c r="BE339" s="763"/>
    </row>
    <row r="340" spans="1:57">
      <c r="A340" s="763"/>
      <c r="B340" s="763"/>
      <c r="C340" s="763"/>
      <c r="D340" s="763"/>
      <c r="E340" s="763"/>
      <c r="F340" s="763"/>
      <c r="G340" s="763"/>
      <c r="H340" s="763"/>
      <c r="I340" s="763"/>
      <c r="J340" s="763"/>
      <c r="K340" s="763"/>
      <c r="L340" s="763"/>
      <c r="M340" s="763"/>
      <c r="N340" s="763"/>
      <c r="O340" s="763"/>
      <c r="P340" s="763"/>
      <c r="Q340" s="763"/>
      <c r="R340" s="763"/>
      <c r="S340" s="763"/>
      <c r="T340" s="763"/>
      <c r="U340" s="763"/>
      <c r="V340" s="763"/>
      <c r="W340" s="763"/>
      <c r="X340" s="763"/>
      <c r="Y340" s="763"/>
      <c r="Z340" s="763"/>
      <c r="AA340" s="763"/>
      <c r="AB340" s="763"/>
      <c r="AC340" s="763"/>
      <c r="AD340" s="763"/>
      <c r="AE340" s="763"/>
      <c r="AF340" s="763"/>
      <c r="AG340" s="763"/>
      <c r="AH340" s="763"/>
      <c r="AI340" s="763"/>
      <c r="AJ340" s="763"/>
      <c r="AK340" s="763"/>
      <c r="AL340" s="763"/>
      <c r="AM340" s="763"/>
      <c r="AN340" s="763"/>
      <c r="AO340" s="763"/>
      <c r="AP340" s="763"/>
      <c r="AQ340" s="763"/>
      <c r="AR340" s="763"/>
      <c r="AS340" s="763"/>
      <c r="AT340" s="763"/>
      <c r="AU340" s="763"/>
      <c r="AV340" s="763"/>
      <c r="AW340" s="763"/>
      <c r="AX340" s="763"/>
      <c r="AY340" s="763"/>
      <c r="AZ340" s="763"/>
      <c r="BA340" s="763"/>
      <c r="BB340" s="763"/>
      <c r="BC340" s="763"/>
      <c r="BD340" s="763"/>
      <c r="BE340" s="763"/>
    </row>
    <row r="341" spans="1:57">
      <c r="A341" s="763"/>
      <c r="B341" s="763"/>
      <c r="C341" s="763"/>
      <c r="D341" s="763"/>
      <c r="E341" s="763"/>
      <c r="F341" s="763"/>
      <c r="G341" s="763"/>
      <c r="H341" s="763"/>
      <c r="I341" s="763"/>
      <c r="J341" s="763"/>
      <c r="K341" s="763"/>
      <c r="L341" s="763"/>
      <c r="M341" s="763"/>
      <c r="N341" s="763"/>
      <c r="O341" s="763"/>
      <c r="P341" s="763"/>
      <c r="Q341" s="763"/>
      <c r="R341" s="763"/>
      <c r="S341" s="763"/>
      <c r="T341" s="763"/>
      <c r="U341" s="763"/>
      <c r="V341" s="763"/>
      <c r="W341" s="763"/>
      <c r="X341" s="763"/>
      <c r="Y341" s="763"/>
      <c r="Z341" s="763"/>
      <c r="AA341" s="763"/>
      <c r="AB341" s="763"/>
      <c r="AC341" s="763"/>
      <c r="AD341" s="763"/>
      <c r="AE341" s="763"/>
      <c r="AF341" s="763"/>
      <c r="AG341" s="763"/>
      <c r="AH341" s="763"/>
      <c r="AI341" s="763"/>
      <c r="AJ341" s="763"/>
      <c r="AK341" s="763"/>
      <c r="AL341" s="763"/>
      <c r="AM341" s="763"/>
      <c r="AN341" s="763"/>
      <c r="AO341" s="763"/>
      <c r="AP341" s="763"/>
      <c r="AQ341" s="763"/>
      <c r="AR341" s="763"/>
      <c r="AS341" s="763"/>
      <c r="AT341" s="763"/>
      <c r="AU341" s="763"/>
      <c r="AV341" s="763"/>
      <c r="AW341" s="763"/>
      <c r="AX341" s="763"/>
      <c r="AY341" s="763"/>
      <c r="AZ341" s="763"/>
      <c r="BA341" s="763"/>
      <c r="BB341" s="763"/>
      <c r="BC341" s="763"/>
      <c r="BD341" s="763"/>
      <c r="BE341" s="763"/>
    </row>
    <row r="342" spans="1:57">
      <c r="A342" s="763"/>
      <c r="B342" s="763"/>
      <c r="C342" s="763"/>
      <c r="D342" s="763"/>
      <c r="E342" s="763"/>
      <c r="F342" s="763"/>
      <c r="G342" s="763"/>
      <c r="H342" s="763"/>
      <c r="I342" s="763"/>
      <c r="J342" s="763"/>
      <c r="K342" s="763"/>
      <c r="L342" s="763"/>
      <c r="M342" s="763"/>
      <c r="N342" s="763"/>
      <c r="O342" s="763"/>
      <c r="P342" s="763"/>
      <c r="Q342" s="763"/>
      <c r="R342" s="763"/>
      <c r="S342" s="763"/>
      <c r="T342" s="763"/>
      <c r="U342" s="763"/>
      <c r="V342" s="763"/>
      <c r="W342" s="763"/>
      <c r="X342" s="763"/>
      <c r="Y342" s="763"/>
      <c r="Z342" s="763"/>
      <c r="AA342" s="763"/>
      <c r="AB342" s="763"/>
      <c r="AC342" s="763"/>
      <c r="AD342" s="763"/>
      <c r="AE342" s="763"/>
      <c r="AF342" s="763"/>
      <c r="AG342" s="763"/>
      <c r="AH342" s="763"/>
      <c r="AI342" s="763"/>
      <c r="AJ342" s="763"/>
      <c r="AK342" s="763"/>
      <c r="AL342" s="763"/>
      <c r="AM342" s="763"/>
      <c r="AN342" s="763"/>
      <c r="AO342" s="763"/>
      <c r="AP342" s="763"/>
      <c r="AQ342" s="763"/>
      <c r="AR342" s="763"/>
      <c r="AS342" s="763"/>
      <c r="AT342" s="763"/>
      <c r="AU342" s="763"/>
      <c r="AV342" s="763"/>
      <c r="AW342" s="763"/>
      <c r="AX342" s="763"/>
      <c r="AY342" s="763"/>
      <c r="AZ342" s="763"/>
      <c r="BA342" s="763"/>
      <c r="BB342" s="763"/>
      <c r="BC342" s="763"/>
      <c r="BD342" s="763"/>
      <c r="BE342" s="763"/>
    </row>
    <row r="343" spans="1:57">
      <c r="A343" s="763"/>
      <c r="B343" s="763"/>
      <c r="C343" s="763"/>
      <c r="D343" s="763"/>
      <c r="E343" s="763"/>
      <c r="F343" s="763"/>
      <c r="G343" s="763"/>
      <c r="H343" s="763"/>
      <c r="I343" s="763"/>
      <c r="J343" s="763"/>
      <c r="K343" s="763"/>
      <c r="L343" s="763"/>
      <c r="M343" s="763"/>
      <c r="N343" s="763"/>
      <c r="O343" s="763"/>
      <c r="P343" s="763"/>
      <c r="Q343" s="763"/>
      <c r="R343" s="763"/>
      <c r="S343" s="763"/>
      <c r="T343" s="763"/>
      <c r="U343" s="763"/>
      <c r="V343" s="763"/>
      <c r="W343" s="763"/>
      <c r="X343" s="763"/>
      <c r="Y343" s="763"/>
      <c r="Z343" s="763"/>
      <c r="AA343" s="763"/>
      <c r="AB343" s="763"/>
      <c r="AC343" s="763"/>
      <c r="AD343" s="763"/>
      <c r="AE343" s="763"/>
      <c r="AF343" s="763"/>
      <c r="AG343" s="763"/>
      <c r="AH343" s="763"/>
      <c r="AI343" s="763"/>
      <c r="AJ343" s="763"/>
      <c r="AK343" s="763"/>
      <c r="AL343" s="763"/>
      <c r="AM343" s="763"/>
      <c r="AN343" s="763"/>
      <c r="AO343" s="763"/>
      <c r="AP343" s="763"/>
      <c r="AQ343" s="763"/>
      <c r="AR343" s="763"/>
      <c r="AS343" s="763"/>
      <c r="AT343" s="763"/>
      <c r="AU343" s="763"/>
      <c r="AV343" s="763"/>
      <c r="AW343" s="763"/>
      <c r="AX343" s="763"/>
      <c r="AY343" s="763"/>
      <c r="AZ343" s="763"/>
      <c r="BA343" s="763"/>
      <c r="BB343" s="763"/>
      <c r="BC343" s="763"/>
      <c r="BD343" s="763"/>
      <c r="BE343" s="763"/>
    </row>
    <row r="344" spans="1:57">
      <c r="A344" s="763"/>
      <c r="B344" s="763"/>
      <c r="C344" s="763"/>
      <c r="D344" s="763"/>
      <c r="E344" s="763"/>
      <c r="F344" s="763"/>
      <c r="G344" s="763"/>
      <c r="H344" s="763"/>
      <c r="I344" s="763"/>
      <c r="J344" s="763"/>
      <c r="K344" s="763"/>
      <c r="L344" s="763"/>
      <c r="M344" s="763"/>
      <c r="N344" s="763"/>
      <c r="O344" s="763"/>
      <c r="P344" s="763"/>
      <c r="Q344" s="763"/>
      <c r="R344" s="763"/>
      <c r="S344" s="763"/>
      <c r="T344" s="763"/>
      <c r="U344" s="763"/>
      <c r="V344" s="763"/>
      <c r="W344" s="763"/>
      <c r="X344" s="763"/>
      <c r="Y344" s="763"/>
      <c r="Z344" s="763"/>
      <c r="AA344" s="763"/>
      <c r="AB344" s="763"/>
      <c r="AC344" s="763"/>
      <c r="AD344" s="763"/>
      <c r="AE344" s="763"/>
      <c r="AF344" s="763"/>
      <c r="AG344" s="763"/>
      <c r="AH344" s="763"/>
      <c r="AI344" s="763"/>
      <c r="AJ344" s="763"/>
      <c r="AK344" s="763"/>
      <c r="AL344" s="763"/>
      <c r="AM344" s="763"/>
      <c r="AN344" s="763"/>
      <c r="AO344" s="763"/>
      <c r="AP344" s="763"/>
      <c r="AQ344" s="763"/>
      <c r="AR344" s="763"/>
      <c r="AS344" s="763"/>
      <c r="AT344" s="763"/>
      <c r="AU344" s="763"/>
      <c r="AV344" s="763"/>
      <c r="AW344" s="763"/>
      <c r="AX344" s="763"/>
      <c r="AY344" s="763"/>
      <c r="AZ344" s="763"/>
      <c r="BA344" s="763"/>
      <c r="BB344" s="763"/>
      <c r="BC344" s="763"/>
      <c r="BD344" s="763"/>
      <c r="BE344" s="763"/>
    </row>
    <row r="345" spans="1:57">
      <c r="A345" s="763"/>
      <c r="B345" s="763"/>
      <c r="C345" s="763"/>
      <c r="D345" s="763"/>
      <c r="E345" s="763"/>
      <c r="F345" s="763"/>
      <c r="G345" s="763"/>
      <c r="H345" s="763"/>
      <c r="I345" s="763"/>
      <c r="J345" s="763"/>
      <c r="K345" s="763"/>
      <c r="L345" s="763"/>
      <c r="M345" s="763"/>
      <c r="N345" s="763"/>
      <c r="O345" s="763"/>
      <c r="P345" s="763"/>
      <c r="Q345" s="763"/>
      <c r="R345" s="763"/>
      <c r="S345" s="763"/>
      <c r="T345" s="763"/>
      <c r="U345" s="763"/>
      <c r="V345" s="763"/>
      <c r="W345" s="763"/>
      <c r="X345" s="763"/>
      <c r="Y345" s="763"/>
      <c r="Z345" s="763"/>
      <c r="AA345" s="763"/>
      <c r="AB345" s="763"/>
      <c r="AC345" s="763"/>
      <c r="AD345" s="763"/>
      <c r="AE345" s="763"/>
      <c r="AF345" s="763"/>
      <c r="AG345" s="763"/>
      <c r="AH345" s="763"/>
      <c r="AI345" s="763"/>
      <c r="AJ345" s="763"/>
      <c r="AK345" s="763"/>
      <c r="AL345" s="763"/>
      <c r="AM345" s="763"/>
      <c r="AN345" s="763"/>
      <c r="AO345" s="763"/>
      <c r="AP345" s="763"/>
      <c r="AQ345" s="763"/>
      <c r="AR345" s="763"/>
      <c r="AS345" s="763"/>
      <c r="AT345" s="763"/>
      <c r="AU345" s="763"/>
      <c r="AV345" s="763"/>
      <c r="AW345" s="763"/>
      <c r="AX345" s="763"/>
      <c r="AY345" s="763"/>
      <c r="AZ345" s="763"/>
      <c r="BA345" s="763"/>
      <c r="BB345" s="763"/>
      <c r="BC345" s="763"/>
      <c r="BD345" s="763"/>
      <c r="BE345" s="763"/>
    </row>
    <row r="346" spans="1:57">
      <c r="A346" s="763"/>
      <c r="B346" s="763"/>
      <c r="C346" s="763"/>
      <c r="D346" s="763"/>
      <c r="E346" s="763"/>
      <c r="F346" s="763"/>
      <c r="G346" s="763"/>
      <c r="H346" s="763"/>
      <c r="I346" s="763"/>
      <c r="J346" s="763"/>
      <c r="K346" s="763"/>
      <c r="L346" s="763"/>
      <c r="M346" s="763"/>
      <c r="N346" s="763"/>
      <c r="O346" s="763"/>
      <c r="P346" s="763"/>
      <c r="Q346" s="763"/>
      <c r="R346" s="763"/>
      <c r="S346" s="763"/>
      <c r="T346" s="763"/>
      <c r="U346" s="763"/>
      <c r="V346" s="763"/>
      <c r="W346" s="763"/>
      <c r="X346" s="763"/>
      <c r="Y346" s="763"/>
      <c r="Z346" s="763"/>
      <c r="AA346" s="763"/>
      <c r="AB346" s="763"/>
      <c r="AC346" s="763"/>
      <c r="AD346" s="763"/>
      <c r="AE346" s="763"/>
      <c r="AF346" s="763"/>
      <c r="AG346" s="763"/>
      <c r="AH346" s="763"/>
      <c r="AI346" s="763"/>
      <c r="AJ346" s="763"/>
      <c r="AK346" s="763"/>
      <c r="AL346" s="763"/>
      <c r="AM346" s="763"/>
      <c r="AN346" s="763"/>
      <c r="AO346" s="763"/>
      <c r="AP346" s="763"/>
      <c r="AQ346" s="763"/>
      <c r="AR346" s="763"/>
      <c r="AS346" s="763"/>
      <c r="AT346" s="763"/>
      <c r="AU346" s="763"/>
      <c r="AV346" s="763"/>
      <c r="AW346" s="763"/>
      <c r="AX346" s="763"/>
      <c r="AY346" s="763"/>
      <c r="AZ346" s="763"/>
      <c r="BA346" s="763"/>
      <c r="BB346" s="763"/>
      <c r="BC346" s="763"/>
      <c r="BD346" s="763"/>
      <c r="BE346" s="763"/>
    </row>
    <row r="347" spans="1:57">
      <c r="A347" s="763"/>
      <c r="B347" s="763"/>
      <c r="C347" s="763"/>
      <c r="D347" s="763"/>
      <c r="E347" s="763"/>
      <c r="F347" s="763"/>
      <c r="G347" s="763"/>
      <c r="H347" s="763"/>
      <c r="I347" s="763"/>
      <c r="J347" s="763"/>
      <c r="K347" s="763"/>
      <c r="L347" s="763"/>
      <c r="M347" s="763"/>
      <c r="N347" s="763"/>
      <c r="O347" s="763"/>
      <c r="P347" s="763"/>
      <c r="Q347" s="763"/>
      <c r="R347" s="763"/>
      <c r="S347" s="763"/>
      <c r="T347" s="763"/>
      <c r="U347" s="763"/>
      <c r="V347" s="763"/>
      <c r="W347" s="763"/>
      <c r="X347" s="763"/>
      <c r="Y347" s="763"/>
      <c r="Z347" s="763"/>
      <c r="AA347" s="763"/>
      <c r="AB347" s="763"/>
      <c r="AC347" s="763"/>
      <c r="AD347" s="763"/>
      <c r="AE347" s="763"/>
      <c r="AF347" s="763"/>
      <c r="AG347" s="763"/>
      <c r="AH347" s="763"/>
      <c r="AI347" s="763"/>
      <c r="AJ347" s="763"/>
      <c r="AK347" s="763"/>
      <c r="AL347" s="763"/>
      <c r="AM347" s="763"/>
      <c r="AN347" s="763"/>
      <c r="AO347" s="763"/>
      <c r="AP347" s="763"/>
      <c r="AQ347" s="763"/>
      <c r="AR347" s="763"/>
      <c r="AS347" s="763"/>
      <c r="AT347" s="763"/>
      <c r="AU347" s="763"/>
      <c r="AV347" s="763"/>
      <c r="AW347" s="763"/>
      <c r="AX347" s="763"/>
      <c r="AY347" s="763"/>
      <c r="AZ347" s="763"/>
      <c r="BA347" s="763"/>
      <c r="BB347" s="763"/>
      <c r="BC347" s="763"/>
      <c r="BD347" s="763"/>
      <c r="BE347" s="763"/>
    </row>
    <row r="348" spans="1:57">
      <c r="A348" s="763"/>
      <c r="B348" s="763"/>
      <c r="C348" s="763"/>
      <c r="D348" s="763"/>
      <c r="E348" s="763"/>
      <c r="F348" s="763"/>
      <c r="G348" s="763"/>
      <c r="H348" s="763"/>
      <c r="I348" s="763"/>
      <c r="J348" s="763"/>
      <c r="K348" s="763"/>
      <c r="L348" s="763"/>
      <c r="M348" s="763"/>
      <c r="N348" s="763"/>
      <c r="O348" s="763"/>
      <c r="P348" s="763"/>
      <c r="Q348" s="763"/>
      <c r="R348" s="763"/>
      <c r="S348" s="763"/>
      <c r="T348" s="763"/>
      <c r="U348" s="763"/>
      <c r="V348" s="763"/>
      <c r="W348" s="763"/>
      <c r="X348" s="763"/>
      <c r="Y348" s="763"/>
      <c r="Z348" s="763"/>
      <c r="AA348" s="763"/>
      <c r="AB348" s="763"/>
      <c r="AC348" s="763"/>
      <c r="AD348" s="763"/>
      <c r="AE348" s="763"/>
      <c r="AF348" s="763"/>
      <c r="AG348" s="763"/>
      <c r="AH348" s="763"/>
      <c r="AI348" s="763"/>
      <c r="AJ348" s="763"/>
      <c r="AK348" s="763"/>
      <c r="AL348" s="763"/>
      <c r="AM348" s="763"/>
      <c r="AN348" s="763"/>
      <c r="AO348" s="763"/>
      <c r="AP348" s="763"/>
      <c r="AQ348" s="763"/>
      <c r="AR348" s="763"/>
      <c r="AS348" s="763"/>
      <c r="AT348" s="763"/>
      <c r="AU348" s="763"/>
      <c r="AV348" s="763"/>
      <c r="AW348" s="763"/>
      <c r="AX348" s="763"/>
      <c r="AY348" s="763"/>
      <c r="AZ348" s="763"/>
      <c r="BA348" s="763"/>
      <c r="BB348" s="763"/>
      <c r="BC348" s="763"/>
      <c r="BD348" s="763"/>
      <c r="BE348" s="763"/>
    </row>
    <row r="349" spans="1:57">
      <c r="A349" s="763"/>
      <c r="B349" s="763"/>
      <c r="C349" s="763"/>
      <c r="D349" s="763"/>
      <c r="E349" s="763"/>
      <c r="F349" s="763"/>
      <c r="G349" s="763"/>
      <c r="H349" s="763"/>
      <c r="I349" s="763"/>
      <c r="J349" s="763"/>
      <c r="K349" s="763"/>
      <c r="L349" s="763"/>
      <c r="M349" s="763"/>
      <c r="N349" s="763"/>
      <c r="O349" s="763"/>
      <c r="P349" s="763"/>
      <c r="Q349" s="763"/>
      <c r="R349" s="763"/>
      <c r="S349" s="763"/>
      <c r="T349" s="763"/>
      <c r="U349" s="763"/>
      <c r="V349" s="763"/>
      <c r="W349" s="763"/>
      <c r="X349" s="763"/>
      <c r="Y349" s="763"/>
      <c r="Z349" s="763"/>
      <c r="AA349" s="763"/>
      <c r="AB349" s="763"/>
      <c r="AC349" s="763"/>
      <c r="AD349" s="763"/>
      <c r="AE349" s="763"/>
      <c r="AF349" s="763"/>
      <c r="AG349" s="763"/>
      <c r="AH349" s="763"/>
      <c r="AI349" s="763"/>
      <c r="AJ349" s="763"/>
      <c r="AK349" s="763"/>
      <c r="AL349" s="763"/>
      <c r="AM349" s="763"/>
      <c r="AN349" s="763"/>
      <c r="AO349" s="763"/>
      <c r="AP349" s="763"/>
      <c r="AQ349" s="763"/>
      <c r="AR349" s="763"/>
      <c r="AS349" s="763"/>
      <c r="AT349" s="763"/>
      <c r="AU349" s="763"/>
      <c r="AV349" s="763"/>
      <c r="AW349" s="763"/>
      <c r="AX349" s="763"/>
      <c r="AY349" s="763"/>
      <c r="AZ349" s="763"/>
      <c r="BA349" s="763"/>
      <c r="BB349" s="763"/>
      <c r="BC349" s="763"/>
      <c r="BD349" s="763"/>
      <c r="BE349" s="763"/>
    </row>
    <row r="350" spans="1:57">
      <c r="A350" s="763"/>
      <c r="B350" s="763"/>
      <c r="C350" s="763"/>
      <c r="D350" s="763"/>
      <c r="E350" s="763"/>
      <c r="F350" s="763"/>
      <c r="G350" s="763"/>
      <c r="H350" s="763"/>
      <c r="I350" s="763"/>
      <c r="J350" s="763"/>
      <c r="K350" s="763"/>
      <c r="L350" s="763"/>
      <c r="M350" s="763"/>
      <c r="N350" s="763"/>
      <c r="O350" s="763"/>
      <c r="P350" s="763"/>
      <c r="Q350" s="763"/>
      <c r="R350" s="763"/>
      <c r="S350" s="763"/>
      <c r="T350" s="763"/>
      <c r="U350" s="763"/>
      <c r="V350" s="763"/>
      <c r="W350" s="763"/>
      <c r="X350" s="763"/>
      <c r="Y350" s="763"/>
      <c r="Z350" s="763"/>
      <c r="AA350" s="763"/>
      <c r="AB350" s="763"/>
      <c r="AC350" s="763"/>
      <c r="AD350" s="763"/>
      <c r="AE350" s="763"/>
      <c r="AF350" s="763"/>
      <c r="AG350" s="763"/>
      <c r="AH350" s="763"/>
      <c r="AI350" s="763"/>
      <c r="AJ350" s="763"/>
      <c r="AK350" s="763"/>
      <c r="AL350" s="763"/>
      <c r="AM350" s="763"/>
      <c r="AN350" s="763"/>
      <c r="AO350" s="763"/>
      <c r="AP350" s="763"/>
      <c r="AQ350" s="763"/>
      <c r="AR350" s="763"/>
      <c r="AS350" s="763"/>
      <c r="AT350" s="763"/>
      <c r="AU350" s="763"/>
      <c r="AV350" s="763"/>
      <c r="AW350" s="763"/>
      <c r="AX350" s="763"/>
      <c r="AY350" s="763"/>
      <c r="AZ350" s="763"/>
      <c r="BA350" s="763"/>
      <c r="BB350" s="763"/>
      <c r="BC350" s="763"/>
      <c r="BD350" s="763"/>
      <c r="BE350" s="763"/>
    </row>
    <row r="351" spans="1:57">
      <c r="A351" s="763"/>
      <c r="B351" s="763"/>
      <c r="C351" s="763"/>
      <c r="D351" s="763"/>
      <c r="E351" s="763"/>
      <c r="F351" s="763"/>
      <c r="G351" s="763"/>
      <c r="H351" s="763"/>
      <c r="I351" s="763"/>
      <c r="J351" s="763"/>
      <c r="K351" s="763"/>
      <c r="L351" s="763"/>
      <c r="M351" s="763"/>
      <c r="N351" s="763"/>
      <c r="O351" s="763"/>
      <c r="P351" s="763"/>
      <c r="Q351" s="763"/>
      <c r="R351" s="763"/>
      <c r="S351" s="763"/>
      <c r="T351" s="763"/>
      <c r="U351" s="763"/>
      <c r="V351" s="763"/>
      <c r="W351" s="763"/>
      <c r="X351" s="763"/>
      <c r="Y351" s="763"/>
      <c r="Z351" s="763"/>
      <c r="AA351" s="763"/>
      <c r="AB351" s="763"/>
      <c r="AC351" s="763"/>
      <c r="AD351" s="763"/>
      <c r="AE351" s="763"/>
      <c r="AF351" s="763"/>
      <c r="AG351" s="763"/>
      <c r="AH351" s="763"/>
      <c r="AI351" s="763"/>
      <c r="AJ351" s="763"/>
      <c r="AK351" s="763"/>
      <c r="AL351" s="763"/>
      <c r="AM351" s="763"/>
      <c r="AN351" s="763"/>
      <c r="AO351" s="763"/>
      <c r="AP351" s="763"/>
      <c r="AQ351" s="763"/>
      <c r="AR351" s="763"/>
      <c r="AS351" s="763"/>
      <c r="AT351" s="763"/>
      <c r="AU351" s="763"/>
      <c r="AV351" s="763"/>
      <c r="AW351" s="763"/>
      <c r="AX351" s="763"/>
      <c r="AY351" s="763"/>
      <c r="AZ351" s="763"/>
      <c r="BA351" s="763"/>
      <c r="BB351" s="763"/>
      <c r="BC351" s="763"/>
      <c r="BD351" s="763"/>
      <c r="BE351" s="763"/>
    </row>
    <row r="352" spans="1:57">
      <c r="A352" s="763"/>
      <c r="B352" s="763"/>
      <c r="C352" s="763"/>
      <c r="D352" s="763"/>
      <c r="E352" s="763"/>
      <c r="F352" s="763"/>
      <c r="G352" s="763"/>
      <c r="H352" s="763"/>
      <c r="I352" s="763"/>
      <c r="J352" s="763"/>
      <c r="K352" s="763"/>
      <c r="L352" s="763"/>
      <c r="M352" s="763"/>
      <c r="N352" s="763"/>
      <c r="O352" s="763"/>
      <c r="P352" s="763"/>
      <c r="Q352" s="763"/>
      <c r="R352" s="763"/>
      <c r="S352" s="763"/>
      <c r="T352" s="763"/>
      <c r="U352" s="763"/>
      <c r="V352" s="763"/>
      <c r="W352" s="763"/>
      <c r="X352" s="763"/>
      <c r="Y352" s="763"/>
      <c r="Z352" s="763"/>
      <c r="AA352" s="763"/>
      <c r="AB352" s="763"/>
      <c r="AC352" s="763"/>
      <c r="AD352" s="763"/>
      <c r="AE352" s="763"/>
      <c r="AF352" s="763"/>
      <c r="AG352" s="763"/>
      <c r="AH352" s="763"/>
      <c r="AI352" s="763"/>
      <c r="AJ352" s="763"/>
      <c r="AK352" s="763"/>
      <c r="AL352" s="763"/>
      <c r="AM352" s="763"/>
      <c r="AN352" s="763"/>
      <c r="AO352" s="763"/>
      <c r="AP352" s="763"/>
      <c r="AQ352" s="763"/>
      <c r="AR352" s="763"/>
      <c r="AS352" s="763"/>
      <c r="AT352" s="763"/>
      <c r="AU352" s="763"/>
      <c r="AV352" s="763"/>
      <c r="AW352" s="763"/>
      <c r="AX352" s="763"/>
      <c r="AY352" s="763"/>
      <c r="AZ352" s="763"/>
      <c r="BA352" s="763"/>
      <c r="BB352" s="763"/>
      <c r="BC352" s="763"/>
      <c r="BD352" s="763"/>
      <c r="BE352" s="763"/>
    </row>
    <row r="353" spans="1:57">
      <c r="A353" s="763"/>
      <c r="B353" s="763"/>
      <c r="C353" s="763"/>
      <c r="D353" s="763"/>
      <c r="E353" s="763"/>
      <c r="F353" s="763"/>
      <c r="G353" s="763"/>
      <c r="H353" s="763"/>
      <c r="I353" s="763"/>
      <c r="J353" s="763"/>
      <c r="K353" s="763"/>
      <c r="L353" s="763"/>
      <c r="M353" s="763"/>
      <c r="N353" s="763"/>
      <c r="O353" s="763"/>
      <c r="P353" s="763"/>
      <c r="Q353" s="763"/>
      <c r="R353" s="763"/>
      <c r="S353" s="763"/>
      <c r="T353" s="763"/>
      <c r="U353" s="763"/>
      <c r="V353" s="763"/>
      <c r="W353" s="763"/>
      <c r="X353" s="763"/>
      <c r="Y353" s="763"/>
      <c r="Z353" s="763"/>
      <c r="AA353" s="763"/>
      <c r="AB353" s="763"/>
      <c r="AC353" s="763"/>
      <c r="AD353" s="763"/>
      <c r="AE353" s="763"/>
      <c r="AF353" s="763"/>
      <c r="AG353" s="763"/>
      <c r="AH353" s="763"/>
      <c r="AI353" s="763"/>
      <c r="AJ353" s="763"/>
      <c r="AK353" s="763"/>
      <c r="AL353" s="763"/>
      <c r="AM353" s="763"/>
      <c r="AN353" s="763"/>
      <c r="AO353" s="763"/>
      <c r="AP353" s="763"/>
      <c r="AQ353" s="763"/>
      <c r="AR353" s="763"/>
      <c r="AS353" s="763"/>
      <c r="AT353" s="763"/>
      <c r="AU353" s="763"/>
      <c r="AV353" s="763"/>
      <c r="AW353" s="763"/>
      <c r="AX353" s="763"/>
      <c r="AY353" s="763"/>
      <c r="AZ353" s="763"/>
      <c r="BA353" s="763"/>
      <c r="BB353" s="763"/>
      <c r="BC353" s="763"/>
      <c r="BD353" s="763"/>
      <c r="BE353" s="763"/>
    </row>
    <row r="354" spans="1:57">
      <c r="A354" s="763"/>
      <c r="B354" s="763"/>
      <c r="C354" s="763"/>
      <c r="D354" s="763"/>
      <c r="E354" s="763"/>
      <c r="F354" s="763"/>
      <c r="G354" s="763"/>
      <c r="H354" s="763"/>
      <c r="I354" s="763"/>
      <c r="J354" s="763"/>
      <c r="K354" s="763"/>
      <c r="L354" s="763"/>
      <c r="M354" s="763"/>
      <c r="N354" s="763"/>
      <c r="O354" s="763"/>
      <c r="P354" s="763"/>
      <c r="Q354" s="763"/>
      <c r="R354" s="763"/>
      <c r="S354" s="763"/>
      <c r="T354" s="763"/>
      <c r="U354" s="763"/>
      <c r="V354" s="763"/>
      <c r="W354" s="763"/>
      <c r="X354" s="763"/>
      <c r="Y354" s="763"/>
      <c r="Z354" s="763"/>
      <c r="AA354" s="763"/>
      <c r="AB354" s="763"/>
      <c r="AC354" s="763"/>
      <c r="AD354" s="763"/>
      <c r="AE354" s="763"/>
      <c r="AF354" s="763"/>
      <c r="AG354" s="763"/>
      <c r="AH354" s="763"/>
      <c r="AI354" s="763"/>
      <c r="AJ354" s="763"/>
      <c r="AK354" s="763"/>
      <c r="AL354" s="763"/>
      <c r="AM354" s="763"/>
      <c r="AN354" s="763"/>
      <c r="AO354" s="763"/>
      <c r="AP354" s="763"/>
      <c r="AQ354" s="763"/>
      <c r="AR354" s="763"/>
      <c r="AS354" s="763"/>
      <c r="AT354" s="763"/>
      <c r="AU354" s="763"/>
      <c r="AV354" s="763"/>
      <c r="AW354" s="763"/>
      <c r="AX354" s="763"/>
      <c r="AY354" s="763"/>
      <c r="AZ354" s="763"/>
      <c r="BA354" s="763"/>
      <c r="BB354" s="763"/>
      <c r="BC354" s="763"/>
      <c r="BD354" s="763"/>
      <c r="BE354" s="763"/>
    </row>
    <row r="355" spans="1:57">
      <c r="A355" s="763"/>
      <c r="B355" s="763"/>
      <c r="C355" s="763"/>
      <c r="D355" s="763"/>
      <c r="E355" s="763"/>
      <c r="F355" s="763"/>
      <c r="G355" s="763"/>
      <c r="H355" s="763"/>
      <c r="I355" s="763"/>
      <c r="J355" s="763"/>
      <c r="K355" s="763"/>
      <c r="L355" s="763"/>
      <c r="M355" s="763"/>
      <c r="N355" s="763"/>
      <c r="O355" s="763"/>
      <c r="P355" s="763"/>
      <c r="Q355" s="763"/>
      <c r="R355" s="763"/>
      <c r="S355" s="763"/>
      <c r="T355" s="763"/>
      <c r="U355" s="763"/>
      <c r="V355" s="763"/>
      <c r="W355" s="763"/>
      <c r="X355" s="763"/>
      <c r="Y355" s="763"/>
      <c r="Z355" s="763"/>
      <c r="AA355" s="763"/>
      <c r="AB355" s="763"/>
      <c r="AC355" s="763"/>
      <c r="AD355" s="763"/>
      <c r="AE355" s="763"/>
      <c r="AF355" s="763"/>
      <c r="AG355" s="763"/>
      <c r="AH355" s="763"/>
      <c r="AI355" s="763"/>
      <c r="AJ355" s="763"/>
      <c r="AK355" s="763"/>
      <c r="AL355" s="763"/>
      <c r="AM355" s="763"/>
      <c r="AN355" s="763"/>
      <c r="AO355" s="763"/>
      <c r="AP355" s="763"/>
      <c r="AQ355" s="763"/>
      <c r="AR355" s="763"/>
      <c r="AS355" s="763"/>
      <c r="AT355" s="763"/>
      <c r="AU355" s="763"/>
      <c r="AV355" s="763"/>
      <c r="AW355" s="763"/>
      <c r="AX355" s="763"/>
      <c r="AY355" s="763"/>
      <c r="AZ355" s="763"/>
      <c r="BA355" s="763"/>
      <c r="BB355" s="763"/>
      <c r="BC355" s="763"/>
      <c r="BD355" s="763"/>
      <c r="BE355" s="763"/>
    </row>
    <row r="356" spans="1:57">
      <c r="A356" s="763"/>
      <c r="B356" s="763"/>
      <c r="C356" s="763"/>
      <c r="D356" s="763"/>
      <c r="E356" s="763"/>
      <c r="F356" s="763"/>
      <c r="G356" s="763"/>
      <c r="H356" s="763"/>
      <c r="I356" s="763"/>
      <c r="J356" s="763"/>
      <c r="K356" s="763"/>
      <c r="L356" s="763"/>
      <c r="M356" s="763"/>
      <c r="N356" s="763"/>
      <c r="O356" s="763"/>
      <c r="P356" s="763"/>
      <c r="Q356" s="763"/>
      <c r="R356" s="763"/>
      <c r="S356" s="763"/>
      <c r="T356" s="763"/>
      <c r="U356" s="763"/>
      <c r="V356" s="763"/>
      <c r="W356" s="763"/>
      <c r="X356" s="763"/>
      <c r="Y356" s="763"/>
      <c r="Z356" s="763"/>
      <c r="AA356" s="763"/>
      <c r="AB356" s="763"/>
      <c r="AC356" s="763"/>
      <c r="AD356" s="763"/>
      <c r="AE356" s="763"/>
      <c r="AF356" s="763"/>
      <c r="AG356" s="763"/>
      <c r="AH356" s="763"/>
      <c r="AI356" s="763"/>
      <c r="AJ356" s="763"/>
      <c r="AK356" s="763"/>
      <c r="AL356" s="763"/>
      <c r="AM356" s="763"/>
      <c r="AN356" s="763"/>
      <c r="AO356" s="763"/>
      <c r="AP356" s="763"/>
      <c r="AQ356" s="763"/>
      <c r="AR356" s="763"/>
      <c r="AS356" s="763"/>
      <c r="AT356" s="763"/>
      <c r="AU356" s="763"/>
      <c r="AV356" s="763"/>
      <c r="AW356" s="763"/>
      <c r="AX356" s="763"/>
      <c r="AY356" s="763"/>
      <c r="AZ356" s="763"/>
      <c r="BA356" s="763"/>
      <c r="BB356" s="763"/>
      <c r="BC356" s="763"/>
      <c r="BD356" s="763"/>
      <c r="BE356" s="763"/>
    </row>
    <row r="357" spans="1:57">
      <c r="A357" s="763"/>
      <c r="B357" s="763"/>
      <c r="C357" s="763"/>
      <c r="D357" s="763"/>
      <c r="E357" s="763"/>
      <c r="F357" s="763"/>
      <c r="G357" s="763"/>
      <c r="H357" s="763"/>
      <c r="I357" s="763"/>
      <c r="J357" s="763"/>
      <c r="K357" s="763"/>
      <c r="L357" s="763"/>
      <c r="M357" s="763"/>
      <c r="N357" s="763"/>
      <c r="O357" s="763"/>
      <c r="P357" s="763"/>
      <c r="Q357" s="763"/>
      <c r="R357" s="763"/>
      <c r="S357" s="763"/>
      <c r="T357" s="763"/>
      <c r="U357" s="763"/>
      <c r="V357" s="763"/>
      <c r="W357" s="763"/>
      <c r="X357" s="763"/>
      <c r="Y357" s="763"/>
      <c r="Z357" s="763"/>
      <c r="AA357" s="763"/>
      <c r="AB357" s="763"/>
      <c r="AC357" s="763"/>
      <c r="AD357" s="763"/>
      <c r="AE357" s="763"/>
      <c r="AF357" s="763"/>
      <c r="AG357" s="763"/>
      <c r="AH357" s="763"/>
      <c r="AI357" s="763"/>
      <c r="AJ357" s="763"/>
      <c r="AK357" s="763"/>
      <c r="AL357" s="763"/>
      <c r="AM357" s="763"/>
      <c r="AN357" s="763"/>
      <c r="AO357" s="763"/>
      <c r="AP357" s="763"/>
      <c r="AQ357" s="763"/>
      <c r="AR357" s="763"/>
      <c r="AS357" s="763"/>
      <c r="AT357" s="763"/>
      <c r="AU357" s="763"/>
      <c r="AV357" s="763"/>
      <c r="AW357" s="763"/>
      <c r="AX357" s="763"/>
      <c r="AY357" s="763"/>
      <c r="AZ357" s="763"/>
      <c r="BA357" s="763"/>
      <c r="BB357" s="763"/>
      <c r="BC357" s="763"/>
      <c r="BD357" s="763"/>
      <c r="BE357" s="763"/>
    </row>
    <row r="358" spans="1:57">
      <c r="A358" s="763"/>
      <c r="B358" s="763"/>
      <c r="C358" s="763"/>
      <c r="D358" s="763"/>
      <c r="E358" s="763"/>
      <c r="F358" s="763"/>
      <c r="G358" s="763"/>
      <c r="H358" s="763"/>
      <c r="I358" s="763"/>
      <c r="J358" s="763"/>
      <c r="K358" s="763"/>
      <c r="L358" s="763"/>
      <c r="M358" s="763"/>
      <c r="N358" s="763"/>
      <c r="O358" s="763"/>
      <c r="P358" s="763"/>
      <c r="Q358" s="763"/>
      <c r="R358" s="763"/>
      <c r="S358" s="763"/>
      <c r="T358" s="763"/>
      <c r="U358" s="763"/>
      <c r="V358" s="763"/>
      <c r="W358" s="763"/>
      <c r="X358" s="763"/>
      <c r="Y358" s="763"/>
      <c r="Z358" s="763"/>
      <c r="AA358" s="763"/>
      <c r="AB358" s="763"/>
      <c r="AC358" s="763"/>
      <c r="AD358" s="763"/>
      <c r="AE358" s="763"/>
      <c r="AF358" s="763"/>
      <c r="AG358" s="763"/>
      <c r="AH358" s="763"/>
      <c r="AI358" s="763"/>
      <c r="AJ358" s="763"/>
      <c r="AK358" s="763"/>
      <c r="AL358" s="763"/>
      <c r="AM358" s="763"/>
      <c r="AN358" s="763"/>
      <c r="AO358" s="763"/>
      <c r="AP358" s="763"/>
      <c r="AQ358" s="763"/>
      <c r="AR358" s="763"/>
      <c r="AS358" s="763"/>
      <c r="AT358" s="763"/>
      <c r="AU358" s="763"/>
      <c r="AV358" s="763"/>
      <c r="AW358" s="763"/>
      <c r="AX358" s="763"/>
      <c r="AY358" s="763"/>
      <c r="AZ358" s="763"/>
      <c r="BA358" s="763"/>
      <c r="BB358" s="763"/>
      <c r="BC358" s="763"/>
      <c r="BD358" s="763"/>
      <c r="BE358" s="763"/>
    </row>
    <row r="359" spans="1:57">
      <c r="A359" s="763"/>
      <c r="B359" s="763"/>
      <c r="C359" s="763"/>
      <c r="D359" s="763"/>
      <c r="E359" s="763"/>
      <c r="F359" s="763"/>
      <c r="G359" s="763"/>
      <c r="H359" s="763"/>
      <c r="I359" s="763"/>
      <c r="J359" s="763"/>
      <c r="K359" s="763"/>
      <c r="L359" s="763"/>
      <c r="M359" s="763"/>
      <c r="N359" s="763"/>
      <c r="O359" s="763"/>
      <c r="P359" s="763"/>
      <c r="Q359" s="763"/>
      <c r="R359" s="763"/>
      <c r="S359" s="763"/>
      <c r="T359" s="763"/>
      <c r="U359" s="763"/>
      <c r="V359" s="763"/>
      <c r="W359" s="763"/>
      <c r="X359" s="763"/>
      <c r="Y359" s="763"/>
      <c r="Z359" s="763"/>
      <c r="AA359" s="763"/>
      <c r="AB359" s="763"/>
      <c r="AC359" s="763"/>
      <c r="AD359" s="763"/>
      <c r="AE359" s="763"/>
      <c r="AF359" s="763"/>
      <c r="AG359" s="763"/>
      <c r="AH359" s="763"/>
      <c r="AI359" s="763"/>
      <c r="AJ359" s="763"/>
      <c r="AK359" s="763"/>
      <c r="AL359" s="763"/>
      <c r="AM359" s="763"/>
      <c r="AN359" s="763"/>
      <c r="AO359" s="763"/>
      <c r="AP359" s="763"/>
      <c r="AQ359" s="763"/>
      <c r="AR359" s="763"/>
      <c r="AS359" s="763"/>
      <c r="AT359" s="763"/>
      <c r="AU359" s="763"/>
      <c r="AV359" s="763"/>
      <c r="AW359" s="763"/>
      <c r="AX359" s="763"/>
      <c r="AY359" s="763"/>
      <c r="AZ359" s="763"/>
      <c r="BA359" s="763"/>
      <c r="BB359" s="763"/>
      <c r="BC359" s="763"/>
      <c r="BD359" s="763"/>
      <c r="BE359" s="763"/>
    </row>
    <row r="360" spans="1:57">
      <c r="A360" s="763"/>
      <c r="B360" s="763"/>
      <c r="C360" s="763"/>
      <c r="D360" s="763"/>
      <c r="E360" s="763"/>
      <c r="F360" s="763"/>
      <c r="G360" s="763"/>
      <c r="H360" s="763"/>
      <c r="I360" s="763"/>
      <c r="J360" s="763"/>
      <c r="K360" s="763"/>
      <c r="L360" s="763"/>
      <c r="M360" s="763"/>
      <c r="N360" s="763"/>
      <c r="O360" s="763"/>
      <c r="P360" s="763"/>
      <c r="Q360" s="763"/>
      <c r="R360" s="763"/>
      <c r="S360" s="763"/>
      <c r="T360" s="763"/>
      <c r="U360" s="763"/>
      <c r="V360" s="763"/>
      <c r="W360" s="763"/>
      <c r="X360" s="763"/>
      <c r="Y360" s="763"/>
      <c r="Z360" s="763"/>
      <c r="AA360" s="763"/>
      <c r="AB360" s="763"/>
      <c r="AC360" s="763"/>
      <c r="AD360" s="763"/>
      <c r="AE360" s="763"/>
      <c r="AF360" s="763"/>
      <c r="AG360" s="763"/>
      <c r="AH360" s="763"/>
      <c r="AI360" s="763"/>
      <c r="AJ360" s="763"/>
      <c r="AK360" s="763"/>
      <c r="AL360" s="763"/>
      <c r="AM360" s="763"/>
      <c r="AN360" s="763"/>
      <c r="AO360" s="763"/>
      <c r="AP360" s="763"/>
      <c r="AQ360" s="763"/>
      <c r="AR360" s="763"/>
      <c r="AS360" s="763"/>
      <c r="AT360" s="763"/>
      <c r="AU360" s="763"/>
      <c r="AV360" s="763"/>
      <c r="AW360" s="763"/>
      <c r="AX360" s="763"/>
      <c r="AY360" s="763"/>
      <c r="AZ360" s="763"/>
      <c r="BA360" s="763"/>
      <c r="BB360" s="763"/>
      <c r="BC360" s="763"/>
      <c r="BD360" s="763"/>
      <c r="BE360" s="763"/>
    </row>
    <row r="361" spans="1:57">
      <c r="A361" s="763"/>
      <c r="B361" s="763"/>
      <c r="C361" s="763"/>
      <c r="D361" s="763"/>
      <c r="E361" s="763"/>
      <c r="F361" s="763"/>
      <c r="G361" s="763"/>
      <c r="H361" s="763"/>
      <c r="I361" s="763"/>
      <c r="J361" s="763"/>
      <c r="K361" s="763"/>
      <c r="L361" s="763"/>
      <c r="M361" s="763"/>
      <c r="N361" s="763"/>
      <c r="O361" s="763"/>
      <c r="P361" s="763"/>
      <c r="Q361" s="763"/>
      <c r="R361" s="763"/>
      <c r="S361" s="763"/>
      <c r="T361" s="763"/>
      <c r="U361" s="763"/>
      <c r="V361" s="763"/>
      <c r="W361" s="763"/>
      <c r="X361" s="763"/>
      <c r="Y361" s="763"/>
      <c r="Z361" s="763"/>
      <c r="AA361" s="763"/>
      <c r="AB361" s="763"/>
      <c r="AC361" s="763"/>
      <c r="AD361" s="763"/>
      <c r="AE361" s="763"/>
      <c r="AF361" s="763"/>
      <c r="AG361" s="763"/>
      <c r="AH361" s="763"/>
      <c r="AI361" s="763"/>
      <c r="AJ361" s="763"/>
      <c r="AK361" s="763"/>
      <c r="AL361" s="763"/>
      <c r="AM361" s="763"/>
      <c r="AN361" s="763"/>
      <c r="AO361" s="763"/>
      <c r="AP361" s="763"/>
      <c r="AQ361" s="763"/>
      <c r="AR361" s="763"/>
      <c r="AS361" s="763"/>
      <c r="AT361" s="763"/>
      <c r="AU361" s="763"/>
      <c r="AV361" s="763"/>
      <c r="AW361" s="763"/>
      <c r="AX361" s="763"/>
      <c r="AY361" s="763"/>
      <c r="AZ361" s="763"/>
      <c r="BA361" s="763"/>
      <c r="BB361" s="763"/>
      <c r="BC361" s="763"/>
      <c r="BD361" s="763"/>
      <c r="BE361" s="763"/>
    </row>
    <row r="362" spans="1:57">
      <c r="A362" s="763"/>
      <c r="B362" s="763"/>
      <c r="C362" s="763"/>
      <c r="D362" s="763"/>
      <c r="E362" s="763"/>
      <c r="F362" s="763"/>
      <c r="G362" s="763"/>
      <c r="H362" s="763"/>
      <c r="I362" s="763"/>
      <c r="J362" s="763"/>
      <c r="K362" s="763"/>
      <c r="L362" s="763"/>
      <c r="M362" s="763"/>
      <c r="N362" s="763"/>
      <c r="O362" s="763"/>
      <c r="P362" s="763"/>
      <c r="Q362" s="763"/>
      <c r="R362" s="763"/>
      <c r="S362" s="763"/>
      <c r="T362" s="763"/>
      <c r="U362" s="763"/>
      <c r="V362" s="763"/>
      <c r="W362" s="763"/>
      <c r="X362" s="763"/>
      <c r="Y362" s="763"/>
      <c r="Z362" s="763"/>
      <c r="AA362" s="763"/>
      <c r="AB362" s="763"/>
      <c r="AC362" s="763"/>
      <c r="AD362" s="763"/>
      <c r="AE362" s="763"/>
      <c r="AF362" s="763"/>
      <c r="AG362" s="763"/>
      <c r="AH362" s="763"/>
      <c r="AI362" s="763"/>
      <c r="AJ362" s="763"/>
      <c r="AK362" s="763"/>
      <c r="AL362" s="763"/>
      <c r="AM362" s="763"/>
      <c r="AN362" s="763"/>
      <c r="AO362" s="763"/>
      <c r="AP362" s="763"/>
      <c r="AQ362" s="763"/>
      <c r="AR362" s="763"/>
      <c r="AS362" s="763"/>
      <c r="AT362" s="763"/>
      <c r="AU362" s="763"/>
      <c r="AV362" s="763"/>
      <c r="AW362" s="763"/>
      <c r="AX362" s="763"/>
      <c r="AY362" s="763"/>
      <c r="AZ362" s="763"/>
      <c r="BA362" s="763"/>
      <c r="BB362" s="763"/>
      <c r="BC362" s="763"/>
      <c r="BD362" s="763"/>
      <c r="BE362" s="763"/>
    </row>
    <row r="363" spans="1:57">
      <c r="A363" s="763"/>
      <c r="B363" s="763"/>
      <c r="C363" s="763"/>
      <c r="D363" s="763"/>
      <c r="E363" s="763"/>
      <c r="F363" s="763"/>
      <c r="G363" s="763"/>
      <c r="H363" s="763"/>
      <c r="I363" s="763"/>
      <c r="J363" s="763"/>
      <c r="K363" s="763"/>
      <c r="L363" s="763"/>
      <c r="M363" s="763"/>
      <c r="N363" s="763"/>
      <c r="O363" s="763"/>
      <c r="P363" s="763"/>
      <c r="Q363" s="763"/>
      <c r="R363" s="763"/>
      <c r="S363" s="763"/>
      <c r="T363" s="763"/>
      <c r="U363" s="763"/>
      <c r="V363" s="763"/>
      <c r="W363" s="763"/>
      <c r="X363" s="763"/>
      <c r="Y363" s="763"/>
      <c r="Z363" s="763"/>
      <c r="AA363" s="763"/>
      <c r="AB363" s="763"/>
      <c r="AC363" s="763"/>
      <c r="AD363" s="763"/>
      <c r="AE363" s="763"/>
      <c r="AF363" s="763"/>
      <c r="AG363" s="763"/>
      <c r="AH363" s="763"/>
      <c r="AI363" s="763"/>
      <c r="AJ363" s="763"/>
      <c r="AK363" s="763"/>
      <c r="AL363" s="763"/>
      <c r="AM363" s="763"/>
      <c r="AN363" s="763"/>
      <c r="AO363" s="763"/>
      <c r="AP363" s="763"/>
      <c r="AQ363" s="763"/>
      <c r="AR363" s="763"/>
      <c r="AS363" s="763"/>
      <c r="AT363" s="763"/>
      <c r="AU363" s="763"/>
      <c r="AV363" s="763"/>
      <c r="AW363" s="763"/>
      <c r="AX363" s="763"/>
      <c r="AY363" s="763"/>
      <c r="AZ363" s="763"/>
      <c r="BA363" s="763"/>
      <c r="BB363" s="763"/>
      <c r="BC363" s="763"/>
      <c r="BD363" s="763"/>
      <c r="BE363" s="763"/>
    </row>
    <row r="364" spans="1:57">
      <c r="A364" s="763"/>
      <c r="B364" s="763"/>
      <c r="C364" s="763"/>
      <c r="D364" s="763"/>
      <c r="E364" s="763"/>
      <c r="F364" s="763"/>
      <c r="G364" s="763"/>
      <c r="H364" s="763"/>
      <c r="I364" s="763"/>
      <c r="J364" s="763"/>
      <c r="K364" s="763"/>
      <c r="L364" s="763"/>
      <c r="M364" s="763"/>
      <c r="N364" s="763"/>
      <c r="O364" s="763"/>
      <c r="P364" s="763"/>
      <c r="Q364" s="763"/>
      <c r="R364" s="763"/>
      <c r="S364" s="763"/>
      <c r="T364" s="763"/>
      <c r="U364" s="763"/>
      <c r="V364" s="763"/>
      <c r="W364" s="763"/>
      <c r="X364" s="763"/>
      <c r="Y364" s="763"/>
      <c r="Z364" s="763"/>
      <c r="AA364" s="763"/>
      <c r="AB364" s="763"/>
      <c r="AC364" s="763"/>
      <c r="AD364" s="763"/>
      <c r="AE364" s="763"/>
      <c r="AF364" s="763"/>
      <c r="AG364" s="763"/>
      <c r="AH364" s="763"/>
      <c r="AI364" s="763"/>
      <c r="AJ364" s="763"/>
      <c r="AK364" s="763"/>
      <c r="AL364" s="763"/>
      <c r="AM364" s="763"/>
      <c r="AN364" s="763"/>
      <c r="AO364" s="763"/>
      <c r="AP364" s="763"/>
      <c r="AQ364" s="763"/>
      <c r="AR364" s="763"/>
      <c r="AS364" s="763"/>
      <c r="AT364" s="763"/>
      <c r="AU364" s="763"/>
      <c r="AV364" s="763"/>
      <c r="AW364" s="763"/>
      <c r="AX364" s="763"/>
      <c r="AY364" s="763"/>
      <c r="AZ364" s="763"/>
      <c r="BA364" s="763"/>
      <c r="BB364" s="763"/>
      <c r="BC364" s="763"/>
      <c r="BD364" s="763"/>
      <c r="BE364" s="763"/>
    </row>
    <row r="365" spans="1:57">
      <c r="A365" s="763"/>
      <c r="B365" s="763"/>
      <c r="C365" s="763"/>
      <c r="D365" s="763"/>
      <c r="E365" s="763"/>
      <c r="F365" s="763"/>
      <c r="G365" s="763"/>
      <c r="H365" s="763"/>
      <c r="I365" s="763"/>
      <c r="J365" s="763"/>
      <c r="K365" s="763"/>
      <c r="L365" s="763"/>
      <c r="M365" s="763"/>
      <c r="N365" s="763"/>
      <c r="O365" s="763"/>
      <c r="P365" s="763"/>
      <c r="Q365" s="763"/>
      <c r="R365" s="763"/>
      <c r="S365" s="763"/>
      <c r="T365" s="763"/>
      <c r="U365" s="763"/>
      <c r="V365" s="763"/>
      <c r="W365" s="763"/>
      <c r="X365" s="763"/>
      <c r="Y365" s="763"/>
      <c r="Z365" s="763"/>
      <c r="AA365" s="763"/>
      <c r="AB365" s="763"/>
      <c r="AC365" s="763"/>
      <c r="AD365" s="763"/>
      <c r="AE365" s="763"/>
      <c r="AF365" s="763"/>
      <c r="AG365" s="763"/>
      <c r="AH365" s="763"/>
      <c r="AI365" s="763"/>
      <c r="AJ365" s="763"/>
      <c r="AK365" s="763"/>
      <c r="AL365" s="763"/>
      <c r="AM365" s="763"/>
      <c r="AN365" s="763"/>
      <c r="AO365" s="763"/>
      <c r="AP365" s="763"/>
      <c r="AQ365" s="763"/>
      <c r="AR365" s="763"/>
      <c r="AS365" s="763"/>
      <c r="AT365" s="763"/>
      <c r="AU365" s="763"/>
      <c r="AV365" s="763"/>
      <c r="AW365" s="763"/>
      <c r="AX365" s="763"/>
      <c r="AY365" s="763"/>
      <c r="AZ365" s="763"/>
      <c r="BA365" s="763"/>
      <c r="BB365" s="763"/>
      <c r="BC365" s="763"/>
      <c r="BD365" s="763"/>
      <c r="BE365" s="763"/>
    </row>
    <row r="366" spans="1:57">
      <c r="A366" s="763"/>
      <c r="B366" s="763"/>
      <c r="C366" s="763"/>
      <c r="D366" s="763"/>
      <c r="E366" s="763"/>
      <c r="F366" s="763"/>
      <c r="G366" s="763"/>
      <c r="H366" s="763"/>
      <c r="I366" s="763"/>
      <c r="J366" s="763"/>
      <c r="K366" s="763"/>
      <c r="L366" s="763"/>
      <c r="M366" s="763"/>
      <c r="N366" s="763"/>
      <c r="O366" s="763"/>
      <c r="P366" s="763"/>
      <c r="Q366" s="763"/>
      <c r="R366" s="763"/>
      <c r="S366" s="763"/>
      <c r="T366" s="763"/>
      <c r="U366" s="763"/>
      <c r="V366" s="763"/>
      <c r="W366" s="763"/>
      <c r="X366" s="763"/>
      <c r="Y366" s="763"/>
      <c r="Z366" s="763"/>
      <c r="AA366" s="763"/>
      <c r="AB366" s="763"/>
      <c r="AC366" s="763"/>
      <c r="AD366" s="763"/>
      <c r="AE366" s="763"/>
      <c r="AF366" s="763"/>
      <c r="AG366" s="763"/>
      <c r="AH366" s="763"/>
      <c r="AI366" s="763"/>
      <c r="AJ366" s="763"/>
      <c r="AK366" s="763"/>
      <c r="AL366" s="763"/>
      <c r="AM366" s="763"/>
      <c r="AN366" s="763"/>
      <c r="AO366" s="763"/>
      <c r="AP366" s="763"/>
      <c r="AQ366" s="763"/>
      <c r="AR366" s="763"/>
      <c r="AS366" s="763"/>
      <c r="AT366" s="763"/>
      <c r="AU366" s="763"/>
      <c r="AV366" s="763"/>
      <c r="AW366" s="763"/>
      <c r="AX366" s="763"/>
      <c r="AY366" s="763"/>
      <c r="AZ366" s="763"/>
      <c r="BA366" s="763"/>
      <c r="BB366" s="763"/>
      <c r="BC366" s="763"/>
      <c r="BD366" s="763"/>
      <c r="BE366" s="763"/>
    </row>
    <row r="367" spans="1:57">
      <c r="A367" s="763"/>
      <c r="B367" s="763"/>
      <c r="C367" s="763"/>
      <c r="D367" s="763"/>
      <c r="E367" s="763"/>
      <c r="F367" s="763"/>
      <c r="G367" s="763"/>
      <c r="H367" s="763"/>
      <c r="I367" s="763"/>
      <c r="J367" s="763"/>
      <c r="K367" s="763"/>
      <c r="L367" s="763"/>
      <c r="M367" s="763"/>
      <c r="N367" s="763"/>
      <c r="O367" s="763"/>
      <c r="P367" s="763"/>
      <c r="Q367" s="763"/>
      <c r="R367" s="763"/>
      <c r="S367" s="763"/>
      <c r="T367" s="763"/>
      <c r="U367" s="763"/>
      <c r="V367" s="763"/>
      <c r="W367" s="763"/>
      <c r="X367" s="763"/>
      <c r="Y367" s="763"/>
      <c r="Z367" s="763"/>
      <c r="AA367" s="763"/>
      <c r="AB367" s="763"/>
      <c r="AC367" s="763"/>
      <c r="AD367" s="763"/>
      <c r="AE367" s="763"/>
      <c r="AF367" s="763"/>
      <c r="AG367" s="763"/>
      <c r="AH367" s="763"/>
      <c r="AI367" s="763"/>
      <c r="AJ367" s="763"/>
      <c r="AK367" s="763"/>
      <c r="AL367" s="763"/>
      <c r="AM367" s="763"/>
      <c r="AN367" s="763"/>
      <c r="AO367" s="763"/>
      <c r="AP367" s="763"/>
      <c r="AQ367" s="763"/>
      <c r="AR367" s="763"/>
      <c r="AS367" s="763"/>
      <c r="AT367" s="763"/>
      <c r="AU367" s="763"/>
      <c r="AV367" s="763"/>
      <c r="AW367" s="763"/>
      <c r="AX367" s="763"/>
      <c r="AY367" s="763"/>
      <c r="AZ367" s="763"/>
      <c r="BA367" s="763"/>
      <c r="BB367" s="763"/>
      <c r="BC367" s="763"/>
      <c r="BD367" s="763"/>
      <c r="BE367" s="763"/>
    </row>
    <row r="368" spans="1:57">
      <c r="A368" s="763"/>
      <c r="B368" s="763"/>
      <c r="C368" s="763"/>
      <c r="D368" s="763"/>
      <c r="E368" s="763"/>
      <c r="F368" s="763"/>
      <c r="G368" s="763"/>
      <c r="H368" s="763"/>
      <c r="I368" s="763"/>
      <c r="J368" s="763"/>
      <c r="K368" s="763"/>
      <c r="L368" s="763"/>
      <c r="M368" s="763"/>
      <c r="N368" s="763"/>
      <c r="O368" s="763"/>
      <c r="P368" s="763"/>
      <c r="Q368" s="763"/>
      <c r="R368" s="763"/>
      <c r="S368" s="763"/>
      <c r="T368" s="763"/>
      <c r="U368" s="763"/>
      <c r="V368" s="763"/>
      <c r="W368" s="763"/>
      <c r="X368" s="763"/>
      <c r="Y368" s="763"/>
      <c r="Z368" s="763"/>
      <c r="AA368" s="763"/>
      <c r="AB368" s="763"/>
      <c r="AC368" s="763"/>
      <c r="AD368" s="763"/>
      <c r="AE368" s="763"/>
      <c r="AF368" s="763"/>
      <c r="AG368" s="763"/>
      <c r="AH368" s="763"/>
      <c r="AI368" s="763"/>
      <c r="AJ368" s="763"/>
      <c r="AK368" s="763"/>
      <c r="AL368" s="763"/>
      <c r="AM368" s="763"/>
      <c r="AN368" s="763"/>
      <c r="AO368" s="763"/>
      <c r="AP368" s="763"/>
      <c r="AQ368" s="763"/>
      <c r="AR368" s="763"/>
      <c r="AS368" s="763"/>
      <c r="AT368" s="763"/>
      <c r="AU368" s="763"/>
      <c r="AV368" s="763"/>
      <c r="AW368" s="763"/>
      <c r="AX368" s="763"/>
      <c r="AY368" s="763"/>
      <c r="AZ368" s="763"/>
      <c r="BA368" s="763"/>
      <c r="BB368" s="763"/>
      <c r="BC368" s="763"/>
      <c r="BD368" s="763"/>
      <c r="BE368" s="763"/>
    </row>
    <row r="369" spans="1:57">
      <c r="A369" s="763"/>
      <c r="B369" s="763"/>
      <c r="C369" s="763"/>
      <c r="D369" s="763"/>
      <c r="E369" s="763"/>
      <c r="F369" s="763"/>
      <c r="G369" s="763"/>
      <c r="H369" s="763"/>
      <c r="I369" s="763"/>
      <c r="J369" s="763"/>
      <c r="K369" s="763"/>
      <c r="L369" s="763"/>
      <c r="M369" s="763"/>
      <c r="N369" s="763"/>
      <c r="O369" s="763"/>
      <c r="P369" s="763"/>
      <c r="Q369" s="763"/>
      <c r="R369" s="763"/>
      <c r="S369" s="763"/>
      <c r="T369" s="763"/>
      <c r="U369" s="763"/>
      <c r="V369" s="763"/>
      <c r="W369" s="763"/>
      <c r="X369" s="763"/>
      <c r="Y369" s="763"/>
      <c r="Z369" s="763"/>
      <c r="AA369" s="763"/>
      <c r="AB369" s="763"/>
      <c r="AC369" s="763"/>
      <c r="AD369" s="763"/>
      <c r="AE369" s="763"/>
      <c r="AF369" s="763"/>
      <c r="AG369" s="763"/>
      <c r="AH369" s="763"/>
      <c r="AI369" s="763"/>
      <c r="AJ369" s="763"/>
      <c r="AK369" s="763"/>
      <c r="AL369" s="763"/>
      <c r="AM369" s="763"/>
      <c r="AN369" s="763"/>
      <c r="AO369" s="763"/>
      <c r="AP369" s="763"/>
      <c r="AQ369" s="763"/>
      <c r="AR369" s="763"/>
      <c r="AS369" s="763"/>
      <c r="AT369" s="763"/>
      <c r="AU369" s="763"/>
      <c r="AV369" s="763"/>
      <c r="AW369" s="763"/>
      <c r="AX369" s="763"/>
      <c r="AY369" s="763"/>
      <c r="AZ369" s="763"/>
      <c r="BA369" s="763"/>
      <c r="BB369" s="763"/>
      <c r="BC369" s="763"/>
      <c r="BD369" s="763"/>
      <c r="BE369" s="763"/>
    </row>
    <row r="370" spans="1:57">
      <c r="A370" s="763"/>
      <c r="B370" s="763"/>
      <c r="C370" s="763"/>
      <c r="D370" s="763"/>
      <c r="E370" s="763"/>
      <c r="F370" s="763"/>
      <c r="G370" s="763"/>
      <c r="H370" s="763"/>
      <c r="I370" s="763"/>
      <c r="J370" s="763"/>
      <c r="K370" s="763"/>
      <c r="L370" s="763"/>
      <c r="M370" s="763"/>
      <c r="N370" s="763"/>
      <c r="O370" s="763"/>
      <c r="P370" s="763"/>
      <c r="Q370" s="763"/>
      <c r="R370" s="763"/>
      <c r="S370" s="763"/>
      <c r="T370" s="763"/>
      <c r="U370" s="763"/>
      <c r="V370" s="763"/>
      <c r="W370" s="763"/>
      <c r="X370" s="763"/>
      <c r="Y370" s="763"/>
      <c r="Z370" s="763"/>
      <c r="AA370" s="763"/>
      <c r="AB370" s="763"/>
      <c r="AC370" s="763"/>
      <c r="AD370" s="763"/>
      <c r="AE370" s="763"/>
      <c r="AF370" s="763"/>
      <c r="AG370" s="763"/>
      <c r="AH370" s="763"/>
      <c r="AI370" s="763"/>
      <c r="AJ370" s="763"/>
      <c r="AK370" s="763"/>
      <c r="AL370" s="763"/>
      <c r="AM370" s="763"/>
      <c r="AN370" s="763"/>
      <c r="AO370" s="763"/>
      <c r="AP370" s="763"/>
      <c r="AQ370" s="763"/>
      <c r="AR370" s="763"/>
      <c r="AS370" s="763"/>
      <c r="AT370" s="763"/>
      <c r="AU370" s="763"/>
      <c r="AV370" s="763"/>
      <c r="AW370" s="763"/>
      <c r="AX370" s="763"/>
      <c r="AY370" s="763"/>
      <c r="AZ370" s="763"/>
      <c r="BA370" s="763"/>
      <c r="BB370" s="763"/>
      <c r="BC370" s="763"/>
      <c r="BD370" s="763"/>
      <c r="BE370" s="763"/>
    </row>
    <row r="371" spans="1:57">
      <c r="A371" s="763"/>
      <c r="B371" s="763"/>
      <c r="C371" s="763"/>
      <c r="D371" s="763"/>
      <c r="E371" s="763"/>
      <c r="F371" s="763"/>
      <c r="G371" s="763"/>
      <c r="H371" s="763"/>
      <c r="I371" s="763"/>
      <c r="J371" s="763"/>
      <c r="K371" s="763"/>
      <c r="L371" s="763"/>
      <c r="M371" s="763"/>
      <c r="N371" s="763"/>
      <c r="O371" s="763"/>
      <c r="P371" s="763"/>
      <c r="Q371" s="763"/>
      <c r="R371" s="763"/>
      <c r="S371" s="763"/>
      <c r="T371" s="763"/>
      <c r="U371" s="763"/>
      <c r="V371" s="763"/>
      <c r="W371" s="763"/>
      <c r="X371" s="763"/>
      <c r="Y371" s="763"/>
      <c r="Z371" s="763"/>
      <c r="AA371" s="763"/>
      <c r="AB371" s="763"/>
      <c r="AC371" s="763"/>
      <c r="AD371" s="763"/>
      <c r="AE371" s="763"/>
      <c r="AF371" s="763"/>
      <c r="AG371" s="763"/>
      <c r="AH371" s="763"/>
      <c r="AI371" s="763"/>
      <c r="AJ371" s="763"/>
      <c r="AK371" s="763"/>
      <c r="AL371" s="763"/>
      <c r="AM371" s="763"/>
      <c r="AN371" s="763"/>
      <c r="AO371" s="763"/>
      <c r="AP371" s="763"/>
      <c r="AQ371" s="763"/>
      <c r="AR371" s="763"/>
      <c r="AS371" s="763"/>
      <c r="AT371" s="763"/>
      <c r="AU371" s="763"/>
      <c r="AV371" s="763"/>
      <c r="AW371" s="763"/>
      <c r="AX371" s="763"/>
      <c r="AY371" s="763"/>
      <c r="AZ371" s="763"/>
      <c r="BA371" s="763"/>
      <c r="BB371" s="763"/>
      <c r="BC371" s="763"/>
      <c r="BD371" s="763"/>
      <c r="BE371" s="763"/>
    </row>
    <row r="372" spans="1:57">
      <c r="A372" s="763"/>
      <c r="B372" s="763"/>
      <c r="C372" s="763"/>
      <c r="D372" s="763"/>
      <c r="E372" s="763"/>
      <c r="F372" s="763"/>
      <c r="G372" s="763"/>
      <c r="H372" s="763"/>
      <c r="I372" s="763"/>
      <c r="J372" s="763"/>
      <c r="K372" s="763"/>
      <c r="L372" s="763"/>
      <c r="M372" s="763"/>
      <c r="N372" s="763"/>
      <c r="O372" s="763"/>
      <c r="P372" s="763"/>
      <c r="Q372" s="763"/>
      <c r="R372" s="763"/>
      <c r="S372" s="763"/>
      <c r="T372" s="763"/>
      <c r="U372" s="763"/>
      <c r="V372" s="763"/>
      <c r="W372" s="763"/>
      <c r="X372" s="763"/>
      <c r="Y372" s="763"/>
      <c r="Z372" s="763"/>
      <c r="AA372" s="763"/>
      <c r="AB372" s="763"/>
      <c r="AC372" s="763"/>
      <c r="AD372" s="763"/>
      <c r="AE372" s="763"/>
      <c r="AF372" s="763"/>
      <c r="AG372" s="763"/>
      <c r="AH372" s="763"/>
      <c r="AI372" s="763"/>
      <c r="AJ372" s="763"/>
      <c r="AK372" s="763"/>
      <c r="AL372" s="763"/>
      <c r="AM372" s="763"/>
      <c r="AN372" s="763"/>
      <c r="AO372" s="763"/>
      <c r="AP372" s="763"/>
      <c r="AQ372" s="763"/>
      <c r="AR372" s="763"/>
      <c r="AS372" s="763"/>
      <c r="AT372" s="763"/>
      <c r="AU372" s="763"/>
      <c r="AV372" s="763"/>
      <c r="AW372" s="763"/>
      <c r="AX372" s="763"/>
      <c r="AY372" s="763"/>
      <c r="AZ372" s="763"/>
      <c r="BA372" s="763"/>
      <c r="BB372" s="763"/>
      <c r="BC372" s="763"/>
      <c r="BD372" s="763"/>
      <c r="BE372" s="763"/>
    </row>
    <row r="373" spans="1:57">
      <c r="A373" s="763"/>
      <c r="B373" s="763"/>
      <c r="C373" s="763"/>
      <c r="D373" s="763"/>
      <c r="E373" s="763"/>
      <c r="F373" s="763"/>
      <c r="G373" s="763"/>
      <c r="H373" s="763"/>
      <c r="I373" s="763"/>
      <c r="J373" s="763"/>
      <c r="K373" s="763"/>
      <c r="L373" s="763"/>
      <c r="M373" s="763"/>
      <c r="N373" s="763"/>
      <c r="O373" s="763"/>
      <c r="P373" s="763"/>
      <c r="Q373" s="763"/>
      <c r="R373" s="763"/>
      <c r="S373" s="763"/>
      <c r="T373" s="763"/>
      <c r="U373" s="763"/>
      <c r="V373" s="763"/>
      <c r="W373" s="763"/>
      <c r="X373" s="763"/>
      <c r="Y373" s="763"/>
      <c r="Z373" s="763"/>
      <c r="AA373" s="763"/>
      <c r="AB373" s="763"/>
      <c r="AC373" s="763"/>
      <c r="AD373" s="763"/>
      <c r="AE373" s="763"/>
      <c r="AF373" s="763"/>
      <c r="AG373" s="763"/>
      <c r="AH373" s="763"/>
      <c r="AI373" s="763"/>
      <c r="AJ373" s="763"/>
      <c r="AK373" s="763"/>
      <c r="AL373" s="763"/>
      <c r="AM373" s="763"/>
      <c r="AN373" s="763"/>
      <c r="AO373" s="763"/>
      <c r="AP373" s="763"/>
      <c r="AQ373" s="763"/>
      <c r="AR373" s="763"/>
      <c r="AS373" s="763"/>
      <c r="AT373" s="763"/>
      <c r="AU373" s="763"/>
      <c r="AV373" s="763"/>
      <c r="AW373" s="763"/>
      <c r="AX373" s="763"/>
      <c r="AY373" s="763"/>
      <c r="AZ373" s="763"/>
      <c r="BA373" s="763"/>
      <c r="BB373" s="763"/>
      <c r="BC373" s="763"/>
      <c r="BD373" s="763"/>
      <c r="BE373" s="763"/>
    </row>
    <row r="374" spans="1:57">
      <c r="A374" s="763"/>
      <c r="B374" s="763"/>
      <c r="C374" s="763"/>
      <c r="D374" s="763"/>
      <c r="E374" s="763"/>
      <c r="F374" s="763"/>
      <c r="G374" s="763"/>
      <c r="H374" s="763"/>
      <c r="I374" s="763"/>
      <c r="J374" s="763"/>
      <c r="K374" s="763"/>
      <c r="L374" s="763"/>
      <c r="M374" s="763"/>
      <c r="N374" s="763"/>
      <c r="O374" s="763"/>
      <c r="P374" s="763"/>
      <c r="Q374" s="763"/>
      <c r="R374" s="763"/>
      <c r="S374" s="763"/>
      <c r="T374" s="763"/>
      <c r="U374" s="763"/>
      <c r="V374" s="763"/>
      <c r="W374" s="763"/>
      <c r="X374" s="763"/>
      <c r="Y374" s="763"/>
      <c r="Z374" s="763"/>
      <c r="AA374" s="763"/>
      <c r="AB374" s="763"/>
      <c r="AC374" s="763"/>
      <c r="AD374" s="763"/>
      <c r="AE374" s="763"/>
      <c r="AF374" s="763"/>
      <c r="AG374" s="763"/>
      <c r="AH374" s="763"/>
      <c r="AI374" s="763"/>
      <c r="AJ374" s="763"/>
      <c r="AK374" s="763"/>
      <c r="AL374" s="763"/>
      <c r="AM374" s="763"/>
      <c r="AN374" s="763"/>
      <c r="AO374" s="763"/>
      <c r="AP374" s="763"/>
      <c r="AQ374" s="763"/>
      <c r="AR374" s="763"/>
      <c r="AS374" s="763"/>
      <c r="AT374" s="763"/>
      <c r="AU374" s="763"/>
      <c r="AV374" s="763"/>
      <c r="AW374" s="763"/>
      <c r="AX374" s="763"/>
      <c r="AY374" s="763"/>
      <c r="AZ374" s="763"/>
      <c r="BA374" s="763"/>
      <c r="BB374" s="763"/>
      <c r="BC374" s="763"/>
      <c r="BD374" s="763"/>
      <c r="BE374" s="763"/>
    </row>
    <row r="375" spans="1:57">
      <c r="A375" s="763"/>
      <c r="B375" s="763"/>
      <c r="C375" s="763"/>
      <c r="D375" s="763"/>
      <c r="E375" s="763"/>
      <c r="F375" s="763"/>
      <c r="G375" s="763"/>
      <c r="H375" s="763"/>
      <c r="I375" s="763"/>
      <c r="J375" s="763"/>
      <c r="K375" s="763"/>
      <c r="L375" s="763"/>
      <c r="M375" s="763"/>
      <c r="N375" s="763"/>
      <c r="O375" s="763"/>
      <c r="P375" s="763"/>
      <c r="Q375" s="763"/>
      <c r="R375" s="763"/>
      <c r="S375" s="763"/>
      <c r="T375" s="763"/>
      <c r="U375" s="763"/>
      <c r="V375" s="763"/>
      <c r="W375" s="763"/>
      <c r="X375" s="763"/>
      <c r="Y375" s="763"/>
      <c r="Z375" s="763"/>
      <c r="AA375" s="763"/>
      <c r="AB375" s="763"/>
      <c r="AC375" s="763"/>
      <c r="AD375" s="763"/>
      <c r="AE375" s="763"/>
      <c r="AF375" s="763"/>
      <c r="AG375" s="763"/>
      <c r="AH375" s="763"/>
      <c r="AI375" s="763"/>
      <c r="AJ375" s="763"/>
      <c r="AK375" s="763"/>
      <c r="AL375" s="763"/>
      <c r="AM375" s="763"/>
      <c r="AN375" s="763"/>
      <c r="AO375" s="763"/>
      <c r="AP375" s="763"/>
      <c r="AQ375" s="763"/>
      <c r="AR375" s="763"/>
      <c r="AS375" s="763"/>
      <c r="AT375" s="763"/>
      <c r="AU375" s="763"/>
      <c r="AV375" s="763"/>
      <c r="AW375" s="763"/>
      <c r="AX375" s="763"/>
      <c r="AY375" s="763"/>
      <c r="AZ375" s="763"/>
      <c r="BA375" s="763"/>
      <c r="BB375" s="763"/>
      <c r="BC375" s="763"/>
      <c r="BD375" s="763"/>
      <c r="BE375" s="763"/>
    </row>
    <row r="376" spans="1:57">
      <c r="A376" s="763"/>
      <c r="B376" s="763"/>
      <c r="C376" s="763"/>
      <c r="D376" s="763"/>
      <c r="E376" s="763"/>
      <c r="F376" s="763"/>
      <c r="G376" s="763"/>
      <c r="H376" s="763"/>
      <c r="I376" s="763"/>
      <c r="J376" s="763"/>
      <c r="K376" s="763"/>
      <c r="L376" s="763"/>
      <c r="M376" s="763"/>
      <c r="N376" s="763"/>
      <c r="O376" s="763"/>
      <c r="P376" s="763"/>
      <c r="Q376" s="763"/>
      <c r="R376" s="763"/>
      <c r="S376" s="763"/>
      <c r="T376" s="763"/>
      <c r="U376" s="763"/>
      <c r="V376" s="763"/>
      <c r="W376" s="763"/>
      <c r="X376" s="763"/>
      <c r="Y376" s="763"/>
      <c r="Z376" s="763"/>
      <c r="AA376" s="763"/>
      <c r="AB376" s="763"/>
      <c r="AC376" s="763"/>
      <c r="AD376" s="763"/>
      <c r="AE376" s="763"/>
      <c r="AF376" s="763"/>
      <c r="AG376" s="763"/>
      <c r="AH376" s="763"/>
      <c r="AI376" s="763"/>
      <c r="AJ376" s="763"/>
      <c r="AK376" s="763"/>
      <c r="AL376" s="763"/>
      <c r="AM376" s="763"/>
      <c r="AN376" s="763"/>
      <c r="AO376" s="763"/>
      <c r="AP376" s="763"/>
      <c r="AQ376" s="763"/>
      <c r="AR376" s="763"/>
      <c r="AS376" s="763"/>
      <c r="AT376" s="763"/>
      <c r="AU376" s="763"/>
      <c r="AV376" s="763"/>
      <c r="AW376" s="763"/>
      <c r="AX376" s="763"/>
      <c r="AY376" s="763"/>
      <c r="AZ376" s="763"/>
      <c r="BA376" s="763"/>
      <c r="BB376" s="763"/>
      <c r="BC376" s="763"/>
      <c r="BD376" s="763"/>
      <c r="BE376" s="763"/>
    </row>
    <row r="377" spans="1:57">
      <c r="A377" s="763"/>
      <c r="B377" s="763"/>
      <c r="C377" s="763"/>
      <c r="D377" s="763"/>
      <c r="E377" s="763"/>
      <c r="F377" s="763"/>
      <c r="G377" s="763"/>
      <c r="H377" s="763"/>
      <c r="I377" s="763"/>
      <c r="J377" s="763"/>
      <c r="K377" s="763"/>
      <c r="L377" s="763"/>
      <c r="M377" s="763"/>
      <c r="N377" s="763"/>
      <c r="O377" s="763"/>
      <c r="P377" s="763"/>
      <c r="Q377" s="763"/>
      <c r="R377" s="763"/>
      <c r="S377" s="763"/>
      <c r="T377" s="763"/>
      <c r="U377" s="763"/>
      <c r="V377" s="763"/>
      <c r="W377" s="763"/>
      <c r="X377" s="763"/>
      <c r="Y377" s="763"/>
      <c r="Z377" s="763"/>
      <c r="AA377" s="763"/>
      <c r="AB377" s="763"/>
      <c r="AC377" s="763"/>
      <c r="AD377" s="763"/>
      <c r="AE377" s="763"/>
      <c r="AF377" s="763"/>
      <c r="AG377" s="763"/>
      <c r="AH377" s="763"/>
      <c r="AI377" s="763"/>
      <c r="AJ377" s="763"/>
      <c r="AK377" s="763"/>
      <c r="AL377" s="763"/>
      <c r="AM377" s="763"/>
      <c r="AN377" s="763"/>
      <c r="AO377" s="763"/>
      <c r="AP377" s="763"/>
      <c r="AQ377" s="763"/>
      <c r="AR377" s="763"/>
      <c r="AS377" s="763"/>
      <c r="AT377" s="763"/>
      <c r="AU377" s="763"/>
      <c r="AV377" s="763"/>
      <c r="AW377" s="763"/>
      <c r="AX377" s="763"/>
      <c r="AY377" s="763"/>
      <c r="AZ377" s="763"/>
      <c r="BA377" s="763"/>
      <c r="BB377" s="763"/>
      <c r="BC377" s="763"/>
      <c r="BD377" s="763"/>
      <c r="BE377" s="763"/>
    </row>
    <row r="378" spans="1:57">
      <c r="A378" s="763"/>
      <c r="B378" s="763"/>
      <c r="C378" s="763"/>
      <c r="D378" s="763"/>
      <c r="E378" s="763"/>
      <c r="F378" s="763"/>
      <c r="G378" s="763"/>
      <c r="H378" s="763"/>
      <c r="I378" s="763"/>
      <c r="J378" s="763"/>
      <c r="K378" s="763"/>
      <c r="L378" s="763"/>
      <c r="M378" s="763"/>
      <c r="N378" s="763"/>
      <c r="O378" s="763"/>
      <c r="P378" s="763"/>
      <c r="Q378" s="763"/>
      <c r="R378" s="763"/>
      <c r="S378" s="763"/>
      <c r="T378" s="763"/>
      <c r="U378" s="763"/>
      <c r="V378" s="763"/>
      <c r="W378" s="763"/>
      <c r="X378" s="763"/>
      <c r="Y378" s="763"/>
      <c r="Z378" s="763"/>
      <c r="AA378" s="763"/>
      <c r="AB378" s="763"/>
      <c r="AC378" s="763"/>
      <c r="AD378" s="763"/>
      <c r="AE378" s="763"/>
      <c r="AF378" s="763"/>
      <c r="AG378" s="763"/>
      <c r="AH378" s="763"/>
      <c r="AI378" s="763"/>
      <c r="AJ378" s="763"/>
      <c r="AK378" s="763"/>
      <c r="AL378" s="763"/>
      <c r="AM378" s="763"/>
      <c r="AN378" s="763"/>
      <c r="AO378" s="763"/>
      <c r="AP378" s="763"/>
      <c r="AQ378" s="763"/>
      <c r="AR378" s="763"/>
      <c r="AS378" s="763"/>
      <c r="AT378" s="763"/>
      <c r="AU378" s="763"/>
      <c r="AV378" s="763"/>
      <c r="AW378" s="763"/>
      <c r="AX378" s="763"/>
      <c r="AY378" s="763"/>
      <c r="AZ378" s="763"/>
      <c r="BA378" s="763"/>
      <c r="BB378" s="763"/>
      <c r="BC378" s="763"/>
      <c r="BD378" s="763"/>
      <c r="BE378" s="763"/>
    </row>
    <row r="379" spans="1:57">
      <c r="A379" s="763"/>
      <c r="B379" s="763"/>
      <c r="C379" s="763"/>
      <c r="D379" s="763"/>
      <c r="E379" s="763"/>
      <c r="F379" s="763"/>
      <c r="G379" s="763"/>
      <c r="H379" s="763"/>
      <c r="I379" s="763"/>
      <c r="J379" s="763"/>
      <c r="K379" s="763"/>
      <c r="L379" s="763"/>
      <c r="M379" s="763"/>
      <c r="N379" s="763"/>
      <c r="O379" s="763"/>
      <c r="P379" s="763"/>
      <c r="Q379" s="763"/>
      <c r="R379" s="763"/>
      <c r="S379" s="763"/>
      <c r="T379" s="763"/>
      <c r="U379" s="763"/>
      <c r="V379" s="763"/>
      <c r="W379" s="763"/>
      <c r="X379" s="763"/>
      <c r="Y379" s="763"/>
      <c r="Z379" s="763"/>
      <c r="AA379" s="763"/>
      <c r="AB379" s="763"/>
      <c r="AC379" s="763"/>
      <c r="AD379" s="763"/>
      <c r="AE379" s="763"/>
      <c r="AF379" s="763"/>
      <c r="AG379" s="763"/>
      <c r="AH379" s="763"/>
      <c r="AI379" s="763"/>
      <c r="AJ379" s="763"/>
      <c r="AK379" s="763"/>
      <c r="AL379" s="763"/>
      <c r="AM379" s="763"/>
      <c r="AN379" s="763"/>
      <c r="AO379" s="763"/>
      <c r="AP379" s="763"/>
      <c r="AQ379" s="763"/>
      <c r="AR379" s="763"/>
      <c r="AS379" s="763"/>
      <c r="AT379" s="763"/>
      <c r="AU379" s="763"/>
      <c r="AV379" s="763"/>
      <c r="AW379" s="763"/>
      <c r="AX379" s="763"/>
      <c r="AY379" s="763"/>
      <c r="AZ379" s="763"/>
      <c r="BA379" s="763"/>
      <c r="BB379" s="763"/>
      <c r="BC379" s="763"/>
      <c r="BD379" s="763"/>
      <c r="BE379" s="763"/>
    </row>
    <row r="380" spans="1:57">
      <c r="A380" s="763"/>
      <c r="B380" s="763"/>
      <c r="C380" s="763"/>
      <c r="D380" s="763"/>
      <c r="E380" s="763"/>
      <c r="F380" s="763"/>
      <c r="G380" s="763"/>
      <c r="H380" s="763"/>
      <c r="I380" s="763"/>
      <c r="J380" s="763"/>
      <c r="K380" s="763"/>
      <c r="L380" s="763"/>
      <c r="M380" s="763"/>
      <c r="N380" s="763"/>
      <c r="O380" s="763"/>
      <c r="P380" s="763"/>
      <c r="Q380" s="763"/>
      <c r="R380" s="763"/>
      <c r="S380" s="763"/>
      <c r="T380" s="763"/>
      <c r="U380" s="763"/>
      <c r="V380" s="763"/>
      <c r="W380" s="763"/>
      <c r="X380" s="763"/>
      <c r="Y380" s="763"/>
      <c r="Z380" s="763"/>
      <c r="AA380" s="763"/>
      <c r="AB380" s="763"/>
      <c r="AC380" s="763"/>
      <c r="AD380" s="763"/>
      <c r="AE380" s="763"/>
      <c r="AF380" s="763"/>
      <c r="AG380" s="763"/>
      <c r="AH380" s="763"/>
      <c r="AI380" s="763"/>
      <c r="AJ380" s="763"/>
      <c r="AK380" s="763"/>
      <c r="AL380" s="763"/>
      <c r="AM380" s="763"/>
      <c r="AN380" s="763"/>
      <c r="AO380" s="763"/>
      <c r="AP380" s="763"/>
      <c r="AQ380" s="763"/>
      <c r="AR380" s="763"/>
      <c r="AS380" s="763"/>
      <c r="AT380" s="763"/>
      <c r="AU380" s="763"/>
      <c r="AV380" s="763"/>
      <c r="AW380" s="763"/>
      <c r="AX380" s="763"/>
      <c r="AY380" s="763"/>
      <c r="AZ380" s="763"/>
      <c r="BA380" s="763"/>
      <c r="BB380" s="763"/>
      <c r="BC380" s="763"/>
      <c r="BD380" s="763"/>
      <c r="BE380" s="763"/>
    </row>
    <row r="381" spans="1:57">
      <c r="A381" s="763"/>
      <c r="B381" s="763"/>
      <c r="C381" s="763"/>
      <c r="D381" s="763"/>
      <c r="E381" s="763"/>
      <c r="F381" s="763"/>
      <c r="G381" s="763"/>
      <c r="H381" s="763"/>
      <c r="I381" s="763"/>
      <c r="J381" s="763"/>
      <c r="K381" s="763"/>
      <c r="L381" s="763"/>
      <c r="M381" s="763"/>
      <c r="N381" s="763"/>
      <c r="O381" s="763"/>
      <c r="P381" s="763"/>
      <c r="Q381" s="763"/>
      <c r="R381" s="763"/>
      <c r="S381" s="763"/>
      <c r="T381" s="763"/>
      <c r="U381" s="763"/>
      <c r="V381" s="763"/>
      <c r="W381" s="763"/>
      <c r="X381" s="763"/>
      <c r="Y381" s="763"/>
      <c r="Z381" s="763"/>
      <c r="AA381" s="763"/>
      <c r="AB381" s="763"/>
      <c r="AC381" s="763"/>
      <c r="AD381" s="763"/>
      <c r="AE381" s="763"/>
      <c r="AF381" s="763"/>
      <c r="AG381" s="763"/>
      <c r="AH381" s="763"/>
      <c r="AI381" s="763"/>
      <c r="AJ381" s="763"/>
      <c r="AK381" s="763"/>
      <c r="AL381" s="763"/>
      <c r="AM381" s="763"/>
      <c r="AN381" s="763"/>
      <c r="AO381" s="763"/>
      <c r="AP381" s="763"/>
      <c r="AQ381" s="763"/>
      <c r="AR381" s="763"/>
      <c r="AS381" s="763"/>
      <c r="AT381" s="763"/>
      <c r="AU381" s="763"/>
      <c r="AV381" s="763"/>
      <c r="AW381" s="763"/>
      <c r="AX381" s="763"/>
      <c r="AY381" s="763"/>
      <c r="AZ381" s="763"/>
      <c r="BA381" s="763"/>
      <c r="BB381" s="763"/>
      <c r="BC381" s="763"/>
      <c r="BD381" s="763"/>
      <c r="BE381" s="763"/>
    </row>
  </sheetData>
  <sortState xmlns:xlrd2="http://schemas.microsoft.com/office/spreadsheetml/2017/richdata2" ref="B116:C125">
    <sortCondition ref="C116:C125"/>
  </sortState>
  <pageMargins left="0.70866141732283472" right="0.70866141732283472" top="0.74803149606299213" bottom="0.74803149606299213" header="0.31496062992125984" footer="0.31496062992125984"/>
  <pageSetup paperSize="9" scale="34"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T6434"/>
  <sheetViews>
    <sheetView topLeftCell="A4" zoomScale="78" zoomScaleNormal="115" workbookViewId="0">
      <selection activeCell="C4" sqref="C4"/>
    </sheetView>
  </sheetViews>
  <sheetFormatPr defaultRowHeight="15"/>
  <cols>
    <col min="2" max="2" width="34.140625" customWidth="1"/>
    <col min="3" max="11" width="8.85546875" customWidth="1"/>
    <col min="12" max="12" width="11.140625" bestFit="1" customWidth="1"/>
  </cols>
  <sheetData>
    <row r="2" spans="2:4">
      <c r="B2" t="s">
        <v>2492</v>
      </c>
    </row>
    <row r="3" spans="2:4">
      <c r="C3" t="s">
        <v>2493</v>
      </c>
    </row>
    <row r="4" spans="2:4">
      <c r="C4" t="s">
        <v>2494</v>
      </c>
    </row>
    <row r="5" spans="2:4">
      <c r="C5" t="s">
        <v>2495</v>
      </c>
    </row>
    <row r="6" spans="2:4">
      <c r="D6" t="s">
        <v>2496</v>
      </c>
    </row>
    <row r="7" spans="2:4">
      <c r="D7" t="s">
        <v>2497</v>
      </c>
    </row>
    <row r="8" spans="2:4">
      <c r="C8" t="s">
        <v>2498</v>
      </c>
    </row>
    <row r="10" spans="2:4">
      <c r="B10" t="s">
        <v>2499</v>
      </c>
    </row>
    <row r="11" spans="2:4">
      <c r="B11" t="s">
        <v>2500</v>
      </c>
    </row>
    <row r="12" spans="2:4">
      <c r="C12" t="s">
        <v>2501</v>
      </c>
    </row>
    <row r="13" spans="2:4">
      <c r="C13" t="s">
        <v>2502</v>
      </c>
    </row>
    <row r="14" spans="2:4">
      <c r="C14" t="s">
        <v>2503</v>
      </c>
    </row>
    <row r="15" spans="2:4">
      <c r="B15" t="s">
        <v>100</v>
      </c>
    </row>
    <row r="16" spans="2:4">
      <c r="C16" t="s">
        <v>2504</v>
      </c>
    </row>
    <row r="17" spans="2:14">
      <c r="C17" t="s">
        <v>2505</v>
      </c>
    </row>
    <row r="18" spans="2:14">
      <c r="B18" t="s">
        <v>2506</v>
      </c>
    </row>
    <row r="19" spans="2:14">
      <c r="C19" t="s">
        <v>2507</v>
      </c>
    </row>
    <row r="20" spans="2:14">
      <c r="C20" t="s">
        <v>2508</v>
      </c>
    </row>
    <row r="21" spans="2:14">
      <c r="C21" t="s">
        <v>2509</v>
      </c>
    </row>
    <row r="22" spans="2:14">
      <c r="C22" t="s">
        <v>2510</v>
      </c>
    </row>
    <row r="23" spans="2:14">
      <c r="C23" t="s">
        <v>2416</v>
      </c>
    </row>
    <row r="24" spans="2:14">
      <c r="B24" t="s">
        <v>2511</v>
      </c>
    </row>
    <row r="25" spans="2:14">
      <c r="C25" t="s">
        <v>2512</v>
      </c>
    </row>
    <row r="26" spans="2:14">
      <c r="C26" t="s">
        <v>2513</v>
      </c>
    </row>
    <row r="27" spans="2:14">
      <c r="C27" t="s">
        <v>2514</v>
      </c>
    </row>
    <row r="29" spans="2:14">
      <c r="B29" s="2" t="s">
        <v>2515</v>
      </c>
      <c r="N29" s="2" t="s">
        <v>2516</v>
      </c>
    </row>
    <row r="30" spans="2:14">
      <c r="B30" t="s">
        <v>2517</v>
      </c>
      <c r="N30" t="s">
        <v>2518</v>
      </c>
    </row>
    <row r="31" spans="2:14">
      <c r="B31" t="s">
        <v>2519</v>
      </c>
      <c r="N31" t="s">
        <v>2520</v>
      </c>
    </row>
    <row r="32" spans="2:14">
      <c r="B32" t="s">
        <v>2521</v>
      </c>
      <c r="N32" t="s">
        <v>2522</v>
      </c>
    </row>
    <row r="34" spans="2:2">
      <c r="B34" t="s">
        <v>2523</v>
      </c>
    </row>
    <row r="35" spans="2:2">
      <c r="B35" t="s">
        <v>2524</v>
      </c>
    </row>
    <row r="36" spans="2:2">
      <c r="B36" t="s">
        <v>2525</v>
      </c>
    </row>
    <row r="37" spans="2:2">
      <c r="B37" t="s">
        <v>2526</v>
      </c>
    </row>
    <row r="38" spans="2:2">
      <c r="B38" t="s">
        <v>2527</v>
      </c>
    </row>
    <row r="39" spans="2:2">
      <c r="B39" t="s">
        <v>2528</v>
      </c>
    </row>
    <row r="40" spans="2:2">
      <c r="B40" t="s">
        <v>2529</v>
      </c>
    </row>
    <row r="41" spans="2:2">
      <c r="B41" t="s">
        <v>2530</v>
      </c>
    </row>
    <row r="42" spans="2:2">
      <c r="B42" t="s">
        <v>2531</v>
      </c>
    </row>
    <row r="43" spans="2:2">
      <c r="B43" t="s">
        <v>2532</v>
      </c>
    </row>
    <row r="44" spans="2:2">
      <c r="B44" t="s">
        <v>2533</v>
      </c>
    </row>
    <row r="45" spans="2:2">
      <c r="B45" t="s">
        <v>2534</v>
      </c>
    </row>
    <row r="46" spans="2:2">
      <c r="B46" t="s">
        <v>2535</v>
      </c>
    </row>
    <row r="48" spans="2:2">
      <c r="B48" s="2" t="s">
        <v>2536</v>
      </c>
    </row>
    <row r="49" spans="1:5">
      <c r="B49" s="7" t="s">
        <v>2537</v>
      </c>
    </row>
    <row r="50" spans="1:5">
      <c r="B50" t="s">
        <v>2538</v>
      </c>
    </row>
    <row r="52" spans="1:5">
      <c r="B52" t="s">
        <v>2539</v>
      </c>
    </row>
    <row r="53" spans="1:5">
      <c r="B53" t="s">
        <v>2540</v>
      </c>
    </row>
    <row r="54" spans="1:5">
      <c r="B54" s="7" t="s">
        <v>2541</v>
      </c>
    </row>
    <row r="55" spans="1:5">
      <c r="B55" s="2" t="s">
        <v>2542</v>
      </c>
    </row>
    <row r="56" spans="1:5">
      <c r="B56" t="s">
        <v>2543</v>
      </c>
    </row>
    <row r="57" spans="1:5">
      <c r="B57" t="s">
        <v>2544</v>
      </c>
    </row>
    <row r="58" spans="1:5">
      <c r="B58" t="s">
        <v>2545</v>
      </c>
    </row>
    <row r="59" spans="1:5">
      <c r="B59" t="s">
        <v>2546</v>
      </c>
    </row>
    <row r="61" spans="1:5">
      <c r="B61" s="2" t="s">
        <v>2547</v>
      </c>
    </row>
    <row r="63" spans="1:5">
      <c r="B63" s="42" t="s">
        <v>1404</v>
      </c>
    </row>
    <row r="64" spans="1:5">
      <c r="A64" s="8">
        <f>SEGMENTOS!AF7/SUM(SEGMENTOS!AF$7:AF$9)</f>
        <v>0.74965848788945522</v>
      </c>
      <c r="B64" t="str">
        <f>SEGMENTOS!A7</f>
        <v>Television Broadcasting</v>
      </c>
      <c r="E64" t="s">
        <v>2548</v>
      </c>
    </row>
    <row r="65" spans="1:12">
      <c r="A65" s="8">
        <f>SEGMENTOS!AF8/SUM(SEGMENTOS!AF$7:AF$9)</f>
        <v>0.11771988125886618</v>
      </c>
      <c r="B65" t="str">
        <f>SEGMENTOS!A8</f>
        <v>Pay Television Networks</v>
      </c>
      <c r="E65" t="s">
        <v>2549</v>
      </c>
    </row>
    <row r="66" spans="1:12">
      <c r="A66" s="8">
        <f>SEGMENTOS!AF9/SUM(SEGMENTOS!AF$7:AF$9)</f>
        <v>0.13262163085167866</v>
      </c>
      <c r="B66" t="str">
        <f>SEGMENTOS!A9</f>
        <v>Programming Exports</v>
      </c>
      <c r="E66" t="s">
        <v>2550</v>
      </c>
    </row>
    <row r="68" spans="1:12">
      <c r="B68" s="42" t="s">
        <v>2107</v>
      </c>
    </row>
    <row r="69" spans="1:12">
      <c r="B69" t="str">
        <f>Interims!A8</f>
        <v>Advertising</v>
      </c>
      <c r="E69" t="s">
        <v>2551</v>
      </c>
    </row>
    <row r="70" spans="1:12">
      <c r="B70" t="str">
        <f>Interims!A9</f>
        <v>Network Subscription Revenue</v>
      </c>
      <c r="E70" t="s">
        <v>2552</v>
      </c>
    </row>
    <row r="71" spans="1:12">
      <c r="B71" t="str">
        <f>Interims!A10</f>
        <v>Licensing and Syndication</v>
      </c>
    </row>
    <row r="72" spans="1:12">
      <c r="B72" s="2"/>
    </row>
    <row r="74" spans="1:12">
      <c r="B74" s="1" t="s">
        <v>2553</v>
      </c>
      <c r="C74" s="1"/>
      <c r="D74" s="1" t="s">
        <v>2554</v>
      </c>
    </row>
    <row r="75" spans="1:12">
      <c r="B75" s="1"/>
      <c r="C75" s="1"/>
      <c r="D75" s="1" t="s">
        <v>2555</v>
      </c>
    </row>
    <row r="76" spans="1:12">
      <c r="B76" s="42" t="s">
        <v>2556</v>
      </c>
    </row>
    <row r="77" spans="1:12">
      <c r="B77" s="2" t="s">
        <v>6</v>
      </c>
    </row>
    <row r="78" spans="1:12">
      <c r="B78" t="s">
        <v>2557</v>
      </c>
    </row>
    <row r="79" spans="1:12">
      <c r="B79" t="s">
        <v>2558</v>
      </c>
      <c r="L79" t="s">
        <v>2559</v>
      </c>
    </row>
    <row r="80" spans="1:12">
      <c r="B80" t="s">
        <v>2560</v>
      </c>
    </row>
    <row r="81" spans="2:2">
      <c r="B81" t="s">
        <v>2561</v>
      </c>
    </row>
    <row r="82" spans="2:2">
      <c r="B82" t="s">
        <v>2562</v>
      </c>
    </row>
    <row r="83" spans="2:2">
      <c r="B83" s="2" t="s">
        <v>2563</v>
      </c>
    </row>
    <row r="84" spans="2:2">
      <c r="B84" t="s">
        <v>2564</v>
      </c>
    </row>
    <row r="85" spans="2:2">
      <c r="B85" t="s">
        <v>2565</v>
      </c>
    </row>
    <row r="86" spans="2:2">
      <c r="B86" t="s">
        <v>2566</v>
      </c>
    </row>
    <row r="87" spans="2:2">
      <c r="B87" t="s">
        <v>2567</v>
      </c>
    </row>
    <row r="88" spans="2:2">
      <c r="B88" t="s">
        <v>2568</v>
      </c>
    </row>
    <row r="89" spans="2:2">
      <c r="B89" s="2"/>
    </row>
    <row r="90" spans="2:2">
      <c r="B90" t="s">
        <v>2569</v>
      </c>
    </row>
    <row r="91" spans="2:2">
      <c r="B91" t="s">
        <v>2570</v>
      </c>
    </row>
    <row r="92" spans="2:2">
      <c r="B92" t="s">
        <v>2571</v>
      </c>
    </row>
    <row r="94" spans="2:2">
      <c r="B94" s="2" t="s">
        <v>2572</v>
      </c>
    </row>
    <row r="95" spans="2:2">
      <c r="B95" t="s">
        <v>2573</v>
      </c>
    </row>
    <row r="96" spans="2:2">
      <c r="B96" t="s">
        <v>2574</v>
      </c>
    </row>
    <row r="97" spans="2:2">
      <c r="B97" t="s">
        <v>2575</v>
      </c>
    </row>
    <row r="98" spans="2:2">
      <c r="B98" s="2" t="s">
        <v>52</v>
      </c>
    </row>
    <row r="99" spans="2:2">
      <c r="B99" s="1" t="s">
        <v>2576</v>
      </c>
    </row>
    <row r="100" spans="2:2">
      <c r="B100" t="s">
        <v>2577</v>
      </c>
    </row>
    <row r="101" spans="2:2">
      <c r="B101" t="s">
        <v>2578</v>
      </c>
    </row>
    <row r="103" spans="2:2">
      <c r="B103" t="s">
        <v>1428</v>
      </c>
    </row>
    <row r="104" spans="2:2">
      <c r="B104" t="s">
        <v>2579</v>
      </c>
    </row>
    <row r="105" spans="2:2">
      <c r="B105" t="s">
        <v>2580</v>
      </c>
    </row>
    <row r="107" spans="2:2">
      <c r="B107" t="s">
        <v>2581</v>
      </c>
    </row>
    <row r="108" spans="2:2">
      <c r="B108" t="s">
        <v>2582</v>
      </c>
    </row>
    <row r="109" spans="2:2">
      <c r="B109" t="s">
        <v>2583</v>
      </c>
    </row>
    <row r="110" spans="2:2">
      <c r="B110" t="s">
        <v>2584</v>
      </c>
    </row>
    <row r="112" spans="2:2">
      <c r="B112" s="2" t="s">
        <v>193</v>
      </c>
    </row>
    <row r="113" spans="2:4">
      <c r="B113" t="s">
        <v>2585</v>
      </c>
    </row>
    <row r="114" spans="2:4">
      <c r="B114" t="s">
        <v>2586</v>
      </c>
    </row>
    <row r="115" spans="2:4">
      <c r="B115" t="s">
        <v>2587</v>
      </c>
    </row>
    <row r="116" spans="2:4">
      <c r="B116" t="s">
        <v>2588</v>
      </c>
    </row>
    <row r="118" spans="2:4">
      <c r="B118" s="2" t="s">
        <v>1066</v>
      </c>
    </row>
    <row r="119" spans="2:4">
      <c r="B119" t="s">
        <v>2589</v>
      </c>
    </row>
    <row r="120" spans="2:4">
      <c r="B120" t="s">
        <v>2590</v>
      </c>
    </row>
    <row r="121" spans="2:4">
      <c r="B121" s="2">
        <v>2009</v>
      </c>
      <c r="C121" s="2">
        <f>B121+1</f>
        <v>2010</v>
      </c>
      <c r="D121" s="2">
        <f>C121+1</f>
        <v>2011</v>
      </c>
    </row>
    <row r="122" spans="2:4">
      <c r="B122" s="3" t="s">
        <v>2591</v>
      </c>
      <c r="C122" s="3" t="s">
        <v>2592</v>
      </c>
      <c r="D122" s="3" t="s">
        <v>2593</v>
      </c>
    </row>
    <row r="123" spans="2:4">
      <c r="B123" t="s">
        <v>2594</v>
      </c>
    </row>
    <row r="124" spans="2:4">
      <c r="B124" t="s">
        <v>2595</v>
      </c>
    </row>
    <row r="125" spans="2:4">
      <c r="B125" t="s">
        <v>2596</v>
      </c>
    </row>
    <row r="126" spans="2:4">
      <c r="B126">
        <f>49/0.02</f>
        <v>2450</v>
      </c>
    </row>
    <row r="127" spans="2:4">
      <c r="B127" t="s">
        <v>2597</v>
      </c>
    </row>
    <row r="129" spans="2:19">
      <c r="B129" s="2" t="s">
        <v>106</v>
      </c>
    </row>
    <row r="130" spans="2:19">
      <c r="B130" t="s">
        <v>2598</v>
      </c>
      <c r="N130" t="s">
        <v>57</v>
      </c>
    </row>
    <row r="131" spans="2:19">
      <c r="B131" t="s">
        <v>2599</v>
      </c>
    </row>
    <row r="132" spans="2:19">
      <c r="B132" t="s">
        <v>2600</v>
      </c>
      <c r="O132">
        <v>2011</v>
      </c>
      <c r="P132">
        <f>O132+1</f>
        <v>2012</v>
      </c>
      <c r="Q132">
        <f>P132+1</f>
        <v>2013</v>
      </c>
      <c r="R132">
        <f>Q132+1</f>
        <v>2014</v>
      </c>
      <c r="S132">
        <f>R132+1</f>
        <v>2015</v>
      </c>
    </row>
    <row r="133" spans="2:19">
      <c r="B133" t="s">
        <v>2601</v>
      </c>
      <c r="N133" t="s">
        <v>2602</v>
      </c>
      <c r="O133">
        <v>1.39</v>
      </c>
      <c r="P133">
        <v>1.28</v>
      </c>
      <c r="Q133">
        <v>1.26</v>
      </c>
      <c r="R133">
        <f>Q133</f>
        <v>1.26</v>
      </c>
      <c r="S133">
        <f>R133</f>
        <v>1.26</v>
      </c>
    </row>
    <row r="134" spans="2:19">
      <c r="B134" t="s">
        <v>2603</v>
      </c>
      <c r="N134" t="s">
        <v>1172</v>
      </c>
      <c r="O134">
        <v>572</v>
      </c>
      <c r="P134" s="4">
        <v>342.96999817177419</v>
      </c>
      <c r="Q134" s="4">
        <v>380.61019549819048</v>
      </c>
      <c r="R134" s="4">
        <v>430.85959692479395</v>
      </c>
      <c r="S134" s="4">
        <v>487.02381338634621</v>
      </c>
    </row>
    <row r="135" spans="2:19">
      <c r="B135" t="s">
        <v>2604</v>
      </c>
      <c r="N135" t="s">
        <v>126</v>
      </c>
      <c r="O135" s="4">
        <f>O133*O134</f>
        <v>795.07999999999993</v>
      </c>
      <c r="P135" s="4">
        <f>P133*P134</f>
        <v>439.00159765987098</v>
      </c>
      <c r="Q135" s="4">
        <f>Q133*Q134</f>
        <v>479.56884632772</v>
      </c>
      <c r="R135" s="4">
        <f>R133*R134</f>
        <v>542.88309212524041</v>
      </c>
      <c r="S135" s="4">
        <f>S133*S134</f>
        <v>613.65000486679617</v>
      </c>
    </row>
    <row r="136" spans="2:19">
      <c r="B136" t="s">
        <v>2605</v>
      </c>
      <c r="N136" s="5" t="s">
        <v>2606</v>
      </c>
      <c r="O136" s="6">
        <f>SUM(O135:S135)</f>
        <v>2870.1835409796277</v>
      </c>
    </row>
    <row r="137" spans="2:19">
      <c r="B137" t="s">
        <v>2607</v>
      </c>
      <c r="N137" t="s">
        <v>2608</v>
      </c>
      <c r="O137">
        <f>O132</f>
        <v>2011</v>
      </c>
      <c r="P137">
        <f>P132</f>
        <v>2012</v>
      </c>
      <c r="Q137">
        <f>Q132</f>
        <v>2013</v>
      </c>
      <c r="R137">
        <f>R132</f>
        <v>2014</v>
      </c>
      <c r="S137">
        <f>S132</f>
        <v>2015</v>
      </c>
    </row>
    <row r="138" spans="2:19">
      <c r="B138" t="s">
        <v>2609</v>
      </c>
      <c r="N138" t="s">
        <v>126</v>
      </c>
      <c r="O138" s="4">
        <v>730.40000000000009</v>
      </c>
      <c r="P138" s="4">
        <v>613.77951086116855</v>
      </c>
      <c r="Q138" s="4">
        <v>631.02555832922405</v>
      </c>
      <c r="R138" s="4">
        <v>696.73453047598673</v>
      </c>
      <c r="S138" s="4">
        <v>750.49853089899489</v>
      </c>
    </row>
    <row r="139" spans="2:19">
      <c r="N139" s="5" t="s">
        <v>2606</v>
      </c>
      <c r="O139" s="6">
        <f>SUM(O138:S138)</f>
        <v>3422.4381305653746</v>
      </c>
      <c r="P139" s="4"/>
      <c r="Q139" s="4"/>
      <c r="R139" s="4"/>
      <c r="S139" s="4"/>
    </row>
    <row r="140" spans="2:19">
      <c r="B140" s="2" t="s">
        <v>832</v>
      </c>
    </row>
    <row r="141" spans="2:19">
      <c r="B141" s="1" t="s">
        <v>2610</v>
      </c>
      <c r="O141" s="4"/>
      <c r="P141" s="4"/>
      <c r="Q141" s="4"/>
      <c r="R141" s="4"/>
      <c r="S141" s="4"/>
    </row>
    <row r="142" spans="2:19">
      <c r="B142" t="s">
        <v>2611</v>
      </c>
      <c r="O142" s="4"/>
      <c r="P142" s="4"/>
      <c r="Q142" s="4"/>
      <c r="R142" s="4"/>
      <c r="S142" s="4"/>
    </row>
    <row r="143" spans="2:19">
      <c r="B143" t="s">
        <v>2612</v>
      </c>
      <c r="O143" s="4"/>
      <c r="P143" s="4"/>
      <c r="Q143" s="4"/>
      <c r="R143" s="4"/>
      <c r="S143" s="4"/>
    </row>
    <row r="144" spans="2:19">
      <c r="B144" t="s">
        <v>2613</v>
      </c>
      <c r="O144" s="4"/>
      <c r="P144" s="4"/>
      <c r="Q144" s="4"/>
      <c r="R144" s="4"/>
      <c r="S144" s="4"/>
    </row>
    <row r="145" spans="2:19">
      <c r="B145" t="s">
        <v>2614</v>
      </c>
      <c r="O145" s="4"/>
      <c r="P145" s="4"/>
      <c r="Q145" s="4"/>
      <c r="R145" s="4"/>
      <c r="S145" s="4"/>
    </row>
    <row r="146" spans="2:19">
      <c r="B146" t="s">
        <v>2615</v>
      </c>
      <c r="O146" s="4"/>
      <c r="P146" s="4"/>
      <c r="Q146" s="4"/>
      <c r="R146" s="4"/>
      <c r="S146" s="4"/>
    </row>
    <row r="147" spans="2:19">
      <c r="B147" t="s">
        <v>2616</v>
      </c>
      <c r="O147" s="4"/>
      <c r="P147" s="4"/>
      <c r="Q147" s="4"/>
      <c r="R147" s="4"/>
      <c r="S147" s="4"/>
    </row>
    <row r="148" spans="2:19">
      <c r="B148" t="s">
        <v>2617</v>
      </c>
      <c r="O148" s="4"/>
      <c r="P148" s="4"/>
      <c r="Q148" s="4"/>
      <c r="R148" s="4"/>
      <c r="S148" s="4"/>
    </row>
    <row r="149" spans="2:19">
      <c r="O149" s="4"/>
      <c r="P149" s="4"/>
      <c r="Q149" s="4"/>
      <c r="R149" s="4"/>
      <c r="S149" s="4"/>
    </row>
    <row r="150" spans="2:19">
      <c r="B150" s="2" t="s">
        <v>107</v>
      </c>
    </row>
    <row r="151" spans="2:19">
      <c r="B151" t="s">
        <v>2618</v>
      </c>
    </row>
    <row r="152" spans="2:19">
      <c r="B152" t="s">
        <v>2619</v>
      </c>
    </row>
    <row r="154" spans="2:19">
      <c r="B154" t="s">
        <v>2620</v>
      </c>
    </row>
    <row r="155" spans="2:19">
      <c r="B155" t="s">
        <v>2621</v>
      </c>
    </row>
    <row r="156" spans="2:19">
      <c r="B156" t="s">
        <v>2622</v>
      </c>
    </row>
    <row r="157" spans="2:19">
      <c r="B157" t="s">
        <v>2623</v>
      </c>
    </row>
    <row r="158" spans="2:19">
      <c r="B158" t="s">
        <v>2624</v>
      </c>
    </row>
    <row r="160" spans="2:19">
      <c r="B160" s="1" t="s">
        <v>2625</v>
      </c>
    </row>
    <row r="162" spans="2:3">
      <c r="B162" s="2" t="s">
        <v>2563</v>
      </c>
    </row>
    <row r="163" spans="2:3">
      <c r="B163" t="s">
        <v>2626</v>
      </c>
    </row>
    <row r="164" spans="2:3">
      <c r="B164" t="s">
        <v>2627</v>
      </c>
    </row>
    <row r="165" spans="2:3">
      <c r="B165" t="s">
        <v>2628</v>
      </c>
    </row>
    <row r="166" spans="2:3">
      <c r="B166" t="s">
        <v>57</v>
      </c>
    </row>
    <row r="167" spans="2:3">
      <c r="B167" s="2" t="s">
        <v>2629</v>
      </c>
    </row>
    <row r="168" spans="2:3">
      <c r="B168" t="s">
        <v>2630</v>
      </c>
    </row>
    <row r="169" spans="2:3">
      <c r="B169" t="s">
        <v>2631</v>
      </c>
    </row>
    <row r="170" spans="2:3">
      <c r="B170" t="s">
        <v>2632</v>
      </c>
    </row>
    <row r="172" spans="2:3">
      <c r="B172" t="s">
        <v>97</v>
      </c>
      <c r="C172" s="8">
        <v>0.32</v>
      </c>
    </row>
    <row r="173" spans="2:3">
      <c r="B173" t="s">
        <v>2633</v>
      </c>
      <c r="C173" s="8">
        <v>0.17</v>
      </c>
    </row>
    <row r="174" spans="2:3">
      <c r="B174" t="s">
        <v>468</v>
      </c>
      <c r="C174" s="8">
        <v>0.17</v>
      </c>
    </row>
    <row r="175" spans="2:3">
      <c r="B175" t="s">
        <v>484</v>
      </c>
      <c r="C175" s="8">
        <v>0.1</v>
      </c>
    </row>
    <row r="176" spans="2:3">
      <c r="B176" t="s">
        <v>483</v>
      </c>
      <c r="C176" s="8">
        <v>0.09</v>
      </c>
    </row>
    <row r="177" spans="2:3">
      <c r="B177" t="s">
        <v>107</v>
      </c>
      <c r="C177" s="8">
        <f>100%-SUM(C172:C176)</f>
        <v>0.15000000000000002</v>
      </c>
    </row>
    <row r="188" spans="2:3">
      <c r="B188" s="42" t="s">
        <v>2634</v>
      </c>
    </row>
    <row r="189" spans="2:3">
      <c r="B189" t="s">
        <v>2635</v>
      </c>
    </row>
    <row r="190" spans="2:3">
      <c r="B190" s="42" t="s">
        <v>2636</v>
      </c>
    </row>
    <row r="191" spans="2:3">
      <c r="B191" t="s">
        <v>2637</v>
      </c>
    </row>
    <row r="192" spans="2:3">
      <c r="B192" t="s">
        <v>2638</v>
      </c>
    </row>
    <row r="193" spans="2:2">
      <c r="B193" t="s">
        <v>2639</v>
      </c>
    </row>
    <row r="195" spans="2:2">
      <c r="B195" t="s">
        <v>2640</v>
      </c>
    </row>
    <row r="196" spans="2:2">
      <c r="B196" t="s">
        <v>2641</v>
      </c>
    </row>
    <row r="197" spans="2:2">
      <c r="B197" t="s">
        <v>2642</v>
      </c>
    </row>
    <row r="198" spans="2:2">
      <c r="B198" t="s">
        <v>2643</v>
      </c>
    </row>
    <row r="199" spans="2:2">
      <c r="B199" t="s">
        <v>2644</v>
      </c>
    </row>
    <row r="200" spans="2:2">
      <c r="B200" t="s">
        <v>2645</v>
      </c>
    </row>
    <row r="201" spans="2:2">
      <c r="B201" t="s">
        <v>2646</v>
      </c>
    </row>
    <row r="203" spans="2:2">
      <c r="B203" s="2" t="s">
        <v>2647</v>
      </c>
    </row>
    <row r="204" spans="2:2">
      <c r="B204" t="s">
        <v>2648</v>
      </c>
    </row>
    <row r="205" spans="2:2">
      <c r="B205" t="s">
        <v>2649</v>
      </c>
    </row>
    <row r="206" spans="2:2">
      <c r="B206" t="s">
        <v>2650</v>
      </c>
    </row>
    <row r="207" spans="2:2">
      <c r="B207" t="s">
        <v>2651</v>
      </c>
    </row>
    <row r="208" spans="2:2">
      <c r="B208" t="s">
        <v>2652</v>
      </c>
    </row>
    <row r="210" spans="2:2">
      <c r="B210" s="121" t="s">
        <v>2653</v>
      </c>
    </row>
    <row r="212" spans="2:2">
      <c r="B212" t="s">
        <v>2654</v>
      </c>
    </row>
    <row r="213" spans="2:2">
      <c r="B213" t="s">
        <v>2655</v>
      </c>
    </row>
    <row r="214" spans="2:2">
      <c r="B214" t="s">
        <v>2656</v>
      </c>
    </row>
    <row r="215" spans="2:2">
      <c r="B215" t="s">
        <v>2657</v>
      </c>
    </row>
    <row r="216" spans="2:2">
      <c r="B216" t="s">
        <v>2658</v>
      </c>
    </row>
    <row r="217" spans="2:2">
      <c r="B217" t="s">
        <v>2659</v>
      </c>
    </row>
    <row r="218" spans="2:2">
      <c r="B218" t="s">
        <v>2660</v>
      </c>
    </row>
    <row r="219" spans="2:2">
      <c r="B219" t="s">
        <v>2661</v>
      </c>
    </row>
    <row r="220" spans="2:2">
      <c r="B220" t="s">
        <v>2662</v>
      </c>
    </row>
    <row r="222" spans="2:2">
      <c r="B222" t="s">
        <v>2663</v>
      </c>
    </row>
    <row r="223" spans="2:2">
      <c r="B223" t="s">
        <v>2664</v>
      </c>
    </row>
    <row r="224" spans="2:2">
      <c r="B224" t="s">
        <v>2665</v>
      </c>
    </row>
    <row r="226" spans="2:2">
      <c r="B226" t="s">
        <v>2666</v>
      </c>
    </row>
    <row r="227" spans="2:2">
      <c r="B227" t="s">
        <v>2667</v>
      </c>
    </row>
    <row r="228" spans="2:2">
      <c r="B228" t="s">
        <v>2668</v>
      </c>
    </row>
    <row r="230" spans="2:2">
      <c r="B230" t="s">
        <v>2669</v>
      </c>
    </row>
    <row r="232" spans="2:2">
      <c r="B232" t="s">
        <v>2670</v>
      </c>
    </row>
    <row r="233" spans="2:2">
      <c r="B233" t="s">
        <v>2671</v>
      </c>
    </row>
    <row r="235" spans="2:2">
      <c r="B235" s="121" t="s">
        <v>2672</v>
      </c>
    </row>
    <row r="237" spans="2:2">
      <c r="B237" t="s">
        <v>2673</v>
      </c>
    </row>
    <row r="238" spans="2:2">
      <c r="B238" t="s">
        <v>2674</v>
      </c>
    </row>
    <row r="240" spans="2:2">
      <c r="B240" t="s">
        <v>2675</v>
      </c>
    </row>
    <row r="241" spans="2:3">
      <c r="B241" t="s">
        <v>2676</v>
      </c>
    </row>
    <row r="242" spans="2:3">
      <c r="B242" t="s">
        <v>2677</v>
      </c>
    </row>
    <row r="243" spans="2:3">
      <c r="B243" t="s">
        <v>2678</v>
      </c>
    </row>
    <row r="244" spans="2:3">
      <c r="B244" t="s">
        <v>2679</v>
      </c>
    </row>
    <row r="246" spans="2:3">
      <c r="B246" s="2" t="s">
        <v>2680</v>
      </c>
    </row>
    <row r="248" spans="2:3">
      <c r="B248" t="s">
        <v>2681</v>
      </c>
    </row>
    <row r="249" spans="2:3">
      <c r="C249" t="s">
        <v>2682</v>
      </c>
    </row>
    <row r="250" spans="2:3">
      <c r="B250" t="s">
        <v>2683</v>
      </c>
    </row>
    <row r="251" spans="2:3">
      <c r="B251" t="s">
        <v>2684</v>
      </c>
    </row>
    <row r="253" spans="2:3">
      <c r="B253" t="s">
        <v>2685</v>
      </c>
    </row>
    <row r="254" spans="2:3">
      <c r="B254" t="s">
        <v>2686</v>
      </c>
    </row>
    <row r="255" spans="2:3">
      <c r="C255" t="s">
        <v>2687</v>
      </c>
    </row>
    <row r="256" spans="2:3">
      <c r="C256" t="s">
        <v>2688</v>
      </c>
    </row>
    <row r="257" spans="2:4">
      <c r="D257" t="s">
        <v>2689</v>
      </c>
    </row>
    <row r="258" spans="2:4">
      <c r="C258" t="s">
        <v>2690</v>
      </c>
    </row>
    <row r="259" spans="2:4">
      <c r="C259" t="s">
        <v>2691</v>
      </c>
    </row>
    <row r="261" spans="2:4">
      <c r="B261" t="s">
        <v>2692</v>
      </c>
    </row>
    <row r="262" spans="2:4">
      <c r="B262" t="s">
        <v>2693</v>
      </c>
    </row>
    <row r="263" spans="2:4">
      <c r="B263" t="s">
        <v>2694</v>
      </c>
    </row>
    <row r="264" spans="2:4">
      <c r="C264">
        <v>565</v>
      </c>
      <c r="D264" t="s">
        <v>2695</v>
      </c>
    </row>
    <row r="265" spans="2:4">
      <c r="C265">
        <v>300</v>
      </c>
      <c r="D265" t="s">
        <v>2696</v>
      </c>
    </row>
    <row r="266" spans="2:4">
      <c r="C266">
        <v>135</v>
      </c>
      <c r="D266" t="s">
        <v>2697</v>
      </c>
    </row>
    <row r="267" spans="2:4">
      <c r="B267" t="s">
        <v>2698</v>
      </c>
    </row>
    <row r="268" spans="2:4">
      <c r="B268" t="s">
        <v>2699</v>
      </c>
    </row>
    <row r="269" spans="2:4">
      <c r="B269" t="s">
        <v>2700</v>
      </c>
    </row>
    <row r="270" spans="2:4">
      <c r="C270" t="s">
        <v>2701</v>
      </c>
    </row>
    <row r="271" spans="2:4">
      <c r="B271" t="s">
        <v>2702</v>
      </c>
    </row>
    <row r="273" spans="1:3">
      <c r="B273" t="s">
        <v>2703</v>
      </c>
    </row>
    <row r="274" spans="1:3">
      <c r="B274" t="s">
        <v>2704</v>
      </c>
    </row>
    <row r="275" spans="1:3">
      <c r="B275" t="s">
        <v>2705</v>
      </c>
    </row>
    <row r="276" spans="1:3">
      <c r="C276" t="s">
        <v>2706</v>
      </c>
    </row>
    <row r="278" spans="1:3">
      <c r="A278" t="s">
        <v>57</v>
      </c>
      <c r="B278" s="2" t="s">
        <v>2707</v>
      </c>
    </row>
    <row r="279" spans="1:3">
      <c r="B279" s="2"/>
    </row>
    <row r="280" spans="1:3">
      <c r="B280" s="42" t="s">
        <v>2708</v>
      </c>
    </row>
    <row r="281" spans="1:3">
      <c r="B281" t="s">
        <v>2709</v>
      </c>
    </row>
    <row r="282" spans="1:3">
      <c r="B282" t="s">
        <v>2710</v>
      </c>
    </row>
    <row r="283" spans="1:3">
      <c r="B283" t="s">
        <v>2711</v>
      </c>
    </row>
    <row r="284" spans="1:3">
      <c r="B284" t="s">
        <v>2712</v>
      </c>
    </row>
    <row r="285" spans="1:3">
      <c r="B285" t="s">
        <v>2713</v>
      </c>
    </row>
    <row r="286" spans="1:3">
      <c r="B286" t="s">
        <v>2714</v>
      </c>
    </row>
    <row r="287" spans="1:3">
      <c r="B287" t="s">
        <v>2715</v>
      </c>
    </row>
    <row r="288" spans="1:3">
      <c r="C288" t="s">
        <v>2716</v>
      </c>
    </row>
    <row r="289" spans="2:3">
      <c r="C289" t="s">
        <v>2717</v>
      </c>
    </row>
    <row r="290" spans="2:3">
      <c r="B290" t="s">
        <v>2718</v>
      </c>
    </row>
    <row r="291" spans="2:3">
      <c r="B291" s="42" t="s">
        <v>2719</v>
      </c>
    </row>
    <row r="292" spans="2:3">
      <c r="B292" t="s">
        <v>2720</v>
      </c>
    </row>
    <row r="293" spans="2:3">
      <c r="B293" t="s">
        <v>2721</v>
      </c>
    </row>
    <row r="294" spans="2:3">
      <c r="B294" s="42" t="s">
        <v>2722</v>
      </c>
    </row>
    <row r="295" spans="2:3">
      <c r="B295" t="s">
        <v>2723</v>
      </c>
    </row>
    <row r="296" spans="2:3">
      <c r="B296" t="s">
        <v>2724</v>
      </c>
    </row>
    <row r="297" spans="2:3">
      <c r="B297" s="42" t="s">
        <v>106</v>
      </c>
    </row>
    <row r="298" spans="2:3">
      <c r="B298" t="s">
        <v>2725</v>
      </c>
    </row>
    <row r="300" spans="2:3">
      <c r="B300" s="2" t="s">
        <v>2726</v>
      </c>
    </row>
    <row r="301" spans="2:3">
      <c r="B301" t="s">
        <v>2727</v>
      </c>
    </row>
    <row r="302" spans="2:3">
      <c r="B302" t="s">
        <v>2728</v>
      </c>
    </row>
    <row r="303" spans="2:3">
      <c r="B303" s="218" t="s">
        <v>2729</v>
      </c>
    </row>
    <row r="304" spans="2:3">
      <c r="B304" s="218" t="s">
        <v>2730</v>
      </c>
    </row>
    <row r="305" spans="2:3">
      <c r="B305" s="218" t="s">
        <v>2731</v>
      </c>
    </row>
    <row r="306" spans="2:3">
      <c r="B306" s="218"/>
    </row>
    <row r="307" spans="2:3">
      <c r="B307" s="2" t="s">
        <v>2732</v>
      </c>
    </row>
    <row r="309" spans="2:3">
      <c r="B309" s="2" t="s">
        <v>2733</v>
      </c>
    </row>
    <row r="310" spans="2:3">
      <c r="B310" t="s">
        <v>2734</v>
      </c>
    </row>
    <row r="311" spans="2:3">
      <c r="B311" t="s">
        <v>2735</v>
      </c>
    </row>
    <row r="312" spans="2:3">
      <c r="C312" t="s">
        <v>2736</v>
      </c>
    </row>
    <row r="313" spans="2:3">
      <c r="C313" t="s">
        <v>2737</v>
      </c>
    </row>
    <row r="314" spans="2:3">
      <c r="C314" t="s">
        <v>2738</v>
      </c>
    </row>
    <row r="315" spans="2:3">
      <c r="B315" t="s">
        <v>2739</v>
      </c>
    </row>
    <row r="316" spans="2:3">
      <c r="B316" t="s">
        <v>2740</v>
      </c>
    </row>
    <row r="317" spans="2:3">
      <c r="B317" t="s">
        <v>2741</v>
      </c>
    </row>
    <row r="318" spans="2:3">
      <c r="C318" t="s">
        <v>2742</v>
      </c>
    </row>
    <row r="319" spans="2:3">
      <c r="B319" t="s">
        <v>2743</v>
      </c>
    </row>
    <row r="320" spans="2:3">
      <c r="B320" t="s">
        <v>2744</v>
      </c>
    </row>
    <row r="321" spans="2:3">
      <c r="C321" t="s">
        <v>2745</v>
      </c>
    </row>
    <row r="322" spans="2:3">
      <c r="C322" t="s">
        <v>2746</v>
      </c>
    </row>
    <row r="323" spans="2:3">
      <c r="C323" t="s">
        <v>2747</v>
      </c>
    </row>
    <row r="325" spans="2:3">
      <c r="B325" s="2" t="s">
        <v>1620</v>
      </c>
    </row>
    <row r="326" spans="2:3">
      <c r="B326" t="s">
        <v>2748</v>
      </c>
    </row>
    <row r="327" spans="2:3">
      <c r="B327" t="s">
        <v>2749</v>
      </c>
    </row>
    <row r="328" spans="2:3">
      <c r="B328" t="s">
        <v>2750</v>
      </c>
    </row>
    <row r="330" spans="2:3">
      <c r="B330" s="121" t="s">
        <v>2751</v>
      </c>
    </row>
    <row r="331" spans="2:3">
      <c r="B331" t="s">
        <v>2752</v>
      </c>
    </row>
    <row r="332" spans="2:3">
      <c r="B332" t="s">
        <v>2753</v>
      </c>
    </row>
    <row r="334" spans="2:3">
      <c r="B334" s="2" t="s">
        <v>35</v>
      </c>
    </row>
    <row r="335" spans="2:3">
      <c r="B335" t="s">
        <v>2754</v>
      </c>
    </row>
    <row r="336" spans="2:3">
      <c r="B336" t="s">
        <v>2755</v>
      </c>
    </row>
    <row r="337" spans="1:4">
      <c r="B337" t="s">
        <v>2756</v>
      </c>
    </row>
    <row r="338" spans="1:4">
      <c r="B338" t="s">
        <v>2757</v>
      </c>
    </row>
    <row r="339" spans="1:4">
      <c r="B339" t="s">
        <v>2758</v>
      </c>
    </row>
    <row r="341" spans="1:4">
      <c r="A341" t="s">
        <v>57</v>
      </c>
      <c r="B341" s="2" t="s">
        <v>2759</v>
      </c>
    </row>
    <row r="342" spans="1:4">
      <c r="B342" t="s">
        <v>2760</v>
      </c>
    </row>
    <row r="343" spans="1:4">
      <c r="B343" t="s">
        <v>2761</v>
      </c>
    </row>
    <row r="344" spans="1:4">
      <c r="B344" t="s">
        <v>2762</v>
      </c>
    </row>
    <row r="345" spans="1:4">
      <c r="B345" t="s">
        <v>2763</v>
      </c>
    </row>
    <row r="346" spans="1:4">
      <c r="C346" t="s">
        <v>2764</v>
      </c>
    </row>
    <row r="347" spans="1:4">
      <c r="C347" t="s">
        <v>2765</v>
      </c>
    </row>
    <row r="348" spans="1:4">
      <c r="B348" t="s">
        <v>57</v>
      </c>
      <c r="D348" t="s">
        <v>2766</v>
      </c>
    </row>
    <row r="349" spans="1:4">
      <c r="B349" t="s">
        <v>2767</v>
      </c>
    </row>
    <row r="350" spans="1:4">
      <c r="B350" t="s">
        <v>2768</v>
      </c>
    </row>
    <row r="352" spans="1:4">
      <c r="B352" s="2" t="s">
        <v>2769</v>
      </c>
    </row>
    <row r="353" spans="2:8">
      <c r="B353" t="s">
        <v>2770</v>
      </c>
    </row>
    <row r="354" spans="2:8">
      <c r="B354" t="s">
        <v>2771</v>
      </c>
    </row>
    <row r="357" spans="2:8">
      <c r="B357" s="2" t="s">
        <v>2772</v>
      </c>
    </row>
    <row r="358" spans="2:8">
      <c r="B358" t="s">
        <v>2773</v>
      </c>
    </row>
    <row r="359" spans="2:8">
      <c r="B359" t="s">
        <v>2774</v>
      </c>
    </row>
    <row r="361" spans="2:8">
      <c r="B361" s="2" t="s">
        <v>35</v>
      </c>
    </row>
    <row r="362" spans="2:8">
      <c r="B362" t="s">
        <v>2775</v>
      </c>
    </row>
    <row r="363" spans="2:8">
      <c r="B363" t="s">
        <v>2776</v>
      </c>
    </row>
    <row r="364" spans="2:8">
      <c r="B364" t="s">
        <v>2777</v>
      </c>
    </row>
    <row r="366" spans="2:8">
      <c r="B366" t="s">
        <v>2778</v>
      </c>
      <c r="H366" t="s">
        <v>2779</v>
      </c>
    </row>
    <row r="367" spans="2:8">
      <c r="B367" t="s">
        <v>2780</v>
      </c>
      <c r="E367" t="s">
        <v>2781</v>
      </c>
    </row>
    <row r="368" spans="2:8">
      <c r="B368" t="s">
        <v>2782</v>
      </c>
    </row>
    <row r="369" spans="2:3">
      <c r="B369" t="s">
        <v>2783</v>
      </c>
    </row>
    <row r="370" spans="2:3">
      <c r="B370" t="s">
        <v>2784</v>
      </c>
    </row>
    <row r="371" spans="2:3">
      <c r="C371" t="s">
        <v>2785</v>
      </c>
    </row>
    <row r="372" spans="2:3">
      <c r="C372" t="s">
        <v>2786</v>
      </c>
    </row>
    <row r="374" spans="2:3">
      <c r="B374" s="2" t="s">
        <v>2787</v>
      </c>
    </row>
    <row r="375" spans="2:3">
      <c r="B375" t="s">
        <v>2788</v>
      </c>
    </row>
    <row r="376" spans="2:3">
      <c r="B376" t="s">
        <v>2789</v>
      </c>
    </row>
    <row r="377" spans="2:3">
      <c r="C377" t="s">
        <v>2790</v>
      </c>
    </row>
    <row r="379" spans="2:3">
      <c r="B379" s="2" t="s">
        <v>106</v>
      </c>
    </row>
    <row r="380" spans="2:3">
      <c r="B380" t="s">
        <v>2791</v>
      </c>
    </row>
    <row r="381" spans="2:3">
      <c r="B381" t="s">
        <v>2792</v>
      </c>
    </row>
    <row r="383" spans="2:3">
      <c r="B383" s="121" t="s">
        <v>2793</v>
      </c>
    </row>
    <row r="385" spans="2:7">
      <c r="B385" t="s">
        <v>2794</v>
      </c>
    </row>
    <row r="386" spans="2:7">
      <c r="C386" s="42" t="s">
        <v>2795</v>
      </c>
      <c r="G386" s="42"/>
    </row>
    <row r="387" spans="2:7">
      <c r="C387" s="42" t="s">
        <v>2796</v>
      </c>
      <c r="G387" s="42"/>
    </row>
    <row r="388" spans="2:7">
      <c r="C388" t="s">
        <v>2797</v>
      </c>
    </row>
    <row r="389" spans="2:7">
      <c r="D389" t="s">
        <v>2798</v>
      </c>
    </row>
    <row r="390" spans="2:7">
      <c r="C390" t="s">
        <v>2799</v>
      </c>
    </row>
    <row r="391" spans="2:7">
      <c r="C391" s="42" t="s">
        <v>2800</v>
      </c>
    </row>
    <row r="392" spans="2:7">
      <c r="C392" s="42" t="s">
        <v>2801</v>
      </c>
    </row>
    <row r="393" spans="2:7">
      <c r="C393" s="42" t="s">
        <v>2802</v>
      </c>
    </row>
    <row r="394" spans="2:7">
      <c r="C394" s="42" t="s">
        <v>2803</v>
      </c>
    </row>
    <row r="395" spans="2:7">
      <c r="B395" t="s">
        <v>2804</v>
      </c>
    </row>
    <row r="396" spans="2:7">
      <c r="C396" t="s">
        <v>1383</v>
      </c>
    </row>
    <row r="397" spans="2:7">
      <c r="C397" s="42" t="s">
        <v>2805</v>
      </c>
    </row>
    <row r="398" spans="2:7">
      <c r="C398" s="42" t="s">
        <v>2806</v>
      </c>
    </row>
    <row r="399" spans="2:7">
      <c r="C399" t="s">
        <v>2807</v>
      </c>
    </row>
    <row r="400" spans="2:7">
      <c r="C400" s="42" t="s">
        <v>2808</v>
      </c>
    </row>
    <row r="401" spans="2:3">
      <c r="B401" t="s">
        <v>2809</v>
      </c>
    </row>
    <row r="402" spans="2:3">
      <c r="C402" s="42" t="s">
        <v>2810</v>
      </c>
    </row>
    <row r="403" spans="2:3">
      <c r="C403" s="42" t="s">
        <v>2811</v>
      </c>
    </row>
    <row r="404" spans="2:3">
      <c r="C404" s="42" t="s">
        <v>2812</v>
      </c>
    </row>
    <row r="405" spans="2:3">
      <c r="C405" t="s">
        <v>2813</v>
      </c>
    </row>
    <row r="406" spans="2:3">
      <c r="C406" t="s">
        <v>2814</v>
      </c>
    </row>
    <row r="407" spans="2:3">
      <c r="B407" t="s">
        <v>57</v>
      </c>
      <c r="C407" s="42" t="s">
        <v>2815</v>
      </c>
    </row>
    <row r="408" spans="2:3">
      <c r="C408" s="42" t="s">
        <v>2816</v>
      </c>
    </row>
    <row r="409" spans="2:3">
      <c r="C409" s="42" t="s">
        <v>2817</v>
      </c>
    </row>
    <row r="410" spans="2:3">
      <c r="C410" t="s">
        <v>2818</v>
      </c>
    </row>
    <row r="411" spans="2:3">
      <c r="C411" t="s">
        <v>2819</v>
      </c>
    </row>
    <row r="412" spans="2:3">
      <c r="C412" s="42" t="s">
        <v>2820</v>
      </c>
    </row>
    <row r="413" spans="2:3">
      <c r="B413" t="s">
        <v>2821</v>
      </c>
    </row>
    <row r="414" spans="2:3">
      <c r="C414" t="s">
        <v>2822</v>
      </c>
    </row>
    <row r="415" spans="2:3">
      <c r="B415" t="s">
        <v>2823</v>
      </c>
    </row>
    <row r="416" spans="2:3">
      <c r="C416" t="s">
        <v>2824</v>
      </c>
    </row>
    <row r="417" spans="2:3">
      <c r="B417" t="s">
        <v>2825</v>
      </c>
    </row>
    <row r="418" spans="2:3">
      <c r="C418" t="s">
        <v>2826</v>
      </c>
    </row>
    <row r="419" spans="2:3">
      <c r="B419" t="s">
        <v>2827</v>
      </c>
    </row>
    <row r="420" spans="2:3">
      <c r="B420" t="s">
        <v>2828</v>
      </c>
    </row>
    <row r="421" spans="2:3">
      <c r="C421" s="42" t="s">
        <v>2829</v>
      </c>
    </row>
    <row r="423" spans="2:3">
      <c r="B423" s="42" t="s">
        <v>2830</v>
      </c>
    </row>
    <row r="424" spans="2:3">
      <c r="B424" t="s">
        <v>2831</v>
      </c>
    </row>
    <row r="425" spans="2:3">
      <c r="C425" t="s">
        <v>2832</v>
      </c>
    </row>
    <row r="426" spans="2:3">
      <c r="C426" t="s">
        <v>2833</v>
      </c>
    </row>
    <row r="427" spans="2:3">
      <c r="C427" t="s">
        <v>2834</v>
      </c>
    </row>
    <row r="428" spans="2:3">
      <c r="B428" t="s">
        <v>2835</v>
      </c>
    </row>
    <row r="429" spans="2:3">
      <c r="B429" t="s">
        <v>2836</v>
      </c>
    </row>
    <row r="431" spans="2:3">
      <c r="B431" s="121" t="s">
        <v>2837</v>
      </c>
    </row>
    <row r="433" spans="2:4">
      <c r="B433" t="s">
        <v>189</v>
      </c>
    </row>
    <row r="434" spans="2:4">
      <c r="C434" t="s">
        <v>2838</v>
      </c>
    </row>
    <row r="435" spans="2:4">
      <c r="C435" t="s">
        <v>2839</v>
      </c>
    </row>
    <row r="436" spans="2:4">
      <c r="C436" t="s">
        <v>2840</v>
      </c>
    </row>
    <row r="437" spans="2:4">
      <c r="C437" t="s">
        <v>2841</v>
      </c>
    </row>
    <row r="438" spans="2:4">
      <c r="D438" t="s">
        <v>2842</v>
      </c>
    </row>
    <row r="439" spans="2:4">
      <c r="B439" t="s">
        <v>2438</v>
      </c>
    </row>
    <row r="440" spans="2:4">
      <c r="C440" t="s">
        <v>2843</v>
      </c>
    </row>
    <row r="441" spans="2:4">
      <c r="C441" t="s">
        <v>2844</v>
      </c>
    </row>
    <row r="442" spans="2:4">
      <c r="C442" t="s">
        <v>2845</v>
      </c>
    </row>
    <row r="443" spans="2:4">
      <c r="C443" t="s">
        <v>2846</v>
      </c>
    </row>
    <row r="444" spans="2:4">
      <c r="C444" t="s">
        <v>2847</v>
      </c>
    </row>
    <row r="445" spans="2:4">
      <c r="C445" t="s">
        <v>2848</v>
      </c>
    </row>
    <row r="446" spans="2:4">
      <c r="B446" t="s">
        <v>193</v>
      </c>
    </row>
    <row r="447" spans="2:4">
      <c r="C447" t="s">
        <v>2849</v>
      </c>
    </row>
    <row r="448" spans="2:4">
      <c r="B448" t="s">
        <v>97</v>
      </c>
    </row>
    <row r="449" spans="2:3">
      <c r="C449" t="s">
        <v>2849</v>
      </c>
    </row>
    <row r="450" spans="2:3">
      <c r="B450" t="s">
        <v>2850</v>
      </c>
    </row>
    <row r="451" spans="2:3">
      <c r="C451" t="s">
        <v>2849</v>
      </c>
    </row>
    <row r="452" spans="2:3">
      <c r="C452" t="s">
        <v>2851</v>
      </c>
    </row>
    <row r="453" spans="2:3">
      <c r="B453" t="s">
        <v>2852</v>
      </c>
    </row>
    <row r="454" spans="2:3">
      <c r="C454" t="s">
        <v>2853</v>
      </c>
    </row>
    <row r="455" spans="2:3">
      <c r="C455" t="s">
        <v>2854</v>
      </c>
    </row>
    <row r="456" spans="2:3">
      <c r="C456" t="s">
        <v>2855</v>
      </c>
    </row>
    <row r="457" spans="2:3">
      <c r="C457" t="s">
        <v>2856</v>
      </c>
    </row>
    <row r="458" spans="2:3">
      <c r="C458" t="s">
        <v>2857</v>
      </c>
    </row>
    <row r="459" spans="2:3">
      <c r="C459" t="s">
        <v>2858</v>
      </c>
    </row>
    <row r="460" spans="2:3">
      <c r="B460" s="136">
        <v>2014</v>
      </c>
    </row>
    <row r="461" spans="2:3">
      <c r="C461" t="s">
        <v>2859</v>
      </c>
    </row>
    <row r="462" spans="2:3">
      <c r="C462" t="s">
        <v>2860</v>
      </c>
    </row>
    <row r="463" spans="2:3">
      <c r="C463" t="s">
        <v>2861</v>
      </c>
    </row>
    <row r="464" spans="2:3">
      <c r="C464" t="s">
        <v>2862</v>
      </c>
    </row>
    <row r="465" spans="2:4">
      <c r="C465" t="s">
        <v>2863</v>
      </c>
    </row>
    <row r="466" spans="2:4">
      <c r="C466" t="s">
        <v>2864</v>
      </c>
    </row>
    <row r="467" spans="2:4">
      <c r="C467" s="2" t="s">
        <v>2852</v>
      </c>
    </row>
    <row r="468" spans="2:4">
      <c r="C468" t="s">
        <v>2865</v>
      </c>
    </row>
    <row r="470" spans="2:4">
      <c r="B470" t="s">
        <v>2866</v>
      </c>
    </row>
    <row r="471" spans="2:4">
      <c r="B471" t="s">
        <v>2867</v>
      </c>
    </row>
    <row r="472" spans="2:4">
      <c r="B472" t="s">
        <v>2868</v>
      </c>
    </row>
    <row r="473" spans="2:4">
      <c r="C473" t="s">
        <v>2869</v>
      </c>
    </row>
    <row r="474" spans="2:4">
      <c r="C474" t="s">
        <v>2870</v>
      </c>
    </row>
    <row r="475" spans="2:4">
      <c r="C475" t="s">
        <v>2871</v>
      </c>
    </row>
    <row r="477" spans="2:4">
      <c r="B477" t="s">
        <v>2872</v>
      </c>
    </row>
    <row r="478" spans="2:4">
      <c r="C478" t="s">
        <v>2873</v>
      </c>
    </row>
    <row r="479" spans="2:4">
      <c r="C479" t="s">
        <v>2874</v>
      </c>
    </row>
    <row r="480" spans="2:4">
      <c r="D480" t="s">
        <v>2875</v>
      </c>
    </row>
    <row r="481" spans="2:4">
      <c r="D481" t="s">
        <v>2876</v>
      </c>
    </row>
    <row r="482" spans="2:4">
      <c r="D482" t="s">
        <v>2877</v>
      </c>
    </row>
    <row r="484" spans="2:4">
      <c r="B484" t="s">
        <v>2878</v>
      </c>
    </row>
    <row r="485" spans="2:4">
      <c r="C485" t="s">
        <v>2879</v>
      </c>
    </row>
    <row r="486" spans="2:4">
      <c r="D486" t="s">
        <v>1703</v>
      </c>
    </row>
    <row r="487" spans="2:4">
      <c r="D487" t="s">
        <v>2880</v>
      </c>
    </row>
    <row r="488" spans="2:4">
      <c r="D488" t="s">
        <v>2881</v>
      </c>
    </row>
    <row r="489" spans="2:4">
      <c r="C489" t="s">
        <v>2882</v>
      </c>
    </row>
    <row r="490" spans="2:4">
      <c r="D490" t="s">
        <v>2883</v>
      </c>
    </row>
    <row r="491" spans="2:4">
      <c r="D491" t="s">
        <v>2884</v>
      </c>
    </row>
    <row r="493" spans="2:4">
      <c r="B493" t="s">
        <v>2885</v>
      </c>
    </row>
    <row r="494" spans="2:4">
      <c r="C494" t="s">
        <v>2886</v>
      </c>
    </row>
    <row r="495" spans="2:4">
      <c r="C495" t="s">
        <v>2887</v>
      </c>
    </row>
    <row r="496" spans="2:4">
      <c r="C496" t="s">
        <v>2888</v>
      </c>
    </row>
    <row r="497" spans="2:3">
      <c r="C497" t="s">
        <v>2889</v>
      </c>
    </row>
    <row r="498" spans="2:3">
      <c r="C498" t="s">
        <v>2890</v>
      </c>
    </row>
    <row r="499" spans="2:3">
      <c r="C499" t="s">
        <v>2891</v>
      </c>
    </row>
    <row r="501" spans="2:3">
      <c r="B501" s="121" t="s">
        <v>468</v>
      </c>
    </row>
    <row r="502" spans="2:3">
      <c r="B502" t="s">
        <v>2892</v>
      </c>
    </row>
    <row r="503" spans="2:3">
      <c r="B503" t="s">
        <v>2893</v>
      </c>
    </row>
    <row r="504" spans="2:3">
      <c r="B504" t="s">
        <v>2894</v>
      </c>
    </row>
    <row r="505" spans="2:3">
      <c r="B505" t="s">
        <v>2895</v>
      </c>
    </row>
    <row r="506" spans="2:3">
      <c r="B506" t="s">
        <v>2896</v>
      </c>
    </row>
    <row r="507" spans="2:3">
      <c r="B507" t="s">
        <v>2897</v>
      </c>
    </row>
    <row r="508" spans="2:3">
      <c r="B508" t="s">
        <v>2898</v>
      </c>
    </row>
    <row r="509" spans="2:3">
      <c r="B509" t="s">
        <v>2899</v>
      </c>
    </row>
    <row r="510" spans="2:3">
      <c r="B510" t="s">
        <v>2900</v>
      </c>
    </row>
    <row r="511" spans="2:3">
      <c r="B511" t="s">
        <v>2901</v>
      </c>
    </row>
    <row r="512" spans="2:3">
      <c r="B512" t="s">
        <v>2902</v>
      </c>
    </row>
    <row r="513" spans="2:6">
      <c r="B513" t="s">
        <v>2903</v>
      </c>
    </row>
    <row r="515" spans="2:6">
      <c r="B515" s="121" t="s">
        <v>2904</v>
      </c>
    </row>
    <row r="517" spans="2:6">
      <c r="B517" t="s">
        <v>2905</v>
      </c>
    </row>
    <row r="518" spans="2:6">
      <c r="B518" t="s">
        <v>2906</v>
      </c>
    </row>
    <row r="519" spans="2:6">
      <c r="B519" t="s">
        <v>2907</v>
      </c>
    </row>
    <row r="521" spans="2:6">
      <c r="B521" s="42" t="s">
        <v>2908</v>
      </c>
    </row>
    <row r="522" spans="2:6">
      <c r="B522" t="s">
        <v>2909</v>
      </c>
    </row>
    <row r="523" spans="2:6">
      <c r="B523" t="s">
        <v>2910</v>
      </c>
    </row>
    <row r="524" spans="2:6">
      <c r="B524" t="s">
        <v>2911</v>
      </c>
    </row>
    <row r="525" spans="2:6">
      <c r="B525">
        <v>125</v>
      </c>
      <c r="C525" s="9">
        <v>1.4999999999999999E-2</v>
      </c>
      <c r="D525">
        <f>B525/C525</f>
        <v>8333.3333333333339</v>
      </c>
      <c r="E525">
        <f>D525+Univision!C111</f>
        <v>15038.90126488884</v>
      </c>
      <c r="F525">
        <f>E525/Univision!H14</f>
        <v>11.464324794091203</v>
      </c>
    </row>
    <row r="527" spans="2:6">
      <c r="B527" s="121" t="s">
        <v>883</v>
      </c>
    </row>
    <row r="529" spans="2:3">
      <c r="B529" t="s">
        <v>2912</v>
      </c>
    </row>
    <row r="530" spans="2:3">
      <c r="C530" t="s">
        <v>2913</v>
      </c>
    </row>
    <row r="531" spans="2:3">
      <c r="C531" t="s">
        <v>2914</v>
      </c>
    </row>
    <row r="532" spans="2:3">
      <c r="B532" t="s">
        <v>2915</v>
      </c>
      <c r="C532" t="s">
        <v>2916</v>
      </c>
    </row>
    <row r="534" spans="2:3">
      <c r="B534" s="121" t="s">
        <v>883</v>
      </c>
    </row>
    <row r="536" spans="2:3">
      <c r="B536" s="42" t="s">
        <v>52</v>
      </c>
    </row>
    <row r="537" spans="2:3">
      <c r="B537" t="s">
        <v>2917</v>
      </c>
    </row>
    <row r="538" spans="2:3">
      <c r="C538" t="s">
        <v>2918</v>
      </c>
    </row>
    <row r="539" spans="2:3">
      <c r="C539" t="s">
        <v>2919</v>
      </c>
    </row>
    <row r="541" spans="2:3">
      <c r="B541" s="42" t="s">
        <v>2920</v>
      </c>
    </row>
    <row r="542" spans="2:3">
      <c r="B542" t="s">
        <v>2921</v>
      </c>
    </row>
    <row r="543" spans="2:3">
      <c r="B543" t="s">
        <v>2922</v>
      </c>
    </row>
    <row r="544" spans="2:3">
      <c r="C544" t="s">
        <v>2923</v>
      </c>
    </row>
    <row r="546" spans="2:3">
      <c r="B546" s="42" t="s">
        <v>106</v>
      </c>
    </row>
    <row r="547" spans="2:3">
      <c r="C547" t="s">
        <v>2924</v>
      </c>
    </row>
    <row r="548" spans="2:3">
      <c r="C548" t="s">
        <v>2925</v>
      </c>
    </row>
    <row r="549" spans="2:3">
      <c r="C549" s="42" t="s">
        <v>2926</v>
      </c>
    </row>
    <row r="550" spans="2:3">
      <c r="C550" t="s">
        <v>2927</v>
      </c>
    </row>
    <row r="552" spans="2:3">
      <c r="B552" s="42" t="s">
        <v>2928</v>
      </c>
    </row>
    <row r="553" spans="2:3">
      <c r="C553" t="s">
        <v>2929</v>
      </c>
    </row>
    <row r="554" spans="2:3">
      <c r="C554" t="s">
        <v>2930</v>
      </c>
    </row>
    <row r="555" spans="2:3">
      <c r="C555" t="s">
        <v>2931</v>
      </c>
    </row>
    <row r="556" spans="2:3">
      <c r="C556" t="s">
        <v>2932</v>
      </c>
    </row>
    <row r="558" spans="2:3">
      <c r="B558" s="121" t="s">
        <v>2933</v>
      </c>
    </row>
    <row r="560" spans="2:3">
      <c r="B560" t="s">
        <v>2934</v>
      </c>
    </row>
    <row r="561" spans="2:4">
      <c r="B561" t="s">
        <v>2935</v>
      </c>
    </row>
    <row r="563" spans="2:4">
      <c r="B563" s="121" t="s">
        <v>2936</v>
      </c>
    </row>
    <row r="565" spans="2:4">
      <c r="B565" s="2" t="s">
        <v>33</v>
      </c>
    </row>
    <row r="566" spans="2:4">
      <c r="B566" t="s">
        <v>2937</v>
      </c>
    </row>
    <row r="567" spans="2:4">
      <c r="B567" t="s">
        <v>2938</v>
      </c>
    </row>
    <row r="568" spans="2:4">
      <c r="C568" s="264" t="s">
        <v>2939</v>
      </c>
    </row>
    <row r="569" spans="2:4">
      <c r="D569" t="s">
        <v>2940</v>
      </c>
    </row>
    <row r="570" spans="2:4">
      <c r="B570" s="2" t="s">
        <v>2852</v>
      </c>
    </row>
    <row r="571" spans="2:4">
      <c r="B571" t="s">
        <v>2941</v>
      </c>
    </row>
    <row r="572" spans="2:4">
      <c r="B572" t="s">
        <v>2942</v>
      </c>
    </row>
    <row r="574" spans="2:4">
      <c r="B574" s="2" t="s">
        <v>2647</v>
      </c>
    </row>
    <row r="575" spans="2:4">
      <c r="B575" t="s">
        <v>2943</v>
      </c>
    </row>
    <row r="577" spans="2:8">
      <c r="B577" s="2" t="s">
        <v>100</v>
      </c>
    </row>
    <row r="578" spans="2:8">
      <c r="B578" t="s">
        <v>2944</v>
      </c>
      <c r="H578" t="s">
        <v>2945</v>
      </c>
    </row>
    <row r="579" spans="2:8">
      <c r="B579" t="s">
        <v>2946</v>
      </c>
    </row>
    <row r="580" spans="2:8">
      <c r="B580" t="s">
        <v>2947</v>
      </c>
    </row>
    <row r="581" spans="2:8">
      <c r="C581" t="s">
        <v>2948</v>
      </c>
      <c r="D581" t="s">
        <v>2949</v>
      </c>
    </row>
    <row r="583" spans="2:8">
      <c r="B583" s="2" t="s">
        <v>2950</v>
      </c>
    </row>
    <row r="584" spans="2:8">
      <c r="B584" t="s">
        <v>2951</v>
      </c>
    </row>
    <row r="586" spans="2:8">
      <c r="B586" s="121" t="s">
        <v>884</v>
      </c>
    </row>
    <row r="588" spans="2:8">
      <c r="B588" t="s">
        <v>2952</v>
      </c>
    </row>
    <row r="589" spans="2:8">
      <c r="B589" t="s">
        <v>2953</v>
      </c>
    </row>
    <row r="590" spans="2:8">
      <c r="C590" t="s">
        <v>2954</v>
      </c>
    </row>
    <row r="591" spans="2:8">
      <c r="B591" t="s">
        <v>2955</v>
      </c>
    </row>
    <row r="592" spans="2:8">
      <c r="C592" t="s">
        <v>2956</v>
      </c>
    </row>
    <row r="593" spans="2:3">
      <c r="B593" t="s">
        <v>2957</v>
      </c>
    </row>
    <row r="594" spans="2:3">
      <c r="B594" t="s">
        <v>2958</v>
      </c>
    </row>
    <row r="595" spans="2:3">
      <c r="B595" t="s">
        <v>2959</v>
      </c>
    </row>
    <row r="596" spans="2:3">
      <c r="B596" t="s">
        <v>2960</v>
      </c>
    </row>
    <row r="598" spans="2:3">
      <c r="B598" s="121" t="s">
        <v>2961</v>
      </c>
    </row>
    <row r="599" spans="2:3">
      <c r="B599" t="s">
        <v>2962</v>
      </c>
    </row>
    <row r="600" spans="2:3">
      <c r="B600" t="s">
        <v>2963</v>
      </c>
    </row>
    <row r="601" spans="2:3">
      <c r="B601" t="s">
        <v>2964</v>
      </c>
    </row>
    <row r="603" spans="2:3">
      <c r="B603" t="s">
        <v>2965</v>
      </c>
    </row>
    <row r="605" spans="2:3">
      <c r="B605" t="s">
        <v>2966</v>
      </c>
    </row>
    <row r="606" spans="2:3">
      <c r="C606" t="s">
        <v>2967</v>
      </c>
    </row>
    <row r="607" spans="2:3">
      <c r="C607" t="s">
        <v>2968</v>
      </c>
    </row>
    <row r="609" spans="2:3">
      <c r="B609" t="s">
        <v>2969</v>
      </c>
    </row>
    <row r="610" spans="2:3">
      <c r="C610" t="s">
        <v>2970</v>
      </c>
    </row>
    <row r="612" spans="2:3">
      <c r="B612" t="s">
        <v>2971</v>
      </c>
    </row>
    <row r="614" spans="2:3">
      <c r="B614" t="s">
        <v>2972</v>
      </c>
    </row>
    <row r="616" spans="2:3">
      <c r="B616" s="2" t="s">
        <v>100</v>
      </c>
    </row>
    <row r="617" spans="2:3">
      <c r="B617" t="s">
        <v>2973</v>
      </c>
    </row>
    <row r="618" spans="2:3">
      <c r="B618" t="s">
        <v>2974</v>
      </c>
    </row>
    <row r="619" spans="2:3">
      <c r="B619" t="s">
        <v>2975</v>
      </c>
    </row>
    <row r="621" spans="2:3">
      <c r="B621" t="s">
        <v>2976</v>
      </c>
    </row>
    <row r="623" spans="2:3">
      <c r="B623" s="121" t="s">
        <v>2680</v>
      </c>
    </row>
    <row r="625" spans="2:4">
      <c r="B625" t="s">
        <v>2977</v>
      </c>
    </row>
    <row r="626" spans="2:4">
      <c r="C626" t="s">
        <v>2978</v>
      </c>
    </row>
    <row r="627" spans="2:4">
      <c r="B627" t="s">
        <v>2979</v>
      </c>
    </row>
    <row r="628" spans="2:4">
      <c r="C628" t="s">
        <v>2980</v>
      </c>
    </row>
    <row r="630" spans="2:4">
      <c r="B630" t="s">
        <v>2981</v>
      </c>
    </row>
    <row r="631" spans="2:4">
      <c r="C631" t="s">
        <v>2982</v>
      </c>
    </row>
    <row r="632" spans="2:4">
      <c r="C632" t="s">
        <v>2983</v>
      </c>
    </row>
    <row r="633" spans="2:4">
      <c r="C633" t="s">
        <v>2984</v>
      </c>
    </row>
    <row r="634" spans="2:4">
      <c r="C634" t="s">
        <v>2985</v>
      </c>
    </row>
    <row r="635" spans="2:4">
      <c r="D635" t="s">
        <v>2986</v>
      </c>
    </row>
    <row r="637" spans="2:4">
      <c r="B637" t="s">
        <v>2987</v>
      </c>
    </row>
    <row r="638" spans="2:4">
      <c r="C638" t="s">
        <v>2988</v>
      </c>
    </row>
    <row r="639" spans="2:4">
      <c r="C639" t="s">
        <v>2989</v>
      </c>
    </row>
    <row r="641" spans="2:3">
      <c r="B641" t="s">
        <v>2990</v>
      </c>
    </row>
    <row r="642" spans="2:3">
      <c r="C642" t="s">
        <v>2991</v>
      </c>
    </row>
    <row r="644" spans="2:3">
      <c r="B644" t="s">
        <v>2992</v>
      </c>
    </row>
    <row r="645" spans="2:3">
      <c r="C645" t="s">
        <v>2993</v>
      </c>
    </row>
    <row r="646" spans="2:3">
      <c r="C646" t="s">
        <v>2994</v>
      </c>
    </row>
    <row r="648" spans="2:3">
      <c r="B648" t="s">
        <v>2995</v>
      </c>
    </row>
    <row r="649" spans="2:3">
      <c r="C649" t="s">
        <v>2996</v>
      </c>
    </row>
    <row r="650" spans="2:3">
      <c r="C650" t="s">
        <v>2997</v>
      </c>
    </row>
    <row r="652" spans="2:3">
      <c r="B652" t="s">
        <v>2998</v>
      </c>
    </row>
    <row r="653" spans="2:3">
      <c r="C653" t="s">
        <v>2999</v>
      </c>
    </row>
    <row r="655" spans="2:3">
      <c r="B655" t="s">
        <v>3000</v>
      </c>
    </row>
    <row r="656" spans="2:3">
      <c r="C656" t="s">
        <v>3001</v>
      </c>
    </row>
    <row r="657" spans="2:4">
      <c r="C657" t="s">
        <v>3002</v>
      </c>
    </row>
    <row r="658" spans="2:4">
      <c r="C658" t="s">
        <v>3003</v>
      </c>
    </row>
    <row r="660" spans="2:4">
      <c r="B660" t="s">
        <v>1100</v>
      </c>
    </row>
    <row r="661" spans="2:4">
      <c r="C661" t="s">
        <v>3004</v>
      </c>
    </row>
    <row r="663" spans="2:4">
      <c r="B663" s="121" t="s">
        <v>3005</v>
      </c>
    </row>
    <row r="665" spans="2:4">
      <c r="B665" t="s">
        <v>3006</v>
      </c>
    </row>
    <row r="666" spans="2:4">
      <c r="B666" t="s">
        <v>3007</v>
      </c>
    </row>
    <row r="667" spans="2:4">
      <c r="B667" t="s">
        <v>3008</v>
      </c>
    </row>
    <row r="668" spans="2:4">
      <c r="C668" t="s">
        <v>3009</v>
      </c>
    </row>
    <row r="669" spans="2:4">
      <c r="B669" t="s">
        <v>3010</v>
      </c>
    </row>
    <row r="670" spans="2:4">
      <c r="C670" t="s">
        <v>3011</v>
      </c>
    </row>
    <row r="671" spans="2:4">
      <c r="D671" t="s">
        <v>3012</v>
      </c>
    </row>
    <row r="672" spans="2:4">
      <c r="C672" t="s">
        <v>3013</v>
      </c>
    </row>
    <row r="673" spans="2:6">
      <c r="D673" t="s">
        <v>3014</v>
      </c>
    </row>
    <row r="674" spans="2:6">
      <c r="C674" t="s">
        <v>3015</v>
      </c>
    </row>
    <row r="675" spans="2:6">
      <c r="B675" t="s">
        <v>3016</v>
      </c>
    </row>
    <row r="676" spans="2:6">
      <c r="C676" t="s">
        <v>3017</v>
      </c>
    </row>
    <row r="677" spans="2:6">
      <c r="B677" t="s">
        <v>100</v>
      </c>
    </row>
    <row r="678" spans="2:6">
      <c r="C678" t="s">
        <v>3018</v>
      </c>
    </row>
    <row r="679" spans="2:6">
      <c r="C679" t="s">
        <v>3019</v>
      </c>
    </row>
    <row r="680" spans="2:6">
      <c r="B680" t="s">
        <v>3020</v>
      </c>
    </row>
    <row r="681" spans="2:6">
      <c r="C681" t="s">
        <v>3021</v>
      </c>
    </row>
    <row r="682" spans="2:6">
      <c r="C682" t="s">
        <v>3022</v>
      </c>
    </row>
    <row r="683" spans="2:6">
      <c r="C683" t="s">
        <v>3023</v>
      </c>
    </row>
    <row r="684" spans="2:6">
      <c r="D684" t="s">
        <v>3024</v>
      </c>
    </row>
    <row r="685" spans="2:6">
      <c r="E685" t="s">
        <v>3025</v>
      </c>
    </row>
    <row r="686" spans="2:6">
      <c r="F686" t="s">
        <v>3026</v>
      </c>
    </row>
    <row r="687" spans="2:6">
      <c r="B687" t="s">
        <v>3027</v>
      </c>
    </row>
    <row r="689" spans="2:10">
      <c r="B689" s="121" t="s">
        <v>3028</v>
      </c>
    </row>
    <row r="691" spans="2:10">
      <c r="B691" t="s">
        <v>3029</v>
      </c>
    </row>
    <row r="692" spans="2:10">
      <c r="C692" t="s">
        <v>3030</v>
      </c>
    </row>
    <row r="693" spans="2:10">
      <c r="D693" t="s">
        <v>3031</v>
      </c>
      <c r="E693" t="s">
        <v>3032</v>
      </c>
    </row>
    <row r="694" spans="2:10">
      <c r="F694" t="s">
        <v>3033</v>
      </c>
    </row>
    <row r="695" spans="2:10">
      <c r="E695" t="s">
        <v>3034</v>
      </c>
    </row>
    <row r="696" spans="2:10">
      <c r="C696" t="s">
        <v>3035</v>
      </c>
    </row>
    <row r="697" spans="2:10">
      <c r="C697" t="s">
        <v>3036</v>
      </c>
    </row>
    <row r="698" spans="2:10">
      <c r="C698" t="s">
        <v>3037</v>
      </c>
    </row>
    <row r="699" spans="2:10">
      <c r="B699" t="s">
        <v>3038</v>
      </c>
    </row>
    <row r="700" spans="2:10">
      <c r="C700" t="s">
        <v>3039</v>
      </c>
    </row>
    <row r="701" spans="2:10">
      <c r="C701" t="s">
        <v>3040</v>
      </c>
    </row>
    <row r="702" spans="2:10">
      <c r="B702" t="s">
        <v>3041</v>
      </c>
    </row>
    <row r="703" spans="2:10">
      <c r="C703" t="s">
        <v>3042</v>
      </c>
    </row>
    <row r="704" spans="2:10">
      <c r="C704" t="s">
        <v>3043</v>
      </c>
      <c r="J704" t="s">
        <v>3044</v>
      </c>
    </row>
    <row r="705" spans="2:6">
      <c r="C705" t="s">
        <v>3045</v>
      </c>
    </row>
    <row r="706" spans="2:6">
      <c r="C706" t="s">
        <v>3046</v>
      </c>
    </row>
    <row r="707" spans="2:6">
      <c r="C707" t="s">
        <v>3047</v>
      </c>
    </row>
    <row r="708" spans="2:6">
      <c r="D708" t="s">
        <v>3048</v>
      </c>
    </row>
    <row r="709" spans="2:6">
      <c r="B709" t="s">
        <v>1621</v>
      </c>
    </row>
    <row r="710" spans="2:6">
      <c r="C710" t="s">
        <v>3049</v>
      </c>
    </row>
    <row r="711" spans="2:6">
      <c r="C711" t="s">
        <v>3050</v>
      </c>
      <c r="F711" t="s">
        <v>3051</v>
      </c>
    </row>
    <row r="712" spans="2:6">
      <c r="C712" t="s">
        <v>3052</v>
      </c>
    </row>
    <row r="713" spans="2:6">
      <c r="C713" t="s">
        <v>3053</v>
      </c>
    </row>
    <row r="714" spans="2:6">
      <c r="C714" t="s">
        <v>3054</v>
      </c>
    </row>
    <row r="715" spans="2:6">
      <c r="C715" t="s">
        <v>3055</v>
      </c>
    </row>
    <row r="716" spans="2:6">
      <c r="B716" t="s">
        <v>52</v>
      </c>
    </row>
    <row r="717" spans="2:6">
      <c r="C717" t="s">
        <v>3056</v>
      </c>
    </row>
    <row r="718" spans="2:6">
      <c r="D718" t="s">
        <v>3057</v>
      </c>
    </row>
    <row r="719" spans="2:6">
      <c r="C719" t="s">
        <v>3058</v>
      </c>
    </row>
    <row r="720" spans="2:6">
      <c r="D720" t="s">
        <v>3059</v>
      </c>
    </row>
    <row r="721" spans="2:4">
      <c r="D721" t="s">
        <v>3060</v>
      </c>
    </row>
    <row r="722" spans="2:4">
      <c r="C722" t="s">
        <v>3061</v>
      </c>
    </row>
    <row r="723" spans="2:4">
      <c r="D723" t="s">
        <v>3062</v>
      </c>
    </row>
    <row r="724" spans="2:4">
      <c r="C724" t="s">
        <v>3063</v>
      </c>
    </row>
    <row r="726" spans="2:4">
      <c r="C726" t="s">
        <v>3064</v>
      </c>
    </row>
    <row r="727" spans="2:4">
      <c r="C727" t="s">
        <v>3065</v>
      </c>
    </row>
    <row r="728" spans="2:4">
      <c r="B728" t="s">
        <v>3066</v>
      </c>
    </row>
    <row r="729" spans="2:4">
      <c r="B729" t="s">
        <v>3067</v>
      </c>
    </row>
    <row r="730" spans="2:4">
      <c r="B730" t="s">
        <v>3068</v>
      </c>
    </row>
    <row r="732" spans="2:4">
      <c r="B732" t="s">
        <v>3069</v>
      </c>
    </row>
    <row r="733" spans="2:4">
      <c r="B733" t="s">
        <v>3070</v>
      </c>
    </row>
    <row r="734" spans="2:4">
      <c r="C734" t="s">
        <v>3071</v>
      </c>
    </row>
    <row r="735" spans="2:4">
      <c r="B735" t="s">
        <v>3072</v>
      </c>
    </row>
    <row r="736" spans="2:4">
      <c r="C736" t="s">
        <v>3073</v>
      </c>
    </row>
    <row r="737" spans="2:4">
      <c r="B737" t="s">
        <v>3074</v>
      </c>
    </row>
    <row r="738" spans="2:4">
      <c r="C738" t="s">
        <v>3075</v>
      </c>
    </row>
    <row r="739" spans="2:4">
      <c r="B739" t="s">
        <v>3076</v>
      </c>
    </row>
    <row r="740" spans="2:4">
      <c r="C740" t="s">
        <v>3077</v>
      </c>
    </row>
    <row r="741" spans="2:4">
      <c r="B741" t="s">
        <v>3078</v>
      </c>
    </row>
    <row r="743" spans="2:4">
      <c r="B743" s="121" t="s">
        <v>3079</v>
      </c>
    </row>
    <row r="745" spans="2:4">
      <c r="B745" t="s">
        <v>3080</v>
      </c>
    </row>
    <row r="746" spans="2:4">
      <c r="C746" t="s">
        <v>3081</v>
      </c>
    </row>
    <row r="748" spans="2:4">
      <c r="B748" t="s">
        <v>3082</v>
      </c>
    </row>
    <row r="749" spans="2:4">
      <c r="B749" t="s">
        <v>3083</v>
      </c>
      <c r="C749" t="s">
        <v>3084</v>
      </c>
    </row>
    <row r="750" spans="2:4">
      <c r="B750" t="s">
        <v>3085</v>
      </c>
      <c r="C750" t="s">
        <v>3086</v>
      </c>
    </row>
    <row r="751" spans="2:4">
      <c r="D751" t="s">
        <v>3087</v>
      </c>
    </row>
    <row r="752" spans="2:4">
      <c r="D752" t="s">
        <v>3088</v>
      </c>
    </row>
    <row r="753" spans="2:4">
      <c r="B753" t="s">
        <v>3089</v>
      </c>
    </row>
    <row r="755" spans="2:4">
      <c r="B755" s="121" t="s">
        <v>3090</v>
      </c>
    </row>
    <row r="757" spans="2:4">
      <c r="B757" s="42" t="s">
        <v>2998</v>
      </c>
    </row>
    <row r="758" spans="2:4">
      <c r="B758" s="42" t="s">
        <v>3091</v>
      </c>
    </row>
    <row r="759" spans="2:4">
      <c r="B759" t="s">
        <v>3092</v>
      </c>
    </row>
    <row r="760" spans="2:4">
      <c r="C760" t="s">
        <v>3093</v>
      </c>
    </row>
    <row r="761" spans="2:4">
      <c r="C761" t="s">
        <v>3094</v>
      </c>
    </row>
    <row r="762" spans="2:4">
      <c r="C762" t="s">
        <v>3095</v>
      </c>
    </row>
    <row r="763" spans="2:4">
      <c r="D763" t="s">
        <v>3096</v>
      </c>
    </row>
    <row r="764" spans="2:4">
      <c r="C764" t="s">
        <v>3097</v>
      </c>
    </row>
    <row r="765" spans="2:4">
      <c r="C765" t="s">
        <v>3098</v>
      </c>
    </row>
    <row r="766" spans="2:4">
      <c r="B766" t="s">
        <v>3099</v>
      </c>
    </row>
    <row r="767" spans="2:4">
      <c r="C767" t="s">
        <v>3100</v>
      </c>
    </row>
    <row r="768" spans="2:4">
      <c r="C768" t="s">
        <v>3101</v>
      </c>
    </row>
    <row r="769" spans="2:4">
      <c r="D769" t="s">
        <v>3102</v>
      </c>
    </row>
    <row r="770" spans="2:4">
      <c r="D770" t="s">
        <v>3103</v>
      </c>
    </row>
    <row r="771" spans="2:4">
      <c r="B771" t="s">
        <v>3104</v>
      </c>
    </row>
    <row r="772" spans="2:4">
      <c r="C772" t="s">
        <v>3105</v>
      </c>
      <c r="D772" t="s">
        <v>3106</v>
      </c>
    </row>
    <row r="773" spans="2:4">
      <c r="C773" t="s">
        <v>3107</v>
      </c>
    </row>
    <row r="774" spans="2:4">
      <c r="C774" t="s">
        <v>3108</v>
      </c>
    </row>
    <row r="775" spans="2:4">
      <c r="B775" t="s">
        <v>3109</v>
      </c>
    </row>
    <row r="776" spans="2:4">
      <c r="C776" t="s">
        <v>3110</v>
      </c>
    </row>
    <row r="777" spans="2:4">
      <c r="C777" t="s">
        <v>3111</v>
      </c>
    </row>
    <row r="778" spans="2:4">
      <c r="C778" t="s">
        <v>3112</v>
      </c>
    </row>
    <row r="779" spans="2:4">
      <c r="B779" t="s">
        <v>3113</v>
      </c>
    </row>
    <row r="780" spans="2:4">
      <c r="C780" t="s">
        <v>3114</v>
      </c>
    </row>
    <row r="781" spans="2:4">
      <c r="C781" s="2" t="s">
        <v>466</v>
      </c>
    </row>
    <row r="782" spans="2:4">
      <c r="C782" t="s">
        <v>3115</v>
      </c>
    </row>
    <row r="783" spans="2:4">
      <c r="C783" t="s">
        <v>3116</v>
      </c>
    </row>
    <row r="784" spans="2:4">
      <c r="C784" s="2" t="s">
        <v>3117</v>
      </c>
    </row>
    <row r="785" spans="1:4">
      <c r="C785" t="s">
        <v>3118</v>
      </c>
    </row>
    <row r="786" spans="1:4">
      <c r="C786" t="s">
        <v>3116</v>
      </c>
    </row>
    <row r="787" spans="1:4">
      <c r="C787" t="s">
        <v>3119</v>
      </c>
    </row>
    <row r="788" spans="1:4">
      <c r="C788" t="s">
        <v>3120</v>
      </c>
    </row>
    <row r="789" spans="1:4">
      <c r="B789" t="s">
        <v>3121</v>
      </c>
    </row>
    <row r="790" spans="1:4">
      <c r="C790" t="s">
        <v>3122</v>
      </c>
    </row>
    <row r="791" spans="1:4">
      <c r="C791" t="s">
        <v>3123</v>
      </c>
    </row>
    <row r="792" spans="1:4">
      <c r="D792" t="s">
        <v>3124</v>
      </c>
    </row>
    <row r="793" spans="1:4">
      <c r="C793" t="s">
        <v>3125</v>
      </c>
    </row>
    <row r="794" spans="1:4">
      <c r="C794" t="s">
        <v>3126</v>
      </c>
    </row>
    <row r="795" spans="1:4">
      <c r="D795" t="s">
        <v>3127</v>
      </c>
    </row>
    <row r="796" spans="1:4">
      <c r="D796" t="s">
        <v>3128</v>
      </c>
    </row>
    <row r="798" spans="1:4">
      <c r="B798" s="121" t="s">
        <v>886</v>
      </c>
    </row>
    <row r="800" spans="1:4">
      <c r="A800" s="397" t="s">
        <v>3129</v>
      </c>
      <c r="B800" t="s">
        <v>3130</v>
      </c>
    </row>
    <row r="801" spans="1:4">
      <c r="C801" t="s">
        <v>3131</v>
      </c>
    </row>
    <row r="802" spans="1:4">
      <c r="C802" t="s">
        <v>3132</v>
      </c>
    </row>
    <row r="803" spans="1:4">
      <c r="D803" t="s">
        <v>3133</v>
      </c>
    </row>
    <row r="804" spans="1:4">
      <c r="C804" t="s">
        <v>3134</v>
      </c>
    </row>
    <row r="805" spans="1:4">
      <c r="A805" s="397" t="s">
        <v>3129</v>
      </c>
      <c r="C805" t="s">
        <v>3135</v>
      </c>
    </row>
    <row r="806" spans="1:4">
      <c r="C806" t="s">
        <v>3136</v>
      </c>
    </row>
    <row r="807" spans="1:4">
      <c r="A807" t="s">
        <v>3129</v>
      </c>
      <c r="B807" t="s">
        <v>3137</v>
      </c>
    </row>
    <row r="808" spans="1:4">
      <c r="A808" s="397"/>
      <c r="B808" t="s">
        <v>3138</v>
      </c>
    </row>
    <row r="809" spans="1:4">
      <c r="A809" s="397"/>
      <c r="B809" t="s">
        <v>3139</v>
      </c>
    </row>
    <row r="810" spans="1:4">
      <c r="B810" t="s">
        <v>3140</v>
      </c>
    </row>
    <row r="811" spans="1:4">
      <c r="B811" t="s">
        <v>3141</v>
      </c>
    </row>
    <row r="812" spans="1:4">
      <c r="B812" t="s">
        <v>3142</v>
      </c>
    </row>
    <row r="813" spans="1:4">
      <c r="A813" t="s">
        <v>3129</v>
      </c>
      <c r="B813" t="s">
        <v>3143</v>
      </c>
    </row>
    <row r="814" spans="1:4">
      <c r="A814" t="s">
        <v>3129</v>
      </c>
      <c r="B814" t="s">
        <v>3144</v>
      </c>
    </row>
    <row r="815" spans="1:4">
      <c r="C815" t="s">
        <v>3145</v>
      </c>
    </row>
    <row r="816" spans="1:4">
      <c r="A816" t="s">
        <v>3129</v>
      </c>
      <c r="B816" t="s">
        <v>3146</v>
      </c>
    </row>
    <row r="817" spans="1:3">
      <c r="A817" t="s">
        <v>3129</v>
      </c>
      <c r="B817" t="s">
        <v>3147</v>
      </c>
    </row>
    <row r="818" spans="1:3">
      <c r="A818" s="397" t="s">
        <v>3129</v>
      </c>
      <c r="B818" t="s">
        <v>35</v>
      </c>
    </row>
    <row r="819" spans="1:3">
      <c r="C819" t="s">
        <v>3148</v>
      </c>
    </row>
    <row r="821" spans="1:3">
      <c r="B821" s="2" t="s">
        <v>2680</v>
      </c>
    </row>
    <row r="822" spans="1:3">
      <c r="B822" t="s">
        <v>3149</v>
      </c>
    </row>
    <row r="823" spans="1:3">
      <c r="C823" t="s">
        <v>3150</v>
      </c>
    </row>
    <row r="824" spans="1:3">
      <c r="B824" t="s">
        <v>3151</v>
      </c>
    </row>
    <row r="825" spans="1:3">
      <c r="C825" t="s">
        <v>3152</v>
      </c>
    </row>
    <row r="826" spans="1:3">
      <c r="C826" t="s">
        <v>3153</v>
      </c>
    </row>
    <row r="827" spans="1:3">
      <c r="C827" t="s">
        <v>3154</v>
      </c>
    </row>
    <row r="828" spans="1:3">
      <c r="B828" t="s">
        <v>100</v>
      </c>
    </row>
    <row r="829" spans="1:3">
      <c r="C829" t="s">
        <v>3155</v>
      </c>
    </row>
    <row r="830" spans="1:3">
      <c r="C830" t="s">
        <v>3156</v>
      </c>
    </row>
    <row r="831" spans="1:3">
      <c r="C831" t="s">
        <v>3157</v>
      </c>
    </row>
    <row r="833" spans="2:4">
      <c r="B833" t="s">
        <v>2506</v>
      </c>
    </row>
    <row r="834" spans="2:4">
      <c r="C834" t="s">
        <v>3158</v>
      </c>
    </row>
    <row r="835" spans="2:4">
      <c r="B835" t="s">
        <v>3159</v>
      </c>
    </row>
    <row r="836" spans="2:4">
      <c r="C836" t="s">
        <v>3160</v>
      </c>
    </row>
    <row r="837" spans="2:4">
      <c r="C837" t="s">
        <v>3161</v>
      </c>
    </row>
    <row r="838" spans="2:4">
      <c r="B838" t="s">
        <v>52</v>
      </c>
    </row>
    <row r="839" spans="2:4">
      <c r="C839" t="s">
        <v>3162</v>
      </c>
    </row>
    <row r="840" spans="2:4">
      <c r="C840" t="s">
        <v>3163</v>
      </c>
    </row>
    <row r="841" spans="2:4">
      <c r="D841" t="s">
        <v>3164</v>
      </c>
    </row>
    <row r="842" spans="2:4">
      <c r="B842" t="s">
        <v>35</v>
      </c>
    </row>
    <row r="843" spans="2:4">
      <c r="C843" t="s">
        <v>3165</v>
      </c>
    </row>
    <row r="845" spans="2:4">
      <c r="B845" t="s">
        <v>3166</v>
      </c>
    </row>
    <row r="846" spans="2:4">
      <c r="C846" t="s">
        <v>3167</v>
      </c>
    </row>
    <row r="848" spans="2:4">
      <c r="B848" s="42" t="s">
        <v>3168</v>
      </c>
    </row>
    <row r="849" spans="2:3">
      <c r="C849" t="s">
        <v>3169</v>
      </c>
    </row>
    <row r="851" spans="2:3">
      <c r="B851" s="42" t="s">
        <v>3170</v>
      </c>
    </row>
    <row r="852" spans="2:3">
      <c r="C852" t="s">
        <v>3171</v>
      </c>
    </row>
    <row r="853" spans="2:3">
      <c r="C853" t="s">
        <v>3172</v>
      </c>
    </row>
    <row r="854" spans="2:3">
      <c r="B854" s="42" t="s">
        <v>48</v>
      </c>
    </row>
    <row r="856" spans="2:3">
      <c r="C856" t="s">
        <v>3173</v>
      </c>
    </row>
    <row r="857" spans="2:3">
      <c r="C857" t="s">
        <v>3174</v>
      </c>
    </row>
    <row r="859" spans="2:3">
      <c r="B859" s="121" t="s">
        <v>3175</v>
      </c>
    </row>
    <row r="861" spans="2:3">
      <c r="B861" t="s">
        <v>3176</v>
      </c>
    </row>
    <row r="862" spans="2:3">
      <c r="C862" t="s">
        <v>3177</v>
      </c>
    </row>
    <row r="863" spans="2:3">
      <c r="C863" t="s">
        <v>3178</v>
      </c>
    </row>
    <row r="864" spans="2:3">
      <c r="B864" t="s">
        <v>3179</v>
      </c>
    </row>
    <row r="865" spans="2:6">
      <c r="C865" t="s">
        <v>3180</v>
      </c>
    </row>
    <row r="866" spans="2:6">
      <c r="B866" t="s">
        <v>3181</v>
      </c>
    </row>
    <row r="867" spans="2:6">
      <c r="C867" s="401" t="s">
        <v>3182</v>
      </c>
    </row>
    <row r="868" spans="2:6">
      <c r="C868" s="401" t="s">
        <v>3183</v>
      </c>
    </row>
    <row r="869" spans="2:6">
      <c r="B869" t="s">
        <v>3184</v>
      </c>
    </row>
    <row r="870" spans="2:6">
      <c r="B870" t="s">
        <v>3185</v>
      </c>
    </row>
    <row r="871" spans="2:6">
      <c r="C871" t="s">
        <v>3186</v>
      </c>
    </row>
    <row r="872" spans="2:6">
      <c r="B872" t="s">
        <v>3187</v>
      </c>
    </row>
    <row r="873" spans="2:6">
      <c r="C873" t="s">
        <v>3188</v>
      </c>
    </row>
    <row r="874" spans="2:6">
      <c r="C874" t="s">
        <v>3189</v>
      </c>
    </row>
    <row r="875" spans="2:6">
      <c r="B875" t="s">
        <v>3190</v>
      </c>
    </row>
    <row r="876" spans="2:6">
      <c r="C876" t="s">
        <v>3191</v>
      </c>
    </row>
    <row r="877" spans="2:6">
      <c r="C877" t="s">
        <v>3192</v>
      </c>
    </row>
    <row r="878" spans="2:6">
      <c r="C878" t="s">
        <v>3193</v>
      </c>
    </row>
    <row r="879" spans="2:6">
      <c r="C879" t="s">
        <v>3194</v>
      </c>
    </row>
    <row r="880" spans="2:6">
      <c r="B880" t="s">
        <v>3195</v>
      </c>
      <c r="F880" t="s">
        <v>3129</v>
      </c>
    </row>
    <row r="881" spans="2:20">
      <c r="C881" t="s">
        <v>3196</v>
      </c>
    </row>
    <row r="882" spans="2:20">
      <c r="B882" t="s">
        <v>3197</v>
      </c>
    </row>
    <row r="883" spans="2:20">
      <c r="C883" t="s">
        <v>3198</v>
      </c>
      <c r="T883" t="s">
        <v>57</v>
      </c>
    </row>
    <row r="884" spans="2:20">
      <c r="C884" t="s">
        <v>3199</v>
      </c>
    </row>
    <row r="885" spans="2:20">
      <c r="D885" t="s">
        <v>3200</v>
      </c>
    </row>
    <row r="886" spans="2:20">
      <c r="E886" t="s">
        <v>3201</v>
      </c>
      <c r="I886" t="s">
        <v>3202</v>
      </c>
    </row>
    <row r="887" spans="2:20">
      <c r="E887" t="s">
        <v>3203</v>
      </c>
    </row>
    <row r="888" spans="2:20">
      <c r="E888" t="s">
        <v>3204</v>
      </c>
    </row>
    <row r="889" spans="2:20">
      <c r="E889" t="s">
        <v>3205</v>
      </c>
    </row>
    <row r="890" spans="2:20">
      <c r="D890" t="s">
        <v>3206</v>
      </c>
    </row>
    <row r="891" spans="2:20">
      <c r="D891" t="s">
        <v>3207</v>
      </c>
    </row>
    <row r="892" spans="2:20">
      <c r="D892" t="s">
        <v>3208</v>
      </c>
    </row>
    <row r="893" spans="2:20">
      <c r="D893" t="s">
        <v>3209</v>
      </c>
    </row>
    <row r="894" spans="2:20">
      <c r="D894" t="s">
        <v>3210</v>
      </c>
    </row>
    <row r="895" spans="2:20">
      <c r="B895" t="s">
        <v>3211</v>
      </c>
    </row>
    <row r="896" spans="2:20">
      <c r="B896" t="s">
        <v>3212</v>
      </c>
    </row>
    <row r="897" spans="2:3">
      <c r="B897" t="s">
        <v>3213</v>
      </c>
    </row>
    <row r="898" spans="2:3">
      <c r="B898" t="s">
        <v>3214</v>
      </c>
    </row>
    <row r="900" spans="2:3">
      <c r="B900" t="s">
        <v>3215</v>
      </c>
    </row>
    <row r="901" spans="2:3">
      <c r="C901" t="s">
        <v>3216</v>
      </c>
    </row>
    <row r="902" spans="2:3">
      <c r="C902" t="s">
        <v>3217</v>
      </c>
    </row>
    <row r="903" spans="2:3">
      <c r="C903" t="s">
        <v>3218</v>
      </c>
    </row>
    <row r="904" spans="2:3">
      <c r="C904" t="s">
        <v>3219</v>
      </c>
    </row>
    <row r="905" spans="2:3">
      <c r="B905" t="s">
        <v>3220</v>
      </c>
    </row>
    <row r="907" spans="2:3">
      <c r="B907" t="s">
        <v>3221</v>
      </c>
    </row>
    <row r="908" spans="2:3">
      <c r="C908" t="s">
        <v>3222</v>
      </c>
    </row>
    <row r="910" spans="2:3">
      <c r="B910" s="121" t="s">
        <v>733</v>
      </c>
    </row>
    <row r="912" spans="2:3">
      <c r="B912" t="s">
        <v>3223</v>
      </c>
    </row>
    <row r="913" spans="2:3">
      <c r="B913" t="s">
        <v>3224</v>
      </c>
    </row>
    <row r="914" spans="2:3">
      <c r="C914" t="s">
        <v>3225</v>
      </c>
    </row>
    <row r="915" spans="2:3">
      <c r="B915" t="s">
        <v>3226</v>
      </c>
    </row>
    <row r="916" spans="2:3">
      <c r="C916" t="s">
        <v>3227</v>
      </c>
    </row>
    <row r="917" spans="2:3">
      <c r="C917" t="s">
        <v>3228</v>
      </c>
    </row>
    <row r="918" spans="2:3">
      <c r="B918" t="s">
        <v>3229</v>
      </c>
    </row>
    <row r="919" spans="2:3">
      <c r="C919" t="s">
        <v>3230</v>
      </c>
    </row>
    <row r="920" spans="2:3">
      <c r="B920" t="s">
        <v>3231</v>
      </c>
    </row>
    <row r="921" spans="2:3">
      <c r="C921" t="s">
        <v>3232</v>
      </c>
    </row>
    <row r="922" spans="2:3">
      <c r="C922" t="s">
        <v>3233</v>
      </c>
    </row>
    <row r="923" spans="2:3">
      <c r="B923" t="s">
        <v>3234</v>
      </c>
    </row>
    <row r="924" spans="2:3">
      <c r="B924" t="s">
        <v>3235</v>
      </c>
    </row>
    <row r="926" spans="2:3">
      <c r="B926" s="121" t="s">
        <v>3236</v>
      </c>
    </row>
    <row r="928" spans="2:3">
      <c r="B928" t="s">
        <v>3237</v>
      </c>
    </row>
    <row r="929" spans="2:3">
      <c r="C929" t="s">
        <v>3238</v>
      </c>
    </row>
    <row r="930" spans="2:3">
      <c r="B930" t="s">
        <v>3239</v>
      </c>
    </row>
    <row r="932" spans="2:3">
      <c r="B932" s="121" t="s">
        <v>3240</v>
      </c>
    </row>
    <row r="934" spans="2:3">
      <c r="B934" t="s">
        <v>3241</v>
      </c>
    </row>
    <row r="935" spans="2:3">
      <c r="C935" t="s">
        <v>3242</v>
      </c>
    </row>
    <row r="936" spans="2:3">
      <c r="C936" t="s">
        <v>3243</v>
      </c>
    </row>
    <row r="937" spans="2:3">
      <c r="C937" t="s">
        <v>3244</v>
      </c>
    </row>
    <row r="938" spans="2:3">
      <c r="C938" t="s">
        <v>3245</v>
      </c>
    </row>
    <row r="940" spans="2:3">
      <c r="B940" s="121" t="s">
        <v>734</v>
      </c>
    </row>
    <row r="941" spans="2:3">
      <c r="B941" t="s">
        <v>3246</v>
      </c>
    </row>
    <row r="942" spans="2:3">
      <c r="B942" t="s">
        <v>3247</v>
      </c>
    </row>
    <row r="943" spans="2:3">
      <c r="C943" t="s">
        <v>3248</v>
      </c>
    </row>
    <row r="944" spans="2:3">
      <c r="C944" t="s">
        <v>3249</v>
      </c>
    </row>
    <row r="945" spans="2:4">
      <c r="B945" t="s">
        <v>2438</v>
      </c>
    </row>
    <row r="946" spans="2:4">
      <c r="C946" t="s">
        <v>3250</v>
      </c>
    </row>
    <row r="947" spans="2:4">
      <c r="B947" t="s">
        <v>3251</v>
      </c>
    </row>
    <row r="948" spans="2:4">
      <c r="C948" s="2" t="s">
        <v>100</v>
      </c>
    </row>
    <row r="949" spans="2:4">
      <c r="C949" t="s">
        <v>3252</v>
      </c>
    </row>
    <row r="950" spans="2:4">
      <c r="C950" t="s">
        <v>3253</v>
      </c>
    </row>
    <row r="952" spans="2:4">
      <c r="B952" t="s">
        <v>97</v>
      </c>
      <c r="C952" t="s">
        <v>3254</v>
      </c>
    </row>
    <row r="953" spans="2:4">
      <c r="B953" t="s">
        <v>52</v>
      </c>
      <c r="C953" t="s">
        <v>3255</v>
      </c>
    </row>
    <row r="954" spans="2:4">
      <c r="D954" t="s">
        <v>3256</v>
      </c>
    </row>
    <row r="955" spans="2:4">
      <c r="D955" t="s">
        <v>3257</v>
      </c>
    </row>
    <row r="957" spans="2:4">
      <c r="B957" t="s">
        <v>3258</v>
      </c>
      <c r="C957" t="s">
        <v>3259</v>
      </c>
    </row>
    <row r="958" spans="2:4">
      <c r="C958" t="s">
        <v>3260</v>
      </c>
    </row>
    <row r="960" spans="2:4">
      <c r="B960" s="121" t="s">
        <v>3261</v>
      </c>
    </row>
    <row r="962" spans="2:4">
      <c r="B962" t="s">
        <v>3262</v>
      </c>
    </row>
    <row r="963" spans="2:4">
      <c r="B963" t="s">
        <v>3263</v>
      </c>
    </row>
    <row r="964" spans="2:4">
      <c r="B964" t="s">
        <v>3264</v>
      </c>
    </row>
    <row r="965" spans="2:4">
      <c r="C965" t="s">
        <v>3265</v>
      </c>
    </row>
    <row r="966" spans="2:4">
      <c r="C966" t="s">
        <v>3266</v>
      </c>
    </row>
    <row r="967" spans="2:4">
      <c r="B967" t="s">
        <v>3267</v>
      </c>
    </row>
    <row r="968" spans="2:4">
      <c r="C968" t="s">
        <v>3268</v>
      </c>
    </row>
    <row r="969" spans="2:4">
      <c r="C969" t="s">
        <v>3269</v>
      </c>
    </row>
    <row r="970" spans="2:4">
      <c r="D970" t="s">
        <v>3270</v>
      </c>
    </row>
    <row r="972" spans="2:4">
      <c r="B972" s="121" t="s">
        <v>3271</v>
      </c>
    </row>
    <row r="974" spans="2:4">
      <c r="B974" t="s">
        <v>3272</v>
      </c>
    </row>
    <row r="975" spans="2:4">
      <c r="C975" t="s">
        <v>3273</v>
      </c>
    </row>
    <row r="977" spans="2:5">
      <c r="B977" t="s">
        <v>3226</v>
      </c>
    </row>
    <row r="979" spans="2:5">
      <c r="B979" t="s">
        <v>3274</v>
      </c>
    </row>
    <row r="981" spans="2:5">
      <c r="B981" t="s">
        <v>3275</v>
      </c>
    </row>
    <row r="982" spans="2:5">
      <c r="C982" t="s">
        <v>3276</v>
      </c>
    </row>
    <row r="983" spans="2:5">
      <c r="C983" t="s">
        <v>3277</v>
      </c>
    </row>
    <row r="985" spans="2:5">
      <c r="B985" t="s">
        <v>3278</v>
      </c>
    </row>
    <row r="986" spans="2:5">
      <c r="C986" t="s">
        <v>3279</v>
      </c>
    </row>
    <row r="988" spans="2:5">
      <c r="B988" t="s">
        <v>3280</v>
      </c>
    </row>
    <row r="989" spans="2:5">
      <c r="C989" t="s">
        <v>3281</v>
      </c>
    </row>
    <row r="990" spans="2:5">
      <c r="C990" t="s">
        <v>3282</v>
      </c>
    </row>
    <row r="991" spans="2:5">
      <c r="D991" t="s">
        <v>3041</v>
      </c>
      <c r="E991" t="s">
        <v>3283</v>
      </c>
    </row>
    <row r="992" spans="2:5">
      <c r="D992" t="s">
        <v>3284</v>
      </c>
      <c r="E992" t="s">
        <v>3285</v>
      </c>
    </row>
    <row r="993" spans="2:3">
      <c r="C993" t="s">
        <v>3286</v>
      </c>
    </row>
    <row r="994" spans="2:3">
      <c r="C994" t="s">
        <v>3287</v>
      </c>
    </row>
    <row r="996" spans="2:3">
      <c r="B996" t="s">
        <v>3288</v>
      </c>
    </row>
    <row r="998" spans="2:3">
      <c r="B998" t="s">
        <v>3289</v>
      </c>
    </row>
    <row r="999" spans="2:3">
      <c r="C999" t="s">
        <v>3290</v>
      </c>
    </row>
    <row r="1000" spans="2:3">
      <c r="C1000" t="s">
        <v>3291</v>
      </c>
    </row>
    <row r="1001" spans="2:3">
      <c r="B1001" t="s">
        <v>3292</v>
      </c>
    </row>
    <row r="1003" spans="2:3">
      <c r="B1003" t="s">
        <v>3293</v>
      </c>
    </row>
    <row r="1004" spans="2:3">
      <c r="C1004" t="s">
        <v>3294</v>
      </c>
    </row>
    <row r="1006" spans="2:3">
      <c r="B1006" t="s">
        <v>3295</v>
      </c>
    </row>
    <row r="1007" spans="2:3">
      <c r="C1007" t="s">
        <v>3296</v>
      </c>
    </row>
    <row r="1009" spans="2:4">
      <c r="B1009" t="s">
        <v>3297</v>
      </c>
    </row>
    <row r="1012" spans="2:4">
      <c r="B1012" t="s">
        <v>3298</v>
      </c>
    </row>
    <row r="1013" spans="2:4">
      <c r="C1013" t="s">
        <v>3299</v>
      </c>
    </row>
    <row r="1014" spans="2:4">
      <c r="C1014" t="s">
        <v>3300</v>
      </c>
    </row>
    <row r="1016" spans="2:4">
      <c r="B1016" t="s">
        <v>3301</v>
      </c>
    </row>
    <row r="1017" spans="2:4">
      <c r="C1017" t="s">
        <v>3302</v>
      </c>
    </row>
    <row r="1018" spans="2:4">
      <c r="D1018" t="s">
        <v>3303</v>
      </c>
    </row>
    <row r="1019" spans="2:4">
      <c r="D1019" t="s">
        <v>3304</v>
      </c>
    </row>
    <row r="1021" spans="2:4">
      <c r="B1021" t="s">
        <v>3305</v>
      </c>
    </row>
    <row r="1023" spans="2:4">
      <c r="B1023" t="s">
        <v>3306</v>
      </c>
    </row>
    <row r="1024" spans="2:4">
      <c r="B1024" t="s">
        <v>3307</v>
      </c>
    </row>
    <row r="1025" spans="2:3">
      <c r="C1025" t="s">
        <v>3308</v>
      </c>
    </row>
    <row r="1026" spans="2:3">
      <c r="C1026" t="s">
        <v>3309</v>
      </c>
    </row>
    <row r="1028" spans="2:3">
      <c r="B1028" t="s">
        <v>3310</v>
      </c>
    </row>
    <row r="1029" spans="2:3">
      <c r="C1029" t="s">
        <v>3311</v>
      </c>
    </row>
    <row r="1031" spans="2:3">
      <c r="B1031" s="121" t="s">
        <v>3312</v>
      </c>
    </row>
    <row r="1033" spans="2:3">
      <c r="B1033" t="s">
        <v>3313</v>
      </c>
    </row>
    <row r="1034" spans="2:3">
      <c r="B1034" t="s">
        <v>3314</v>
      </c>
    </row>
    <row r="1035" spans="2:3">
      <c r="B1035" t="s">
        <v>3315</v>
      </c>
    </row>
    <row r="1036" spans="2:3">
      <c r="B1036" t="s">
        <v>3316</v>
      </c>
    </row>
    <row r="1037" spans="2:3">
      <c r="B1037" t="s">
        <v>3317</v>
      </c>
    </row>
    <row r="1038" spans="2:3">
      <c r="B1038" s="9">
        <v>4.0000000000000001E-3</v>
      </c>
      <c r="C1038" t="s">
        <v>1067</v>
      </c>
    </row>
    <row r="1039" spans="2:3">
      <c r="B1039" s="9">
        <v>1.14E-2</v>
      </c>
      <c r="C1039" t="s">
        <v>1066</v>
      </c>
    </row>
    <row r="1040" spans="2:3">
      <c r="B1040" s="9">
        <v>0.01</v>
      </c>
      <c r="C1040" t="s">
        <v>3318</v>
      </c>
    </row>
    <row r="1041" spans="2:3">
      <c r="B1041" t="s">
        <v>3319</v>
      </c>
    </row>
    <row r="1042" spans="2:3">
      <c r="B1042" t="s">
        <v>3320</v>
      </c>
    </row>
    <row r="1043" spans="2:3">
      <c r="C1043" t="s">
        <v>3321</v>
      </c>
    </row>
    <row r="1044" spans="2:3">
      <c r="C1044" t="s">
        <v>3322</v>
      </c>
    </row>
    <row r="1045" spans="2:3">
      <c r="C1045" t="s">
        <v>3323</v>
      </c>
    </row>
    <row r="1046" spans="2:3">
      <c r="B1046" t="s">
        <v>3324</v>
      </c>
    </row>
    <row r="1047" spans="2:3">
      <c r="B1047" t="s">
        <v>3325</v>
      </c>
    </row>
    <row r="1048" spans="2:3">
      <c r="B1048" t="s">
        <v>3326</v>
      </c>
    </row>
    <row r="1049" spans="2:3">
      <c r="C1049" t="s">
        <v>3327</v>
      </c>
    </row>
    <row r="1050" spans="2:3">
      <c r="C1050" t="s">
        <v>3328</v>
      </c>
    </row>
    <row r="1051" spans="2:3">
      <c r="B1051" s="2" t="s">
        <v>3329</v>
      </c>
    </row>
    <row r="1052" spans="2:3">
      <c r="B1052" t="s">
        <v>3330</v>
      </c>
    </row>
    <row r="1053" spans="2:3">
      <c r="B1053" t="s">
        <v>3331</v>
      </c>
    </row>
    <row r="1054" spans="2:3">
      <c r="B1054" t="s">
        <v>3332</v>
      </c>
    </row>
    <row r="1056" spans="2:3">
      <c r="B1056" t="s">
        <v>3333</v>
      </c>
    </row>
    <row r="1058" spans="2:3">
      <c r="B1058" s="2" t="s">
        <v>2680</v>
      </c>
    </row>
    <row r="1059" spans="2:3">
      <c r="B1059" t="s">
        <v>3334</v>
      </c>
    </row>
    <row r="1060" spans="2:3">
      <c r="C1060" t="s">
        <v>3335</v>
      </c>
    </row>
    <row r="1061" spans="2:3">
      <c r="C1061" t="s">
        <v>3336</v>
      </c>
    </row>
    <row r="1062" spans="2:3">
      <c r="C1062" t="s">
        <v>3337</v>
      </c>
    </row>
    <row r="1063" spans="2:3">
      <c r="C1063" t="s">
        <v>3338</v>
      </c>
    </row>
    <row r="1064" spans="2:3">
      <c r="C1064" t="s">
        <v>3339</v>
      </c>
    </row>
    <row r="1065" spans="2:3">
      <c r="B1065" t="s">
        <v>3340</v>
      </c>
    </row>
    <row r="1066" spans="2:3">
      <c r="C1066" t="s">
        <v>3341</v>
      </c>
    </row>
    <row r="1067" spans="2:3">
      <c r="C1067" t="s">
        <v>3342</v>
      </c>
    </row>
    <row r="1068" spans="2:3">
      <c r="C1068" t="s">
        <v>3343</v>
      </c>
    </row>
    <row r="1069" spans="2:3">
      <c r="B1069" t="s">
        <v>52</v>
      </c>
    </row>
    <row r="1070" spans="2:3">
      <c r="C1070" t="s">
        <v>3344</v>
      </c>
    </row>
    <row r="1071" spans="2:3">
      <c r="C1071" t="s">
        <v>3345</v>
      </c>
    </row>
    <row r="1072" spans="2:3">
      <c r="C1072" t="s">
        <v>3346</v>
      </c>
    </row>
    <row r="1073" spans="2:3">
      <c r="C1073" t="s">
        <v>3347</v>
      </c>
    </row>
    <row r="1074" spans="2:3">
      <c r="B1074" t="s">
        <v>97</v>
      </c>
    </row>
    <row r="1075" spans="2:3">
      <c r="C1075" t="s">
        <v>3348</v>
      </c>
    </row>
    <row r="1076" spans="2:3">
      <c r="C1076" t="s">
        <v>3349</v>
      </c>
    </row>
    <row r="1077" spans="2:3">
      <c r="C1077" t="s">
        <v>3350</v>
      </c>
    </row>
    <row r="1078" spans="2:3">
      <c r="B1078" t="s">
        <v>3351</v>
      </c>
    </row>
    <row r="1079" spans="2:3">
      <c r="C1079" t="s">
        <v>3352</v>
      </c>
    </row>
    <row r="1080" spans="2:3">
      <c r="C1080" t="s">
        <v>3353</v>
      </c>
    </row>
    <row r="1081" spans="2:3">
      <c r="B1081" t="s">
        <v>3354</v>
      </c>
    </row>
    <row r="1082" spans="2:3">
      <c r="C1082" t="s">
        <v>3355</v>
      </c>
    </row>
    <row r="1083" spans="2:3">
      <c r="C1083" t="s">
        <v>3356</v>
      </c>
    </row>
    <row r="1084" spans="2:3">
      <c r="B1084" t="s">
        <v>3357</v>
      </c>
    </row>
    <row r="1085" spans="2:3">
      <c r="B1085" t="s">
        <v>3358</v>
      </c>
    </row>
    <row r="1086" spans="2:3">
      <c r="C1086" t="s">
        <v>3359</v>
      </c>
    </row>
    <row r="1087" spans="2:3">
      <c r="B1087" t="s">
        <v>52</v>
      </c>
    </row>
    <row r="1088" spans="2:3">
      <c r="C1088" t="s">
        <v>3360</v>
      </c>
    </row>
    <row r="1089" spans="2:4">
      <c r="D1089" t="s">
        <v>3361</v>
      </c>
    </row>
    <row r="1090" spans="2:4">
      <c r="D1090" t="s">
        <v>3362</v>
      </c>
    </row>
    <row r="1091" spans="2:4">
      <c r="D1091" t="s">
        <v>3363</v>
      </c>
    </row>
    <row r="1092" spans="2:4">
      <c r="D1092" t="s">
        <v>3364</v>
      </c>
    </row>
    <row r="1093" spans="2:4">
      <c r="D1093" t="s">
        <v>3365</v>
      </c>
    </row>
    <row r="1094" spans="2:4">
      <c r="B1094" t="s">
        <v>94</v>
      </c>
    </row>
    <row r="1095" spans="2:4">
      <c r="C1095" t="s">
        <v>3366</v>
      </c>
    </row>
    <row r="1096" spans="2:4">
      <c r="D1096" t="s">
        <v>3367</v>
      </c>
    </row>
    <row r="1097" spans="2:4">
      <c r="D1097" t="s">
        <v>3368</v>
      </c>
    </row>
    <row r="1098" spans="2:4">
      <c r="D1098" t="s">
        <v>3369</v>
      </c>
    </row>
    <row r="1099" spans="2:4">
      <c r="B1099" t="s">
        <v>3370</v>
      </c>
    </row>
    <row r="1100" spans="2:4">
      <c r="C1100" t="s">
        <v>3371</v>
      </c>
    </row>
    <row r="1101" spans="2:4">
      <c r="C1101" t="s">
        <v>3372</v>
      </c>
    </row>
    <row r="1102" spans="2:4">
      <c r="B1102" t="s">
        <v>1621</v>
      </c>
    </row>
    <row r="1103" spans="2:4">
      <c r="C1103" t="s">
        <v>3373</v>
      </c>
    </row>
    <row r="1104" spans="2:4">
      <c r="B1104" t="s">
        <v>3374</v>
      </c>
    </row>
    <row r="1105" spans="2:3">
      <c r="C1105" t="s">
        <v>3375</v>
      </c>
    </row>
    <row r="1106" spans="2:3">
      <c r="C1106" t="s">
        <v>3376</v>
      </c>
    </row>
    <row r="1107" spans="2:3">
      <c r="B1107" t="s">
        <v>100</v>
      </c>
    </row>
    <row r="1108" spans="2:3">
      <c r="C1108" t="s">
        <v>3377</v>
      </c>
    </row>
    <row r="1109" spans="2:3">
      <c r="B1109" t="s">
        <v>3378</v>
      </c>
    </row>
    <row r="1110" spans="2:3">
      <c r="C1110" t="s">
        <v>3379</v>
      </c>
    </row>
    <row r="1111" spans="2:3">
      <c r="C1111" t="s">
        <v>3380</v>
      </c>
    </row>
    <row r="1112" spans="2:3">
      <c r="C1112" t="s">
        <v>3381</v>
      </c>
    </row>
    <row r="1113" spans="2:3">
      <c r="C1113" t="s">
        <v>3382</v>
      </c>
    </row>
    <row r="1115" spans="2:3">
      <c r="B1115" s="121" t="s">
        <v>3383</v>
      </c>
    </row>
    <row r="1117" spans="2:3">
      <c r="B1117" t="s">
        <v>3384</v>
      </c>
    </row>
    <row r="1118" spans="2:3">
      <c r="B1118" t="s">
        <v>3385</v>
      </c>
    </row>
    <row r="1119" spans="2:3">
      <c r="B1119" t="s">
        <v>3386</v>
      </c>
    </row>
    <row r="1120" spans="2:3">
      <c r="B1120" t="s">
        <v>3387</v>
      </c>
    </row>
    <row r="1121" spans="2:4">
      <c r="B1121" t="s">
        <v>3388</v>
      </c>
    </row>
    <row r="1123" spans="2:4">
      <c r="B1123" t="s">
        <v>3389</v>
      </c>
    </row>
    <row r="1124" spans="2:4">
      <c r="C1124" t="s">
        <v>3390</v>
      </c>
    </row>
    <row r="1125" spans="2:4">
      <c r="C1125" t="s">
        <v>3391</v>
      </c>
    </row>
    <row r="1127" spans="2:4">
      <c r="B1127" t="s">
        <v>35</v>
      </c>
    </row>
    <row r="1128" spans="2:4">
      <c r="C1128" t="s">
        <v>3392</v>
      </c>
    </row>
    <row r="1129" spans="2:4">
      <c r="C1129" t="s">
        <v>3393</v>
      </c>
    </row>
    <row r="1130" spans="2:4">
      <c r="C1130" t="s">
        <v>3394</v>
      </c>
    </row>
    <row r="1131" spans="2:4">
      <c r="D1131" t="s">
        <v>3395</v>
      </c>
    </row>
    <row r="1132" spans="2:4">
      <c r="C1132" t="s">
        <v>3396</v>
      </c>
    </row>
    <row r="1133" spans="2:4">
      <c r="C1133" t="s">
        <v>3397</v>
      </c>
    </row>
    <row r="1135" spans="2:4">
      <c r="B1135" t="s">
        <v>557</v>
      </c>
    </row>
    <row r="1136" spans="2:4">
      <c r="C1136" t="s">
        <v>3398</v>
      </c>
    </row>
    <row r="1137" spans="2:6">
      <c r="C1137" t="s">
        <v>3399</v>
      </c>
    </row>
    <row r="1139" spans="2:6">
      <c r="B1139" t="s">
        <v>3400</v>
      </c>
    </row>
    <row r="1140" spans="2:6">
      <c r="C1140" t="s">
        <v>3401</v>
      </c>
    </row>
    <row r="1141" spans="2:6">
      <c r="C1141" t="s">
        <v>3402</v>
      </c>
    </row>
    <row r="1142" spans="2:6">
      <c r="D1142" t="s">
        <v>3403</v>
      </c>
    </row>
    <row r="1143" spans="2:6">
      <c r="E1143" t="s">
        <v>3404</v>
      </c>
    </row>
    <row r="1144" spans="2:6">
      <c r="E1144" t="s">
        <v>3405</v>
      </c>
    </row>
    <row r="1145" spans="2:6">
      <c r="C1145" t="s">
        <v>3405</v>
      </c>
    </row>
    <row r="1146" spans="2:6">
      <c r="D1146" t="s">
        <v>3406</v>
      </c>
      <c r="F1146" t="s">
        <v>3407</v>
      </c>
    </row>
    <row r="1148" spans="2:6">
      <c r="B1148" t="s">
        <v>210</v>
      </c>
    </row>
    <row r="1149" spans="2:6">
      <c r="C1149" t="s">
        <v>3408</v>
      </c>
    </row>
    <row r="1150" spans="2:6">
      <c r="C1150" t="s">
        <v>3409</v>
      </c>
    </row>
    <row r="1151" spans="2:6">
      <c r="D1151" t="s">
        <v>3410</v>
      </c>
    </row>
    <row r="1153" spans="2:5">
      <c r="B1153" s="121" t="s">
        <v>3411</v>
      </c>
    </row>
    <row r="1155" spans="2:5">
      <c r="B1155" t="s">
        <v>3412</v>
      </c>
    </row>
    <row r="1156" spans="2:5">
      <c r="B1156" t="s">
        <v>3413</v>
      </c>
    </row>
    <row r="1157" spans="2:5">
      <c r="B1157" t="s">
        <v>3414</v>
      </c>
    </row>
    <row r="1158" spans="2:5">
      <c r="C1158" t="s">
        <v>3415</v>
      </c>
    </row>
    <row r="1159" spans="2:5">
      <c r="B1159" t="s">
        <v>3416</v>
      </c>
    </row>
    <row r="1161" spans="2:5">
      <c r="B1161" t="s">
        <v>3417</v>
      </c>
    </row>
    <row r="1162" spans="2:5">
      <c r="C1162" t="s">
        <v>3418</v>
      </c>
    </row>
    <row r="1163" spans="2:5">
      <c r="C1163" t="s">
        <v>3419</v>
      </c>
    </row>
    <row r="1164" spans="2:5">
      <c r="D1164" t="s">
        <v>3420</v>
      </c>
    </row>
    <row r="1165" spans="2:5">
      <c r="E1165" t="s">
        <v>3421</v>
      </c>
    </row>
    <row r="1166" spans="2:5">
      <c r="D1166" t="s">
        <v>3422</v>
      </c>
    </row>
    <row r="1167" spans="2:5">
      <c r="D1167" t="s">
        <v>3423</v>
      </c>
    </row>
    <row r="1168" spans="2:5">
      <c r="E1168" t="s">
        <v>3424</v>
      </c>
    </row>
    <row r="1169" spans="2:6">
      <c r="F1169" t="s">
        <v>3425</v>
      </c>
    </row>
    <row r="1170" spans="2:6">
      <c r="E1170" t="s">
        <v>3426</v>
      </c>
    </row>
    <row r="1171" spans="2:6">
      <c r="D1171" t="s">
        <v>3427</v>
      </c>
    </row>
    <row r="1172" spans="2:6">
      <c r="E1172" t="s">
        <v>3428</v>
      </c>
    </row>
    <row r="1173" spans="2:6">
      <c r="B1173" t="s">
        <v>3429</v>
      </c>
    </row>
    <row r="1174" spans="2:6">
      <c r="B1174" t="s">
        <v>2510</v>
      </c>
    </row>
    <row r="1175" spans="2:6">
      <c r="C1175" t="s">
        <v>3430</v>
      </c>
    </row>
    <row r="1176" spans="2:6">
      <c r="C1176" t="s">
        <v>3431</v>
      </c>
    </row>
    <row r="1177" spans="2:6">
      <c r="D1177" t="s">
        <v>3432</v>
      </c>
    </row>
    <row r="1178" spans="2:6">
      <c r="C1178" t="s">
        <v>3433</v>
      </c>
    </row>
    <row r="1180" spans="2:6">
      <c r="B1180" t="s">
        <v>3434</v>
      </c>
    </row>
    <row r="1181" spans="2:6">
      <c r="C1181" t="s">
        <v>3435</v>
      </c>
    </row>
    <row r="1183" spans="2:6">
      <c r="B1183" s="121" t="s">
        <v>736</v>
      </c>
    </row>
    <row r="1185" spans="2:5">
      <c r="B1185" t="s">
        <v>3436</v>
      </c>
    </row>
    <row r="1186" spans="2:5">
      <c r="C1186" t="s">
        <v>3437</v>
      </c>
    </row>
    <row r="1187" spans="2:5">
      <c r="C1187" t="s">
        <v>3438</v>
      </c>
    </row>
    <row r="1188" spans="2:5">
      <c r="C1188" t="s">
        <v>3439</v>
      </c>
    </row>
    <row r="1189" spans="2:5">
      <c r="D1189" t="s">
        <v>3440</v>
      </c>
    </row>
    <row r="1190" spans="2:5">
      <c r="D1190" t="s">
        <v>3441</v>
      </c>
    </row>
    <row r="1191" spans="2:5">
      <c r="E1191" t="s">
        <v>3442</v>
      </c>
    </row>
    <row r="1192" spans="2:5">
      <c r="E1192" t="s">
        <v>3443</v>
      </c>
    </row>
    <row r="1193" spans="2:5">
      <c r="D1193" t="s">
        <v>3444</v>
      </c>
    </row>
    <row r="1194" spans="2:5">
      <c r="D1194" t="s">
        <v>3445</v>
      </c>
    </row>
    <row r="1195" spans="2:5">
      <c r="E1195" t="s">
        <v>3446</v>
      </c>
    </row>
    <row r="1196" spans="2:5">
      <c r="E1196" t="s">
        <v>3447</v>
      </c>
    </row>
    <row r="1197" spans="2:5">
      <c r="D1197" t="s">
        <v>3448</v>
      </c>
    </row>
    <row r="1198" spans="2:5">
      <c r="D1198" t="s">
        <v>3449</v>
      </c>
    </row>
    <row r="1200" spans="2:5">
      <c r="B1200" t="s">
        <v>3450</v>
      </c>
    </row>
    <row r="1201" spans="2:5">
      <c r="B1201" t="s">
        <v>3451</v>
      </c>
    </row>
    <row r="1202" spans="2:5">
      <c r="C1202" t="s">
        <v>3452</v>
      </c>
    </row>
    <row r="1204" spans="2:5">
      <c r="B1204" t="s">
        <v>1590</v>
      </c>
    </row>
    <row r="1205" spans="2:5">
      <c r="C1205" t="s">
        <v>3453</v>
      </c>
    </row>
    <row r="1206" spans="2:5">
      <c r="D1206" t="s">
        <v>3454</v>
      </c>
    </row>
    <row r="1208" spans="2:5">
      <c r="C1208" t="s">
        <v>3455</v>
      </c>
    </row>
    <row r="1209" spans="2:5">
      <c r="D1209" t="s">
        <v>3456</v>
      </c>
    </row>
    <row r="1210" spans="2:5">
      <c r="D1210" s="416">
        <v>-1.4999999999999999E-2</v>
      </c>
      <c r="E1210" t="s">
        <v>3457</v>
      </c>
    </row>
    <row r="1212" spans="2:5">
      <c r="B1212" t="s">
        <v>3458</v>
      </c>
    </row>
    <row r="1214" spans="2:5">
      <c r="B1214" t="s">
        <v>97</v>
      </c>
    </row>
    <row r="1215" spans="2:5">
      <c r="C1215" t="s">
        <v>3459</v>
      </c>
    </row>
    <row r="1216" spans="2:5">
      <c r="C1216" t="s">
        <v>3460</v>
      </c>
    </row>
    <row r="1217" spans="2:3">
      <c r="C1217" t="s">
        <v>3461</v>
      </c>
    </row>
    <row r="1219" spans="2:3">
      <c r="B1219" t="s">
        <v>52</v>
      </c>
    </row>
    <row r="1220" spans="2:3">
      <c r="C1220" t="s">
        <v>3462</v>
      </c>
    </row>
    <row r="1222" spans="2:3">
      <c r="B1222" t="s">
        <v>3463</v>
      </c>
    </row>
    <row r="1224" spans="2:3">
      <c r="B1224" t="s">
        <v>35</v>
      </c>
    </row>
    <row r="1226" spans="2:3">
      <c r="B1226" t="s">
        <v>3464</v>
      </c>
    </row>
    <row r="1228" spans="2:3">
      <c r="B1228" t="s">
        <v>3465</v>
      </c>
    </row>
    <row r="1229" spans="2:3">
      <c r="C1229" t="s">
        <v>3466</v>
      </c>
    </row>
    <row r="1231" spans="2:3">
      <c r="B1231" s="121" t="s">
        <v>3467</v>
      </c>
    </row>
    <row r="1233" spans="2:3">
      <c r="B1233" t="s">
        <v>3468</v>
      </c>
    </row>
    <row r="1234" spans="2:3">
      <c r="B1234" t="s">
        <v>3469</v>
      </c>
    </row>
    <row r="1235" spans="2:3">
      <c r="B1235" t="s">
        <v>3470</v>
      </c>
    </row>
    <row r="1236" spans="2:3">
      <c r="B1236" t="s">
        <v>3471</v>
      </c>
    </row>
    <row r="1237" spans="2:3">
      <c r="C1237" t="s">
        <v>3472</v>
      </c>
    </row>
    <row r="1238" spans="2:3">
      <c r="C1238" t="s">
        <v>3473</v>
      </c>
    </row>
    <row r="1239" spans="2:3">
      <c r="C1239" t="s">
        <v>3474</v>
      </c>
    </row>
    <row r="1240" spans="2:3">
      <c r="B1240" t="s">
        <v>3475</v>
      </c>
    </row>
    <row r="1241" spans="2:3">
      <c r="B1241" t="s">
        <v>3476</v>
      </c>
    </row>
    <row r="1242" spans="2:3">
      <c r="B1242" t="s">
        <v>3477</v>
      </c>
    </row>
    <row r="1243" spans="2:3">
      <c r="C1243" t="s">
        <v>3478</v>
      </c>
    </row>
    <row r="1244" spans="2:3">
      <c r="B1244" t="s">
        <v>3479</v>
      </c>
    </row>
    <row r="1245" spans="2:3">
      <c r="B1245" t="s">
        <v>3480</v>
      </c>
    </row>
    <row r="1246" spans="2:3">
      <c r="C1246" t="s">
        <v>3481</v>
      </c>
    </row>
    <row r="1248" spans="2:3">
      <c r="B1248" s="2" t="s">
        <v>2408</v>
      </c>
    </row>
    <row r="1249" spans="2:14">
      <c r="B1249" t="s">
        <v>3482</v>
      </c>
      <c r="C1249">
        <v>2015</v>
      </c>
    </row>
    <row r="1250" spans="2:14">
      <c r="B1250" s="417">
        <v>0.75</v>
      </c>
      <c r="C1250" s="10">
        <v>-0.115</v>
      </c>
    </row>
    <row r="1251" spans="2:14">
      <c r="B1251" t="s">
        <v>3483</v>
      </c>
    </row>
    <row r="1252" spans="2:14">
      <c r="B1252" t="s">
        <v>3484</v>
      </c>
    </row>
    <row r="1253" spans="2:14">
      <c r="C1253" t="s">
        <v>3485</v>
      </c>
    </row>
    <row r="1254" spans="2:14">
      <c r="B1254" t="s">
        <v>3486</v>
      </c>
    </row>
    <row r="1255" spans="2:14">
      <c r="C1255" t="s">
        <v>3487</v>
      </c>
    </row>
    <row r="1256" spans="2:14">
      <c r="C1256" t="s">
        <v>3488</v>
      </c>
    </row>
    <row r="1257" spans="2:14">
      <c r="B1257" t="s">
        <v>3489</v>
      </c>
    </row>
    <row r="1258" spans="2:14">
      <c r="C1258" t="s">
        <v>3490</v>
      </c>
      <c r="D1258" t="s">
        <v>3491</v>
      </c>
      <c r="G1258" t="s">
        <v>3492</v>
      </c>
    </row>
    <row r="1259" spans="2:14">
      <c r="C1259" t="s">
        <v>3493</v>
      </c>
      <c r="D1259" t="s">
        <v>3494</v>
      </c>
    </row>
    <row r="1261" spans="2:14">
      <c r="C1261">
        <v>2015</v>
      </c>
      <c r="I1261">
        <v>2016</v>
      </c>
      <c r="L1261">
        <v>2005</v>
      </c>
      <c r="M1261">
        <v>2014</v>
      </c>
    </row>
    <row r="1262" spans="2:14">
      <c r="B1262" t="s">
        <v>3495</v>
      </c>
      <c r="C1262">
        <v>100</v>
      </c>
      <c r="E1262">
        <v>100</v>
      </c>
      <c r="F1262">
        <v>100</v>
      </c>
      <c r="G1262">
        <v>100</v>
      </c>
      <c r="I1262">
        <f>C1262*0.97</f>
        <v>97</v>
      </c>
      <c r="N1262" t="s">
        <v>3496</v>
      </c>
    </row>
    <row r="1263" spans="2:14">
      <c r="C1263">
        <v>85</v>
      </c>
      <c r="D1263" t="s">
        <v>3497</v>
      </c>
      <c r="E1263">
        <v>85</v>
      </c>
      <c r="F1263">
        <v>85</v>
      </c>
      <c r="G1263">
        <v>65</v>
      </c>
      <c r="I1263">
        <f>C1263</f>
        <v>85</v>
      </c>
      <c r="M1263">
        <v>2015</v>
      </c>
    </row>
    <row r="1264" spans="2:14">
      <c r="C1264">
        <v>15</v>
      </c>
      <c r="D1264" t="s">
        <v>2409</v>
      </c>
      <c r="E1264">
        <v>15</v>
      </c>
      <c r="F1264">
        <v>15</v>
      </c>
      <c r="G1264">
        <v>35</v>
      </c>
      <c r="I1264">
        <f>I1262-I1263</f>
        <v>12</v>
      </c>
      <c r="N1264" t="s">
        <v>3498</v>
      </c>
    </row>
    <row r="1265" spans="2:14">
      <c r="I1265" s="8"/>
      <c r="M1265">
        <v>2016</v>
      </c>
    </row>
    <row r="1266" spans="2:14">
      <c r="B1266" t="s">
        <v>3499</v>
      </c>
      <c r="C1266" t="s">
        <v>3500</v>
      </c>
      <c r="N1266" t="s">
        <v>3501</v>
      </c>
    </row>
    <row r="1267" spans="2:14">
      <c r="C1267" s="2" t="s">
        <v>3502</v>
      </c>
    </row>
    <row r="1268" spans="2:14">
      <c r="C1268" t="s">
        <v>3503</v>
      </c>
    </row>
    <row r="1269" spans="2:14">
      <c r="C1269" t="s">
        <v>3504</v>
      </c>
    </row>
    <row r="1270" spans="2:14">
      <c r="C1270" t="s">
        <v>3505</v>
      </c>
    </row>
    <row r="1271" spans="2:14">
      <c r="C1271" t="s">
        <v>3506</v>
      </c>
    </row>
    <row r="1272" spans="2:14">
      <c r="B1272" t="s">
        <v>3507</v>
      </c>
    </row>
    <row r="1273" spans="2:14">
      <c r="C1273" t="s">
        <v>3508</v>
      </c>
    </row>
    <row r="1274" spans="2:14">
      <c r="C1274" t="s">
        <v>3509</v>
      </c>
    </row>
    <row r="1275" spans="2:14">
      <c r="B1275" t="s">
        <v>3510</v>
      </c>
    </row>
    <row r="1276" spans="2:14">
      <c r="C1276" t="s">
        <v>3511</v>
      </c>
    </row>
    <row r="1277" spans="2:14">
      <c r="C1277" t="s">
        <v>3512</v>
      </c>
    </row>
    <row r="1278" spans="2:14">
      <c r="C1278" t="s">
        <v>3513</v>
      </c>
    </row>
    <row r="1280" spans="2:14">
      <c r="B1280" t="s">
        <v>3514</v>
      </c>
    </row>
    <row r="1281" spans="2:4">
      <c r="C1281" t="s">
        <v>3515</v>
      </c>
    </row>
    <row r="1283" spans="2:4">
      <c r="B1283" t="s">
        <v>3516</v>
      </c>
    </row>
    <row r="1284" spans="2:4">
      <c r="C1284" t="s">
        <v>3517</v>
      </c>
      <c r="D1284" t="s">
        <v>3518</v>
      </c>
    </row>
    <row r="1285" spans="2:4">
      <c r="C1285" t="s">
        <v>3519</v>
      </c>
      <c r="D1285" t="s">
        <v>3520</v>
      </c>
    </row>
    <row r="1286" spans="2:4">
      <c r="D1286" t="s">
        <v>3521</v>
      </c>
    </row>
    <row r="1287" spans="2:4">
      <c r="D1287" t="s">
        <v>3522</v>
      </c>
    </row>
    <row r="1289" spans="2:4">
      <c r="B1289" t="s">
        <v>3523</v>
      </c>
    </row>
    <row r="1290" spans="2:4">
      <c r="C1290" t="s">
        <v>3524</v>
      </c>
    </row>
    <row r="1291" spans="2:4">
      <c r="C1291" t="s">
        <v>3525</v>
      </c>
    </row>
    <row r="1292" spans="2:4">
      <c r="C1292" t="s">
        <v>3526</v>
      </c>
    </row>
    <row r="1293" spans="2:4">
      <c r="D1293" t="s">
        <v>3527</v>
      </c>
    </row>
    <row r="1295" spans="2:4">
      <c r="B1295" t="s">
        <v>3528</v>
      </c>
    </row>
    <row r="1296" spans="2:4">
      <c r="C1296" t="s">
        <v>3529</v>
      </c>
    </row>
    <row r="1297" spans="2:3">
      <c r="C1297" t="s">
        <v>3530</v>
      </c>
    </row>
    <row r="1299" spans="2:3">
      <c r="B1299" s="2" t="s">
        <v>3531</v>
      </c>
    </row>
    <row r="1301" spans="2:3">
      <c r="B1301" t="s">
        <v>3532</v>
      </c>
    </row>
    <row r="1302" spans="2:3">
      <c r="B1302" t="s">
        <v>3533</v>
      </c>
    </row>
    <row r="1303" spans="2:3">
      <c r="B1303" t="s">
        <v>3534</v>
      </c>
    </row>
    <row r="1305" spans="2:3">
      <c r="B1305" t="s">
        <v>3535</v>
      </c>
    </row>
    <row r="1306" spans="2:3">
      <c r="B1306">
        <v>2015</v>
      </c>
      <c r="C1306" s="264" t="s">
        <v>3536</v>
      </c>
    </row>
    <row r="1307" spans="2:3">
      <c r="C1307" t="s">
        <v>3537</v>
      </c>
    </row>
    <row r="1308" spans="2:3">
      <c r="C1308" t="s">
        <v>3538</v>
      </c>
    </row>
    <row r="1309" spans="2:3">
      <c r="C1309" t="s">
        <v>3539</v>
      </c>
    </row>
    <row r="1310" spans="2:3">
      <c r="B1310" t="s">
        <v>3540</v>
      </c>
    </row>
    <row r="1312" spans="2:3">
      <c r="B1312" t="s">
        <v>3541</v>
      </c>
    </row>
    <row r="1313" spans="2:8">
      <c r="C1313" t="s">
        <v>3542</v>
      </c>
    </row>
    <row r="1315" spans="2:8">
      <c r="B1315" t="s">
        <v>3543</v>
      </c>
    </row>
    <row r="1316" spans="2:8">
      <c r="C1316" t="s">
        <v>3544</v>
      </c>
      <c r="E1316" t="s">
        <v>3545</v>
      </c>
    </row>
    <row r="1317" spans="2:8">
      <c r="C1317" t="s">
        <v>3546</v>
      </c>
      <c r="E1317" t="s">
        <v>3547</v>
      </c>
    </row>
    <row r="1318" spans="2:8">
      <c r="B1318" s="9">
        <v>0.1613</v>
      </c>
      <c r="C1318" s="418" t="s">
        <v>3548</v>
      </c>
      <c r="D1318" t="s">
        <v>3549</v>
      </c>
    </row>
    <row r="1319" spans="2:8">
      <c r="B1319" s="9">
        <v>0.16450000000000001</v>
      </c>
      <c r="C1319" s="418" t="s">
        <v>3550</v>
      </c>
    </row>
    <row r="1321" spans="2:8">
      <c r="B1321" s="2" t="s">
        <v>737</v>
      </c>
      <c r="G1321" s="2" t="s">
        <v>2680</v>
      </c>
    </row>
    <row r="1323" spans="2:8">
      <c r="B1323" t="s">
        <v>3551</v>
      </c>
      <c r="H1323" t="s">
        <v>3552</v>
      </c>
    </row>
    <row r="1324" spans="2:8">
      <c r="G1324" t="s">
        <v>3553</v>
      </c>
    </row>
    <row r="1325" spans="2:8">
      <c r="B1325" t="s">
        <v>3554</v>
      </c>
      <c r="G1325" t="s">
        <v>3555</v>
      </c>
      <c r="H1325" t="s">
        <v>3556</v>
      </c>
    </row>
    <row r="1326" spans="2:8">
      <c r="C1326" t="s">
        <v>3557</v>
      </c>
      <c r="G1326" t="s">
        <v>2695</v>
      </c>
    </row>
    <row r="1327" spans="2:8">
      <c r="H1327" t="s">
        <v>3558</v>
      </c>
    </row>
    <row r="1328" spans="2:8">
      <c r="B1328" t="s">
        <v>3559</v>
      </c>
      <c r="H1328" t="s">
        <v>3560</v>
      </c>
    </row>
    <row r="1329" spans="1:8">
      <c r="C1329" t="s">
        <v>3561</v>
      </c>
      <c r="G1329" t="s">
        <v>3562</v>
      </c>
    </row>
    <row r="1330" spans="1:8">
      <c r="C1330" t="s">
        <v>3563</v>
      </c>
      <c r="H1330" t="s">
        <v>3564</v>
      </c>
    </row>
    <row r="1331" spans="1:8">
      <c r="C1331" t="s">
        <v>3565</v>
      </c>
      <c r="H1331" t="s">
        <v>3566</v>
      </c>
    </row>
    <row r="1332" spans="1:8">
      <c r="C1332" t="s">
        <v>3567</v>
      </c>
      <c r="H1332" t="s">
        <v>3568</v>
      </c>
    </row>
    <row r="1333" spans="1:8">
      <c r="H1333" t="s">
        <v>3569</v>
      </c>
    </row>
    <row r="1334" spans="1:8">
      <c r="B1334" t="s">
        <v>3570</v>
      </c>
      <c r="H1334" t="s">
        <v>3571</v>
      </c>
    </row>
    <row r="1335" spans="1:8">
      <c r="C1335" t="s">
        <v>3572</v>
      </c>
      <c r="H1335" t="s">
        <v>3573</v>
      </c>
    </row>
    <row r="1337" spans="1:8">
      <c r="B1337" t="s">
        <v>3574</v>
      </c>
    </row>
    <row r="1339" spans="1:8">
      <c r="B1339" t="s">
        <v>3575</v>
      </c>
    </row>
    <row r="1341" spans="1:8">
      <c r="B1341" t="s">
        <v>3576</v>
      </c>
    </row>
    <row r="1342" spans="1:8">
      <c r="A1342" t="s">
        <v>57</v>
      </c>
    </row>
    <row r="1343" spans="1:8">
      <c r="B1343" s="2" t="s">
        <v>2680</v>
      </c>
    </row>
    <row r="1344" spans="1:8">
      <c r="A1344" t="s">
        <v>57</v>
      </c>
    </row>
    <row r="1345" spans="2:3">
      <c r="B1345" t="s">
        <v>3577</v>
      </c>
    </row>
    <row r="1346" spans="2:3">
      <c r="C1346" t="s">
        <v>3578</v>
      </c>
    </row>
    <row r="1347" spans="2:3">
      <c r="C1347" t="s">
        <v>3579</v>
      </c>
    </row>
    <row r="1349" spans="2:3">
      <c r="B1349" t="s">
        <v>3580</v>
      </c>
    </row>
    <row r="1350" spans="2:3">
      <c r="C1350" t="s">
        <v>3581</v>
      </c>
    </row>
    <row r="1352" spans="2:3">
      <c r="B1352" t="s">
        <v>1384</v>
      </c>
    </row>
    <row r="1353" spans="2:3">
      <c r="C1353" t="s">
        <v>3582</v>
      </c>
    </row>
    <row r="1354" spans="2:3">
      <c r="C1354" t="s">
        <v>3583</v>
      </c>
    </row>
    <row r="1355" spans="2:3">
      <c r="C1355" t="s">
        <v>3584</v>
      </c>
    </row>
    <row r="1356" spans="2:3">
      <c r="C1356" t="s">
        <v>3585</v>
      </c>
    </row>
    <row r="1357" spans="2:3">
      <c r="C1357" t="s">
        <v>3586</v>
      </c>
    </row>
    <row r="1359" spans="2:3">
      <c r="B1359" t="s">
        <v>3587</v>
      </c>
    </row>
    <row r="1361" spans="2:4">
      <c r="B1361" t="s">
        <v>3588</v>
      </c>
    </row>
    <row r="1362" spans="2:4">
      <c r="C1362" t="s">
        <v>3589</v>
      </c>
    </row>
    <row r="1363" spans="2:4">
      <c r="C1363" t="s">
        <v>3590</v>
      </c>
    </row>
    <row r="1365" spans="2:4">
      <c r="B1365" t="s">
        <v>485</v>
      </c>
    </row>
    <row r="1366" spans="2:4">
      <c r="C1366" t="s">
        <v>3591</v>
      </c>
    </row>
    <row r="1367" spans="2:4">
      <c r="D1367" t="s">
        <v>3592</v>
      </c>
    </row>
    <row r="1368" spans="2:4">
      <c r="C1368" t="s">
        <v>3593</v>
      </c>
    </row>
    <row r="1370" spans="2:4">
      <c r="B1370" t="s">
        <v>1703</v>
      </c>
    </row>
    <row r="1371" spans="2:4">
      <c r="C1371" t="s">
        <v>3594</v>
      </c>
    </row>
    <row r="1372" spans="2:4">
      <c r="C1372" t="s">
        <v>3595</v>
      </c>
    </row>
    <row r="1374" spans="2:4">
      <c r="B1374" t="s">
        <v>2772</v>
      </c>
    </row>
    <row r="1375" spans="2:4">
      <c r="C1375" t="s">
        <v>3596</v>
      </c>
    </row>
    <row r="1377" spans="2:3">
      <c r="B1377" t="s">
        <v>485</v>
      </c>
    </row>
    <row r="1378" spans="2:3">
      <c r="C1378" t="s">
        <v>3597</v>
      </c>
    </row>
    <row r="1379" spans="2:3">
      <c r="C1379" t="s">
        <v>3598</v>
      </c>
    </row>
    <row r="1381" spans="2:3">
      <c r="B1381" s="2" t="s">
        <v>737</v>
      </c>
    </row>
    <row r="1382" spans="2:3">
      <c r="B1382" t="s">
        <v>3599</v>
      </c>
    </row>
    <row r="1383" spans="2:3">
      <c r="B1383" t="s">
        <v>3600</v>
      </c>
    </row>
    <row r="1385" spans="2:3">
      <c r="B1385" t="s">
        <v>3601</v>
      </c>
    </row>
    <row r="1386" spans="2:3">
      <c r="B1386" t="s">
        <v>3602</v>
      </c>
    </row>
    <row r="1387" spans="2:3">
      <c r="C1387" s="264" t="s">
        <v>3603</v>
      </c>
    </row>
    <row r="1388" spans="2:3">
      <c r="C1388" s="264" t="s">
        <v>3604</v>
      </c>
    </row>
    <row r="1390" spans="2:3">
      <c r="B1390" t="s">
        <v>3605</v>
      </c>
    </row>
    <row r="1392" spans="2:3">
      <c r="B1392" t="s">
        <v>3606</v>
      </c>
    </row>
    <row r="1394" spans="2:5">
      <c r="B1394" t="s">
        <v>97</v>
      </c>
      <c r="C1394" t="s">
        <v>3607</v>
      </c>
    </row>
    <row r="1395" spans="2:5">
      <c r="D1395" t="s">
        <v>3608</v>
      </c>
    </row>
    <row r="1397" spans="2:5">
      <c r="B1397" t="s">
        <v>228</v>
      </c>
      <c r="C1397" t="s">
        <v>3609</v>
      </c>
      <c r="E1397" t="s">
        <v>3610</v>
      </c>
    </row>
    <row r="1399" spans="2:5">
      <c r="B1399" s="2" t="s">
        <v>557</v>
      </c>
    </row>
    <row r="1400" spans="2:5">
      <c r="B1400" t="s">
        <v>3611</v>
      </c>
    </row>
    <row r="1401" spans="2:5">
      <c r="B1401" t="s">
        <v>3612</v>
      </c>
    </row>
    <row r="1402" spans="2:5">
      <c r="B1402" t="s">
        <v>3613</v>
      </c>
    </row>
    <row r="1403" spans="2:5">
      <c r="C1403" t="s">
        <v>3614</v>
      </c>
    </row>
    <row r="1405" spans="2:5">
      <c r="B1405" s="2" t="s">
        <v>3615</v>
      </c>
    </row>
    <row r="1406" spans="2:5">
      <c r="B1406" s="2" t="s">
        <v>3616</v>
      </c>
    </row>
    <row r="1407" spans="2:5">
      <c r="B1407" t="s">
        <v>3617</v>
      </c>
    </row>
    <row r="1408" spans="2:5">
      <c r="B1408" t="s">
        <v>3618</v>
      </c>
    </row>
    <row r="1409" spans="2:3">
      <c r="B1409" t="s">
        <v>3619</v>
      </c>
    </row>
    <row r="1410" spans="2:3">
      <c r="C1410" t="s">
        <v>3620</v>
      </c>
    </row>
    <row r="1412" spans="2:3">
      <c r="B1412" t="s">
        <v>3621</v>
      </c>
    </row>
    <row r="1413" spans="2:3">
      <c r="C1413" t="s">
        <v>3622</v>
      </c>
    </row>
    <row r="1414" spans="2:3">
      <c r="C1414" t="s">
        <v>3623</v>
      </c>
    </row>
    <row r="1416" spans="2:3">
      <c r="B1416" s="2" t="s">
        <v>3624</v>
      </c>
    </row>
    <row r="1418" spans="2:3">
      <c r="B1418" t="s">
        <v>3625</v>
      </c>
    </row>
    <row r="1420" spans="2:3">
      <c r="B1420" t="s">
        <v>52</v>
      </c>
      <c r="C1420" t="s">
        <v>3626</v>
      </c>
    </row>
    <row r="1421" spans="2:3">
      <c r="C1421" t="s">
        <v>3627</v>
      </c>
    </row>
    <row r="1423" spans="2:3">
      <c r="B1423" t="s">
        <v>577</v>
      </c>
      <c r="C1423" t="s">
        <v>3628</v>
      </c>
    </row>
    <row r="1424" spans="2:3">
      <c r="C1424" t="s">
        <v>3629</v>
      </c>
    </row>
    <row r="1426" spans="2:3">
      <c r="C1426" t="s">
        <v>3630</v>
      </c>
    </row>
    <row r="1428" spans="2:3">
      <c r="B1428" t="s">
        <v>3631</v>
      </c>
    </row>
    <row r="1430" spans="2:3">
      <c r="B1430" s="2" t="s">
        <v>3632</v>
      </c>
    </row>
    <row r="1431" spans="2:3">
      <c r="B1431" t="s">
        <v>3633</v>
      </c>
    </row>
    <row r="1433" spans="2:3">
      <c r="B1433" t="s">
        <v>3634</v>
      </c>
    </row>
    <row r="1435" spans="2:3">
      <c r="B1435" t="s">
        <v>3635</v>
      </c>
    </row>
    <row r="1437" spans="2:3">
      <c r="B1437" t="s">
        <v>3092</v>
      </c>
    </row>
    <row r="1438" spans="2:3">
      <c r="C1438" t="s">
        <v>3636</v>
      </c>
    </row>
    <row r="1439" spans="2:3">
      <c r="C1439" t="s">
        <v>3637</v>
      </c>
    </row>
    <row r="1440" spans="2:3">
      <c r="C1440" t="s">
        <v>3638</v>
      </c>
    </row>
    <row r="1442" spans="2:4">
      <c r="B1442" s="2" t="s">
        <v>3639</v>
      </c>
    </row>
    <row r="1443" spans="2:4">
      <c r="B1443" s="2"/>
    </row>
    <row r="1444" spans="2:4">
      <c r="B1444" s="2" t="s">
        <v>3640</v>
      </c>
    </row>
    <row r="1445" spans="2:4">
      <c r="B1445" t="s">
        <v>3641</v>
      </c>
    </row>
    <row r="1446" spans="2:4">
      <c r="B1446" t="s">
        <v>3642</v>
      </c>
    </row>
    <row r="1448" spans="2:4">
      <c r="B1448" t="s">
        <v>3643</v>
      </c>
    </row>
    <row r="1449" spans="2:4">
      <c r="B1449" t="s">
        <v>3644</v>
      </c>
    </row>
    <row r="1450" spans="2:4">
      <c r="C1450" t="s">
        <v>3645</v>
      </c>
    </row>
    <row r="1451" spans="2:4">
      <c r="C1451" t="s">
        <v>3646</v>
      </c>
    </row>
    <row r="1452" spans="2:4">
      <c r="D1452" t="s">
        <v>3647</v>
      </c>
    </row>
    <row r="1453" spans="2:4">
      <c r="C1453" t="s">
        <v>3648</v>
      </c>
    </row>
    <row r="1454" spans="2:4">
      <c r="B1454" t="s">
        <v>3649</v>
      </c>
    </row>
    <row r="1455" spans="2:4">
      <c r="B1455" t="s">
        <v>3650</v>
      </c>
    </row>
    <row r="1456" spans="2:4">
      <c r="C1456" t="s">
        <v>3651</v>
      </c>
    </row>
    <row r="1457" spans="2:7">
      <c r="C1457" t="s">
        <v>3652</v>
      </c>
    </row>
    <row r="1458" spans="2:7">
      <c r="C1458" t="s">
        <v>3653</v>
      </c>
    </row>
    <row r="1459" spans="2:7">
      <c r="C1459" t="s">
        <v>3654</v>
      </c>
    </row>
    <row r="1460" spans="2:7">
      <c r="D1460" t="s">
        <v>3655</v>
      </c>
    </row>
    <row r="1461" spans="2:7">
      <c r="B1461" t="s">
        <v>3656</v>
      </c>
    </row>
    <row r="1463" spans="2:7">
      <c r="B1463" s="2" t="s">
        <v>3657</v>
      </c>
      <c r="C1463" t="s">
        <v>3658</v>
      </c>
      <c r="G1463">
        <f>800/4</f>
        <v>200</v>
      </c>
    </row>
    <row r="1464" spans="2:7">
      <c r="C1464" t="s">
        <v>3659</v>
      </c>
    </row>
    <row r="1465" spans="2:7">
      <c r="C1465" t="s">
        <v>3660</v>
      </c>
    </row>
    <row r="1466" spans="2:7">
      <c r="B1466" s="2" t="s">
        <v>3661</v>
      </c>
    </row>
    <row r="1467" spans="2:7">
      <c r="C1467" t="s">
        <v>3662</v>
      </c>
    </row>
    <row r="1468" spans="2:7">
      <c r="C1468" t="s">
        <v>3663</v>
      </c>
    </row>
    <row r="1469" spans="2:7">
      <c r="C1469" t="s">
        <v>3664</v>
      </c>
    </row>
    <row r="1471" spans="2:7">
      <c r="B1471" s="2" t="s">
        <v>97</v>
      </c>
    </row>
    <row r="1472" spans="2:7">
      <c r="C1472" t="s">
        <v>3665</v>
      </c>
    </row>
    <row r="1473" spans="1:3">
      <c r="C1473" t="s">
        <v>3666</v>
      </c>
    </row>
    <row r="1475" spans="1:3">
      <c r="B1475" s="430" t="s">
        <v>739</v>
      </c>
    </row>
    <row r="1476" spans="1:3">
      <c r="B1476" s="2"/>
    </row>
    <row r="1477" spans="1:3">
      <c r="B1477" s="2" t="s">
        <v>2680</v>
      </c>
    </row>
    <row r="1478" spans="1:3">
      <c r="A1478" t="s">
        <v>3667</v>
      </c>
      <c r="B1478" t="s">
        <v>35</v>
      </c>
    </row>
    <row r="1479" spans="1:3">
      <c r="C1479" t="s">
        <v>3668</v>
      </c>
    </row>
    <row r="1480" spans="1:3">
      <c r="C1480" t="s">
        <v>3669</v>
      </c>
    </row>
    <row r="1481" spans="1:3">
      <c r="C1481" t="s">
        <v>3670</v>
      </c>
    </row>
    <row r="1482" spans="1:3">
      <c r="A1482" t="s">
        <v>3667</v>
      </c>
      <c r="B1482" t="s">
        <v>3671</v>
      </c>
    </row>
    <row r="1483" spans="1:3">
      <c r="C1483" t="s">
        <v>3672</v>
      </c>
    </row>
    <row r="1484" spans="1:3">
      <c r="A1484" t="s">
        <v>3667</v>
      </c>
      <c r="B1484" t="s">
        <v>3673</v>
      </c>
    </row>
    <row r="1485" spans="1:3">
      <c r="B1485" t="s">
        <v>3674</v>
      </c>
    </row>
    <row r="1486" spans="1:3">
      <c r="C1486" t="s">
        <v>3675</v>
      </c>
    </row>
    <row r="1487" spans="1:3">
      <c r="B1487" t="s">
        <v>3676</v>
      </c>
    </row>
    <row r="1488" spans="1:3">
      <c r="A1488" t="s">
        <v>3667</v>
      </c>
      <c r="B1488" t="s">
        <v>3677</v>
      </c>
    </row>
    <row r="1489" spans="2:3">
      <c r="B1489" t="s">
        <v>3678</v>
      </c>
    </row>
    <row r="1490" spans="2:3">
      <c r="B1490" t="s">
        <v>3679</v>
      </c>
    </row>
    <row r="1492" spans="2:3">
      <c r="B1492" s="2" t="s">
        <v>3680</v>
      </c>
    </row>
    <row r="1493" spans="2:3">
      <c r="B1493" t="s">
        <v>3681</v>
      </c>
    </row>
    <row r="1494" spans="2:3">
      <c r="B1494" t="s">
        <v>3682</v>
      </c>
    </row>
    <row r="1495" spans="2:3">
      <c r="B1495" t="s">
        <v>3683</v>
      </c>
    </row>
    <row r="1496" spans="2:3">
      <c r="C1496" t="s">
        <v>3684</v>
      </c>
    </row>
    <row r="1497" spans="2:3">
      <c r="C1497" t="s">
        <v>3685</v>
      </c>
    </row>
    <row r="1498" spans="2:3">
      <c r="C1498" t="s">
        <v>3686</v>
      </c>
    </row>
    <row r="1499" spans="2:3">
      <c r="B1499" t="s">
        <v>557</v>
      </c>
    </row>
    <row r="1500" spans="2:3">
      <c r="C1500" t="s">
        <v>3687</v>
      </c>
    </row>
    <row r="1501" spans="2:3">
      <c r="C1501" t="s">
        <v>3688</v>
      </c>
    </row>
    <row r="1503" spans="2:3">
      <c r="B1503" t="s">
        <v>100</v>
      </c>
    </row>
    <row r="1504" spans="2:3">
      <c r="C1504" t="s">
        <v>3689</v>
      </c>
    </row>
    <row r="1505" spans="2:5">
      <c r="B1505" t="s">
        <v>1383</v>
      </c>
    </row>
    <row r="1506" spans="2:5">
      <c r="C1506" t="s">
        <v>3690</v>
      </c>
    </row>
    <row r="1507" spans="2:5">
      <c r="C1507" t="s">
        <v>3691</v>
      </c>
    </row>
    <row r="1508" spans="2:5">
      <c r="C1508" t="s">
        <v>3692</v>
      </c>
    </row>
    <row r="1510" spans="2:5">
      <c r="B1510" t="s">
        <v>52</v>
      </c>
    </row>
    <row r="1511" spans="2:5">
      <c r="C1511" t="s">
        <v>3693</v>
      </c>
    </row>
    <row r="1512" spans="2:5">
      <c r="C1512" t="s">
        <v>3694</v>
      </c>
    </row>
    <row r="1513" spans="2:5">
      <c r="C1513" s="431">
        <v>2017</v>
      </c>
    </row>
    <row r="1514" spans="2:5">
      <c r="D1514" t="s">
        <v>3695</v>
      </c>
    </row>
    <row r="1515" spans="2:5">
      <c r="D1515" t="s">
        <v>3696</v>
      </c>
    </row>
    <row r="1516" spans="2:5">
      <c r="E1516" t="s">
        <v>3697</v>
      </c>
    </row>
    <row r="1517" spans="2:5">
      <c r="E1517" t="s">
        <v>3698</v>
      </c>
    </row>
    <row r="1518" spans="2:5">
      <c r="D1518" t="s">
        <v>3699</v>
      </c>
    </row>
    <row r="1519" spans="2:5">
      <c r="D1519" t="s">
        <v>3700</v>
      </c>
    </row>
    <row r="1520" spans="2:5">
      <c r="E1520" t="s">
        <v>3701</v>
      </c>
    </row>
    <row r="1522" spans="2:3">
      <c r="B1522" s="136">
        <v>2017</v>
      </c>
    </row>
    <row r="1523" spans="2:3">
      <c r="C1523" t="s">
        <v>3702</v>
      </c>
    </row>
    <row r="1526" spans="2:3">
      <c r="B1526" s="2" t="s">
        <v>3703</v>
      </c>
    </row>
    <row r="1527" spans="2:3">
      <c r="B1527" t="s">
        <v>3704</v>
      </c>
    </row>
    <row r="1528" spans="2:3">
      <c r="B1528" t="s">
        <v>3705</v>
      </c>
    </row>
    <row r="1529" spans="2:3">
      <c r="B1529" t="s">
        <v>3706</v>
      </c>
    </row>
    <row r="1531" spans="2:3">
      <c r="B1531" s="2" t="s">
        <v>100</v>
      </c>
    </row>
    <row r="1532" spans="2:3">
      <c r="B1532" t="s">
        <v>3707</v>
      </c>
    </row>
    <row r="1533" spans="2:3">
      <c r="B1533" t="s">
        <v>3708</v>
      </c>
    </row>
    <row r="1535" spans="2:3">
      <c r="B1535" s="2" t="s">
        <v>3709</v>
      </c>
    </row>
    <row r="1536" spans="2:3">
      <c r="B1536" t="s">
        <v>3710</v>
      </c>
    </row>
    <row r="1538" spans="2:4">
      <c r="B1538" s="2" t="s">
        <v>52</v>
      </c>
    </row>
    <row r="1539" spans="2:4">
      <c r="B1539" t="s">
        <v>3711</v>
      </c>
    </row>
    <row r="1540" spans="2:4">
      <c r="C1540" t="s">
        <v>3712</v>
      </c>
    </row>
    <row r="1541" spans="2:4">
      <c r="B1541" t="s">
        <v>3713</v>
      </c>
    </row>
    <row r="1542" spans="2:4">
      <c r="C1542" t="s">
        <v>3714</v>
      </c>
    </row>
    <row r="1543" spans="2:4">
      <c r="C1543" t="s">
        <v>3715</v>
      </c>
    </row>
    <row r="1544" spans="2:4">
      <c r="C1544" t="s">
        <v>3716</v>
      </c>
    </row>
    <row r="1545" spans="2:4">
      <c r="D1545" t="s">
        <v>3717</v>
      </c>
    </row>
    <row r="1546" spans="2:4">
      <c r="D1546" t="s">
        <v>3718</v>
      </c>
    </row>
    <row r="1548" spans="2:4">
      <c r="B1548" t="s">
        <v>3719</v>
      </c>
    </row>
    <row r="1549" spans="2:4">
      <c r="C1549" t="s">
        <v>3720</v>
      </c>
    </row>
    <row r="1551" spans="2:4">
      <c r="B1551" t="s">
        <v>3721</v>
      </c>
    </row>
    <row r="1552" spans="2:4">
      <c r="C1552" t="s">
        <v>3722</v>
      </c>
    </row>
    <row r="1553" spans="2:3">
      <c r="B1553" t="s">
        <v>3723</v>
      </c>
      <c r="C1553" t="s">
        <v>3724</v>
      </c>
    </row>
    <row r="1554" spans="2:3">
      <c r="B1554" t="s">
        <v>3725</v>
      </c>
      <c r="C1554" t="s">
        <v>3726</v>
      </c>
    </row>
    <row r="1556" spans="2:3">
      <c r="B1556" t="s">
        <v>3727</v>
      </c>
    </row>
    <row r="1558" spans="2:3">
      <c r="B1558" s="2" t="s">
        <v>1620</v>
      </c>
    </row>
    <row r="1559" spans="2:3">
      <c r="B1559" t="s">
        <v>3728</v>
      </c>
    </row>
    <row r="1560" spans="2:3">
      <c r="B1560" t="s">
        <v>3729</v>
      </c>
    </row>
    <row r="1561" spans="2:3">
      <c r="B1561" t="s">
        <v>3730</v>
      </c>
    </row>
    <row r="1563" spans="2:3">
      <c r="B1563" s="2" t="s">
        <v>3731</v>
      </c>
    </row>
    <row r="1564" spans="2:3">
      <c r="B1564" t="s">
        <v>3732</v>
      </c>
    </row>
    <row r="1566" spans="2:3">
      <c r="B1566" s="2" t="s">
        <v>3733</v>
      </c>
    </row>
    <row r="1567" spans="2:3">
      <c r="C1567" t="s">
        <v>3734</v>
      </c>
    </row>
    <row r="1568" spans="2:3">
      <c r="C1568" t="s">
        <v>3735</v>
      </c>
    </row>
    <row r="1569" spans="2:4">
      <c r="C1569" t="s">
        <v>3736</v>
      </c>
    </row>
    <row r="1571" spans="2:4">
      <c r="B1571" s="2" t="s">
        <v>3737</v>
      </c>
    </row>
    <row r="1572" spans="2:4">
      <c r="C1572" t="s">
        <v>3738</v>
      </c>
    </row>
    <row r="1573" spans="2:4">
      <c r="C1573" t="s">
        <v>3739</v>
      </c>
    </row>
    <row r="1575" spans="2:4">
      <c r="B1575" s="2" t="s">
        <v>3740</v>
      </c>
    </row>
    <row r="1576" spans="2:4">
      <c r="C1576" t="s">
        <v>3741</v>
      </c>
    </row>
    <row r="1578" spans="2:4">
      <c r="B1578" s="2" t="s">
        <v>3742</v>
      </c>
    </row>
    <row r="1579" spans="2:4">
      <c r="C1579" t="s">
        <v>3743</v>
      </c>
    </row>
    <row r="1580" spans="2:4">
      <c r="C1580" t="s">
        <v>3744</v>
      </c>
    </row>
    <row r="1581" spans="2:4">
      <c r="C1581" t="s">
        <v>3745</v>
      </c>
    </row>
    <row r="1582" spans="2:4">
      <c r="C1582" t="s">
        <v>3746</v>
      </c>
    </row>
    <row r="1583" spans="2:4">
      <c r="D1583" t="s">
        <v>3747</v>
      </c>
    </row>
    <row r="1584" spans="2:4">
      <c r="D1584" t="s">
        <v>3748</v>
      </c>
    </row>
    <row r="1586" spans="2:4">
      <c r="B1586" s="2" t="s">
        <v>3749</v>
      </c>
    </row>
    <row r="1587" spans="2:4">
      <c r="C1587" t="s">
        <v>3750</v>
      </c>
    </row>
    <row r="1588" spans="2:4">
      <c r="C1588" t="s">
        <v>3751</v>
      </c>
    </row>
    <row r="1589" spans="2:4">
      <c r="D1589" t="s">
        <v>3752</v>
      </c>
    </row>
    <row r="1590" spans="2:4">
      <c r="D1590" t="s">
        <v>3753</v>
      </c>
    </row>
    <row r="1592" spans="2:4">
      <c r="B1592" s="121" t="s">
        <v>3754</v>
      </c>
    </row>
    <row r="1594" spans="2:4">
      <c r="B1594" t="s">
        <v>3755</v>
      </c>
    </row>
    <row r="1595" spans="2:4">
      <c r="B1595" t="s">
        <v>3756</v>
      </c>
    </row>
    <row r="1598" spans="2:4">
      <c r="B1598" s="121" t="s">
        <v>3757</v>
      </c>
    </row>
    <row r="1599" spans="2:4">
      <c r="B1599" t="s">
        <v>3758</v>
      </c>
    </row>
    <row r="1600" spans="2:4">
      <c r="B1600" t="s">
        <v>3759</v>
      </c>
    </row>
    <row r="1601" spans="2:4">
      <c r="C1601" t="s">
        <v>3760</v>
      </c>
    </row>
    <row r="1602" spans="2:4">
      <c r="C1602" t="s">
        <v>3761</v>
      </c>
    </row>
    <row r="1603" spans="2:4">
      <c r="C1603" t="s">
        <v>3762</v>
      </c>
    </row>
    <row r="1604" spans="2:4">
      <c r="B1604" t="s">
        <v>3763</v>
      </c>
    </row>
    <row r="1606" spans="2:4">
      <c r="B1606" t="s">
        <v>3764</v>
      </c>
    </row>
    <row r="1607" spans="2:4">
      <c r="B1607" t="s">
        <v>3765</v>
      </c>
    </row>
    <row r="1608" spans="2:4">
      <c r="C1608" t="s">
        <v>3766</v>
      </c>
    </row>
    <row r="1609" spans="2:4">
      <c r="C1609" t="s">
        <v>3767</v>
      </c>
    </row>
    <row r="1610" spans="2:4">
      <c r="C1610" t="s">
        <v>3768</v>
      </c>
    </row>
    <row r="1611" spans="2:4">
      <c r="D1611" t="s">
        <v>3769</v>
      </c>
    </row>
    <row r="1612" spans="2:4">
      <c r="D1612" t="s">
        <v>3770</v>
      </c>
    </row>
    <row r="1613" spans="2:4">
      <c r="B1613" t="s">
        <v>3771</v>
      </c>
    </row>
    <row r="1615" spans="2:4">
      <c r="B1615" s="430" t="s">
        <v>3772</v>
      </c>
    </row>
    <row r="1617" spans="2:3">
      <c r="B1617" t="s">
        <v>3773</v>
      </c>
      <c r="C1617" t="s">
        <v>3774</v>
      </c>
    </row>
    <row r="1618" spans="2:3">
      <c r="B1618" t="s">
        <v>3775</v>
      </c>
      <c r="C1618" t="s">
        <v>3776</v>
      </c>
    </row>
    <row r="1619" spans="2:3">
      <c r="C1619" t="s">
        <v>3777</v>
      </c>
    </row>
    <row r="1620" spans="2:3">
      <c r="C1620" t="s">
        <v>3778</v>
      </c>
    </row>
    <row r="1621" spans="2:3">
      <c r="B1621" t="s">
        <v>3779</v>
      </c>
    </row>
    <row r="1623" spans="2:3">
      <c r="B1623" t="s">
        <v>3780</v>
      </c>
    </row>
    <row r="1624" spans="2:3">
      <c r="B1624" t="s">
        <v>3781</v>
      </c>
    </row>
    <row r="1625" spans="2:3">
      <c r="B1625" t="s">
        <v>3782</v>
      </c>
    </row>
    <row r="1626" spans="2:3">
      <c r="C1626" t="s">
        <v>3783</v>
      </c>
    </row>
    <row r="1627" spans="2:3">
      <c r="C1627" t="s">
        <v>3784</v>
      </c>
    </row>
    <row r="1628" spans="2:3">
      <c r="C1628" t="s">
        <v>3785</v>
      </c>
    </row>
    <row r="1629" spans="2:3">
      <c r="B1629" t="s">
        <v>3786</v>
      </c>
    </row>
    <row r="1630" spans="2:3">
      <c r="B1630" t="s">
        <v>3787</v>
      </c>
    </row>
    <row r="1631" spans="2:3">
      <c r="B1631" t="s">
        <v>3788</v>
      </c>
    </row>
    <row r="1632" spans="2:3">
      <c r="C1632" t="s">
        <v>3789</v>
      </c>
    </row>
    <row r="1633" spans="2:3">
      <c r="B1633" t="s">
        <v>3790</v>
      </c>
    </row>
    <row r="1634" spans="2:3">
      <c r="B1634" t="s">
        <v>3791</v>
      </c>
    </row>
    <row r="1635" spans="2:3">
      <c r="C1635" t="s">
        <v>3792</v>
      </c>
    </row>
    <row r="1636" spans="2:3">
      <c r="B1636" t="s">
        <v>3793</v>
      </c>
    </row>
    <row r="1637" spans="2:3">
      <c r="B1637" t="s">
        <v>3794</v>
      </c>
    </row>
    <row r="1638" spans="2:3">
      <c r="C1638" t="s">
        <v>3795</v>
      </c>
    </row>
    <row r="1639" spans="2:3">
      <c r="C1639" t="s">
        <v>3796</v>
      </c>
    </row>
    <row r="1640" spans="2:3">
      <c r="C1640" t="s">
        <v>3797</v>
      </c>
    </row>
    <row r="1641" spans="2:3">
      <c r="B1641" s="2" t="s">
        <v>3798</v>
      </c>
    </row>
    <row r="1642" spans="2:3">
      <c r="B1642" t="s">
        <v>3799</v>
      </c>
    </row>
    <row r="1643" spans="2:3">
      <c r="B1643" t="s">
        <v>3800</v>
      </c>
    </row>
    <row r="1645" spans="2:3">
      <c r="B1645" s="2" t="s">
        <v>3801</v>
      </c>
    </row>
    <row r="1646" spans="2:3">
      <c r="B1646" t="s">
        <v>3802</v>
      </c>
    </row>
    <row r="1648" spans="2:3">
      <c r="B1648" t="s">
        <v>3803</v>
      </c>
    </row>
    <row r="1650" spans="2:2">
      <c r="B1650" s="2" t="s">
        <v>3804</v>
      </c>
    </row>
    <row r="1651" spans="2:2">
      <c r="B1651" t="s">
        <v>3805</v>
      </c>
    </row>
    <row r="1652" spans="2:2">
      <c r="B1652" t="s">
        <v>3806</v>
      </c>
    </row>
    <row r="1653" spans="2:2">
      <c r="B1653" t="s">
        <v>3807</v>
      </c>
    </row>
    <row r="1654" spans="2:2">
      <c r="B1654" t="s">
        <v>3808</v>
      </c>
    </row>
    <row r="1656" spans="2:2">
      <c r="B1656" t="s">
        <v>2680</v>
      </c>
    </row>
    <row r="1658" spans="2:2">
      <c r="B1658" s="2" t="s">
        <v>3809</v>
      </c>
    </row>
    <row r="1659" spans="2:2">
      <c r="B1659" t="s">
        <v>3810</v>
      </c>
    </row>
    <row r="1660" spans="2:2">
      <c r="B1660" t="s">
        <v>3811</v>
      </c>
    </row>
    <row r="1661" spans="2:2">
      <c r="B1661" t="s">
        <v>3812</v>
      </c>
    </row>
    <row r="1662" spans="2:2">
      <c r="B1662" t="s">
        <v>3813</v>
      </c>
    </row>
    <row r="1663" spans="2:2">
      <c r="B1663" t="s">
        <v>3814</v>
      </c>
    </row>
    <row r="1665" spans="2:4">
      <c r="B1665" s="2" t="s">
        <v>3815</v>
      </c>
    </row>
    <row r="1666" spans="2:4">
      <c r="B1666" t="s">
        <v>3816</v>
      </c>
    </row>
    <row r="1667" spans="2:4">
      <c r="B1667" t="s">
        <v>3817</v>
      </c>
    </row>
    <row r="1668" spans="2:4">
      <c r="B1668" t="s">
        <v>3818</v>
      </c>
    </row>
    <row r="1670" spans="2:4">
      <c r="B1670" t="s">
        <v>3819</v>
      </c>
    </row>
    <row r="1672" spans="2:4">
      <c r="B1672" s="430" t="s">
        <v>3820</v>
      </c>
      <c r="C1672" s="430"/>
    </row>
    <row r="1674" spans="2:4">
      <c r="B1674" t="s">
        <v>3821</v>
      </c>
    </row>
    <row r="1675" spans="2:4">
      <c r="B1675" t="s">
        <v>3822</v>
      </c>
    </row>
    <row r="1676" spans="2:4">
      <c r="B1676" t="s">
        <v>1217</v>
      </c>
      <c r="C1676" t="s">
        <v>3823</v>
      </c>
    </row>
    <row r="1677" spans="2:4">
      <c r="C1677" t="s">
        <v>3824</v>
      </c>
    </row>
    <row r="1678" spans="2:4">
      <c r="C1678" t="s">
        <v>3825</v>
      </c>
    </row>
    <row r="1679" spans="2:4">
      <c r="D1679" t="s">
        <v>3826</v>
      </c>
    </row>
    <row r="1680" spans="2:4">
      <c r="B1680" t="s">
        <v>3827</v>
      </c>
    </row>
    <row r="1682" spans="2:3">
      <c r="B1682" s="430" t="s">
        <v>3828</v>
      </c>
    </row>
    <row r="1684" spans="2:3">
      <c r="B1684" t="s">
        <v>3829</v>
      </c>
    </row>
    <row r="1685" spans="2:3">
      <c r="B1685" t="s">
        <v>3830</v>
      </c>
    </row>
    <row r="1686" spans="2:3">
      <c r="B1686" s="2" t="s">
        <v>3831</v>
      </c>
    </row>
    <row r="1687" spans="2:3">
      <c r="B1687" t="s">
        <v>3832</v>
      </c>
    </row>
    <row r="1688" spans="2:3">
      <c r="C1688" t="s">
        <v>3833</v>
      </c>
    </row>
    <row r="1689" spans="2:3">
      <c r="B1689" t="s">
        <v>3834</v>
      </c>
    </row>
    <row r="1690" spans="2:3">
      <c r="B1690" t="s">
        <v>3835</v>
      </c>
    </row>
    <row r="1692" spans="2:3">
      <c r="B1692" t="s">
        <v>3836</v>
      </c>
    </row>
    <row r="1694" spans="2:3">
      <c r="B1694" t="s">
        <v>3837</v>
      </c>
    </row>
    <row r="1695" spans="2:3">
      <c r="C1695" t="s">
        <v>3838</v>
      </c>
    </row>
    <row r="1696" spans="2:3">
      <c r="C1696" t="s">
        <v>3839</v>
      </c>
    </row>
    <row r="1697" spans="2:6">
      <c r="C1697" t="s">
        <v>3840</v>
      </c>
    </row>
    <row r="1698" spans="2:6">
      <c r="C1698" t="s">
        <v>3841</v>
      </c>
    </row>
    <row r="1699" spans="2:6">
      <c r="C1699" t="s">
        <v>3842</v>
      </c>
    </row>
    <row r="1700" spans="2:6">
      <c r="D1700" t="s">
        <v>3843</v>
      </c>
    </row>
    <row r="1701" spans="2:6">
      <c r="D1701" t="s">
        <v>3844</v>
      </c>
    </row>
    <row r="1702" spans="2:6">
      <c r="D1702" t="s">
        <v>3845</v>
      </c>
    </row>
    <row r="1703" spans="2:6">
      <c r="C1703" t="s">
        <v>3846</v>
      </c>
    </row>
    <row r="1704" spans="2:6">
      <c r="B1704" t="s">
        <v>3847</v>
      </c>
    </row>
    <row r="1705" spans="2:6">
      <c r="C1705" t="s">
        <v>3848</v>
      </c>
    </row>
    <row r="1706" spans="2:6">
      <c r="B1706" t="s">
        <v>3849</v>
      </c>
    </row>
    <row r="1707" spans="2:6">
      <c r="C1707" t="s">
        <v>3850</v>
      </c>
    </row>
    <row r="1708" spans="2:6">
      <c r="B1708" t="s">
        <v>3851</v>
      </c>
    </row>
    <row r="1710" spans="2:6">
      <c r="B1710" s="430" t="s">
        <v>741</v>
      </c>
    </row>
    <row r="1711" spans="2:6">
      <c r="F1711" t="s">
        <v>3852</v>
      </c>
    </row>
    <row r="1712" spans="2:6">
      <c r="B1712" s="2" t="s">
        <v>1589</v>
      </c>
      <c r="F1712" t="s">
        <v>3853</v>
      </c>
    </row>
    <row r="1713" spans="2:6">
      <c r="B1713" t="s">
        <v>3854</v>
      </c>
    </row>
    <row r="1714" spans="2:6">
      <c r="B1714" t="s">
        <v>3855</v>
      </c>
      <c r="F1714" t="s">
        <v>3856</v>
      </c>
    </row>
    <row r="1715" spans="2:6">
      <c r="B1715" t="s">
        <v>3857</v>
      </c>
    </row>
    <row r="1716" spans="2:6">
      <c r="B1716" t="s">
        <v>3858</v>
      </c>
      <c r="F1716" t="s">
        <v>2695</v>
      </c>
    </row>
    <row r="1717" spans="2:6">
      <c r="F1717" t="s">
        <v>3859</v>
      </c>
    </row>
    <row r="1718" spans="2:6">
      <c r="B1718" s="2" t="s">
        <v>3860</v>
      </c>
    </row>
    <row r="1719" spans="2:6">
      <c r="B1719" t="s">
        <v>3861</v>
      </c>
    </row>
    <row r="1720" spans="2:6">
      <c r="B1720" t="s">
        <v>3862</v>
      </c>
    </row>
    <row r="1721" spans="2:6">
      <c r="B1721" t="s">
        <v>3863</v>
      </c>
    </row>
    <row r="1722" spans="2:6">
      <c r="C1722" t="s">
        <v>3864</v>
      </c>
    </row>
    <row r="1723" spans="2:6">
      <c r="C1723" t="s">
        <v>3865</v>
      </c>
    </row>
    <row r="1724" spans="2:6">
      <c r="C1724" t="s">
        <v>3866</v>
      </c>
    </row>
    <row r="1725" spans="2:6">
      <c r="B1725" t="s">
        <v>3867</v>
      </c>
    </row>
    <row r="1726" spans="2:6">
      <c r="B1726" t="s">
        <v>3868</v>
      </c>
    </row>
    <row r="1727" spans="2:6">
      <c r="B1727" t="s">
        <v>3869</v>
      </c>
    </row>
    <row r="1728" spans="2:6">
      <c r="B1728" t="s">
        <v>3870</v>
      </c>
    </row>
    <row r="1730" spans="2:3">
      <c r="B1730" t="s">
        <v>3871</v>
      </c>
    </row>
    <row r="1731" spans="2:3">
      <c r="B1731" t="s">
        <v>3872</v>
      </c>
    </row>
    <row r="1732" spans="2:3">
      <c r="B1732" t="s">
        <v>3873</v>
      </c>
    </row>
    <row r="1733" spans="2:3">
      <c r="B1733" t="s">
        <v>3874</v>
      </c>
    </row>
    <row r="1734" spans="2:3">
      <c r="B1734" t="s">
        <v>3875</v>
      </c>
    </row>
    <row r="1735" spans="2:3">
      <c r="C1735" t="s">
        <v>3876</v>
      </c>
    </row>
    <row r="1736" spans="2:3">
      <c r="C1736" t="s">
        <v>3877</v>
      </c>
    </row>
    <row r="1738" spans="2:3">
      <c r="B1738" t="s">
        <v>3878</v>
      </c>
    </row>
    <row r="1740" spans="2:3">
      <c r="B1740" s="2" t="s">
        <v>52</v>
      </c>
    </row>
    <row r="1741" spans="2:3">
      <c r="B1741" t="s">
        <v>3879</v>
      </c>
    </row>
    <row r="1742" spans="2:3">
      <c r="B1742" t="s">
        <v>3880</v>
      </c>
    </row>
    <row r="1743" spans="2:3">
      <c r="C1743" t="s">
        <v>3881</v>
      </c>
    </row>
    <row r="1744" spans="2:3">
      <c r="C1744" t="s">
        <v>3882</v>
      </c>
    </row>
    <row r="1745" spans="2:3">
      <c r="C1745" t="s">
        <v>3883</v>
      </c>
    </row>
    <row r="1746" spans="2:3">
      <c r="C1746" t="s">
        <v>3884</v>
      </c>
    </row>
    <row r="1747" spans="2:3">
      <c r="B1747" t="s">
        <v>3885</v>
      </c>
    </row>
    <row r="1748" spans="2:3">
      <c r="B1748" t="s">
        <v>3886</v>
      </c>
    </row>
    <row r="1750" spans="2:3">
      <c r="B1750" s="2" t="s">
        <v>97</v>
      </c>
      <c r="C1750" t="s">
        <v>3887</v>
      </c>
    </row>
    <row r="1751" spans="2:3">
      <c r="B1751" t="s">
        <v>3888</v>
      </c>
    </row>
    <row r="1752" spans="2:3">
      <c r="B1752" t="s">
        <v>3889</v>
      </c>
    </row>
    <row r="1753" spans="2:3">
      <c r="B1753" t="s">
        <v>3293</v>
      </c>
    </row>
    <row r="1754" spans="2:3">
      <c r="C1754" t="s">
        <v>3890</v>
      </c>
    </row>
    <row r="1755" spans="2:3">
      <c r="B1755" t="s">
        <v>3891</v>
      </c>
    </row>
    <row r="1757" spans="2:3">
      <c r="B1757" s="2" t="s">
        <v>1703</v>
      </c>
    </row>
    <row r="1758" spans="2:3">
      <c r="B1758" t="s">
        <v>3892</v>
      </c>
    </row>
    <row r="1760" spans="2:3">
      <c r="B1760" t="s">
        <v>52</v>
      </c>
    </row>
    <row r="1761" spans="2:4">
      <c r="B1761" t="s">
        <v>3893</v>
      </c>
    </row>
    <row r="1762" spans="2:4">
      <c r="B1762" t="s">
        <v>3894</v>
      </c>
    </row>
    <row r="1764" spans="2:4">
      <c r="B1764" s="121" t="s">
        <v>2680</v>
      </c>
    </row>
    <row r="1766" spans="2:4">
      <c r="B1766" t="s">
        <v>3895</v>
      </c>
    </row>
    <row r="1767" spans="2:4">
      <c r="C1767" t="s">
        <v>3896</v>
      </c>
    </row>
    <row r="1768" spans="2:4">
      <c r="C1768" t="s">
        <v>3897</v>
      </c>
    </row>
    <row r="1769" spans="2:4">
      <c r="D1769" t="s">
        <v>3898</v>
      </c>
    </row>
    <row r="1770" spans="2:4">
      <c r="B1770" t="s">
        <v>3899</v>
      </c>
    </row>
    <row r="1771" spans="2:4">
      <c r="C1771" t="s">
        <v>3900</v>
      </c>
    </row>
    <row r="1772" spans="2:4">
      <c r="C1772" t="s">
        <v>3901</v>
      </c>
    </row>
    <row r="1773" spans="2:4">
      <c r="B1773" t="s">
        <v>3902</v>
      </c>
    </row>
    <row r="1774" spans="2:4">
      <c r="B1774" t="s">
        <v>3903</v>
      </c>
    </row>
    <row r="1775" spans="2:4">
      <c r="C1775" t="s">
        <v>3904</v>
      </c>
    </row>
    <row r="1777" spans="2:3">
      <c r="B1777" t="s">
        <v>3905</v>
      </c>
    </row>
    <row r="1778" spans="2:3">
      <c r="C1778" t="s">
        <v>3906</v>
      </c>
    </row>
    <row r="1780" spans="2:3">
      <c r="B1780" s="2" t="s">
        <v>1703</v>
      </c>
    </row>
    <row r="1781" spans="2:3">
      <c r="B1781" t="s">
        <v>3907</v>
      </c>
    </row>
    <row r="1782" spans="2:3">
      <c r="B1782" t="s">
        <v>3908</v>
      </c>
    </row>
    <row r="1783" spans="2:3">
      <c r="B1783" t="s">
        <v>3909</v>
      </c>
    </row>
    <row r="1785" spans="2:3">
      <c r="B1785" s="2" t="s">
        <v>94</v>
      </c>
    </row>
    <row r="1786" spans="2:3">
      <c r="B1786" t="s">
        <v>3910</v>
      </c>
    </row>
    <row r="1787" spans="2:3">
      <c r="B1787" t="s">
        <v>3911</v>
      </c>
    </row>
    <row r="1788" spans="2:3">
      <c r="B1788" t="s">
        <v>3912</v>
      </c>
    </row>
    <row r="1790" spans="2:3">
      <c r="B1790" s="430" t="s">
        <v>3913</v>
      </c>
    </row>
    <row r="1792" spans="2:3">
      <c r="B1792" s="2" t="s">
        <v>3914</v>
      </c>
    </row>
    <row r="1793" spans="2:3">
      <c r="B1793" t="s">
        <v>3915</v>
      </c>
    </row>
    <row r="1794" spans="2:3">
      <c r="B1794" t="s">
        <v>3916</v>
      </c>
    </row>
    <row r="1795" spans="2:3">
      <c r="C1795" t="s">
        <v>3917</v>
      </c>
    </row>
    <row r="1796" spans="2:3">
      <c r="C1796" t="s">
        <v>3918</v>
      </c>
    </row>
    <row r="1798" spans="2:3">
      <c r="B1798" t="s">
        <v>3919</v>
      </c>
    </row>
    <row r="1799" spans="2:3">
      <c r="C1799" t="s">
        <v>3920</v>
      </c>
    </row>
    <row r="1800" spans="2:3">
      <c r="C1800" t="s">
        <v>3921</v>
      </c>
    </row>
    <row r="1801" spans="2:3">
      <c r="C1801" t="s">
        <v>3922</v>
      </c>
    </row>
    <row r="1802" spans="2:3">
      <c r="B1802" t="s">
        <v>3923</v>
      </c>
    </row>
    <row r="1803" spans="2:3">
      <c r="C1803" t="s">
        <v>3924</v>
      </c>
    </row>
    <row r="1804" spans="2:3">
      <c r="C1804" t="s">
        <v>3925</v>
      </c>
    </row>
    <row r="1805" spans="2:3">
      <c r="C1805" t="s">
        <v>3926</v>
      </c>
    </row>
    <row r="1806" spans="2:3">
      <c r="C1806" t="s">
        <v>3927</v>
      </c>
    </row>
    <row r="1807" spans="2:3">
      <c r="C1807" t="s">
        <v>3928</v>
      </c>
    </row>
    <row r="1808" spans="2:3">
      <c r="C1808" t="s">
        <v>3929</v>
      </c>
    </row>
    <row r="1809" spans="2:4">
      <c r="C1809" t="s">
        <v>3930</v>
      </c>
    </row>
    <row r="1810" spans="2:4">
      <c r="C1810" t="s">
        <v>3931</v>
      </c>
    </row>
    <row r="1811" spans="2:4">
      <c r="B1811" t="s">
        <v>3932</v>
      </c>
    </row>
    <row r="1812" spans="2:4">
      <c r="C1812" t="s">
        <v>3933</v>
      </c>
    </row>
    <row r="1813" spans="2:4">
      <c r="C1813" t="s">
        <v>3934</v>
      </c>
    </row>
    <row r="1814" spans="2:4">
      <c r="D1814" t="s">
        <v>3935</v>
      </c>
    </row>
    <row r="1815" spans="2:4">
      <c r="D1815" t="s">
        <v>3936</v>
      </c>
    </row>
    <row r="1817" spans="2:4">
      <c r="B1817" t="s">
        <v>3937</v>
      </c>
    </row>
    <row r="1818" spans="2:4">
      <c r="B1818" t="s">
        <v>3938</v>
      </c>
    </row>
    <row r="1819" spans="2:4">
      <c r="C1819" t="s">
        <v>3939</v>
      </c>
    </row>
    <row r="1820" spans="2:4">
      <c r="D1820" t="s">
        <v>3940</v>
      </c>
    </row>
    <row r="1821" spans="2:4">
      <c r="D1821" t="s">
        <v>3941</v>
      </c>
    </row>
    <row r="1823" spans="2:4">
      <c r="B1823" s="2" t="s">
        <v>3942</v>
      </c>
    </row>
    <row r="1824" spans="2:4">
      <c r="B1824" s="2"/>
    </row>
    <row r="1825" spans="2:4">
      <c r="B1825" t="s">
        <v>3943</v>
      </c>
    </row>
    <row r="1826" spans="2:4">
      <c r="C1826" t="s">
        <v>3944</v>
      </c>
    </row>
    <row r="1827" spans="2:4">
      <c r="C1827" t="s">
        <v>3945</v>
      </c>
    </row>
    <row r="1828" spans="2:4">
      <c r="C1828" t="s">
        <v>3946</v>
      </c>
    </row>
    <row r="1830" spans="2:4">
      <c r="C1830" t="s">
        <v>3947</v>
      </c>
    </row>
    <row r="1831" spans="2:4">
      <c r="D1831" t="s">
        <v>3948</v>
      </c>
    </row>
    <row r="1832" spans="2:4">
      <c r="C1832" t="s">
        <v>3949</v>
      </c>
    </row>
    <row r="1833" spans="2:4">
      <c r="C1833" t="s">
        <v>3950</v>
      </c>
    </row>
    <row r="1834" spans="2:4">
      <c r="D1834" t="s">
        <v>3951</v>
      </c>
    </row>
    <row r="1835" spans="2:4">
      <c r="D1835" t="s">
        <v>3952</v>
      </c>
    </row>
    <row r="1836" spans="2:4">
      <c r="D1836" t="s">
        <v>3953</v>
      </c>
    </row>
    <row r="1838" spans="2:4">
      <c r="B1838" t="s">
        <v>3954</v>
      </c>
    </row>
    <row r="1839" spans="2:4">
      <c r="C1839" t="s">
        <v>3955</v>
      </c>
    </row>
    <row r="1840" spans="2:4">
      <c r="C1840" t="s">
        <v>3956</v>
      </c>
    </row>
    <row r="1841" spans="2:4">
      <c r="C1841" t="s">
        <v>3957</v>
      </c>
    </row>
    <row r="1843" spans="2:4">
      <c r="B1843" t="s">
        <v>3958</v>
      </c>
    </row>
    <row r="1844" spans="2:4">
      <c r="C1844" t="s">
        <v>3959</v>
      </c>
    </row>
    <row r="1846" spans="2:4">
      <c r="B1846" t="s">
        <v>1703</v>
      </c>
    </row>
    <row r="1847" spans="2:4">
      <c r="B1847" t="s">
        <v>3960</v>
      </c>
    </row>
    <row r="1848" spans="2:4">
      <c r="C1848" t="s">
        <v>3843</v>
      </c>
    </row>
    <row r="1849" spans="2:4">
      <c r="C1849" t="s">
        <v>1703</v>
      </c>
    </row>
    <row r="1850" spans="2:4">
      <c r="C1850" t="s">
        <v>3961</v>
      </c>
    </row>
    <row r="1851" spans="2:4">
      <c r="C1851" t="s">
        <v>3962</v>
      </c>
    </row>
    <row r="1852" spans="2:4">
      <c r="C1852" t="s">
        <v>3963</v>
      </c>
    </row>
    <row r="1853" spans="2:4">
      <c r="D1853" t="s">
        <v>3964</v>
      </c>
    </row>
    <row r="1855" spans="2:4">
      <c r="B1855" t="s">
        <v>52</v>
      </c>
    </row>
    <row r="1856" spans="2:4">
      <c r="C1856" t="s">
        <v>3965</v>
      </c>
    </row>
    <row r="1857" spans="2:4">
      <c r="C1857" t="s">
        <v>3966</v>
      </c>
    </row>
    <row r="1858" spans="2:4">
      <c r="D1858" t="s">
        <v>3967</v>
      </c>
    </row>
    <row r="1860" spans="2:4">
      <c r="B1860" t="s">
        <v>3968</v>
      </c>
    </row>
    <row r="1861" spans="2:4">
      <c r="C1861" t="s">
        <v>3969</v>
      </c>
    </row>
    <row r="1862" spans="2:4">
      <c r="C1862" t="s">
        <v>3970</v>
      </c>
    </row>
    <row r="1863" spans="2:4">
      <c r="C1863" t="s">
        <v>3971</v>
      </c>
    </row>
    <row r="1865" spans="2:4">
      <c r="B1865" t="s">
        <v>3972</v>
      </c>
    </row>
    <row r="1867" spans="2:4">
      <c r="B1867" s="2" t="s">
        <v>3973</v>
      </c>
    </row>
    <row r="1869" spans="2:4">
      <c r="B1869" t="s">
        <v>3974</v>
      </c>
    </row>
    <row r="1870" spans="2:4">
      <c r="B1870" t="s">
        <v>3757</v>
      </c>
    </row>
    <row r="1871" spans="2:4">
      <c r="C1871" t="s">
        <v>3975</v>
      </c>
    </row>
    <row r="1872" spans="2:4">
      <c r="C1872" t="s">
        <v>3976</v>
      </c>
    </row>
    <row r="1873" spans="2:3">
      <c r="B1873" t="s">
        <v>3977</v>
      </c>
    </row>
    <row r="1874" spans="2:3">
      <c r="B1874" t="s">
        <v>3978</v>
      </c>
    </row>
    <row r="1877" spans="2:3">
      <c r="B1877" s="2" t="s">
        <v>2680</v>
      </c>
    </row>
    <row r="1878" spans="2:3">
      <c r="B1878" s="2"/>
    </row>
    <row r="1879" spans="2:3">
      <c r="B1879" t="s">
        <v>3979</v>
      </c>
    </row>
    <row r="1880" spans="2:3">
      <c r="C1880" t="s">
        <v>3980</v>
      </c>
    </row>
    <row r="1881" spans="2:3">
      <c r="C1881" t="s">
        <v>3981</v>
      </c>
    </row>
    <row r="1882" spans="2:3">
      <c r="B1882" t="s">
        <v>3982</v>
      </c>
    </row>
    <row r="1883" spans="2:3">
      <c r="C1883" t="s">
        <v>3983</v>
      </c>
    </row>
    <row r="1884" spans="2:3">
      <c r="C1884" t="s">
        <v>3984</v>
      </c>
    </row>
    <row r="1885" spans="2:3">
      <c r="B1885" t="s">
        <v>3985</v>
      </c>
    </row>
    <row r="1886" spans="2:3">
      <c r="C1886" t="s">
        <v>3986</v>
      </c>
    </row>
    <row r="1887" spans="2:3">
      <c r="C1887" t="s">
        <v>3987</v>
      </c>
    </row>
    <row r="1888" spans="2:3">
      <c r="C1888" t="s">
        <v>3988</v>
      </c>
    </row>
    <row r="1889" spans="2:4">
      <c r="B1889" t="s">
        <v>3989</v>
      </c>
    </row>
    <row r="1890" spans="2:4">
      <c r="B1890" t="s">
        <v>3990</v>
      </c>
    </row>
    <row r="1892" spans="2:4">
      <c r="B1892" t="s">
        <v>3991</v>
      </c>
    </row>
    <row r="1893" spans="2:4">
      <c r="C1893" t="s">
        <v>3992</v>
      </c>
    </row>
    <row r="1894" spans="2:4">
      <c r="C1894" t="s">
        <v>3993</v>
      </c>
    </row>
    <row r="1895" spans="2:4">
      <c r="C1895" t="s">
        <v>3994</v>
      </c>
    </row>
    <row r="1897" spans="2:4">
      <c r="B1897" t="s">
        <v>3995</v>
      </c>
    </row>
    <row r="1898" spans="2:4">
      <c r="C1898" t="s">
        <v>3996</v>
      </c>
    </row>
    <row r="1899" spans="2:4">
      <c r="D1899" t="s">
        <v>3997</v>
      </c>
    </row>
    <row r="1900" spans="2:4">
      <c r="C1900" t="s">
        <v>3998</v>
      </c>
    </row>
    <row r="1901" spans="2:4">
      <c r="D1901" t="s">
        <v>3999</v>
      </c>
    </row>
    <row r="1902" spans="2:4">
      <c r="C1902" t="s">
        <v>4000</v>
      </c>
    </row>
    <row r="1904" spans="2:4">
      <c r="B1904" t="s">
        <v>4001</v>
      </c>
    </row>
    <row r="1905" spans="2:4">
      <c r="C1905" t="s">
        <v>4002</v>
      </c>
    </row>
    <row r="1906" spans="2:4">
      <c r="B1906" t="s">
        <v>4003</v>
      </c>
    </row>
    <row r="1908" spans="2:4">
      <c r="B1908" t="s">
        <v>4004</v>
      </c>
    </row>
    <row r="1909" spans="2:4">
      <c r="C1909" t="s">
        <v>4005</v>
      </c>
    </row>
    <row r="1911" spans="2:4">
      <c r="B1911" t="s">
        <v>4006</v>
      </c>
    </row>
    <row r="1912" spans="2:4">
      <c r="C1912" t="s">
        <v>4007</v>
      </c>
    </row>
    <row r="1913" spans="2:4">
      <c r="C1913" t="s">
        <v>4008</v>
      </c>
    </row>
    <row r="1914" spans="2:4">
      <c r="C1914" t="s">
        <v>4009</v>
      </c>
    </row>
    <row r="1915" spans="2:4">
      <c r="D1915" t="s">
        <v>4010</v>
      </c>
    </row>
    <row r="1916" spans="2:4">
      <c r="D1916" t="s">
        <v>4011</v>
      </c>
    </row>
    <row r="1917" spans="2:4">
      <c r="C1917" t="s">
        <v>4012</v>
      </c>
    </row>
    <row r="1918" spans="2:4">
      <c r="D1918" t="s">
        <v>4013</v>
      </c>
    </row>
    <row r="1919" spans="2:4">
      <c r="D1919" t="s">
        <v>4014</v>
      </c>
    </row>
    <row r="1921" spans="2:5">
      <c r="D1921" t="s">
        <v>4015</v>
      </c>
    </row>
    <row r="1922" spans="2:5">
      <c r="E1922" t="s">
        <v>4016</v>
      </c>
    </row>
    <row r="1923" spans="2:5">
      <c r="E1923" t="s">
        <v>4017</v>
      </c>
    </row>
    <row r="1924" spans="2:5">
      <c r="C1924" t="s">
        <v>4018</v>
      </c>
    </row>
    <row r="1925" spans="2:5">
      <c r="B1925" t="s">
        <v>4019</v>
      </c>
    </row>
    <row r="1926" spans="2:5">
      <c r="C1926" t="s">
        <v>4020</v>
      </c>
    </row>
    <row r="1927" spans="2:5">
      <c r="D1927" t="s">
        <v>4021</v>
      </c>
    </row>
    <row r="1928" spans="2:5">
      <c r="D1928" t="s">
        <v>4022</v>
      </c>
    </row>
    <row r="1929" spans="2:5">
      <c r="D1929" t="s">
        <v>4023</v>
      </c>
    </row>
    <row r="1931" spans="2:5">
      <c r="B1931" t="s">
        <v>4024</v>
      </c>
    </row>
    <row r="1932" spans="2:5">
      <c r="C1932" t="s">
        <v>4025</v>
      </c>
    </row>
    <row r="1933" spans="2:5">
      <c r="C1933" t="s">
        <v>4026</v>
      </c>
    </row>
    <row r="1934" spans="2:5">
      <c r="B1934" t="s">
        <v>4027</v>
      </c>
    </row>
    <row r="1936" spans="2:5">
      <c r="B1936" t="s">
        <v>4028</v>
      </c>
    </row>
    <row r="1937" spans="2:3">
      <c r="C1937" t="s">
        <v>4029</v>
      </c>
    </row>
    <row r="1938" spans="2:3">
      <c r="C1938" t="s">
        <v>4030</v>
      </c>
    </row>
    <row r="1940" spans="2:3">
      <c r="B1940" t="s">
        <v>4031</v>
      </c>
    </row>
    <row r="1941" spans="2:3">
      <c r="C1941" t="s">
        <v>4032</v>
      </c>
    </row>
    <row r="1942" spans="2:3">
      <c r="B1942" t="s">
        <v>4033</v>
      </c>
    </row>
    <row r="1943" spans="2:3">
      <c r="C1943" t="s">
        <v>4034</v>
      </c>
    </row>
    <row r="1944" spans="2:3">
      <c r="C1944" t="s">
        <v>4035</v>
      </c>
    </row>
    <row r="1945" spans="2:3">
      <c r="C1945" t="s">
        <v>4036</v>
      </c>
    </row>
    <row r="1947" spans="2:3">
      <c r="B1947" t="s">
        <v>4037</v>
      </c>
    </row>
    <row r="1948" spans="2:3">
      <c r="C1948" t="s">
        <v>4038</v>
      </c>
    </row>
    <row r="1949" spans="2:3">
      <c r="C1949" t="s">
        <v>4039</v>
      </c>
    </row>
    <row r="1951" spans="2:3">
      <c r="B1951" t="s">
        <v>4040</v>
      </c>
    </row>
    <row r="1953" spans="2:4">
      <c r="B1953" t="s">
        <v>4041</v>
      </c>
    </row>
    <row r="1954" spans="2:4">
      <c r="C1954" t="s">
        <v>4042</v>
      </c>
    </row>
    <row r="1955" spans="2:4">
      <c r="C1955" t="s">
        <v>4043</v>
      </c>
    </row>
    <row r="1957" spans="2:4">
      <c r="B1957" t="s">
        <v>4044</v>
      </c>
    </row>
    <row r="1958" spans="2:4">
      <c r="C1958" t="s">
        <v>4045</v>
      </c>
    </row>
    <row r="1959" spans="2:4">
      <c r="D1959" t="s">
        <v>4046</v>
      </c>
    </row>
    <row r="1960" spans="2:4">
      <c r="D1960" t="s">
        <v>4047</v>
      </c>
    </row>
    <row r="1961" spans="2:4">
      <c r="C1961" t="s">
        <v>4048</v>
      </c>
    </row>
    <row r="1962" spans="2:4">
      <c r="C1962" t="s">
        <v>4049</v>
      </c>
    </row>
    <row r="1964" spans="2:4">
      <c r="C1964" t="s">
        <v>4050</v>
      </c>
    </row>
    <row r="1965" spans="2:4">
      <c r="D1965" t="s">
        <v>4051</v>
      </c>
    </row>
    <row r="1967" spans="2:4">
      <c r="B1967" t="s">
        <v>107</v>
      </c>
    </row>
    <row r="1968" spans="2:4">
      <c r="C1968" t="s">
        <v>4052</v>
      </c>
    </row>
    <row r="1969" spans="2:4">
      <c r="C1969" t="s">
        <v>4053</v>
      </c>
    </row>
    <row r="1970" spans="2:4">
      <c r="C1970" t="s">
        <v>4054</v>
      </c>
    </row>
    <row r="1972" spans="2:4">
      <c r="B1972" s="2" t="s">
        <v>4055</v>
      </c>
    </row>
    <row r="1974" spans="2:4">
      <c r="B1974" t="s">
        <v>1703</v>
      </c>
    </row>
    <row r="1975" spans="2:4">
      <c r="C1975" t="s">
        <v>4056</v>
      </c>
    </row>
    <row r="1976" spans="2:4">
      <c r="C1976" t="s">
        <v>4057</v>
      </c>
    </row>
    <row r="1977" spans="2:4">
      <c r="C1977" t="s">
        <v>4058</v>
      </c>
    </row>
    <row r="1978" spans="2:4">
      <c r="C1978" t="s">
        <v>4059</v>
      </c>
    </row>
    <row r="1979" spans="2:4">
      <c r="C1979" t="s">
        <v>4060</v>
      </c>
    </row>
    <row r="1981" spans="2:4">
      <c r="B1981" t="s">
        <v>4061</v>
      </c>
    </row>
    <row r="1982" spans="2:4">
      <c r="C1982" t="s">
        <v>4062</v>
      </c>
    </row>
    <row r="1983" spans="2:4">
      <c r="D1983" t="s">
        <v>4063</v>
      </c>
    </row>
    <row r="1984" spans="2:4">
      <c r="D1984" t="s">
        <v>4064</v>
      </c>
    </row>
    <row r="1986" spans="2:5">
      <c r="C1986" t="s">
        <v>4065</v>
      </c>
    </row>
    <row r="1987" spans="2:5">
      <c r="C1987" t="s">
        <v>4066</v>
      </c>
    </row>
    <row r="1988" spans="2:5">
      <c r="D1988" t="s">
        <v>4067</v>
      </c>
    </row>
    <row r="1989" spans="2:5">
      <c r="D1989" t="s">
        <v>4068</v>
      </c>
    </row>
    <row r="1990" spans="2:5">
      <c r="C1990" t="s">
        <v>4069</v>
      </c>
    </row>
    <row r="1991" spans="2:5">
      <c r="D1991" t="s">
        <v>4070</v>
      </c>
    </row>
    <row r="1992" spans="2:5">
      <c r="C1992" t="s">
        <v>4071</v>
      </c>
    </row>
    <row r="1993" spans="2:5">
      <c r="C1993" t="s">
        <v>4072</v>
      </c>
    </row>
    <row r="1994" spans="2:5">
      <c r="D1994" t="s">
        <v>4073</v>
      </c>
    </row>
    <row r="1995" spans="2:5">
      <c r="D1995">
        <v>2014</v>
      </c>
      <c r="E1995" t="s">
        <v>4074</v>
      </c>
    </row>
    <row r="1996" spans="2:5">
      <c r="E1996" t="s">
        <v>4075</v>
      </c>
    </row>
    <row r="1997" spans="2:5">
      <c r="E1997" t="s">
        <v>4076</v>
      </c>
    </row>
    <row r="1998" spans="2:5">
      <c r="E1998" t="s">
        <v>4077</v>
      </c>
    </row>
    <row r="1999" spans="2:5">
      <c r="E1999" t="s">
        <v>4078</v>
      </c>
    </row>
    <row r="2000" spans="2:5">
      <c r="B2000" t="s">
        <v>4079</v>
      </c>
    </row>
    <row r="2001" spans="2:5">
      <c r="C2001" t="s">
        <v>4080</v>
      </c>
    </row>
    <row r="2003" spans="2:5">
      <c r="B2003" t="s">
        <v>4081</v>
      </c>
    </row>
    <row r="2005" spans="2:5">
      <c r="B2005" t="s">
        <v>4082</v>
      </c>
    </row>
    <row r="2006" spans="2:5">
      <c r="C2006" t="s">
        <v>4083</v>
      </c>
    </row>
    <row r="2007" spans="2:5">
      <c r="C2007" t="s">
        <v>4084</v>
      </c>
    </row>
    <row r="2008" spans="2:5">
      <c r="C2008" t="s">
        <v>4085</v>
      </c>
    </row>
    <row r="2009" spans="2:5">
      <c r="D2009" t="s">
        <v>4086</v>
      </c>
    </row>
    <row r="2011" spans="2:5">
      <c r="B2011" s="526" t="s">
        <v>4087</v>
      </c>
      <c r="C2011" s="525"/>
      <c r="D2011" s="525"/>
      <c r="E2011" s="525"/>
    </row>
    <row r="2013" spans="2:5">
      <c r="B2013" s="42" t="s">
        <v>1703</v>
      </c>
    </row>
    <row r="2014" spans="2:5">
      <c r="B2014" t="s">
        <v>4088</v>
      </c>
    </row>
    <row r="2015" spans="2:5">
      <c r="B2015" t="s">
        <v>4089</v>
      </c>
    </row>
    <row r="2016" spans="2:5">
      <c r="B2016" t="s">
        <v>4090</v>
      </c>
    </row>
    <row r="2017" spans="2:4">
      <c r="B2017" t="s">
        <v>4091</v>
      </c>
    </row>
    <row r="2019" spans="2:4">
      <c r="B2019" s="42" t="s">
        <v>52</v>
      </c>
    </row>
    <row r="2020" spans="2:4">
      <c r="B2020" t="s">
        <v>4092</v>
      </c>
    </row>
    <row r="2021" spans="2:4">
      <c r="B2021" t="s">
        <v>4093</v>
      </c>
    </row>
    <row r="2022" spans="2:4">
      <c r="B2022" t="s">
        <v>4094</v>
      </c>
    </row>
    <row r="2023" spans="2:4">
      <c r="B2023" t="s">
        <v>4095</v>
      </c>
    </row>
    <row r="2024" spans="2:4">
      <c r="C2024" t="s">
        <v>4096</v>
      </c>
    </row>
    <row r="2025" spans="2:4">
      <c r="C2025" t="s">
        <v>4097</v>
      </c>
    </row>
    <row r="2027" spans="2:4">
      <c r="B2027" s="121" t="s">
        <v>4098</v>
      </c>
    </row>
    <row r="2029" spans="2:4">
      <c r="B2029" t="s">
        <v>4099</v>
      </c>
    </row>
    <row r="2030" spans="2:4">
      <c r="C2030" t="s">
        <v>4100</v>
      </c>
    </row>
    <row r="2031" spans="2:4">
      <c r="C2031" t="s">
        <v>4101</v>
      </c>
    </row>
    <row r="2032" spans="2:4">
      <c r="D2032" t="s">
        <v>4102</v>
      </c>
    </row>
    <row r="2033" spans="2:5">
      <c r="D2033" t="s">
        <v>94</v>
      </c>
    </row>
    <row r="2034" spans="2:5">
      <c r="E2034" t="s">
        <v>4103</v>
      </c>
    </row>
    <row r="2035" spans="2:5">
      <c r="E2035" t="s">
        <v>4104</v>
      </c>
    </row>
    <row r="2036" spans="2:5">
      <c r="E2036" t="s">
        <v>4105</v>
      </c>
    </row>
    <row r="2037" spans="2:5">
      <c r="C2037" t="s">
        <v>4106</v>
      </c>
    </row>
    <row r="2038" spans="2:5">
      <c r="D2038" t="s">
        <v>4107</v>
      </c>
    </row>
    <row r="2039" spans="2:5">
      <c r="C2039" t="s">
        <v>4108</v>
      </c>
    </row>
    <row r="2040" spans="2:5">
      <c r="C2040" t="s">
        <v>4109</v>
      </c>
    </row>
    <row r="2041" spans="2:5">
      <c r="B2041" t="s">
        <v>4110</v>
      </c>
    </row>
    <row r="2042" spans="2:5">
      <c r="C2042" t="s">
        <v>4111</v>
      </c>
    </row>
    <row r="2043" spans="2:5">
      <c r="D2043" t="s">
        <v>4112</v>
      </c>
    </row>
    <row r="2044" spans="2:5">
      <c r="D2044" t="s">
        <v>4113</v>
      </c>
    </row>
    <row r="2045" spans="2:5">
      <c r="C2045" t="s">
        <v>4114</v>
      </c>
    </row>
    <row r="2046" spans="2:5">
      <c r="D2046" t="s">
        <v>4115</v>
      </c>
    </row>
    <row r="2048" spans="2:5">
      <c r="B2048" t="s">
        <v>4116</v>
      </c>
    </row>
    <row r="2049" spans="2:4">
      <c r="B2049" t="s">
        <v>4117</v>
      </c>
    </row>
    <row r="2050" spans="2:4">
      <c r="C2050" t="s">
        <v>4118</v>
      </c>
    </row>
    <row r="2051" spans="2:4">
      <c r="B2051" t="s">
        <v>97</v>
      </c>
    </row>
    <row r="2052" spans="2:4">
      <c r="C2052" t="s">
        <v>4119</v>
      </c>
    </row>
    <row r="2053" spans="2:4">
      <c r="D2053" t="s">
        <v>4120</v>
      </c>
    </row>
    <row r="2054" spans="2:4">
      <c r="D2054" t="s">
        <v>4121</v>
      </c>
    </row>
    <row r="2056" spans="2:4">
      <c r="B2056" s="121" t="s">
        <v>743</v>
      </c>
    </row>
    <row r="2057" spans="2:4">
      <c r="B2057" s="121"/>
    </row>
    <row r="2058" spans="2:4">
      <c r="B2058" t="s">
        <v>4122</v>
      </c>
    </row>
    <row r="2059" spans="2:4">
      <c r="C2059" t="s">
        <v>4123</v>
      </c>
    </row>
    <row r="2060" spans="2:4">
      <c r="C2060" t="s">
        <v>4124</v>
      </c>
    </row>
    <row r="2061" spans="2:4">
      <c r="B2061" t="s">
        <v>4125</v>
      </c>
    </row>
    <row r="2062" spans="2:4">
      <c r="C2062" t="s">
        <v>4126</v>
      </c>
    </row>
    <row r="2063" spans="2:4">
      <c r="B2063" t="s">
        <v>4127</v>
      </c>
    </row>
    <row r="2064" spans="2:4">
      <c r="C2064" t="s">
        <v>4128</v>
      </c>
    </row>
    <row r="2065" spans="2:4">
      <c r="B2065" t="s">
        <v>4129</v>
      </c>
    </row>
    <row r="2066" spans="2:4">
      <c r="C2066" t="s">
        <v>4130</v>
      </c>
    </row>
    <row r="2067" spans="2:4">
      <c r="C2067" t="s">
        <v>4131</v>
      </c>
    </row>
    <row r="2068" spans="2:4">
      <c r="B2068" t="s">
        <v>4132</v>
      </c>
    </row>
    <row r="2069" spans="2:4">
      <c r="C2069" t="s">
        <v>4133</v>
      </c>
    </row>
    <row r="2070" spans="2:4">
      <c r="D2070" t="s">
        <v>4134</v>
      </c>
    </row>
    <row r="2071" spans="2:4">
      <c r="D2071" t="s">
        <v>4135</v>
      </c>
    </row>
    <row r="2072" spans="2:4">
      <c r="B2072" t="s">
        <v>52</v>
      </c>
    </row>
    <row r="2073" spans="2:4">
      <c r="C2073" t="s">
        <v>4136</v>
      </c>
    </row>
    <row r="2074" spans="2:4">
      <c r="C2074" t="s">
        <v>4137</v>
      </c>
    </row>
    <row r="2075" spans="2:4">
      <c r="D2075" t="s">
        <v>4138</v>
      </c>
    </row>
    <row r="2076" spans="2:4">
      <c r="D2076" t="s">
        <v>4139</v>
      </c>
    </row>
    <row r="2077" spans="2:4">
      <c r="C2077" t="s">
        <v>4140</v>
      </c>
    </row>
    <row r="2078" spans="2:4">
      <c r="B2078" t="s">
        <v>97</v>
      </c>
    </row>
    <row r="2079" spans="2:4">
      <c r="C2079" t="s">
        <v>4141</v>
      </c>
    </row>
    <row r="2080" spans="2:4">
      <c r="C2080" t="s">
        <v>4142</v>
      </c>
    </row>
    <row r="2081" spans="2:3">
      <c r="C2081" t="s">
        <v>4143</v>
      </c>
    </row>
    <row r="2082" spans="2:3">
      <c r="C2082" t="s">
        <v>4144</v>
      </c>
    </row>
    <row r="2083" spans="2:3">
      <c r="C2083" t="s">
        <v>4145</v>
      </c>
    </row>
    <row r="2085" spans="2:3">
      <c r="B2085" s="121" t="s">
        <v>2680</v>
      </c>
    </row>
    <row r="2087" spans="2:3">
      <c r="B2087" t="s">
        <v>4099</v>
      </c>
    </row>
    <row r="2088" spans="2:3">
      <c r="C2088" t="s">
        <v>4146</v>
      </c>
    </row>
    <row r="2089" spans="2:3">
      <c r="C2089" t="s">
        <v>4147</v>
      </c>
    </row>
    <row r="2091" spans="2:3">
      <c r="B2091" t="s">
        <v>94</v>
      </c>
    </row>
    <row r="2092" spans="2:3">
      <c r="C2092" t="s">
        <v>4148</v>
      </c>
    </row>
    <row r="2093" spans="2:3">
      <c r="C2093" t="s">
        <v>4149</v>
      </c>
    </row>
    <row r="2095" spans="2:3">
      <c r="B2095" t="s">
        <v>4150</v>
      </c>
    </row>
    <row r="2096" spans="2:3">
      <c r="C2096" t="s">
        <v>4151</v>
      </c>
    </row>
    <row r="2097" spans="2:3">
      <c r="B2097" t="s">
        <v>51</v>
      </c>
    </row>
    <row r="2098" spans="2:3">
      <c r="C2098" t="s">
        <v>4152</v>
      </c>
    </row>
    <row r="2099" spans="2:3">
      <c r="C2099" t="s">
        <v>4153</v>
      </c>
    </row>
    <row r="2100" spans="2:3">
      <c r="B2100" t="s">
        <v>52</v>
      </c>
    </row>
    <row r="2101" spans="2:3">
      <c r="C2101" t="s">
        <v>4154</v>
      </c>
    </row>
    <row r="2102" spans="2:3">
      <c r="C2102" t="s">
        <v>4155</v>
      </c>
    </row>
    <row r="2103" spans="2:3">
      <c r="C2103" t="s">
        <v>4156</v>
      </c>
    </row>
    <row r="2105" spans="2:3">
      <c r="B2105" s="2" t="s">
        <v>4157</v>
      </c>
    </row>
    <row r="2107" spans="2:3">
      <c r="B2107" t="s">
        <v>4158</v>
      </c>
    </row>
    <row r="2108" spans="2:3">
      <c r="C2108" t="s">
        <v>4159</v>
      </c>
    </row>
    <row r="2109" spans="2:3">
      <c r="C2109" t="s">
        <v>4160</v>
      </c>
    </row>
    <row r="2111" spans="2:3">
      <c r="B2111" t="s">
        <v>4161</v>
      </c>
    </row>
    <row r="2113" spans="2:4">
      <c r="B2113" t="s">
        <v>4162</v>
      </c>
    </row>
    <row r="2114" spans="2:4">
      <c r="C2114" t="s">
        <v>4163</v>
      </c>
    </row>
    <row r="2115" spans="2:4">
      <c r="D2115" t="s">
        <v>4164</v>
      </c>
    </row>
    <row r="2116" spans="2:4">
      <c r="D2116" t="s">
        <v>4165</v>
      </c>
    </row>
    <row r="2118" spans="2:4">
      <c r="B2118" t="s">
        <v>97</v>
      </c>
    </row>
    <row r="2119" spans="2:4">
      <c r="C2119" t="s">
        <v>4166</v>
      </c>
    </row>
    <row r="2121" spans="2:4">
      <c r="B2121" t="s">
        <v>4167</v>
      </c>
    </row>
    <row r="2122" spans="2:4">
      <c r="C2122" t="s">
        <v>4168</v>
      </c>
    </row>
    <row r="2124" spans="2:4">
      <c r="B2124" t="s">
        <v>4169</v>
      </c>
    </row>
    <row r="2125" spans="2:4">
      <c r="C2125" t="s">
        <v>4170</v>
      </c>
    </row>
    <row r="2126" spans="2:4">
      <c r="C2126" t="s">
        <v>4171</v>
      </c>
    </row>
    <row r="2128" spans="2:4">
      <c r="B2128" t="s">
        <v>4172</v>
      </c>
    </row>
    <row r="2129" spans="2:3">
      <c r="C2129" t="s">
        <v>4173</v>
      </c>
    </row>
    <row r="2130" spans="2:3">
      <c r="C2130" t="s">
        <v>4174</v>
      </c>
    </row>
    <row r="2132" spans="2:3">
      <c r="B2132" t="s">
        <v>4175</v>
      </c>
    </row>
    <row r="2133" spans="2:3">
      <c r="C2133" t="s">
        <v>4176</v>
      </c>
    </row>
    <row r="2135" spans="2:3">
      <c r="B2135" t="s">
        <v>4177</v>
      </c>
    </row>
    <row r="2136" spans="2:3">
      <c r="C2136" t="s">
        <v>4178</v>
      </c>
    </row>
    <row r="2137" spans="2:3">
      <c r="C2137" t="s">
        <v>4179</v>
      </c>
    </row>
    <row r="2138" spans="2:3">
      <c r="C2138" t="s">
        <v>4180</v>
      </c>
    </row>
    <row r="2139" spans="2:3">
      <c r="C2139" t="s">
        <v>4181</v>
      </c>
    </row>
    <row r="2140" spans="2:3">
      <c r="C2140" t="s">
        <v>4182</v>
      </c>
    </row>
    <row r="2142" spans="2:3">
      <c r="B2142" t="s">
        <v>1703</v>
      </c>
    </row>
    <row r="2143" spans="2:3">
      <c r="C2143" t="s">
        <v>4183</v>
      </c>
    </row>
    <row r="2144" spans="2:3">
      <c r="C2144" t="s">
        <v>4184</v>
      </c>
    </row>
    <row r="2145" spans="2:8">
      <c r="D2145" t="s">
        <v>4185</v>
      </c>
    </row>
    <row r="2147" spans="2:8">
      <c r="B2147" t="s">
        <v>4186</v>
      </c>
    </row>
    <row r="2149" spans="2:8">
      <c r="B2149" s="2" t="s">
        <v>4187</v>
      </c>
    </row>
    <row r="2151" spans="2:8">
      <c r="B2151" t="s">
        <v>94</v>
      </c>
    </row>
    <row r="2152" spans="2:8">
      <c r="C2152" t="s">
        <v>4188</v>
      </c>
    </row>
    <row r="2153" spans="2:8">
      <c r="D2153" t="s">
        <v>4189</v>
      </c>
    </row>
    <row r="2154" spans="2:8">
      <c r="D2154" t="s">
        <v>4190</v>
      </c>
    </row>
    <row r="2155" spans="2:8">
      <c r="D2155" t="s">
        <v>4191</v>
      </c>
    </row>
    <row r="2156" spans="2:8">
      <c r="D2156" t="s">
        <v>4192</v>
      </c>
    </row>
    <row r="2157" spans="2:8">
      <c r="B2157" t="s">
        <v>4193</v>
      </c>
    </row>
    <row r="2158" spans="2:8">
      <c r="C2158" t="s">
        <v>4194</v>
      </c>
    </row>
    <row r="2159" spans="2:8">
      <c r="D2159" t="s">
        <v>4195</v>
      </c>
      <c r="H2159" t="s">
        <v>4196</v>
      </c>
    </row>
    <row r="2160" spans="2:8">
      <c r="D2160" t="s">
        <v>4197</v>
      </c>
    </row>
    <row r="2162" spans="2:5">
      <c r="B2162" t="s">
        <v>4198</v>
      </c>
    </row>
    <row r="2163" spans="2:5">
      <c r="C2163" t="s">
        <v>4199</v>
      </c>
    </row>
    <row r="2164" spans="2:5">
      <c r="D2164" t="s">
        <v>4200</v>
      </c>
    </row>
    <row r="2165" spans="2:5">
      <c r="D2165" t="s">
        <v>4201</v>
      </c>
    </row>
    <row r="2166" spans="2:5">
      <c r="D2166" t="s">
        <v>4202</v>
      </c>
    </row>
    <row r="2167" spans="2:5">
      <c r="D2167" t="s">
        <v>4203</v>
      </c>
    </row>
    <row r="2168" spans="2:5">
      <c r="E2168" t="s">
        <v>4204</v>
      </c>
    </row>
    <row r="2170" spans="2:5">
      <c r="C2170" t="s">
        <v>4205</v>
      </c>
    </row>
    <row r="2172" spans="2:5">
      <c r="B2172" t="s">
        <v>33</v>
      </c>
    </row>
    <row r="2173" spans="2:5">
      <c r="C2173" t="s">
        <v>4206</v>
      </c>
    </row>
    <row r="2174" spans="2:5">
      <c r="C2174" t="s">
        <v>4207</v>
      </c>
    </row>
    <row r="2175" spans="2:5">
      <c r="D2175" t="s">
        <v>4208</v>
      </c>
    </row>
    <row r="2176" spans="2:5">
      <c r="C2176" t="s">
        <v>4209</v>
      </c>
    </row>
    <row r="2178" spans="2:5">
      <c r="B2178" t="s">
        <v>4210</v>
      </c>
    </row>
    <row r="2179" spans="2:5">
      <c r="B2179" s="2" t="s">
        <v>4211</v>
      </c>
    </row>
    <row r="2180" spans="2:5">
      <c r="C2180" t="s">
        <v>3298</v>
      </c>
      <c r="D2180" t="s">
        <v>4212</v>
      </c>
    </row>
    <row r="2181" spans="2:5">
      <c r="D2181" t="s">
        <v>4213</v>
      </c>
    </row>
    <row r="2183" spans="2:5">
      <c r="B2183" s="2" t="s">
        <v>4214</v>
      </c>
    </row>
    <row r="2184" spans="2:5">
      <c r="C2184" t="s">
        <v>4215</v>
      </c>
    </row>
    <row r="2185" spans="2:5">
      <c r="C2185" t="s">
        <v>4216</v>
      </c>
    </row>
    <row r="2186" spans="2:5">
      <c r="D2186" t="s">
        <v>4217</v>
      </c>
    </row>
    <row r="2188" spans="2:5">
      <c r="B2188" t="s">
        <v>4218</v>
      </c>
    </row>
    <row r="2189" spans="2:5">
      <c r="B2189" t="s">
        <v>4219</v>
      </c>
    </row>
    <row r="2191" spans="2:5">
      <c r="B2191" t="s">
        <v>2511</v>
      </c>
    </row>
    <row r="2192" spans="2:5">
      <c r="C2192" t="s">
        <v>4220</v>
      </c>
      <c r="E2192" t="s">
        <v>4221</v>
      </c>
    </row>
    <row r="2193" spans="2:5">
      <c r="C2193" t="s">
        <v>4222</v>
      </c>
    </row>
    <row r="2194" spans="2:5">
      <c r="D2194" t="s">
        <v>4223</v>
      </c>
    </row>
    <row r="2195" spans="2:5">
      <c r="E2195" t="s">
        <v>4224</v>
      </c>
    </row>
    <row r="2196" spans="2:5">
      <c r="E2196" t="s">
        <v>4225</v>
      </c>
    </row>
    <row r="2197" spans="2:5">
      <c r="E2197" t="s">
        <v>4226</v>
      </c>
    </row>
    <row r="2198" spans="2:5">
      <c r="C2198" t="s">
        <v>4227</v>
      </c>
    </row>
    <row r="2200" spans="2:5">
      <c r="C2200" s="3"/>
    </row>
    <row r="2201" spans="2:5">
      <c r="B2201" t="s">
        <v>4228</v>
      </c>
    </row>
    <row r="2202" spans="2:5">
      <c r="B2202" s="61" t="s">
        <v>4229</v>
      </c>
      <c r="C2202" s="61">
        <v>2017</v>
      </c>
      <c r="D2202" s="61">
        <v>2018</v>
      </c>
    </row>
    <row r="2203" spans="2:5">
      <c r="B2203" t="s">
        <v>4230</v>
      </c>
      <c r="C2203">
        <v>35.200000000000003</v>
      </c>
      <c r="D2203">
        <v>39.200000000000003</v>
      </c>
    </row>
    <row r="2205" spans="2:5">
      <c r="B2205" t="s">
        <v>4231</v>
      </c>
      <c r="D2205">
        <v>45.6</v>
      </c>
      <c r="E2205" t="s">
        <v>4232</v>
      </c>
    </row>
    <row r="2206" spans="2:5">
      <c r="B2206" t="s">
        <v>4233</v>
      </c>
      <c r="D2206">
        <v>42.8</v>
      </c>
      <c r="E2206" t="s">
        <v>4234</v>
      </c>
    </row>
    <row r="2207" spans="2:5">
      <c r="B2207" t="s">
        <v>4235</v>
      </c>
      <c r="D2207">
        <v>40.5</v>
      </c>
      <c r="E2207" t="s">
        <v>4232</v>
      </c>
    </row>
    <row r="2208" spans="2:5">
      <c r="B2208" t="s">
        <v>4236</v>
      </c>
      <c r="D2208">
        <v>43.8</v>
      </c>
      <c r="E2208" t="s">
        <v>4232</v>
      </c>
    </row>
    <row r="2209" spans="2:10">
      <c r="B2209" t="s">
        <v>855</v>
      </c>
      <c r="D2209">
        <v>44.9</v>
      </c>
      <c r="E2209" t="s">
        <v>4232</v>
      </c>
    </row>
    <row r="2210" spans="2:10">
      <c r="B2210" t="s">
        <v>4237</v>
      </c>
      <c r="D2210">
        <v>41.8</v>
      </c>
      <c r="E2210" t="s">
        <v>4232</v>
      </c>
    </row>
    <row r="2211" spans="2:10">
      <c r="B2211" t="s">
        <v>4238</v>
      </c>
      <c r="D2211">
        <v>43</v>
      </c>
      <c r="E2211" t="s">
        <v>4232</v>
      </c>
    </row>
    <row r="2212" spans="2:10">
      <c r="B2212" t="s">
        <v>4239</v>
      </c>
      <c r="D2212">
        <v>42.8</v>
      </c>
      <c r="E2212" t="s">
        <v>4234</v>
      </c>
    </row>
    <row r="2213" spans="2:10">
      <c r="B2213" t="s">
        <v>4236</v>
      </c>
      <c r="D2213">
        <v>43.8</v>
      </c>
    </row>
    <row r="2214" spans="2:10">
      <c r="B2214" s="61" t="s">
        <v>4240</v>
      </c>
      <c r="C2214" s="61"/>
      <c r="D2214" s="61">
        <v>45.9</v>
      </c>
    </row>
    <row r="2215" spans="2:10">
      <c r="D2215">
        <v>43.6</v>
      </c>
    </row>
    <row r="2216" spans="2:10">
      <c r="D2216">
        <v>2.2000000000000002</v>
      </c>
    </row>
    <row r="2217" spans="2:10">
      <c r="B2217" s="61"/>
      <c r="C2217" s="61"/>
      <c r="D2217" s="61">
        <v>1.6</v>
      </c>
    </row>
    <row r="2218" spans="2:10">
      <c r="D2218">
        <f>D2215-D2216-D2217</f>
        <v>39.799999999999997</v>
      </c>
    </row>
    <row r="2220" spans="2:10">
      <c r="B2220" t="s">
        <v>4241</v>
      </c>
      <c r="D2220">
        <v>1890</v>
      </c>
    </row>
    <row r="2221" spans="2:10">
      <c r="B2221" t="s">
        <v>34</v>
      </c>
      <c r="D2221">
        <v>37.1</v>
      </c>
    </row>
    <row r="2222" spans="2:10">
      <c r="D2222" t="s">
        <v>4242</v>
      </c>
    </row>
    <row r="2224" spans="2:10">
      <c r="B2224" s="2" t="s">
        <v>4243</v>
      </c>
      <c r="D2224" s="2">
        <v>2018</v>
      </c>
      <c r="J2224" s="2" t="s">
        <v>4244</v>
      </c>
    </row>
    <row r="2225" spans="2:10">
      <c r="B2225" t="s">
        <v>4245</v>
      </c>
      <c r="D2225" t="s">
        <v>4246</v>
      </c>
      <c r="E2225" t="s">
        <v>4247</v>
      </c>
      <c r="J2225" t="s">
        <v>4248</v>
      </c>
    </row>
    <row r="2226" spans="2:10">
      <c r="E2226" t="s">
        <v>4249</v>
      </c>
      <c r="J2226" t="s">
        <v>4250</v>
      </c>
    </row>
    <row r="2227" spans="2:10">
      <c r="B2227" t="s">
        <v>4251</v>
      </c>
      <c r="D2227" t="s">
        <v>4252</v>
      </c>
      <c r="E2227" t="s">
        <v>4253</v>
      </c>
    </row>
    <row r="2228" spans="2:10">
      <c r="F2228" t="s">
        <v>4254</v>
      </c>
    </row>
    <row r="2229" spans="2:10">
      <c r="B2229" t="s">
        <v>1788</v>
      </c>
      <c r="F2229" t="s">
        <v>4255</v>
      </c>
      <c r="J2229" t="s">
        <v>4256</v>
      </c>
    </row>
    <row r="2230" spans="2:10">
      <c r="E2230" t="s">
        <v>4257</v>
      </c>
    </row>
    <row r="2231" spans="2:10">
      <c r="E2231" t="s">
        <v>4258</v>
      </c>
    </row>
    <row r="2232" spans="2:10">
      <c r="E2232" t="s">
        <v>4259</v>
      </c>
    </row>
    <row r="2233" spans="2:10">
      <c r="B2233" s="61"/>
      <c r="C2233" s="61"/>
      <c r="D2233" s="61" t="s">
        <v>4260</v>
      </c>
    </row>
    <row r="2234" spans="2:10">
      <c r="B2234" t="s">
        <v>4261</v>
      </c>
      <c r="D2234" s="8">
        <v>0.09</v>
      </c>
    </row>
    <row r="2235" spans="2:10">
      <c r="D2235" s="8"/>
    </row>
    <row r="2236" spans="2:10">
      <c r="B2236" t="s">
        <v>4262</v>
      </c>
      <c r="D2236" s="527" t="s">
        <v>4263</v>
      </c>
    </row>
    <row r="2237" spans="2:10">
      <c r="D2237" s="8" t="s">
        <v>4264</v>
      </c>
    </row>
    <row r="2238" spans="2:10">
      <c r="D2238" s="8" t="s">
        <v>4265</v>
      </c>
    </row>
    <row r="2239" spans="2:10">
      <c r="D2239" s="8" t="s">
        <v>4266</v>
      </c>
    </row>
    <row r="2240" spans="2:10">
      <c r="D2240" s="8"/>
    </row>
    <row r="2241" spans="2:5">
      <c r="B2241" t="s">
        <v>4267</v>
      </c>
    </row>
    <row r="2242" spans="2:5">
      <c r="B2242" t="s">
        <v>4268</v>
      </c>
    </row>
    <row r="2243" spans="2:5">
      <c r="D2243" t="s">
        <v>4269</v>
      </c>
    </row>
    <row r="2244" spans="2:5">
      <c r="D2244" t="s">
        <v>4270</v>
      </c>
    </row>
    <row r="2245" spans="2:5">
      <c r="D2245" t="s">
        <v>4271</v>
      </c>
    </row>
    <row r="2246" spans="2:5">
      <c r="D2246" t="s">
        <v>4272</v>
      </c>
    </row>
    <row r="2247" spans="2:5">
      <c r="D2247" t="s">
        <v>4273</v>
      </c>
    </row>
    <row r="2248" spans="2:5">
      <c r="D2248" t="s">
        <v>4274</v>
      </c>
    </row>
    <row r="2249" spans="2:5">
      <c r="D2249" t="s">
        <v>4275</v>
      </c>
    </row>
    <row r="2250" spans="2:5">
      <c r="D2250" t="s">
        <v>4276</v>
      </c>
    </row>
    <row r="2251" spans="2:5">
      <c r="E2251" t="s">
        <v>4277</v>
      </c>
    </row>
    <row r="2252" spans="2:5">
      <c r="E2252" t="s">
        <v>4278</v>
      </c>
    </row>
    <row r="2253" spans="2:5">
      <c r="D2253" t="s">
        <v>4279</v>
      </c>
    </row>
    <row r="2255" spans="2:5">
      <c r="B2255" t="s">
        <v>52</v>
      </c>
      <c r="D2255" t="s">
        <v>4280</v>
      </c>
    </row>
    <row r="2256" spans="2:5">
      <c r="D2256" t="s">
        <v>4281</v>
      </c>
    </row>
    <row r="2257" spans="2:5">
      <c r="D2257" t="s">
        <v>4282</v>
      </c>
    </row>
    <row r="2258" spans="2:5">
      <c r="D2258" t="s">
        <v>4283</v>
      </c>
    </row>
    <row r="2259" spans="2:5">
      <c r="D2259" t="s">
        <v>4284</v>
      </c>
    </row>
    <row r="2262" spans="2:5">
      <c r="B2262" t="s">
        <v>97</v>
      </c>
      <c r="D2262" s="2">
        <v>2018</v>
      </c>
    </row>
    <row r="2263" spans="2:5">
      <c r="D2263" t="s">
        <v>4285</v>
      </c>
    </row>
    <row r="2264" spans="2:5">
      <c r="D2264" t="s">
        <v>4286</v>
      </c>
    </row>
    <row r="2265" spans="2:5">
      <c r="D2265" t="s">
        <v>4287</v>
      </c>
    </row>
    <row r="2266" spans="2:5">
      <c r="D2266" t="s">
        <v>4288</v>
      </c>
    </row>
    <row r="2267" spans="2:5">
      <c r="D2267" t="s">
        <v>4289</v>
      </c>
    </row>
    <row r="2268" spans="2:5">
      <c r="D2268" t="s">
        <v>4290</v>
      </c>
    </row>
    <row r="2269" spans="2:5">
      <c r="D2269" t="s">
        <v>4291</v>
      </c>
    </row>
    <row r="2271" spans="2:5">
      <c r="D2271" t="s">
        <v>4292</v>
      </c>
    </row>
    <row r="2272" spans="2:5">
      <c r="E2272" t="s">
        <v>4293</v>
      </c>
    </row>
    <row r="2273" spans="3:6">
      <c r="E2273" t="s">
        <v>4294</v>
      </c>
    </row>
    <row r="2274" spans="3:6">
      <c r="D2274" t="s">
        <v>4295</v>
      </c>
    </row>
    <row r="2275" spans="3:6">
      <c r="D2275">
        <v>64</v>
      </c>
      <c r="E2275" t="s">
        <v>4296</v>
      </c>
    </row>
    <row r="2276" spans="3:6">
      <c r="D2276">
        <v>34</v>
      </c>
      <c r="E2276" t="s">
        <v>4297</v>
      </c>
    </row>
    <row r="2277" spans="3:6">
      <c r="E2277" t="s">
        <v>4298</v>
      </c>
    </row>
    <row r="2278" spans="3:6">
      <c r="D2278" t="s">
        <v>4299</v>
      </c>
    </row>
    <row r="2279" spans="3:6">
      <c r="D2279" t="s">
        <v>4300</v>
      </c>
    </row>
    <row r="2281" spans="3:6">
      <c r="D2281" t="s">
        <v>4301</v>
      </c>
    </row>
    <row r="2282" spans="3:6">
      <c r="D2282" t="s">
        <v>4302</v>
      </c>
    </row>
    <row r="2283" spans="3:6">
      <c r="D2283" t="s">
        <v>4303</v>
      </c>
    </row>
    <row r="2285" spans="3:6">
      <c r="C2285" t="s">
        <v>3351</v>
      </c>
    </row>
    <row r="2286" spans="3:6">
      <c r="D2286">
        <v>2014</v>
      </c>
      <c r="E2286" s="8">
        <v>0.06</v>
      </c>
    </row>
    <row r="2287" spans="3:6">
      <c r="D2287">
        <v>2015</v>
      </c>
      <c r="E2287" s="8">
        <v>0.1</v>
      </c>
    </row>
    <row r="2288" spans="3:6">
      <c r="D2288">
        <v>2016</v>
      </c>
      <c r="E2288" s="8">
        <v>0.17</v>
      </c>
      <c r="F2288" t="s">
        <v>4304</v>
      </c>
    </row>
    <row r="2289" spans="2:5">
      <c r="D2289">
        <v>2017</v>
      </c>
      <c r="E2289" s="527" t="s">
        <v>4246</v>
      </c>
    </row>
    <row r="2290" spans="2:5">
      <c r="D2290">
        <v>2018</v>
      </c>
      <c r="E2290" s="527" t="s">
        <v>4305</v>
      </c>
    </row>
    <row r="2291" spans="2:5">
      <c r="E2291" s="527"/>
    </row>
    <row r="2292" spans="2:5">
      <c r="C2292" t="s">
        <v>57</v>
      </c>
      <c r="D2292" t="s">
        <v>4306</v>
      </c>
      <c r="E2292" s="527"/>
    </row>
    <row r="2294" spans="2:5">
      <c r="B2294" t="s">
        <v>210</v>
      </c>
    </row>
    <row r="2295" spans="2:5">
      <c r="C2295" t="s">
        <v>4307</v>
      </c>
    </row>
    <row r="2296" spans="2:5">
      <c r="D2296" t="s">
        <v>4308</v>
      </c>
    </row>
    <row r="2297" spans="2:5">
      <c r="E2297" t="s">
        <v>4309</v>
      </c>
    </row>
    <row r="2298" spans="2:5">
      <c r="D2298" t="s">
        <v>4310</v>
      </c>
    </row>
    <row r="2299" spans="2:5">
      <c r="D2299" t="s">
        <v>4311</v>
      </c>
    </row>
    <row r="2300" spans="2:5">
      <c r="C2300" t="s">
        <v>4312</v>
      </c>
    </row>
    <row r="2302" spans="2:5">
      <c r="B2302" t="s">
        <v>4313</v>
      </c>
    </row>
    <row r="2303" spans="2:5">
      <c r="B2303" t="s">
        <v>4314</v>
      </c>
    </row>
    <row r="2305" spans="2:5">
      <c r="B2305" s="42" t="s">
        <v>4315</v>
      </c>
    </row>
    <row r="2307" spans="2:5">
      <c r="B2307" s="61"/>
      <c r="C2307" s="130" t="s">
        <v>691</v>
      </c>
      <c r="D2307" s="130">
        <v>2018</v>
      </c>
    </row>
    <row r="2309" spans="2:5">
      <c r="B2309" s="2" t="s">
        <v>1589</v>
      </c>
    </row>
    <row r="2310" spans="2:5">
      <c r="B2310" t="s">
        <v>4316</v>
      </c>
    </row>
    <row r="2311" spans="2:5">
      <c r="B2311" t="s">
        <v>4317</v>
      </c>
    </row>
    <row r="2313" spans="2:5">
      <c r="B2313" t="s">
        <v>4318</v>
      </c>
      <c r="D2313" s="8">
        <v>0.02</v>
      </c>
    </row>
    <row r="2314" spans="2:5">
      <c r="D2314" s="8" t="s">
        <v>4319</v>
      </c>
    </row>
    <row r="2316" spans="2:5">
      <c r="B2316" t="s">
        <v>4320</v>
      </c>
      <c r="E2316" s="8" t="s">
        <v>4321</v>
      </c>
    </row>
    <row r="2318" spans="2:5">
      <c r="B2318" s="61"/>
      <c r="C2318" s="130" t="s">
        <v>691</v>
      </c>
      <c r="D2318" s="130">
        <v>2018</v>
      </c>
    </row>
    <row r="2319" spans="2:5">
      <c r="B2319" t="s">
        <v>94</v>
      </c>
      <c r="C2319" s="3"/>
      <c r="D2319" s="3"/>
    </row>
    <row r="2320" spans="2:5">
      <c r="B2320" t="s">
        <v>33</v>
      </c>
      <c r="D2320" s="3"/>
    </row>
    <row r="2321" spans="2:3">
      <c r="B2321" t="s">
        <v>2117</v>
      </c>
      <c r="C2321" s="3" t="s">
        <v>4322</v>
      </c>
    </row>
    <row r="2323" spans="2:3">
      <c r="B2323" t="s">
        <v>222</v>
      </c>
    </row>
    <row r="2324" spans="2:3">
      <c r="B2324" t="str">
        <f>B2320</f>
        <v>Revenue</v>
      </c>
    </row>
    <row r="2325" spans="2:3">
      <c r="B2325" t="s">
        <v>4323</v>
      </c>
      <c r="C2325" t="s">
        <v>4324</v>
      </c>
    </row>
    <row r="2326" spans="2:3">
      <c r="B2326" t="s">
        <v>34</v>
      </c>
      <c r="C2326" t="s">
        <v>4325</v>
      </c>
    </row>
    <row r="2328" spans="2:3">
      <c r="B2328" s="42" t="s">
        <v>4326</v>
      </c>
    </row>
    <row r="2330" spans="2:3">
      <c r="B2330" t="s">
        <v>4327</v>
      </c>
    </row>
    <row r="2331" spans="2:3">
      <c r="B2331" t="s">
        <v>4328</v>
      </c>
    </row>
    <row r="2332" spans="2:3">
      <c r="B2332" t="s">
        <v>4329</v>
      </c>
    </row>
    <row r="2333" spans="2:3">
      <c r="C2333" t="s">
        <v>4330</v>
      </c>
    </row>
    <row r="2334" spans="2:3">
      <c r="C2334" t="s">
        <v>4331</v>
      </c>
    </row>
    <row r="2335" spans="2:3">
      <c r="C2335" t="s">
        <v>4332</v>
      </c>
    </row>
    <row r="2337" spans="2:3">
      <c r="C2337" t="s">
        <v>4333</v>
      </c>
    </row>
    <row r="2338" spans="2:3">
      <c r="C2338" t="s">
        <v>4334</v>
      </c>
    </row>
    <row r="2340" spans="2:3">
      <c r="B2340" t="s">
        <v>4335</v>
      </c>
      <c r="C2340" t="s">
        <v>4336</v>
      </c>
    </row>
    <row r="2341" spans="2:3">
      <c r="B2341" t="s">
        <v>4337</v>
      </c>
      <c r="C2341" t="s">
        <v>4338</v>
      </c>
    </row>
    <row r="2343" spans="2:3">
      <c r="B2343" t="s">
        <v>4339</v>
      </c>
    </row>
    <row r="2345" spans="2:3">
      <c r="B2345" s="2" t="s">
        <v>4340</v>
      </c>
    </row>
    <row r="2346" spans="2:3">
      <c r="B2346" t="s">
        <v>4341</v>
      </c>
    </row>
    <row r="2347" spans="2:3">
      <c r="B2347" t="s">
        <v>4342</v>
      </c>
    </row>
    <row r="2348" spans="2:3">
      <c r="C2348" t="s">
        <v>4343</v>
      </c>
    </row>
    <row r="2349" spans="2:3">
      <c r="C2349" t="s">
        <v>4344</v>
      </c>
    </row>
    <row r="2350" spans="2:3">
      <c r="B2350" t="s">
        <v>4345</v>
      </c>
    </row>
    <row r="2351" spans="2:3">
      <c r="B2351" t="s">
        <v>4346</v>
      </c>
    </row>
    <row r="2352" spans="2:3">
      <c r="C2352" t="s">
        <v>4347</v>
      </c>
    </row>
    <row r="2353" spans="2:7">
      <c r="C2353" t="s">
        <v>4348</v>
      </c>
    </row>
    <row r="2355" spans="2:7">
      <c r="B2355" s="42" t="s">
        <v>4349</v>
      </c>
    </row>
    <row r="2357" spans="2:7">
      <c r="B2357" t="s">
        <v>52</v>
      </c>
      <c r="D2357" t="s">
        <v>4350</v>
      </c>
    </row>
    <row r="2358" spans="2:7">
      <c r="B2358" t="s">
        <v>4251</v>
      </c>
      <c r="D2358" t="s">
        <v>4351</v>
      </c>
    </row>
    <row r="2359" spans="2:7">
      <c r="B2359" t="s">
        <v>4352</v>
      </c>
      <c r="D2359" t="s">
        <v>4353</v>
      </c>
    </row>
    <row r="2360" spans="2:7">
      <c r="E2360" t="s">
        <v>4354</v>
      </c>
    </row>
    <row r="2361" spans="2:7">
      <c r="E2361" t="s">
        <v>4355</v>
      </c>
    </row>
    <row r="2362" spans="2:7">
      <c r="D2362" t="s">
        <v>1536</v>
      </c>
    </row>
    <row r="2364" spans="2:7">
      <c r="B2364" t="s">
        <v>4356</v>
      </c>
    </row>
    <row r="2365" spans="2:7">
      <c r="B2365" t="s">
        <v>97</v>
      </c>
      <c r="D2365" t="s">
        <v>4357</v>
      </c>
    </row>
    <row r="2366" spans="2:7">
      <c r="B2366" t="s">
        <v>4358</v>
      </c>
    </row>
    <row r="2367" spans="2:7">
      <c r="D2367" t="s">
        <v>97</v>
      </c>
      <c r="E2367" t="s">
        <v>4359</v>
      </c>
    </row>
    <row r="2368" spans="2:7">
      <c r="E2368" t="s">
        <v>4360</v>
      </c>
      <c r="F2368">
        <v>199</v>
      </c>
      <c r="G2368">
        <v>208</v>
      </c>
    </row>
    <row r="2369" spans="2:8">
      <c r="D2369" t="s">
        <v>4361</v>
      </c>
    </row>
    <row r="2370" spans="2:8">
      <c r="D2370" t="s">
        <v>1104</v>
      </c>
      <c r="E2370" s="5">
        <v>42917</v>
      </c>
      <c r="F2370" t="s">
        <v>4362</v>
      </c>
      <c r="H2370" s="8">
        <v>0.05</v>
      </c>
    </row>
    <row r="2371" spans="2:8">
      <c r="E2371" s="5">
        <v>42979</v>
      </c>
      <c r="F2371" t="s">
        <v>4363</v>
      </c>
      <c r="H2371" s="8">
        <v>0.05</v>
      </c>
    </row>
    <row r="2372" spans="2:8">
      <c r="B2372" t="s">
        <v>4364</v>
      </c>
    </row>
    <row r="2373" spans="2:8">
      <c r="D2373" t="s">
        <v>4365</v>
      </c>
    </row>
    <row r="2374" spans="2:8">
      <c r="D2374" t="s">
        <v>4366</v>
      </c>
    </row>
    <row r="2375" spans="2:8">
      <c r="B2375" t="s">
        <v>4367</v>
      </c>
    </row>
    <row r="2376" spans="2:8">
      <c r="D2376" t="s">
        <v>4368</v>
      </c>
    </row>
    <row r="2377" spans="2:8">
      <c r="D2377" t="s">
        <v>4369</v>
      </c>
    </row>
    <row r="2378" spans="2:8">
      <c r="D2378" t="s">
        <v>4370</v>
      </c>
    </row>
    <row r="2379" spans="2:8">
      <c r="D2379" t="s">
        <v>4371</v>
      </c>
    </row>
    <row r="2380" spans="2:8">
      <c r="D2380" t="s">
        <v>4372</v>
      </c>
    </row>
    <row r="2382" spans="2:8">
      <c r="B2382" t="s">
        <v>4373</v>
      </c>
      <c r="D2382" t="s">
        <v>4374</v>
      </c>
    </row>
    <row r="2384" spans="2:8">
      <c r="B2384" s="42" t="s">
        <v>4375</v>
      </c>
    </row>
    <row r="2386" spans="2:3">
      <c r="B2386" t="s">
        <v>4376</v>
      </c>
    </row>
    <row r="2387" spans="2:3">
      <c r="C2387" t="s">
        <v>4377</v>
      </c>
    </row>
    <row r="2389" spans="2:3">
      <c r="B2389" t="s">
        <v>4378</v>
      </c>
    </row>
    <row r="2391" spans="2:3">
      <c r="B2391" t="s">
        <v>4379</v>
      </c>
    </row>
    <row r="2393" spans="2:3">
      <c r="B2393" t="s">
        <v>4380</v>
      </c>
    </row>
    <row r="2394" spans="2:3">
      <c r="C2394" t="s">
        <v>4381</v>
      </c>
    </row>
    <row r="2395" spans="2:3">
      <c r="C2395" t="s">
        <v>4382</v>
      </c>
    </row>
    <row r="2396" spans="2:3">
      <c r="C2396" t="s">
        <v>4383</v>
      </c>
    </row>
    <row r="2398" spans="2:3">
      <c r="B2398" t="s">
        <v>4384</v>
      </c>
    </row>
    <row r="2400" spans="2:3">
      <c r="B2400" t="s">
        <v>4385</v>
      </c>
    </row>
    <row r="2402" spans="2:4">
      <c r="B2402" t="s">
        <v>4386</v>
      </c>
    </row>
    <row r="2403" spans="2:4">
      <c r="C2403" t="s">
        <v>4387</v>
      </c>
    </row>
    <row r="2404" spans="2:4">
      <c r="C2404" t="s">
        <v>1590</v>
      </c>
    </row>
    <row r="2405" spans="2:4">
      <c r="D2405" t="s">
        <v>4388</v>
      </c>
    </row>
    <row r="2406" spans="2:4">
      <c r="C2406" t="s">
        <v>4389</v>
      </c>
    </row>
    <row r="2408" spans="2:4">
      <c r="B2408" t="s">
        <v>4127</v>
      </c>
    </row>
    <row r="2409" spans="2:4">
      <c r="C2409" t="s">
        <v>4390</v>
      </c>
    </row>
    <row r="2411" spans="2:4">
      <c r="B2411" t="s">
        <v>4391</v>
      </c>
    </row>
    <row r="2412" spans="2:4">
      <c r="C2412" s="264" t="s">
        <v>4392</v>
      </c>
    </row>
    <row r="2414" spans="2:4">
      <c r="B2414" t="s">
        <v>4393</v>
      </c>
    </row>
    <row r="2415" spans="2:4">
      <c r="C2415" t="s">
        <v>4394</v>
      </c>
    </row>
    <row r="2417" spans="2:4">
      <c r="B2417" t="s">
        <v>97</v>
      </c>
    </row>
    <row r="2418" spans="2:4">
      <c r="C2418" t="s">
        <v>4167</v>
      </c>
    </row>
    <row r="2419" spans="2:4">
      <c r="C2419" t="s">
        <v>4395</v>
      </c>
    </row>
    <row r="2420" spans="2:4">
      <c r="C2420" t="s">
        <v>4396</v>
      </c>
    </row>
    <row r="2421" spans="2:4">
      <c r="D2421" t="s">
        <v>4397</v>
      </c>
    </row>
    <row r="2422" spans="2:4">
      <c r="C2422" t="s">
        <v>4398</v>
      </c>
    </row>
    <row r="2424" spans="2:4">
      <c r="B2424" t="s">
        <v>94</v>
      </c>
    </row>
    <row r="2425" spans="2:4">
      <c r="C2425" t="s">
        <v>4399</v>
      </c>
    </row>
    <row r="2426" spans="2:4">
      <c r="C2426" t="s">
        <v>4400</v>
      </c>
    </row>
    <row r="2428" spans="2:4">
      <c r="B2428" s="121" t="s">
        <v>4401</v>
      </c>
    </row>
    <row r="2430" spans="2:4">
      <c r="B2430" s="2" t="s">
        <v>2680</v>
      </c>
    </row>
    <row r="2432" spans="2:4">
      <c r="B2432" t="s">
        <v>94</v>
      </c>
    </row>
    <row r="2433" spans="2:3">
      <c r="C2433" t="s">
        <v>4402</v>
      </c>
    </row>
    <row r="2434" spans="2:3">
      <c r="C2434" t="s">
        <v>4403</v>
      </c>
    </row>
    <row r="2435" spans="2:3">
      <c r="C2435" t="s">
        <v>4404</v>
      </c>
    </row>
    <row r="2436" spans="2:3">
      <c r="B2436" t="s">
        <v>4405</v>
      </c>
    </row>
    <row r="2438" spans="2:3">
      <c r="B2438" t="s">
        <v>52</v>
      </c>
    </row>
    <row r="2439" spans="2:3">
      <c r="C2439" t="s">
        <v>4406</v>
      </c>
    </row>
    <row r="2440" spans="2:3">
      <c r="B2440" t="s">
        <v>97</v>
      </c>
    </row>
    <row r="2441" spans="2:3">
      <c r="C2441" t="s">
        <v>4407</v>
      </c>
    </row>
    <row r="2443" spans="2:3">
      <c r="B2443" t="s">
        <v>51</v>
      </c>
    </row>
    <row r="2444" spans="2:3">
      <c r="B2444" t="s">
        <v>4408</v>
      </c>
    </row>
    <row r="2445" spans="2:3">
      <c r="B2445" t="s">
        <v>4409</v>
      </c>
    </row>
    <row r="2446" spans="2:3">
      <c r="C2446" t="s">
        <v>4410</v>
      </c>
    </row>
    <row r="2448" spans="2:3">
      <c r="B2448" t="s">
        <v>4411</v>
      </c>
    </row>
    <row r="2449" spans="2:3">
      <c r="C2449" t="s">
        <v>3092</v>
      </c>
    </row>
    <row r="2450" spans="2:3">
      <c r="C2450" t="s">
        <v>4412</v>
      </c>
    </row>
    <row r="2452" spans="2:3">
      <c r="B2452" t="s">
        <v>4413</v>
      </c>
    </row>
    <row r="2453" spans="2:3">
      <c r="C2453" t="s">
        <v>4414</v>
      </c>
    </row>
    <row r="2454" spans="2:3">
      <c r="C2454" t="s">
        <v>4415</v>
      </c>
    </row>
    <row r="2456" spans="2:3">
      <c r="B2456" t="s">
        <v>1590</v>
      </c>
    </row>
    <row r="2457" spans="2:3">
      <c r="C2457" t="s">
        <v>4416</v>
      </c>
    </row>
    <row r="2458" spans="2:3">
      <c r="C2458" t="s">
        <v>4417</v>
      </c>
    </row>
    <row r="2459" spans="2:3">
      <c r="C2459" t="s">
        <v>4418</v>
      </c>
    </row>
    <row r="2460" spans="2:3">
      <c r="C2460" t="s">
        <v>4419</v>
      </c>
    </row>
    <row r="2461" spans="2:3">
      <c r="C2461" t="s">
        <v>4420</v>
      </c>
    </row>
    <row r="2463" spans="2:3">
      <c r="B2463" t="s">
        <v>4421</v>
      </c>
    </row>
    <row r="2464" spans="2:3">
      <c r="B2464" t="s">
        <v>4422</v>
      </c>
    </row>
    <row r="2465" spans="2:9">
      <c r="C2465">
        <v>2018</v>
      </c>
    </row>
    <row r="2466" spans="2:9">
      <c r="C2466" t="s">
        <v>4423</v>
      </c>
    </row>
    <row r="2467" spans="2:9">
      <c r="C2467" t="s">
        <v>4424</v>
      </c>
    </row>
    <row r="2468" spans="2:9">
      <c r="D2468" t="s">
        <v>4425</v>
      </c>
      <c r="H2468" s="122">
        <f>Content!K37</f>
        <v>1120.2116402116403</v>
      </c>
    </row>
    <row r="2469" spans="2:9">
      <c r="H2469" s="4">
        <f>H2468*1.125</f>
        <v>1260.2380952380954</v>
      </c>
      <c r="I2469" s="4">
        <f>H2469-H2468</f>
        <v>140.0264550264551</v>
      </c>
    </row>
    <row r="2470" spans="2:9">
      <c r="D2470" t="s">
        <v>4426</v>
      </c>
    </row>
    <row r="2471" spans="2:9">
      <c r="D2471" t="s">
        <v>4427</v>
      </c>
    </row>
    <row r="2472" spans="2:9">
      <c r="B2472" t="s">
        <v>35</v>
      </c>
    </row>
    <row r="2473" spans="2:9">
      <c r="B2473" t="s">
        <v>2695</v>
      </c>
      <c r="C2473">
        <v>500</v>
      </c>
    </row>
    <row r="2474" spans="2:9">
      <c r="B2474" t="s">
        <v>2696</v>
      </c>
      <c r="C2474">
        <v>250</v>
      </c>
    </row>
    <row r="2476" spans="2:9">
      <c r="B2476" t="s">
        <v>4428</v>
      </c>
    </row>
    <row r="2477" spans="2:9">
      <c r="C2477" t="s">
        <v>4429</v>
      </c>
    </row>
    <row r="2479" spans="2:9">
      <c r="B2479" s="2" t="s">
        <v>2680</v>
      </c>
    </row>
    <row r="2480" spans="2:9">
      <c r="B2480" t="s">
        <v>4430</v>
      </c>
    </row>
    <row r="2481" spans="2:3">
      <c r="B2481" t="s">
        <v>4431</v>
      </c>
    </row>
    <row r="2482" spans="2:3">
      <c r="C2482" t="s">
        <v>4432</v>
      </c>
    </row>
    <row r="2484" spans="2:3">
      <c r="B2484" t="s">
        <v>52</v>
      </c>
    </row>
    <row r="2485" spans="2:3">
      <c r="B2485" t="s">
        <v>4433</v>
      </c>
    </row>
    <row r="2486" spans="2:3">
      <c r="C2486" t="s">
        <v>4434</v>
      </c>
    </row>
    <row r="2487" spans="2:3">
      <c r="B2487" t="s">
        <v>4435</v>
      </c>
    </row>
    <row r="2489" spans="2:3">
      <c r="B2489" t="s">
        <v>4436</v>
      </c>
    </row>
    <row r="2491" spans="2:3">
      <c r="B2491" t="s">
        <v>4437</v>
      </c>
    </row>
    <row r="2492" spans="2:3">
      <c r="C2492" t="s">
        <v>4438</v>
      </c>
    </row>
    <row r="2494" spans="2:3">
      <c r="B2494" t="s">
        <v>4439</v>
      </c>
    </row>
    <row r="2497" spans="2:5">
      <c r="B2497" t="s">
        <v>4440</v>
      </c>
    </row>
    <row r="2498" spans="2:5">
      <c r="C2498" t="s">
        <v>4441</v>
      </c>
    </row>
    <row r="2499" spans="2:5">
      <c r="C2499" t="s">
        <v>4442</v>
      </c>
    </row>
    <row r="2500" spans="2:5">
      <c r="D2500" t="s">
        <v>4443</v>
      </c>
    </row>
    <row r="2501" spans="2:5">
      <c r="D2501" t="s">
        <v>4444</v>
      </c>
    </row>
    <row r="2502" spans="2:5">
      <c r="E2502" t="s">
        <v>4445</v>
      </c>
    </row>
    <row r="2503" spans="2:5">
      <c r="C2503" t="s">
        <v>4446</v>
      </c>
    </row>
    <row r="2504" spans="2:5">
      <c r="C2504" t="s">
        <v>4447</v>
      </c>
    </row>
    <row r="2506" spans="2:5">
      <c r="B2506" t="s">
        <v>4448</v>
      </c>
    </row>
    <row r="2507" spans="2:5">
      <c r="C2507" t="s">
        <v>4449</v>
      </c>
    </row>
    <row r="2508" spans="2:5">
      <c r="C2508" t="s">
        <v>4450</v>
      </c>
    </row>
    <row r="2510" spans="2:5">
      <c r="B2510" t="s">
        <v>4451</v>
      </c>
    </row>
    <row r="2511" spans="2:5">
      <c r="C2511" t="s">
        <v>4452</v>
      </c>
    </row>
    <row r="2513" spans="2:4">
      <c r="B2513" t="s">
        <v>4405</v>
      </c>
    </row>
    <row r="2514" spans="2:4">
      <c r="C2514" t="s">
        <v>4453</v>
      </c>
    </row>
    <row r="2515" spans="2:4">
      <c r="D2515" t="s">
        <v>4454</v>
      </c>
    </row>
    <row r="2516" spans="2:4">
      <c r="C2516" t="s">
        <v>4455</v>
      </c>
    </row>
    <row r="2517" spans="2:4">
      <c r="C2517" t="s">
        <v>4456</v>
      </c>
    </row>
    <row r="2518" spans="2:4">
      <c r="C2518" t="s">
        <v>4457</v>
      </c>
    </row>
    <row r="2519" spans="2:4">
      <c r="C2519" s="2" t="s">
        <v>4458</v>
      </c>
    </row>
    <row r="2520" spans="2:4">
      <c r="C2520" t="s">
        <v>4459</v>
      </c>
    </row>
    <row r="2521" spans="2:4">
      <c r="B2521" t="s">
        <v>4411</v>
      </c>
    </row>
    <row r="2522" spans="2:4">
      <c r="C2522" t="s">
        <v>4460</v>
      </c>
    </row>
    <row r="2523" spans="2:4">
      <c r="C2523" t="s">
        <v>4461</v>
      </c>
    </row>
    <row r="2524" spans="2:4">
      <c r="D2524" t="s">
        <v>4462</v>
      </c>
    </row>
    <row r="2525" spans="2:4">
      <c r="C2525" t="s">
        <v>4463</v>
      </c>
    </row>
    <row r="2526" spans="2:4">
      <c r="C2526" t="s">
        <v>4464</v>
      </c>
    </row>
    <row r="2528" spans="2:4">
      <c r="B2528" t="s">
        <v>4465</v>
      </c>
    </row>
    <row r="2529" spans="2:4">
      <c r="C2529" t="s">
        <v>4466</v>
      </c>
    </row>
    <row r="2530" spans="2:4">
      <c r="C2530" t="s">
        <v>4467</v>
      </c>
    </row>
    <row r="2531" spans="2:4">
      <c r="D2531" t="s">
        <v>4468</v>
      </c>
    </row>
    <row r="2532" spans="2:4">
      <c r="C2532" t="s">
        <v>4469</v>
      </c>
    </row>
    <row r="2533" spans="2:4">
      <c r="D2533" t="s">
        <v>4470</v>
      </c>
    </row>
    <row r="2534" spans="2:4">
      <c r="B2534" t="s">
        <v>4471</v>
      </c>
    </row>
    <row r="2535" spans="2:4">
      <c r="C2535" t="s">
        <v>4472</v>
      </c>
    </row>
    <row r="2537" spans="2:4">
      <c r="B2537" t="s">
        <v>4411</v>
      </c>
    </row>
    <row r="2538" spans="2:4">
      <c r="C2538" t="s">
        <v>4473</v>
      </c>
    </row>
    <row r="2539" spans="2:4">
      <c r="C2539" t="s">
        <v>4474</v>
      </c>
    </row>
    <row r="2541" spans="2:4">
      <c r="B2541" t="s">
        <v>4475</v>
      </c>
    </row>
    <row r="2543" spans="2:4">
      <c r="B2543" s="121" t="s">
        <v>94</v>
      </c>
    </row>
    <row r="2544" spans="2:4">
      <c r="B2544" t="s">
        <v>1589</v>
      </c>
      <c r="C2544" t="s">
        <v>4476</v>
      </c>
    </row>
    <row r="2545" spans="2:4">
      <c r="D2545" s="8">
        <v>0.03</v>
      </c>
    </row>
    <row r="2546" spans="2:4">
      <c r="C2546" t="s">
        <v>4477</v>
      </c>
    </row>
    <row r="2547" spans="2:4">
      <c r="B2547" t="s">
        <v>4478</v>
      </c>
      <c r="C2547" s="9">
        <v>9.4E-2</v>
      </c>
      <c r="D2547" t="s">
        <v>4479</v>
      </c>
    </row>
    <row r="2548" spans="2:4">
      <c r="C2548" t="s">
        <v>4480</v>
      </c>
    </row>
    <row r="2549" spans="2:4">
      <c r="C2549" t="s">
        <v>4481</v>
      </c>
    </row>
    <row r="2550" spans="2:4">
      <c r="C2550" t="s">
        <v>4482</v>
      </c>
    </row>
    <row r="2551" spans="2:4">
      <c r="B2551" t="s">
        <v>4483</v>
      </c>
      <c r="C2551" t="s">
        <v>4484</v>
      </c>
    </row>
    <row r="2552" spans="2:4">
      <c r="C2552" t="s">
        <v>4485</v>
      </c>
    </row>
    <row r="2553" spans="2:4">
      <c r="C2553" t="s">
        <v>4486</v>
      </c>
    </row>
    <row r="2554" spans="2:4">
      <c r="B2554" t="s">
        <v>4487</v>
      </c>
      <c r="C2554" t="s">
        <v>4488</v>
      </c>
    </row>
    <row r="2555" spans="2:4">
      <c r="C2555" t="s">
        <v>4489</v>
      </c>
    </row>
    <row r="2556" spans="2:4">
      <c r="C2556">
        <v>18.8</v>
      </c>
    </row>
    <row r="2557" spans="2:4">
      <c r="C2557" t="s">
        <v>4490</v>
      </c>
    </row>
    <row r="2559" spans="2:4">
      <c r="B2559" t="s">
        <v>3351</v>
      </c>
      <c r="C2559" t="s">
        <v>4491</v>
      </c>
    </row>
    <row r="2560" spans="2:4">
      <c r="C2560" t="s">
        <v>4492</v>
      </c>
    </row>
    <row r="2561" spans="2:2">
      <c r="B2561" t="s">
        <v>4493</v>
      </c>
    </row>
    <row r="2563" spans="2:2">
      <c r="B2563" s="121" t="s">
        <v>97</v>
      </c>
    </row>
    <row r="2564" spans="2:2">
      <c r="B2564" t="s">
        <v>4494</v>
      </c>
    </row>
    <row r="2565" spans="2:2">
      <c r="B2565" t="s">
        <v>4495</v>
      </c>
    </row>
    <row r="2566" spans="2:2">
      <c r="B2566" t="s">
        <v>4496</v>
      </c>
    </row>
    <row r="2568" spans="2:2">
      <c r="B2568" t="s">
        <v>4497</v>
      </c>
    </row>
    <row r="2569" spans="2:2">
      <c r="B2569" t="s">
        <v>4498</v>
      </c>
    </row>
    <row r="2570" spans="2:2">
      <c r="B2570" t="s">
        <v>4499</v>
      </c>
    </row>
    <row r="2571" spans="2:2">
      <c r="B2571" t="s">
        <v>4500</v>
      </c>
    </row>
    <row r="2573" spans="2:2">
      <c r="B2573" s="42" t="s">
        <v>52</v>
      </c>
    </row>
    <row r="2574" spans="2:2">
      <c r="B2574" t="s">
        <v>4501</v>
      </c>
    </row>
    <row r="2575" spans="2:2">
      <c r="B2575" t="s">
        <v>4502</v>
      </c>
    </row>
    <row r="2576" spans="2:2">
      <c r="B2576" t="s">
        <v>4503</v>
      </c>
    </row>
    <row r="2577" spans="2:3">
      <c r="B2577" t="s">
        <v>4504</v>
      </c>
    </row>
    <row r="2579" spans="2:3">
      <c r="B2579" t="s">
        <v>4505</v>
      </c>
    </row>
    <row r="2580" spans="2:3">
      <c r="B2580" t="s">
        <v>4506</v>
      </c>
    </row>
    <row r="2582" spans="2:3">
      <c r="B2582" t="s">
        <v>107</v>
      </c>
      <c r="C2582" t="s">
        <v>4507</v>
      </c>
    </row>
    <row r="2583" spans="2:3">
      <c r="B2583" t="s">
        <v>4508</v>
      </c>
    </row>
    <row r="2584" spans="2:3">
      <c r="B2584" t="s">
        <v>4509</v>
      </c>
    </row>
    <row r="2586" spans="2:3">
      <c r="B2586" t="s">
        <v>4510</v>
      </c>
    </row>
    <row r="2588" spans="2:3">
      <c r="B2588" s="42" t="s">
        <v>114</v>
      </c>
    </row>
    <row r="2589" spans="2:3">
      <c r="B2589" t="s">
        <v>4511</v>
      </c>
    </row>
    <row r="2590" spans="2:3">
      <c r="B2590" t="s">
        <v>4512</v>
      </c>
    </row>
    <row r="2591" spans="2:3">
      <c r="B2591" t="s">
        <v>4513</v>
      </c>
    </row>
    <row r="2592" spans="2:3">
      <c r="B2592" t="s">
        <v>4514</v>
      </c>
    </row>
    <row r="2594" spans="2:3">
      <c r="B2594" s="121" t="s">
        <v>4515</v>
      </c>
    </row>
    <row r="2596" spans="2:3">
      <c r="B2596" t="s">
        <v>4516</v>
      </c>
    </row>
    <row r="2597" spans="2:3">
      <c r="C2597" t="s">
        <v>4517</v>
      </c>
    </row>
    <row r="2598" spans="2:3">
      <c r="C2598" t="s">
        <v>4518</v>
      </c>
    </row>
    <row r="2599" spans="2:3">
      <c r="C2599" t="s">
        <v>4519</v>
      </c>
    </row>
    <row r="2601" spans="2:3">
      <c r="B2601" t="s">
        <v>4520</v>
      </c>
    </row>
    <row r="2603" spans="2:3">
      <c r="B2603" t="s">
        <v>4521</v>
      </c>
    </row>
    <row r="2604" spans="2:3">
      <c r="C2604" t="s">
        <v>4522</v>
      </c>
    </row>
    <row r="2606" spans="2:3">
      <c r="B2606" t="s">
        <v>4523</v>
      </c>
    </row>
    <row r="2607" spans="2:3">
      <c r="C2607" t="s">
        <v>4524</v>
      </c>
    </row>
    <row r="2609" spans="2:4">
      <c r="B2609" t="s">
        <v>4525</v>
      </c>
    </row>
    <row r="2610" spans="2:4">
      <c r="C2610" t="s">
        <v>4526</v>
      </c>
    </row>
    <row r="2611" spans="2:4">
      <c r="D2611" t="s">
        <v>4527</v>
      </c>
    </row>
    <row r="2612" spans="2:4">
      <c r="C2612" t="s">
        <v>4528</v>
      </c>
    </row>
    <row r="2614" spans="2:4">
      <c r="B2614" s="2" t="s">
        <v>52</v>
      </c>
    </row>
    <row r="2615" spans="2:4">
      <c r="B2615" t="s">
        <v>4529</v>
      </c>
    </row>
    <row r="2616" spans="2:4">
      <c r="B2616" t="s">
        <v>4530</v>
      </c>
    </row>
    <row r="2617" spans="2:4">
      <c r="B2617" t="s">
        <v>4531</v>
      </c>
    </row>
    <row r="2618" spans="2:4">
      <c r="B2618" t="s">
        <v>4532</v>
      </c>
    </row>
    <row r="2620" spans="2:4">
      <c r="B2620" s="2" t="s">
        <v>97</v>
      </c>
    </row>
    <row r="2621" spans="2:4">
      <c r="B2621" t="s">
        <v>4533</v>
      </c>
    </row>
    <row r="2622" spans="2:4">
      <c r="C2622" t="s">
        <v>4534</v>
      </c>
    </row>
    <row r="2623" spans="2:4">
      <c r="C2623" t="s">
        <v>4535</v>
      </c>
    </row>
    <row r="2624" spans="2:4">
      <c r="B2624" t="s">
        <v>4536</v>
      </c>
    </row>
    <row r="2625" spans="2:5">
      <c r="B2625" t="s">
        <v>4537</v>
      </c>
    </row>
    <row r="2626" spans="2:5">
      <c r="C2626" t="s">
        <v>4538</v>
      </c>
    </row>
    <row r="2627" spans="2:5">
      <c r="C2627" t="s">
        <v>4539</v>
      </c>
    </row>
    <row r="2628" spans="2:5">
      <c r="C2628" t="s">
        <v>4540</v>
      </c>
    </row>
    <row r="2630" spans="2:5">
      <c r="B2630" s="2" t="s">
        <v>94</v>
      </c>
    </row>
    <row r="2631" spans="2:5">
      <c r="B2631" t="s">
        <v>4541</v>
      </c>
    </row>
    <row r="2632" spans="2:5">
      <c r="C2632" t="s">
        <v>4542</v>
      </c>
    </row>
    <row r="2633" spans="2:5">
      <c r="C2633" t="s">
        <v>4543</v>
      </c>
    </row>
    <row r="2634" spans="2:5">
      <c r="C2634" t="s">
        <v>4544</v>
      </c>
    </row>
    <row r="2635" spans="2:5">
      <c r="D2635" t="s">
        <v>4545</v>
      </c>
      <c r="E2635" t="s">
        <v>4546</v>
      </c>
    </row>
    <row r="2636" spans="2:5">
      <c r="B2636" t="s">
        <v>4547</v>
      </c>
    </row>
    <row r="2637" spans="2:5">
      <c r="C2637" t="s">
        <v>4548</v>
      </c>
    </row>
    <row r="2639" spans="2:5">
      <c r="C2639" t="s">
        <v>4549</v>
      </c>
    </row>
    <row r="2640" spans="2:5">
      <c r="D2640" t="s">
        <v>4550</v>
      </c>
    </row>
    <row r="2641" spans="2:4">
      <c r="D2641" t="s">
        <v>4551</v>
      </c>
    </row>
    <row r="2642" spans="2:4">
      <c r="C2642" t="s">
        <v>4552</v>
      </c>
    </row>
    <row r="2643" spans="2:4">
      <c r="D2643" t="s">
        <v>4553</v>
      </c>
    </row>
    <row r="2644" spans="2:4">
      <c r="C2644" t="s">
        <v>4554</v>
      </c>
    </row>
    <row r="2646" spans="2:4">
      <c r="B2646" t="s">
        <v>4555</v>
      </c>
    </row>
    <row r="2647" spans="2:4">
      <c r="C2647" t="s">
        <v>4556</v>
      </c>
    </row>
    <row r="2648" spans="2:4">
      <c r="C2648" t="s">
        <v>4557</v>
      </c>
    </row>
    <row r="2649" spans="2:4">
      <c r="B2649" t="s">
        <v>4558</v>
      </c>
    </row>
    <row r="2650" spans="2:4">
      <c r="C2650" t="s">
        <v>4559</v>
      </c>
    </row>
    <row r="2651" spans="2:4">
      <c r="B2651" t="s">
        <v>4560</v>
      </c>
    </row>
    <row r="2653" spans="2:4">
      <c r="B2653" t="s">
        <v>4561</v>
      </c>
    </row>
    <row r="2654" spans="2:4">
      <c r="C2654" t="s">
        <v>4562</v>
      </c>
    </row>
    <row r="2655" spans="2:4">
      <c r="C2655" t="s">
        <v>4563</v>
      </c>
    </row>
    <row r="2657" spans="2:3">
      <c r="B2657" s="2" t="s">
        <v>2680</v>
      </c>
    </row>
    <row r="2659" spans="2:3">
      <c r="B2659" t="s">
        <v>4564</v>
      </c>
    </row>
    <row r="2660" spans="2:3">
      <c r="C2660" t="s">
        <v>4565</v>
      </c>
    </row>
    <row r="2661" spans="2:3">
      <c r="C2661" t="s">
        <v>4566</v>
      </c>
    </row>
    <row r="2663" spans="2:3">
      <c r="B2663" t="s">
        <v>4567</v>
      </c>
    </row>
    <row r="2665" spans="2:3">
      <c r="B2665" s="2" t="s">
        <v>52</v>
      </c>
    </row>
    <row r="2666" spans="2:3">
      <c r="B2666" t="s">
        <v>4568</v>
      </c>
    </row>
    <row r="2667" spans="2:3">
      <c r="B2667" t="s">
        <v>4569</v>
      </c>
    </row>
    <row r="2668" spans="2:3">
      <c r="B2668" t="s">
        <v>4570</v>
      </c>
    </row>
    <row r="2670" spans="2:3">
      <c r="B2670" s="2" t="s">
        <v>4571</v>
      </c>
    </row>
    <row r="2671" spans="2:3">
      <c r="B2671" t="s">
        <v>4572</v>
      </c>
    </row>
    <row r="2672" spans="2:3">
      <c r="B2672" t="s">
        <v>4573</v>
      </c>
    </row>
    <row r="2673" spans="2:3">
      <c r="C2673" t="s">
        <v>4574</v>
      </c>
    </row>
    <row r="2674" spans="2:3">
      <c r="B2674" t="s">
        <v>4575</v>
      </c>
    </row>
    <row r="2675" spans="2:3">
      <c r="C2675" t="s">
        <v>4574</v>
      </c>
    </row>
    <row r="2677" spans="2:3">
      <c r="B2677" s="2" t="s">
        <v>120</v>
      </c>
    </row>
    <row r="2678" spans="2:3">
      <c r="B2678" t="s">
        <v>4576</v>
      </c>
    </row>
    <row r="2679" spans="2:3">
      <c r="B2679" t="s">
        <v>4577</v>
      </c>
    </row>
    <row r="2681" spans="2:3">
      <c r="B2681" s="2" t="s">
        <v>4578</v>
      </c>
    </row>
    <row r="2682" spans="2:3">
      <c r="B2682" t="s">
        <v>4579</v>
      </c>
    </row>
    <row r="2683" spans="2:3">
      <c r="C2683" t="s">
        <v>4580</v>
      </c>
    </row>
    <row r="2684" spans="2:3">
      <c r="B2684" t="s">
        <v>4581</v>
      </c>
    </row>
    <row r="2686" spans="2:3">
      <c r="B2686" t="s">
        <v>4582</v>
      </c>
    </row>
    <row r="2688" spans="2:3">
      <c r="B2688" t="s">
        <v>4583</v>
      </c>
    </row>
    <row r="2689" spans="2:3">
      <c r="C2689" t="s">
        <v>4584</v>
      </c>
    </row>
    <row r="2690" spans="2:3">
      <c r="C2690" t="s">
        <v>4585</v>
      </c>
    </row>
    <row r="2691" spans="2:3">
      <c r="C2691" t="s">
        <v>4586</v>
      </c>
    </row>
    <row r="2692" spans="2:3">
      <c r="C2692" t="s">
        <v>4587</v>
      </c>
    </row>
    <row r="2693" spans="2:3">
      <c r="C2693" t="s">
        <v>4588</v>
      </c>
    </row>
    <row r="2695" spans="2:3">
      <c r="B2695" s="2" t="s">
        <v>2017</v>
      </c>
    </row>
    <row r="2696" spans="2:3">
      <c r="C2696" t="s">
        <v>4589</v>
      </c>
    </row>
    <row r="2699" spans="2:3">
      <c r="B2699" s="2" t="s">
        <v>4590</v>
      </c>
    </row>
    <row r="2702" spans="2:3">
      <c r="B2702" t="s">
        <v>4591</v>
      </c>
    </row>
    <row r="2704" spans="2:3">
      <c r="B2704" s="2" t="s">
        <v>4592</v>
      </c>
    </row>
    <row r="2705" spans="2:4">
      <c r="C2705" t="s">
        <v>4593</v>
      </c>
    </row>
    <row r="2706" spans="2:4">
      <c r="C2706" t="s">
        <v>4594</v>
      </c>
    </row>
    <row r="2707" spans="2:4">
      <c r="C2707" t="s">
        <v>4595</v>
      </c>
    </row>
    <row r="2709" spans="2:4">
      <c r="C2709" t="s">
        <v>2695</v>
      </c>
      <c r="D2709">
        <v>550</v>
      </c>
    </row>
    <row r="2710" spans="2:4">
      <c r="C2710" t="s">
        <v>2696</v>
      </c>
      <c r="D2710">
        <v>250</v>
      </c>
    </row>
    <row r="2711" spans="2:4">
      <c r="C2711" t="s">
        <v>2697</v>
      </c>
      <c r="D2711" s="61">
        <v>150</v>
      </c>
    </row>
    <row r="2712" spans="2:4">
      <c r="D2712">
        <f>SUM(D2709:D2711)</f>
        <v>950</v>
      </c>
    </row>
    <row r="2713" spans="2:4">
      <c r="B2713" t="s">
        <v>4541</v>
      </c>
    </row>
    <row r="2714" spans="2:4">
      <c r="C2714" t="s">
        <v>4596</v>
      </c>
    </row>
    <row r="2715" spans="2:4">
      <c r="B2715" s="2" t="s">
        <v>4597</v>
      </c>
    </row>
    <row r="2716" spans="2:4">
      <c r="C2716" t="s">
        <v>4598</v>
      </c>
    </row>
    <row r="2717" spans="2:4">
      <c r="C2717" t="s">
        <v>4599</v>
      </c>
    </row>
    <row r="2718" spans="2:4">
      <c r="C2718" t="s">
        <v>4600</v>
      </c>
    </row>
    <row r="2719" spans="2:4">
      <c r="C2719" t="s">
        <v>4601</v>
      </c>
    </row>
    <row r="2721" spans="2:4">
      <c r="B2721" t="s">
        <v>4602</v>
      </c>
    </row>
    <row r="2722" spans="2:4">
      <c r="C2722" t="s">
        <v>4603</v>
      </c>
    </row>
    <row r="2723" spans="2:4">
      <c r="C2723" t="s">
        <v>4604</v>
      </c>
    </row>
    <row r="2725" spans="2:4">
      <c r="B2725" s="2" t="s">
        <v>4157</v>
      </c>
    </row>
    <row r="2726" spans="2:4">
      <c r="B2726" t="s">
        <v>4605</v>
      </c>
    </row>
    <row r="2728" spans="2:4">
      <c r="B2728" s="2" t="s">
        <v>4606</v>
      </c>
    </row>
    <row r="2729" spans="2:4">
      <c r="B2729" t="s">
        <v>4607</v>
      </c>
    </row>
    <row r="2730" spans="2:4">
      <c r="C2730" t="s">
        <v>4608</v>
      </c>
    </row>
    <row r="2732" spans="2:4">
      <c r="B2732" t="s">
        <v>4609</v>
      </c>
    </row>
    <row r="2733" spans="2:4">
      <c r="C2733" t="s">
        <v>4610</v>
      </c>
    </row>
    <row r="2735" spans="2:4">
      <c r="C2735" t="s">
        <v>4611</v>
      </c>
    </row>
    <row r="2736" spans="2:4">
      <c r="C2736" t="s">
        <v>4612</v>
      </c>
      <c r="D2736" t="s">
        <v>4613</v>
      </c>
    </row>
    <row r="2737" spans="2:4">
      <c r="C2737" t="s">
        <v>4614</v>
      </c>
      <c r="D2737" t="s">
        <v>2697</v>
      </c>
    </row>
    <row r="2739" spans="2:4">
      <c r="B2739" t="s">
        <v>4615</v>
      </c>
      <c r="C2739" t="s">
        <v>4616</v>
      </c>
    </row>
    <row r="2740" spans="2:4">
      <c r="B2740" t="s">
        <v>4617</v>
      </c>
    </row>
    <row r="2742" spans="2:4">
      <c r="B2742" t="s">
        <v>4618</v>
      </c>
    </row>
    <row r="2743" spans="2:4">
      <c r="B2743" t="s">
        <v>4619</v>
      </c>
    </row>
    <row r="2745" spans="2:4">
      <c r="B2745" t="s">
        <v>4620</v>
      </c>
    </row>
    <row r="2746" spans="2:4">
      <c r="C2746" t="s">
        <v>4621</v>
      </c>
    </row>
    <row r="2747" spans="2:4">
      <c r="C2747" t="s">
        <v>4622</v>
      </c>
    </row>
    <row r="2748" spans="2:4">
      <c r="D2748" t="s">
        <v>4623</v>
      </c>
    </row>
    <row r="2749" spans="2:4">
      <c r="B2749" t="s">
        <v>4624</v>
      </c>
    </row>
    <row r="2751" spans="2:4">
      <c r="B2751" t="s">
        <v>4625</v>
      </c>
    </row>
    <row r="2752" spans="2:4">
      <c r="B2752" t="s">
        <v>4626</v>
      </c>
    </row>
    <row r="2753" spans="2:3">
      <c r="B2753" t="s">
        <v>4627</v>
      </c>
    </row>
    <row r="2755" spans="2:3">
      <c r="B2755" s="2" t="s">
        <v>746</v>
      </c>
    </row>
    <row r="2757" spans="2:3">
      <c r="B2757" t="s">
        <v>4628</v>
      </c>
    </row>
    <row r="2758" spans="2:3">
      <c r="B2758" t="s">
        <v>4629</v>
      </c>
    </row>
    <row r="2759" spans="2:3">
      <c r="B2759" t="s">
        <v>4630</v>
      </c>
    </row>
    <row r="2760" spans="2:3">
      <c r="B2760" t="s">
        <v>4631</v>
      </c>
    </row>
    <row r="2761" spans="2:3">
      <c r="B2761" t="s">
        <v>4632</v>
      </c>
    </row>
    <row r="2763" spans="2:3">
      <c r="B2763" s="2" t="s">
        <v>2961</v>
      </c>
    </row>
    <row r="2764" spans="2:3">
      <c r="B2764" s="121" t="s">
        <v>52</v>
      </c>
    </row>
    <row r="2765" spans="2:3">
      <c r="B2765" t="s">
        <v>4633</v>
      </c>
    </row>
    <row r="2766" spans="2:3">
      <c r="C2766" t="s">
        <v>4634</v>
      </c>
    </row>
    <row r="2767" spans="2:3">
      <c r="C2767" t="s">
        <v>4635</v>
      </c>
    </row>
    <row r="2768" spans="2:3">
      <c r="C2768" t="s">
        <v>4636</v>
      </c>
    </row>
    <row r="2769" spans="2:5">
      <c r="B2769" t="s">
        <v>4637</v>
      </c>
    </row>
    <row r="2770" spans="2:5">
      <c r="B2770" t="s">
        <v>4638</v>
      </c>
    </row>
    <row r="2771" spans="2:5">
      <c r="C2771" t="s">
        <v>4639</v>
      </c>
    </row>
    <row r="2772" spans="2:5">
      <c r="B2772" t="s">
        <v>4640</v>
      </c>
    </row>
    <row r="2773" spans="2:5">
      <c r="C2773" t="s">
        <v>4641</v>
      </c>
    </row>
    <row r="2774" spans="2:5">
      <c r="C2774" t="s">
        <v>4642</v>
      </c>
    </row>
    <row r="2775" spans="2:5">
      <c r="C2775" t="s">
        <v>4643</v>
      </c>
    </row>
    <row r="2776" spans="2:5">
      <c r="B2776" t="s">
        <v>4644</v>
      </c>
    </row>
    <row r="2777" spans="2:5">
      <c r="C2777" t="s">
        <v>4645</v>
      </c>
    </row>
    <row r="2778" spans="2:5">
      <c r="B2778" s="121" t="s">
        <v>97</v>
      </c>
    </row>
    <row r="2779" spans="2:5">
      <c r="B2779" t="s">
        <v>4646</v>
      </c>
    </row>
    <row r="2780" spans="2:5">
      <c r="B2780" t="s">
        <v>4647</v>
      </c>
    </row>
    <row r="2781" spans="2:5">
      <c r="B2781" t="s">
        <v>4648</v>
      </c>
    </row>
    <row r="2782" spans="2:5">
      <c r="B2782" s="5">
        <v>43252</v>
      </c>
    </row>
    <row r="2783" spans="2:5">
      <c r="C2783" t="s">
        <v>4649</v>
      </c>
      <c r="E2783" t="s">
        <v>4650</v>
      </c>
    </row>
    <row r="2784" spans="2:5">
      <c r="B2784" t="s">
        <v>4651</v>
      </c>
    </row>
    <row r="2785" spans="2:3">
      <c r="C2785" t="s">
        <v>4652</v>
      </c>
    </row>
    <row r="2786" spans="2:3">
      <c r="C2786" t="s">
        <v>4653</v>
      </c>
    </row>
    <row r="2787" spans="2:3">
      <c r="C2787" t="s">
        <v>4654</v>
      </c>
    </row>
    <row r="2788" spans="2:3">
      <c r="C2788" t="s">
        <v>4655</v>
      </c>
    </row>
    <row r="2789" spans="2:3">
      <c r="B2789" s="121" t="s">
        <v>94</v>
      </c>
    </row>
    <row r="2790" spans="2:3">
      <c r="B2790" t="s">
        <v>4656</v>
      </c>
    </row>
    <row r="2791" spans="2:3">
      <c r="B2791" t="s">
        <v>4657</v>
      </c>
    </row>
    <row r="2792" spans="2:3">
      <c r="C2792" t="s">
        <v>4658</v>
      </c>
    </row>
    <row r="2793" spans="2:3">
      <c r="B2793" t="s">
        <v>4251</v>
      </c>
    </row>
    <row r="2794" spans="2:3">
      <c r="C2794" t="s">
        <v>4659</v>
      </c>
    </row>
    <row r="2795" spans="2:3">
      <c r="B2795" t="s">
        <v>4660</v>
      </c>
    </row>
    <row r="2796" spans="2:3">
      <c r="C2796" t="s">
        <v>4661</v>
      </c>
    </row>
    <row r="2797" spans="2:3">
      <c r="C2797" t="s">
        <v>4662</v>
      </c>
    </row>
    <row r="2798" spans="2:3">
      <c r="B2798" t="s">
        <v>4663</v>
      </c>
    </row>
    <row r="2799" spans="2:3">
      <c r="B2799" t="s">
        <v>4664</v>
      </c>
    </row>
    <row r="2800" spans="2:3">
      <c r="B2800" s="121" t="s">
        <v>3757</v>
      </c>
    </row>
    <row r="2801" spans="2:4">
      <c r="B2801" t="s">
        <v>4665</v>
      </c>
    </row>
    <row r="2802" spans="2:4">
      <c r="B2802" t="s">
        <v>4666</v>
      </c>
    </row>
    <row r="2803" spans="2:4">
      <c r="B2803" t="s">
        <v>4667</v>
      </c>
    </row>
    <row r="2804" spans="2:4">
      <c r="C2804" t="s">
        <v>4668</v>
      </c>
    </row>
    <row r="2805" spans="2:4">
      <c r="B2805" t="s">
        <v>4669</v>
      </c>
    </row>
    <row r="2806" spans="2:4">
      <c r="C2806" t="s">
        <v>4670</v>
      </c>
      <c r="D2806" s="264" t="s">
        <v>4671</v>
      </c>
    </row>
    <row r="2807" spans="2:4">
      <c r="D2807" s="264" t="s">
        <v>4672</v>
      </c>
    </row>
    <row r="2808" spans="2:4">
      <c r="B2808" t="s">
        <v>4673</v>
      </c>
    </row>
    <row r="2810" spans="2:4">
      <c r="B2810" s="121" t="s">
        <v>2680</v>
      </c>
    </row>
    <row r="2811" spans="2:4">
      <c r="B2811" t="s">
        <v>4674</v>
      </c>
    </row>
    <row r="2812" spans="2:4">
      <c r="C2812" s="2" t="s">
        <v>4675</v>
      </c>
    </row>
    <row r="2813" spans="2:4">
      <c r="C2813" t="s">
        <v>4676</v>
      </c>
    </row>
    <row r="2814" spans="2:4">
      <c r="C2814" t="s">
        <v>4677</v>
      </c>
    </row>
    <row r="2815" spans="2:4">
      <c r="C2815" t="s">
        <v>4678</v>
      </c>
    </row>
    <row r="2816" spans="2:4">
      <c r="B2816" t="s">
        <v>4679</v>
      </c>
    </row>
    <row r="2817" spans="2:3">
      <c r="C2817" t="s">
        <v>4680</v>
      </c>
    </row>
    <row r="2818" spans="2:3">
      <c r="B2818" t="s">
        <v>4681</v>
      </c>
    </row>
    <row r="2820" spans="2:3">
      <c r="B2820" s="121" t="s">
        <v>4682</v>
      </c>
    </row>
    <row r="2821" spans="2:3">
      <c r="C2821" t="s">
        <v>4683</v>
      </c>
    </row>
    <row r="2822" spans="2:3">
      <c r="C2822" t="s">
        <v>4684</v>
      </c>
    </row>
    <row r="2823" spans="2:3">
      <c r="C2823" t="s">
        <v>4685</v>
      </c>
    </row>
    <row r="2824" spans="2:3">
      <c r="B2824" s="121" t="s">
        <v>4251</v>
      </c>
    </row>
    <row r="2825" spans="2:3">
      <c r="C2825" t="s">
        <v>4686</v>
      </c>
    </row>
    <row r="2826" spans="2:3">
      <c r="C2826" t="s">
        <v>4687</v>
      </c>
    </row>
    <row r="2827" spans="2:3">
      <c r="B2827" s="121" t="s">
        <v>4688</v>
      </c>
    </row>
    <row r="2828" spans="2:3">
      <c r="C2828" t="s">
        <v>4689</v>
      </c>
    </row>
    <row r="2829" spans="2:3">
      <c r="C2829" t="s">
        <v>4690</v>
      </c>
    </row>
    <row r="2830" spans="2:3">
      <c r="C2830" t="s">
        <v>4691</v>
      </c>
    </row>
    <row r="2831" spans="2:3">
      <c r="C2831" t="s">
        <v>4692</v>
      </c>
    </row>
    <row r="2832" spans="2:3">
      <c r="B2832" s="121" t="s">
        <v>94</v>
      </c>
    </row>
    <row r="2833" spans="2:3">
      <c r="B2833" t="s">
        <v>4693</v>
      </c>
    </row>
    <row r="2834" spans="2:3">
      <c r="B2834" t="s">
        <v>4694</v>
      </c>
    </row>
    <row r="2835" spans="2:3">
      <c r="C2835" t="s">
        <v>4695</v>
      </c>
    </row>
    <row r="2836" spans="2:3">
      <c r="C2836" t="s">
        <v>4696</v>
      </c>
    </row>
    <row r="2837" spans="2:3">
      <c r="C2837" t="s">
        <v>4697</v>
      </c>
    </row>
    <row r="2838" spans="2:3">
      <c r="B2838" t="s">
        <v>4698</v>
      </c>
    </row>
    <row r="2839" spans="2:3">
      <c r="C2839" t="s">
        <v>4699</v>
      </c>
    </row>
    <row r="2840" spans="2:3">
      <c r="C2840" t="s">
        <v>4700</v>
      </c>
    </row>
    <row r="2841" spans="2:3">
      <c r="B2841" t="s">
        <v>4701</v>
      </c>
    </row>
    <row r="2842" spans="2:3">
      <c r="B2842" t="s">
        <v>4702</v>
      </c>
    </row>
    <row r="2843" spans="2:3">
      <c r="B2843" t="s">
        <v>4703</v>
      </c>
    </row>
    <row r="2844" spans="2:3">
      <c r="B2844" s="121" t="s">
        <v>4704</v>
      </c>
    </row>
    <row r="2845" spans="2:3">
      <c r="C2845" t="s">
        <v>4705</v>
      </c>
    </row>
    <row r="2846" spans="2:3">
      <c r="B2846" s="121" t="s">
        <v>4706</v>
      </c>
    </row>
    <row r="2847" spans="2:3">
      <c r="C2847" t="s">
        <v>4707</v>
      </c>
    </row>
    <row r="2848" spans="2:3">
      <c r="C2848" t="s">
        <v>4708</v>
      </c>
    </row>
    <row r="2851" spans="2:4">
      <c r="B2851" s="564">
        <v>43374</v>
      </c>
    </row>
    <row r="2853" spans="2:4">
      <c r="B2853" t="s">
        <v>4709</v>
      </c>
    </row>
    <row r="2854" spans="2:4">
      <c r="C2854" t="s">
        <v>4710</v>
      </c>
    </row>
    <row r="2855" spans="2:4">
      <c r="C2855" t="s">
        <v>4711</v>
      </c>
    </row>
    <row r="2856" spans="2:4">
      <c r="C2856" t="s">
        <v>4712</v>
      </c>
    </row>
    <row r="2857" spans="2:4">
      <c r="C2857" t="s">
        <v>4713</v>
      </c>
    </row>
    <row r="2858" spans="2:4">
      <c r="B2858" t="s">
        <v>57</v>
      </c>
    </row>
    <row r="2859" spans="2:4">
      <c r="B2859" t="s">
        <v>4714</v>
      </c>
    </row>
    <row r="2860" spans="2:4">
      <c r="C2860" t="s">
        <v>4715</v>
      </c>
    </row>
    <row r="2861" spans="2:4">
      <c r="D2861" t="s">
        <v>4716</v>
      </c>
    </row>
    <row r="2862" spans="2:4">
      <c r="D2862" t="s">
        <v>4717</v>
      </c>
    </row>
    <row r="2863" spans="2:4">
      <c r="D2863" t="s">
        <v>4718</v>
      </c>
    </row>
    <row r="2864" spans="2:4">
      <c r="D2864" t="s">
        <v>4719</v>
      </c>
    </row>
    <row r="2865" spans="2:5">
      <c r="B2865" t="s">
        <v>4720</v>
      </c>
    </row>
    <row r="2866" spans="2:5">
      <c r="C2866" t="s">
        <v>4721</v>
      </c>
    </row>
    <row r="2867" spans="2:5">
      <c r="C2867" t="s">
        <v>4722</v>
      </c>
      <c r="D2867" t="s">
        <v>4723</v>
      </c>
    </row>
    <row r="2868" spans="2:5">
      <c r="D2868" t="s">
        <v>4724</v>
      </c>
    </row>
    <row r="2869" spans="2:5">
      <c r="D2869" t="s">
        <v>4725</v>
      </c>
    </row>
    <row r="2870" spans="2:5">
      <c r="D2870" t="s">
        <v>4726</v>
      </c>
    </row>
    <row r="2871" spans="2:5">
      <c r="D2871" t="s">
        <v>4727</v>
      </c>
    </row>
    <row r="2872" spans="2:5">
      <c r="D2872" t="s">
        <v>4728</v>
      </c>
    </row>
    <row r="2873" spans="2:5">
      <c r="E2873" t="s">
        <v>4729</v>
      </c>
    </row>
    <row r="2874" spans="2:5">
      <c r="D2874" s="4">
        <f>0.05*Master!P13</f>
        <v>1035.95</v>
      </c>
    </row>
    <row r="2875" spans="2:5">
      <c r="D2875" s="8">
        <f>D2874/Master!Q63</f>
        <v>2.8325927951329551E-2</v>
      </c>
    </row>
    <row r="2876" spans="2:5">
      <c r="B2876" t="s">
        <v>4730</v>
      </c>
    </row>
    <row r="2877" spans="2:5">
      <c r="C2877" t="s">
        <v>4731</v>
      </c>
    </row>
    <row r="2878" spans="2:5">
      <c r="C2878" t="s">
        <v>4732</v>
      </c>
    </row>
    <row r="2879" spans="2:5">
      <c r="C2879" t="s">
        <v>4733</v>
      </c>
    </row>
    <row r="2880" spans="2:5">
      <c r="C2880" t="s">
        <v>4734</v>
      </c>
    </row>
    <row r="2881" spans="2:5">
      <c r="D2881" s="401" t="s">
        <v>4735</v>
      </c>
    </row>
    <row r="2882" spans="2:5">
      <c r="D2882" t="s">
        <v>4736</v>
      </c>
    </row>
    <row r="2883" spans="2:5">
      <c r="C2883" s="136">
        <v>2019</v>
      </c>
    </row>
    <row r="2884" spans="2:5">
      <c r="D2884" t="s">
        <v>4737</v>
      </c>
    </row>
    <row r="2885" spans="2:5">
      <c r="D2885" t="s">
        <v>4738</v>
      </c>
    </row>
    <row r="2886" spans="2:5">
      <c r="D2886" t="s">
        <v>4739</v>
      </c>
    </row>
    <row r="2887" spans="2:5">
      <c r="B2887" t="s">
        <v>4740</v>
      </c>
    </row>
    <row r="2888" spans="2:5">
      <c r="C2888" t="s">
        <v>4741</v>
      </c>
    </row>
    <row r="2889" spans="2:5">
      <c r="B2889" t="s">
        <v>3251</v>
      </c>
    </row>
    <row r="2890" spans="2:5">
      <c r="D2890" t="s">
        <v>4742</v>
      </c>
    </row>
    <row r="2891" spans="2:5">
      <c r="D2891" t="s">
        <v>4743</v>
      </c>
    </row>
    <row r="2892" spans="2:5">
      <c r="D2892" t="s">
        <v>4744</v>
      </c>
    </row>
    <row r="2893" spans="2:5">
      <c r="E2893" t="s">
        <v>4745</v>
      </c>
    </row>
    <row r="2894" spans="2:5">
      <c r="E2894" t="s">
        <v>4746</v>
      </c>
    </row>
    <row r="2895" spans="2:5">
      <c r="E2895" t="s">
        <v>4747</v>
      </c>
    </row>
    <row r="2896" spans="2:5">
      <c r="E2896" t="s">
        <v>4748</v>
      </c>
    </row>
    <row r="2897" spans="2:5">
      <c r="B2897" t="s">
        <v>4749</v>
      </c>
    </row>
    <row r="2898" spans="2:5">
      <c r="C2898" t="s">
        <v>1589</v>
      </c>
    </row>
    <row r="2899" spans="2:5">
      <c r="D2899" t="s">
        <v>4750</v>
      </c>
    </row>
    <row r="2900" spans="2:5">
      <c r="D2900" t="s">
        <v>4751</v>
      </c>
    </row>
    <row r="2901" spans="2:5">
      <c r="C2901" t="s">
        <v>4752</v>
      </c>
    </row>
    <row r="2903" spans="2:5">
      <c r="C2903" t="s">
        <v>4167</v>
      </c>
    </row>
    <row r="2905" spans="2:5">
      <c r="B2905" t="s">
        <v>97</v>
      </c>
    </row>
    <row r="2906" spans="2:5">
      <c r="C2906" t="s">
        <v>4753</v>
      </c>
    </row>
    <row r="2907" spans="2:5">
      <c r="C2907" t="s">
        <v>4754</v>
      </c>
    </row>
    <row r="2908" spans="2:5">
      <c r="C2908" t="s">
        <v>4755</v>
      </c>
    </row>
    <row r="2909" spans="2:5">
      <c r="D2909" t="s">
        <v>4756</v>
      </c>
    </row>
    <row r="2910" spans="2:5">
      <c r="D2910" t="s">
        <v>4757</v>
      </c>
    </row>
    <row r="2911" spans="2:5">
      <c r="E2911" t="s">
        <v>4758</v>
      </c>
    </row>
    <row r="2912" spans="2:5">
      <c r="E2912" t="s">
        <v>4759</v>
      </c>
    </row>
    <row r="2913" spans="2:4">
      <c r="D2913" t="s">
        <v>4760</v>
      </c>
    </row>
    <row r="2914" spans="2:4">
      <c r="B2914" t="s">
        <v>52</v>
      </c>
    </row>
    <row r="2915" spans="2:4">
      <c r="C2915" t="s">
        <v>4761</v>
      </c>
    </row>
    <row r="2916" spans="2:4">
      <c r="C2916" t="s">
        <v>4762</v>
      </c>
    </row>
    <row r="2917" spans="2:4">
      <c r="D2917" t="s">
        <v>4763</v>
      </c>
    </row>
    <row r="2918" spans="2:4">
      <c r="C2918" t="s">
        <v>4764</v>
      </c>
    </row>
    <row r="2919" spans="2:4">
      <c r="C2919" t="s">
        <v>4765</v>
      </c>
    </row>
    <row r="2920" spans="2:4">
      <c r="B2920" t="s">
        <v>4766</v>
      </c>
    </row>
    <row r="2921" spans="2:4">
      <c r="C2921" t="s">
        <v>4767</v>
      </c>
    </row>
    <row r="2923" spans="2:4">
      <c r="B2923" s="564" t="s">
        <v>4768</v>
      </c>
    </row>
    <row r="2925" spans="2:4">
      <c r="B2925" s="2" t="s">
        <v>4688</v>
      </c>
    </row>
    <row r="2926" spans="2:4">
      <c r="B2926" t="s">
        <v>4769</v>
      </c>
    </row>
    <row r="2927" spans="2:4">
      <c r="C2927" t="s">
        <v>4770</v>
      </c>
    </row>
    <row r="2928" spans="2:4">
      <c r="B2928" t="s">
        <v>4771</v>
      </c>
    </row>
    <row r="2929" spans="2:4">
      <c r="B2929" t="s">
        <v>4772</v>
      </c>
    </row>
    <row r="2930" spans="2:4">
      <c r="B2930" t="s">
        <v>4773</v>
      </c>
    </row>
    <row r="2931" spans="2:4">
      <c r="C2931" t="s">
        <v>4774</v>
      </c>
    </row>
    <row r="2932" spans="2:4">
      <c r="C2932" t="s">
        <v>4775</v>
      </c>
    </row>
    <row r="2934" spans="2:4">
      <c r="B2934" s="2" t="s">
        <v>1589</v>
      </c>
    </row>
    <row r="2935" spans="2:4">
      <c r="B2935" t="s">
        <v>4776</v>
      </c>
    </row>
    <row r="2936" spans="2:4">
      <c r="B2936" t="s">
        <v>4777</v>
      </c>
    </row>
    <row r="2937" spans="2:4">
      <c r="B2937" t="s">
        <v>4778</v>
      </c>
    </row>
    <row r="2938" spans="2:4">
      <c r="C2938" t="s">
        <v>4779</v>
      </c>
    </row>
    <row r="2939" spans="2:4">
      <c r="C2939" t="s">
        <v>4780</v>
      </c>
    </row>
    <row r="2940" spans="2:4">
      <c r="D2940" t="s">
        <v>4781</v>
      </c>
    </row>
    <row r="2941" spans="2:4">
      <c r="B2941" t="s">
        <v>4782</v>
      </c>
    </row>
    <row r="2942" spans="2:4">
      <c r="C2942" t="s">
        <v>4783</v>
      </c>
    </row>
    <row r="2943" spans="2:4">
      <c r="C2943" t="s">
        <v>4784</v>
      </c>
    </row>
    <row r="2944" spans="2:4">
      <c r="C2944" t="s">
        <v>4785</v>
      </c>
    </row>
    <row r="2945" spans="2:5">
      <c r="B2945" t="s">
        <v>4786</v>
      </c>
    </row>
    <row r="2947" spans="2:5">
      <c r="B2947" s="2" t="s">
        <v>4465</v>
      </c>
    </row>
    <row r="2948" spans="2:5">
      <c r="B2948" t="s">
        <v>4787</v>
      </c>
    </row>
    <row r="2949" spans="2:5">
      <c r="C2949" t="s">
        <v>4788</v>
      </c>
    </row>
    <row r="2950" spans="2:5">
      <c r="B2950" t="s">
        <v>4789</v>
      </c>
    </row>
    <row r="2951" spans="2:5">
      <c r="C2951" t="s">
        <v>4790</v>
      </c>
      <c r="D2951">
        <v>5</v>
      </c>
      <c r="E2951">
        <v>12</v>
      </c>
    </row>
    <row r="2952" spans="2:5">
      <c r="D2952">
        <v>10</v>
      </c>
      <c r="E2952">
        <v>20</v>
      </c>
    </row>
    <row r="2953" spans="2:5">
      <c r="B2953" t="s">
        <v>4791</v>
      </c>
    </row>
    <row r="2954" spans="2:5">
      <c r="C2954" t="s">
        <v>4792</v>
      </c>
    </row>
    <row r="2955" spans="2:5">
      <c r="B2955" t="s">
        <v>4793</v>
      </c>
    </row>
    <row r="2957" spans="2:5">
      <c r="B2957" s="2" t="s">
        <v>210</v>
      </c>
    </row>
    <row r="2958" spans="2:5">
      <c r="B2958" t="s">
        <v>4794</v>
      </c>
    </row>
    <row r="2960" spans="2:5">
      <c r="B2960" s="564" t="s">
        <v>4795</v>
      </c>
    </row>
    <row r="2962" spans="2:3">
      <c r="B2962" s="2" t="s">
        <v>1589</v>
      </c>
    </row>
    <row r="2963" spans="2:3">
      <c r="B2963" t="s">
        <v>4796</v>
      </c>
    </row>
    <row r="2964" spans="2:3">
      <c r="B2964" t="s">
        <v>4797</v>
      </c>
    </row>
    <row r="2965" spans="2:3">
      <c r="C2965" t="s">
        <v>4798</v>
      </c>
    </row>
    <row r="2966" spans="2:3">
      <c r="C2966" t="s">
        <v>4799</v>
      </c>
    </row>
    <row r="2967" spans="2:3">
      <c r="C2967" t="s">
        <v>4800</v>
      </c>
    </row>
    <row r="2968" spans="2:3">
      <c r="C2968" t="s">
        <v>4801</v>
      </c>
    </row>
    <row r="2969" spans="2:3">
      <c r="B2969" t="s">
        <v>4802</v>
      </c>
    </row>
    <row r="2970" spans="2:3">
      <c r="B2970" t="s">
        <v>4803</v>
      </c>
    </row>
    <row r="2971" spans="2:3">
      <c r="B2971" t="s">
        <v>4804</v>
      </c>
    </row>
    <row r="2972" spans="2:3">
      <c r="B2972" t="s">
        <v>4805</v>
      </c>
    </row>
    <row r="2973" spans="2:3">
      <c r="B2973" t="s">
        <v>4806</v>
      </c>
    </row>
    <row r="2975" spans="2:3">
      <c r="B2975" s="431">
        <v>2019</v>
      </c>
    </row>
    <row r="2976" spans="2:3">
      <c r="C2976" t="s">
        <v>4807</v>
      </c>
    </row>
    <row r="2977" spans="2:4">
      <c r="C2977" t="s">
        <v>4808</v>
      </c>
    </row>
    <row r="2978" spans="2:4">
      <c r="B2978" s="2" t="s">
        <v>4244</v>
      </c>
    </row>
    <row r="2979" spans="2:4">
      <c r="C2979" t="s">
        <v>4809</v>
      </c>
    </row>
    <row r="2980" spans="2:4">
      <c r="B2980" s="2" t="s">
        <v>120</v>
      </c>
    </row>
    <row r="2981" spans="2:4">
      <c r="C2981" t="s">
        <v>4810</v>
      </c>
    </row>
    <row r="2982" spans="2:4">
      <c r="C2982" t="s">
        <v>4811</v>
      </c>
    </row>
    <row r="2983" spans="2:4">
      <c r="C2983" t="s">
        <v>4812</v>
      </c>
    </row>
    <row r="2984" spans="2:4">
      <c r="C2984" t="s">
        <v>4813</v>
      </c>
    </row>
    <row r="2985" spans="2:4">
      <c r="D2985" t="s">
        <v>4814</v>
      </c>
    </row>
    <row r="2986" spans="2:4">
      <c r="C2986" t="s">
        <v>4815</v>
      </c>
    </row>
    <row r="2987" spans="2:4">
      <c r="C2987" t="s">
        <v>4816</v>
      </c>
    </row>
    <row r="2988" spans="2:4">
      <c r="B2988" s="2" t="s">
        <v>2852</v>
      </c>
    </row>
    <row r="2989" spans="2:4">
      <c r="C2989" t="s">
        <v>4817</v>
      </c>
    </row>
    <row r="2990" spans="2:4">
      <c r="D2990" t="s">
        <v>4818</v>
      </c>
    </row>
    <row r="2991" spans="2:4">
      <c r="C2991" t="s">
        <v>4819</v>
      </c>
    </row>
    <row r="2992" spans="2:4">
      <c r="C2992">
        <v>2017</v>
      </c>
    </row>
    <row r="2993" spans="2:6">
      <c r="D2993" t="s">
        <v>4820</v>
      </c>
    </row>
    <row r="2994" spans="2:6">
      <c r="C2994">
        <v>2018</v>
      </c>
    </row>
    <row r="2995" spans="2:6">
      <c r="D2995" t="s">
        <v>4821</v>
      </c>
    </row>
    <row r="2996" spans="2:6">
      <c r="D2996" t="s">
        <v>4822</v>
      </c>
    </row>
    <row r="2997" spans="2:6">
      <c r="C2997">
        <v>2017</v>
      </c>
      <c r="D2997" t="s">
        <v>4823</v>
      </c>
    </row>
    <row r="2998" spans="2:6">
      <c r="C2998">
        <v>2018</v>
      </c>
      <c r="D2998" t="s">
        <v>4824</v>
      </c>
    </row>
    <row r="2999" spans="2:6">
      <c r="D2999" t="s">
        <v>4825</v>
      </c>
    </row>
    <row r="3000" spans="2:6">
      <c r="C3000" t="s">
        <v>4826</v>
      </c>
    </row>
    <row r="3001" spans="2:6">
      <c r="B3001" s="2" t="s">
        <v>97</v>
      </c>
    </row>
    <row r="3002" spans="2:6">
      <c r="C3002" t="s">
        <v>4827</v>
      </c>
    </row>
    <row r="3003" spans="2:6">
      <c r="C3003" t="s">
        <v>4828</v>
      </c>
    </row>
    <row r="3004" spans="2:6">
      <c r="D3004" t="s">
        <v>4829</v>
      </c>
    </row>
    <row r="3005" spans="2:6">
      <c r="C3005" t="s">
        <v>4830</v>
      </c>
      <c r="D3005" t="s">
        <v>4831</v>
      </c>
    </row>
    <row r="3006" spans="2:6">
      <c r="C3006" t="s">
        <v>4832</v>
      </c>
      <c r="D3006" t="s">
        <v>4833</v>
      </c>
    </row>
    <row r="3007" spans="2:6">
      <c r="D3007" t="s">
        <v>4834</v>
      </c>
      <c r="F3007" t="s">
        <v>4835</v>
      </c>
    </row>
    <row r="3008" spans="2:6">
      <c r="C3008" t="s">
        <v>4836</v>
      </c>
    </row>
    <row r="3010" spans="2:4">
      <c r="C3010" s="136">
        <v>2019</v>
      </c>
    </row>
    <row r="3011" spans="2:4">
      <c r="D3011" t="s">
        <v>4837</v>
      </c>
    </row>
    <row r="3012" spans="2:4">
      <c r="C3012" t="s">
        <v>4838</v>
      </c>
    </row>
    <row r="3013" spans="2:4">
      <c r="C3013" t="s">
        <v>4839</v>
      </c>
    </row>
    <row r="3014" spans="2:4">
      <c r="B3014" t="s">
        <v>52</v>
      </c>
    </row>
    <row r="3016" spans="2:4">
      <c r="B3016" s="565" t="s">
        <v>1949</v>
      </c>
    </row>
    <row r="3017" spans="2:4">
      <c r="B3017" s="564" t="s">
        <v>4840</v>
      </c>
    </row>
    <row r="3019" spans="2:4">
      <c r="B3019" t="s">
        <v>1589</v>
      </c>
    </row>
    <row r="3020" spans="2:4">
      <c r="C3020" t="s">
        <v>4841</v>
      </c>
    </row>
    <row r="3021" spans="2:4">
      <c r="C3021" t="s">
        <v>4842</v>
      </c>
    </row>
    <row r="3022" spans="2:4">
      <c r="C3022" t="s">
        <v>4843</v>
      </c>
    </row>
    <row r="3023" spans="2:4">
      <c r="B3023" t="s">
        <v>4844</v>
      </c>
    </row>
    <row r="3024" spans="2:4">
      <c r="B3024" t="s">
        <v>4845</v>
      </c>
    </row>
    <row r="3025" spans="2:8">
      <c r="C3025" t="s">
        <v>4846</v>
      </c>
    </row>
    <row r="3026" spans="2:8">
      <c r="B3026" t="s">
        <v>4847</v>
      </c>
    </row>
    <row r="3027" spans="2:8">
      <c r="C3027" t="s">
        <v>4848</v>
      </c>
    </row>
    <row r="3028" spans="2:8">
      <c r="C3028" t="s">
        <v>4849</v>
      </c>
    </row>
    <row r="3029" spans="2:8">
      <c r="B3029" t="s">
        <v>120</v>
      </c>
    </row>
    <row r="3030" spans="2:8">
      <c r="C3030" t="s">
        <v>4850</v>
      </c>
    </row>
    <row r="3031" spans="2:8">
      <c r="C3031" t="s">
        <v>4851</v>
      </c>
    </row>
    <row r="3032" spans="2:8">
      <c r="D3032" t="s">
        <v>4852</v>
      </c>
    </row>
    <row r="3033" spans="2:8">
      <c r="D3033" t="s">
        <v>4853</v>
      </c>
    </row>
    <row r="3034" spans="2:8">
      <c r="D3034" t="s">
        <v>4854</v>
      </c>
      <c r="G3034">
        <v>60</v>
      </c>
      <c r="H3034" s="4">
        <f>G3034*0.1645</f>
        <v>9.870000000000001</v>
      </c>
    </row>
    <row r="3035" spans="2:8">
      <c r="C3035" s="136">
        <v>2019</v>
      </c>
    </row>
    <row r="3036" spans="2:8">
      <c r="D3036" t="s">
        <v>4855</v>
      </c>
    </row>
    <row r="3037" spans="2:8">
      <c r="B3037" t="s">
        <v>4856</v>
      </c>
    </row>
    <row r="3038" spans="2:8">
      <c r="C3038" t="s">
        <v>4857</v>
      </c>
    </row>
    <row r="3039" spans="2:8">
      <c r="D3039" t="s">
        <v>4858</v>
      </c>
    </row>
    <row r="3040" spans="2:8">
      <c r="B3040" t="s">
        <v>1104</v>
      </c>
      <c r="C3040" t="s">
        <v>4859</v>
      </c>
    </row>
    <row r="3041" spans="2:9">
      <c r="C3041" t="s">
        <v>4860</v>
      </c>
    </row>
    <row r="3042" spans="2:9">
      <c r="B3042" t="s">
        <v>481</v>
      </c>
      <c r="C3042" t="s">
        <v>4861</v>
      </c>
    </row>
    <row r="3043" spans="2:9">
      <c r="D3043" t="s">
        <v>4862</v>
      </c>
    </row>
    <row r="3044" spans="2:9">
      <c r="D3044" t="s">
        <v>4863</v>
      </c>
      <c r="G3044">
        <f>15/365</f>
        <v>4.1095890410958902E-2</v>
      </c>
      <c r="H3044">
        <f>G3044*1900</f>
        <v>78.082191780821915</v>
      </c>
      <c r="I3044">
        <f>Interims!AS14-H3044</f>
        <v>9439.6178082191782</v>
      </c>
    </row>
    <row r="3045" spans="2:9">
      <c r="C3045" t="s">
        <v>4864</v>
      </c>
      <c r="I3045" s="10">
        <f>I3044/Interims!AN14-1</f>
        <v>9.8536909334354883E-2</v>
      </c>
    </row>
    <row r="3046" spans="2:9">
      <c r="B3046" t="s">
        <v>97</v>
      </c>
    </row>
    <row r="3047" spans="2:9">
      <c r="C3047" t="s">
        <v>4865</v>
      </c>
    </row>
    <row r="3048" spans="2:9">
      <c r="B3048" t="s">
        <v>4866</v>
      </c>
    </row>
    <row r="3049" spans="2:9">
      <c r="C3049" t="s">
        <v>4867</v>
      </c>
    </row>
    <row r="3050" spans="2:9">
      <c r="C3050" t="s">
        <v>4868</v>
      </c>
    </row>
    <row r="3051" spans="2:9">
      <c r="C3051" t="s">
        <v>4869</v>
      </c>
    </row>
    <row r="3052" spans="2:9">
      <c r="C3052" t="s">
        <v>4870</v>
      </c>
    </row>
    <row r="3054" spans="2:9">
      <c r="C3054" t="s">
        <v>4871</v>
      </c>
    </row>
    <row r="3055" spans="2:9">
      <c r="B3055" t="s">
        <v>35</v>
      </c>
    </row>
    <row r="3056" spans="2:9">
      <c r="C3056" t="s">
        <v>4872</v>
      </c>
    </row>
    <row r="3057" spans="2:3">
      <c r="C3057" t="s">
        <v>4873</v>
      </c>
    </row>
    <row r="3058" spans="2:3">
      <c r="B3058" t="s">
        <v>4874</v>
      </c>
    </row>
    <row r="3059" spans="2:3">
      <c r="C3059" t="s">
        <v>4875</v>
      </c>
    </row>
    <row r="3060" spans="2:3">
      <c r="B3060" t="s">
        <v>4876</v>
      </c>
    </row>
    <row r="3061" spans="2:3">
      <c r="B3061" t="s">
        <v>4877</v>
      </c>
    </row>
    <row r="3063" spans="2:3">
      <c r="B3063" s="565" t="s">
        <v>748</v>
      </c>
    </row>
    <row r="3065" spans="2:3">
      <c r="B3065" t="s">
        <v>4878</v>
      </c>
    </row>
    <row r="3066" spans="2:3">
      <c r="C3066" t="s">
        <v>4879</v>
      </c>
    </row>
    <row r="3067" spans="2:3">
      <c r="B3067" t="s">
        <v>4880</v>
      </c>
    </row>
    <row r="3069" spans="2:3">
      <c r="B3069" t="s">
        <v>4881</v>
      </c>
    </row>
    <row r="3071" spans="2:3">
      <c r="B3071" t="s">
        <v>52</v>
      </c>
    </row>
    <row r="3072" spans="2:3">
      <c r="C3072" t="s">
        <v>4882</v>
      </c>
    </row>
    <row r="3073" spans="2:6">
      <c r="B3073" t="s">
        <v>120</v>
      </c>
    </row>
    <row r="3074" spans="2:6">
      <c r="C3074" t="s">
        <v>4883</v>
      </c>
    </row>
    <row r="3075" spans="2:6">
      <c r="C3075" t="s">
        <v>4884</v>
      </c>
    </row>
    <row r="3076" spans="2:6">
      <c r="C3076" t="s">
        <v>4885</v>
      </c>
    </row>
    <row r="3077" spans="2:6">
      <c r="C3077" t="s">
        <v>4886</v>
      </c>
    </row>
    <row r="3078" spans="2:6">
      <c r="D3078" t="s">
        <v>4887</v>
      </c>
    </row>
    <row r="3079" spans="2:6">
      <c r="D3079" t="s">
        <v>4888</v>
      </c>
    </row>
    <row r="3080" spans="2:6">
      <c r="B3080" t="s">
        <v>4889</v>
      </c>
    </row>
    <row r="3081" spans="2:6">
      <c r="C3081" t="s">
        <v>4890</v>
      </c>
    </row>
    <row r="3082" spans="2:6">
      <c r="C3082" t="s">
        <v>4891</v>
      </c>
    </row>
    <row r="3083" spans="2:6">
      <c r="B3083" t="s">
        <v>35</v>
      </c>
    </row>
    <row r="3084" spans="2:6">
      <c r="C3084" t="s">
        <v>4892</v>
      </c>
    </row>
    <row r="3085" spans="2:6">
      <c r="D3085" t="s">
        <v>4893</v>
      </c>
      <c r="F3085" t="s">
        <v>4894</v>
      </c>
    </row>
    <row r="3086" spans="2:6">
      <c r="D3086" t="s">
        <v>4895</v>
      </c>
      <c r="F3086" t="s">
        <v>4896</v>
      </c>
    </row>
    <row r="3087" spans="2:6">
      <c r="C3087" t="s">
        <v>4897</v>
      </c>
    </row>
    <row r="3088" spans="2:6">
      <c r="C3088" t="s">
        <v>4898</v>
      </c>
    </row>
    <row r="3089" spans="2:3">
      <c r="B3089" t="s">
        <v>4899</v>
      </c>
    </row>
    <row r="3090" spans="2:3">
      <c r="C3090" t="s">
        <v>4900</v>
      </c>
    </row>
    <row r="3092" spans="2:3">
      <c r="B3092" t="s">
        <v>4901</v>
      </c>
    </row>
    <row r="3093" spans="2:3">
      <c r="C3093" t="s">
        <v>4902</v>
      </c>
    </row>
    <row r="3094" spans="2:3">
      <c r="C3094" t="s">
        <v>4903</v>
      </c>
    </row>
    <row r="3096" spans="2:3">
      <c r="B3096" s="121" t="s">
        <v>4157</v>
      </c>
    </row>
    <row r="3098" spans="2:3">
      <c r="B3098" t="s">
        <v>4904</v>
      </c>
    </row>
    <row r="3099" spans="2:3">
      <c r="B3099" t="s">
        <v>4905</v>
      </c>
    </row>
    <row r="3100" spans="2:3">
      <c r="C3100" t="s">
        <v>4906</v>
      </c>
    </row>
    <row r="3102" spans="2:3">
      <c r="B3102" s="565" t="s">
        <v>749</v>
      </c>
    </row>
    <row r="3104" spans="2:3">
      <c r="B3104" t="s">
        <v>4177</v>
      </c>
      <c r="C3104" t="s">
        <v>4907</v>
      </c>
    </row>
    <row r="3105" spans="2:7">
      <c r="D3105" t="s">
        <v>4908</v>
      </c>
    </row>
    <row r="3106" spans="2:7">
      <c r="C3106" t="s">
        <v>4909</v>
      </c>
    </row>
    <row r="3108" spans="2:7" ht="15.75">
      <c r="B3108" s="66" t="s">
        <v>4910</v>
      </c>
      <c r="C3108" s="388" t="s">
        <v>4541</v>
      </c>
      <c r="D3108" s="388" t="s">
        <v>4911</v>
      </c>
      <c r="E3108" s="388" t="s">
        <v>4912</v>
      </c>
      <c r="F3108" s="388" t="s">
        <v>4244</v>
      </c>
      <c r="G3108" s="388" t="s">
        <v>692</v>
      </c>
    </row>
    <row r="3109" spans="2:7" ht="15.75">
      <c r="B3109" s="66">
        <v>2018</v>
      </c>
      <c r="C3109" s="516">
        <v>0.3</v>
      </c>
      <c r="D3109" s="516">
        <v>0.2</v>
      </c>
      <c r="E3109" s="516">
        <v>0.35</v>
      </c>
      <c r="F3109" s="516">
        <f>G3109-C3109-D3109-E3109</f>
        <v>0.14999999999999997</v>
      </c>
      <c r="G3109" s="69">
        <v>1</v>
      </c>
    </row>
    <row r="3110" spans="2:7" ht="15.75">
      <c r="B3110" s="66">
        <v>2019</v>
      </c>
      <c r="C3110" s="69">
        <v>0.1</v>
      </c>
      <c r="D3110" s="69">
        <v>0.1</v>
      </c>
      <c r="E3110" s="69">
        <v>0.4</v>
      </c>
      <c r="F3110" s="516">
        <f>G3110-C3110-D3110-E3110</f>
        <v>0.4</v>
      </c>
      <c r="G3110" s="69">
        <v>1</v>
      </c>
    </row>
    <row r="3111" spans="2:7" ht="15.75">
      <c r="B3111" s="66"/>
      <c r="C3111" s="69"/>
      <c r="D3111" s="69"/>
      <c r="E3111" s="69"/>
      <c r="F3111" s="69"/>
      <c r="G3111" s="66"/>
    </row>
    <row r="3112" spans="2:7" ht="15.75">
      <c r="B3112" s="66" t="s">
        <v>4913</v>
      </c>
      <c r="C3112" s="66"/>
      <c r="D3112" s="66"/>
      <c r="E3112" s="66"/>
      <c r="F3112" s="66"/>
      <c r="G3112" s="66"/>
    </row>
    <row r="3113" spans="2:7" ht="15.75">
      <c r="B3113" s="66">
        <f>B3109</f>
        <v>2018</v>
      </c>
      <c r="C3113" s="112">
        <f t="shared" ref="C3113:F3114" si="0">$G3113*C3109</f>
        <v>3.4499999999999997</v>
      </c>
      <c r="D3113" s="112">
        <f t="shared" si="0"/>
        <v>2.3000000000000003</v>
      </c>
      <c r="E3113" s="112">
        <f t="shared" si="0"/>
        <v>4.0249999999999995</v>
      </c>
      <c r="F3113" s="112">
        <f t="shared" si="0"/>
        <v>1.7249999999999996</v>
      </c>
      <c r="G3113" s="112">
        <v>11.5</v>
      </c>
    </row>
    <row r="3114" spans="2:7" ht="15.75">
      <c r="B3114" s="66">
        <f>B3110</f>
        <v>2019</v>
      </c>
      <c r="C3114" s="112">
        <f t="shared" si="0"/>
        <v>0.57500000000000007</v>
      </c>
      <c r="D3114" s="112">
        <f t="shared" si="0"/>
        <v>0.57500000000000007</v>
      </c>
      <c r="E3114" s="112">
        <f t="shared" si="0"/>
        <v>2.3000000000000003</v>
      </c>
      <c r="F3114" s="112">
        <f t="shared" si="0"/>
        <v>2.3000000000000003</v>
      </c>
      <c r="G3114" s="112">
        <f>G3113*(1+G3115)</f>
        <v>5.75</v>
      </c>
    </row>
    <row r="3115" spans="2:7" ht="15.75">
      <c r="B3115" s="111" t="s">
        <v>732</v>
      </c>
      <c r="C3115" s="69">
        <f>C3114/C3113-1</f>
        <v>-0.83333333333333326</v>
      </c>
      <c r="D3115" s="69">
        <f>D3114/D3113-1</f>
        <v>-0.75</v>
      </c>
      <c r="E3115" s="69">
        <f>E3114/E3113-1</f>
        <v>-0.42857142857142838</v>
      </c>
      <c r="F3115" s="69">
        <f>F3114/F3113-1</f>
        <v>0.3333333333333337</v>
      </c>
      <c r="G3115" s="567">
        <v>-0.5</v>
      </c>
    </row>
    <row r="3117" spans="2:7" ht="15.75">
      <c r="B3117" s="66" t="s">
        <v>4914</v>
      </c>
    </row>
    <row r="3118" spans="2:7" ht="15.75">
      <c r="B3118" s="66">
        <f>B3113</f>
        <v>2018</v>
      </c>
      <c r="C3118" s="258">
        <v>22</v>
      </c>
      <c r="D3118" s="258">
        <v>24</v>
      </c>
      <c r="E3118" s="258">
        <v>22</v>
      </c>
      <c r="F3118" s="112">
        <f>G3118-C3118-D3118-E3118</f>
        <v>20.5</v>
      </c>
      <c r="G3118" s="112">
        <f>100-G3113</f>
        <v>88.5</v>
      </c>
    </row>
    <row r="3119" spans="2:7" ht="15.75">
      <c r="B3119" s="66">
        <f>B3114</f>
        <v>2019</v>
      </c>
      <c r="C3119" s="258">
        <v>21.5</v>
      </c>
      <c r="D3119" s="258">
        <v>21.25</v>
      </c>
      <c r="E3119" s="258">
        <v>22.5</v>
      </c>
      <c r="F3119" s="112">
        <f>G3119-C3119-D3119-E3119</f>
        <v>21.480000000000004</v>
      </c>
      <c r="G3119" s="112">
        <f>(1+G3120)*G3118</f>
        <v>86.73</v>
      </c>
    </row>
    <row r="3120" spans="2:7" ht="15.75">
      <c r="B3120" s="111" t="s">
        <v>732</v>
      </c>
      <c r="C3120" s="116">
        <f>C3119/C3118-1</f>
        <v>-2.2727272727272707E-2</v>
      </c>
      <c r="D3120" s="116">
        <f>D3119/D3118-1</f>
        <v>-0.11458333333333337</v>
      </c>
      <c r="E3120" s="116">
        <f>E3119/E3118-1</f>
        <v>2.2727272727272707E-2</v>
      </c>
      <c r="F3120" s="116">
        <f>F3119/F3118-1</f>
        <v>4.7804878048780752E-2</v>
      </c>
      <c r="G3120" s="566">
        <v>-0.02</v>
      </c>
    </row>
    <row r="3121" spans="2:7" ht="15.75">
      <c r="C3121" s="66"/>
      <c r="D3121" s="66"/>
      <c r="E3121" s="66"/>
      <c r="F3121" s="66"/>
      <c r="G3121" s="66"/>
    </row>
    <row r="3122" spans="2:7" ht="15.75">
      <c r="B3122" s="66" t="s">
        <v>4915</v>
      </c>
      <c r="C3122" s="66"/>
      <c r="D3122" s="66"/>
      <c r="E3122" s="66"/>
      <c r="F3122" s="66"/>
      <c r="G3122" s="66"/>
    </row>
    <row r="3123" spans="2:7" ht="15.75">
      <c r="B3123" s="66">
        <f>B3118</f>
        <v>2018</v>
      </c>
      <c r="C3123" s="112">
        <f t="shared" ref="C3123:G3124" si="1">(C3118+C3113)</f>
        <v>25.45</v>
      </c>
      <c r="D3123" s="112">
        <f t="shared" si="1"/>
        <v>26.3</v>
      </c>
      <c r="E3123" s="112">
        <f t="shared" si="1"/>
        <v>26.024999999999999</v>
      </c>
      <c r="F3123" s="112">
        <f t="shared" si="1"/>
        <v>22.225000000000001</v>
      </c>
      <c r="G3123" s="112">
        <f t="shared" si="1"/>
        <v>100</v>
      </c>
    </row>
    <row r="3124" spans="2:7" ht="15.75">
      <c r="B3124" s="66">
        <f>B3119</f>
        <v>2019</v>
      </c>
      <c r="C3124" s="112">
        <f t="shared" si="1"/>
        <v>22.074999999999999</v>
      </c>
      <c r="D3124" s="112">
        <f t="shared" si="1"/>
        <v>21.824999999999999</v>
      </c>
      <c r="E3124" s="112">
        <f t="shared" si="1"/>
        <v>24.8</v>
      </c>
      <c r="F3124" s="112">
        <f t="shared" si="1"/>
        <v>23.780000000000005</v>
      </c>
      <c r="G3124" s="112">
        <f t="shared" si="1"/>
        <v>92.48</v>
      </c>
    </row>
    <row r="3125" spans="2:7" ht="15.75">
      <c r="B3125" s="111" t="str">
        <f>B3120</f>
        <v>y/y</v>
      </c>
      <c r="C3125" s="69">
        <f>C3124/C3123-1</f>
        <v>-0.13261296660117883</v>
      </c>
      <c r="D3125" s="69">
        <f>D3124/D3123-1</f>
        <v>-0.17015209125475295</v>
      </c>
      <c r="E3125" s="69">
        <f>E3124/E3123-1</f>
        <v>-4.7070124879923125E-2</v>
      </c>
      <c r="F3125" s="69">
        <f>F3124/F3123-1</f>
        <v>6.996625421822289E-2</v>
      </c>
      <c r="G3125" s="116">
        <f>G3124/G3123-1</f>
        <v>-7.5199999999999934E-2</v>
      </c>
    </row>
    <row r="3126" spans="2:7" ht="16.5">
      <c r="B3126" s="111"/>
      <c r="C3126" s="115"/>
      <c r="D3126" s="115"/>
      <c r="E3126" s="115"/>
      <c r="F3126" s="115"/>
      <c r="G3126" s="115"/>
    </row>
    <row r="3127" spans="2:7" ht="15.75">
      <c r="B3127" s="387" t="s">
        <v>732</v>
      </c>
      <c r="C3127" s="388" t="s">
        <v>749</v>
      </c>
      <c r="D3127" s="388" t="s">
        <v>750</v>
      </c>
      <c r="E3127" s="388" t="s">
        <v>751</v>
      </c>
      <c r="F3127" s="388" t="s">
        <v>752</v>
      </c>
      <c r="G3127" s="388" t="s">
        <v>4916</v>
      </c>
    </row>
    <row r="3128" spans="2:7" ht="15.75">
      <c r="B3128" s="142" t="s">
        <v>4917</v>
      </c>
      <c r="C3128" s="69">
        <f>C3115</f>
        <v>-0.83333333333333326</v>
      </c>
      <c r="D3128" s="69">
        <f>D3115</f>
        <v>-0.75</v>
      </c>
      <c r="E3128" s="69">
        <f>E3115</f>
        <v>-0.42857142857142838</v>
      </c>
      <c r="F3128" s="69">
        <f>F3115</f>
        <v>0.3333333333333337</v>
      </c>
      <c r="G3128" s="69">
        <f>G3115</f>
        <v>-0.5</v>
      </c>
    </row>
    <row r="3129" spans="2:7" ht="15.75">
      <c r="B3129" s="142" t="s">
        <v>4918</v>
      </c>
      <c r="C3129" s="116">
        <f>C3120</f>
        <v>-2.2727272727272707E-2</v>
      </c>
      <c r="D3129" s="116">
        <f>D3120</f>
        <v>-0.11458333333333337</v>
      </c>
      <c r="E3129" s="116">
        <f>E3120</f>
        <v>2.2727272727272707E-2</v>
      </c>
      <c r="F3129" s="116">
        <f>F3120</f>
        <v>4.7804878048780752E-2</v>
      </c>
      <c r="G3129" s="116">
        <f>G3120</f>
        <v>-0.02</v>
      </c>
    </row>
    <row r="3130" spans="2:7" ht="15.75">
      <c r="B3130" s="142" t="s">
        <v>4915</v>
      </c>
      <c r="C3130" s="116">
        <f>C3125</f>
        <v>-0.13261296660117883</v>
      </c>
      <c r="D3130" s="116">
        <f>D3125</f>
        <v>-0.17015209125475295</v>
      </c>
      <c r="E3130" s="116">
        <f>E3125</f>
        <v>-4.7070124879923125E-2</v>
      </c>
      <c r="F3130" s="116">
        <f>F3125</f>
        <v>6.996625421822289E-2</v>
      </c>
      <c r="G3130" s="116">
        <f>G3125</f>
        <v>-7.5199999999999934E-2</v>
      </c>
    </row>
    <row r="3131" spans="2:7" ht="16.5">
      <c r="B3131" s="142"/>
      <c r="C3131" s="115"/>
      <c r="D3131" s="115"/>
      <c r="E3131" s="115"/>
      <c r="F3131" s="115"/>
      <c r="G3131" s="115"/>
    </row>
    <row r="3132" spans="2:7" ht="15.75">
      <c r="B3132" s="387" t="s">
        <v>4919</v>
      </c>
      <c r="C3132" s="388" t="str">
        <f>C3127</f>
        <v>Q1 19</v>
      </c>
      <c r="D3132" s="388" t="str">
        <f>D3127</f>
        <v>Q2 19</v>
      </c>
      <c r="E3132" s="388" t="str">
        <f>E3127</f>
        <v>Q3 19</v>
      </c>
      <c r="F3132" s="388" t="str">
        <f>F3127</f>
        <v>Q4 19</v>
      </c>
      <c r="G3132" s="388" t="str">
        <f>G3127</f>
        <v>FY 19</v>
      </c>
    </row>
    <row r="3133" spans="2:7" ht="15.75">
      <c r="B3133" s="142" t="s">
        <v>4917</v>
      </c>
      <c r="C3133" s="116">
        <f>(C3114-C3113)/(C3124-C3123)</f>
        <v>0.85185185185185175</v>
      </c>
      <c r="D3133" s="116">
        <f>(D3114-D3113)/(D3124-D3123)</f>
        <v>0.3854748603351954</v>
      </c>
      <c r="E3133" s="116">
        <f>(E3114-E3113)/(E3124-E3123)</f>
        <v>1.4081632653061242</v>
      </c>
      <c r="F3133" s="116">
        <f>(F3114-F3113)/(F3124-F3123)</f>
        <v>0.36977491961414755</v>
      </c>
      <c r="G3133" s="116">
        <f>(G3114-G3113)/(G3124-G3123)</f>
        <v>0.76462765957446854</v>
      </c>
    </row>
    <row r="3134" spans="2:7" ht="15.75">
      <c r="B3134" s="142" t="s">
        <v>4845</v>
      </c>
      <c r="C3134" s="116">
        <f>(C3119-C3118)/(C3124-C3123)</f>
        <v>0.14814814814814814</v>
      </c>
      <c r="D3134" s="116">
        <f>(D3119-D3118)/(D3124-D3123)</f>
        <v>0.61452513966480427</v>
      </c>
      <c r="E3134" s="116">
        <f>(E3119-E3118)/(E3124-E3123)</f>
        <v>-0.40816326530612318</v>
      </c>
      <c r="F3134" s="116">
        <f>(F3119-F3118)/(F3124-F3123)</f>
        <v>0.63022508038585334</v>
      </c>
      <c r="G3134" s="116">
        <f>(G3119-G3118)/(G3124-G3123)</f>
        <v>0.23537234042553151</v>
      </c>
    </row>
    <row r="3135" spans="2:7" ht="16.5">
      <c r="B3135" s="111"/>
      <c r="C3135" s="115"/>
      <c r="D3135" s="115"/>
      <c r="E3135" s="115"/>
      <c r="F3135" s="115"/>
      <c r="G3135" s="115"/>
    </row>
    <row r="3136" spans="2:7">
      <c r="C3136" t="s">
        <v>4920</v>
      </c>
    </row>
    <row r="3137" spans="2:4">
      <c r="C3137" t="s">
        <v>4921</v>
      </c>
    </row>
    <row r="3138" spans="2:4">
      <c r="C3138" t="s">
        <v>4922</v>
      </c>
    </row>
    <row r="3139" spans="2:4">
      <c r="B3139" t="s">
        <v>916</v>
      </c>
    </row>
    <row r="3140" spans="2:4">
      <c r="C3140" t="s">
        <v>4923</v>
      </c>
    </row>
    <row r="3141" spans="2:4">
      <c r="C3141" t="s">
        <v>4924</v>
      </c>
    </row>
    <row r="3142" spans="2:4">
      <c r="B3142" t="s">
        <v>120</v>
      </c>
    </row>
    <row r="3143" spans="2:4">
      <c r="C3143" t="s">
        <v>4925</v>
      </c>
    </row>
    <row r="3144" spans="2:4">
      <c r="C3144" t="s">
        <v>4926</v>
      </c>
    </row>
    <row r="3145" spans="2:4">
      <c r="D3145" t="s">
        <v>4927</v>
      </c>
    </row>
    <row r="3146" spans="2:4">
      <c r="D3146" t="s">
        <v>4928</v>
      </c>
    </row>
    <row r="3147" spans="2:4">
      <c r="C3147" t="s">
        <v>4929</v>
      </c>
    </row>
    <row r="3148" spans="2:4">
      <c r="D3148" t="s">
        <v>4930</v>
      </c>
    </row>
    <row r="3149" spans="2:4">
      <c r="B3149" t="s">
        <v>52</v>
      </c>
    </row>
    <row r="3150" spans="2:4">
      <c r="C3150" t="s">
        <v>4931</v>
      </c>
    </row>
    <row r="3151" spans="2:4">
      <c r="C3151" t="s">
        <v>4932</v>
      </c>
    </row>
    <row r="3152" spans="2:4">
      <c r="D3152" t="s">
        <v>4933</v>
      </c>
    </row>
    <row r="3153" spans="2:4">
      <c r="D3153" t="s">
        <v>4934</v>
      </c>
    </row>
    <row r="3154" spans="2:4">
      <c r="D3154" t="s">
        <v>4935</v>
      </c>
    </row>
    <row r="3155" spans="2:4">
      <c r="B3155" t="s">
        <v>97</v>
      </c>
    </row>
    <row r="3156" spans="2:4">
      <c r="C3156" t="s">
        <v>4936</v>
      </c>
    </row>
    <row r="3157" spans="2:4">
      <c r="C3157" t="s">
        <v>4937</v>
      </c>
    </row>
    <row r="3158" spans="2:4">
      <c r="C3158" t="s">
        <v>4938</v>
      </c>
    </row>
    <row r="3159" spans="2:4">
      <c r="C3159" t="s">
        <v>4939</v>
      </c>
    </row>
    <row r="3160" spans="2:4">
      <c r="D3160" t="s">
        <v>4940</v>
      </c>
    </row>
    <row r="3161" spans="2:4">
      <c r="B3161" t="s">
        <v>35</v>
      </c>
    </row>
    <row r="3162" spans="2:4">
      <c r="C3162" t="s">
        <v>4941</v>
      </c>
    </row>
    <row r="3163" spans="2:4">
      <c r="B3163" t="s">
        <v>2998</v>
      </c>
    </row>
    <row r="3164" spans="2:4">
      <c r="C3164" t="s">
        <v>4942</v>
      </c>
    </row>
    <row r="3165" spans="2:4">
      <c r="D3165" t="s">
        <v>4943</v>
      </c>
    </row>
    <row r="3166" spans="2:4">
      <c r="D3166" t="s">
        <v>4944</v>
      </c>
    </row>
    <row r="3167" spans="2:4">
      <c r="C3167" t="s">
        <v>4945</v>
      </c>
    </row>
    <row r="3168" spans="2:4">
      <c r="B3168" t="s">
        <v>4946</v>
      </c>
    </row>
    <row r="3169" spans="2:3">
      <c r="C3169" t="s">
        <v>4947</v>
      </c>
    </row>
    <row r="3170" spans="2:3">
      <c r="C3170" t="s">
        <v>4948</v>
      </c>
    </row>
    <row r="3171" spans="2:3">
      <c r="C3171" t="s">
        <v>4949</v>
      </c>
    </row>
    <row r="3172" spans="2:3">
      <c r="C3172" t="s">
        <v>4950</v>
      </c>
    </row>
    <row r="3174" spans="2:3">
      <c r="B3174" s="121" t="s">
        <v>749</v>
      </c>
    </row>
    <row r="3176" spans="2:3">
      <c r="B3176" s="121" t="s">
        <v>4951</v>
      </c>
    </row>
    <row r="3178" spans="2:3">
      <c r="B3178" t="s">
        <v>4952</v>
      </c>
    </row>
    <row r="3179" spans="2:3">
      <c r="B3179" t="s">
        <v>4953</v>
      </c>
    </row>
    <row r="3181" spans="2:3">
      <c r="B3181" t="s">
        <v>4954</v>
      </c>
    </row>
    <row r="3182" spans="2:3">
      <c r="B3182" t="s">
        <v>1194</v>
      </c>
      <c r="C3182" t="s">
        <v>4955</v>
      </c>
    </row>
    <row r="3183" spans="2:3">
      <c r="C3183" t="s">
        <v>4956</v>
      </c>
    </row>
    <row r="3184" spans="2:3">
      <c r="B3184" t="s">
        <v>4957</v>
      </c>
    </row>
    <row r="3185" spans="1:8">
      <c r="C3185" t="s">
        <v>4958</v>
      </c>
    </row>
    <row r="3186" spans="1:8">
      <c r="C3186" t="s">
        <v>4959</v>
      </c>
    </row>
    <row r="3187" spans="1:8">
      <c r="C3187" t="s">
        <v>4960</v>
      </c>
    </row>
    <row r="3189" spans="1:8">
      <c r="B3189" s="565" t="s">
        <v>749</v>
      </c>
    </row>
    <row r="3191" spans="1:8">
      <c r="B3191" s="2" t="s">
        <v>94</v>
      </c>
    </row>
    <row r="3192" spans="1:8">
      <c r="B3192" t="s">
        <v>4961</v>
      </c>
      <c r="C3192" t="s">
        <v>4962</v>
      </c>
    </row>
    <row r="3193" spans="1:8">
      <c r="A3193" t="s">
        <v>3129</v>
      </c>
      <c r="C3193" t="s">
        <v>4963</v>
      </c>
    </row>
    <row r="3195" spans="1:8">
      <c r="H3195" t="s">
        <v>57</v>
      </c>
    </row>
    <row r="3196" spans="1:8">
      <c r="B3196" t="s">
        <v>4964</v>
      </c>
      <c r="C3196" t="s">
        <v>4965</v>
      </c>
    </row>
    <row r="3197" spans="1:8">
      <c r="B3197" t="s">
        <v>34</v>
      </c>
      <c r="C3197" t="s">
        <v>4966</v>
      </c>
    </row>
    <row r="3198" spans="1:8">
      <c r="B3198" t="s">
        <v>4967</v>
      </c>
    </row>
    <row r="3200" spans="1:8">
      <c r="B3200" t="s">
        <v>4968</v>
      </c>
    </row>
    <row r="3201" spans="1:5">
      <c r="C3201" t="s">
        <v>4969</v>
      </c>
    </row>
    <row r="3202" spans="1:5">
      <c r="C3202" t="s">
        <v>4970</v>
      </c>
    </row>
    <row r="3203" spans="1:5">
      <c r="D3203" t="s">
        <v>57</v>
      </c>
    </row>
    <row r="3204" spans="1:5">
      <c r="B3204" s="2" t="s">
        <v>120</v>
      </c>
    </row>
    <row r="3205" spans="1:5">
      <c r="C3205" t="s">
        <v>4971</v>
      </c>
    </row>
    <row r="3206" spans="1:5">
      <c r="C3206" t="s">
        <v>4972</v>
      </c>
    </row>
    <row r="3207" spans="1:5">
      <c r="C3207" t="s">
        <v>4973</v>
      </c>
    </row>
    <row r="3208" spans="1:5">
      <c r="C3208" t="s">
        <v>4974</v>
      </c>
    </row>
    <row r="3209" spans="1:5">
      <c r="D3209">
        <f>Interims!AT210</f>
        <v>383.6</v>
      </c>
      <c r="E3209">
        <f>Interims!AU210</f>
        <v>88</v>
      </c>
    </row>
    <row r="3210" spans="1:5">
      <c r="E3210" s="8">
        <f>E3209/D3209</f>
        <v>0.22940563086548488</v>
      </c>
    </row>
    <row r="3211" spans="1:5">
      <c r="B3211" s="2" t="s">
        <v>97</v>
      </c>
      <c r="C3211" t="s">
        <v>57</v>
      </c>
    </row>
    <row r="3212" spans="1:5">
      <c r="C3212" t="s">
        <v>4975</v>
      </c>
    </row>
    <row r="3213" spans="1:5">
      <c r="A3213" t="s">
        <v>3129</v>
      </c>
      <c r="C3213" t="s">
        <v>4976</v>
      </c>
    </row>
    <row r="3214" spans="1:5">
      <c r="A3214" t="s">
        <v>3129</v>
      </c>
      <c r="D3214" t="s">
        <v>4977</v>
      </c>
    </row>
    <row r="3215" spans="1:5">
      <c r="D3215" t="s">
        <v>4978</v>
      </c>
    </row>
    <row r="3216" spans="1:5">
      <c r="D3216" t="s">
        <v>4979</v>
      </c>
    </row>
    <row r="3217" spans="1:4">
      <c r="A3217" t="s">
        <v>4980</v>
      </c>
      <c r="C3217" t="s">
        <v>4981</v>
      </c>
    </row>
    <row r="3218" spans="1:4">
      <c r="C3218" t="s">
        <v>4982</v>
      </c>
    </row>
    <row r="3219" spans="1:4">
      <c r="D3219" t="s">
        <v>4983</v>
      </c>
    </row>
    <row r="3220" spans="1:4">
      <c r="B3220" s="2" t="s">
        <v>52</v>
      </c>
    </row>
    <row r="3221" spans="1:4">
      <c r="C3221" t="s">
        <v>4984</v>
      </c>
    </row>
    <row r="3222" spans="1:4">
      <c r="D3222" t="s">
        <v>4985</v>
      </c>
    </row>
    <row r="3223" spans="1:4">
      <c r="C3223" t="s">
        <v>4986</v>
      </c>
    </row>
    <row r="3224" spans="1:4">
      <c r="D3224" t="s">
        <v>4987</v>
      </c>
    </row>
    <row r="3225" spans="1:4">
      <c r="C3225" t="s">
        <v>4988</v>
      </c>
    </row>
    <row r="3226" spans="1:4">
      <c r="D3226" t="s">
        <v>4989</v>
      </c>
    </row>
    <row r="3227" spans="1:4">
      <c r="C3227" t="s">
        <v>4990</v>
      </c>
    </row>
    <row r="3228" spans="1:4">
      <c r="C3228" t="s">
        <v>4991</v>
      </c>
    </row>
    <row r="3229" spans="1:4">
      <c r="C3229" t="s">
        <v>4992</v>
      </c>
    </row>
    <row r="3230" spans="1:4">
      <c r="D3230" t="s">
        <v>4993</v>
      </c>
    </row>
    <row r="3231" spans="1:4">
      <c r="B3231" t="s">
        <v>35</v>
      </c>
    </row>
    <row r="3232" spans="1:4">
      <c r="C3232" t="s">
        <v>4994</v>
      </c>
    </row>
    <row r="3233" spans="2:4">
      <c r="C3233" t="s">
        <v>4995</v>
      </c>
    </row>
    <row r="3236" spans="2:4">
      <c r="B3236" s="2" t="s">
        <v>4996</v>
      </c>
    </row>
    <row r="3237" spans="2:4">
      <c r="C3237" t="s">
        <v>4997</v>
      </c>
    </row>
    <row r="3238" spans="2:4">
      <c r="C3238" t="s">
        <v>4998</v>
      </c>
    </row>
    <row r="3239" spans="2:4">
      <c r="D3239" t="s">
        <v>4999</v>
      </c>
    </row>
    <row r="3241" spans="2:4">
      <c r="C3241" t="s">
        <v>5000</v>
      </c>
    </row>
    <row r="3242" spans="2:4">
      <c r="B3242" s="2" t="s">
        <v>5001</v>
      </c>
    </row>
    <row r="3244" spans="2:4">
      <c r="B3244" s="2" t="s">
        <v>2680</v>
      </c>
    </row>
    <row r="3245" spans="2:4">
      <c r="B3245" t="s">
        <v>5002</v>
      </c>
    </row>
    <row r="3246" spans="2:4">
      <c r="B3246" t="s">
        <v>5003</v>
      </c>
    </row>
    <row r="3247" spans="2:4">
      <c r="B3247" t="s">
        <v>5004</v>
      </c>
    </row>
    <row r="3248" spans="2:4">
      <c r="C3248" t="s">
        <v>5005</v>
      </c>
    </row>
    <row r="3249" spans="2:3">
      <c r="B3249" t="s">
        <v>5006</v>
      </c>
    </row>
    <row r="3250" spans="2:3">
      <c r="C3250" t="s">
        <v>5007</v>
      </c>
    </row>
    <row r="3251" spans="2:3">
      <c r="B3251" t="s">
        <v>5008</v>
      </c>
    </row>
    <row r="3252" spans="2:3">
      <c r="C3252" t="s">
        <v>5009</v>
      </c>
    </row>
    <row r="3253" spans="2:3">
      <c r="B3253" s="2" t="s">
        <v>4957</v>
      </c>
    </row>
    <row r="3254" spans="2:3">
      <c r="C3254" t="s">
        <v>5010</v>
      </c>
    </row>
    <row r="3255" spans="2:3">
      <c r="C3255" t="s">
        <v>5011</v>
      </c>
    </row>
    <row r="3256" spans="2:3">
      <c r="C3256" t="s">
        <v>5012</v>
      </c>
    </row>
    <row r="3257" spans="2:3">
      <c r="B3257" s="2" t="s">
        <v>5013</v>
      </c>
    </row>
    <row r="3258" spans="2:3">
      <c r="C3258" t="s">
        <v>5014</v>
      </c>
    </row>
    <row r="3260" spans="2:3">
      <c r="B3260" s="2" t="s">
        <v>5015</v>
      </c>
    </row>
    <row r="3262" spans="2:3">
      <c r="B3262" t="s">
        <v>5016</v>
      </c>
    </row>
    <row r="3263" spans="2:3">
      <c r="B3263" t="s">
        <v>5017</v>
      </c>
    </row>
    <row r="3264" spans="2:3">
      <c r="C3264" t="s">
        <v>5018</v>
      </c>
    </row>
    <row r="3266" spans="2:3">
      <c r="B3266" s="2" t="s">
        <v>5019</v>
      </c>
    </row>
    <row r="3268" spans="2:3">
      <c r="B3268" t="s">
        <v>5020</v>
      </c>
    </row>
    <row r="3269" spans="2:3">
      <c r="C3269" t="s">
        <v>5021</v>
      </c>
    </row>
    <row r="3270" spans="2:3">
      <c r="C3270" t="s">
        <v>5022</v>
      </c>
    </row>
    <row r="3271" spans="2:3">
      <c r="B3271" t="s">
        <v>5023</v>
      </c>
    </row>
    <row r="3272" spans="2:3">
      <c r="C3272" t="s">
        <v>5024</v>
      </c>
    </row>
    <row r="3273" spans="2:3">
      <c r="C3273" t="s">
        <v>5025</v>
      </c>
    </row>
    <row r="3274" spans="2:3">
      <c r="B3274" t="s">
        <v>120</v>
      </c>
    </row>
    <row r="3275" spans="2:3">
      <c r="C3275" t="s">
        <v>5026</v>
      </c>
    </row>
    <row r="3276" spans="2:3">
      <c r="B3276" t="s">
        <v>2633</v>
      </c>
    </row>
    <row r="3277" spans="2:3">
      <c r="C3277" t="s">
        <v>5027</v>
      </c>
    </row>
    <row r="3278" spans="2:3">
      <c r="C3278" t="s">
        <v>5028</v>
      </c>
    </row>
    <row r="3279" spans="2:3">
      <c r="B3279" t="s">
        <v>97</v>
      </c>
    </row>
    <row r="3280" spans="2:3">
      <c r="C3280" t="s">
        <v>5029</v>
      </c>
    </row>
    <row r="3281" spans="2:4">
      <c r="C3281" t="s">
        <v>5030</v>
      </c>
    </row>
    <row r="3282" spans="2:4">
      <c r="B3282" t="s">
        <v>5031</v>
      </c>
    </row>
    <row r="3283" spans="2:4">
      <c r="C3283" t="s">
        <v>5032</v>
      </c>
    </row>
    <row r="3284" spans="2:4">
      <c r="B3284" t="s">
        <v>5033</v>
      </c>
    </row>
    <row r="3285" spans="2:4">
      <c r="C3285" t="s">
        <v>5034</v>
      </c>
    </row>
    <row r="3286" spans="2:4">
      <c r="C3286" t="s">
        <v>5035</v>
      </c>
    </row>
    <row r="3287" spans="2:4">
      <c r="C3287" t="s">
        <v>5036</v>
      </c>
    </row>
    <row r="3288" spans="2:4">
      <c r="B3288" t="s">
        <v>5037</v>
      </c>
    </row>
    <row r="3289" spans="2:4">
      <c r="C3289" t="s">
        <v>5038</v>
      </c>
    </row>
    <row r="3290" spans="2:4">
      <c r="C3290" t="s">
        <v>5039</v>
      </c>
    </row>
    <row r="3291" spans="2:4">
      <c r="B3291" t="s">
        <v>171</v>
      </c>
    </row>
    <row r="3292" spans="2:4">
      <c r="C3292" t="s">
        <v>5040</v>
      </c>
    </row>
    <row r="3293" spans="2:4">
      <c r="D3293" t="s">
        <v>5041</v>
      </c>
    </row>
    <row r="3294" spans="2:4">
      <c r="C3294" t="s">
        <v>5042</v>
      </c>
    </row>
    <row r="3295" spans="2:4">
      <c r="C3295" t="s">
        <v>5043</v>
      </c>
    </row>
    <row r="3296" spans="2:4">
      <c r="C3296" t="s">
        <v>5044</v>
      </c>
    </row>
    <row r="3297" spans="2:4">
      <c r="D3297" t="s">
        <v>5045</v>
      </c>
    </row>
    <row r="3298" spans="2:4">
      <c r="B3298" t="s">
        <v>2849</v>
      </c>
    </row>
    <row r="3299" spans="2:4">
      <c r="C3299" t="s">
        <v>5046</v>
      </c>
    </row>
    <row r="3300" spans="2:4">
      <c r="B3300" t="s">
        <v>5047</v>
      </c>
    </row>
    <row r="3301" spans="2:4">
      <c r="B3301" t="s">
        <v>5048</v>
      </c>
    </row>
    <row r="3302" spans="2:4">
      <c r="C3302" t="s">
        <v>5049</v>
      </c>
    </row>
    <row r="3303" spans="2:4">
      <c r="C3303" t="s">
        <v>5050</v>
      </c>
    </row>
    <row r="3304" spans="2:4">
      <c r="B3304" t="s">
        <v>5051</v>
      </c>
    </row>
    <row r="3305" spans="2:4">
      <c r="C3305" t="s">
        <v>5052</v>
      </c>
    </row>
    <row r="3306" spans="2:4">
      <c r="B3306" t="s">
        <v>5053</v>
      </c>
    </row>
    <row r="3307" spans="2:4">
      <c r="C3307" t="s">
        <v>5054</v>
      </c>
    </row>
    <row r="3309" spans="2:4">
      <c r="B3309" s="121" t="s">
        <v>750</v>
      </c>
    </row>
    <row r="3311" spans="2:4">
      <c r="B3311" t="s">
        <v>5055</v>
      </c>
    </row>
    <row r="3312" spans="2:4">
      <c r="B3312" t="s">
        <v>5056</v>
      </c>
    </row>
    <row r="3314" spans="2:5">
      <c r="B3314" t="s">
        <v>1589</v>
      </c>
    </row>
    <row r="3315" spans="2:5">
      <c r="C3315" t="s">
        <v>5057</v>
      </c>
    </row>
    <row r="3316" spans="2:5">
      <c r="C3316" t="s">
        <v>5058</v>
      </c>
    </row>
    <row r="3317" spans="2:5">
      <c r="D3317" t="s">
        <v>5059</v>
      </c>
    </row>
    <row r="3318" spans="2:5">
      <c r="D3318" t="s">
        <v>5060</v>
      </c>
    </row>
    <row r="3319" spans="2:5">
      <c r="C3319" t="s">
        <v>5061</v>
      </c>
    </row>
    <row r="3320" spans="2:5">
      <c r="D3320" t="s">
        <v>5062</v>
      </c>
    </row>
    <row r="3321" spans="2:5">
      <c r="D3321" t="s">
        <v>5063</v>
      </c>
    </row>
    <row r="3322" spans="2:5">
      <c r="C3322" t="s">
        <v>5064</v>
      </c>
    </row>
    <row r="3323" spans="2:5">
      <c r="D3323" s="264" t="s">
        <v>5065</v>
      </c>
    </row>
    <row r="3324" spans="2:5">
      <c r="E3324" s="264" t="s">
        <v>5066</v>
      </c>
    </row>
    <row r="3325" spans="2:5">
      <c r="C3325" t="s">
        <v>5067</v>
      </c>
    </row>
    <row r="3326" spans="2:5">
      <c r="B3326" t="s">
        <v>5023</v>
      </c>
    </row>
    <row r="3327" spans="2:5">
      <c r="C3327" t="s">
        <v>5068</v>
      </c>
    </row>
    <row r="3329" spans="2:5">
      <c r="B3329" s="61" t="s">
        <v>4847</v>
      </c>
      <c r="C3329" s="130" t="s">
        <v>5069</v>
      </c>
      <c r="D3329" s="130" t="s">
        <v>5070</v>
      </c>
    </row>
    <row r="3330" spans="2:5">
      <c r="B3330" t="s">
        <v>94</v>
      </c>
      <c r="C3330" s="3"/>
      <c r="D3330" s="3"/>
    </row>
    <row r="3331" spans="2:5">
      <c r="B3331" t="s">
        <v>85</v>
      </c>
      <c r="C3331" s="3"/>
      <c r="D3331" s="527">
        <v>-0.02</v>
      </c>
      <c r="E3331" t="s">
        <v>5071</v>
      </c>
    </row>
    <row r="3332" spans="2:5">
      <c r="B3332" t="s">
        <v>1589</v>
      </c>
      <c r="C3332" s="10">
        <v>-4.5999999999999999E-2</v>
      </c>
      <c r="D3332" s="568" t="s">
        <v>5072</v>
      </c>
      <c r="E3332" s="264" t="s">
        <v>5073</v>
      </c>
    </row>
    <row r="3333" spans="2:5">
      <c r="B3333" t="s">
        <v>2117</v>
      </c>
      <c r="D3333" s="3" t="s">
        <v>5074</v>
      </c>
    </row>
    <row r="3335" spans="2:5">
      <c r="B3335" t="s">
        <v>5075</v>
      </c>
      <c r="C3335" t="s">
        <v>5076</v>
      </c>
    </row>
    <row r="3336" spans="2:5">
      <c r="D3336" t="s">
        <v>5077</v>
      </c>
    </row>
    <row r="3337" spans="2:5">
      <c r="D3337" t="s">
        <v>5078</v>
      </c>
    </row>
    <row r="3338" spans="2:5">
      <c r="B3338" t="s">
        <v>52</v>
      </c>
      <c r="C3338" t="s">
        <v>5079</v>
      </c>
    </row>
    <row r="3339" spans="2:5">
      <c r="B3339" t="s">
        <v>1040</v>
      </c>
      <c r="C3339" t="s">
        <v>5080</v>
      </c>
    </row>
    <row r="3341" spans="2:5">
      <c r="B3341" t="s">
        <v>5081</v>
      </c>
    </row>
    <row r="3343" spans="2:5">
      <c r="B3343" s="121" t="s">
        <v>5082</v>
      </c>
    </row>
    <row r="3345" spans="2:3">
      <c r="B3345" s="121" t="s">
        <v>4157</v>
      </c>
    </row>
    <row r="3346" spans="2:3">
      <c r="B3346" t="s">
        <v>171</v>
      </c>
    </row>
    <row r="3348" spans="2:3">
      <c r="B3348" t="s">
        <v>5083</v>
      </c>
    </row>
    <row r="3350" spans="2:3">
      <c r="B3350" t="s">
        <v>5084</v>
      </c>
    </row>
    <row r="3351" spans="2:3">
      <c r="C3351" t="s">
        <v>5085</v>
      </c>
    </row>
    <row r="3352" spans="2:3">
      <c r="C3352" t="s">
        <v>5086</v>
      </c>
    </row>
    <row r="3354" spans="2:3">
      <c r="B3354" t="s">
        <v>5087</v>
      </c>
    </row>
    <row r="3356" spans="2:3">
      <c r="B3356" t="s">
        <v>5088</v>
      </c>
    </row>
    <row r="3357" spans="2:3">
      <c r="C3357" t="s">
        <v>5089</v>
      </c>
    </row>
    <row r="3359" spans="2:3">
      <c r="B3359" t="s">
        <v>5090</v>
      </c>
    </row>
    <row r="3361" spans="2:3">
      <c r="B3361" s="121" t="s">
        <v>1547</v>
      </c>
    </row>
    <row r="3363" spans="2:3">
      <c r="B3363" t="s">
        <v>5091</v>
      </c>
    </row>
    <row r="3364" spans="2:3">
      <c r="B3364" t="s">
        <v>5092</v>
      </c>
    </row>
    <row r="3365" spans="2:3">
      <c r="B3365" t="s">
        <v>5093</v>
      </c>
    </row>
    <row r="3366" spans="2:3">
      <c r="B3366" t="s">
        <v>5094</v>
      </c>
    </row>
    <row r="3368" spans="2:3">
      <c r="B3368" t="s">
        <v>5095</v>
      </c>
    </row>
    <row r="3369" spans="2:3">
      <c r="B3369" t="s">
        <v>5096</v>
      </c>
    </row>
    <row r="3371" spans="2:3">
      <c r="B3371" t="s">
        <v>4167</v>
      </c>
    </row>
    <row r="3373" spans="2:3">
      <c r="B3373" t="s">
        <v>5097</v>
      </c>
    </row>
    <row r="3374" spans="2:3">
      <c r="C3374" t="s">
        <v>5098</v>
      </c>
    </row>
    <row r="3375" spans="2:3">
      <c r="C3375" t="s">
        <v>5099</v>
      </c>
    </row>
    <row r="3377" spans="2:5">
      <c r="B3377" t="s">
        <v>52</v>
      </c>
    </row>
    <row r="3378" spans="2:5">
      <c r="C3378" t="s">
        <v>5100</v>
      </c>
    </row>
    <row r="3379" spans="2:5">
      <c r="C3379" t="s">
        <v>5101</v>
      </c>
    </row>
    <row r="3380" spans="2:5">
      <c r="C3380" t="s">
        <v>5102</v>
      </c>
    </row>
    <row r="3381" spans="2:5">
      <c r="D3381" t="s">
        <v>5103</v>
      </c>
    </row>
    <row r="3382" spans="2:5">
      <c r="C3382" t="s">
        <v>5104</v>
      </c>
    </row>
    <row r="3383" spans="2:5">
      <c r="C3383" t="s">
        <v>5105</v>
      </c>
    </row>
    <row r="3384" spans="2:5">
      <c r="D3384" t="s">
        <v>5106</v>
      </c>
    </row>
    <row r="3385" spans="2:5">
      <c r="D3385" t="s">
        <v>5107</v>
      </c>
    </row>
    <row r="3386" spans="2:5">
      <c r="E3386" t="s">
        <v>5108</v>
      </c>
    </row>
    <row r="3387" spans="2:5">
      <c r="C3387" t="s">
        <v>5109</v>
      </c>
    </row>
    <row r="3389" spans="2:5">
      <c r="B3389" t="s">
        <v>97</v>
      </c>
    </row>
    <row r="3390" spans="2:5">
      <c r="C3390" t="s">
        <v>5110</v>
      </c>
    </row>
    <row r="3392" spans="2:5">
      <c r="B3392" t="s">
        <v>94</v>
      </c>
    </row>
    <row r="3394" spans="2:3">
      <c r="B3394" t="s">
        <v>120</v>
      </c>
    </row>
    <row r="3395" spans="2:3">
      <c r="C3395" t="s">
        <v>5111</v>
      </c>
    </row>
    <row r="3396" spans="2:3">
      <c r="C3396" t="s">
        <v>5112</v>
      </c>
    </row>
    <row r="3398" spans="2:3">
      <c r="C3398" t="s">
        <v>5113</v>
      </c>
    </row>
    <row r="3399" spans="2:3">
      <c r="C3399" t="s">
        <v>5114</v>
      </c>
    </row>
    <row r="3401" spans="2:3">
      <c r="B3401" t="s">
        <v>5115</v>
      </c>
    </row>
    <row r="3402" spans="2:3">
      <c r="C3402" t="s">
        <v>5116</v>
      </c>
    </row>
    <row r="3403" spans="2:3">
      <c r="C3403" t="s">
        <v>5117</v>
      </c>
    </row>
    <row r="3405" spans="2:3">
      <c r="B3405" s="2" t="s">
        <v>2680</v>
      </c>
    </row>
    <row r="3406" spans="2:3">
      <c r="B3406" t="s">
        <v>1589</v>
      </c>
      <c r="C3406" t="s">
        <v>5118</v>
      </c>
    </row>
    <row r="3407" spans="2:3">
      <c r="C3407" t="s">
        <v>5119</v>
      </c>
    </row>
    <row r="3409" spans="2:4">
      <c r="B3409" t="s">
        <v>5120</v>
      </c>
    </row>
    <row r="3411" spans="2:4">
      <c r="B3411" t="s">
        <v>5121</v>
      </c>
    </row>
    <row r="3412" spans="2:4">
      <c r="C3412" t="s">
        <v>5122</v>
      </c>
    </row>
    <row r="3414" spans="2:4">
      <c r="B3414" t="s">
        <v>120</v>
      </c>
    </row>
    <row r="3415" spans="2:4">
      <c r="C3415" t="s">
        <v>5123</v>
      </c>
    </row>
    <row r="3416" spans="2:4">
      <c r="C3416" t="s">
        <v>5124</v>
      </c>
    </row>
    <row r="3417" spans="2:4">
      <c r="D3417" t="s">
        <v>5125</v>
      </c>
    </row>
    <row r="3419" spans="2:4">
      <c r="B3419" s="2" t="s">
        <v>1337</v>
      </c>
    </row>
    <row r="3420" spans="2:4">
      <c r="B3420" t="s">
        <v>5126</v>
      </c>
    </row>
    <row r="3421" spans="2:4">
      <c r="C3421" t="s">
        <v>5127</v>
      </c>
    </row>
    <row r="3422" spans="2:4">
      <c r="D3422" t="s">
        <v>5128</v>
      </c>
    </row>
    <row r="3423" spans="2:4">
      <c r="B3423" t="s">
        <v>5129</v>
      </c>
    </row>
    <row r="3424" spans="2:4">
      <c r="C3424" t="s">
        <v>5130</v>
      </c>
    </row>
    <row r="3426" spans="2:4">
      <c r="B3426" t="s">
        <v>94</v>
      </c>
    </row>
    <row r="3427" spans="2:4">
      <c r="C3427" t="s">
        <v>5131</v>
      </c>
    </row>
    <row r="3428" spans="2:4">
      <c r="C3428" t="s">
        <v>5132</v>
      </c>
    </row>
    <row r="3429" spans="2:4">
      <c r="D3429" t="s">
        <v>5133</v>
      </c>
    </row>
    <row r="3430" spans="2:4">
      <c r="D3430" t="s">
        <v>5134</v>
      </c>
    </row>
    <row r="3431" spans="2:4">
      <c r="D3431" t="s">
        <v>5135</v>
      </c>
    </row>
    <row r="3432" spans="2:4">
      <c r="C3432" t="s">
        <v>5136</v>
      </c>
    </row>
    <row r="3433" spans="2:4">
      <c r="D3433" t="s">
        <v>5137</v>
      </c>
    </row>
    <row r="3434" spans="2:4">
      <c r="D3434" t="s">
        <v>5138</v>
      </c>
    </row>
    <row r="3435" spans="2:4">
      <c r="C3435" t="s">
        <v>5139</v>
      </c>
    </row>
    <row r="3436" spans="2:4">
      <c r="B3436" t="s">
        <v>35</v>
      </c>
    </row>
    <row r="3437" spans="2:4">
      <c r="C3437" t="s">
        <v>5140</v>
      </c>
    </row>
    <row r="3440" spans="2:4">
      <c r="B3440" t="s">
        <v>5141</v>
      </c>
    </row>
    <row r="3441" spans="2:4">
      <c r="B3441" t="s">
        <v>5142</v>
      </c>
    </row>
    <row r="3442" spans="2:4">
      <c r="C3442" t="s">
        <v>5143</v>
      </c>
    </row>
    <row r="3443" spans="2:4">
      <c r="B3443" t="s">
        <v>5144</v>
      </c>
    </row>
    <row r="3445" spans="2:4">
      <c r="B3445" t="s">
        <v>5145</v>
      </c>
    </row>
    <row r="3447" spans="2:4">
      <c r="B3447" t="s">
        <v>1590</v>
      </c>
    </row>
    <row r="3448" spans="2:4">
      <c r="C3448" t="s">
        <v>5146</v>
      </c>
    </row>
    <row r="3451" spans="2:4">
      <c r="B3451" t="s">
        <v>5147</v>
      </c>
    </row>
    <row r="3453" spans="2:4">
      <c r="B3453" t="s">
        <v>120</v>
      </c>
    </row>
    <row r="3454" spans="2:4">
      <c r="C3454" t="s">
        <v>5148</v>
      </c>
    </row>
    <row r="3455" spans="2:4">
      <c r="C3455" t="s">
        <v>5149</v>
      </c>
    </row>
    <row r="3456" spans="2:4">
      <c r="D3456" t="s">
        <v>5150</v>
      </c>
    </row>
    <row r="3457" spans="2:4">
      <c r="D3457" t="s">
        <v>5151</v>
      </c>
    </row>
    <row r="3458" spans="2:4">
      <c r="B3458" t="s">
        <v>5152</v>
      </c>
    </row>
    <row r="3459" spans="2:4">
      <c r="C3459" t="s">
        <v>5153</v>
      </c>
    </row>
    <row r="3460" spans="2:4">
      <c r="D3460" t="s">
        <v>5154</v>
      </c>
    </row>
    <row r="3462" spans="2:4">
      <c r="B3462" t="s">
        <v>5155</v>
      </c>
    </row>
    <row r="3463" spans="2:4">
      <c r="C3463" t="s">
        <v>5156</v>
      </c>
    </row>
    <row r="3464" spans="2:4">
      <c r="C3464" t="s">
        <v>5157</v>
      </c>
    </row>
    <row r="3465" spans="2:4">
      <c r="B3465" t="s">
        <v>5158</v>
      </c>
    </row>
    <row r="3466" spans="2:4">
      <c r="C3466" t="s">
        <v>5159</v>
      </c>
    </row>
    <row r="3467" spans="2:4">
      <c r="C3467" t="s">
        <v>5160</v>
      </c>
    </row>
    <row r="3468" spans="2:4">
      <c r="D3468" t="s">
        <v>5161</v>
      </c>
    </row>
    <row r="3469" spans="2:4">
      <c r="C3469" t="s">
        <v>5162</v>
      </c>
    </row>
    <row r="3471" spans="2:4">
      <c r="B3471" s="2" t="s">
        <v>5163</v>
      </c>
    </row>
    <row r="3472" spans="2:4">
      <c r="B3472" t="s">
        <v>2511</v>
      </c>
    </row>
    <row r="3473" spans="2:4">
      <c r="B3473" s="2"/>
      <c r="C3473" t="s">
        <v>5164</v>
      </c>
    </row>
    <row r="3474" spans="2:4">
      <c r="B3474" s="2"/>
      <c r="C3474" t="s">
        <v>5165</v>
      </c>
    </row>
    <row r="3475" spans="2:4">
      <c r="B3475" t="s">
        <v>5166</v>
      </c>
    </row>
    <row r="3476" spans="2:4">
      <c r="C3476" t="s">
        <v>5167</v>
      </c>
    </row>
    <row r="3477" spans="2:4">
      <c r="C3477" t="s">
        <v>5168</v>
      </c>
    </row>
    <row r="3478" spans="2:4">
      <c r="D3478" t="s">
        <v>5169</v>
      </c>
    </row>
    <row r="3479" spans="2:4">
      <c r="D3479" t="s">
        <v>5170</v>
      </c>
    </row>
    <row r="3480" spans="2:4">
      <c r="C3480" t="s">
        <v>4845</v>
      </c>
    </row>
    <row r="3481" spans="2:4">
      <c r="D3481" s="605" t="s">
        <v>5171</v>
      </c>
    </row>
    <row r="3482" spans="2:4">
      <c r="C3482" t="s">
        <v>692</v>
      </c>
      <c r="D3482" t="s">
        <v>5172</v>
      </c>
    </row>
    <row r="3483" spans="2:4">
      <c r="D3483" t="s">
        <v>5173</v>
      </c>
    </row>
    <row r="3484" spans="2:4">
      <c r="C3484" t="s">
        <v>5174</v>
      </c>
    </row>
    <row r="3485" spans="2:4">
      <c r="B3485" t="s">
        <v>52</v>
      </c>
    </row>
    <row r="3486" spans="2:4">
      <c r="C3486" t="s">
        <v>5175</v>
      </c>
    </row>
    <row r="3487" spans="2:4">
      <c r="D3487" t="s">
        <v>5176</v>
      </c>
    </row>
    <row r="3488" spans="2:4">
      <c r="D3488" t="s">
        <v>5177</v>
      </c>
    </row>
    <row r="3489" spans="2:5">
      <c r="C3489" t="s">
        <v>5178</v>
      </c>
    </row>
    <row r="3490" spans="2:5">
      <c r="C3490" t="s">
        <v>5179</v>
      </c>
    </row>
    <row r="3491" spans="2:5">
      <c r="B3491" t="s">
        <v>5180</v>
      </c>
    </row>
    <row r="3492" spans="2:5">
      <c r="C3492" t="s">
        <v>5181</v>
      </c>
    </row>
    <row r="3493" spans="2:5">
      <c r="B3493" t="s">
        <v>5182</v>
      </c>
    </row>
    <row r="3494" spans="2:5">
      <c r="B3494" t="s">
        <v>5183</v>
      </c>
    </row>
    <row r="3495" spans="2:5">
      <c r="C3495" t="s">
        <v>5184</v>
      </c>
    </row>
    <row r="3496" spans="2:5">
      <c r="C3496" t="s">
        <v>5185</v>
      </c>
    </row>
    <row r="3497" spans="2:5">
      <c r="B3497" t="s">
        <v>5186</v>
      </c>
    </row>
    <row r="3498" spans="2:5">
      <c r="C3498" t="s">
        <v>5187</v>
      </c>
    </row>
    <row r="3499" spans="2:5">
      <c r="D3499" s="10">
        <v>0.16700000000000001</v>
      </c>
      <c r="E3499" t="s">
        <v>5188</v>
      </c>
    </row>
    <row r="3500" spans="2:5">
      <c r="D3500" s="10">
        <v>0.20100000000000001</v>
      </c>
    </row>
    <row r="3501" spans="2:5">
      <c r="C3501" s="4">
        <f>(1+D3499)*Interims!AR32</f>
        <v>4560.0524999999998</v>
      </c>
    </row>
    <row r="3502" spans="2:5">
      <c r="C3502" s="4" t="e">
        <f>Interims!#REF!</f>
        <v>#REF!</v>
      </c>
    </row>
    <row r="3503" spans="2:5">
      <c r="C3503" s="4" t="e">
        <f>C3502-C3501</f>
        <v>#REF!</v>
      </c>
      <c r="D3503" s="4" t="e">
        <f>C3503*4</f>
        <v>#REF!</v>
      </c>
    </row>
    <row r="3505" spans="2:2">
      <c r="B3505" t="s">
        <v>5189</v>
      </c>
    </row>
    <row r="3507" spans="2:2">
      <c r="B3507" s="121" t="s">
        <v>5189</v>
      </c>
    </row>
    <row r="3509" spans="2:2">
      <c r="B3509" t="s">
        <v>5190</v>
      </c>
    </row>
    <row r="3510" spans="2:2">
      <c r="B3510" t="s">
        <v>5191</v>
      </c>
    </row>
    <row r="3511" spans="2:2">
      <c r="B3511" t="s">
        <v>5192</v>
      </c>
    </row>
    <row r="3513" spans="2:2">
      <c r="B3513" t="s">
        <v>5193</v>
      </c>
    </row>
    <row r="3514" spans="2:2">
      <c r="B3514" t="s">
        <v>5194</v>
      </c>
    </row>
    <row r="3516" spans="2:2">
      <c r="B3516" t="s">
        <v>5195</v>
      </c>
    </row>
    <row r="3517" spans="2:2">
      <c r="B3517" t="s">
        <v>5196</v>
      </c>
    </row>
    <row r="3518" spans="2:2">
      <c r="B3518" t="s">
        <v>5197</v>
      </c>
    </row>
    <row r="3520" spans="2:2">
      <c r="B3520" s="42" t="s">
        <v>5198</v>
      </c>
    </row>
    <row r="3522" spans="2:5">
      <c r="B3522" t="s">
        <v>5199</v>
      </c>
    </row>
    <row r="3523" spans="2:5">
      <c r="C3523" t="s">
        <v>5095</v>
      </c>
      <c r="D3523" t="s">
        <v>5200</v>
      </c>
    </row>
    <row r="3524" spans="2:5">
      <c r="D3524" t="s">
        <v>5201</v>
      </c>
    </row>
    <row r="3525" spans="2:5">
      <c r="D3525" t="s">
        <v>5202</v>
      </c>
    </row>
    <row r="3526" spans="2:5">
      <c r="E3526" t="s">
        <v>5203</v>
      </c>
    </row>
    <row r="3527" spans="2:5">
      <c r="B3527" s="136">
        <v>2020</v>
      </c>
    </row>
    <row r="3528" spans="2:5">
      <c r="C3528" t="s">
        <v>5204</v>
      </c>
    </row>
    <row r="3529" spans="2:5">
      <c r="D3529" t="s">
        <v>5205</v>
      </c>
    </row>
    <row r="3530" spans="2:5">
      <c r="B3530" t="s">
        <v>5206</v>
      </c>
    </row>
    <row r="3531" spans="2:5">
      <c r="C3531" t="s">
        <v>5207</v>
      </c>
    </row>
    <row r="3532" spans="2:5">
      <c r="C3532" t="s">
        <v>5208</v>
      </c>
    </row>
    <row r="3533" spans="2:5">
      <c r="C3533" t="s">
        <v>5209</v>
      </c>
    </row>
    <row r="3534" spans="2:5">
      <c r="D3534" t="s">
        <v>5210</v>
      </c>
    </row>
    <row r="3535" spans="2:5">
      <c r="C3535" t="s">
        <v>5211</v>
      </c>
    </row>
    <row r="3536" spans="2:5">
      <c r="D3536" t="s">
        <v>5212</v>
      </c>
    </row>
    <row r="3538" spans="2:7">
      <c r="B3538" s="61"/>
      <c r="C3538" s="130" t="s">
        <v>5213</v>
      </c>
      <c r="D3538" s="130" t="s">
        <v>5214</v>
      </c>
      <c r="E3538" s="130" t="s">
        <v>5215</v>
      </c>
      <c r="F3538" s="130" t="s">
        <v>3493</v>
      </c>
    </row>
    <row r="3539" spans="2:7">
      <c r="B3539" t="s">
        <v>4845</v>
      </c>
      <c r="C3539">
        <v>-2</v>
      </c>
      <c r="D3539">
        <v>-5</v>
      </c>
      <c r="E3539" s="568" t="s">
        <v>5216</v>
      </c>
      <c r="F3539" s="609" t="s">
        <v>5217</v>
      </c>
    </row>
    <row r="3540" spans="2:7">
      <c r="B3540" s="61" t="s">
        <v>5218</v>
      </c>
      <c r="C3540" s="61"/>
      <c r="D3540" s="61"/>
      <c r="E3540" s="61"/>
      <c r="F3540" s="610" t="s">
        <v>5219</v>
      </c>
    </row>
    <row r="3541" spans="2:7">
      <c r="F3541" s="609" t="s">
        <v>5220</v>
      </c>
    </row>
    <row r="3543" spans="2:7">
      <c r="B3543" t="s">
        <v>94</v>
      </c>
    </row>
    <row r="3544" spans="2:7">
      <c r="C3544" t="s">
        <v>5221</v>
      </c>
    </row>
    <row r="3545" spans="2:7">
      <c r="B3545" t="s">
        <v>3757</v>
      </c>
    </row>
    <row r="3546" spans="2:7">
      <c r="C3546" t="s">
        <v>5222</v>
      </c>
    </row>
    <row r="3547" spans="2:7">
      <c r="C3547" s="136">
        <v>2019</v>
      </c>
    </row>
    <row r="3548" spans="2:7">
      <c r="C3548" t="s">
        <v>5223</v>
      </c>
    </row>
    <row r="3549" spans="2:7">
      <c r="C3549" t="s">
        <v>5224</v>
      </c>
    </row>
    <row r="3550" spans="2:7">
      <c r="C3550" t="s">
        <v>5225</v>
      </c>
    </row>
    <row r="3551" spans="2:7">
      <c r="C3551" t="s">
        <v>1066</v>
      </c>
      <c r="D3551" t="s">
        <v>5226</v>
      </c>
      <c r="E3551" t="s">
        <v>5227</v>
      </c>
      <c r="G3551" s="10">
        <v>0.04</v>
      </c>
    </row>
    <row r="3552" spans="2:7">
      <c r="C3552" t="s">
        <v>1067</v>
      </c>
      <c r="D3552" t="s">
        <v>5226</v>
      </c>
      <c r="E3552" t="s">
        <v>5228</v>
      </c>
      <c r="G3552" s="10">
        <v>6.5000000000000002E-2</v>
      </c>
    </row>
    <row r="3553" spans="2:14">
      <c r="C3553" t="s">
        <v>5229</v>
      </c>
    </row>
    <row r="3554" spans="2:14">
      <c r="D3554" t="s">
        <v>5230</v>
      </c>
    </row>
    <row r="3555" spans="2:14">
      <c r="D3555" t="s">
        <v>5231</v>
      </c>
    </row>
    <row r="3556" spans="2:14">
      <c r="C3556" t="s">
        <v>3757</v>
      </c>
      <c r="H3556" t="s">
        <v>6</v>
      </c>
      <c r="J3556" t="s">
        <v>5232</v>
      </c>
      <c r="M3556" t="s">
        <v>5233</v>
      </c>
    </row>
    <row r="3557" spans="2:14">
      <c r="C3557" t="s">
        <v>5234</v>
      </c>
      <c r="E3557" s="3" t="s">
        <v>5235</v>
      </c>
      <c r="F3557" s="3" t="s">
        <v>5236</v>
      </c>
      <c r="H3557" t="s">
        <v>3329</v>
      </c>
      <c r="I3557" t="s">
        <v>5237</v>
      </c>
      <c r="J3557">
        <v>13</v>
      </c>
      <c r="K3557" s="5">
        <v>43374</v>
      </c>
      <c r="M3557" t="s">
        <v>5238</v>
      </c>
      <c r="N3557" s="5">
        <v>43647</v>
      </c>
    </row>
    <row r="3558" spans="2:14">
      <c r="C3558" s="136">
        <v>2016</v>
      </c>
      <c r="D3558">
        <v>4.7</v>
      </c>
      <c r="E3558" s="8">
        <v>0.68</v>
      </c>
      <c r="I3558" t="s">
        <v>5239</v>
      </c>
      <c r="K3558" s="5">
        <v>43405</v>
      </c>
      <c r="M3558" t="s">
        <v>5240</v>
      </c>
      <c r="N3558" s="5">
        <v>43678</v>
      </c>
    </row>
    <row r="3559" spans="2:14">
      <c r="C3559" s="136">
        <f>C3558+1</f>
        <v>2017</v>
      </c>
      <c r="D3559" s="419">
        <v>5.07</v>
      </c>
      <c r="E3559" s="8">
        <v>0.63</v>
      </c>
      <c r="I3559" t="s">
        <v>5241</v>
      </c>
      <c r="K3559" s="5">
        <v>43435</v>
      </c>
      <c r="M3559" t="s">
        <v>5242</v>
      </c>
      <c r="N3559" s="5">
        <v>43709</v>
      </c>
    </row>
    <row r="3560" spans="2:14">
      <c r="C3560" s="136">
        <f>C3559+1</f>
        <v>2018</v>
      </c>
      <c r="D3560">
        <v>5.5</v>
      </c>
      <c r="E3560" s="8">
        <v>0.61499999999999999</v>
      </c>
    </row>
    <row r="3561" spans="2:14">
      <c r="C3561" s="136">
        <f>C3560+1</f>
        <v>2019</v>
      </c>
      <c r="D3561">
        <v>5.3</v>
      </c>
      <c r="E3561" s="8">
        <v>0.629</v>
      </c>
    </row>
    <row r="3562" spans="2:14">
      <c r="C3562" s="136" t="s">
        <v>5243</v>
      </c>
      <c r="E3562" s="8"/>
    </row>
    <row r="3563" spans="2:14">
      <c r="C3563" s="136" t="s">
        <v>5244</v>
      </c>
      <c r="E3563" s="8"/>
    </row>
    <row r="3564" spans="2:14">
      <c r="C3564" s="136" t="s">
        <v>5245</v>
      </c>
      <c r="E3564" s="8"/>
    </row>
    <row r="3565" spans="2:14">
      <c r="B3565" t="s">
        <v>1621</v>
      </c>
    </row>
    <row r="3566" spans="2:14">
      <c r="C3566" t="s">
        <v>5246</v>
      </c>
    </row>
    <row r="3567" spans="2:14">
      <c r="C3567" s="136" t="s">
        <v>5247</v>
      </c>
    </row>
    <row r="3568" spans="2:14">
      <c r="C3568" t="s">
        <v>5248</v>
      </c>
    </row>
    <row r="3569" spans="2:4">
      <c r="D3569" t="s">
        <v>5249</v>
      </c>
    </row>
    <row r="3570" spans="2:4">
      <c r="B3570" t="s">
        <v>5250</v>
      </c>
    </row>
    <row r="3571" spans="2:4">
      <c r="C3571" t="s">
        <v>3523</v>
      </c>
    </row>
    <row r="3572" spans="2:4">
      <c r="C3572">
        <v>2019</v>
      </c>
      <c r="D3572" t="s">
        <v>5251</v>
      </c>
    </row>
    <row r="3573" spans="2:4">
      <c r="C3573">
        <v>2020</v>
      </c>
      <c r="D3573" t="s">
        <v>5252</v>
      </c>
    </row>
    <row r="3574" spans="2:4">
      <c r="B3574" t="s">
        <v>557</v>
      </c>
    </row>
    <row r="3575" spans="2:4">
      <c r="C3575" s="426">
        <v>43800</v>
      </c>
    </row>
    <row r="3576" spans="2:4">
      <c r="C3576" t="s">
        <v>5253</v>
      </c>
    </row>
    <row r="3577" spans="2:4">
      <c r="D3577" t="s">
        <v>4240</v>
      </c>
    </row>
    <row r="3578" spans="2:4">
      <c r="C3578">
        <v>2020</v>
      </c>
      <c r="D3578" t="s">
        <v>5254</v>
      </c>
    </row>
    <row r="3579" spans="2:4">
      <c r="C3579">
        <v>2021</v>
      </c>
      <c r="D3579" t="s">
        <v>5255</v>
      </c>
    </row>
    <row r="3580" spans="2:4">
      <c r="B3580" t="s">
        <v>5256</v>
      </c>
    </row>
    <row r="3581" spans="2:4">
      <c r="C3581" t="s">
        <v>5257</v>
      </c>
    </row>
    <row r="3582" spans="2:4">
      <c r="C3582" t="s">
        <v>5258</v>
      </c>
    </row>
    <row r="3583" spans="2:4">
      <c r="C3583" t="s">
        <v>5259</v>
      </c>
    </row>
    <row r="3584" spans="2:4">
      <c r="D3584" t="s">
        <v>5260</v>
      </c>
    </row>
    <row r="3585" spans="2:4">
      <c r="D3585" t="s">
        <v>5261</v>
      </c>
    </row>
    <row r="3587" spans="2:4">
      <c r="B3587" s="2" t="s">
        <v>5262</v>
      </c>
    </row>
    <row r="3589" spans="2:4">
      <c r="B3589" t="s">
        <v>5263</v>
      </c>
    </row>
    <row r="3590" spans="2:4">
      <c r="B3590" t="s">
        <v>5264</v>
      </c>
    </row>
    <row r="3592" spans="2:4">
      <c r="B3592" s="2" t="s">
        <v>5019</v>
      </c>
    </row>
    <row r="3594" spans="2:4">
      <c r="B3594" t="s">
        <v>5265</v>
      </c>
    </row>
    <row r="3595" spans="2:4">
      <c r="B3595" t="s">
        <v>5266</v>
      </c>
    </row>
    <row r="3596" spans="2:4">
      <c r="B3596" t="s">
        <v>5267</v>
      </c>
    </row>
    <row r="3597" spans="2:4">
      <c r="B3597" t="s">
        <v>5268</v>
      </c>
    </row>
    <row r="3599" spans="2:4">
      <c r="B3599" t="s">
        <v>5269</v>
      </c>
    </row>
    <row r="3600" spans="2:4">
      <c r="C3600" t="s">
        <v>5270</v>
      </c>
    </row>
    <row r="3601" spans="2:3">
      <c r="C3601" t="s">
        <v>5271</v>
      </c>
    </row>
    <row r="3602" spans="2:3">
      <c r="B3602" t="s">
        <v>5272</v>
      </c>
    </row>
    <row r="3603" spans="2:3">
      <c r="C3603" t="s">
        <v>5273</v>
      </c>
    </row>
    <row r="3604" spans="2:3">
      <c r="C3604" t="s">
        <v>5274</v>
      </c>
    </row>
    <row r="3605" spans="2:3">
      <c r="C3605" t="s">
        <v>5275</v>
      </c>
    </row>
    <row r="3606" spans="2:3">
      <c r="B3606" t="s">
        <v>5276</v>
      </c>
    </row>
    <row r="3607" spans="2:3">
      <c r="B3607" t="s">
        <v>5277</v>
      </c>
    </row>
    <row r="3609" spans="2:3">
      <c r="B3609" s="2" t="s">
        <v>4239</v>
      </c>
    </row>
    <row r="3610" spans="2:3">
      <c r="B3610" t="s">
        <v>5278</v>
      </c>
    </row>
    <row r="3612" spans="2:3">
      <c r="B3612" s="121" t="s">
        <v>5279</v>
      </c>
    </row>
    <row r="3614" spans="2:3">
      <c r="B3614" t="s">
        <v>5280</v>
      </c>
    </row>
    <row r="3615" spans="2:3">
      <c r="B3615" t="s">
        <v>5281</v>
      </c>
    </row>
    <row r="3616" spans="2:3">
      <c r="C3616" s="8">
        <v>7.0000000000000007E-2</v>
      </c>
    </row>
    <row r="3617" spans="2:4">
      <c r="B3617" t="s">
        <v>1590</v>
      </c>
    </row>
    <row r="3618" spans="2:4">
      <c r="C3618" t="s">
        <v>5282</v>
      </c>
    </row>
    <row r="3619" spans="2:4">
      <c r="C3619" t="s">
        <v>5283</v>
      </c>
    </row>
    <row r="3620" spans="2:4">
      <c r="C3620" t="s">
        <v>5284</v>
      </c>
    </row>
    <row r="3621" spans="2:4">
      <c r="C3621" t="s">
        <v>5285</v>
      </c>
    </row>
    <row r="3622" spans="2:4">
      <c r="D3622" t="s">
        <v>5286</v>
      </c>
    </row>
    <row r="3623" spans="2:4">
      <c r="D3623" t="s">
        <v>5287</v>
      </c>
    </row>
    <row r="3624" spans="2:4">
      <c r="C3624" t="s">
        <v>5288</v>
      </c>
    </row>
    <row r="3625" spans="2:4">
      <c r="D3625" t="s">
        <v>5289</v>
      </c>
    </row>
    <row r="3626" spans="2:4">
      <c r="D3626" t="s">
        <v>5290</v>
      </c>
    </row>
    <row r="3627" spans="2:4">
      <c r="D3627" t="s">
        <v>5291</v>
      </c>
    </row>
    <row r="3628" spans="2:4">
      <c r="B3628" t="s">
        <v>52</v>
      </c>
    </row>
    <row r="3629" spans="2:4">
      <c r="C3629" t="s">
        <v>5292</v>
      </c>
    </row>
    <row r="3630" spans="2:4">
      <c r="C3630" t="s">
        <v>5293</v>
      </c>
    </row>
    <row r="3631" spans="2:4">
      <c r="C3631" t="s">
        <v>5294</v>
      </c>
    </row>
    <row r="3632" spans="2:4">
      <c r="D3632" t="s">
        <v>5295</v>
      </c>
    </row>
    <row r="3633" spans="2:4">
      <c r="D3633" t="s">
        <v>5296</v>
      </c>
    </row>
    <row r="3635" spans="2:4">
      <c r="B3635" s="121" t="s">
        <v>5297</v>
      </c>
    </row>
    <row r="3637" spans="2:4">
      <c r="B3637" t="s">
        <v>5298</v>
      </c>
    </row>
    <row r="3638" spans="2:4">
      <c r="C3638" t="s">
        <v>5299</v>
      </c>
    </row>
    <row r="3639" spans="2:4">
      <c r="C3639" t="s">
        <v>5300</v>
      </c>
    </row>
    <row r="3640" spans="2:4">
      <c r="B3640" t="s">
        <v>5301</v>
      </c>
    </row>
    <row r="3641" spans="2:4">
      <c r="C3641" t="s">
        <v>5302</v>
      </c>
    </row>
    <row r="3642" spans="2:4">
      <c r="C3642" t="s">
        <v>5303</v>
      </c>
    </row>
    <row r="3643" spans="2:4">
      <c r="C3643" t="s">
        <v>5304</v>
      </c>
    </row>
    <row r="3644" spans="2:4">
      <c r="D3644" t="s">
        <v>5305</v>
      </c>
    </row>
    <row r="3645" spans="2:4">
      <c r="B3645" t="s">
        <v>5306</v>
      </c>
    </row>
    <row r="3646" spans="2:4">
      <c r="C3646" t="s">
        <v>5307</v>
      </c>
    </row>
    <row r="3647" spans="2:4">
      <c r="C3647" t="s">
        <v>5308</v>
      </c>
    </row>
    <row r="3648" spans="2:4">
      <c r="C3648" t="s">
        <v>5309</v>
      </c>
    </row>
    <row r="3649" spans="2:4">
      <c r="D3649" t="s">
        <v>5310</v>
      </c>
    </row>
    <row r="3650" spans="2:4">
      <c r="D3650" t="s">
        <v>5311</v>
      </c>
    </row>
    <row r="3651" spans="2:4">
      <c r="B3651" t="s">
        <v>5312</v>
      </c>
    </row>
    <row r="3652" spans="2:4">
      <c r="C3652" t="s">
        <v>5313</v>
      </c>
    </row>
    <row r="3653" spans="2:4">
      <c r="C3653" t="s">
        <v>5314</v>
      </c>
    </row>
    <row r="3654" spans="2:4">
      <c r="C3654" t="s">
        <v>5315</v>
      </c>
    </row>
    <row r="3656" spans="2:4">
      <c r="C3656" t="s">
        <v>5316</v>
      </c>
    </row>
    <row r="3657" spans="2:4">
      <c r="B3657" t="s">
        <v>5317</v>
      </c>
    </row>
    <row r="3658" spans="2:4">
      <c r="C3658" t="s">
        <v>5318</v>
      </c>
    </row>
    <row r="3659" spans="2:4">
      <c r="B3659" t="s">
        <v>5319</v>
      </c>
    </row>
    <row r="3660" spans="2:4">
      <c r="C3660" t="s">
        <v>5320</v>
      </c>
    </row>
    <row r="3661" spans="2:4">
      <c r="B3661" t="s">
        <v>5321</v>
      </c>
    </row>
    <row r="3662" spans="2:4">
      <c r="C3662" t="s">
        <v>5322</v>
      </c>
    </row>
    <row r="3663" spans="2:4">
      <c r="D3663" t="s">
        <v>5323</v>
      </c>
    </row>
    <row r="3664" spans="2:4">
      <c r="B3664" t="s">
        <v>5324</v>
      </c>
    </row>
    <row r="3665" spans="2:4">
      <c r="C3665" t="s">
        <v>5325</v>
      </c>
    </row>
    <row r="3666" spans="2:4">
      <c r="B3666" t="s">
        <v>5326</v>
      </c>
    </row>
    <row r="3667" spans="2:4">
      <c r="C3667" t="s">
        <v>5327</v>
      </c>
    </row>
    <row r="3668" spans="2:4">
      <c r="D3668" t="s">
        <v>5328</v>
      </c>
    </row>
    <row r="3669" spans="2:4">
      <c r="B3669" t="s">
        <v>52</v>
      </c>
    </row>
    <row r="3670" spans="2:4">
      <c r="C3670" t="s">
        <v>5329</v>
      </c>
    </row>
    <row r="3671" spans="2:4">
      <c r="D3671" t="s">
        <v>5330</v>
      </c>
    </row>
    <row r="3672" spans="2:4">
      <c r="C3672" t="s">
        <v>5331</v>
      </c>
    </row>
    <row r="3673" spans="2:4">
      <c r="B3673" t="s">
        <v>97</v>
      </c>
    </row>
    <row r="3674" spans="2:4">
      <c r="C3674" t="s">
        <v>5332</v>
      </c>
    </row>
    <row r="3675" spans="2:4">
      <c r="D3675" t="s">
        <v>5333</v>
      </c>
    </row>
    <row r="3676" spans="2:4">
      <c r="B3676" t="s">
        <v>4957</v>
      </c>
    </row>
    <row r="3677" spans="2:4">
      <c r="C3677" t="s">
        <v>5334</v>
      </c>
    </row>
    <row r="3678" spans="2:4">
      <c r="C3678" t="s">
        <v>5335</v>
      </c>
    </row>
    <row r="3679" spans="2:4">
      <c r="C3679" t="s">
        <v>5336</v>
      </c>
    </row>
    <row r="3680" spans="2:4">
      <c r="B3680" t="s">
        <v>34</v>
      </c>
    </row>
    <row r="3681" spans="2:4">
      <c r="C3681" s="2" t="s">
        <v>94</v>
      </c>
    </row>
    <row r="3682" spans="2:4">
      <c r="C3682" t="s">
        <v>5337</v>
      </c>
    </row>
    <row r="3683" spans="2:4">
      <c r="C3683" t="s">
        <v>5338</v>
      </c>
    </row>
    <row r="3684" spans="2:4">
      <c r="C3684" t="s">
        <v>4033</v>
      </c>
    </row>
    <row r="3685" spans="2:4">
      <c r="C3685" s="2" t="s">
        <v>5339</v>
      </c>
    </row>
    <row r="3686" spans="2:4">
      <c r="C3686" t="s">
        <v>5340</v>
      </c>
    </row>
    <row r="3687" spans="2:4">
      <c r="C3687" t="s">
        <v>5341</v>
      </c>
    </row>
    <row r="3688" spans="2:4">
      <c r="D3688" t="s">
        <v>5342</v>
      </c>
    </row>
    <row r="3690" spans="2:4">
      <c r="B3690" s="121" t="s">
        <v>5343</v>
      </c>
    </row>
    <row r="3692" spans="2:4">
      <c r="B3692" t="s">
        <v>1589</v>
      </c>
      <c r="C3692" t="s">
        <v>5344</v>
      </c>
    </row>
    <row r="3693" spans="2:4">
      <c r="D3693" t="s">
        <v>5345</v>
      </c>
    </row>
    <row r="3694" spans="2:4">
      <c r="C3694" t="s">
        <v>5346</v>
      </c>
    </row>
    <row r="3695" spans="2:4">
      <c r="D3695" t="s">
        <v>5347</v>
      </c>
    </row>
    <row r="3696" spans="2:4">
      <c r="D3696" t="s">
        <v>5348</v>
      </c>
    </row>
    <row r="3697" spans="2:4">
      <c r="C3697" t="s">
        <v>5349</v>
      </c>
    </row>
    <row r="3698" spans="2:4">
      <c r="C3698" t="s">
        <v>5350</v>
      </c>
    </row>
    <row r="3699" spans="2:4">
      <c r="D3699" t="s">
        <v>5351</v>
      </c>
    </row>
    <row r="3700" spans="2:4">
      <c r="C3700" t="s">
        <v>5352</v>
      </c>
    </row>
    <row r="3701" spans="2:4">
      <c r="B3701" t="s">
        <v>5313</v>
      </c>
    </row>
    <row r="3702" spans="2:4">
      <c r="C3702" t="s">
        <v>5353</v>
      </c>
    </row>
    <row r="3703" spans="2:4">
      <c r="B3703" t="s">
        <v>5354</v>
      </c>
    </row>
    <row r="3704" spans="2:4">
      <c r="C3704" t="s">
        <v>5355</v>
      </c>
    </row>
    <row r="3705" spans="2:4">
      <c r="B3705" t="s">
        <v>4541</v>
      </c>
    </row>
    <row r="3706" spans="2:4">
      <c r="C3706" t="s">
        <v>5356</v>
      </c>
    </row>
    <row r="3707" spans="2:4">
      <c r="C3707" t="s">
        <v>5357</v>
      </c>
    </row>
    <row r="3708" spans="2:4">
      <c r="C3708" t="s">
        <v>5358</v>
      </c>
    </row>
    <row r="3709" spans="2:4">
      <c r="C3709" t="s">
        <v>5359</v>
      </c>
    </row>
    <row r="3711" spans="2:4">
      <c r="C3711" t="s">
        <v>5360</v>
      </c>
    </row>
    <row r="3713" spans="2:4">
      <c r="C3713" t="s">
        <v>5361</v>
      </c>
    </row>
    <row r="3714" spans="2:4">
      <c r="C3714" t="s">
        <v>5362</v>
      </c>
    </row>
    <row r="3715" spans="2:4">
      <c r="C3715" t="s">
        <v>5363</v>
      </c>
    </row>
    <row r="3716" spans="2:4">
      <c r="C3716" t="s">
        <v>5364</v>
      </c>
    </row>
    <row r="3717" spans="2:4">
      <c r="B3717" t="s">
        <v>5365</v>
      </c>
    </row>
    <row r="3718" spans="2:4">
      <c r="C3718" s="264" t="s">
        <v>5366</v>
      </c>
    </row>
    <row r="3719" spans="2:4">
      <c r="C3719" t="s">
        <v>5367</v>
      </c>
    </row>
    <row r="3720" spans="2:4">
      <c r="B3720" t="s">
        <v>5368</v>
      </c>
    </row>
    <row r="3722" spans="2:4">
      <c r="B3722" t="s">
        <v>5369</v>
      </c>
    </row>
    <row r="3723" spans="2:4">
      <c r="B3723" t="s">
        <v>52</v>
      </c>
    </row>
    <row r="3724" spans="2:4">
      <c r="C3724" t="s">
        <v>5370</v>
      </c>
    </row>
    <row r="3725" spans="2:4">
      <c r="D3725" t="s">
        <v>5371</v>
      </c>
    </row>
    <row r="3726" spans="2:4">
      <c r="C3726" t="s">
        <v>5372</v>
      </c>
    </row>
    <row r="3727" spans="2:4">
      <c r="D3727" t="s">
        <v>5373</v>
      </c>
    </row>
    <row r="3728" spans="2:4">
      <c r="D3728" t="s">
        <v>5374</v>
      </c>
    </row>
    <row r="3729" spans="1:7">
      <c r="C3729" t="s">
        <v>5375</v>
      </c>
    </row>
    <row r="3731" spans="1:7">
      <c r="B3731" t="s">
        <v>5376</v>
      </c>
    </row>
    <row r="3732" spans="1:7">
      <c r="C3732" t="s">
        <v>5377</v>
      </c>
    </row>
    <row r="3733" spans="1:7">
      <c r="C3733" t="s">
        <v>5378</v>
      </c>
    </row>
    <row r="3735" spans="1:7">
      <c r="B3735" s="121" t="s">
        <v>753</v>
      </c>
    </row>
    <row r="3737" spans="1:7">
      <c r="B3737" s="2" t="s">
        <v>94</v>
      </c>
    </row>
    <row r="3738" spans="1:7">
      <c r="A3738" t="s">
        <v>3129</v>
      </c>
      <c r="B3738" t="s">
        <v>5379</v>
      </c>
    </row>
    <row r="3739" spans="1:7">
      <c r="C3739" t="s">
        <v>5380</v>
      </c>
    </row>
    <row r="3740" spans="1:7">
      <c r="B3740" s="2" t="s">
        <v>35</v>
      </c>
    </row>
    <row r="3741" spans="1:7">
      <c r="A3741" t="s">
        <v>3129</v>
      </c>
      <c r="C3741" t="s">
        <v>5381</v>
      </c>
    </row>
    <row r="3742" spans="1:7">
      <c r="C3742" t="s">
        <v>5382</v>
      </c>
    </row>
    <row r="3744" spans="1:7">
      <c r="E3744">
        <v>2019</v>
      </c>
      <c r="F3744" t="s">
        <v>5383</v>
      </c>
      <c r="G3744" t="s">
        <v>5384</v>
      </c>
    </row>
    <row r="3745" spans="1:14">
      <c r="B3745" s="136" t="s">
        <v>5385</v>
      </c>
      <c r="C3745" t="s">
        <v>5386</v>
      </c>
      <c r="E3745" s="4">
        <f>Master!R90</f>
        <v>107.8</v>
      </c>
      <c r="F3745" s="4">
        <f>E3745</f>
        <v>107.8</v>
      </c>
      <c r="G3745" s="4">
        <f>775-G3746-G3747</f>
        <v>65.899999999999977</v>
      </c>
    </row>
    <row r="3746" spans="1:14">
      <c r="B3746" s="136"/>
      <c r="E3746" s="4">
        <f>Master!R91</f>
        <v>209.1</v>
      </c>
      <c r="F3746" s="4">
        <f>E3746</f>
        <v>209.1</v>
      </c>
      <c r="G3746" s="4">
        <f>F3746</f>
        <v>209.1</v>
      </c>
    </row>
    <row r="3747" spans="1:14">
      <c r="E3747" s="4">
        <f>Master!R92</f>
        <v>673.6</v>
      </c>
      <c r="F3747">
        <v>575</v>
      </c>
      <c r="G3747">
        <v>500</v>
      </c>
    </row>
    <row r="3748" spans="1:14">
      <c r="E3748" s="4">
        <f>Master!R94</f>
        <v>990.5</v>
      </c>
      <c r="F3748" s="4">
        <f>SUM(F3745:F3747)</f>
        <v>891.9</v>
      </c>
      <c r="G3748" s="568">
        <v>775</v>
      </c>
    </row>
    <row r="3749" spans="1:14">
      <c r="E3749" s="4"/>
    </row>
    <row r="3751" spans="1:14">
      <c r="A3751" t="s">
        <v>3129</v>
      </c>
      <c r="B3751" t="s">
        <v>5387</v>
      </c>
      <c r="F3751" t="s">
        <v>5388</v>
      </c>
    </row>
    <row r="3752" spans="1:14">
      <c r="C3752" t="s">
        <v>5389</v>
      </c>
    </row>
    <row r="3753" spans="1:14">
      <c r="B3753" t="s">
        <v>5390</v>
      </c>
    </row>
    <row r="3755" spans="1:14">
      <c r="B3755" s="2" t="s">
        <v>250</v>
      </c>
    </row>
    <row r="3756" spans="1:14">
      <c r="A3756" t="s">
        <v>3129</v>
      </c>
      <c r="B3756" t="s">
        <v>5391</v>
      </c>
    </row>
    <row r="3757" spans="1:14">
      <c r="C3757" t="s">
        <v>5392</v>
      </c>
    </row>
    <row r="3758" spans="1:14">
      <c r="C3758" t="s">
        <v>5393</v>
      </c>
    </row>
    <row r="3759" spans="1:14">
      <c r="N3759" s="2" t="s">
        <v>52</v>
      </c>
    </row>
    <row r="3760" spans="1:14">
      <c r="B3760" s="2" t="s">
        <v>52</v>
      </c>
    </row>
    <row r="3761" spans="1:14">
      <c r="A3761" t="s">
        <v>3129</v>
      </c>
      <c r="B3761" s="2"/>
      <c r="C3761" t="s">
        <v>5394</v>
      </c>
      <c r="N3761" t="s">
        <v>5395</v>
      </c>
    </row>
    <row r="3762" spans="1:14">
      <c r="A3762" t="s">
        <v>3129</v>
      </c>
      <c r="C3762" t="s">
        <v>5396</v>
      </c>
      <c r="N3762" t="s">
        <v>5397</v>
      </c>
    </row>
    <row r="3763" spans="1:14">
      <c r="C3763" t="s">
        <v>5398</v>
      </c>
    </row>
    <row r="3764" spans="1:14">
      <c r="D3764" t="s">
        <v>5399</v>
      </c>
    </row>
    <row r="3765" spans="1:14">
      <c r="C3765" t="s">
        <v>5400</v>
      </c>
    </row>
    <row r="3766" spans="1:14">
      <c r="B3766" s="2" t="s">
        <v>97</v>
      </c>
    </row>
    <row r="3767" spans="1:14">
      <c r="C3767" t="s">
        <v>5401</v>
      </c>
      <c r="H3767">
        <f>6/18</f>
        <v>0.33333333333333331</v>
      </c>
    </row>
    <row r="3768" spans="1:14">
      <c r="H3768" s="8">
        <f>H3767*66%</f>
        <v>0.22</v>
      </c>
    </row>
    <row r="3769" spans="1:14">
      <c r="B3769" s="2" t="s">
        <v>5402</v>
      </c>
      <c r="H3769">
        <f>H3768*Interims!$AX$181</f>
        <v>26606.052</v>
      </c>
    </row>
    <row r="3770" spans="1:14">
      <c r="B3770" s="2"/>
    </row>
    <row r="3771" spans="1:14">
      <c r="B3771" s="2" t="s">
        <v>5403</v>
      </c>
    </row>
    <row r="3772" spans="1:14">
      <c r="B3772" t="s">
        <v>5404</v>
      </c>
      <c r="H3772">
        <f>H3769/Master!S63</f>
        <v>0.68554100329036372</v>
      </c>
    </row>
    <row r="3773" spans="1:14">
      <c r="B3773" t="s">
        <v>5405</v>
      </c>
      <c r="C3773" t="s">
        <v>2070</v>
      </c>
    </row>
    <row r="3774" spans="1:14">
      <c r="C3774" t="s">
        <v>5406</v>
      </c>
    </row>
    <row r="3775" spans="1:14">
      <c r="C3775" t="s">
        <v>5407</v>
      </c>
    </row>
    <row r="3776" spans="1:14">
      <c r="B3776" t="s">
        <v>5408</v>
      </c>
    </row>
    <row r="3777" spans="2:3">
      <c r="C3777" t="s">
        <v>5409</v>
      </c>
    </row>
    <row r="3778" spans="2:3">
      <c r="B3778" t="s">
        <v>5410</v>
      </c>
    </row>
    <row r="3779" spans="2:3">
      <c r="C3779" t="s">
        <v>5411</v>
      </c>
    </row>
    <row r="3780" spans="2:3">
      <c r="C3780" t="s">
        <v>5412</v>
      </c>
    </row>
    <row r="3781" spans="2:3">
      <c r="C3781" t="s">
        <v>5413</v>
      </c>
    </row>
    <row r="3782" spans="2:3">
      <c r="B3782" s="2" t="s">
        <v>5414</v>
      </c>
    </row>
    <row r="3783" spans="2:3">
      <c r="B3783" t="s">
        <v>5415</v>
      </c>
    </row>
    <row r="3784" spans="2:3">
      <c r="B3784" t="s">
        <v>5416</v>
      </c>
    </row>
    <row r="3785" spans="2:3">
      <c r="C3785" t="s">
        <v>5417</v>
      </c>
    </row>
    <row r="3786" spans="2:3">
      <c r="C3786" s="264" t="s">
        <v>5418</v>
      </c>
    </row>
    <row r="3787" spans="2:3">
      <c r="C3787" t="s">
        <v>5419</v>
      </c>
    </row>
    <row r="3788" spans="2:3">
      <c r="B3788" t="s">
        <v>5420</v>
      </c>
    </row>
    <row r="3789" spans="2:3">
      <c r="C3789" t="s">
        <v>5421</v>
      </c>
    </row>
    <row r="3790" spans="2:3">
      <c r="C3790" t="s">
        <v>5422</v>
      </c>
    </row>
    <row r="3791" spans="2:3">
      <c r="B3791" t="s">
        <v>5423</v>
      </c>
    </row>
    <row r="3792" spans="2:3">
      <c r="C3792" t="s">
        <v>5424</v>
      </c>
    </row>
    <row r="3793" spans="2:4">
      <c r="B3793" t="s">
        <v>5425</v>
      </c>
    </row>
    <row r="3794" spans="2:4">
      <c r="C3794" t="s">
        <v>5426</v>
      </c>
    </row>
    <row r="3795" spans="2:4">
      <c r="D3795" t="s">
        <v>5427</v>
      </c>
    </row>
    <row r="3796" spans="2:4">
      <c r="D3796" t="s">
        <v>5428</v>
      </c>
    </row>
    <row r="3797" spans="2:4">
      <c r="B3797" s="431">
        <v>2020</v>
      </c>
    </row>
    <row r="3798" spans="2:4">
      <c r="C3798" t="s">
        <v>5429</v>
      </c>
    </row>
    <row r="3800" spans="2:4">
      <c r="B3800" s="2" t="s">
        <v>120</v>
      </c>
    </row>
    <row r="3801" spans="2:4">
      <c r="C3801" t="s">
        <v>5430</v>
      </c>
    </row>
    <row r="3802" spans="2:4">
      <c r="C3802" t="s">
        <v>5431</v>
      </c>
    </row>
    <row r="3803" spans="2:4">
      <c r="D3803" t="s">
        <v>5432</v>
      </c>
    </row>
    <row r="3804" spans="2:4">
      <c r="D3804" t="s">
        <v>5433</v>
      </c>
    </row>
    <row r="3805" spans="2:4">
      <c r="C3805" t="s">
        <v>5434</v>
      </c>
    </row>
    <row r="3807" spans="2:4">
      <c r="B3807" s="121" t="s">
        <v>2680</v>
      </c>
    </row>
    <row r="3809" spans="2:3">
      <c r="B3809" t="s">
        <v>5435</v>
      </c>
    </row>
    <row r="3810" spans="2:3">
      <c r="C3810" t="s">
        <v>5436</v>
      </c>
    </row>
    <row r="3811" spans="2:3">
      <c r="B3811" t="s">
        <v>779</v>
      </c>
    </row>
    <row r="3812" spans="2:3">
      <c r="C3812" t="s">
        <v>5437</v>
      </c>
    </row>
    <row r="3813" spans="2:3">
      <c r="C3813" t="s">
        <v>5438</v>
      </c>
    </row>
    <row r="3814" spans="2:3">
      <c r="B3814" t="s">
        <v>1589</v>
      </c>
    </row>
    <row r="3815" spans="2:3">
      <c r="C3815" t="s">
        <v>5439</v>
      </c>
    </row>
    <row r="3816" spans="2:3">
      <c r="C3816" t="s">
        <v>5440</v>
      </c>
    </row>
    <row r="3817" spans="2:3">
      <c r="B3817" t="s">
        <v>97</v>
      </c>
    </row>
    <row r="3818" spans="2:3">
      <c r="C3818" t="s">
        <v>5441</v>
      </c>
    </row>
    <row r="3819" spans="2:3">
      <c r="C3819" t="s">
        <v>5442</v>
      </c>
    </row>
    <row r="3820" spans="2:3">
      <c r="B3820" t="s">
        <v>52</v>
      </c>
    </row>
    <row r="3821" spans="2:3">
      <c r="C3821" t="s">
        <v>5443</v>
      </c>
    </row>
    <row r="3822" spans="2:3">
      <c r="B3822" t="s">
        <v>94</v>
      </c>
    </row>
    <row r="3823" spans="2:3">
      <c r="C3823" t="s">
        <v>5444</v>
      </c>
    </row>
    <row r="3825" spans="2:4">
      <c r="C3825" t="s">
        <v>5445</v>
      </c>
    </row>
    <row r="3826" spans="2:4">
      <c r="C3826" t="s">
        <v>5446</v>
      </c>
    </row>
    <row r="3827" spans="2:4">
      <c r="C3827" t="s">
        <v>5447</v>
      </c>
    </row>
    <row r="3828" spans="2:4">
      <c r="C3828" t="s">
        <v>5448</v>
      </c>
    </row>
    <row r="3829" spans="2:4">
      <c r="C3829" t="s">
        <v>5449</v>
      </c>
    </row>
    <row r="3830" spans="2:4">
      <c r="B3830" t="s">
        <v>5450</v>
      </c>
    </row>
    <row r="3831" spans="2:4">
      <c r="C3831" t="s">
        <v>5451</v>
      </c>
    </row>
    <row r="3832" spans="2:4">
      <c r="C3832" t="s">
        <v>5452</v>
      </c>
    </row>
    <row r="3833" spans="2:4">
      <c r="B3833" t="s">
        <v>5453</v>
      </c>
    </row>
    <row r="3834" spans="2:4">
      <c r="C3834" t="s">
        <v>5454</v>
      </c>
    </row>
    <row r="3835" spans="2:4">
      <c r="C3835" t="s">
        <v>5455</v>
      </c>
    </row>
    <row r="3836" spans="2:4">
      <c r="B3836" t="s">
        <v>1589</v>
      </c>
    </row>
    <row r="3837" spans="2:4">
      <c r="C3837" t="s">
        <v>5456</v>
      </c>
    </row>
    <row r="3838" spans="2:4">
      <c r="D3838" t="s">
        <v>5457</v>
      </c>
    </row>
    <row r="3839" spans="2:4">
      <c r="D3839" t="s">
        <v>5458</v>
      </c>
    </row>
    <row r="3840" spans="2:4">
      <c r="C3840" t="s">
        <v>5459</v>
      </c>
    </row>
    <row r="3841" spans="2:4">
      <c r="B3841" t="s">
        <v>52</v>
      </c>
    </row>
    <row r="3842" spans="2:4">
      <c r="C3842" t="s">
        <v>5460</v>
      </c>
    </row>
    <row r="3844" spans="2:4">
      <c r="B3844" s="2" t="s">
        <v>52</v>
      </c>
    </row>
    <row r="3845" spans="2:4">
      <c r="C3845" t="s">
        <v>5461</v>
      </c>
    </row>
    <row r="3847" spans="2:4">
      <c r="B3847" s="2" t="s">
        <v>5462</v>
      </c>
    </row>
    <row r="3848" spans="2:4">
      <c r="C3848" t="s">
        <v>5463</v>
      </c>
    </row>
    <row r="3849" spans="2:4">
      <c r="C3849" s="2" t="s">
        <v>5464</v>
      </c>
    </row>
    <row r="3850" spans="2:4">
      <c r="B3850" s="2" t="s">
        <v>5465</v>
      </c>
    </row>
    <row r="3851" spans="2:4">
      <c r="C3851" t="s">
        <v>5466</v>
      </c>
    </row>
    <row r="3852" spans="2:4">
      <c r="C3852" t="s">
        <v>5467</v>
      </c>
    </row>
    <row r="3853" spans="2:4">
      <c r="D3853" t="s">
        <v>5468</v>
      </c>
    </row>
    <row r="3854" spans="2:4">
      <c r="C3854" t="s">
        <v>5469</v>
      </c>
    </row>
    <row r="3855" spans="2:4">
      <c r="C3855" t="s">
        <v>5470</v>
      </c>
    </row>
    <row r="3856" spans="2:4">
      <c r="D3856" t="s">
        <v>5471</v>
      </c>
    </row>
    <row r="3857" spans="2:4">
      <c r="D3857" t="s">
        <v>5472</v>
      </c>
    </row>
    <row r="3858" spans="2:4">
      <c r="C3858" t="s">
        <v>5473</v>
      </c>
    </row>
    <row r="3859" spans="2:4">
      <c r="C3859" s="2" t="s">
        <v>5464</v>
      </c>
    </row>
    <row r="3861" spans="2:4">
      <c r="B3861" s="121" t="s">
        <v>5474</v>
      </c>
    </row>
    <row r="3863" spans="2:4">
      <c r="B3863" t="s">
        <v>5475</v>
      </c>
    </row>
    <row r="3864" spans="2:4">
      <c r="C3864" t="s">
        <v>5476</v>
      </c>
    </row>
    <row r="3865" spans="2:4">
      <c r="B3865" t="s">
        <v>5477</v>
      </c>
    </row>
    <row r="3866" spans="2:4">
      <c r="C3866" t="s">
        <v>5478</v>
      </c>
    </row>
    <row r="3867" spans="2:4">
      <c r="C3867" t="s">
        <v>5479</v>
      </c>
    </row>
    <row r="3868" spans="2:4">
      <c r="B3868" t="s">
        <v>5480</v>
      </c>
    </row>
    <row r="3869" spans="2:4">
      <c r="C3869" t="s">
        <v>5481</v>
      </c>
    </row>
    <row r="3870" spans="2:4">
      <c r="B3870" t="s">
        <v>5482</v>
      </c>
    </row>
    <row r="3871" spans="2:4">
      <c r="C3871" t="s">
        <v>5483</v>
      </c>
    </row>
    <row r="3872" spans="2:4">
      <c r="B3872" t="s">
        <v>5484</v>
      </c>
    </row>
    <row r="3873" spans="2:4">
      <c r="C3873" t="s">
        <v>5485</v>
      </c>
    </row>
    <row r="3874" spans="2:4">
      <c r="C3874" t="s">
        <v>5486</v>
      </c>
    </row>
    <row r="3875" spans="2:4">
      <c r="B3875" t="s">
        <v>5487</v>
      </c>
    </row>
    <row r="3876" spans="2:4">
      <c r="B3876" t="s">
        <v>5488</v>
      </c>
    </row>
    <row r="3877" spans="2:4">
      <c r="C3877" t="s">
        <v>5489</v>
      </c>
    </row>
    <row r="3878" spans="2:4">
      <c r="B3878" t="s">
        <v>5490</v>
      </c>
    </row>
    <row r="3879" spans="2:4">
      <c r="C3879" t="s">
        <v>5491</v>
      </c>
    </row>
    <row r="3880" spans="2:4">
      <c r="C3880" t="s">
        <v>5492</v>
      </c>
    </row>
    <row r="3881" spans="2:4">
      <c r="D3881" s="419">
        <f>0.6*4.8</f>
        <v>2.88</v>
      </c>
    </row>
    <row r="3882" spans="2:4">
      <c r="C3882" t="s">
        <v>5493</v>
      </c>
    </row>
    <row r="3883" spans="2:4">
      <c r="D3883" t="s">
        <v>5494</v>
      </c>
    </row>
    <row r="3884" spans="2:4">
      <c r="D3884" s="419">
        <f>0.4*D3881</f>
        <v>1.1519999999999999</v>
      </c>
    </row>
    <row r="3885" spans="2:4">
      <c r="B3885" t="s">
        <v>5495</v>
      </c>
    </row>
    <row r="3886" spans="2:4">
      <c r="C3886" t="s">
        <v>5496</v>
      </c>
    </row>
    <row r="3887" spans="2:4">
      <c r="B3887" t="s">
        <v>5497</v>
      </c>
    </row>
    <row r="3889" spans="2:3">
      <c r="B3889" t="s">
        <v>5498</v>
      </c>
    </row>
    <row r="3890" spans="2:3">
      <c r="C3890" t="s">
        <v>5499</v>
      </c>
    </row>
    <row r="3891" spans="2:3">
      <c r="C3891" t="s">
        <v>5500</v>
      </c>
    </row>
    <row r="3892" spans="2:3">
      <c r="C3892" t="s">
        <v>5501</v>
      </c>
    </row>
    <row r="3893" spans="2:3">
      <c r="C3893" t="s">
        <v>5502</v>
      </c>
    </row>
    <row r="3894" spans="2:3">
      <c r="B3894" t="s">
        <v>5503</v>
      </c>
    </row>
    <row r="3896" spans="2:3">
      <c r="B3896" s="121" t="s">
        <v>5504</v>
      </c>
    </row>
    <row r="3898" spans="2:3">
      <c r="B3898" t="s">
        <v>5505</v>
      </c>
    </row>
    <row r="3899" spans="2:3">
      <c r="B3899" t="s">
        <v>5506</v>
      </c>
    </row>
    <row r="3900" spans="2:3">
      <c r="B3900" t="s">
        <v>5507</v>
      </c>
    </row>
    <row r="3901" spans="2:3">
      <c r="C3901" t="s">
        <v>5508</v>
      </c>
    </row>
    <row r="3902" spans="2:3">
      <c r="C3902" t="s">
        <v>5509</v>
      </c>
    </row>
    <row r="3904" spans="2:3">
      <c r="B3904" s="121" t="s">
        <v>5510</v>
      </c>
    </row>
    <row r="3906" spans="2:4">
      <c r="B3906" t="s">
        <v>5511</v>
      </c>
    </row>
    <row r="3907" spans="2:4">
      <c r="C3907" t="s">
        <v>5512</v>
      </c>
    </row>
    <row r="3908" spans="2:4">
      <c r="B3908" t="s">
        <v>4251</v>
      </c>
    </row>
    <row r="3909" spans="2:4">
      <c r="C3909" t="s">
        <v>5513</v>
      </c>
    </row>
    <row r="3910" spans="2:4">
      <c r="C3910" t="s">
        <v>5514</v>
      </c>
    </row>
    <row r="3911" spans="2:4">
      <c r="D3911" t="s">
        <v>5515</v>
      </c>
    </row>
    <row r="3912" spans="2:4">
      <c r="D3912" t="s">
        <v>5516</v>
      </c>
    </row>
    <row r="3913" spans="2:4">
      <c r="B3913" t="s">
        <v>5517</v>
      </c>
    </row>
    <row r="3914" spans="2:4">
      <c r="C3914" t="s">
        <v>5518</v>
      </c>
    </row>
    <row r="3915" spans="2:4">
      <c r="C3915" t="s">
        <v>5519</v>
      </c>
    </row>
    <row r="3916" spans="2:4">
      <c r="B3916" t="s">
        <v>107</v>
      </c>
      <c r="C3916" t="s">
        <v>5520</v>
      </c>
    </row>
    <row r="3917" spans="2:4">
      <c r="B3917" t="s">
        <v>5521</v>
      </c>
    </row>
    <row r="3919" spans="2:4">
      <c r="B3919" t="s">
        <v>5522</v>
      </c>
      <c r="C3919" s="8">
        <v>0.65</v>
      </c>
    </row>
    <row r="3920" spans="2:4">
      <c r="B3920" t="s">
        <v>1152</v>
      </c>
      <c r="C3920" s="8">
        <v>0.5</v>
      </c>
    </row>
    <row r="3921" spans="2:4">
      <c r="B3921" t="s">
        <v>5523</v>
      </c>
      <c r="C3921" t="s">
        <v>5524</v>
      </c>
      <c r="D3921" s="8">
        <f>22500/(Interims!AZ181+Interims!AZ182)</f>
        <v>0.13360148636106961</v>
      </c>
    </row>
    <row r="3923" spans="2:4">
      <c r="B3923" t="s">
        <v>5525</v>
      </c>
    </row>
    <row r="3924" spans="2:4">
      <c r="C3924" t="s">
        <v>5526</v>
      </c>
    </row>
    <row r="3926" spans="2:4">
      <c r="B3926" t="s">
        <v>5527</v>
      </c>
    </row>
    <row r="3928" spans="2:4">
      <c r="B3928" s="121" t="s">
        <v>5528</v>
      </c>
    </row>
    <row r="3930" spans="2:4">
      <c r="B3930" t="s">
        <v>5529</v>
      </c>
    </row>
    <row r="3931" spans="2:4">
      <c r="C3931" t="s">
        <v>5530</v>
      </c>
    </row>
    <row r="3932" spans="2:4">
      <c r="C3932" t="s">
        <v>5531</v>
      </c>
    </row>
    <row r="3933" spans="2:4">
      <c r="B3933" t="s">
        <v>78</v>
      </c>
    </row>
    <row r="3934" spans="2:4">
      <c r="C3934" t="s">
        <v>5532</v>
      </c>
    </row>
    <row r="3935" spans="2:4">
      <c r="C3935" t="s">
        <v>5533</v>
      </c>
    </row>
    <row r="3936" spans="2:4">
      <c r="B3936" t="s">
        <v>120</v>
      </c>
    </row>
    <row r="3937" spans="2:5">
      <c r="C3937" t="s">
        <v>5534</v>
      </c>
    </row>
    <row r="3938" spans="2:5">
      <c r="B3938" t="s">
        <v>3351</v>
      </c>
    </row>
    <row r="3939" spans="2:5">
      <c r="C3939" t="s">
        <v>5535</v>
      </c>
    </row>
    <row r="3940" spans="2:5">
      <c r="C3940" t="s">
        <v>5536</v>
      </c>
    </row>
    <row r="3941" spans="2:5">
      <c r="C3941" t="s">
        <v>5537</v>
      </c>
    </row>
    <row r="3942" spans="2:5">
      <c r="B3942" t="s">
        <v>52</v>
      </c>
    </row>
    <row r="3943" spans="2:5">
      <c r="C3943" s="416" t="s">
        <v>5538</v>
      </c>
    </row>
    <row r="3944" spans="2:5">
      <c r="C3944" t="s">
        <v>5539</v>
      </c>
    </row>
    <row r="3945" spans="2:5">
      <c r="C3945" t="s">
        <v>5540</v>
      </c>
      <c r="E3945" t="s">
        <v>2824</v>
      </c>
    </row>
    <row r="3947" spans="2:5">
      <c r="C3947" t="s">
        <v>5541</v>
      </c>
    </row>
    <row r="3948" spans="2:5">
      <c r="C3948" t="s">
        <v>5542</v>
      </c>
    </row>
    <row r="3949" spans="2:5">
      <c r="C3949" t="s">
        <v>5543</v>
      </c>
    </row>
    <row r="3950" spans="2:5">
      <c r="B3950" t="s">
        <v>3118</v>
      </c>
    </row>
    <row r="3951" spans="2:5">
      <c r="C3951" t="s">
        <v>5544</v>
      </c>
    </row>
    <row r="3952" spans="2:5">
      <c r="C3952" t="s">
        <v>5545</v>
      </c>
    </row>
    <row r="3953" spans="2:7">
      <c r="D3953" t="s">
        <v>5546</v>
      </c>
    </row>
    <row r="3954" spans="2:7">
      <c r="D3954" t="s">
        <v>5547</v>
      </c>
    </row>
    <row r="3955" spans="2:7">
      <c r="B3955" t="s">
        <v>5548</v>
      </c>
      <c r="C3955" t="s">
        <v>5549</v>
      </c>
    </row>
    <row r="3956" spans="2:7">
      <c r="C3956" t="s">
        <v>5550</v>
      </c>
    </row>
    <row r="3958" spans="2:7">
      <c r="C3958" t="s">
        <v>5551</v>
      </c>
      <c r="D3958" t="s">
        <v>5552</v>
      </c>
      <c r="G3958" t="s">
        <v>5553</v>
      </c>
    </row>
    <row r="3959" spans="2:7">
      <c r="C3959" t="s">
        <v>5554</v>
      </c>
      <c r="D3959" t="s">
        <v>5555</v>
      </c>
    </row>
    <row r="3960" spans="2:7">
      <c r="B3960" t="s">
        <v>5556</v>
      </c>
    </row>
    <row r="3961" spans="2:7">
      <c r="C3961" t="s">
        <v>5557</v>
      </c>
    </row>
    <row r="3962" spans="2:7">
      <c r="C3962" t="s">
        <v>5558</v>
      </c>
    </row>
    <row r="3963" spans="2:7">
      <c r="C3963" t="s">
        <v>5559</v>
      </c>
    </row>
    <row r="3964" spans="2:7">
      <c r="B3964" t="s">
        <v>120</v>
      </c>
    </row>
    <row r="3965" spans="2:7">
      <c r="C3965" t="s">
        <v>5560</v>
      </c>
    </row>
    <row r="3966" spans="2:7">
      <c r="C3966" t="s">
        <v>5561</v>
      </c>
    </row>
    <row r="3967" spans="2:7">
      <c r="D3967" t="s">
        <v>5562</v>
      </c>
    </row>
    <row r="3968" spans="2:7">
      <c r="C3968" t="s">
        <v>5563</v>
      </c>
    </row>
    <row r="3969" spans="2:4">
      <c r="C3969" t="s">
        <v>5564</v>
      </c>
    </row>
    <row r="3970" spans="2:4">
      <c r="C3970" t="s">
        <v>5565</v>
      </c>
    </row>
    <row r="3971" spans="2:4">
      <c r="B3971" t="s">
        <v>97</v>
      </c>
    </row>
    <row r="3972" spans="2:4">
      <c r="C3972" t="s">
        <v>5566</v>
      </c>
    </row>
    <row r="3973" spans="2:4">
      <c r="B3973" s="121" t="s">
        <v>2680</v>
      </c>
    </row>
    <row r="3975" spans="2:4">
      <c r="B3975" t="s">
        <v>5567</v>
      </c>
    </row>
    <row r="3976" spans="2:4">
      <c r="C3976" t="s">
        <v>5568</v>
      </c>
    </row>
    <row r="3977" spans="2:4">
      <c r="C3977" t="s">
        <v>5569</v>
      </c>
    </row>
    <row r="3978" spans="2:4">
      <c r="C3978" t="s">
        <v>5570</v>
      </c>
    </row>
    <row r="3979" spans="2:4">
      <c r="B3979" t="s">
        <v>4644</v>
      </c>
    </row>
    <row r="3980" spans="2:4">
      <c r="C3980" t="s">
        <v>5571</v>
      </c>
    </row>
    <row r="3981" spans="2:4">
      <c r="D3981" t="s">
        <v>5572</v>
      </c>
    </row>
    <row r="3982" spans="2:4">
      <c r="D3982" t="s">
        <v>5573</v>
      </c>
    </row>
    <row r="3983" spans="2:4">
      <c r="D3983" t="s">
        <v>5574</v>
      </c>
    </row>
    <row r="3984" spans="2:4">
      <c r="C3984" t="s">
        <v>5575</v>
      </c>
    </row>
    <row r="3985" spans="2:5">
      <c r="C3985" t="s">
        <v>5576</v>
      </c>
    </row>
    <row r="3986" spans="2:5">
      <c r="B3986" t="s">
        <v>5577</v>
      </c>
    </row>
    <row r="3987" spans="2:5">
      <c r="C3987" t="s">
        <v>5578</v>
      </c>
    </row>
    <row r="3988" spans="2:5">
      <c r="C3988" t="s">
        <v>5579</v>
      </c>
    </row>
    <row r="3989" spans="2:5">
      <c r="C3989" t="s">
        <v>5580</v>
      </c>
    </row>
    <row r="3990" spans="2:5">
      <c r="C3990" t="s">
        <v>5581</v>
      </c>
    </row>
    <row r="3991" spans="2:5">
      <c r="B3991" t="s">
        <v>52</v>
      </c>
    </row>
    <row r="3992" spans="2:5">
      <c r="C3992" t="s">
        <v>5582</v>
      </c>
    </row>
    <row r="3993" spans="2:5">
      <c r="C3993" t="s">
        <v>5583</v>
      </c>
    </row>
    <row r="3994" spans="2:5">
      <c r="D3994" t="s">
        <v>5584</v>
      </c>
    </row>
    <row r="3995" spans="2:5">
      <c r="C3995" t="s">
        <v>5585</v>
      </c>
    </row>
    <row r="3996" spans="2:5">
      <c r="D3996" t="s">
        <v>5586</v>
      </c>
    </row>
    <row r="3997" spans="2:5">
      <c r="D3997" t="s">
        <v>5587</v>
      </c>
    </row>
    <row r="3998" spans="2:5">
      <c r="E3998" t="s">
        <v>5588</v>
      </c>
    </row>
    <row r="3999" spans="2:5">
      <c r="C3999" t="s">
        <v>5589</v>
      </c>
      <c r="D3999" t="s">
        <v>5590</v>
      </c>
    </row>
    <row r="4000" spans="2:5">
      <c r="C4000" t="s">
        <v>5591</v>
      </c>
    </row>
    <row r="4001" spans="2:4">
      <c r="D4001" t="s">
        <v>5592</v>
      </c>
    </row>
    <row r="4002" spans="2:4">
      <c r="B4002" t="s">
        <v>94</v>
      </c>
    </row>
    <row r="4003" spans="2:4">
      <c r="C4003" t="s">
        <v>5593</v>
      </c>
    </row>
    <row r="4004" spans="2:4">
      <c r="C4004" t="s">
        <v>5594</v>
      </c>
    </row>
    <row r="4005" spans="2:4">
      <c r="C4005" t="s">
        <v>5595</v>
      </c>
    </row>
    <row r="4006" spans="2:4">
      <c r="C4006" t="s">
        <v>5596</v>
      </c>
    </row>
    <row r="4007" spans="2:4">
      <c r="C4007" t="s">
        <v>5597</v>
      </c>
    </row>
    <row r="4008" spans="2:4">
      <c r="B4008" t="s">
        <v>5598</v>
      </c>
    </row>
    <row r="4011" spans="2:4">
      <c r="B4011" t="s">
        <v>3118</v>
      </c>
    </row>
    <row r="4012" spans="2:4">
      <c r="C4012" t="s">
        <v>5599</v>
      </c>
    </row>
    <row r="4013" spans="2:4">
      <c r="C4013" t="s">
        <v>5600</v>
      </c>
    </row>
    <row r="4014" spans="2:4">
      <c r="C4014" t="s">
        <v>5601</v>
      </c>
    </row>
    <row r="4015" spans="2:4">
      <c r="C4015" t="s">
        <v>5602</v>
      </c>
    </row>
    <row r="4016" spans="2:4">
      <c r="D4016" t="s">
        <v>5603</v>
      </c>
    </row>
    <row r="4017" spans="2:5">
      <c r="D4017" t="s">
        <v>5604</v>
      </c>
    </row>
    <row r="4018" spans="2:5">
      <c r="C4018" t="s">
        <v>5605</v>
      </c>
    </row>
    <row r="4019" spans="2:5">
      <c r="C4019" t="s">
        <v>5606</v>
      </c>
    </row>
    <row r="4020" spans="2:5">
      <c r="D4020" t="s">
        <v>5607</v>
      </c>
    </row>
    <row r="4021" spans="2:5">
      <c r="C4021" t="s">
        <v>5608</v>
      </c>
    </row>
    <row r="4022" spans="2:5">
      <c r="D4022" t="s">
        <v>5609</v>
      </c>
    </row>
    <row r="4023" spans="2:5">
      <c r="D4023" t="s">
        <v>5610</v>
      </c>
    </row>
    <row r="4024" spans="2:5">
      <c r="C4024" t="s">
        <v>5611</v>
      </c>
    </row>
    <row r="4025" spans="2:5">
      <c r="D4025" t="s">
        <v>5612</v>
      </c>
    </row>
    <row r="4027" spans="2:5">
      <c r="B4027" t="s">
        <v>97</v>
      </c>
    </row>
    <row r="4028" spans="2:5">
      <c r="C4028" t="s">
        <v>5613</v>
      </c>
    </row>
    <row r="4029" spans="2:5">
      <c r="D4029" s="8">
        <v>0.77</v>
      </c>
      <c r="E4029" t="s">
        <v>5614</v>
      </c>
    </row>
    <row r="4030" spans="2:5">
      <c r="D4030" s="8">
        <v>0.22</v>
      </c>
      <c r="E4030" t="s">
        <v>3703</v>
      </c>
    </row>
    <row r="4031" spans="2:5">
      <c r="D4031" s="8">
        <v>0.01</v>
      </c>
      <c r="E4031" t="s">
        <v>1994</v>
      </c>
    </row>
    <row r="4032" spans="2:5">
      <c r="C4032" t="s">
        <v>5615</v>
      </c>
    </row>
    <row r="4034" spans="2:7">
      <c r="B4034" s="121" t="s">
        <v>3754</v>
      </c>
    </row>
    <row r="4036" spans="2:7">
      <c r="B4036" t="s">
        <v>5616</v>
      </c>
    </row>
    <row r="4037" spans="2:7">
      <c r="B4037" t="s">
        <v>800</v>
      </c>
    </row>
    <row r="4038" spans="2:7">
      <c r="C4038" t="s">
        <v>5617</v>
      </c>
    </row>
    <row r="4039" spans="2:7">
      <c r="D4039" t="s">
        <v>5618</v>
      </c>
    </row>
    <row r="4040" spans="2:7">
      <c r="B4040" t="s">
        <v>4644</v>
      </c>
    </row>
    <row r="4041" spans="2:7">
      <c r="C4041" t="s">
        <v>5619</v>
      </c>
      <c r="D4041" t="s">
        <v>5620</v>
      </c>
    </row>
    <row r="4042" spans="2:7">
      <c r="C4042" s="136">
        <v>2020</v>
      </c>
    </row>
    <row r="4043" spans="2:7">
      <c r="B4043" t="s">
        <v>1383</v>
      </c>
    </row>
    <row r="4044" spans="2:7">
      <c r="C4044" t="s">
        <v>5621</v>
      </c>
    </row>
    <row r="4045" spans="2:7">
      <c r="C4045" t="s">
        <v>5622</v>
      </c>
    </row>
    <row r="4046" spans="2:7">
      <c r="D4046" t="s">
        <v>5623</v>
      </c>
      <c r="F4046" t="s">
        <v>5624</v>
      </c>
      <c r="G4046" t="s">
        <v>5625</v>
      </c>
    </row>
    <row r="4047" spans="2:7">
      <c r="F4047" t="s">
        <v>5626</v>
      </c>
      <c r="G4047" t="s">
        <v>5627</v>
      </c>
    </row>
    <row r="4048" spans="2:7">
      <c r="F4048" t="s">
        <v>5628</v>
      </c>
      <c r="G4048" t="s">
        <v>34</v>
      </c>
    </row>
    <row r="4049" spans="2:7">
      <c r="D4049" t="s">
        <v>5629</v>
      </c>
      <c r="F4049" t="s">
        <v>5628</v>
      </c>
      <c r="G4049" t="s">
        <v>5630</v>
      </c>
    </row>
    <row r="4050" spans="2:7">
      <c r="C4050" t="s">
        <v>5631</v>
      </c>
    </row>
    <row r="4051" spans="2:7">
      <c r="C4051" t="s">
        <v>5632</v>
      </c>
    </row>
    <row r="4052" spans="2:7">
      <c r="B4052" t="s">
        <v>52</v>
      </c>
    </row>
    <row r="4053" spans="2:7">
      <c r="C4053" t="s">
        <v>5633</v>
      </c>
    </row>
    <row r="4054" spans="2:7">
      <c r="C4054" t="s">
        <v>575</v>
      </c>
      <c r="D4054" t="s">
        <v>5634</v>
      </c>
    </row>
    <row r="4055" spans="2:7">
      <c r="D4055" t="s">
        <v>5635</v>
      </c>
    </row>
    <row r="4056" spans="2:7">
      <c r="D4056" t="s">
        <v>5636</v>
      </c>
    </row>
    <row r="4058" spans="2:7">
      <c r="C4058" t="s">
        <v>5637</v>
      </c>
      <c r="D4058" t="s">
        <v>5638</v>
      </c>
    </row>
    <row r="4059" spans="2:7">
      <c r="D4059" t="s">
        <v>5639</v>
      </c>
    </row>
    <row r="4060" spans="2:7">
      <c r="C4060" t="s">
        <v>5640</v>
      </c>
    </row>
    <row r="4061" spans="2:7">
      <c r="D4061" t="s">
        <v>5641</v>
      </c>
    </row>
    <row r="4062" spans="2:7">
      <c r="B4062" t="s">
        <v>5642</v>
      </c>
    </row>
    <row r="4063" spans="2:7">
      <c r="C4063" t="s">
        <v>5643</v>
      </c>
    </row>
    <row r="4064" spans="2:7">
      <c r="C4064" t="s">
        <v>5644</v>
      </c>
    </row>
    <row r="4065" spans="2:8">
      <c r="B4065" t="s">
        <v>97</v>
      </c>
    </row>
    <row r="4066" spans="2:8">
      <c r="C4066" t="s">
        <v>5645</v>
      </c>
    </row>
    <row r="4067" spans="2:8">
      <c r="D4067" t="s">
        <v>5646</v>
      </c>
    </row>
    <row r="4068" spans="2:8">
      <c r="B4068" t="s">
        <v>5647</v>
      </c>
    </row>
    <row r="4069" spans="2:8">
      <c r="C4069" t="s">
        <v>5648</v>
      </c>
    </row>
    <row r="4070" spans="2:8">
      <c r="C4070" t="s">
        <v>5649</v>
      </c>
    </row>
    <row r="4072" spans="2:8">
      <c r="B4072" s="121" t="s">
        <v>5650</v>
      </c>
      <c r="H4072" s="121" t="s">
        <v>2680</v>
      </c>
    </row>
    <row r="4074" spans="2:8">
      <c r="B4074" s="42" t="s">
        <v>52</v>
      </c>
    </row>
    <row r="4075" spans="2:8">
      <c r="B4075" t="s">
        <v>5651</v>
      </c>
      <c r="C4075" t="s">
        <v>5652</v>
      </c>
      <c r="H4075" t="s">
        <v>5653</v>
      </c>
    </row>
    <row r="4076" spans="2:8">
      <c r="C4076" t="s">
        <v>5654</v>
      </c>
      <c r="H4076" t="s">
        <v>5655</v>
      </c>
    </row>
    <row r="4077" spans="2:8">
      <c r="C4077" t="s">
        <v>5656</v>
      </c>
      <c r="H4077" t="s">
        <v>5657</v>
      </c>
    </row>
    <row r="4078" spans="2:8">
      <c r="D4078" t="s">
        <v>5658</v>
      </c>
      <c r="H4078" t="s">
        <v>48</v>
      </c>
    </row>
    <row r="4079" spans="2:8">
      <c r="C4079" s="2" t="s">
        <v>5659</v>
      </c>
    </row>
    <row r="4080" spans="2:8">
      <c r="C4080" t="s">
        <v>5660</v>
      </c>
    </row>
    <row r="4081" spans="2:4">
      <c r="C4081" t="s">
        <v>5661</v>
      </c>
    </row>
    <row r="4082" spans="2:4">
      <c r="C4082" t="s">
        <v>5662</v>
      </c>
    </row>
    <row r="4083" spans="2:4">
      <c r="C4083" t="s">
        <v>5663</v>
      </c>
    </row>
    <row r="4084" spans="2:4">
      <c r="B4084" s="42" t="s">
        <v>97</v>
      </c>
    </row>
    <row r="4085" spans="2:4">
      <c r="B4085" t="s">
        <v>5651</v>
      </c>
      <c r="C4085" t="s">
        <v>5664</v>
      </c>
    </row>
    <row r="4086" spans="2:4">
      <c r="C4086" t="s">
        <v>5665</v>
      </c>
    </row>
    <row r="4087" spans="2:4">
      <c r="C4087" t="s">
        <v>5666</v>
      </c>
    </row>
    <row r="4088" spans="2:4">
      <c r="D4088" t="s">
        <v>5667</v>
      </c>
    </row>
    <row r="4089" spans="2:4">
      <c r="C4089" t="s">
        <v>5668</v>
      </c>
    </row>
    <row r="4090" spans="2:4">
      <c r="C4090" t="s">
        <v>5669</v>
      </c>
    </row>
    <row r="4091" spans="2:4">
      <c r="B4091" s="42" t="s">
        <v>1589</v>
      </c>
    </row>
    <row r="4092" spans="2:4">
      <c r="C4092" t="s">
        <v>5670</v>
      </c>
    </row>
    <row r="4093" spans="2:4">
      <c r="C4093" t="s">
        <v>5671</v>
      </c>
    </row>
    <row r="4094" spans="2:4">
      <c r="C4094" t="s">
        <v>5672</v>
      </c>
    </row>
    <row r="4095" spans="2:4">
      <c r="C4095" t="s">
        <v>5673</v>
      </c>
    </row>
    <row r="4097" spans="2:5">
      <c r="C4097" t="s">
        <v>5674</v>
      </c>
    </row>
    <row r="4098" spans="2:5">
      <c r="B4098" s="42" t="s">
        <v>100</v>
      </c>
    </row>
    <row r="4099" spans="2:5">
      <c r="C4099" t="s">
        <v>5675</v>
      </c>
    </row>
    <row r="4100" spans="2:5">
      <c r="C4100" t="s">
        <v>5676</v>
      </c>
    </row>
    <row r="4101" spans="2:5">
      <c r="D4101" t="s">
        <v>4730</v>
      </c>
      <c r="E4101" t="s">
        <v>5677</v>
      </c>
    </row>
    <row r="4102" spans="2:5">
      <c r="E4102" t="s">
        <v>5678</v>
      </c>
    </row>
    <row r="4103" spans="2:5">
      <c r="B4103" s="42" t="s">
        <v>107</v>
      </c>
      <c r="C4103" t="s">
        <v>5679</v>
      </c>
    </row>
    <row r="4104" spans="2:5">
      <c r="C4104" t="s">
        <v>5680</v>
      </c>
    </row>
    <row r="4105" spans="2:5">
      <c r="C4105" t="s">
        <v>5681</v>
      </c>
    </row>
    <row r="4106" spans="2:5">
      <c r="B4106" s="42" t="s">
        <v>35</v>
      </c>
    </row>
    <row r="4107" spans="2:5">
      <c r="C4107" t="s">
        <v>5386</v>
      </c>
    </row>
    <row r="4108" spans="2:5">
      <c r="D4108" t="s">
        <v>5682</v>
      </c>
    </row>
    <row r="4109" spans="2:5">
      <c r="D4109" t="s">
        <v>5683</v>
      </c>
    </row>
    <row r="4110" spans="2:5">
      <c r="B4110" s="42" t="s">
        <v>271</v>
      </c>
    </row>
    <row r="4111" spans="2:5">
      <c r="C4111" t="s">
        <v>5684</v>
      </c>
    </row>
    <row r="4112" spans="2:5">
      <c r="C4112" t="s">
        <v>5685</v>
      </c>
    </row>
    <row r="4114" spans="2:3">
      <c r="B4114" s="121" t="s">
        <v>2680</v>
      </c>
    </row>
    <row r="4116" spans="2:3">
      <c r="B4116" t="s">
        <v>5686</v>
      </c>
    </row>
    <row r="4117" spans="2:3">
      <c r="B4117" t="s">
        <v>5687</v>
      </c>
    </row>
    <row r="4118" spans="2:3">
      <c r="C4118" t="s">
        <v>5688</v>
      </c>
    </row>
    <row r="4119" spans="2:3">
      <c r="C4119" t="s">
        <v>5689</v>
      </c>
    </row>
    <row r="4120" spans="2:3">
      <c r="B4120" t="s">
        <v>5690</v>
      </c>
    </row>
    <row r="4121" spans="2:3">
      <c r="C4121" t="s">
        <v>5691</v>
      </c>
    </row>
    <row r="4122" spans="2:3">
      <c r="B4122" t="s">
        <v>5692</v>
      </c>
    </row>
    <row r="4123" spans="2:3">
      <c r="C4123" t="s">
        <v>5693</v>
      </c>
    </row>
    <row r="4124" spans="2:3">
      <c r="B4124" t="s">
        <v>5694</v>
      </c>
    </row>
    <row r="4125" spans="2:3">
      <c r="C4125" t="s">
        <v>5695</v>
      </c>
    </row>
    <row r="4126" spans="2:3">
      <c r="C4126" t="s">
        <v>5696</v>
      </c>
    </row>
    <row r="4127" spans="2:3">
      <c r="B4127" t="s">
        <v>5697</v>
      </c>
    </row>
    <row r="4128" spans="2:3">
      <c r="C4128" t="s">
        <v>5698</v>
      </c>
    </row>
    <row r="4129" spans="2:4">
      <c r="B4129" t="s">
        <v>5699</v>
      </c>
    </row>
    <row r="4130" spans="2:4">
      <c r="C4130" t="s">
        <v>5700</v>
      </c>
    </row>
    <row r="4131" spans="2:4">
      <c r="C4131" t="s">
        <v>5701</v>
      </c>
    </row>
    <row r="4132" spans="2:4">
      <c r="C4132" t="s">
        <v>5702</v>
      </c>
    </row>
    <row r="4133" spans="2:4">
      <c r="D4133" t="s">
        <v>5703</v>
      </c>
    </row>
    <row r="4134" spans="2:4">
      <c r="B4134" t="s">
        <v>5704</v>
      </c>
    </row>
    <row r="4135" spans="2:4">
      <c r="B4135" t="s">
        <v>5705</v>
      </c>
    </row>
    <row r="4136" spans="2:4">
      <c r="C4136" t="s">
        <v>5706</v>
      </c>
    </row>
    <row r="4137" spans="2:4">
      <c r="B4137" t="s">
        <v>5707</v>
      </c>
    </row>
    <row r="4138" spans="2:4">
      <c r="C4138" t="s">
        <v>5708</v>
      </c>
    </row>
    <row r="4139" spans="2:4">
      <c r="C4139" t="s">
        <v>5709</v>
      </c>
    </row>
    <row r="4140" spans="2:4">
      <c r="C4140" t="s">
        <v>5710</v>
      </c>
    </row>
    <row r="4141" spans="2:4">
      <c r="C4141" t="s">
        <v>5711</v>
      </c>
    </row>
    <row r="4142" spans="2:4">
      <c r="B4142" t="s">
        <v>5712</v>
      </c>
    </row>
    <row r="4143" spans="2:4">
      <c r="C4143" t="s">
        <v>5713</v>
      </c>
    </row>
    <row r="4144" spans="2:4">
      <c r="C4144" t="s">
        <v>5714</v>
      </c>
    </row>
    <row r="4145" spans="2:4">
      <c r="B4145" t="s">
        <v>4722</v>
      </c>
    </row>
    <row r="4146" spans="2:4">
      <c r="C4146" t="s">
        <v>5715</v>
      </c>
    </row>
    <row r="4147" spans="2:4">
      <c r="B4147" t="s">
        <v>5716</v>
      </c>
    </row>
    <row r="4148" spans="2:4">
      <c r="C4148" t="s">
        <v>5717</v>
      </c>
    </row>
    <row r="4149" spans="2:4">
      <c r="C4149" t="s">
        <v>5718</v>
      </c>
    </row>
    <row r="4150" spans="2:4">
      <c r="C4150" t="s">
        <v>5719</v>
      </c>
    </row>
    <row r="4151" spans="2:4">
      <c r="B4151" t="s">
        <v>5720</v>
      </c>
    </row>
    <row r="4152" spans="2:4">
      <c r="C4152" t="s">
        <v>5721</v>
      </c>
    </row>
    <row r="4153" spans="2:4">
      <c r="C4153" t="s">
        <v>5722</v>
      </c>
    </row>
    <row r="4154" spans="2:4">
      <c r="C4154" t="s">
        <v>5723</v>
      </c>
    </row>
    <row r="4155" spans="2:4">
      <c r="C4155" t="s">
        <v>5724</v>
      </c>
    </row>
    <row r="4156" spans="2:4">
      <c r="C4156" t="s">
        <v>5725</v>
      </c>
    </row>
    <row r="4157" spans="2:4">
      <c r="D4157" t="s">
        <v>5726</v>
      </c>
    </row>
    <row r="4158" spans="2:4">
      <c r="C4158" t="s">
        <v>5727</v>
      </c>
    </row>
    <row r="4160" spans="2:4">
      <c r="B4160" s="612">
        <v>44096</v>
      </c>
    </row>
    <row r="4162" spans="2:5">
      <c r="B4162" t="s">
        <v>5728</v>
      </c>
    </row>
    <row r="4163" spans="2:5">
      <c r="C4163" t="s">
        <v>5729</v>
      </c>
    </row>
    <row r="4164" spans="2:5">
      <c r="C4164" t="s">
        <v>5730</v>
      </c>
    </row>
    <row r="4165" spans="2:5">
      <c r="C4165" t="s">
        <v>4847</v>
      </c>
      <c r="D4165" s="605" t="s">
        <v>5731</v>
      </c>
    </row>
    <row r="4166" spans="2:5">
      <c r="B4166" t="s">
        <v>4251</v>
      </c>
      <c r="C4166" s="264" t="s">
        <v>5732</v>
      </c>
    </row>
    <row r="4167" spans="2:5">
      <c r="B4167" t="s">
        <v>5733</v>
      </c>
      <c r="C4167" t="s">
        <v>5734</v>
      </c>
    </row>
    <row r="4168" spans="2:5">
      <c r="D4168" t="s">
        <v>5735</v>
      </c>
    </row>
    <row r="4169" spans="2:5">
      <c r="C4169" t="s">
        <v>5736</v>
      </c>
    </row>
    <row r="4170" spans="2:5">
      <c r="D4170" t="s">
        <v>5737</v>
      </c>
    </row>
    <row r="4171" spans="2:5">
      <c r="D4171" t="s">
        <v>5738</v>
      </c>
    </row>
    <row r="4172" spans="2:5">
      <c r="E4172" t="s">
        <v>5739</v>
      </c>
    </row>
    <row r="4173" spans="2:5">
      <c r="C4173" t="s">
        <v>5740</v>
      </c>
    </row>
    <row r="4174" spans="2:5">
      <c r="B4174" t="s">
        <v>5741</v>
      </c>
    </row>
    <row r="4175" spans="2:5">
      <c r="B4175" t="s">
        <v>52</v>
      </c>
    </row>
    <row r="4176" spans="2:5">
      <c r="C4176" t="s">
        <v>5742</v>
      </c>
    </row>
    <row r="4177" spans="2:4">
      <c r="D4177" t="s">
        <v>5743</v>
      </c>
    </row>
    <row r="4178" spans="2:4">
      <c r="D4178" t="s">
        <v>5744</v>
      </c>
    </row>
    <row r="4179" spans="2:4">
      <c r="B4179" t="s">
        <v>5745</v>
      </c>
      <c r="C4179" t="s">
        <v>5746</v>
      </c>
    </row>
    <row r="4180" spans="2:4">
      <c r="D4180" t="s">
        <v>5747</v>
      </c>
    </row>
    <row r="4181" spans="2:4">
      <c r="C4181" s="431">
        <v>2019</v>
      </c>
    </row>
    <row r="4182" spans="2:4">
      <c r="C4182" t="s">
        <v>5748</v>
      </c>
    </row>
    <row r="4183" spans="2:4">
      <c r="C4183" t="s">
        <v>5749</v>
      </c>
    </row>
    <row r="4184" spans="2:4">
      <c r="B4184" t="s">
        <v>5750</v>
      </c>
    </row>
    <row r="4185" spans="2:4">
      <c r="C4185" t="s">
        <v>5751</v>
      </c>
    </row>
    <row r="4186" spans="2:4">
      <c r="B4186" t="s">
        <v>938</v>
      </c>
    </row>
    <row r="4187" spans="2:4">
      <c r="C4187" t="s">
        <v>5752</v>
      </c>
    </row>
    <row r="4188" spans="2:4">
      <c r="D4188" t="s">
        <v>5753</v>
      </c>
    </row>
    <row r="4189" spans="2:4">
      <c r="D4189" t="s">
        <v>5754</v>
      </c>
    </row>
    <row r="4190" spans="2:4">
      <c r="C4190" t="s">
        <v>5755</v>
      </c>
    </row>
    <row r="4191" spans="2:4">
      <c r="C4191" t="s">
        <v>5756</v>
      </c>
    </row>
    <row r="4192" spans="2:4">
      <c r="B4192" t="s">
        <v>5757</v>
      </c>
    </row>
    <row r="4193" spans="2:4">
      <c r="B4193" t="s">
        <v>107</v>
      </c>
    </row>
    <row r="4195" spans="2:4">
      <c r="B4195" t="s">
        <v>2852</v>
      </c>
    </row>
    <row r="4196" spans="2:4">
      <c r="C4196" t="s">
        <v>5758</v>
      </c>
    </row>
    <row r="4197" spans="2:4">
      <c r="D4197" t="s">
        <v>5759</v>
      </c>
    </row>
    <row r="4199" spans="2:4">
      <c r="B4199" s="2" t="s">
        <v>5760</v>
      </c>
    </row>
    <row r="4200" spans="2:4">
      <c r="B4200" t="s">
        <v>5761</v>
      </c>
    </row>
    <row r="4201" spans="2:4">
      <c r="B4201" t="s">
        <v>5762</v>
      </c>
    </row>
    <row r="4203" spans="2:4">
      <c r="B4203" t="s">
        <v>5763</v>
      </c>
    </row>
    <row r="4204" spans="2:4">
      <c r="B4204" t="s">
        <v>5764</v>
      </c>
    </row>
    <row r="4205" spans="2:4">
      <c r="B4205" t="s">
        <v>5765</v>
      </c>
    </row>
    <row r="4206" spans="2:4">
      <c r="B4206" t="s">
        <v>154</v>
      </c>
    </row>
    <row r="4207" spans="2:4">
      <c r="C4207" t="s">
        <v>5766</v>
      </c>
    </row>
    <row r="4208" spans="2:4">
      <c r="B4208" t="s">
        <v>5767</v>
      </c>
    </row>
    <row r="4209" spans="2:6">
      <c r="C4209" t="s">
        <v>5768</v>
      </c>
    </row>
    <row r="4210" spans="2:6">
      <c r="C4210" t="s">
        <v>5769</v>
      </c>
    </row>
    <row r="4211" spans="2:6">
      <c r="B4211" t="s">
        <v>5770</v>
      </c>
    </row>
    <row r="4212" spans="2:6">
      <c r="C4212" t="s">
        <v>855</v>
      </c>
      <c r="E4212" s="4">
        <f>Master!T94</f>
        <v>1149.0999999999999</v>
      </c>
    </row>
    <row r="4213" spans="2:6">
      <c r="C4213" t="s">
        <v>5771</v>
      </c>
      <c r="E4213" s="4">
        <v>900</v>
      </c>
      <c r="F4213" s="3" t="s">
        <v>5772</v>
      </c>
    </row>
    <row r="4214" spans="2:6">
      <c r="B4214" t="s">
        <v>5773</v>
      </c>
    </row>
    <row r="4215" spans="2:6">
      <c r="C4215" t="s">
        <v>5774</v>
      </c>
      <c r="E4215" s="264" t="s">
        <v>5775</v>
      </c>
    </row>
    <row r="4216" spans="2:6">
      <c r="C4216" t="s">
        <v>5776</v>
      </c>
      <c r="E4216" t="s">
        <v>5777</v>
      </c>
    </row>
    <row r="4217" spans="2:6">
      <c r="E4217" t="s">
        <v>5778</v>
      </c>
    </row>
    <row r="4219" spans="2:6">
      <c r="B4219" s="121" t="s">
        <v>5779</v>
      </c>
    </row>
    <row r="4221" spans="2:6">
      <c r="B4221" s="2" t="s">
        <v>5780</v>
      </c>
    </row>
    <row r="4222" spans="2:6">
      <c r="B4222" t="s">
        <v>52</v>
      </c>
      <c r="C4222">
        <v>650</v>
      </c>
    </row>
    <row r="4223" spans="2:6">
      <c r="B4223" t="s">
        <v>97</v>
      </c>
      <c r="C4223">
        <v>250</v>
      </c>
    </row>
    <row r="4224" spans="2:6">
      <c r="B4224" s="61" t="s">
        <v>94</v>
      </c>
      <c r="C4224" s="420">
        <f>Master!S90</f>
        <v>26.7</v>
      </c>
    </row>
    <row r="4225" spans="2:3">
      <c r="B4225" t="s">
        <v>222</v>
      </c>
      <c r="C4225" s="4">
        <f>SUM(C4222:C4224)</f>
        <v>926.7</v>
      </c>
    </row>
    <row r="4227" spans="2:3">
      <c r="B4227" t="s">
        <v>5781</v>
      </c>
    </row>
    <row r="4228" spans="2:3">
      <c r="C4228" t="s">
        <v>5782</v>
      </c>
    </row>
    <row r="4229" spans="2:3">
      <c r="C4229" t="s">
        <v>5783</v>
      </c>
    </row>
    <row r="4230" spans="2:3">
      <c r="C4230" t="s">
        <v>5784</v>
      </c>
    </row>
    <row r="4231" spans="2:3">
      <c r="C4231" t="s">
        <v>5785</v>
      </c>
    </row>
    <row r="4234" spans="2:3">
      <c r="B4234" t="s">
        <v>5786</v>
      </c>
    </row>
    <row r="4235" spans="2:3">
      <c r="C4235" t="s">
        <v>5787</v>
      </c>
    </row>
    <row r="4236" spans="2:3">
      <c r="B4236" s="2" t="s">
        <v>5788</v>
      </c>
    </row>
    <row r="4237" spans="2:3">
      <c r="B4237" t="s">
        <v>5789</v>
      </c>
    </row>
    <row r="4238" spans="2:3">
      <c r="B4238" t="s">
        <v>5790</v>
      </c>
    </row>
    <row r="4239" spans="2:3">
      <c r="B4239" t="s">
        <v>5791</v>
      </c>
    </row>
    <row r="4240" spans="2:3">
      <c r="B4240" t="s">
        <v>5792</v>
      </c>
    </row>
    <row r="4242" spans="2:3">
      <c r="B4242" s="2" t="s">
        <v>5793</v>
      </c>
    </row>
    <row r="4243" spans="2:3">
      <c r="B4243" t="s">
        <v>5794</v>
      </c>
    </row>
    <row r="4244" spans="2:3">
      <c r="B4244" t="s">
        <v>5795</v>
      </c>
    </row>
    <row r="4245" spans="2:3">
      <c r="B4245" t="s">
        <v>5796</v>
      </c>
    </row>
    <row r="4246" spans="2:3">
      <c r="B4246" t="s">
        <v>5797</v>
      </c>
    </row>
    <row r="4248" spans="2:3">
      <c r="B4248" s="2" t="s">
        <v>5798</v>
      </c>
    </row>
    <row r="4250" spans="2:3">
      <c r="B4250" s="121" t="s">
        <v>5799</v>
      </c>
    </row>
    <row r="4252" spans="2:3">
      <c r="B4252" s="2" t="s">
        <v>1590</v>
      </c>
    </row>
    <row r="4253" spans="2:3">
      <c r="B4253" t="s">
        <v>5800</v>
      </c>
    </row>
    <row r="4254" spans="2:3">
      <c r="B4254" t="s">
        <v>5801</v>
      </c>
    </row>
    <row r="4255" spans="2:3">
      <c r="B4255" t="s">
        <v>5802</v>
      </c>
    </row>
    <row r="4256" spans="2:3">
      <c r="C4256" t="s">
        <v>5803</v>
      </c>
    </row>
    <row r="4257" spans="2:4">
      <c r="B4257" t="s">
        <v>5804</v>
      </c>
    </row>
    <row r="4258" spans="2:4">
      <c r="B4258" t="s">
        <v>5805</v>
      </c>
    </row>
    <row r="4259" spans="2:4">
      <c r="B4259" t="s">
        <v>5806</v>
      </c>
    </row>
    <row r="4260" spans="2:4">
      <c r="C4260" t="s">
        <v>5807</v>
      </c>
    </row>
    <row r="4261" spans="2:4">
      <c r="C4261" t="s">
        <v>5808</v>
      </c>
    </row>
    <row r="4263" spans="2:4">
      <c r="B4263" t="s">
        <v>5809</v>
      </c>
    </row>
    <row r="4264" spans="2:4">
      <c r="C4264" t="s">
        <v>5810</v>
      </c>
    </row>
    <row r="4265" spans="2:4">
      <c r="B4265" t="s">
        <v>1589</v>
      </c>
    </row>
    <row r="4266" spans="2:4">
      <c r="C4266" t="s">
        <v>5811</v>
      </c>
    </row>
    <row r="4267" spans="2:4">
      <c r="B4267" t="s">
        <v>120</v>
      </c>
    </row>
    <row r="4268" spans="2:4">
      <c r="C4268" t="s">
        <v>5812</v>
      </c>
    </row>
    <row r="4269" spans="2:4">
      <c r="C4269" t="s">
        <v>5813</v>
      </c>
    </row>
    <row r="4270" spans="2:4">
      <c r="C4270" t="s">
        <v>5814</v>
      </c>
    </row>
    <row r="4271" spans="2:4">
      <c r="D4271" t="s">
        <v>5815</v>
      </c>
    </row>
    <row r="4272" spans="2:4">
      <c r="B4272" t="s">
        <v>52</v>
      </c>
    </row>
    <row r="4273" spans="2:4">
      <c r="C4273" t="s">
        <v>5816</v>
      </c>
    </row>
    <row r="4274" spans="2:4">
      <c r="C4274" t="s">
        <v>5817</v>
      </c>
    </row>
    <row r="4275" spans="2:4">
      <c r="D4275" t="s">
        <v>5818</v>
      </c>
    </row>
    <row r="4276" spans="2:4">
      <c r="C4276" t="s">
        <v>5819</v>
      </c>
    </row>
    <row r="4277" spans="2:4">
      <c r="C4277" t="s">
        <v>5820</v>
      </c>
    </row>
    <row r="4278" spans="2:4">
      <c r="B4278" s="2" t="s">
        <v>2852</v>
      </c>
    </row>
    <row r="4279" spans="2:4">
      <c r="B4279" t="s">
        <v>51</v>
      </c>
    </row>
    <row r="4280" spans="2:4">
      <c r="C4280" t="s">
        <v>5821</v>
      </c>
    </row>
    <row r="4281" spans="2:4">
      <c r="B4281" t="s">
        <v>52</v>
      </c>
    </row>
    <row r="4282" spans="2:4">
      <c r="C4282" t="s">
        <v>5822</v>
      </c>
    </row>
    <row r="4283" spans="2:4">
      <c r="B4283" t="s">
        <v>4571</v>
      </c>
    </row>
    <row r="4284" spans="2:4">
      <c r="C4284" t="s">
        <v>5823</v>
      </c>
    </row>
    <row r="4285" spans="2:4">
      <c r="C4285" t="s">
        <v>5824</v>
      </c>
    </row>
    <row r="4286" spans="2:4">
      <c r="B4286" s="2" t="s">
        <v>1337</v>
      </c>
    </row>
    <row r="4287" spans="2:4">
      <c r="C4287" t="s">
        <v>5825</v>
      </c>
    </row>
    <row r="4289" spans="1:3">
      <c r="B4289" s="121" t="s">
        <v>5799</v>
      </c>
    </row>
    <row r="4291" spans="1:3">
      <c r="B4291" t="s">
        <v>5826</v>
      </c>
    </row>
    <row r="4292" spans="1:3">
      <c r="B4292" t="s">
        <v>5827</v>
      </c>
    </row>
    <row r="4293" spans="1:3">
      <c r="B4293" t="s">
        <v>5828</v>
      </c>
    </row>
    <row r="4294" spans="1:3">
      <c r="B4294" t="s">
        <v>5829</v>
      </c>
    </row>
    <row r="4295" spans="1:3">
      <c r="B4295" s="2" t="s">
        <v>94</v>
      </c>
    </row>
    <row r="4296" spans="1:3">
      <c r="A4296" t="s">
        <v>3129</v>
      </c>
      <c r="B4296" t="s">
        <v>5830</v>
      </c>
    </row>
    <row r="4297" spans="1:3">
      <c r="B4297" t="s">
        <v>5831</v>
      </c>
    </row>
    <row r="4298" spans="1:3">
      <c r="B4298" t="s">
        <v>5832</v>
      </c>
      <c r="C4298" s="122">
        <v>75000</v>
      </c>
    </row>
    <row r="4299" spans="1:3">
      <c r="B4299" s="2" t="s">
        <v>100</v>
      </c>
    </row>
    <row r="4301" spans="1:3">
      <c r="B4301" s="121" t="s">
        <v>2680</v>
      </c>
    </row>
    <row r="4302" spans="1:3">
      <c r="B4302" t="s">
        <v>100</v>
      </c>
    </row>
    <row r="4303" spans="1:3">
      <c r="C4303" t="s">
        <v>5833</v>
      </c>
    </row>
    <row r="4304" spans="1:3">
      <c r="C4304" t="s">
        <v>5834</v>
      </c>
    </row>
    <row r="4305" spans="2:4">
      <c r="C4305" t="s">
        <v>5835</v>
      </c>
    </row>
    <row r="4306" spans="2:4">
      <c r="C4306" t="s">
        <v>5836</v>
      </c>
    </row>
    <row r="4307" spans="2:4">
      <c r="C4307" t="s">
        <v>5837</v>
      </c>
    </row>
    <row r="4308" spans="2:4">
      <c r="C4308" t="s">
        <v>5838</v>
      </c>
    </row>
    <row r="4309" spans="2:4">
      <c r="B4309" t="s">
        <v>3351</v>
      </c>
    </row>
    <row r="4310" spans="2:4">
      <c r="C4310" t="s">
        <v>5839</v>
      </c>
    </row>
    <row r="4311" spans="2:4">
      <c r="B4311" t="s">
        <v>120</v>
      </c>
    </row>
    <row r="4312" spans="2:4">
      <c r="C4312" t="s">
        <v>5840</v>
      </c>
    </row>
    <row r="4313" spans="2:4">
      <c r="C4313" t="s">
        <v>5841</v>
      </c>
    </row>
    <row r="4314" spans="2:4">
      <c r="C4314" t="s">
        <v>5842</v>
      </c>
    </row>
    <row r="4315" spans="2:4">
      <c r="B4315" t="s">
        <v>1590</v>
      </c>
    </row>
    <row r="4316" spans="2:4">
      <c r="C4316" t="s">
        <v>5843</v>
      </c>
    </row>
    <row r="4317" spans="2:4">
      <c r="D4317" t="s">
        <v>5844</v>
      </c>
    </row>
    <row r="4318" spans="2:4">
      <c r="C4318" t="s">
        <v>5845</v>
      </c>
    </row>
    <row r="4319" spans="2:4">
      <c r="B4319" t="s">
        <v>52</v>
      </c>
    </row>
    <row r="4320" spans="2:4">
      <c r="C4320" t="s">
        <v>5846</v>
      </c>
    </row>
    <row r="4321" spans="2:3">
      <c r="C4321" t="s">
        <v>5847</v>
      </c>
    </row>
    <row r="4322" spans="2:3">
      <c r="C4322" t="s">
        <v>5848</v>
      </c>
    </row>
    <row r="4324" spans="2:3">
      <c r="B4324" s="121" t="s">
        <v>5849</v>
      </c>
    </row>
    <row r="4325" spans="2:3">
      <c r="B4325" t="s">
        <v>5850</v>
      </c>
      <c r="C4325" s="9">
        <v>1.4999999999999999E-2</v>
      </c>
    </row>
    <row r="4326" spans="2:3">
      <c r="B4326" s="61" t="s">
        <v>5851</v>
      </c>
      <c r="C4326" s="130" t="s">
        <v>5852</v>
      </c>
    </row>
    <row r="4327" spans="2:3">
      <c r="B4327" t="s">
        <v>85</v>
      </c>
      <c r="C4327" s="10">
        <v>0.06</v>
      </c>
    </row>
    <row r="4329" spans="2:3">
      <c r="B4329" s="2" t="s">
        <v>120</v>
      </c>
    </row>
    <row r="4330" spans="2:3">
      <c r="B4330" t="s">
        <v>5853</v>
      </c>
      <c r="C4330" t="s">
        <v>5854</v>
      </c>
    </row>
    <row r="4331" spans="2:3">
      <c r="B4331" t="s">
        <v>5855</v>
      </c>
    </row>
    <row r="4332" spans="2:3">
      <c r="B4332" t="s">
        <v>5856</v>
      </c>
    </row>
    <row r="4333" spans="2:3">
      <c r="B4333" t="s">
        <v>5857</v>
      </c>
    </row>
    <row r="4334" spans="2:3">
      <c r="B4334" t="s">
        <v>5858</v>
      </c>
    </row>
    <row r="4335" spans="2:3">
      <c r="C4335" t="s">
        <v>5859</v>
      </c>
    </row>
    <row r="4336" spans="2:3">
      <c r="C4336" t="s">
        <v>5860</v>
      </c>
    </row>
    <row r="4337" spans="2:5">
      <c r="C4337" t="s">
        <v>5861</v>
      </c>
    </row>
    <row r="4338" spans="2:5">
      <c r="D4338" t="s">
        <v>2045</v>
      </c>
      <c r="E4338" s="527" t="s">
        <v>5862</v>
      </c>
    </row>
    <row r="4339" spans="2:5">
      <c r="C4339" t="s">
        <v>5863</v>
      </c>
      <c r="E4339" s="8"/>
    </row>
    <row r="4340" spans="2:5">
      <c r="C4340" t="s">
        <v>5864</v>
      </c>
      <c r="E4340" s="8"/>
    </row>
    <row r="4341" spans="2:5">
      <c r="B4341" t="s">
        <v>120</v>
      </c>
      <c r="E4341" s="8"/>
    </row>
    <row r="4342" spans="2:5">
      <c r="C4342" t="s">
        <v>5865</v>
      </c>
      <c r="E4342" s="8"/>
    </row>
    <row r="4343" spans="2:5">
      <c r="C4343" t="s">
        <v>5866</v>
      </c>
      <c r="E4343" s="8"/>
    </row>
    <row r="4344" spans="2:5">
      <c r="C4344" t="s">
        <v>5867</v>
      </c>
      <c r="E4344" s="8"/>
    </row>
    <row r="4345" spans="2:5">
      <c r="C4345" t="s">
        <v>5868</v>
      </c>
      <c r="E4345" s="8"/>
    </row>
    <row r="4346" spans="2:5">
      <c r="B4346" t="s">
        <v>5869</v>
      </c>
    </row>
    <row r="4347" spans="2:5">
      <c r="C4347" t="s">
        <v>5870</v>
      </c>
    </row>
    <row r="4348" spans="2:5">
      <c r="B4348" t="s">
        <v>1384</v>
      </c>
    </row>
    <row r="4349" spans="2:5">
      <c r="C4349" t="s">
        <v>5871</v>
      </c>
    </row>
    <row r="4350" spans="2:5">
      <c r="C4350" t="s">
        <v>5872</v>
      </c>
    </row>
    <row r="4351" spans="2:5">
      <c r="C4351" t="s">
        <v>5873</v>
      </c>
    </row>
    <row r="4352" spans="2:5">
      <c r="B4352" t="s">
        <v>1591</v>
      </c>
    </row>
    <row r="4353" spans="2:3">
      <c r="B4353" t="s">
        <v>5874</v>
      </c>
    </row>
    <row r="4354" spans="2:3">
      <c r="C4354" t="s">
        <v>5875</v>
      </c>
    </row>
    <row r="4355" spans="2:3">
      <c r="B4355" t="s">
        <v>5876</v>
      </c>
    </row>
    <row r="4356" spans="2:3">
      <c r="B4356" t="s">
        <v>52</v>
      </c>
    </row>
    <row r="4357" spans="2:3">
      <c r="C4357" t="s">
        <v>5877</v>
      </c>
    </row>
    <row r="4358" spans="2:3">
      <c r="B4358" t="s">
        <v>5878</v>
      </c>
    </row>
    <row r="4359" spans="2:3">
      <c r="B4359" t="s">
        <v>5879</v>
      </c>
    </row>
    <row r="4360" spans="2:3">
      <c r="C4360" t="s">
        <v>5880</v>
      </c>
    </row>
    <row r="4361" spans="2:3">
      <c r="C4361" t="s">
        <v>5881</v>
      </c>
    </row>
    <row r="4362" spans="2:3">
      <c r="C4362" t="s">
        <v>5882</v>
      </c>
    </row>
    <row r="4363" spans="2:3">
      <c r="C4363" t="s">
        <v>5883</v>
      </c>
    </row>
    <row r="4364" spans="2:3">
      <c r="B4364" t="s">
        <v>1784</v>
      </c>
    </row>
    <row r="4365" spans="2:3">
      <c r="C4365" t="s">
        <v>5884</v>
      </c>
    </row>
    <row r="4366" spans="2:3">
      <c r="C4366" t="s">
        <v>5885</v>
      </c>
    </row>
    <row r="4367" spans="2:3">
      <c r="C4367" t="s">
        <v>5886</v>
      </c>
    </row>
    <row r="4368" spans="2:3">
      <c r="C4368" t="s">
        <v>5887</v>
      </c>
    </row>
    <row r="4369" spans="2:4">
      <c r="C4369" t="s">
        <v>5888</v>
      </c>
    </row>
    <row r="4370" spans="2:4">
      <c r="B4370" t="s">
        <v>5889</v>
      </c>
    </row>
    <row r="4371" spans="2:4">
      <c r="C4371" t="s">
        <v>52</v>
      </c>
      <c r="D4371" t="s">
        <v>5890</v>
      </c>
    </row>
    <row r="4372" spans="2:4">
      <c r="D4372" t="s">
        <v>5891</v>
      </c>
    </row>
    <row r="4373" spans="2:4">
      <c r="B4373" t="s">
        <v>5892</v>
      </c>
    </row>
    <row r="4374" spans="2:4">
      <c r="B4374" t="s">
        <v>5893</v>
      </c>
    </row>
    <row r="4376" spans="2:4">
      <c r="B4376" s="121" t="s">
        <v>5894</v>
      </c>
    </row>
    <row r="4378" spans="2:4">
      <c r="B4378" t="s">
        <v>5895</v>
      </c>
      <c r="C4378" t="s">
        <v>5896</v>
      </c>
    </row>
    <row r="4380" spans="2:4">
      <c r="B4380" t="s">
        <v>5897</v>
      </c>
      <c r="C4380" t="s">
        <v>5898</v>
      </c>
    </row>
    <row r="4381" spans="2:4">
      <c r="C4381" t="s">
        <v>5899</v>
      </c>
    </row>
    <row r="4382" spans="2:4">
      <c r="C4382" t="s">
        <v>5900</v>
      </c>
    </row>
    <row r="4383" spans="2:4">
      <c r="C4383" t="s">
        <v>5901</v>
      </c>
    </row>
    <row r="4384" spans="2:4">
      <c r="B4384" t="s">
        <v>5902</v>
      </c>
    </row>
    <row r="4385" spans="2:3">
      <c r="C4385" t="s">
        <v>5903</v>
      </c>
    </row>
    <row r="4386" spans="2:3">
      <c r="C4386" t="s">
        <v>5904</v>
      </c>
    </row>
    <row r="4387" spans="2:3">
      <c r="C4387" t="s">
        <v>5905</v>
      </c>
    </row>
    <row r="4388" spans="2:3">
      <c r="C4388" t="s">
        <v>5906</v>
      </c>
    </row>
    <row r="4389" spans="2:3">
      <c r="B4389" t="s">
        <v>5907</v>
      </c>
    </row>
    <row r="4390" spans="2:3">
      <c r="C4390" t="s">
        <v>5908</v>
      </c>
    </row>
    <row r="4391" spans="2:3">
      <c r="C4391" t="s">
        <v>5909</v>
      </c>
    </row>
    <row r="4392" spans="2:3">
      <c r="C4392" t="s">
        <v>5910</v>
      </c>
    </row>
    <row r="4393" spans="2:3">
      <c r="C4393" t="s">
        <v>5911</v>
      </c>
    </row>
    <row r="4394" spans="2:3">
      <c r="B4394" t="s">
        <v>5912</v>
      </c>
    </row>
    <row r="4395" spans="2:3">
      <c r="C4395" t="s">
        <v>5913</v>
      </c>
    </row>
    <row r="4396" spans="2:3">
      <c r="C4396" t="s">
        <v>5914</v>
      </c>
    </row>
    <row r="4397" spans="2:3">
      <c r="C4397" t="s">
        <v>5915</v>
      </c>
    </row>
    <row r="4398" spans="2:3">
      <c r="C4398" t="s">
        <v>5916</v>
      </c>
    </row>
    <row r="4399" spans="2:3">
      <c r="C4399" t="s">
        <v>5917</v>
      </c>
    </row>
    <row r="4400" spans="2:3">
      <c r="B4400" t="s">
        <v>5918</v>
      </c>
    </row>
    <row r="4401" spans="2:6">
      <c r="C4401" t="s">
        <v>5919</v>
      </c>
    </row>
    <row r="4402" spans="2:6">
      <c r="C4402" t="s">
        <v>5920</v>
      </c>
    </row>
    <row r="4403" spans="2:6">
      <c r="C4403" t="s">
        <v>5921</v>
      </c>
    </row>
    <row r="4404" spans="2:6">
      <c r="C4404" t="s">
        <v>5922</v>
      </c>
    </row>
    <row r="4405" spans="2:6">
      <c r="C4405" t="s">
        <v>5923</v>
      </c>
    </row>
    <row r="4406" spans="2:6">
      <c r="C4406" t="s">
        <v>5924</v>
      </c>
    </row>
    <row r="4408" spans="2:6">
      <c r="C4408" s="3" t="s">
        <v>120</v>
      </c>
      <c r="D4408" s="3" t="s">
        <v>6</v>
      </c>
      <c r="E4408" t="s">
        <v>2132</v>
      </c>
      <c r="F4408" t="s">
        <v>5925</v>
      </c>
    </row>
    <row r="4409" spans="2:6">
      <c r="C4409" s="122">
        <f>Univision!L5</f>
        <v>2678.9</v>
      </c>
      <c r="D4409" s="122">
        <f>Master!T17/20</f>
        <v>1797.095</v>
      </c>
      <c r="E4409" s="122">
        <f>C4409+D4409-F4409</f>
        <v>475.99499999999989</v>
      </c>
      <c r="F4409">
        <v>4000</v>
      </c>
    </row>
    <row r="4410" spans="2:6">
      <c r="C4410" s="122">
        <f>Univision!L14</f>
        <v>977.79849999999999</v>
      </c>
      <c r="D4410" s="122">
        <f>Master!T53/20</f>
        <v>688.95</v>
      </c>
      <c r="E4410" s="122">
        <f>C4410+D4410-F4410</f>
        <v>66.748500000000149</v>
      </c>
      <c r="F4410">
        <v>1600</v>
      </c>
    </row>
    <row r="4411" spans="2:6">
      <c r="B4411" t="s">
        <v>5926</v>
      </c>
    </row>
    <row r="4412" spans="2:6">
      <c r="C4412" t="s">
        <v>5927</v>
      </c>
    </row>
    <row r="4413" spans="2:6">
      <c r="C4413" t="s">
        <v>5928</v>
      </c>
    </row>
    <row r="4414" spans="2:6">
      <c r="B4414" t="s">
        <v>5929</v>
      </c>
    </row>
    <row r="4415" spans="2:6">
      <c r="C4415" t="s">
        <v>5930</v>
      </c>
    </row>
    <row r="4416" spans="2:6">
      <c r="C4416" t="s">
        <v>5931</v>
      </c>
    </row>
    <row r="4417" spans="2:4">
      <c r="B4417" t="s">
        <v>5932</v>
      </c>
    </row>
    <row r="4418" spans="2:4">
      <c r="C4418" t="s">
        <v>5933</v>
      </c>
    </row>
    <row r="4419" spans="2:4">
      <c r="C4419" t="s">
        <v>5934</v>
      </c>
    </row>
    <row r="4420" spans="2:4">
      <c r="C4420" t="s">
        <v>5935</v>
      </c>
    </row>
    <row r="4421" spans="2:4">
      <c r="C4421" t="s">
        <v>5936</v>
      </c>
    </row>
    <row r="4422" spans="2:4">
      <c r="C4422" t="s">
        <v>5937</v>
      </c>
    </row>
    <row r="4423" spans="2:4">
      <c r="B4423" t="s">
        <v>5938</v>
      </c>
    </row>
    <row r="4424" spans="2:4">
      <c r="B4424" t="s">
        <v>5939</v>
      </c>
    </row>
    <row r="4425" spans="2:4">
      <c r="B4425" t="s">
        <v>5940</v>
      </c>
    </row>
    <row r="4426" spans="2:4">
      <c r="C4426" t="s">
        <v>5941</v>
      </c>
    </row>
    <row r="4427" spans="2:4">
      <c r="C4427" t="s">
        <v>5942</v>
      </c>
    </row>
    <row r="4428" spans="2:4">
      <c r="D4428" t="s">
        <v>5943</v>
      </c>
    </row>
    <row r="4429" spans="2:4">
      <c r="C4429" t="s">
        <v>4612</v>
      </c>
    </row>
    <row r="4430" spans="2:4">
      <c r="D4430" t="s">
        <v>5944</v>
      </c>
    </row>
    <row r="4431" spans="2:4">
      <c r="D4431" t="s">
        <v>5945</v>
      </c>
    </row>
    <row r="4432" spans="2:4">
      <c r="C4432" t="s">
        <v>4614</v>
      </c>
    </row>
    <row r="4433" spans="2:5">
      <c r="D4433" t="s">
        <v>5946</v>
      </c>
    </row>
    <row r="4434" spans="2:5">
      <c r="D4434" t="s">
        <v>5947</v>
      </c>
    </row>
    <row r="4435" spans="2:5">
      <c r="D4435" t="s">
        <v>5948</v>
      </c>
    </row>
    <row r="4436" spans="2:5">
      <c r="B4436" s="121" t="s">
        <v>2680</v>
      </c>
    </row>
    <row r="4437" spans="2:5">
      <c r="B4437" s="2"/>
    </row>
    <row r="4438" spans="2:5">
      <c r="B4438" t="s">
        <v>5949</v>
      </c>
    </row>
    <row r="4439" spans="2:5">
      <c r="C4439" t="s">
        <v>5950</v>
      </c>
      <c r="E4439">
        <f>2.7/0.45</f>
        <v>6</v>
      </c>
    </row>
    <row r="4440" spans="2:5">
      <c r="C4440" t="s">
        <v>5951</v>
      </c>
    </row>
    <row r="4441" spans="2:5">
      <c r="B4441" t="s">
        <v>5952</v>
      </c>
    </row>
    <row r="4442" spans="2:5">
      <c r="C4442" t="s">
        <v>5953</v>
      </c>
    </row>
    <row r="4443" spans="2:5">
      <c r="C4443" t="s">
        <v>5954</v>
      </c>
    </row>
    <row r="4444" spans="2:5">
      <c r="B4444" s="2" t="s">
        <v>5955</v>
      </c>
    </row>
    <row r="4445" spans="2:5">
      <c r="B4445" t="s">
        <v>5956</v>
      </c>
      <c r="C4445" s="8">
        <v>0.38</v>
      </c>
    </row>
    <row r="4446" spans="2:5">
      <c r="B4446" t="s">
        <v>5957</v>
      </c>
      <c r="C4446" s="8">
        <v>0.17</v>
      </c>
    </row>
    <row r="4448" spans="2:5">
      <c r="B4448" t="s">
        <v>5958</v>
      </c>
    </row>
    <row r="4450" spans="2:4">
      <c r="B4450" t="s">
        <v>5959</v>
      </c>
    </row>
    <row r="4451" spans="2:4">
      <c r="B4451" t="s">
        <v>5960</v>
      </c>
    </row>
    <row r="4452" spans="2:4">
      <c r="C4452" t="s">
        <v>5961</v>
      </c>
    </row>
    <row r="4453" spans="2:4">
      <c r="D4453" t="s">
        <v>5962</v>
      </c>
    </row>
    <row r="4454" spans="2:4">
      <c r="B4454" t="s">
        <v>5963</v>
      </c>
    </row>
    <row r="4455" spans="2:4">
      <c r="C4455" t="s">
        <v>5964</v>
      </c>
    </row>
    <row r="4456" spans="2:4">
      <c r="B4456" t="s">
        <v>5965</v>
      </c>
    </row>
    <row r="4457" spans="2:4">
      <c r="C4457" t="s">
        <v>5966</v>
      </c>
    </row>
    <row r="4458" spans="2:4">
      <c r="C4458" t="s">
        <v>5967</v>
      </c>
    </row>
    <row r="4459" spans="2:4">
      <c r="D4459" t="s">
        <v>5968</v>
      </c>
    </row>
    <row r="4460" spans="2:4">
      <c r="C4460" t="s">
        <v>5969</v>
      </c>
    </row>
    <row r="4461" spans="2:4">
      <c r="D4461" t="s">
        <v>5970</v>
      </c>
    </row>
    <row r="4462" spans="2:4">
      <c r="D4462" t="s">
        <v>5971</v>
      </c>
    </row>
    <row r="4463" spans="2:4">
      <c r="D4463" t="s">
        <v>5972</v>
      </c>
    </row>
    <row r="4464" spans="2:4">
      <c r="B4464" s="121" t="s">
        <v>5973</v>
      </c>
    </row>
    <row r="4465" spans="2:4">
      <c r="B4465" s="121"/>
    </row>
    <row r="4466" spans="2:4">
      <c r="B4466" s="121" t="s">
        <v>5974</v>
      </c>
    </row>
    <row r="4467" spans="2:4">
      <c r="B4467" t="s">
        <v>1385</v>
      </c>
      <c r="C4467" t="s">
        <v>5975</v>
      </c>
      <c r="D4467" t="s">
        <v>5976</v>
      </c>
    </row>
    <row r="4468" spans="2:4">
      <c r="B4468" t="s">
        <v>1544</v>
      </c>
      <c r="C4468" t="s">
        <v>5977</v>
      </c>
      <c r="D4468" t="s">
        <v>5978</v>
      </c>
    </row>
    <row r="4469" spans="2:4">
      <c r="B4469" t="s">
        <v>5979</v>
      </c>
      <c r="C4469" t="s">
        <v>5980</v>
      </c>
    </row>
    <row r="4471" spans="2:4">
      <c r="D4471" t="s">
        <v>5981</v>
      </c>
    </row>
    <row r="4473" spans="2:4">
      <c r="B4473" t="s">
        <v>5982</v>
      </c>
    </row>
    <row r="4474" spans="2:4">
      <c r="C4474" t="s">
        <v>5983</v>
      </c>
    </row>
    <row r="4475" spans="2:4">
      <c r="B4475" t="s">
        <v>5984</v>
      </c>
    </row>
    <row r="4476" spans="2:4">
      <c r="B4476" t="s">
        <v>5985</v>
      </c>
    </row>
    <row r="4477" spans="2:4">
      <c r="B4477" t="s">
        <v>5986</v>
      </c>
    </row>
    <row r="4479" spans="2:4">
      <c r="B4479" t="s">
        <v>5987</v>
      </c>
    </row>
    <row r="4480" spans="2:4">
      <c r="C4480" t="s">
        <v>5988</v>
      </c>
    </row>
    <row r="4481" spans="2:5">
      <c r="B4481" t="s">
        <v>5989</v>
      </c>
    </row>
    <row r="4483" spans="2:5">
      <c r="B4483" t="s">
        <v>120</v>
      </c>
      <c r="C4483" t="s">
        <v>5990</v>
      </c>
    </row>
    <row r="4484" spans="2:5">
      <c r="B4484" t="s">
        <v>5991</v>
      </c>
    </row>
    <row r="4485" spans="2:5">
      <c r="B4485" t="s">
        <v>5992</v>
      </c>
    </row>
    <row r="4487" spans="2:5">
      <c r="B4487" t="s">
        <v>5993</v>
      </c>
    </row>
    <row r="4488" spans="2:5">
      <c r="C4488" t="s">
        <v>5994</v>
      </c>
    </row>
    <row r="4489" spans="2:5">
      <c r="C4489" t="s">
        <v>5995</v>
      </c>
      <c r="E4489" t="s">
        <v>5996</v>
      </c>
    </row>
    <row r="4490" spans="2:5">
      <c r="C4490" t="s">
        <v>5997</v>
      </c>
      <c r="E4490" s="9">
        <v>5.5E-2</v>
      </c>
    </row>
    <row r="4491" spans="2:5">
      <c r="E4491" s="9" t="s">
        <v>5998</v>
      </c>
    </row>
    <row r="4492" spans="2:5">
      <c r="B4492" t="s">
        <v>5999</v>
      </c>
    </row>
    <row r="4493" spans="2:5">
      <c r="B4493" t="s">
        <v>6000</v>
      </c>
    </row>
    <row r="4494" spans="2:5">
      <c r="C4494">
        <f>1500/0.25</f>
        <v>6000</v>
      </c>
    </row>
    <row r="4495" spans="2:5">
      <c r="B4495" t="s">
        <v>120</v>
      </c>
    </row>
    <row r="4496" spans="2:5">
      <c r="C4496" t="s">
        <v>6001</v>
      </c>
      <c r="D4496">
        <v>1850</v>
      </c>
      <c r="E4496">
        <f>6*1.85</f>
        <v>11.100000000000001</v>
      </c>
    </row>
    <row r="4497" spans="2:5">
      <c r="B4497" t="s">
        <v>6002</v>
      </c>
      <c r="D4497">
        <v>9000</v>
      </c>
      <c r="E4497" s="419">
        <f>D4497/1800</f>
        <v>5</v>
      </c>
    </row>
    <row r="4499" spans="2:5">
      <c r="B4499" t="s">
        <v>6003</v>
      </c>
    </row>
    <row r="4500" spans="2:5">
      <c r="B4500" t="s">
        <v>6004</v>
      </c>
    </row>
    <row r="4501" spans="2:5">
      <c r="B4501" t="s">
        <v>6005</v>
      </c>
    </row>
    <row r="4502" spans="2:5">
      <c r="B4502" t="s">
        <v>6006</v>
      </c>
      <c r="C4502" t="s">
        <v>6007</v>
      </c>
    </row>
    <row r="4503" spans="2:5">
      <c r="C4503" t="s">
        <v>6008</v>
      </c>
    </row>
    <row r="4504" spans="2:5">
      <c r="B4504" s="2" t="s">
        <v>6009</v>
      </c>
    </row>
    <row r="4505" spans="2:5">
      <c r="B4505" t="s">
        <v>6010</v>
      </c>
    </row>
    <row r="4506" spans="2:5">
      <c r="B4506" t="s">
        <v>6011</v>
      </c>
    </row>
    <row r="4507" spans="2:5">
      <c r="B4507" t="s">
        <v>1384</v>
      </c>
    </row>
    <row r="4508" spans="2:5">
      <c r="C4508" t="s">
        <v>6012</v>
      </c>
    </row>
    <row r="4509" spans="2:5">
      <c r="C4509" t="s">
        <v>6013</v>
      </c>
    </row>
    <row r="4510" spans="2:5">
      <c r="C4510" t="s">
        <v>6014</v>
      </c>
    </row>
    <row r="4511" spans="2:5">
      <c r="D4511" t="s">
        <v>6015</v>
      </c>
    </row>
    <row r="4512" spans="2:5">
      <c r="C4512" t="s">
        <v>6016</v>
      </c>
    </row>
    <row r="4513" spans="2:4">
      <c r="D4513" t="s">
        <v>6017</v>
      </c>
    </row>
    <row r="4514" spans="2:4">
      <c r="C4514" t="s">
        <v>6018</v>
      </c>
    </row>
    <row r="4515" spans="2:4">
      <c r="C4515" t="s">
        <v>6019</v>
      </c>
    </row>
    <row r="4516" spans="2:4">
      <c r="B4516" t="s">
        <v>6020</v>
      </c>
    </row>
    <row r="4517" spans="2:4">
      <c r="C4517" t="s">
        <v>6021</v>
      </c>
    </row>
    <row r="4518" spans="2:4">
      <c r="B4518" t="s">
        <v>6022</v>
      </c>
    </row>
    <row r="4519" spans="2:4">
      <c r="B4519" t="s">
        <v>6023</v>
      </c>
    </row>
    <row r="4520" spans="2:4">
      <c r="B4520" t="s">
        <v>6024</v>
      </c>
    </row>
    <row r="4521" spans="2:4">
      <c r="C4521" t="s">
        <v>6025</v>
      </c>
    </row>
    <row r="4522" spans="2:4">
      <c r="C4522" t="s">
        <v>6026</v>
      </c>
    </row>
    <row r="4523" spans="2:4">
      <c r="B4523" t="s">
        <v>6027</v>
      </c>
    </row>
    <row r="4524" spans="2:4">
      <c r="C4524" t="s">
        <v>6028</v>
      </c>
    </row>
    <row r="4525" spans="2:4">
      <c r="C4525" t="s">
        <v>6029</v>
      </c>
    </row>
    <row r="4526" spans="2:4">
      <c r="C4526" t="s">
        <v>6030</v>
      </c>
    </row>
    <row r="4527" spans="2:4">
      <c r="C4527" t="s">
        <v>6031</v>
      </c>
    </row>
    <row r="4528" spans="2:4">
      <c r="C4528" t="s">
        <v>6032</v>
      </c>
    </row>
    <row r="4529" spans="1:4">
      <c r="D4529" t="s">
        <v>6033</v>
      </c>
    </row>
    <row r="4530" spans="1:4">
      <c r="C4530" t="s">
        <v>6034</v>
      </c>
    </row>
    <row r="4532" spans="1:4">
      <c r="B4532" s="121" t="s">
        <v>6035</v>
      </c>
    </row>
    <row r="4534" spans="1:4">
      <c r="B4534" t="s">
        <v>6036</v>
      </c>
    </row>
    <row r="4535" spans="1:4">
      <c r="B4535" t="s">
        <v>6037</v>
      </c>
    </row>
    <row r="4536" spans="1:4">
      <c r="B4536" t="s">
        <v>6038</v>
      </c>
    </row>
    <row r="4537" spans="1:4">
      <c r="A4537" t="s">
        <v>3129</v>
      </c>
      <c r="B4537" t="s">
        <v>6039</v>
      </c>
      <c r="D4537" t="s">
        <v>6040</v>
      </c>
    </row>
    <row r="4539" spans="1:4">
      <c r="A4539" t="s">
        <v>3129</v>
      </c>
      <c r="B4539" t="s">
        <v>6041</v>
      </c>
    </row>
    <row r="4540" spans="1:4">
      <c r="B4540" t="s">
        <v>6042</v>
      </c>
    </row>
    <row r="4541" spans="1:4">
      <c r="B4541" t="s">
        <v>6043</v>
      </c>
    </row>
    <row r="4543" spans="1:4">
      <c r="B4543" t="s">
        <v>6044</v>
      </c>
    </row>
    <row r="4544" spans="1:4">
      <c r="B4544" t="s">
        <v>6045</v>
      </c>
    </row>
    <row r="4546" spans="1:4">
      <c r="B4546" s="2" t="s">
        <v>6046</v>
      </c>
    </row>
    <row r="4547" spans="1:4">
      <c r="B4547" t="s">
        <v>6047</v>
      </c>
    </row>
    <row r="4548" spans="1:4">
      <c r="B4548" t="s">
        <v>6048</v>
      </c>
    </row>
    <row r="4549" spans="1:4">
      <c r="B4549" t="s">
        <v>6049</v>
      </c>
    </row>
    <row r="4550" spans="1:4">
      <c r="B4550" t="s">
        <v>6050</v>
      </c>
    </row>
    <row r="4551" spans="1:4">
      <c r="C4551" t="s">
        <v>6051</v>
      </c>
    </row>
    <row r="4552" spans="1:4">
      <c r="C4552" t="s">
        <v>6052</v>
      </c>
    </row>
    <row r="4553" spans="1:4">
      <c r="B4553" t="s">
        <v>6053</v>
      </c>
    </row>
    <row r="4554" spans="1:4">
      <c r="C4554" t="s">
        <v>6054</v>
      </c>
    </row>
    <row r="4555" spans="1:4">
      <c r="C4555" s="136">
        <f>200/2</f>
        <v>100</v>
      </c>
      <c r="D4555" t="s">
        <v>6055</v>
      </c>
    </row>
    <row r="4556" spans="1:4">
      <c r="C4556" t="s">
        <v>6056</v>
      </c>
    </row>
    <row r="4557" spans="1:4">
      <c r="C4557" t="s">
        <v>6057</v>
      </c>
    </row>
    <row r="4558" spans="1:4">
      <c r="C4558" t="s">
        <v>6058</v>
      </c>
    </row>
    <row r="4559" spans="1:4">
      <c r="A4559" t="s">
        <v>3129</v>
      </c>
      <c r="B4559" t="s">
        <v>6059</v>
      </c>
    </row>
    <row r="4560" spans="1:4">
      <c r="C4560" t="s">
        <v>1784</v>
      </c>
    </row>
    <row r="4561" spans="1:3">
      <c r="C4561" t="s">
        <v>557</v>
      </c>
    </row>
    <row r="4562" spans="1:3">
      <c r="C4562" t="s">
        <v>476</v>
      </c>
    </row>
    <row r="4563" spans="1:3">
      <c r="B4563" t="s">
        <v>6060</v>
      </c>
    </row>
    <row r="4564" spans="1:3">
      <c r="B4564" t="s">
        <v>6061</v>
      </c>
    </row>
    <row r="4565" spans="1:3">
      <c r="A4565" t="s">
        <v>3129</v>
      </c>
      <c r="B4565" t="s">
        <v>6062</v>
      </c>
    </row>
    <row r="4566" spans="1:3">
      <c r="B4566" t="s">
        <v>6063</v>
      </c>
    </row>
    <row r="4568" spans="1:3">
      <c r="B4568" t="s">
        <v>6064</v>
      </c>
    </row>
    <row r="4569" spans="1:3">
      <c r="B4569" t="s">
        <v>6065</v>
      </c>
    </row>
    <row r="4571" spans="1:3">
      <c r="B4571" t="s">
        <v>6066</v>
      </c>
    </row>
    <row r="4573" spans="1:3">
      <c r="B4573" t="s">
        <v>6067</v>
      </c>
    </row>
    <row r="4574" spans="1:3">
      <c r="C4574" t="s">
        <v>6068</v>
      </c>
    </row>
    <row r="4575" spans="1:3">
      <c r="B4575" t="s">
        <v>6069</v>
      </c>
    </row>
    <row r="4576" spans="1:3">
      <c r="C4576" t="s">
        <v>6070</v>
      </c>
    </row>
    <row r="4577" spans="2:3">
      <c r="C4577" t="s">
        <v>6071</v>
      </c>
    </row>
    <row r="4579" spans="2:3" ht="16.5">
      <c r="B4579" s="199"/>
      <c r="C4579" s="616" t="s">
        <v>10</v>
      </c>
    </row>
    <row r="4580" spans="2:3" ht="16.5">
      <c r="B4580" s="193" t="s">
        <v>6072</v>
      </c>
      <c r="C4580" s="207">
        <v>1800</v>
      </c>
    </row>
    <row r="4581" spans="2:3" ht="16.5">
      <c r="B4581" s="193" t="s">
        <v>1041</v>
      </c>
      <c r="C4581" s="617" t="s">
        <v>6073</v>
      </c>
    </row>
    <row r="4582" spans="2:3" ht="16.5">
      <c r="B4582" s="199" t="s">
        <v>1051</v>
      </c>
      <c r="C4582" s="616" t="s">
        <v>6074</v>
      </c>
    </row>
    <row r="4583" spans="2:3" ht="16.5">
      <c r="B4583" s="193" t="s">
        <v>6075</v>
      </c>
      <c r="C4583" s="207">
        <v>1000</v>
      </c>
    </row>
    <row r="4584" spans="2:3" ht="16.5">
      <c r="B4584" s="193"/>
      <c r="C4584" s="193"/>
    </row>
    <row r="4585" spans="2:3" ht="16.5">
      <c r="B4585" s="193" t="s">
        <v>6076</v>
      </c>
      <c r="C4585" s="618">
        <v>6000</v>
      </c>
    </row>
    <row r="4586" spans="2:3" ht="16.5">
      <c r="B4586" s="193" t="s">
        <v>6077</v>
      </c>
      <c r="C4586" s="619">
        <f>C4583/C4585</f>
        <v>0.16666666666666666</v>
      </c>
    </row>
    <row r="4589" spans="2:3">
      <c r="B4589" s="121" t="s">
        <v>120</v>
      </c>
    </row>
    <row r="4590" spans="2:3">
      <c r="B4590" s="121" t="s">
        <v>6078</v>
      </c>
      <c r="C4590" s="121" t="s">
        <v>6079</v>
      </c>
    </row>
    <row r="4591" spans="2:3">
      <c r="B4591" t="s">
        <v>6080</v>
      </c>
    </row>
    <row r="4592" spans="2:3">
      <c r="B4592" t="s">
        <v>6081</v>
      </c>
    </row>
    <row r="4593" spans="2:4">
      <c r="B4593" t="s">
        <v>6082</v>
      </c>
    </row>
    <row r="4594" spans="2:4">
      <c r="C4594" t="s">
        <v>6083</v>
      </c>
    </row>
    <row r="4595" spans="2:4">
      <c r="C4595" t="s">
        <v>6084</v>
      </c>
    </row>
    <row r="4596" spans="2:4">
      <c r="C4596" t="s">
        <v>6085</v>
      </c>
    </row>
    <row r="4597" spans="2:4">
      <c r="C4597" t="s">
        <v>6086</v>
      </c>
    </row>
    <row r="4598" spans="2:4">
      <c r="D4598" t="s">
        <v>6087</v>
      </c>
    </row>
    <row r="4599" spans="2:4">
      <c r="C4599" t="s">
        <v>6088</v>
      </c>
    </row>
    <row r="4600" spans="2:4">
      <c r="C4600" t="s">
        <v>6089</v>
      </c>
    </row>
    <row r="4601" spans="2:4">
      <c r="B4601" t="s">
        <v>6090</v>
      </c>
    </row>
    <row r="4602" spans="2:4">
      <c r="C4602" t="s">
        <v>6091</v>
      </c>
    </row>
    <row r="4603" spans="2:4">
      <c r="C4603" t="s">
        <v>6092</v>
      </c>
    </row>
    <row r="4604" spans="2:4">
      <c r="B4604" t="s">
        <v>6093</v>
      </c>
    </row>
    <row r="4605" spans="2:4">
      <c r="C4605" t="s">
        <v>6094</v>
      </c>
    </row>
    <row r="4606" spans="2:4">
      <c r="C4606" t="s">
        <v>6095</v>
      </c>
    </row>
    <row r="4607" spans="2:4">
      <c r="C4607" t="s">
        <v>6096</v>
      </c>
    </row>
    <row r="4608" spans="2:4">
      <c r="B4608" t="s">
        <v>5859</v>
      </c>
    </row>
    <row r="4609" spans="2:3">
      <c r="C4609" t="s">
        <v>6097</v>
      </c>
    </row>
    <row r="4610" spans="2:3">
      <c r="C4610" t="s">
        <v>6098</v>
      </c>
    </row>
    <row r="4611" spans="2:3">
      <c r="C4611" t="s">
        <v>6099</v>
      </c>
    </row>
    <row r="4612" spans="2:3">
      <c r="C4612" t="s">
        <v>2565</v>
      </c>
    </row>
    <row r="4613" spans="2:3">
      <c r="C4613" t="s">
        <v>6100</v>
      </c>
    </row>
    <row r="4614" spans="2:3">
      <c r="C4614" t="s">
        <v>6101</v>
      </c>
    </row>
    <row r="4615" spans="2:3">
      <c r="B4615" t="s">
        <v>6102</v>
      </c>
    </row>
    <row r="4616" spans="2:3">
      <c r="C4616" t="s">
        <v>6103</v>
      </c>
    </row>
    <row r="4617" spans="2:3">
      <c r="B4617" t="s">
        <v>6104</v>
      </c>
    </row>
    <row r="4618" spans="2:3">
      <c r="C4618" t="s">
        <v>6105</v>
      </c>
    </row>
    <row r="4619" spans="2:3">
      <c r="C4619" t="s">
        <v>6106</v>
      </c>
    </row>
    <row r="4620" spans="2:3">
      <c r="C4620" t="s">
        <v>6107</v>
      </c>
    </row>
    <row r="4621" spans="2:3">
      <c r="B4621" t="s">
        <v>6108</v>
      </c>
    </row>
    <row r="4622" spans="2:3">
      <c r="C4622" t="s">
        <v>6109</v>
      </c>
    </row>
    <row r="4623" spans="2:3">
      <c r="C4623" t="s">
        <v>6110</v>
      </c>
    </row>
    <row r="4624" spans="2:3">
      <c r="C4624" t="s">
        <v>6111</v>
      </c>
    </row>
    <row r="4625" spans="2:4">
      <c r="C4625" t="s">
        <v>6112</v>
      </c>
    </row>
    <row r="4626" spans="2:4">
      <c r="B4626" t="s">
        <v>6113</v>
      </c>
    </row>
    <row r="4627" spans="2:4">
      <c r="C4627" t="s">
        <v>6114</v>
      </c>
    </row>
    <row r="4628" spans="2:4">
      <c r="C4628" t="s">
        <v>6115</v>
      </c>
    </row>
    <row r="4629" spans="2:4">
      <c r="C4629" t="s">
        <v>6116</v>
      </c>
    </row>
    <row r="4630" spans="2:4">
      <c r="C4630" t="s">
        <v>6117</v>
      </c>
    </row>
    <row r="4631" spans="2:4">
      <c r="C4631" t="s">
        <v>6118</v>
      </c>
    </row>
    <row r="4632" spans="2:4">
      <c r="C4632" t="s">
        <v>6119</v>
      </c>
    </row>
    <row r="4633" spans="2:4">
      <c r="C4633" t="s">
        <v>6120</v>
      </c>
    </row>
    <row r="4634" spans="2:4">
      <c r="C4634" t="s">
        <v>6121</v>
      </c>
    </row>
    <row r="4635" spans="2:4">
      <c r="B4635" t="s">
        <v>6122</v>
      </c>
    </row>
    <row r="4636" spans="2:4">
      <c r="C4636" t="s">
        <v>6123</v>
      </c>
    </row>
    <row r="4637" spans="2:4">
      <c r="C4637" t="s">
        <v>6124</v>
      </c>
    </row>
    <row r="4638" spans="2:4">
      <c r="D4638" t="s">
        <v>6125</v>
      </c>
    </row>
    <row r="4639" spans="2:4">
      <c r="D4639" t="s">
        <v>6119</v>
      </c>
    </row>
    <row r="4640" spans="2:4">
      <c r="C4640" t="s">
        <v>6126</v>
      </c>
    </row>
    <row r="4641" spans="2:4">
      <c r="C4641" t="s">
        <v>6127</v>
      </c>
    </row>
    <row r="4642" spans="2:4">
      <c r="B4642" t="s">
        <v>6128</v>
      </c>
    </row>
    <row r="4643" spans="2:4">
      <c r="C4643" t="s">
        <v>6129</v>
      </c>
    </row>
    <row r="4644" spans="2:4">
      <c r="C4644" t="s">
        <v>6130</v>
      </c>
    </row>
    <row r="4645" spans="2:4">
      <c r="B4645" t="s">
        <v>6131</v>
      </c>
    </row>
    <row r="4646" spans="2:4">
      <c r="C4646" t="s">
        <v>6132</v>
      </c>
    </row>
    <row r="4647" spans="2:4">
      <c r="C4647" t="s">
        <v>6133</v>
      </c>
    </row>
    <row r="4648" spans="2:4">
      <c r="C4648" t="s">
        <v>6134</v>
      </c>
    </row>
    <row r="4649" spans="2:4">
      <c r="D4649" t="s">
        <v>6135</v>
      </c>
    </row>
    <row r="4650" spans="2:4">
      <c r="D4650" t="s">
        <v>6136</v>
      </c>
    </row>
    <row r="4651" spans="2:4">
      <c r="C4651" t="s">
        <v>6137</v>
      </c>
    </row>
    <row r="4652" spans="2:4">
      <c r="D4652" t="s">
        <v>6138</v>
      </c>
    </row>
    <row r="4653" spans="2:4">
      <c r="B4653" t="s">
        <v>6139</v>
      </c>
    </row>
    <row r="4654" spans="2:4">
      <c r="C4654" t="s">
        <v>6140</v>
      </c>
    </row>
    <row r="4655" spans="2:4">
      <c r="C4655" t="s">
        <v>6141</v>
      </c>
    </row>
    <row r="4656" spans="2:4">
      <c r="B4656" t="s">
        <v>6142</v>
      </c>
    </row>
    <row r="4657" spans="2:4">
      <c r="C4657" t="s">
        <v>6143</v>
      </c>
    </row>
    <row r="4658" spans="2:4">
      <c r="C4658" t="s">
        <v>6144</v>
      </c>
    </row>
    <row r="4659" spans="2:4">
      <c r="B4659" t="s">
        <v>6145</v>
      </c>
    </row>
    <row r="4660" spans="2:4">
      <c r="C4660" t="s">
        <v>6146</v>
      </c>
    </row>
    <row r="4661" spans="2:4">
      <c r="C4661" t="s">
        <v>6147</v>
      </c>
    </row>
    <row r="4662" spans="2:4">
      <c r="C4662" t="s">
        <v>6148</v>
      </c>
    </row>
    <row r="4663" spans="2:4">
      <c r="D4663" t="s">
        <v>6149</v>
      </c>
    </row>
    <row r="4664" spans="2:4">
      <c r="C4664" t="s">
        <v>6150</v>
      </c>
    </row>
    <row r="4665" spans="2:4">
      <c r="D4665" t="s">
        <v>6151</v>
      </c>
    </row>
    <row r="4666" spans="2:4">
      <c r="C4666" t="s">
        <v>6152</v>
      </c>
    </row>
    <row r="4667" spans="2:4">
      <c r="C4667" t="s">
        <v>6153</v>
      </c>
    </row>
    <row r="4668" spans="2:4">
      <c r="B4668" t="s">
        <v>6154</v>
      </c>
    </row>
    <row r="4669" spans="2:4">
      <c r="C4669" t="s">
        <v>6155</v>
      </c>
    </row>
    <row r="4670" spans="2:4">
      <c r="C4670" t="s">
        <v>6156</v>
      </c>
    </row>
    <row r="4671" spans="2:4">
      <c r="B4671" t="s">
        <v>6157</v>
      </c>
    </row>
    <row r="4672" spans="2:4">
      <c r="C4672" t="s">
        <v>6158</v>
      </c>
    </row>
    <row r="4674" spans="2:4">
      <c r="B4674" s="2" t="s">
        <v>6159</v>
      </c>
      <c r="C4674" s="2" t="s">
        <v>970</v>
      </c>
    </row>
    <row r="4675" spans="2:4">
      <c r="B4675" t="s">
        <v>6160</v>
      </c>
      <c r="C4675" t="s">
        <v>6161</v>
      </c>
      <c r="D4675" t="s">
        <v>6162</v>
      </c>
    </row>
    <row r="4676" spans="2:4">
      <c r="D4676" t="s">
        <v>6163</v>
      </c>
    </row>
    <row r="4677" spans="2:4">
      <c r="D4677" t="s">
        <v>6164</v>
      </c>
    </row>
    <row r="4678" spans="2:4">
      <c r="D4678" t="s">
        <v>6165</v>
      </c>
    </row>
    <row r="4679" spans="2:4">
      <c r="C4679" t="s">
        <v>6166</v>
      </c>
    </row>
    <row r="4680" spans="2:4">
      <c r="C4680" t="s">
        <v>6167</v>
      </c>
    </row>
    <row r="4681" spans="2:4">
      <c r="B4681" t="s">
        <v>6168</v>
      </c>
    </row>
    <row r="4683" spans="2:4">
      <c r="B4683" t="s">
        <v>6169</v>
      </c>
      <c r="C4683" t="s">
        <v>6170</v>
      </c>
    </row>
    <row r="4685" spans="2:4">
      <c r="B4685" t="s">
        <v>6171</v>
      </c>
      <c r="C4685" t="s">
        <v>6172</v>
      </c>
    </row>
    <row r="4686" spans="2:4">
      <c r="C4686" t="s">
        <v>6173</v>
      </c>
    </row>
    <row r="4687" spans="2:4">
      <c r="C4687" t="s">
        <v>6174</v>
      </c>
    </row>
    <row r="4688" spans="2:4">
      <c r="B4688" t="s">
        <v>6175</v>
      </c>
    </row>
    <row r="4689" spans="2:4">
      <c r="C4689" t="s">
        <v>6176</v>
      </c>
    </row>
    <row r="4690" spans="2:4">
      <c r="B4690" t="s">
        <v>6177</v>
      </c>
    </row>
    <row r="4691" spans="2:4">
      <c r="C4691" t="s">
        <v>6178</v>
      </c>
    </row>
    <row r="4692" spans="2:4">
      <c r="C4692" t="s">
        <v>6179</v>
      </c>
    </row>
    <row r="4693" spans="2:4">
      <c r="D4693" t="s">
        <v>6180</v>
      </c>
    </row>
    <row r="4694" spans="2:4">
      <c r="C4694" t="s">
        <v>6181</v>
      </c>
    </row>
    <row r="4695" spans="2:4">
      <c r="C4695" t="s">
        <v>6182</v>
      </c>
    </row>
    <row r="4697" spans="2:4">
      <c r="C4697" t="s">
        <v>6183</v>
      </c>
    </row>
    <row r="4698" spans="2:4">
      <c r="C4698" t="s">
        <v>6184</v>
      </c>
    </row>
    <row r="4699" spans="2:4">
      <c r="D4699" t="s">
        <v>6185</v>
      </c>
    </row>
    <row r="4700" spans="2:4">
      <c r="B4700" t="s">
        <v>982</v>
      </c>
    </row>
    <row r="4701" spans="2:4">
      <c r="C4701" t="s">
        <v>6186</v>
      </c>
    </row>
    <row r="4702" spans="2:4">
      <c r="C4702" t="s">
        <v>6187</v>
      </c>
    </row>
    <row r="4703" spans="2:4">
      <c r="B4703" t="s">
        <v>6188</v>
      </c>
    </row>
    <row r="4704" spans="2:4">
      <c r="C4704" t="s">
        <v>6189</v>
      </c>
    </row>
    <row r="4705" spans="2:3">
      <c r="C4705" t="s">
        <v>6190</v>
      </c>
    </row>
    <row r="4706" spans="2:3">
      <c r="B4706" t="s">
        <v>6191</v>
      </c>
    </row>
    <row r="4707" spans="2:3">
      <c r="C4707" t="s">
        <v>6192</v>
      </c>
    </row>
    <row r="4708" spans="2:3">
      <c r="C4708" t="s">
        <v>6193</v>
      </c>
    </row>
    <row r="4709" spans="2:3">
      <c r="C4709" t="s">
        <v>6194</v>
      </c>
    </row>
    <row r="4710" spans="2:3">
      <c r="B4710" t="s">
        <v>1383</v>
      </c>
    </row>
    <row r="4711" spans="2:3">
      <c r="C4711" t="s">
        <v>6195</v>
      </c>
    </row>
    <row r="4712" spans="2:3">
      <c r="B4712" t="s">
        <v>6196</v>
      </c>
    </row>
    <row r="4713" spans="2:3">
      <c r="C4713" t="s">
        <v>6197</v>
      </c>
    </row>
    <row r="4714" spans="2:3">
      <c r="B4714" t="s">
        <v>6198</v>
      </c>
    </row>
    <row r="4715" spans="2:3">
      <c r="C4715" t="s">
        <v>6199</v>
      </c>
    </row>
    <row r="4716" spans="2:3">
      <c r="B4716" t="s">
        <v>6200</v>
      </c>
    </row>
    <row r="4717" spans="2:3">
      <c r="C4717" t="s">
        <v>120</v>
      </c>
    </row>
    <row r="4718" spans="2:3">
      <c r="B4718" t="s">
        <v>6201</v>
      </c>
    </row>
    <row r="4719" spans="2:3">
      <c r="B4719" t="s">
        <v>6202</v>
      </c>
    </row>
    <row r="4721" spans="2:3">
      <c r="B4721" t="s">
        <v>6203</v>
      </c>
      <c r="C4721" t="s">
        <v>6204</v>
      </c>
    </row>
    <row r="4722" spans="2:3">
      <c r="C4722" t="s">
        <v>978</v>
      </c>
    </row>
    <row r="4723" spans="2:3">
      <c r="C4723" t="s">
        <v>6205</v>
      </c>
    </row>
    <row r="4724" spans="2:3">
      <c r="B4724" t="s">
        <v>6206</v>
      </c>
    </row>
    <row r="4726" spans="2:3">
      <c r="B4726" s="121" t="s">
        <v>6207</v>
      </c>
    </row>
    <row r="4728" spans="2:3">
      <c r="B4728" t="s">
        <v>4177</v>
      </c>
    </row>
    <row r="4729" spans="2:3">
      <c r="C4729" t="s">
        <v>6208</v>
      </c>
    </row>
    <row r="4730" spans="2:3">
      <c r="C4730" t="s">
        <v>6209</v>
      </c>
    </row>
    <row r="4731" spans="2:3">
      <c r="B4731" t="s">
        <v>6210</v>
      </c>
    </row>
    <row r="4732" spans="2:3">
      <c r="C4732" t="s">
        <v>6211</v>
      </c>
    </row>
    <row r="4733" spans="2:3">
      <c r="C4733" t="s">
        <v>6212</v>
      </c>
    </row>
    <row r="4734" spans="2:3">
      <c r="B4734" t="s">
        <v>6213</v>
      </c>
    </row>
    <row r="4735" spans="2:3">
      <c r="C4735" t="s">
        <v>6214</v>
      </c>
    </row>
    <row r="4736" spans="2:3">
      <c r="C4736" t="s">
        <v>6215</v>
      </c>
    </row>
    <row r="4737" spans="2:4">
      <c r="B4737" t="s">
        <v>52</v>
      </c>
    </row>
    <row r="4738" spans="2:4">
      <c r="C4738" t="s">
        <v>6216</v>
      </c>
    </row>
    <row r="4739" spans="2:4">
      <c r="D4739" t="s">
        <v>6217</v>
      </c>
    </row>
    <row r="4740" spans="2:4">
      <c r="D4740" t="s">
        <v>6218</v>
      </c>
    </row>
    <row r="4741" spans="2:4">
      <c r="D4741" t="s">
        <v>6219</v>
      </c>
    </row>
    <row r="4742" spans="2:4">
      <c r="C4742" t="s">
        <v>6220</v>
      </c>
    </row>
    <row r="4743" spans="2:4">
      <c r="D4743" t="s">
        <v>6221</v>
      </c>
    </row>
    <row r="4744" spans="2:4">
      <c r="C4744" t="s">
        <v>6222</v>
      </c>
    </row>
    <row r="4745" spans="2:4">
      <c r="D4745" t="s">
        <v>6223</v>
      </c>
    </row>
    <row r="4746" spans="2:4">
      <c r="C4746" t="s">
        <v>6224</v>
      </c>
    </row>
    <row r="4747" spans="2:4">
      <c r="D4747" t="s">
        <v>6225</v>
      </c>
    </row>
    <row r="4748" spans="2:4">
      <c r="D4748" t="s">
        <v>6226</v>
      </c>
    </row>
    <row r="4749" spans="2:4">
      <c r="B4749" t="s">
        <v>6227</v>
      </c>
    </row>
    <row r="4750" spans="2:4">
      <c r="C4750" t="s">
        <v>6228</v>
      </c>
    </row>
    <row r="4751" spans="2:4">
      <c r="B4751" t="s">
        <v>97</v>
      </c>
    </row>
    <row r="4752" spans="2:4">
      <c r="C4752" t="s">
        <v>6229</v>
      </c>
    </row>
    <row r="4753" spans="2:4">
      <c r="C4753" t="s">
        <v>6230</v>
      </c>
    </row>
    <row r="4754" spans="2:4">
      <c r="B4754" t="s">
        <v>107</v>
      </c>
    </row>
    <row r="4755" spans="2:4">
      <c r="C4755" t="s">
        <v>6231</v>
      </c>
    </row>
    <row r="4756" spans="2:4">
      <c r="C4756" t="s">
        <v>6232</v>
      </c>
    </row>
    <row r="4757" spans="2:4">
      <c r="B4757" t="s">
        <v>6233</v>
      </c>
    </row>
    <row r="4758" spans="2:4">
      <c r="C4758" t="s">
        <v>6234</v>
      </c>
    </row>
    <row r="4759" spans="2:4">
      <c r="C4759" t="s">
        <v>6235</v>
      </c>
    </row>
    <row r="4760" spans="2:4">
      <c r="B4760" s="42" t="s">
        <v>34</v>
      </c>
    </row>
    <row r="4762" spans="2:4">
      <c r="B4762" t="s">
        <v>707</v>
      </c>
      <c r="C4762" t="s">
        <v>6236</v>
      </c>
    </row>
    <row r="4763" spans="2:4">
      <c r="C4763" t="s">
        <v>6237</v>
      </c>
    </row>
    <row r="4764" spans="2:4">
      <c r="C4764" s="2" t="s">
        <v>4458</v>
      </c>
    </row>
    <row r="4765" spans="2:4">
      <c r="C4765" t="s">
        <v>6238</v>
      </c>
    </row>
    <row r="4766" spans="2:4">
      <c r="D4766" t="s">
        <v>6239</v>
      </c>
    </row>
    <row r="4767" spans="2:4">
      <c r="C4767" t="s">
        <v>6240</v>
      </c>
    </row>
    <row r="4768" spans="2:4">
      <c r="C4768" t="s">
        <v>6241</v>
      </c>
    </row>
    <row r="4769" spans="2:3">
      <c r="C4769" t="s">
        <v>6242</v>
      </c>
    </row>
    <row r="4770" spans="2:3">
      <c r="C4770" t="s">
        <v>2117</v>
      </c>
    </row>
    <row r="4771" spans="2:3">
      <c r="B4771" t="s">
        <v>2467</v>
      </c>
    </row>
    <row r="4772" spans="2:3">
      <c r="C4772" t="s">
        <v>6243</v>
      </c>
    </row>
    <row r="4773" spans="2:3">
      <c r="B4773" t="s">
        <v>52</v>
      </c>
    </row>
    <row r="4774" spans="2:3">
      <c r="C4774" t="s">
        <v>6244</v>
      </c>
    </row>
    <row r="4775" spans="2:3">
      <c r="C4775" t="s">
        <v>6245</v>
      </c>
    </row>
    <row r="4776" spans="2:3">
      <c r="B4776" t="s">
        <v>97</v>
      </c>
    </row>
    <row r="4777" spans="2:3">
      <c r="C4777" t="s">
        <v>6246</v>
      </c>
    </row>
    <row r="4778" spans="2:3">
      <c r="C4778" t="s">
        <v>6247</v>
      </c>
    </row>
    <row r="4779" spans="2:3">
      <c r="C4779" t="s">
        <v>6248</v>
      </c>
    </row>
    <row r="4780" spans="2:3">
      <c r="C4780" t="s">
        <v>6249</v>
      </c>
    </row>
    <row r="4781" spans="2:3">
      <c r="B4781" t="s">
        <v>6250</v>
      </c>
    </row>
    <row r="4782" spans="2:3">
      <c r="C4782" t="s">
        <v>6251</v>
      </c>
    </row>
    <row r="4784" spans="2:3">
      <c r="B4784" s="2" t="s">
        <v>6252</v>
      </c>
    </row>
    <row r="4786" spans="2:5">
      <c r="B4786" t="s">
        <v>6160</v>
      </c>
      <c r="C4786" t="s">
        <v>970</v>
      </c>
      <c r="D4786">
        <v>5</v>
      </c>
    </row>
    <row r="4787" spans="2:5">
      <c r="C4787" t="s">
        <v>6253</v>
      </c>
      <c r="D4787">
        <f>D4786*12</f>
        <v>60</v>
      </c>
    </row>
    <row r="4788" spans="2:5">
      <c r="C4788" t="s">
        <v>1012</v>
      </c>
      <c r="D4788">
        <v>36</v>
      </c>
    </row>
    <row r="4789" spans="2:5">
      <c r="D4789">
        <f>D4788*D4787</f>
        <v>2160</v>
      </c>
    </row>
    <row r="4790" spans="2:5">
      <c r="D4790" s="4">
        <f>D4789*0.72</f>
        <v>1555.2</v>
      </c>
    </row>
    <row r="4791" spans="2:5">
      <c r="D4791">
        <f>D4790/8%</f>
        <v>19440</v>
      </c>
    </row>
    <row r="4793" spans="2:5">
      <c r="C4793" t="s">
        <v>6254</v>
      </c>
      <c r="D4793">
        <v>200</v>
      </c>
      <c r="E4793">
        <v>600</v>
      </c>
    </row>
    <row r="4794" spans="2:5">
      <c r="D4794" s="8">
        <f>D4788/D4793</f>
        <v>0.18</v>
      </c>
      <c r="E4794" s="8">
        <f>D4788/E4793</f>
        <v>0.06</v>
      </c>
    </row>
    <row r="4796" spans="2:5">
      <c r="B4796" s="2" t="s">
        <v>6255</v>
      </c>
    </row>
    <row r="4797" spans="2:5">
      <c r="B4797" t="s">
        <v>6256</v>
      </c>
      <c r="C4797">
        <v>36</v>
      </c>
    </row>
    <row r="4798" spans="2:5">
      <c r="B4798" t="s">
        <v>6257</v>
      </c>
      <c r="C4798">
        <v>20</v>
      </c>
    </row>
    <row r="4799" spans="2:5">
      <c r="B4799" t="s">
        <v>1383</v>
      </c>
      <c r="C4799">
        <v>600</v>
      </c>
    </row>
    <row r="4802" spans="2:9">
      <c r="B4802" s="121"/>
    </row>
    <row r="4803" spans="2:9" ht="15.75">
      <c r="B4803" s="217" t="s">
        <v>982</v>
      </c>
      <c r="C4803" s="217">
        <v>2018</v>
      </c>
      <c r="D4803" s="620">
        <v>44166</v>
      </c>
      <c r="E4803" s="620">
        <v>44256</v>
      </c>
      <c r="F4803" s="620">
        <v>44348</v>
      </c>
      <c r="G4803" s="620">
        <v>44440</v>
      </c>
      <c r="H4803" s="388" t="s">
        <v>760</v>
      </c>
      <c r="I4803" s="217">
        <v>2021</v>
      </c>
    </row>
    <row r="4804" spans="2:9" ht="15.75">
      <c r="B4804" s="66" t="s">
        <v>33</v>
      </c>
      <c r="C4804" s="66">
        <v>70</v>
      </c>
      <c r="D4804" s="66">
        <v>160</v>
      </c>
      <c r="E4804" s="66">
        <v>200</v>
      </c>
      <c r="F4804" s="66">
        <v>250</v>
      </c>
      <c r="G4804" s="66">
        <v>270</v>
      </c>
      <c r="H4804" s="66">
        <v>290</v>
      </c>
      <c r="I4804" s="111" t="s">
        <v>6258</v>
      </c>
    </row>
    <row r="4805" spans="2:9" ht="15.75">
      <c r="B4805" s="66" t="s">
        <v>6259</v>
      </c>
      <c r="C4805" s="66"/>
      <c r="D4805" s="119">
        <f>E4805-6</f>
        <v>44</v>
      </c>
      <c r="E4805" s="119">
        <v>50</v>
      </c>
      <c r="F4805" s="119">
        <v>52</v>
      </c>
      <c r="G4805" s="119">
        <v>54</v>
      </c>
      <c r="H4805" s="621">
        <v>56</v>
      </c>
      <c r="I4805" s="66"/>
    </row>
    <row r="4806" spans="2:9" ht="15.75">
      <c r="B4806" s="66" t="s">
        <v>6260</v>
      </c>
      <c r="C4806" s="66"/>
      <c r="D4806" s="214">
        <f>D4804/AVERAGE(C4805,D4805)/3</f>
        <v>1.2121212121212122</v>
      </c>
      <c r="E4806" s="214">
        <f>E4804/AVERAGE(D4805,E4805)/3</f>
        <v>1.4184397163120568</v>
      </c>
      <c r="F4806" s="214">
        <f>F4804/AVERAGE(E4805,F4805)/3</f>
        <v>1.6339869281045754</v>
      </c>
      <c r="G4806" s="214">
        <f>G4804/AVERAGE(F4805,G4805)/3</f>
        <v>1.6981132075471699</v>
      </c>
      <c r="H4806" s="214">
        <f>H4804/AVERAGE(G4805,H4805)/3</f>
        <v>1.7575757575757576</v>
      </c>
      <c r="I4806" s="66"/>
    </row>
    <row r="4807" spans="2:9" ht="15.75">
      <c r="B4807" s="66" t="s">
        <v>6261</v>
      </c>
      <c r="C4807" s="66"/>
      <c r="D4807" s="66"/>
      <c r="E4807" s="66"/>
      <c r="F4807" s="66"/>
      <c r="G4807" s="66"/>
      <c r="H4807" s="258">
        <v>5</v>
      </c>
      <c r="I4807" s="66"/>
    </row>
    <row r="4808" spans="2:9" ht="15.75">
      <c r="B4808" s="66" t="s">
        <v>6262</v>
      </c>
      <c r="C4808" s="66"/>
      <c r="D4808" s="66"/>
      <c r="E4808" s="66"/>
      <c r="F4808" s="66"/>
      <c r="G4808" s="66"/>
      <c r="H4808" s="112">
        <f>H4807/30</f>
        <v>0.16666666666666666</v>
      </c>
      <c r="I4808" s="66"/>
    </row>
    <row r="4809" spans="2:9" ht="15.75">
      <c r="B4809" s="66" t="s">
        <v>6263</v>
      </c>
      <c r="C4809" s="66"/>
      <c r="D4809" s="66"/>
      <c r="E4809" s="66"/>
      <c r="F4809" s="66"/>
      <c r="G4809" s="66"/>
      <c r="H4809" s="112">
        <v>7.5</v>
      </c>
      <c r="I4809" s="66"/>
    </row>
    <row r="4810" spans="2:9" ht="15.75">
      <c r="B4810" s="66" t="s">
        <v>6264</v>
      </c>
      <c r="C4810" s="66"/>
      <c r="D4810" s="66"/>
      <c r="E4810" s="66"/>
      <c r="F4810" s="66"/>
      <c r="G4810" s="66"/>
      <c r="H4810" s="112">
        <f>H4808*H4809</f>
        <v>1.25</v>
      </c>
      <c r="I4810" s="66"/>
    </row>
    <row r="4811" spans="2:9" ht="15.75">
      <c r="B4811" s="66" t="s">
        <v>6265</v>
      </c>
      <c r="C4811" s="66"/>
      <c r="D4811" s="66"/>
      <c r="E4811" s="66"/>
      <c r="F4811" s="66"/>
      <c r="G4811" s="66"/>
      <c r="H4811" s="71">
        <f>H4810*30</f>
        <v>37.5</v>
      </c>
      <c r="I4811" s="66"/>
    </row>
    <row r="4812" spans="2:9" ht="15.75">
      <c r="B4812" s="66" t="s">
        <v>6266</v>
      </c>
      <c r="C4812" s="66"/>
      <c r="D4812" s="66"/>
      <c r="E4812" s="66"/>
      <c r="F4812" s="66"/>
      <c r="G4812" s="66"/>
      <c r="H4812" s="71">
        <f>H4811*AVERAGE(G4805,H4805)</f>
        <v>2062.5</v>
      </c>
      <c r="I4812" s="66"/>
    </row>
    <row r="4813" spans="2:9" ht="15.75">
      <c r="B4813" s="66" t="s">
        <v>6267</v>
      </c>
      <c r="C4813" s="66"/>
      <c r="D4813" s="66"/>
      <c r="E4813" s="66"/>
      <c r="F4813" s="66"/>
      <c r="G4813" s="66"/>
      <c r="H4813" s="71">
        <f>H4812*3</f>
        <v>6187.5</v>
      </c>
      <c r="I4813" s="66"/>
    </row>
    <row r="4814" spans="2:9" ht="15.75">
      <c r="B4814" s="66" t="s">
        <v>6268</v>
      </c>
      <c r="C4814" s="66"/>
      <c r="D4814" s="66"/>
      <c r="E4814" s="66"/>
      <c r="F4814" s="66"/>
      <c r="G4814" s="66"/>
      <c r="H4814" s="214">
        <f>H4804/H4813</f>
        <v>4.6868686868686872E-2</v>
      </c>
      <c r="I4814" s="66"/>
    </row>
    <row r="4815" spans="2:9" ht="16.5" thickBot="1">
      <c r="B4815" s="622" t="s">
        <v>6269</v>
      </c>
      <c r="C4815" s="622"/>
      <c r="D4815" s="622"/>
      <c r="E4815" s="622"/>
      <c r="F4815" s="622"/>
      <c r="G4815" s="622"/>
      <c r="H4815" s="623">
        <f>H4814*100</f>
        <v>4.6868686868686869</v>
      </c>
      <c r="I4815" s="66"/>
    </row>
    <row r="4816" spans="2:9" ht="16.5" thickTop="1">
      <c r="B4816" s="66"/>
      <c r="C4816" s="66"/>
      <c r="D4816" s="66"/>
      <c r="E4816" s="66"/>
      <c r="F4816" s="66"/>
      <c r="G4816" s="66"/>
      <c r="H4816" s="66"/>
      <c r="I4816" s="66"/>
    </row>
    <row r="4817" spans="2:9" ht="15.75">
      <c r="B4817" s="74" t="s">
        <v>5859</v>
      </c>
      <c r="C4817" s="66"/>
      <c r="D4817" s="66"/>
      <c r="E4817" s="66"/>
      <c r="F4817" s="66"/>
      <c r="G4817" s="66"/>
      <c r="H4817" s="66"/>
      <c r="I4817" s="66"/>
    </row>
    <row r="4818" spans="2:9" ht="15.75">
      <c r="B4818" s="66" t="s">
        <v>6270</v>
      </c>
      <c r="C4818" s="66"/>
      <c r="D4818" s="66"/>
      <c r="E4818" s="66"/>
      <c r="F4818" s="66"/>
      <c r="G4818" s="66"/>
      <c r="H4818" s="66">
        <v>1.2</v>
      </c>
      <c r="I4818" s="66"/>
    </row>
    <row r="4819" spans="2:9" ht="15.75">
      <c r="B4819" s="66" t="s">
        <v>6271</v>
      </c>
      <c r="C4819" s="66"/>
      <c r="D4819" s="66"/>
      <c r="E4819" s="66"/>
      <c r="F4819" s="66"/>
      <c r="G4819" s="66"/>
      <c r="H4819" s="112">
        <f>H4809</f>
        <v>7.5</v>
      </c>
      <c r="I4819" s="66"/>
    </row>
    <row r="4820" spans="2:9" ht="15.75">
      <c r="B4820" s="66" t="s">
        <v>6272</v>
      </c>
      <c r="C4820" s="66"/>
      <c r="D4820" s="66"/>
      <c r="E4820" s="66"/>
      <c r="F4820" s="66"/>
      <c r="G4820" s="66"/>
      <c r="H4820" s="112">
        <f>H4818*H4819</f>
        <v>9</v>
      </c>
      <c r="I4820" s="66"/>
    </row>
    <row r="4821" spans="2:9" ht="15.75">
      <c r="B4821" s="66" t="s">
        <v>6273</v>
      </c>
      <c r="C4821" s="66"/>
      <c r="D4821" s="66"/>
      <c r="E4821" s="66"/>
      <c r="F4821" s="66"/>
      <c r="G4821" s="66"/>
      <c r="H4821" s="112">
        <f>H4820*4</f>
        <v>36</v>
      </c>
      <c r="I4821" s="66"/>
    </row>
    <row r="4822" spans="2:9" ht="15.75">
      <c r="B4822" s="66"/>
      <c r="C4822" s="66"/>
      <c r="D4822" s="66"/>
      <c r="E4822" s="66"/>
      <c r="F4822" s="66"/>
      <c r="G4822" s="66"/>
      <c r="H4822" s="66"/>
      <c r="I4822" s="66"/>
    </row>
    <row r="4823" spans="2:9" ht="16.5" thickBot="1">
      <c r="B4823" s="622" t="s">
        <v>6274</v>
      </c>
      <c r="C4823" s="622"/>
      <c r="D4823" s="622"/>
      <c r="E4823" s="622"/>
      <c r="F4823" s="622"/>
      <c r="G4823" s="622"/>
      <c r="H4823" s="623">
        <f>H4821*H4814</f>
        <v>1.6872727272727275</v>
      </c>
      <c r="I4823" s="66"/>
    </row>
    <row r="4824" spans="2:9" ht="15.75" thickTop="1"/>
    <row r="4825" spans="2:9" ht="15.75">
      <c r="B4825" s="74" t="s">
        <v>984</v>
      </c>
    </row>
    <row r="4826" spans="2:9" ht="15.75">
      <c r="B4826" s="66" t="s">
        <v>6275</v>
      </c>
      <c r="E4826">
        <v>33</v>
      </c>
    </row>
    <row r="4827" spans="2:9" ht="15.75">
      <c r="B4827" s="66" t="s">
        <v>6276</v>
      </c>
      <c r="E4827">
        <f>2500/4</f>
        <v>625</v>
      </c>
    </row>
    <row r="4828" spans="2:9" ht="15.75">
      <c r="B4828" s="66" t="s">
        <v>6277</v>
      </c>
      <c r="E4828" s="4">
        <f>E4827/E4826</f>
        <v>18.939393939393938</v>
      </c>
    </row>
    <row r="4829" spans="2:9" ht="15.75">
      <c r="B4829" s="66" t="s">
        <v>6278</v>
      </c>
      <c r="E4829" s="419">
        <f>E4828/90</f>
        <v>0.21043771043771042</v>
      </c>
    </row>
    <row r="4830" spans="2:9" ht="15.75">
      <c r="B4830" s="66" t="s">
        <v>6279</v>
      </c>
      <c r="E4830" s="419">
        <f>E4829*60</f>
        <v>12.626262626262626</v>
      </c>
    </row>
    <row r="4832" spans="2:9">
      <c r="B4832" t="s">
        <v>6280</v>
      </c>
      <c r="C4832">
        <v>40000</v>
      </c>
    </row>
    <row r="4833" spans="2:3">
      <c r="B4833" t="s">
        <v>2107</v>
      </c>
      <c r="C4833">
        <v>60000</v>
      </c>
    </row>
    <row r="4834" spans="2:3">
      <c r="C4834">
        <f>C4832+C4833</f>
        <v>100000</v>
      </c>
    </row>
    <row r="4836" spans="2:3">
      <c r="B4836" t="s">
        <v>6281</v>
      </c>
    </row>
    <row r="4837" spans="2:3">
      <c r="B4837" t="s">
        <v>6282</v>
      </c>
    </row>
    <row r="4839" spans="2:3">
      <c r="B4839" t="s">
        <v>6283</v>
      </c>
      <c r="C4839">
        <f>25*6*4*2</f>
        <v>1200</v>
      </c>
    </row>
    <row r="4840" spans="2:3">
      <c r="B4840" t="s">
        <v>6284</v>
      </c>
      <c r="C4840" s="4">
        <f>C4839/60</f>
        <v>20</v>
      </c>
    </row>
    <row r="4841" spans="2:3">
      <c r="B4841" t="s">
        <v>6285</v>
      </c>
      <c r="C4841" s="4"/>
    </row>
    <row r="4842" spans="2:3">
      <c r="C4842" s="4"/>
    </row>
    <row r="4843" spans="2:3">
      <c r="B4843" t="s">
        <v>6286</v>
      </c>
      <c r="C4843" s="4">
        <v>2</v>
      </c>
    </row>
    <row r="4844" spans="2:3">
      <c r="B4844" t="s">
        <v>6287</v>
      </c>
      <c r="C4844" s="4"/>
    </row>
    <row r="4845" spans="2:3">
      <c r="C4845" s="4"/>
    </row>
    <row r="4847" spans="2:3">
      <c r="B4847" t="s">
        <v>1645</v>
      </c>
    </row>
    <row r="4848" spans="2:3">
      <c r="B4848" t="s">
        <v>6288</v>
      </c>
      <c r="C4848" t="s">
        <v>6289</v>
      </c>
    </row>
    <row r="4850" spans="2:4">
      <c r="B4850" t="s">
        <v>1066</v>
      </c>
      <c r="C4850" t="s">
        <v>6290</v>
      </c>
    </row>
    <row r="4852" spans="2:4">
      <c r="B4852" s="121" t="s">
        <v>6291</v>
      </c>
    </row>
    <row r="4854" spans="2:4">
      <c r="B4854" s="121" t="s">
        <v>52</v>
      </c>
    </row>
    <row r="4856" spans="2:4">
      <c r="B4856" t="s">
        <v>6292</v>
      </c>
    </row>
    <row r="4857" spans="2:4">
      <c r="C4857" t="s">
        <v>6293</v>
      </c>
    </row>
    <row r="4858" spans="2:4">
      <c r="D4858" t="s">
        <v>6294</v>
      </c>
    </row>
    <row r="4859" spans="2:4">
      <c r="D4859" t="s">
        <v>6295</v>
      </c>
    </row>
    <row r="4860" spans="2:4">
      <c r="D4860" t="s">
        <v>6296</v>
      </c>
    </row>
    <row r="4861" spans="2:4">
      <c r="C4861" t="s">
        <v>6297</v>
      </c>
    </row>
    <row r="4862" spans="2:4">
      <c r="B4862" t="s">
        <v>6298</v>
      </c>
    </row>
    <row r="4863" spans="2:4">
      <c r="B4863" t="s">
        <v>6299</v>
      </c>
    </row>
    <row r="4864" spans="2:4">
      <c r="C4864" t="s">
        <v>6300</v>
      </c>
    </row>
    <row r="4865" spans="2:3">
      <c r="C4865" s="2" t="s">
        <v>4458</v>
      </c>
    </row>
    <row r="4866" spans="2:3">
      <c r="C4866" t="s">
        <v>6301</v>
      </c>
    </row>
    <row r="4867" spans="2:3">
      <c r="B4867" t="s">
        <v>6302</v>
      </c>
    </row>
    <row r="4869" spans="2:3">
      <c r="B4869" t="s">
        <v>6303</v>
      </c>
    </row>
    <row r="4870" spans="2:3">
      <c r="C4870" t="s">
        <v>6304</v>
      </c>
    </row>
    <row r="4871" spans="2:3">
      <c r="B4871" t="s">
        <v>6305</v>
      </c>
    </row>
    <row r="4875" spans="2:3">
      <c r="B4875" s="121" t="s">
        <v>97</v>
      </c>
    </row>
    <row r="4876" spans="2:3">
      <c r="B4876" t="s">
        <v>6306</v>
      </c>
    </row>
    <row r="4877" spans="2:3">
      <c r="C4877" t="s">
        <v>6307</v>
      </c>
    </row>
    <row r="4878" spans="2:3">
      <c r="B4878" s="121" t="s">
        <v>5614</v>
      </c>
    </row>
    <row r="4879" spans="2:3">
      <c r="B4879" t="s">
        <v>6308</v>
      </c>
    </row>
    <row r="4881" spans="2:3">
      <c r="B4881" s="42" t="s">
        <v>6309</v>
      </c>
    </row>
    <row r="4882" spans="2:3">
      <c r="B4882" t="s">
        <v>6310</v>
      </c>
    </row>
    <row r="4883" spans="2:3">
      <c r="B4883" t="s">
        <v>6311</v>
      </c>
    </row>
    <row r="4884" spans="2:3">
      <c r="B4884" t="s">
        <v>6312</v>
      </c>
    </row>
    <row r="4886" spans="2:3">
      <c r="B4886" s="42" t="s">
        <v>554</v>
      </c>
    </row>
    <row r="4887" spans="2:3">
      <c r="B4887" t="s">
        <v>6313</v>
      </c>
    </row>
    <row r="4889" spans="2:3">
      <c r="B4889" s="42" t="s">
        <v>6314</v>
      </c>
    </row>
    <row r="4890" spans="2:3">
      <c r="B4890" t="s">
        <v>6315</v>
      </c>
    </row>
    <row r="4892" spans="2:3">
      <c r="B4892" s="121" t="s">
        <v>759</v>
      </c>
    </row>
    <row r="4894" spans="2:3">
      <c r="B4894" t="s">
        <v>557</v>
      </c>
    </row>
    <row r="4895" spans="2:3">
      <c r="C4895" t="s">
        <v>6316</v>
      </c>
    </row>
    <row r="4896" spans="2:3">
      <c r="C4896" t="s">
        <v>6317</v>
      </c>
    </row>
    <row r="4897" spans="2:5">
      <c r="D4897" t="s">
        <v>6318</v>
      </c>
    </row>
    <row r="4898" spans="2:5">
      <c r="C4898" t="s">
        <v>6319</v>
      </c>
    </row>
    <row r="4899" spans="2:5">
      <c r="C4899" t="s">
        <v>6320</v>
      </c>
    </row>
    <row r="4900" spans="2:5">
      <c r="B4900" t="s">
        <v>6</v>
      </c>
    </row>
    <row r="4901" spans="2:5">
      <c r="C4901" t="s">
        <v>6321</v>
      </c>
    </row>
    <row r="4902" spans="2:5">
      <c r="C4902" t="s">
        <v>6322</v>
      </c>
    </row>
    <row r="4903" spans="2:5">
      <c r="D4903" t="s">
        <v>6323</v>
      </c>
    </row>
    <row r="4904" spans="2:5">
      <c r="C4904" t="s">
        <v>6324</v>
      </c>
    </row>
    <row r="4905" spans="2:5">
      <c r="D4905" t="s">
        <v>6325</v>
      </c>
    </row>
    <row r="4906" spans="2:5">
      <c r="E4906" t="s">
        <v>6326</v>
      </c>
    </row>
    <row r="4907" spans="2:5">
      <c r="E4907" t="s">
        <v>6327</v>
      </c>
    </row>
    <row r="4908" spans="2:5">
      <c r="D4908" t="s">
        <v>6328</v>
      </c>
    </row>
    <row r="4909" spans="2:5">
      <c r="D4909" t="s">
        <v>6329</v>
      </c>
    </row>
    <row r="4910" spans="2:5">
      <c r="C4910" s="136">
        <v>2021</v>
      </c>
    </row>
    <row r="4911" spans="2:5">
      <c r="C4911" s="136"/>
      <c r="D4911" t="s">
        <v>6330</v>
      </c>
    </row>
    <row r="4912" spans="2:5">
      <c r="C4912" t="s">
        <v>6331</v>
      </c>
    </row>
    <row r="4913" spans="2:4">
      <c r="D4913" t="s">
        <v>6332</v>
      </c>
    </row>
    <row r="4914" spans="2:4">
      <c r="C4914" t="s">
        <v>6333</v>
      </c>
    </row>
    <row r="4915" spans="2:4">
      <c r="D4915" t="s">
        <v>6334</v>
      </c>
    </row>
    <row r="4916" spans="2:4">
      <c r="D4916" t="s">
        <v>6335</v>
      </c>
    </row>
    <row r="4917" spans="2:4">
      <c r="D4917" t="s">
        <v>6336</v>
      </c>
    </row>
    <row r="4918" spans="2:4">
      <c r="B4918" t="s">
        <v>1784</v>
      </c>
    </row>
    <row r="4919" spans="2:4">
      <c r="C4919" t="s">
        <v>6337</v>
      </c>
    </row>
    <row r="4920" spans="2:4">
      <c r="C4920" t="s">
        <v>6338</v>
      </c>
    </row>
    <row r="4921" spans="2:4">
      <c r="B4921" t="s">
        <v>6339</v>
      </c>
    </row>
    <row r="4922" spans="2:4">
      <c r="C4922" t="s">
        <v>6340</v>
      </c>
    </row>
    <row r="4923" spans="2:4">
      <c r="D4923" t="s">
        <v>6341</v>
      </c>
    </row>
    <row r="4924" spans="2:4">
      <c r="D4924" t="s">
        <v>6342</v>
      </c>
    </row>
    <row r="4925" spans="2:4">
      <c r="D4925" t="s">
        <v>6343</v>
      </c>
    </row>
    <row r="4926" spans="2:4">
      <c r="D4926" t="s">
        <v>6344</v>
      </c>
    </row>
    <row r="4927" spans="2:4">
      <c r="D4927" t="s">
        <v>6345</v>
      </c>
    </row>
    <row r="4928" spans="2:4">
      <c r="C4928" t="s">
        <v>6346</v>
      </c>
    </row>
    <row r="4929" spans="2:4">
      <c r="D4929" t="s">
        <v>6347</v>
      </c>
    </row>
    <row r="4930" spans="2:4">
      <c r="C4930" t="s">
        <v>6348</v>
      </c>
    </row>
    <row r="4931" spans="2:4">
      <c r="C4931" t="s">
        <v>6349</v>
      </c>
    </row>
    <row r="4932" spans="2:4">
      <c r="C4932" t="s">
        <v>6350</v>
      </c>
    </row>
    <row r="4933" spans="2:4">
      <c r="C4933" t="s">
        <v>6351</v>
      </c>
    </row>
    <row r="4934" spans="2:4">
      <c r="B4934" t="s">
        <v>6352</v>
      </c>
    </row>
    <row r="4936" spans="2:4">
      <c r="B4936" s="2" t="s">
        <v>4912</v>
      </c>
    </row>
    <row r="4937" spans="2:4">
      <c r="C4937" s="2" t="s">
        <v>52</v>
      </c>
    </row>
    <row r="4938" spans="2:4">
      <c r="D4938" t="s">
        <v>6353</v>
      </c>
    </row>
    <row r="4939" spans="2:4">
      <c r="D4939" t="s">
        <v>6354</v>
      </c>
    </row>
    <row r="4940" spans="2:4">
      <c r="C4940" t="s">
        <v>6355</v>
      </c>
    </row>
    <row r="4941" spans="2:4">
      <c r="D4941" t="s">
        <v>6356</v>
      </c>
    </row>
    <row r="4942" spans="2:4">
      <c r="C4942" t="s">
        <v>6357</v>
      </c>
    </row>
    <row r="4943" spans="2:4">
      <c r="C4943" t="s">
        <v>6358</v>
      </c>
    </row>
    <row r="4944" spans="2:4">
      <c r="D4944" t="s">
        <v>6359</v>
      </c>
    </row>
    <row r="4945" spans="3:4">
      <c r="C4945" t="s">
        <v>6360</v>
      </c>
    </row>
    <row r="4946" spans="3:4">
      <c r="D4946" t="s">
        <v>6361</v>
      </c>
    </row>
    <row r="4947" spans="3:4">
      <c r="D4947" t="s">
        <v>6362</v>
      </c>
    </row>
    <row r="4948" spans="3:4">
      <c r="C4948" t="s">
        <v>6363</v>
      </c>
    </row>
    <row r="4949" spans="3:4">
      <c r="C4949" t="s">
        <v>6364</v>
      </c>
    </row>
    <row r="4950" spans="3:4">
      <c r="D4950" t="s">
        <v>6365</v>
      </c>
    </row>
    <row r="4951" spans="3:4">
      <c r="D4951" t="s">
        <v>6366</v>
      </c>
    </row>
    <row r="4952" spans="3:4">
      <c r="C4952" t="s">
        <v>34</v>
      </c>
    </row>
    <row r="4953" spans="3:4">
      <c r="D4953" t="s">
        <v>6367</v>
      </c>
    </row>
    <row r="4954" spans="3:4">
      <c r="D4954" t="s">
        <v>6368</v>
      </c>
    </row>
    <row r="4956" spans="3:4">
      <c r="C4956" s="61"/>
      <c r="D4956" s="130" t="s">
        <v>6369</v>
      </c>
    </row>
    <row r="4957" spans="3:4">
      <c r="C4957" t="s">
        <v>6370</v>
      </c>
      <c r="D4957" s="3" t="s">
        <v>4746</v>
      </c>
    </row>
    <row r="4958" spans="3:4">
      <c r="C4958" t="s">
        <v>6370</v>
      </c>
      <c r="D4958" s="527" t="s">
        <v>6371</v>
      </c>
    </row>
    <row r="4959" spans="3:4">
      <c r="D4959" s="527" t="s">
        <v>6372</v>
      </c>
    </row>
    <row r="4960" spans="3:4">
      <c r="C4960" t="s">
        <v>6373</v>
      </c>
      <c r="D4960" s="527"/>
    </row>
    <row r="4961" spans="3:4">
      <c r="D4961" s="527"/>
    </row>
    <row r="4962" spans="3:4">
      <c r="C4962" t="s">
        <v>6374</v>
      </c>
    </row>
    <row r="4965" spans="3:4">
      <c r="C4965" s="2" t="s">
        <v>189</v>
      </c>
    </row>
    <row r="4966" spans="3:4">
      <c r="C4966" t="s">
        <v>6375</v>
      </c>
    </row>
    <row r="4967" spans="3:4">
      <c r="D4967" t="s">
        <v>6376</v>
      </c>
    </row>
    <row r="4968" spans="3:4">
      <c r="C4968" t="s">
        <v>6377</v>
      </c>
    </row>
    <row r="4969" spans="3:4">
      <c r="D4969" t="s">
        <v>6378</v>
      </c>
    </row>
    <row r="4970" spans="3:4">
      <c r="D4970" t="s">
        <v>6379</v>
      </c>
    </row>
    <row r="4971" spans="3:4">
      <c r="D4971" t="s">
        <v>6380</v>
      </c>
    </row>
    <row r="4972" spans="3:4">
      <c r="C4972" t="s">
        <v>6381</v>
      </c>
    </row>
    <row r="4973" spans="3:4">
      <c r="D4973" t="s">
        <v>6382</v>
      </c>
    </row>
    <row r="4974" spans="3:4">
      <c r="C4974" s="136">
        <v>2022</v>
      </c>
    </row>
    <row r="4975" spans="3:4">
      <c r="D4975" t="s">
        <v>6383</v>
      </c>
    </row>
    <row r="4976" spans="3:4">
      <c r="D4976" t="s">
        <v>6384</v>
      </c>
    </row>
    <row r="4977" spans="3:5">
      <c r="C4977" t="s">
        <v>6385</v>
      </c>
    </row>
    <row r="4978" spans="3:5">
      <c r="D4978" t="s">
        <v>6386</v>
      </c>
    </row>
    <row r="4979" spans="3:5">
      <c r="D4979" t="s">
        <v>6387</v>
      </c>
    </row>
    <row r="4980" spans="3:5">
      <c r="D4980" t="s">
        <v>6388</v>
      </c>
    </row>
    <row r="4981" spans="3:5">
      <c r="E4981" t="s">
        <v>6389</v>
      </c>
    </row>
    <row r="4982" spans="3:5">
      <c r="E4982" t="s">
        <v>6390</v>
      </c>
    </row>
    <row r="4983" spans="3:5">
      <c r="E4983" t="s">
        <v>6391</v>
      </c>
    </row>
    <row r="4984" spans="3:5">
      <c r="D4984" t="s">
        <v>6392</v>
      </c>
    </row>
    <row r="4985" spans="3:5">
      <c r="E4985" t="s">
        <v>6393</v>
      </c>
    </row>
    <row r="4986" spans="3:5">
      <c r="C4986" t="s">
        <v>6394</v>
      </c>
    </row>
    <row r="4987" spans="3:5">
      <c r="D4987" t="s">
        <v>6395</v>
      </c>
    </row>
    <row r="4988" spans="3:5">
      <c r="D4988" t="s">
        <v>6396</v>
      </c>
    </row>
    <row r="4989" spans="3:5">
      <c r="C4989" s="2" t="s">
        <v>2438</v>
      </c>
    </row>
    <row r="4990" spans="3:5">
      <c r="D4990" t="s">
        <v>6397</v>
      </c>
    </row>
    <row r="4991" spans="3:5">
      <c r="D4991" t="s">
        <v>6398</v>
      </c>
    </row>
    <row r="4992" spans="3:5">
      <c r="C4992" s="2" t="s">
        <v>6399</v>
      </c>
    </row>
    <row r="4993" spans="3:5">
      <c r="C4993" s="2"/>
      <c r="D4993" t="s">
        <v>6400</v>
      </c>
    </row>
    <row r="4994" spans="3:5">
      <c r="D4994" t="s">
        <v>6401</v>
      </c>
    </row>
    <row r="4995" spans="3:5">
      <c r="E4995" t="s">
        <v>6402</v>
      </c>
    </row>
    <row r="4996" spans="3:5">
      <c r="E4996" t="s">
        <v>6403</v>
      </c>
    </row>
    <row r="4997" spans="3:5">
      <c r="E4997" t="s">
        <v>6404</v>
      </c>
    </row>
    <row r="4998" spans="3:5">
      <c r="E4998" t="s">
        <v>6405</v>
      </c>
    </row>
    <row r="4999" spans="3:5">
      <c r="D4999" t="s">
        <v>5220</v>
      </c>
    </row>
    <row r="5000" spans="3:5">
      <c r="D5000" t="s">
        <v>6406</v>
      </c>
    </row>
    <row r="5001" spans="3:5">
      <c r="C5001" t="s">
        <v>6407</v>
      </c>
    </row>
    <row r="5003" spans="3:5">
      <c r="C5003" s="2" t="s">
        <v>94</v>
      </c>
    </row>
    <row r="5004" spans="3:5">
      <c r="C5004" s="2"/>
      <c r="D5004" s="2" t="s">
        <v>6408</v>
      </c>
    </row>
    <row r="5005" spans="3:5">
      <c r="D5005" t="s">
        <v>6409</v>
      </c>
    </row>
    <row r="5006" spans="3:5">
      <c r="E5006" t="s">
        <v>6410</v>
      </c>
    </row>
    <row r="5007" spans="3:5">
      <c r="E5007" t="s">
        <v>6411</v>
      </c>
    </row>
    <row r="5008" spans="3:5">
      <c r="E5008" t="s">
        <v>6412</v>
      </c>
    </row>
    <row r="5009" spans="3:5">
      <c r="E5009" t="s">
        <v>6413</v>
      </c>
    </row>
    <row r="5010" spans="3:5">
      <c r="D5010" t="s">
        <v>6414</v>
      </c>
    </row>
    <row r="5011" spans="3:5">
      <c r="D5011" t="s">
        <v>6415</v>
      </c>
    </row>
    <row r="5012" spans="3:5">
      <c r="D5012" s="2" t="s">
        <v>973</v>
      </c>
    </row>
    <row r="5013" spans="3:5">
      <c r="D5013" t="s">
        <v>6416</v>
      </c>
    </row>
    <row r="5014" spans="3:5">
      <c r="C5014" s="2" t="s">
        <v>97</v>
      </c>
    </row>
    <row r="5015" spans="3:5">
      <c r="D5015" t="s">
        <v>6417</v>
      </c>
    </row>
    <row r="5016" spans="3:5">
      <c r="D5016" t="s">
        <v>6418</v>
      </c>
    </row>
    <row r="5017" spans="3:5">
      <c r="E5017" t="s">
        <v>6419</v>
      </c>
    </row>
    <row r="5018" spans="3:5">
      <c r="E5018" t="s">
        <v>6420</v>
      </c>
    </row>
    <row r="5019" spans="3:5">
      <c r="D5019" t="s">
        <v>6421</v>
      </c>
    </row>
    <row r="5020" spans="3:5">
      <c r="E5020" t="s">
        <v>6422</v>
      </c>
    </row>
    <row r="5021" spans="3:5">
      <c r="D5021" t="s">
        <v>6423</v>
      </c>
    </row>
    <row r="5022" spans="3:5">
      <c r="E5022" t="s">
        <v>6424</v>
      </c>
    </row>
    <row r="5023" spans="3:5">
      <c r="C5023" t="s">
        <v>6425</v>
      </c>
    </row>
    <row r="5025" spans="2:15">
      <c r="B5025" s="121" t="s">
        <v>6426</v>
      </c>
    </row>
    <row r="5026" spans="2:15">
      <c r="B5026" t="s">
        <v>120</v>
      </c>
      <c r="C5026" t="s">
        <v>6427</v>
      </c>
    </row>
    <row r="5027" spans="2:15">
      <c r="C5027" t="s">
        <v>6428</v>
      </c>
    </row>
    <row r="5028" spans="2:15">
      <c r="D5028" s="576" t="s">
        <v>6429</v>
      </c>
      <c r="G5028" s="121">
        <v>2021</v>
      </c>
      <c r="H5028" s="121"/>
      <c r="I5028" s="121">
        <v>2022</v>
      </c>
      <c r="J5028" s="121"/>
      <c r="K5028" s="121"/>
      <c r="L5028" s="121">
        <v>2023</v>
      </c>
    </row>
    <row r="5029" spans="2:15">
      <c r="C5029" t="s">
        <v>6430</v>
      </c>
      <c r="D5029">
        <v>4000</v>
      </c>
      <c r="E5029" t="s">
        <v>6431</v>
      </c>
      <c r="G5029">
        <v>4200</v>
      </c>
      <c r="H5029" t="s">
        <v>6432</v>
      </c>
      <c r="I5029" t="s">
        <v>6433</v>
      </c>
      <c r="L5029" t="s">
        <v>6434</v>
      </c>
    </row>
    <row r="5030" spans="2:15">
      <c r="G5030" s="8"/>
      <c r="J5030" t="s">
        <v>6435</v>
      </c>
    </row>
    <row r="5031" spans="2:15">
      <c r="D5031">
        <v>1600</v>
      </c>
      <c r="G5031">
        <v>1600</v>
      </c>
      <c r="I5031">
        <v>1600</v>
      </c>
      <c r="L5031" s="264" t="s">
        <v>6436</v>
      </c>
      <c r="O5031" t="s">
        <v>6437</v>
      </c>
    </row>
    <row r="5032" spans="2:15">
      <c r="I5032" t="s">
        <v>6438</v>
      </c>
      <c r="L5032" s="264"/>
    </row>
    <row r="5033" spans="2:15">
      <c r="I5033" t="s">
        <v>6439</v>
      </c>
      <c r="L5033" s="264"/>
    </row>
    <row r="5034" spans="2:15">
      <c r="J5034" t="s">
        <v>6440</v>
      </c>
      <c r="L5034" s="264"/>
    </row>
    <row r="5035" spans="2:15">
      <c r="I5035" t="s">
        <v>6441</v>
      </c>
      <c r="L5035" s="264"/>
    </row>
    <row r="5036" spans="2:15">
      <c r="I5036" t="s">
        <v>6442</v>
      </c>
      <c r="L5036" s="264"/>
    </row>
    <row r="5037" spans="2:15">
      <c r="I5037" t="s">
        <v>6443</v>
      </c>
      <c r="L5037" s="264"/>
    </row>
    <row r="5038" spans="2:15">
      <c r="C5038" t="s">
        <v>6444</v>
      </c>
    </row>
    <row r="5039" spans="2:15">
      <c r="D5039" t="s">
        <v>6445</v>
      </c>
    </row>
    <row r="5040" spans="2:15">
      <c r="D5040" t="s">
        <v>6446</v>
      </c>
    </row>
    <row r="5041" spans="2:5">
      <c r="C5041" t="s">
        <v>6447</v>
      </c>
    </row>
    <row r="5042" spans="2:5">
      <c r="C5042" s="136">
        <v>2022</v>
      </c>
      <c r="D5042" t="s">
        <v>6448</v>
      </c>
    </row>
    <row r="5043" spans="2:5">
      <c r="C5043" s="136"/>
      <c r="E5043" t="s">
        <v>6449</v>
      </c>
    </row>
    <row r="5044" spans="2:5">
      <c r="C5044" s="136"/>
      <c r="E5044" t="s">
        <v>6450</v>
      </c>
    </row>
    <row r="5045" spans="2:5">
      <c r="C5045" s="136"/>
      <c r="E5045" t="s">
        <v>6451</v>
      </c>
    </row>
    <row r="5046" spans="2:5">
      <c r="D5046" t="s">
        <v>6452</v>
      </c>
    </row>
    <row r="5047" spans="2:5">
      <c r="C5047" t="s">
        <v>6453</v>
      </c>
    </row>
    <row r="5048" spans="2:5">
      <c r="C5048" t="s">
        <v>6454</v>
      </c>
    </row>
    <row r="5049" spans="2:5">
      <c r="D5049" t="s">
        <v>6455</v>
      </c>
    </row>
    <row r="5050" spans="2:5">
      <c r="C5050" t="s">
        <v>6456</v>
      </c>
    </row>
    <row r="5051" spans="2:5">
      <c r="B5051" t="s">
        <v>5023</v>
      </c>
    </row>
    <row r="5052" spans="2:5">
      <c r="C5052" t="s">
        <v>1383</v>
      </c>
    </row>
    <row r="5053" spans="2:5">
      <c r="C5053" t="s">
        <v>6457</v>
      </c>
    </row>
    <row r="5054" spans="2:5">
      <c r="D5054" t="s">
        <v>6458</v>
      </c>
    </row>
    <row r="5055" spans="2:5">
      <c r="C5055" t="s">
        <v>6459</v>
      </c>
    </row>
    <row r="5056" spans="2:5">
      <c r="C5056" t="s">
        <v>6460</v>
      </c>
    </row>
    <row r="5057" spans="2:4">
      <c r="D5057" t="s">
        <v>6461</v>
      </c>
    </row>
    <row r="5058" spans="2:4">
      <c r="D5058" t="s">
        <v>6462</v>
      </c>
    </row>
    <row r="5060" spans="2:4">
      <c r="B5060" t="s">
        <v>6463</v>
      </c>
    </row>
    <row r="5061" spans="2:4">
      <c r="C5061" t="s">
        <v>6464</v>
      </c>
    </row>
    <row r="5062" spans="2:4">
      <c r="D5062" t="s">
        <v>6465</v>
      </c>
    </row>
    <row r="5063" spans="2:4">
      <c r="C5063" t="s">
        <v>6466</v>
      </c>
    </row>
    <row r="5064" spans="2:4">
      <c r="B5064" t="s">
        <v>6467</v>
      </c>
    </row>
    <row r="5065" spans="2:4">
      <c r="C5065" t="s">
        <v>6468</v>
      </c>
    </row>
    <row r="5066" spans="2:4">
      <c r="C5066" t="s">
        <v>6469</v>
      </c>
    </row>
    <row r="5067" spans="2:4">
      <c r="B5067" t="s">
        <v>1067</v>
      </c>
    </row>
    <row r="5068" spans="2:4">
      <c r="C5068" t="s">
        <v>6470</v>
      </c>
    </row>
    <row r="5069" spans="2:4">
      <c r="C5069" t="s">
        <v>6471</v>
      </c>
    </row>
    <row r="5070" spans="2:4">
      <c r="D5070" t="s">
        <v>6472</v>
      </c>
    </row>
    <row r="5071" spans="2:4">
      <c r="D5071" t="s">
        <v>6473</v>
      </c>
    </row>
    <row r="5072" spans="2:4">
      <c r="C5072" t="s">
        <v>6474</v>
      </c>
    </row>
    <row r="5073" spans="2:4">
      <c r="C5073" t="s">
        <v>6475</v>
      </c>
    </row>
    <row r="5074" spans="2:4">
      <c r="C5074" t="s">
        <v>6476</v>
      </c>
    </row>
    <row r="5075" spans="2:4">
      <c r="B5075" t="s">
        <v>6477</v>
      </c>
    </row>
    <row r="5076" spans="2:4">
      <c r="C5076" t="s">
        <v>6478</v>
      </c>
    </row>
    <row r="5077" spans="2:4">
      <c r="C5077" t="s">
        <v>6479</v>
      </c>
    </row>
    <row r="5078" spans="2:4">
      <c r="D5078" t="s">
        <v>6392</v>
      </c>
    </row>
    <row r="5079" spans="2:4">
      <c r="D5079" t="s">
        <v>6480</v>
      </c>
    </row>
    <row r="5080" spans="2:4">
      <c r="C5080" s="5">
        <v>44197</v>
      </c>
    </row>
    <row r="5081" spans="2:4">
      <c r="D5081" t="s">
        <v>6481</v>
      </c>
    </row>
    <row r="5082" spans="2:4">
      <c r="D5082" t="s">
        <v>6482</v>
      </c>
    </row>
    <row r="5083" spans="2:4">
      <c r="C5083" t="s">
        <v>6483</v>
      </c>
    </row>
    <row r="5084" spans="2:4">
      <c r="C5084" t="s">
        <v>6484</v>
      </c>
    </row>
    <row r="5085" spans="2:4">
      <c r="C5085" t="s">
        <v>6485</v>
      </c>
    </row>
    <row r="5086" spans="2:4">
      <c r="B5086" t="s">
        <v>6486</v>
      </c>
    </row>
    <row r="5087" spans="2:4">
      <c r="B5087" t="s">
        <v>6389</v>
      </c>
    </row>
    <row r="5089" spans="2:7">
      <c r="B5089" t="s">
        <v>52</v>
      </c>
    </row>
    <row r="5090" spans="2:7">
      <c r="C5090" t="s">
        <v>6487</v>
      </c>
    </row>
    <row r="5091" spans="2:7">
      <c r="D5091" t="s">
        <v>6488</v>
      </c>
    </row>
    <row r="5092" spans="2:7">
      <c r="E5092" t="s">
        <v>6489</v>
      </c>
      <c r="G5092" t="s">
        <v>6490</v>
      </c>
    </row>
    <row r="5093" spans="2:7">
      <c r="E5093" t="s">
        <v>6491</v>
      </c>
      <c r="G5093" t="s">
        <v>6492</v>
      </c>
    </row>
    <row r="5094" spans="2:7">
      <c r="E5094" t="s">
        <v>6493</v>
      </c>
      <c r="G5094" t="s">
        <v>6494</v>
      </c>
    </row>
    <row r="5095" spans="2:7">
      <c r="C5095" t="s">
        <v>6495</v>
      </c>
    </row>
    <row r="5096" spans="2:7">
      <c r="C5096" t="s">
        <v>6496</v>
      </c>
    </row>
    <row r="5097" spans="2:7">
      <c r="D5097" t="s">
        <v>6497</v>
      </c>
    </row>
    <row r="5098" spans="2:7">
      <c r="C5098" t="s">
        <v>6498</v>
      </c>
    </row>
    <row r="5099" spans="2:7">
      <c r="D5099" t="s">
        <v>6499</v>
      </c>
    </row>
    <row r="5100" spans="2:7">
      <c r="D5100" t="s">
        <v>6500</v>
      </c>
    </row>
    <row r="5101" spans="2:7">
      <c r="B5101" t="s">
        <v>557</v>
      </c>
    </row>
    <row r="5102" spans="2:7">
      <c r="C5102" t="s">
        <v>6501</v>
      </c>
    </row>
    <row r="5103" spans="2:7">
      <c r="C5103" t="s">
        <v>6502</v>
      </c>
    </row>
    <row r="5104" spans="2:7">
      <c r="D5104" t="s">
        <v>6503</v>
      </c>
    </row>
    <row r="5105" spans="2:10">
      <c r="C5105" t="s">
        <v>2187</v>
      </c>
    </row>
    <row r="5106" spans="2:10">
      <c r="D5106" s="2" t="s">
        <v>6504</v>
      </c>
      <c r="G5106" s="2" t="s">
        <v>937</v>
      </c>
    </row>
    <row r="5107" spans="2:10">
      <c r="D5107" t="s">
        <v>6505</v>
      </c>
      <c r="G5107" t="s">
        <v>6506</v>
      </c>
    </row>
    <row r="5108" spans="2:10">
      <c r="D5108" s="136">
        <f>50/0.25</f>
        <v>200</v>
      </c>
      <c r="E5108" t="s">
        <v>6507</v>
      </c>
    </row>
    <row r="5109" spans="2:10">
      <c r="D5109" t="s">
        <v>6508</v>
      </c>
    </row>
    <row r="5110" spans="2:10">
      <c r="C5110" t="s">
        <v>6509</v>
      </c>
      <c r="G5110" t="s">
        <v>6510</v>
      </c>
    </row>
    <row r="5111" spans="2:10">
      <c r="C5111" t="s">
        <v>6511</v>
      </c>
      <c r="G5111" t="s">
        <v>6512</v>
      </c>
    </row>
    <row r="5112" spans="2:10">
      <c r="B5112" t="s">
        <v>1784</v>
      </c>
    </row>
    <row r="5113" spans="2:10">
      <c r="C5113" t="s">
        <v>6513</v>
      </c>
    </row>
    <row r="5114" spans="2:10">
      <c r="C5114" t="s">
        <v>6514</v>
      </c>
    </row>
    <row r="5115" spans="2:10">
      <c r="C5115" s="2">
        <v>2020</v>
      </c>
      <c r="D5115" s="2">
        <v>2021</v>
      </c>
      <c r="E5115" s="645" t="s">
        <v>761</v>
      </c>
    </row>
    <row r="5116" spans="2:10">
      <c r="B5116" t="s">
        <v>6515</v>
      </c>
      <c r="C5116" s="419">
        <v>10</v>
      </c>
      <c r="D5116">
        <v>15.4</v>
      </c>
      <c r="E5116">
        <v>17.399999999999999</v>
      </c>
    </row>
    <row r="5118" spans="2:10">
      <c r="B5118" s="2" t="s">
        <v>760</v>
      </c>
      <c r="I5118">
        <v>10</v>
      </c>
      <c r="J5118">
        <f>I5118*100</f>
        <v>1000</v>
      </c>
    </row>
    <row r="5119" spans="2:10">
      <c r="B5119" t="s">
        <v>6516</v>
      </c>
    </row>
    <row r="5120" spans="2:10">
      <c r="C5120" t="s">
        <v>6517</v>
      </c>
    </row>
    <row r="5121" spans="2:3">
      <c r="B5121" t="s">
        <v>6518</v>
      </c>
    </row>
    <row r="5122" spans="2:3">
      <c r="B5122" t="s">
        <v>6519</v>
      </c>
    </row>
    <row r="5124" spans="2:3">
      <c r="B5124" s="2" t="s">
        <v>94</v>
      </c>
    </row>
    <row r="5125" spans="2:3">
      <c r="B5125" t="s">
        <v>4261</v>
      </c>
      <c r="C5125" t="s">
        <v>6520</v>
      </c>
    </row>
    <row r="5126" spans="2:3">
      <c r="B5126" t="s">
        <v>2117</v>
      </c>
      <c r="C5126" t="s">
        <v>6521</v>
      </c>
    </row>
    <row r="5127" spans="2:3">
      <c r="C5127" t="s">
        <v>6522</v>
      </c>
    </row>
    <row r="5128" spans="2:3">
      <c r="C5128" t="s">
        <v>6523</v>
      </c>
    </row>
    <row r="5129" spans="2:3">
      <c r="B5129" s="2" t="s">
        <v>97</v>
      </c>
    </row>
    <row r="5130" spans="2:3">
      <c r="B5130" t="s">
        <v>6524</v>
      </c>
    </row>
    <row r="5131" spans="2:3">
      <c r="B5131" t="s">
        <v>6525</v>
      </c>
    </row>
    <row r="5132" spans="2:3">
      <c r="C5132" t="s">
        <v>6526</v>
      </c>
    </row>
    <row r="5133" spans="2:3">
      <c r="C5133" t="s">
        <v>6527</v>
      </c>
    </row>
    <row r="5134" spans="2:3">
      <c r="B5134" t="s">
        <v>2117</v>
      </c>
    </row>
    <row r="5135" spans="2:3">
      <c r="C5135" t="s">
        <v>6528</v>
      </c>
    </row>
    <row r="5136" spans="2:3">
      <c r="C5136" t="s">
        <v>6529</v>
      </c>
    </row>
    <row r="5137" spans="2:4">
      <c r="D5137" t="s">
        <v>6530</v>
      </c>
    </row>
    <row r="5138" spans="2:4">
      <c r="C5138" t="s">
        <v>6531</v>
      </c>
    </row>
    <row r="5139" spans="2:4">
      <c r="B5139" t="s">
        <v>6532</v>
      </c>
    </row>
    <row r="5140" spans="2:4">
      <c r="C5140" t="s">
        <v>6533</v>
      </c>
    </row>
    <row r="5141" spans="2:4">
      <c r="D5141" t="s">
        <v>6534</v>
      </c>
    </row>
    <row r="5142" spans="2:4">
      <c r="D5142" t="s">
        <v>6535</v>
      </c>
    </row>
    <row r="5143" spans="2:4">
      <c r="B5143" t="s">
        <v>6536</v>
      </c>
    </row>
    <row r="5144" spans="2:4">
      <c r="C5144" t="s">
        <v>6537</v>
      </c>
    </row>
    <row r="5145" spans="2:4">
      <c r="C5145" t="s">
        <v>6538</v>
      </c>
    </row>
    <row r="5147" spans="2:4">
      <c r="B5147" s="121" t="s">
        <v>6539</v>
      </c>
    </row>
    <row r="5149" spans="2:4">
      <c r="B5149" s="2" t="s">
        <v>6540</v>
      </c>
    </row>
    <row r="5150" spans="2:4">
      <c r="B5150" t="s">
        <v>6541</v>
      </c>
    </row>
    <row r="5151" spans="2:4">
      <c r="B5151" t="s">
        <v>6542</v>
      </c>
    </row>
    <row r="5152" spans="2:4">
      <c r="B5152" t="s">
        <v>6543</v>
      </c>
    </row>
    <row r="5154" spans="2:3">
      <c r="B5154" t="s">
        <v>6544</v>
      </c>
    </row>
    <row r="5155" spans="2:3">
      <c r="B5155" t="s">
        <v>6545</v>
      </c>
    </row>
    <row r="5156" spans="2:3">
      <c r="B5156" t="s">
        <v>6546</v>
      </c>
    </row>
    <row r="5158" spans="2:3">
      <c r="B5158" t="s">
        <v>6547</v>
      </c>
      <c r="C5158" t="s">
        <v>973</v>
      </c>
    </row>
    <row r="5159" spans="2:3">
      <c r="B5159" t="s">
        <v>6548</v>
      </c>
      <c r="C5159" t="s">
        <v>955</v>
      </c>
    </row>
    <row r="5160" spans="2:3">
      <c r="B5160" t="s">
        <v>6549</v>
      </c>
    </row>
    <row r="5162" spans="2:3">
      <c r="B5162" t="s">
        <v>6550</v>
      </c>
      <c r="C5162" t="s">
        <v>6551</v>
      </c>
    </row>
    <row r="5164" spans="2:3">
      <c r="B5164" t="s">
        <v>6552</v>
      </c>
      <c r="C5164" t="s">
        <v>6553</v>
      </c>
    </row>
    <row r="5166" spans="2:3">
      <c r="B5166" t="s">
        <v>6554</v>
      </c>
    </row>
    <row r="5168" spans="2:3">
      <c r="B5168" s="2" t="s">
        <v>973</v>
      </c>
    </row>
    <row r="5169" spans="2:3">
      <c r="B5169" t="s">
        <v>6555</v>
      </c>
    </row>
    <row r="5170" spans="2:3">
      <c r="B5170" t="s">
        <v>6556</v>
      </c>
    </row>
    <row r="5171" spans="2:3">
      <c r="B5171" t="s">
        <v>6557</v>
      </c>
    </row>
    <row r="5172" spans="2:3">
      <c r="B5172" t="s">
        <v>6558</v>
      </c>
    </row>
    <row r="5173" spans="2:3">
      <c r="B5173" t="s">
        <v>6559</v>
      </c>
    </row>
    <row r="5174" spans="2:3">
      <c r="B5174" t="s">
        <v>6560</v>
      </c>
    </row>
    <row r="5175" spans="2:3">
      <c r="B5175" t="s">
        <v>6561</v>
      </c>
    </row>
    <row r="5176" spans="2:3">
      <c r="B5176" t="s">
        <v>6562</v>
      </c>
    </row>
    <row r="5177" spans="2:3">
      <c r="B5177" t="s">
        <v>6563</v>
      </c>
    </row>
    <row r="5178" spans="2:3">
      <c r="B5178" t="s">
        <v>6564</v>
      </c>
    </row>
    <row r="5179" spans="2:3">
      <c r="B5179" t="s">
        <v>6565</v>
      </c>
    </row>
    <row r="5180" spans="2:3">
      <c r="B5180" t="s">
        <v>6566</v>
      </c>
    </row>
    <row r="5181" spans="2:3">
      <c r="C5181" t="s">
        <v>6567</v>
      </c>
    </row>
    <row r="5182" spans="2:3">
      <c r="B5182" t="s">
        <v>6568</v>
      </c>
    </row>
    <row r="5183" spans="2:3">
      <c r="C5183" t="s">
        <v>6569</v>
      </c>
    </row>
    <row r="5184" spans="2:3">
      <c r="B5184" t="s">
        <v>6570</v>
      </c>
    </row>
    <row r="5185" spans="2:3">
      <c r="B5185" t="s">
        <v>2565</v>
      </c>
    </row>
    <row r="5186" spans="2:3">
      <c r="C5186" t="s">
        <v>6571</v>
      </c>
    </row>
    <row r="5187" spans="2:3">
      <c r="C5187" t="s">
        <v>6572</v>
      </c>
    </row>
    <row r="5188" spans="2:3">
      <c r="B5188" s="2" t="s">
        <v>6573</v>
      </c>
    </row>
    <row r="5189" spans="2:3">
      <c r="B5189" t="s">
        <v>6574</v>
      </c>
    </row>
    <row r="5190" spans="2:3">
      <c r="B5190" t="s">
        <v>6575</v>
      </c>
    </row>
    <row r="5191" spans="2:3">
      <c r="B5191" t="s">
        <v>6576</v>
      </c>
    </row>
    <row r="5192" spans="2:3">
      <c r="B5192" t="s">
        <v>6577</v>
      </c>
    </row>
    <row r="5193" spans="2:3">
      <c r="C5193" t="s">
        <v>6578</v>
      </c>
    </row>
    <row r="5194" spans="2:3">
      <c r="C5194" t="s">
        <v>6579</v>
      </c>
    </row>
    <row r="5195" spans="2:3">
      <c r="C5195" t="s">
        <v>6580</v>
      </c>
    </row>
    <row r="5196" spans="2:3">
      <c r="C5196" t="s">
        <v>6581</v>
      </c>
    </row>
    <row r="5197" spans="2:3">
      <c r="B5197" t="s">
        <v>6582</v>
      </c>
    </row>
    <row r="5198" spans="2:3">
      <c r="C5198" t="s">
        <v>6583</v>
      </c>
    </row>
    <row r="5199" spans="2:3">
      <c r="B5199" t="s">
        <v>6584</v>
      </c>
    </row>
    <row r="5200" spans="2:3">
      <c r="B5200" t="s">
        <v>6585</v>
      </c>
    </row>
    <row r="5201" spans="2:4">
      <c r="C5201" t="s">
        <v>6586</v>
      </c>
    </row>
    <row r="5202" spans="2:4">
      <c r="D5202" t="s">
        <v>6587</v>
      </c>
    </row>
    <row r="5203" spans="2:4">
      <c r="C5203" t="s">
        <v>6588</v>
      </c>
    </row>
    <row r="5204" spans="2:4">
      <c r="C5204" t="s">
        <v>6589</v>
      </c>
    </row>
    <row r="5205" spans="2:4">
      <c r="B5205" t="s">
        <v>6590</v>
      </c>
    </row>
    <row r="5206" spans="2:4">
      <c r="C5206" t="s">
        <v>6591</v>
      </c>
    </row>
    <row r="5207" spans="2:4">
      <c r="D5207" t="s">
        <v>6592</v>
      </c>
    </row>
    <row r="5208" spans="2:4">
      <c r="C5208" t="s">
        <v>6593</v>
      </c>
    </row>
    <row r="5209" spans="2:4">
      <c r="C5209" t="s">
        <v>6594</v>
      </c>
    </row>
    <row r="5210" spans="2:4">
      <c r="B5210" t="s">
        <v>4636</v>
      </c>
    </row>
    <row r="5211" spans="2:4">
      <c r="C5211" t="s">
        <v>6595</v>
      </c>
    </row>
    <row r="5212" spans="2:4">
      <c r="B5212" t="s">
        <v>2565</v>
      </c>
    </row>
    <row r="5213" spans="2:4">
      <c r="C5213" t="s">
        <v>6596</v>
      </c>
    </row>
    <row r="5214" spans="2:4">
      <c r="C5214" t="s">
        <v>6597</v>
      </c>
    </row>
    <row r="5215" spans="2:4">
      <c r="C5215" t="s">
        <v>6598</v>
      </c>
    </row>
    <row r="5216" spans="2:4">
      <c r="C5216" t="s">
        <v>6599</v>
      </c>
    </row>
    <row r="5217" spans="1:3">
      <c r="C5217" t="s">
        <v>6600</v>
      </c>
    </row>
    <row r="5218" spans="1:3">
      <c r="C5218" t="s">
        <v>6601</v>
      </c>
    </row>
    <row r="5219" spans="1:3">
      <c r="B5219" t="s">
        <v>6602</v>
      </c>
    </row>
    <row r="5221" spans="1:3">
      <c r="B5221" s="2" t="s">
        <v>6603</v>
      </c>
    </row>
    <row r="5223" spans="1:3">
      <c r="A5223" t="s">
        <v>3667</v>
      </c>
      <c r="B5223" t="s">
        <v>6604</v>
      </c>
    </row>
    <row r="5225" spans="1:3">
      <c r="B5225" s="42" t="s">
        <v>4157</v>
      </c>
    </row>
    <row r="5227" spans="1:3">
      <c r="B5227" s="2" t="s">
        <v>5926</v>
      </c>
    </row>
    <row r="5228" spans="1:3">
      <c r="A5228" t="s">
        <v>3667</v>
      </c>
      <c r="B5228" t="s">
        <v>6605</v>
      </c>
    </row>
    <row r="5229" spans="1:3">
      <c r="A5229" t="s">
        <v>3667</v>
      </c>
      <c r="B5229" t="s">
        <v>6606</v>
      </c>
    </row>
    <row r="5230" spans="1:3">
      <c r="B5230" t="s">
        <v>6607</v>
      </c>
    </row>
    <row r="5231" spans="1:3">
      <c r="B5231" t="s">
        <v>6608</v>
      </c>
    </row>
    <row r="5233" spans="2:2">
      <c r="B5233" t="s">
        <v>6609</v>
      </c>
    </row>
    <row r="5235" spans="2:2">
      <c r="B5235" s="2" t="s">
        <v>52</v>
      </c>
    </row>
    <row r="5236" spans="2:2">
      <c r="B5236" t="s">
        <v>6610</v>
      </c>
    </row>
    <row r="5237" spans="2:2">
      <c r="B5237" t="s">
        <v>6611</v>
      </c>
    </row>
    <row r="5238" spans="2:2">
      <c r="B5238" t="s">
        <v>6612</v>
      </c>
    </row>
    <row r="5239" spans="2:2">
      <c r="B5239" t="s">
        <v>6613</v>
      </c>
    </row>
    <row r="5241" spans="2:2">
      <c r="B5241" s="2" t="s">
        <v>97</v>
      </c>
    </row>
    <row r="5242" spans="2:2">
      <c r="B5242" t="s">
        <v>6614</v>
      </c>
    </row>
    <row r="5243" spans="2:2">
      <c r="B5243" t="s">
        <v>6615</v>
      </c>
    </row>
    <row r="5245" spans="2:2">
      <c r="B5245" s="42" t="s">
        <v>1547</v>
      </c>
    </row>
    <row r="5247" spans="2:2">
      <c r="B5247" s="431" t="s">
        <v>94</v>
      </c>
    </row>
    <row r="5248" spans="2:2">
      <c r="B5248" t="s">
        <v>6616</v>
      </c>
    </row>
    <row r="5249" spans="1:6">
      <c r="B5249" t="s">
        <v>6617</v>
      </c>
    </row>
    <row r="5250" spans="1:6">
      <c r="B5250" t="s">
        <v>6618</v>
      </c>
    </row>
    <row r="5251" spans="1:6">
      <c r="B5251" t="s">
        <v>6619</v>
      </c>
    </row>
    <row r="5252" spans="1:6">
      <c r="B5252" t="s">
        <v>6620</v>
      </c>
    </row>
    <row r="5253" spans="1:6">
      <c r="B5253" s="2" t="s">
        <v>52</v>
      </c>
    </row>
    <row r="5254" spans="1:6">
      <c r="B5254" t="s">
        <v>6621</v>
      </c>
    </row>
    <row r="5255" spans="1:6">
      <c r="B5255" t="s">
        <v>6622</v>
      </c>
      <c r="C5255" t="s">
        <v>6623</v>
      </c>
    </row>
    <row r="5256" spans="1:6">
      <c r="B5256" s="431" t="s">
        <v>97</v>
      </c>
    </row>
    <row r="5257" spans="1:6">
      <c r="B5257" t="s">
        <v>6624</v>
      </c>
    </row>
    <row r="5258" spans="1:6">
      <c r="A5258" t="s">
        <v>3667</v>
      </c>
      <c r="B5258" t="s">
        <v>6625</v>
      </c>
      <c r="F5258" t="s">
        <v>6626</v>
      </c>
    </row>
    <row r="5259" spans="1:6">
      <c r="B5259" s="431" t="s">
        <v>35</v>
      </c>
    </row>
    <row r="5260" spans="1:6">
      <c r="B5260" s="136" t="s">
        <v>6627</v>
      </c>
    </row>
    <row r="5261" spans="1:6">
      <c r="B5261" s="136" t="s">
        <v>6628</v>
      </c>
    </row>
    <row r="5262" spans="1:6">
      <c r="B5262" s="136" t="s">
        <v>6629</v>
      </c>
    </row>
    <row r="5263" spans="1:6">
      <c r="B5263" s="136" t="s">
        <v>6630</v>
      </c>
    </row>
    <row r="5264" spans="1:6">
      <c r="B5264" s="431"/>
    </row>
    <row r="5265" spans="1:4">
      <c r="B5265" s="121" t="s">
        <v>2680</v>
      </c>
    </row>
    <row r="5267" spans="1:4">
      <c r="B5267" t="s">
        <v>1384</v>
      </c>
    </row>
    <row r="5268" spans="1:4">
      <c r="A5268" t="s">
        <v>3667</v>
      </c>
      <c r="C5268" t="s">
        <v>6631</v>
      </c>
    </row>
    <row r="5269" spans="1:4">
      <c r="C5269" t="s">
        <v>6632</v>
      </c>
    </row>
    <row r="5270" spans="1:4">
      <c r="B5270" t="s">
        <v>1590</v>
      </c>
    </row>
    <row r="5271" spans="1:4">
      <c r="B5271" s="42"/>
      <c r="C5271" t="s">
        <v>6633</v>
      </c>
    </row>
    <row r="5272" spans="1:4">
      <c r="C5272" t="s">
        <v>6634</v>
      </c>
    </row>
    <row r="5273" spans="1:4">
      <c r="C5273" t="s">
        <v>6635</v>
      </c>
    </row>
    <row r="5274" spans="1:4">
      <c r="C5274" t="s">
        <v>6636</v>
      </c>
    </row>
    <row r="5275" spans="1:4">
      <c r="C5275" t="s">
        <v>6637</v>
      </c>
    </row>
    <row r="5276" spans="1:4">
      <c r="C5276" t="s">
        <v>6638</v>
      </c>
    </row>
    <row r="5277" spans="1:4">
      <c r="C5277" t="s">
        <v>6639</v>
      </c>
    </row>
    <row r="5278" spans="1:4">
      <c r="D5278" t="s">
        <v>6640</v>
      </c>
    </row>
    <row r="5280" spans="1:4">
      <c r="B5280" t="s">
        <v>6641</v>
      </c>
    </row>
    <row r="5281" spans="2:3">
      <c r="C5281" t="s">
        <v>6642</v>
      </c>
    </row>
    <row r="5282" spans="2:3">
      <c r="B5282" t="s">
        <v>6643</v>
      </c>
    </row>
    <row r="5284" spans="2:3">
      <c r="B5284" t="s">
        <v>6644</v>
      </c>
    </row>
    <row r="5286" spans="2:3">
      <c r="B5286" t="s">
        <v>785</v>
      </c>
      <c r="C5286" t="s">
        <v>6645</v>
      </c>
    </row>
    <row r="5288" spans="2:3">
      <c r="B5288" t="s">
        <v>6646</v>
      </c>
    </row>
    <row r="5290" spans="2:3">
      <c r="B5290" t="s">
        <v>6647</v>
      </c>
    </row>
    <row r="5291" spans="2:3">
      <c r="B5291" t="s">
        <v>6648</v>
      </c>
    </row>
    <row r="5293" spans="2:3">
      <c r="B5293" t="s">
        <v>2772</v>
      </c>
    </row>
    <row r="5294" spans="2:3">
      <c r="C5294" t="s">
        <v>6649</v>
      </c>
    </row>
    <row r="5295" spans="2:3">
      <c r="C5295" t="s">
        <v>6650</v>
      </c>
    </row>
    <row r="5296" spans="2:3">
      <c r="C5296" t="s">
        <v>6651</v>
      </c>
    </row>
    <row r="5298" spans="2:4">
      <c r="B5298" s="121" t="s">
        <v>6652</v>
      </c>
    </row>
    <row r="5300" spans="2:4">
      <c r="B5300" t="s">
        <v>94</v>
      </c>
    </row>
    <row r="5301" spans="2:4">
      <c r="C5301" t="s">
        <v>6653</v>
      </c>
    </row>
    <row r="5302" spans="2:4">
      <c r="C5302" t="s">
        <v>6654</v>
      </c>
    </row>
    <row r="5303" spans="2:4">
      <c r="C5303" t="s">
        <v>6655</v>
      </c>
    </row>
    <row r="5304" spans="2:4">
      <c r="D5304" t="s">
        <v>6656</v>
      </c>
    </row>
    <row r="5305" spans="2:4">
      <c r="C5305" t="s">
        <v>6657</v>
      </c>
    </row>
    <row r="5306" spans="2:4">
      <c r="D5306" t="s">
        <v>6658</v>
      </c>
    </row>
    <row r="5307" spans="2:4">
      <c r="B5307" t="s">
        <v>6659</v>
      </c>
      <c r="C5307" t="s">
        <v>6660</v>
      </c>
    </row>
    <row r="5309" spans="2:4">
      <c r="C5309" t="s">
        <v>6661</v>
      </c>
    </row>
    <row r="5310" spans="2:4">
      <c r="B5310" t="s">
        <v>4167</v>
      </c>
    </row>
    <row r="5311" spans="2:4">
      <c r="C5311" t="s">
        <v>6662</v>
      </c>
    </row>
    <row r="5312" spans="2:4">
      <c r="B5312" t="s">
        <v>973</v>
      </c>
    </row>
    <row r="5313" spans="1:4">
      <c r="C5313" t="s">
        <v>6663</v>
      </c>
    </row>
    <row r="5314" spans="1:4">
      <c r="D5314" t="s">
        <v>6664</v>
      </c>
    </row>
    <row r="5315" spans="1:4">
      <c r="C5315" t="s">
        <v>6665</v>
      </c>
    </row>
    <row r="5316" spans="1:4">
      <c r="D5316" t="s">
        <v>6666</v>
      </c>
    </row>
    <row r="5317" spans="1:4">
      <c r="D5317" t="s">
        <v>6667</v>
      </c>
    </row>
    <row r="5318" spans="1:4">
      <c r="B5318" t="s">
        <v>6668</v>
      </c>
    </row>
    <row r="5319" spans="1:4">
      <c r="C5319" t="s">
        <v>6669</v>
      </c>
    </row>
    <row r="5321" spans="1:4">
      <c r="B5321" t="s">
        <v>52</v>
      </c>
    </row>
    <row r="5322" spans="1:4">
      <c r="C5322" t="s">
        <v>6670</v>
      </c>
    </row>
    <row r="5323" spans="1:4">
      <c r="C5323" t="s">
        <v>6671</v>
      </c>
    </row>
    <row r="5324" spans="1:4">
      <c r="C5324" t="s">
        <v>6672</v>
      </c>
    </row>
    <row r="5325" spans="1:4">
      <c r="C5325" t="s">
        <v>6673</v>
      </c>
    </row>
    <row r="5326" spans="1:4">
      <c r="C5326" t="s">
        <v>6674</v>
      </c>
    </row>
    <row r="5327" spans="1:4">
      <c r="D5327" t="s">
        <v>6675</v>
      </c>
    </row>
    <row r="5328" spans="1:4">
      <c r="A5328" t="s">
        <v>3129</v>
      </c>
      <c r="C5328" t="s">
        <v>6676</v>
      </c>
    </row>
    <row r="5329" spans="2:3">
      <c r="B5329" t="s">
        <v>97</v>
      </c>
    </row>
    <row r="5330" spans="2:3">
      <c r="C5330" t="s">
        <v>6677</v>
      </c>
    </row>
    <row r="5331" spans="2:3">
      <c r="C5331" t="s">
        <v>6678</v>
      </c>
    </row>
    <row r="5333" spans="2:3">
      <c r="B5333" s="2" t="s">
        <v>2680</v>
      </c>
    </row>
    <row r="5334" spans="2:3">
      <c r="B5334" t="s">
        <v>6679</v>
      </c>
      <c r="C5334" t="s">
        <v>6680</v>
      </c>
    </row>
    <row r="5335" spans="2:3">
      <c r="C5335" t="s">
        <v>6681</v>
      </c>
    </row>
    <row r="5336" spans="2:3">
      <c r="C5336" t="s">
        <v>6682</v>
      </c>
    </row>
    <row r="5337" spans="2:3">
      <c r="C5337" t="s">
        <v>6683</v>
      </c>
    </row>
    <row r="5338" spans="2:3">
      <c r="B5338" t="s">
        <v>6684</v>
      </c>
    </row>
    <row r="5339" spans="2:3">
      <c r="B5339" t="s">
        <v>6685</v>
      </c>
    </row>
    <row r="5340" spans="2:3">
      <c r="B5340" t="s">
        <v>6686</v>
      </c>
    </row>
    <row r="5341" spans="2:3">
      <c r="B5341" t="s">
        <v>6687</v>
      </c>
    </row>
    <row r="5343" spans="2:3">
      <c r="B5343" t="s">
        <v>2227</v>
      </c>
    </row>
    <row r="5344" spans="2:3">
      <c r="C5344" t="s">
        <v>6688</v>
      </c>
    </row>
    <row r="5345" spans="1:5">
      <c r="C5345" s="42" t="s">
        <v>6689</v>
      </c>
    </row>
    <row r="5347" spans="1:5">
      <c r="B5347" t="s">
        <v>97</v>
      </c>
    </row>
    <row r="5348" spans="1:5">
      <c r="C5348" t="s">
        <v>3293</v>
      </c>
    </row>
    <row r="5349" spans="1:5">
      <c r="D5349" t="s">
        <v>6690</v>
      </c>
    </row>
    <row r="5350" spans="1:5">
      <c r="E5350" t="s">
        <v>6691</v>
      </c>
    </row>
    <row r="5351" spans="1:5">
      <c r="A5351" t="s">
        <v>3129</v>
      </c>
      <c r="E5351" t="s">
        <v>6692</v>
      </c>
    </row>
    <row r="5352" spans="1:5">
      <c r="C5352" t="s">
        <v>835</v>
      </c>
    </row>
    <row r="5353" spans="1:5">
      <c r="D5353" t="s">
        <v>6693</v>
      </c>
    </row>
    <row r="5354" spans="1:5">
      <c r="D5354" t="s">
        <v>6694</v>
      </c>
    </row>
    <row r="5355" spans="1:5">
      <c r="D5355" t="s">
        <v>6695</v>
      </c>
    </row>
    <row r="5356" spans="1:5">
      <c r="A5356" t="s">
        <v>3129</v>
      </c>
      <c r="B5356" t="s">
        <v>52</v>
      </c>
    </row>
    <row r="5357" spans="1:5">
      <c r="C5357" t="s">
        <v>6696</v>
      </c>
    </row>
    <row r="5358" spans="1:5">
      <c r="C5358" t="s">
        <v>6697</v>
      </c>
    </row>
    <row r="5359" spans="1:5">
      <c r="C5359" t="s">
        <v>6698</v>
      </c>
    </row>
    <row r="5360" spans="1:5">
      <c r="C5360" t="s">
        <v>6699</v>
      </c>
    </row>
    <row r="5361" spans="2:4">
      <c r="C5361" t="s">
        <v>6700</v>
      </c>
    </row>
    <row r="5363" spans="2:4">
      <c r="B5363" s="2" t="s">
        <v>4157</v>
      </c>
    </row>
    <row r="5365" spans="2:4">
      <c r="B5365" t="s">
        <v>97</v>
      </c>
      <c r="C5365" t="s">
        <v>6701</v>
      </c>
    </row>
    <row r="5366" spans="2:4">
      <c r="D5366" t="s">
        <v>6702</v>
      </c>
    </row>
    <row r="5367" spans="2:4">
      <c r="B5367" t="s">
        <v>6703</v>
      </c>
    </row>
    <row r="5368" spans="2:4">
      <c r="C5368" t="s">
        <v>6704</v>
      </c>
    </row>
    <row r="5369" spans="2:4">
      <c r="C5369" t="s">
        <v>6705</v>
      </c>
    </row>
    <row r="5370" spans="2:4">
      <c r="B5370" t="s">
        <v>6706</v>
      </c>
    </row>
    <row r="5371" spans="2:4">
      <c r="C5371" t="s">
        <v>6707</v>
      </c>
    </row>
    <row r="5372" spans="2:4">
      <c r="B5372" t="s">
        <v>6708</v>
      </c>
    </row>
    <row r="5374" spans="2:4">
      <c r="B5374" s="121" t="s">
        <v>5019</v>
      </c>
    </row>
    <row r="5375" spans="2:4">
      <c r="B5375" t="s">
        <v>6709</v>
      </c>
    </row>
    <row r="5376" spans="2:4">
      <c r="B5376" t="s">
        <v>6710</v>
      </c>
    </row>
    <row r="5377" spans="2:6">
      <c r="C5377" t="s">
        <v>6711</v>
      </c>
    </row>
    <row r="5378" spans="2:6">
      <c r="C5378" t="s">
        <v>6712</v>
      </c>
    </row>
    <row r="5379" spans="2:6">
      <c r="C5379" t="s">
        <v>6713</v>
      </c>
    </row>
    <row r="5380" spans="2:6">
      <c r="C5380" t="s">
        <v>6714</v>
      </c>
    </row>
    <row r="5381" spans="2:6">
      <c r="D5381" t="s">
        <v>6715</v>
      </c>
    </row>
    <row r="5382" spans="2:6">
      <c r="D5382" t="s">
        <v>6716</v>
      </c>
    </row>
    <row r="5383" spans="2:6">
      <c r="D5383" t="s">
        <v>6717</v>
      </c>
    </row>
    <row r="5384" spans="2:6">
      <c r="B5384" t="s">
        <v>6718</v>
      </c>
    </row>
    <row r="5385" spans="2:6">
      <c r="C5385" t="s">
        <v>6719</v>
      </c>
    </row>
    <row r="5386" spans="2:6">
      <c r="C5386" t="s">
        <v>6720</v>
      </c>
    </row>
    <row r="5387" spans="2:6">
      <c r="C5387" t="s">
        <v>6721</v>
      </c>
    </row>
    <row r="5388" spans="2:6">
      <c r="D5388" t="s">
        <v>6722</v>
      </c>
    </row>
    <row r="5389" spans="2:6">
      <c r="C5389" t="s">
        <v>6723</v>
      </c>
    </row>
    <row r="5390" spans="2:6">
      <c r="D5390" s="3" t="s">
        <v>6724</v>
      </c>
      <c r="E5390" s="3" t="s">
        <v>6725</v>
      </c>
      <c r="F5390" s="3" t="s">
        <v>6726</v>
      </c>
    </row>
    <row r="5391" spans="2:6">
      <c r="D5391" s="136" t="s">
        <v>6727</v>
      </c>
      <c r="E5391" s="3"/>
      <c r="F5391" s="3"/>
    </row>
    <row r="5392" spans="2:6">
      <c r="D5392" s="136" t="s">
        <v>6728</v>
      </c>
      <c r="E5392" s="3"/>
      <c r="F5392" s="3"/>
    </row>
    <row r="5393" spans="2:6">
      <c r="D5393" s="136" t="s">
        <v>6729</v>
      </c>
      <c r="E5393" s="3"/>
      <c r="F5393" s="3"/>
    </row>
    <row r="5394" spans="2:6">
      <c r="D5394" s="136" t="s">
        <v>6730</v>
      </c>
      <c r="E5394" s="3"/>
      <c r="F5394" s="3"/>
    </row>
    <row r="5395" spans="2:6">
      <c r="B5395" t="s">
        <v>6731</v>
      </c>
    </row>
    <row r="5396" spans="2:6">
      <c r="B5396" t="s">
        <v>6732</v>
      </c>
    </row>
    <row r="5397" spans="2:6">
      <c r="B5397" t="s">
        <v>6733</v>
      </c>
    </row>
    <row r="5398" spans="2:6">
      <c r="B5398" t="s">
        <v>6734</v>
      </c>
    </row>
    <row r="5399" spans="2:6">
      <c r="B5399" t="s">
        <v>6735</v>
      </c>
    </row>
    <row r="5401" spans="2:6">
      <c r="B5401" t="s">
        <v>6736</v>
      </c>
    </row>
    <row r="5402" spans="2:6">
      <c r="B5402" t="s">
        <v>6737</v>
      </c>
    </row>
    <row r="5404" spans="2:6">
      <c r="B5404" s="121" t="s">
        <v>4745</v>
      </c>
    </row>
    <row r="5406" spans="2:6">
      <c r="B5406" t="s">
        <v>2227</v>
      </c>
      <c r="C5406" t="s">
        <v>6738</v>
      </c>
    </row>
    <row r="5407" spans="2:6">
      <c r="C5407" t="s">
        <v>6739</v>
      </c>
    </row>
    <row r="5408" spans="2:6">
      <c r="C5408" t="s">
        <v>6740</v>
      </c>
    </row>
    <row r="5409" spans="2:4">
      <c r="C5409" t="s">
        <v>6741</v>
      </c>
    </row>
    <row r="5410" spans="2:4">
      <c r="C5410" t="s">
        <v>6742</v>
      </c>
    </row>
    <row r="5411" spans="2:4">
      <c r="C5411" t="s">
        <v>6743</v>
      </c>
    </row>
    <row r="5412" spans="2:4">
      <c r="D5412" t="s">
        <v>6744</v>
      </c>
    </row>
    <row r="5413" spans="2:4">
      <c r="C5413" t="s">
        <v>6745</v>
      </c>
    </row>
    <row r="5414" spans="2:4">
      <c r="C5414" t="s">
        <v>6746</v>
      </c>
    </row>
    <row r="5415" spans="2:4">
      <c r="B5415" t="s">
        <v>6747</v>
      </c>
    </row>
    <row r="5416" spans="2:4">
      <c r="C5416" t="s">
        <v>6748</v>
      </c>
    </row>
    <row r="5417" spans="2:4">
      <c r="C5417" t="s">
        <v>6749</v>
      </c>
    </row>
    <row r="5418" spans="2:4">
      <c r="C5418" t="s">
        <v>6750</v>
      </c>
    </row>
    <row r="5419" spans="2:4">
      <c r="C5419" t="s">
        <v>6751</v>
      </c>
    </row>
    <row r="5420" spans="2:4">
      <c r="D5420" t="s">
        <v>6752</v>
      </c>
    </row>
    <row r="5421" spans="2:4">
      <c r="C5421" s="136">
        <v>2021</v>
      </c>
      <c r="D5421" s="8" t="s">
        <v>6753</v>
      </c>
    </row>
    <row r="5422" spans="2:4">
      <c r="D5422" t="s">
        <v>6754</v>
      </c>
    </row>
    <row r="5423" spans="2:4">
      <c r="C5423" t="s">
        <v>6755</v>
      </c>
    </row>
    <row r="5424" spans="2:4">
      <c r="D5424" t="s">
        <v>6756</v>
      </c>
    </row>
    <row r="5425" spans="2:4">
      <c r="D5425" t="s">
        <v>6757</v>
      </c>
    </row>
    <row r="5426" spans="2:4">
      <c r="B5426" t="s">
        <v>6758</v>
      </c>
    </row>
    <row r="5427" spans="2:4">
      <c r="C5427" t="s">
        <v>6759</v>
      </c>
    </row>
    <row r="5428" spans="2:4">
      <c r="C5428" t="s">
        <v>6760</v>
      </c>
    </row>
    <row r="5429" spans="2:4">
      <c r="C5429" t="s">
        <v>6761</v>
      </c>
    </row>
    <row r="5430" spans="2:4">
      <c r="D5430" t="s">
        <v>6762</v>
      </c>
    </row>
    <row r="5431" spans="2:4">
      <c r="D5431" t="s">
        <v>6763</v>
      </c>
    </row>
    <row r="5432" spans="2:4">
      <c r="B5432" t="s">
        <v>6764</v>
      </c>
    </row>
    <row r="5433" spans="2:4">
      <c r="C5433" t="s">
        <v>6765</v>
      </c>
    </row>
    <row r="5434" spans="2:4">
      <c r="C5434" t="s">
        <v>6766</v>
      </c>
    </row>
    <row r="5435" spans="2:4">
      <c r="C5435" t="s">
        <v>6767</v>
      </c>
    </row>
    <row r="5436" spans="2:4">
      <c r="C5436" t="s">
        <v>6768</v>
      </c>
    </row>
    <row r="5437" spans="2:4">
      <c r="C5437" t="s">
        <v>6769</v>
      </c>
    </row>
    <row r="5438" spans="2:4">
      <c r="C5438" t="s">
        <v>6770</v>
      </c>
    </row>
    <row r="5439" spans="2:4">
      <c r="B5439" t="s">
        <v>52</v>
      </c>
    </row>
    <row r="5440" spans="2:4">
      <c r="C5440" t="s">
        <v>6771</v>
      </c>
    </row>
    <row r="5441" spans="2:4">
      <c r="D5441" t="s">
        <v>6772</v>
      </c>
    </row>
    <row r="5442" spans="2:4">
      <c r="D5442" t="s">
        <v>6773</v>
      </c>
    </row>
    <row r="5443" spans="2:4">
      <c r="D5443" t="s">
        <v>6774</v>
      </c>
    </row>
    <row r="5444" spans="2:4">
      <c r="C5444" t="s">
        <v>6775</v>
      </c>
    </row>
    <row r="5445" spans="2:4">
      <c r="C5445" t="s">
        <v>6776</v>
      </c>
    </row>
    <row r="5446" spans="2:4">
      <c r="C5446" t="s">
        <v>6777</v>
      </c>
    </row>
    <row r="5447" spans="2:4">
      <c r="C5447" t="s">
        <v>6778</v>
      </c>
    </row>
    <row r="5448" spans="2:4">
      <c r="D5448" t="s">
        <v>6779</v>
      </c>
    </row>
    <row r="5449" spans="2:4">
      <c r="D5449" t="s">
        <v>6780</v>
      </c>
    </row>
    <row r="5450" spans="2:4">
      <c r="C5450" t="s">
        <v>6781</v>
      </c>
    </row>
    <row r="5451" spans="2:4">
      <c r="D5451" t="s">
        <v>6782</v>
      </c>
    </row>
    <row r="5452" spans="2:4">
      <c r="D5452" t="s">
        <v>6783</v>
      </c>
    </row>
    <row r="5453" spans="2:4">
      <c r="C5453" t="s">
        <v>6784</v>
      </c>
    </row>
    <row r="5454" spans="2:4">
      <c r="C5454" t="s">
        <v>6785</v>
      </c>
    </row>
    <row r="5455" spans="2:4">
      <c r="C5455" t="s">
        <v>6786</v>
      </c>
    </row>
    <row r="5456" spans="2:4">
      <c r="B5456" t="s">
        <v>3272</v>
      </c>
    </row>
    <row r="5457" spans="2:4">
      <c r="C5457" t="s">
        <v>6787</v>
      </c>
    </row>
    <row r="5458" spans="2:4">
      <c r="C5458" t="s">
        <v>6788</v>
      </c>
    </row>
    <row r="5459" spans="2:4">
      <c r="B5459" t="s">
        <v>97</v>
      </c>
    </row>
    <row r="5460" spans="2:4">
      <c r="C5460" t="s">
        <v>6789</v>
      </c>
    </row>
    <row r="5461" spans="2:4">
      <c r="C5461" t="s">
        <v>6790</v>
      </c>
    </row>
    <row r="5462" spans="2:4">
      <c r="C5462" t="s">
        <v>6791</v>
      </c>
    </row>
    <row r="5463" spans="2:4">
      <c r="C5463" t="s">
        <v>6792</v>
      </c>
    </row>
    <row r="5464" spans="2:4">
      <c r="C5464" t="s">
        <v>6793</v>
      </c>
    </row>
    <row r="5465" spans="2:4">
      <c r="C5465" t="s">
        <v>6794</v>
      </c>
    </row>
    <row r="5466" spans="2:4">
      <c r="C5466" t="s">
        <v>6795</v>
      </c>
    </row>
    <row r="5467" spans="2:4">
      <c r="D5467" t="s">
        <v>6796</v>
      </c>
    </row>
    <row r="5468" spans="2:4">
      <c r="C5468" t="s">
        <v>6797</v>
      </c>
    </row>
    <row r="5469" spans="2:4">
      <c r="D5469" t="s">
        <v>6798</v>
      </c>
    </row>
    <row r="5470" spans="2:4">
      <c r="C5470" t="s">
        <v>6799</v>
      </c>
    </row>
    <row r="5471" spans="2:4">
      <c r="C5471" t="s">
        <v>6800</v>
      </c>
    </row>
    <row r="5472" spans="2:4">
      <c r="C5472" t="s">
        <v>6801</v>
      </c>
    </row>
    <row r="5473" spans="2:3">
      <c r="B5473" t="s">
        <v>107</v>
      </c>
    </row>
    <row r="5474" spans="2:3">
      <c r="C5474" t="s">
        <v>6802</v>
      </c>
    </row>
    <row r="5476" spans="2:3">
      <c r="B5476" s="121" t="s">
        <v>6803</v>
      </c>
    </row>
    <row r="5478" spans="2:3">
      <c r="B5478" t="s">
        <v>6804</v>
      </c>
      <c r="C5478" t="s">
        <v>6805</v>
      </c>
    </row>
    <row r="5479" spans="2:3">
      <c r="C5479" t="s">
        <v>6806</v>
      </c>
    </row>
    <row r="5480" spans="2:3">
      <c r="C5480" t="s">
        <v>6807</v>
      </c>
    </row>
    <row r="5481" spans="2:3">
      <c r="B5481" t="s">
        <v>52</v>
      </c>
    </row>
    <row r="5482" spans="2:3">
      <c r="C5482" t="s">
        <v>6808</v>
      </c>
    </row>
    <row r="5483" spans="2:3">
      <c r="B5483" t="s">
        <v>97</v>
      </c>
    </row>
    <row r="5484" spans="2:3">
      <c r="C5484" t="s">
        <v>6809</v>
      </c>
    </row>
    <row r="5485" spans="2:3">
      <c r="C5485" t="s">
        <v>6810</v>
      </c>
    </row>
    <row r="5486" spans="2:3">
      <c r="C5486" t="s">
        <v>6811</v>
      </c>
    </row>
    <row r="5487" spans="2:3">
      <c r="C5487" t="s">
        <v>6812</v>
      </c>
    </row>
    <row r="5488" spans="2:3">
      <c r="C5488" t="s">
        <v>6813</v>
      </c>
    </row>
    <row r="5489" spans="2:5">
      <c r="B5489" t="s">
        <v>6814</v>
      </c>
    </row>
    <row r="5490" spans="2:5">
      <c r="C5490" t="s">
        <v>6815</v>
      </c>
    </row>
    <row r="5491" spans="2:5">
      <c r="D5491" t="s">
        <v>6816</v>
      </c>
    </row>
    <row r="5492" spans="2:5">
      <c r="D5492" t="s">
        <v>6817</v>
      </c>
    </row>
    <row r="5493" spans="2:5">
      <c r="D5493">
        <f>0.15/0.03</f>
        <v>5</v>
      </c>
    </row>
    <row r="5494" spans="2:5">
      <c r="D5494" s="8">
        <f>D5493/60</f>
        <v>8.3333333333333329E-2</v>
      </c>
      <c r="E5494" t="s">
        <v>6818</v>
      </c>
    </row>
    <row r="5495" spans="2:5">
      <c r="D5495" t="s">
        <v>6819</v>
      </c>
    </row>
    <row r="5496" spans="2:5">
      <c r="C5496" t="s">
        <v>6820</v>
      </c>
    </row>
    <row r="5497" spans="2:5">
      <c r="C5497" t="s">
        <v>6821</v>
      </c>
    </row>
    <row r="5498" spans="2:5">
      <c r="D5498" t="s">
        <v>6822</v>
      </c>
    </row>
    <row r="5499" spans="2:5">
      <c r="D5499" t="s">
        <v>6823</v>
      </c>
    </row>
    <row r="5500" spans="2:5">
      <c r="C5500" t="s">
        <v>6824</v>
      </c>
    </row>
    <row r="5501" spans="2:5">
      <c r="D5501" t="s">
        <v>6825</v>
      </c>
    </row>
    <row r="5503" spans="2:5">
      <c r="C5503" t="s">
        <v>6826</v>
      </c>
    </row>
    <row r="5505" spans="2:4">
      <c r="C5505" t="s">
        <v>6827</v>
      </c>
    </row>
    <row r="5507" spans="2:4">
      <c r="C5507" t="s">
        <v>6828</v>
      </c>
    </row>
    <row r="5508" spans="2:4">
      <c r="C5508" t="s">
        <v>6829</v>
      </c>
    </row>
    <row r="5509" spans="2:4">
      <c r="C5509" t="s">
        <v>6830</v>
      </c>
    </row>
    <row r="5510" spans="2:4">
      <c r="C5510" t="s">
        <v>6831</v>
      </c>
    </row>
    <row r="5511" spans="2:4">
      <c r="D5511" t="s">
        <v>6832</v>
      </c>
    </row>
    <row r="5512" spans="2:4">
      <c r="D5512" t="s">
        <v>6833</v>
      </c>
    </row>
    <row r="5513" spans="2:4">
      <c r="C5513" t="s">
        <v>6834</v>
      </c>
    </row>
    <row r="5514" spans="2:4">
      <c r="D5514" t="s">
        <v>6835</v>
      </c>
    </row>
    <row r="5516" spans="2:4">
      <c r="C5516" t="s">
        <v>6836</v>
      </c>
    </row>
    <row r="5517" spans="2:4">
      <c r="C5517" t="s">
        <v>6837</v>
      </c>
    </row>
    <row r="5519" spans="2:4">
      <c r="B5519" t="s">
        <v>2680</v>
      </c>
    </row>
    <row r="5520" spans="2:4">
      <c r="C5520" t="s">
        <v>52</v>
      </c>
    </row>
    <row r="5521" spans="2:4">
      <c r="D5521" t="s">
        <v>6838</v>
      </c>
    </row>
    <row r="5522" spans="2:4">
      <c r="C5522" t="s">
        <v>97</v>
      </c>
    </row>
    <row r="5523" spans="2:4">
      <c r="D5523" t="s">
        <v>6839</v>
      </c>
    </row>
    <row r="5524" spans="2:4">
      <c r="C5524" t="s">
        <v>6840</v>
      </c>
    </row>
    <row r="5525" spans="2:4">
      <c r="C5525" t="s">
        <v>6841</v>
      </c>
    </row>
    <row r="5526" spans="2:4">
      <c r="D5526" t="s">
        <v>6842</v>
      </c>
    </row>
    <row r="5527" spans="2:4">
      <c r="B5527" t="s">
        <v>6843</v>
      </c>
    </row>
    <row r="5529" spans="2:4">
      <c r="B5529" t="s">
        <v>6844</v>
      </c>
    </row>
    <row r="5530" spans="2:4">
      <c r="C5530" t="s">
        <v>6845</v>
      </c>
    </row>
    <row r="5531" spans="2:4">
      <c r="C5531" t="s">
        <v>554</v>
      </c>
    </row>
    <row r="5532" spans="2:4">
      <c r="C5532" t="s">
        <v>6846</v>
      </c>
    </row>
    <row r="5533" spans="2:4">
      <c r="B5533" t="s">
        <v>234</v>
      </c>
    </row>
    <row r="5535" spans="2:4">
      <c r="B5535" t="s">
        <v>97</v>
      </c>
    </row>
    <row r="5536" spans="2:4">
      <c r="C5536" t="s">
        <v>6847</v>
      </c>
    </row>
    <row r="5537" spans="2:3">
      <c r="B5537" t="s">
        <v>6848</v>
      </c>
    </row>
    <row r="5538" spans="2:3">
      <c r="C5538" t="s">
        <v>6849</v>
      </c>
    </row>
    <row r="5539" spans="2:3">
      <c r="B5539" t="s">
        <v>6850</v>
      </c>
    </row>
    <row r="5540" spans="2:3">
      <c r="C5540" t="s">
        <v>6851</v>
      </c>
    </row>
    <row r="5541" spans="2:3">
      <c r="C5541" t="s">
        <v>6852</v>
      </c>
    </row>
    <row r="5542" spans="2:3">
      <c r="B5542" t="s">
        <v>6853</v>
      </c>
    </row>
    <row r="5543" spans="2:3">
      <c r="C5543" t="s">
        <v>6854</v>
      </c>
    </row>
    <row r="5544" spans="2:3">
      <c r="C5544" t="s">
        <v>6855</v>
      </c>
    </row>
    <row r="5545" spans="2:3">
      <c r="C5545" t="s">
        <v>6856</v>
      </c>
    </row>
    <row r="5546" spans="2:3">
      <c r="C5546" t="s">
        <v>6857</v>
      </c>
    </row>
    <row r="5547" spans="2:3">
      <c r="B5547" t="s">
        <v>6858</v>
      </c>
    </row>
    <row r="5548" spans="2:3">
      <c r="C5548" t="s">
        <v>6859</v>
      </c>
    </row>
    <row r="5549" spans="2:3">
      <c r="C5549" t="s">
        <v>6860</v>
      </c>
    </row>
    <row r="5550" spans="2:3">
      <c r="C5550" t="s">
        <v>6861</v>
      </c>
    </row>
    <row r="5551" spans="2:3">
      <c r="C5551" t="s">
        <v>6862</v>
      </c>
    </row>
    <row r="5553" spans="2:3">
      <c r="C5553" t="s">
        <v>6863</v>
      </c>
    </row>
    <row r="5555" spans="2:3">
      <c r="B5555" s="121" t="s">
        <v>6864</v>
      </c>
    </row>
    <row r="5557" spans="2:3">
      <c r="B5557" t="s">
        <v>2990</v>
      </c>
    </row>
    <row r="5558" spans="2:3">
      <c r="C5558" t="s">
        <v>6865</v>
      </c>
    </row>
    <row r="5559" spans="2:3">
      <c r="C5559" t="s">
        <v>6866</v>
      </c>
    </row>
    <row r="5560" spans="2:3">
      <c r="C5560" t="s">
        <v>6867</v>
      </c>
    </row>
    <row r="5561" spans="2:3">
      <c r="C5561" t="s">
        <v>6868</v>
      </c>
    </row>
    <row r="5562" spans="2:3">
      <c r="B5562" t="s">
        <v>467</v>
      </c>
    </row>
    <row r="5563" spans="2:3">
      <c r="C5563" t="s">
        <v>6869</v>
      </c>
    </row>
    <row r="5564" spans="2:3">
      <c r="C5564" t="s">
        <v>6870</v>
      </c>
    </row>
    <row r="5565" spans="2:3">
      <c r="C5565" t="s">
        <v>6871</v>
      </c>
    </row>
    <row r="5566" spans="2:3">
      <c r="B5566" t="s">
        <v>35</v>
      </c>
    </row>
    <row r="5567" spans="2:3">
      <c r="B5567" t="s">
        <v>57</v>
      </c>
      <c r="C5567" t="s">
        <v>6872</v>
      </c>
    </row>
    <row r="5568" spans="2:3">
      <c r="B5568" t="s">
        <v>2227</v>
      </c>
    </row>
    <row r="5569" spans="2:6">
      <c r="C5569" t="s">
        <v>6873</v>
      </c>
    </row>
    <row r="5570" spans="2:6">
      <c r="C5570" t="s">
        <v>6874</v>
      </c>
    </row>
    <row r="5571" spans="2:6">
      <c r="D5571" t="s">
        <v>6875</v>
      </c>
    </row>
    <row r="5572" spans="2:6">
      <c r="D5572" t="s">
        <v>6876</v>
      </c>
    </row>
    <row r="5573" spans="2:6">
      <c r="E5573" t="s">
        <v>6877</v>
      </c>
    </row>
    <row r="5574" spans="2:6">
      <c r="E5574" t="s">
        <v>6878</v>
      </c>
    </row>
    <row r="5575" spans="2:6">
      <c r="F5575" t="s">
        <v>6879</v>
      </c>
    </row>
    <row r="5576" spans="2:6">
      <c r="F5576" t="s">
        <v>6880</v>
      </c>
    </row>
    <row r="5577" spans="2:6">
      <c r="E5577" t="s">
        <v>6881</v>
      </c>
    </row>
    <row r="5578" spans="2:6">
      <c r="B5578" t="s">
        <v>5926</v>
      </c>
      <c r="C5578" t="s">
        <v>57</v>
      </c>
      <c r="E5578" t="s">
        <v>57</v>
      </c>
    </row>
    <row r="5579" spans="2:6">
      <c r="C5579" t="s">
        <v>6882</v>
      </c>
    </row>
    <row r="5580" spans="2:6">
      <c r="C5580" t="s">
        <v>6883</v>
      </c>
    </row>
    <row r="5581" spans="2:6">
      <c r="C5581" t="s">
        <v>6884</v>
      </c>
    </row>
    <row r="5582" spans="2:6">
      <c r="B5582" t="s">
        <v>1590</v>
      </c>
    </row>
    <row r="5583" spans="2:6">
      <c r="C5583" t="s">
        <v>6885</v>
      </c>
    </row>
    <row r="5584" spans="2:6">
      <c r="D5584" t="s">
        <v>6886</v>
      </c>
    </row>
    <row r="5585" spans="2:4">
      <c r="D5585" t="s">
        <v>6887</v>
      </c>
    </row>
    <row r="5586" spans="2:4">
      <c r="C5586" t="s">
        <v>6888</v>
      </c>
    </row>
    <row r="5587" spans="2:4">
      <c r="D5587" t="s">
        <v>6889</v>
      </c>
    </row>
    <row r="5588" spans="2:4">
      <c r="D5588" t="s">
        <v>6890</v>
      </c>
    </row>
    <row r="5589" spans="2:4">
      <c r="C5589" t="s">
        <v>6891</v>
      </c>
    </row>
    <row r="5590" spans="2:4">
      <c r="C5590" t="s">
        <v>6892</v>
      </c>
    </row>
    <row r="5591" spans="2:4">
      <c r="B5591" t="s">
        <v>6893</v>
      </c>
    </row>
    <row r="5592" spans="2:4">
      <c r="C5592" t="s">
        <v>6894</v>
      </c>
    </row>
    <row r="5593" spans="2:4">
      <c r="B5593" t="s">
        <v>52</v>
      </c>
    </row>
    <row r="5594" spans="2:4">
      <c r="C5594" t="s">
        <v>6895</v>
      </c>
    </row>
    <row r="5595" spans="2:4">
      <c r="D5595" t="s">
        <v>6896</v>
      </c>
    </row>
    <row r="5596" spans="2:4">
      <c r="D5596" t="s">
        <v>6897</v>
      </c>
    </row>
    <row r="5597" spans="2:4">
      <c r="D5597" t="s">
        <v>6898</v>
      </c>
    </row>
    <row r="5598" spans="2:4">
      <c r="C5598" t="s">
        <v>3118</v>
      </c>
      <c r="D5598" t="s">
        <v>6899</v>
      </c>
    </row>
    <row r="5599" spans="2:4">
      <c r="C5599" t="s">
        <v>6900</v>
      </c>
    </row>
    <row r="5600" spans="2:4">
      <c r="D5600" t="s">
        <v>6901</v>
      </c>
    </row>
    <row r="5601" spans="2:8">
      <c r="D5601" t="s">
        <v>6902</v>
      </c>
    </row>
    <row r="5602" spans="2:8">
      <c r="C5602" t="s">
        <v>6903</v>
      </c>
    </row>
    <row r="5603" spans="2:8">
      <c r="D5603" t="s">
        <v>6904</v>
      </c>
    </row>
    <row r="5604" spans="2:8">
      <c r="D5604" t="s">
        <v>6905</v>
      </c>
    </row>
    <row r="5605" spans="2:8">
      <c r="E5605" s="3" t="s">
        <v>4541</v>
      </c>
      <c r="F5605" s="3" t="s">
        <v>4911</v>
      </c>
      <c r="G5605" s="3" t="s">
        <v>4912</v>
      </c>
      <c r="H5605" s="3" t="s">
        <v>6906</v>
      </c>
    </row>
    <row r="5606" spans="2:8">
      <c r="E5606" s="9">
        <v>3.4000000000000002E-2</v>
      </c>
      <c r="F5606" s="9">
        <v>3.7999999999999999E-2</v>
      </c>
      <c r="G5606" s="3" t="s">
        <v>6907</v>
      </c>
      <c r="H5606" t="s">
        <v>3948</v>
      </c>
    </row>
    <row r="5607" spans="2:8">
      <c r="D5607" t="s">
        <v>6908</v>
      </c>
    </row>
    <row r="5608" spans="2:8">
      <c r="D5608" t="s">
        <v>6909</v>
      </c>
      <c r="G5608" t="s">
        <v>57</v>
      </c>
    </row>
    <row r="5609" spans="2:8">
      <c r="C5609" s="136">
        <v>2023</v>
      </c>
    </row>
    <row r="5610" spans="2:8">
      <c r="D5610" t="s">
        <v>6910</v>
      </c>
    </row>
    <row r="5611" spans="2:8">
      <c r="C5611" t="s">
        <v>6911</v>
      </c>
    </row>
    <row r="5612" spans="2:8">
      <c r="B5612" t="s">
        <v>557</v>
      </c>
    </row>
    <row r="5613" spans="2:8">
      <c r="C5613" t="s">
        <v>6912</v>
      </c>
    </row>
    <row r="5614" spans="2:8">
      <c r="D5614" t="s">
        <v>6913</v>
      </c>
    </row>
    <row r="5615" spans="2:8">
      <c r="C5615" t="s">
        <v>6914</v>
      </c>
    </row>
    <row r="5616" spans="2:8">
      <c r="D5616" t="s">
        <v>6915</v>
      </c>
    </row>
    <row r="5617" spans="2:6">
      <c r="D5617" t="s">
        <v>6916</v>
      </c>
    </row>
    <row r="5618" spans="2:6">
      <c r="C5618" t="s">
        <v>6917</v>
      </c>
    </row>
    <row r="5619" spans="2:6">
      <c r="D5619" t="s">
        <v>6918</v>
      </c>
    </row>
    <row r="5620" spans="2:6">
      <c r="C5620" t="s">
        <v>557</v>
      </c>
    </row>
    <row r="5621" spans="2:6">
      <c r="D5621" t="s">
        <v>6919</v>
      </c>
    </row>
    <row r="5622" spans="2:6">
      <c r="C5622" t="s">
        <v>6920</v>
      </c>
    </row>
    <row r="5623" spans="2:6">
      <c r="B5623" t="s">
        <v>6921</v>
      </c>
    </row>
    <row r="5624" spans="2:6">
      <c r="C5624" t="s">
        <v>6922</v>
      </c>
    </row>
    <row r="5625" spans="2:6">
      <c r="C5625" t="s">
        <v>6923</v>
      </c>
    </row>
    <row r="5626" spans="2:6">
      <c r="B5626" t="s">
        <v>770</v>
      </c>
    </row>
    <row r="5627" spans="2:6">
      <c r="C5627" t="s">
        <v>6924</v>
      </c>
    </row>
    <row r="5628" spans="2:6">
      <c r="C5628" t="s">
        <v>6925</v>
      </c>
    </row>
    <row r="5629" spans="2:6">
      <c r="B5629" t="s">
        <v>97</v>
      </c>
    </row>
    <row r="5630" spans="2:6">
      <c r="C5630" t="s">
        <v>6926</v>
      </c>
    </row>
    <row r="5631" spans="2:6">
      <c r="C5631" t="s">
        <v>6927</v>
      </c>
    </row>
    <row r="5632" spans="2:6">
      <c r="C5632" t="s">
        <v>6928</v>
      </c>
      <c r="F5632" t="s">
        <v>57</v>
      </c>
    </row>
    <row r="5633" spans="2:5">
      <c r="C5633" t="s">
        <v>6929</v>
      </c>
    </row>
    <row r="5634" spans="2:5">
      <c r="C5634" t="s">
        <v>6930</v>
      </c>
      <c r="E5634" s="3" t="s">
        <v>6931</v>
      </c>
    </row>
    <row r="5635" spans="2:5">
      <c r="D5635" t="s">
        <v>4911</v>
      </c>
      <c r="E5635">
        <v>6</v>
      </c>
    </row>
    <row r="5636" spans="2:5">
      <c r="D5636" t="s">
        <v>4912</v>
      </c>
      <c r="E5636">
        <v>14</v>
      </c>
    </row>
    <row r="5637" spans="2:5">
      <c r="D5637" t="s">
        <v>4244</v>
      </c>
      <c r="E5637">
        <v>30</v>
      </c>
    </row>
    <row r="5638" spans="2:5">
      <c r="C5638" t="s">
        <v>6932</v>
      </c>
    </row>
    <row r="5639" spans="2:5">
      <c r="B5639" t="s">
        <v>107</v>
      </c>
    </row>
    <row r="5640" spans="2:5">
      <c r="C5640" t="s">
        <v>6933</v>
      </c>
    </row>
    <row r="5641" spans="2:5">
      <c r="C5641" t="s">
        <v>6934</v>
      </c>
    </row>
    <row r="5643" spans="2:5">
      <c r="B5643" s="121" t="s">
        <v>6935</v>
      </c>
    </row>
    <row r="5645" spans="2:5">
      <c r="B5645" s="42" t="s">
        <v>52</v>
      </c>
    </row>
    <row r="5646" spans="2:5">
      <c r="B5646" t="s">
        <v>6936</v>
      </c>
    </row>
    <row r="5647" spans="2:5">
      <c r="B5647" t="s">
        <v>6937</v>
      </c>
    </row>
    <row r="5648" spans="2:5">
      <c r="B5648" t="s">
        <v>6938</v>
      </c>
    </row>
    <row r="5649" spans="2:3">
      <c r="B5649" t="s">
        <v>6939</v>
      </c>
    </row>
    <row r="5652" spans="2:3">
      <c r="B5652" s="42" t="s">
        <v>2227</v>
      </c>
    </row>
    <row r="5653" spans="2:3">
      <c r="B5653" t="s">
        <v>6940</v>
      </c>
    </row>
    <row r="5654" spans="2:3">
      <c r="C5654" t="s">
        <v>6941</v>
      </c>
    </row>
    <row r="5656" spans="2:3">
      <c r="B5656" s="42" t="s">
        <v>3680</v>
      </c>
    </row>
    <row r="5657" spans="2:3">
      <c r="B5657" t="s">
        <v>6942</v>
      </c>
    </row>
    <row r="5658" spans="2:3">
      <c r="B5658" t="s">
        <v>6943</v>
      </c>
    </row>
    <row r="5659" spans="2:3">
      <c r="B5659" t="s">
        <v>6944</v>
      </c>
    </row>
    <row r="5660" spans="2:3">
      <c r="B5660" t="s">
        <v>6945</v>
      </c>
    </row>
    <row r="5661" spans="2:3">
      <c r="B5661" t="s">
        <v>2227</v>
      </c>
    </row>
    <row r="5662" spans="2:3">
      <c r="C5662" t="s">
        <v>6946</v>
      </c>
    </row>
    <row r="5663" spans="2:3">
      <c r="C5663" t="s">
        <v>6947</v>
      </c>
    </row>
    <row r="5664" spans="2:3">
      <c r="C5664" t="s">
        <v>6948</v>
      </c>
    </row>
    <row r="5665" spans="2:5">
      <c r="C5665" t="s">
        <v>6949</v>
      </c>
    </row>
    <row r="5666" spans="2:5">
      <c r="C5666" t="s">
        <v>6950</v>
      </c>
    </row>
    <row r="5667" spans="2:5">
      <c r="D5667" t="s">
        <v>6951</v>
      </c>
    </row>
    <row r="5668" spans="2:5">
      <c r="D5668" t="s">
        <v>6952</v>
      </c>
    </row>
    <row r="5669" spans="2:5">
      <c r="E5669" t="s">
        <v>6953</v>
      </c>
    </row>
    <row r="5670" spans="2:5">
      <c r="C5670" t="s">
        <v>6954</v>
      </c>
    </row>
    <row r="5671" spans="2:5">
      <c r="B5671" t="s">
        <v>6955</v>
      </c>
    </row>
    <row r="5673" spans="2:5">
      <c r="B5673" t="s">
        <v>6956</v>
      </c>
    </row>
    <row r="5675" spans="2:5">
      <c r="B5675" s="42" t="s">
        <v>52</v>
      </c>
    </row>
    <row r="5676" spans="2:5">
      <c r="C5676" t="s">
        <v>6957</v>
      </c>
    </row>
    <row r="5677" spans="2:5">
      <c r="C5677" t="s">
        <v>6958</v>
      </c>
    </row>
    <row r="5678" spans="2:5">
      <c r="C5678" t="s">
        <v>6959</v>
      </c>
    </row>
    <row r="5679" spans="2:5">
      <c r="C5679" t="s">
        <v>6960</v>
      </c>
    </row>
    <row r="5680" spans="2:5">
      <c r="C5680" t="s">
        <v>6961</v>
      </c>
    </row>
    <row r="5681" spans="2:5">
      <c r="D5681" t="s">
        <v>6962</v>
      </c>
    </row>
    <row r="5682" spans="2:5">
      <c r="C5682" t="s">
        <v>6963</v>
      </c>
    </row>
    <row r="5683" spans="2:5">
      <c r="D5683" t="s">
        <v>6964</v>
      </c>
    </row>
    <row r="5684" spans="2:5">
      <c r="C5684" t="s">
        <v>6965</v>
      </c>
    </row>
    <row r="5686" spans="2:5">
      <c r="C5686" s="9">
        <v>0.34100000000000003</v>
      </c>
      <c r="E5686" t="s">
        <v>57</v>
      </c>
    </row>
    <row r="5687" spans="2:5">
      <c r="C5687" s="9">
        <v>0.39500000000000002</v>
      </c>
      <c r="D5687">
        <f>C5687*Interims!BL16</f>
        <v>1969.7070000000003</v>
      </c>
    </row>
    <row r="5688" spans="2:5">
      <c r="C5688" t="s">
        <v>6966</v>
      </c>
    </row>
    <row r="5690" spans="2:5">
      <c r="B5690" s="42" t="s">
        <v>6967</v>
      </c>
    </row>
    <row r="5691" spans="2:5">
      <c r="C5691" t="s">
        <v>6968</v>
      </c>
    </row>
    <row r="5692" spans="2:5">
      <c r="C5692" t="s">
        <v>6969</v>
      </c>
    </row>
    <row r="5693" spans="2:5">
      <c r="C5693" t="s">
        <v>6970</v>
      </c>
    </row>
    <row r="5694" spans="2:5">
      <c r="C5694" t="s">
        <v>6971</v>
      </c>
    </row>
    <row r="5695" spans="2:5">
      <c r="C5695" t="s">
        <v>6972</v>
      </c>
    </row>
    <row r="5696" spans="2:5">
      <c r="C5696" t="s">
        <v>6973</v>
      </c>
    </row>
    <row r="5697" spans="2:6">
      <c r="D5697">
        <f>0.034*(Interims!BE34+Interims!BF34+Interims!BG34)*4/3</f>
        <v>1380.4997333333333</v>
      </c>
    </row>
    <row r="5699" spans="2:6">
      <c r="D5699" s="4"/>
    </row>
    <row r="5700" spans="2:6">
      <c r="D5700" s="4">
        <f>D5697/20</f>
        <v>69.024986666666663</v>
      </c>
    </row>
    <row r="5701" spans="2:6">
      <c r="D5701" s="8"/>
    </row>
    <row r="5702" spans="2:6">
      <c r="C5702" t="s">
        <v>6974</v>
      </c>
      <c r="D5702" s="419"/>
    </row>
    <row r="5704" spans="2:6">
      <c r="B5704" s="121" t="s">
        <v>2680</v>
      </c>
    </row>
    <row r="5706" spans="2:6">
      <c r="B5706" t="s">
        <v>6975</v>
      </c>
    </row>
    <row r="5707" spans="2:6">
      <c r="C5707" t="s">
        <v>6976</v>
      </c>
    </row>
    <row r="5708" spans="2:6">
      <c r="C5708" t="s">
        <v>6977</v>
      </c>
    </row>
    <row r="5709" spans="2:6">
      <c r="C5709" t="s">
        <v>6978</v>
      </c>
    </row>
    <row r="5710" spans="2:6">
      <c r="B5710" t="s">
        <v>6979</v>
      </c>
    </row>
    <row r="5712" spans="2:6">
      <c r="B5712" t="s">
        <v>6980</v>
      </c>
      <c r="F5712">
        <f>0.15*2000000</f>
        <v>300000</v>
      </c>
    </row>
    <row r="5713" spans="2:4">
      <c r="B5713" t="s">
        <v>6981</v>
      </c>
      <c r="C5713" t="s">
        <v>6982</v>
      </c>
    </row>
    <row r="5715" spans="2:4">
      <c r="B5715" t="s">
        <v>785</v>
      </c>
    </row>
    <row r="5716" spans="2:4">
      <c r="C5716" t="s">
        <v>6983</v>
      </c>
    </row>
    <row r="5717" spans="2:4">
      <c r="B5717" t="s">
        <v>6984</v>
      </c>
    </row>
    <row r="5718" spans="2:4">
      <c r="C5718" t="s">
        <v>6985</v>
      </c>
    </row>
    <row r="5719" spans="2:4">
      <c r="C5719" t="s">
        <v>6986</v>
      </c>
    </row>
    <row r="5720" spans="2:4">
      <c r="C5720" t="s">
        <v>6987</v>
      </c>
    </row>
    <row r="5721" spans="2:4">
      <c r="C5721" t="s">
        <v>6988</v>
      </c>
    </row>
    <row r="5722" spans="2:4">
      <c r="C5722" t="s">
        <v>6989</v>
      </c>
    </row>
    <row r="5723" spans="2:4">
      <c r="C5723" t="s">
        <v>6990</v>
      </c>
    </row>
    <row r="5724" spans="2:4">
      <c r="B5724" t="s">
        <v>6991</v>
      </c>
    </row>
    <row r="5725" spans="2:4">
      <c r="B5725" t="s">
        <v>6992</v>
      </c>
    </row>
    <row r="5727" spans="2:4">
      <c r="B5727" t="s">
        <v>6993</v>
      </c>
    </row>
    <row r="5728" spans="2:4">
      <c r="C5728" t="s">
        <v>97</v>
      </c>
      <c r="D5728" t="s">
        <v>6994</v>
      </c>
    </row>
    <row r="5729" spans="2:4">
      <c r="C5729" t="s">
        <v>52</v>
      </c>
    </row>
    <row r="5730" spans="2:4">
      <c r="B5730" t="s">
        <v>6995</v>
      </c>
    </row>
    <row r="5731" spans="2:4">
      <c r="C5731" t="s">
        <v>6996</v>
      </c>
    </row>
    <row r="5732" spans="2:4">
      <c r="C5732" t="s">
        <v>6997</v>
      </c>
    </row>
    <row r="5733" spans="2:4">
      <c r="D5733" t="s">
        <v>6998</v>
      </c>
    </row>
    <row r="5734" spans="2:4">
      <c r="C5734" t="s">
        <v>6999</v>
      </c>
    </row>
    <row r="5735" spans="2:4">
      <c r="B5735" t="s">
        <v>6804</v>
      </c>
    </row>
    <row r="5736" spans="2:4">
      <c r="C5736" t="s">
        <v>7000</v>
      </c>
    </row>
    <row r="5737" spans="2:4">
      <c r="B5737" t="s">
        <v>4119</v>
      </c>
    </row>
    <row r="5738" spans="2:4">
      <c r="C5738" t="s">
        <v>7001</v>
      </c>
    </row>
    <row r="5739" spans="2:4">
      <c r="C5739" t="s">
        <v>7002</v>
      </c>
    </row>
    <row r="5740" spans="2:4">
      <c r="C5740" t="s">
        <v>7003</v>
      </c>
    </row>
    <row r="5742" spans="2:4">
      <c r="B5742" s="121" t="s">
        <v>7004</v>
      </c>
    </row>
    <row r="5744" spans="2:4">
      <c r="B5744" t="s">
        <v>5926</v>
      </c>
    </row>
    <row r="5745" spans="2:3">
      <c r="C5745" t="s">
        <v>7005</v>
      </c>
    </row>
    <row r="5746" spans="2:3">
      <c r="C5746" t="s">
        <v>7006</v>
      </c>
    </row>
    <row r="5747" spans="2:3">
      <c r="C5747" t="s">
        <v>7007</v>
      </c>
    </row>
    <row r="5748" spans="2:3">
      <c r="C5748" t="s">
        <v>955</v>
      </c>
    </row>
    <row r="5749" spans="2:3">
      <c r="B5749" t="s">
        <v>7008</v>
      </c>
    </row>
    <row r="5750" spans="2:3">
      <c r="C5750" t="s">
        <v>7009</v>
      </c>
    </row>
    <row r="5751" spans="2:3">
      <c r="C5751" t="s">
        <v>7010</v>
      </c>
    </row>
    <row r="5752" spans="2:3">
      <c r="C5752" t="s">
        <v>7011</v>
      </c>
    </row>
    <row r="5753" spans="2:3">
      <c r="B5753" t="s">
        <v>7012</v>
      </c>
    </row>
    <row r="5754" spans="2:3">
      <c r="C5754" t="s">
        <v>7013</v>
      </c>
    </row>
    <row r="5755" spans="2:3">
      <c r="C5755" t="s">
        <v>7014</v>
      </c>
    </row>
    <row r="5756" spans="2:3">
      <c r="C5756" t="s">
        <v>7015</v>
      </c>
    </row>
    <row r="5757" spans="2:3">
      <c r="B5757" t="s">
        <v>7016</v>
      </c>
    </row>
    <row r="5759" spans="2:3">
      <c r="B5759" t="s">
        <v>52</v>
      </c>
    </row>
    <row r="5760" spans="2:3">
      <c r="C5760" t="s">
        <v>7017</v>
      </c>
    </row>
    <row r="5761" spans="2:5">
      <c r="C5761" t="s">
        <v>7018</v>
      </c>
    </row>
    <row r="5762" spans="2:5">
      <c r="C5762" t="s">
        <v>7019</v>
      </c>
    </row>
    <row r="5763" spans="2:5">
      <c r="B5763" t="s">
        <v>2145</v>
      </c>
    </row>
    <row r="5764" spans="2:5">
      <c r="C5764" t="s">
        <v>7020</v>
      </c>
    </row>
    <row r="5765" spans="2:5">
      <c r="B5765" t="s">
        <v>52</v>
      </c>
    </row>
    <row r="5766" spans="2:5">
      <c r="C5766" t="s">
        <v>7021</v>
      </c>
    </row>
    <row r="5767" spans="2:5">
      <c r="C5767" t="s">
        <v>7022</v>
      </c>
    </row>
    <row r="5768" spans="2:5">
      <c r="C5768" t="s">
        <v>7023</v>
      </c>
    </row>
    <row r="5769" spans="2:5">
      <c r="C5769" t="s">
        <v>7024</v>
      </c>
    </row>
    <row r="5770" spans="2:5">
      <c r="D5770" t="s">
        <v>7025</v>
      </c>
      <c r="E5770" t="s">
        <v>7026</v>
      </c>
    </row>
    <row r="5771" spans="2:5">
      <c r="D5771" t="s">
        <v>7027</v>
      </c>
    </row>
    <row r="5772" spans="2:5">
      <c r="C5772" t="s">
        <v>7028</v>
      </c>
    </row>
    <row r="5773" spans="2:5">
      <c r="B5773" t="s">
        <v>97</v>
      </c>
    </row>
    <row r="5774" spans="2:5">
      <c r="C5774" t="s">
        <v>7029</v>
      </c>
    </row>
    <row r="5775" spans="2:5">
      <c r="C5775" t="s">
        <v>7030</v>
      </c>
    </row>
    <row r="5776" spans="2:5">
      <c r="C5776" t="s">
        <v>7031</v>
      </c>
    </row>
    <row r="5777" spans="2:8">
      <c r="B5777" s="42" t="s">
        <v>2680</v>
      </c>
    </row>
    <row r="5779" spans="2:8">
      <c r="B5779" t="s">
        <v>7032</v>
      </c>
    </row>
    <row r="5780" spans="2:8">
      <c r="C5780" t="s">
        <v>7033</v>
      </c>
    </row>
    <row r="5781" spans="2:8">
      <c r="C5781" t="s">
        <v>7034</v>
      </c>
    </row>
    <row r="5782" spans="2:8">
      <c r="D5782" t="s">
        <v>7035</v>
      </c>
    </row>
    <row r="5783" spans="2:8">
      <c r="C5783" t="s">
        <v>7036</v>
      </c>
    </row>
    <row r="5784" spans="2:8">
      <c r="B5784" t="s">
        <v>52</v>
      </c>
    </row>
    <row r="5785" spans="2:8">
      <c r="C5785" t="s">
        <v>7037</v>
      </c>
    </row>
    <row r="5786" spans="2:8">
      <c r="C5786" t="s">
        <v>7038</v>
      </c>
    </row>
    <row r="5787" spans="2:8">
      <c r="C5787" t="s">
        <v>7039</v>
      </c>
    </row>
    <row r="5788" spans="2:8">
      <c r="B5788" t="s">
        <v>35</v>
      </c>
    </row>
    <row r="5790" spans="2:8">
      <c r="B5790" t="s">
        <v>7040</v>
      </c>
    </row>
    <row r="5791" spans="2:8">
      <c r="C5791" t="s">
        <v>7041</v>
      </c>
    </row>
    <row r="5792" spans="2:8">
      <c r="C5792" t="s">
        <v>7042</v>
      </c>
      <c r="H5792">
        <f>55/18</f>
        <v>3.0555555555555554</v>
      </c>
    </row>
    <row r="5793" spans="2:4">
      <c r="C5793" t="s">
        <v>7043</v>
      </c>
    </row>
    <row r="5795" spans="2:4">
      <c r="C5795" t="s">
        <v>7044</v>
      </c>
    </row>
    <row r="5796" spans="2:4">
      <c r="D5796" t="s">
        <v>7045</v>
      </c>
    </row>
    <row r="5797" spans="2:4">
      <c r="D5797" t="s">
        <v>7046</v>
      </c>
    </row>
    <row r="5798" spans="2:4">
      <c r="C5798" t="s">
        <v>7047</v>
      </c>
    </row>
    <row r="5800" spans="2:4">
      <c r="B5800" s="42" t="s">
        <v>557</v>
      </c>
    </row>
    <row r="5801" spans="2:4">
      <c r="B5801" s="42"/>
    </row>
    <row r="5802" spans="2:4">
      <c r="B5802" t="s">
        <v>52</v>
      </c>
    </row>
    <row r="5803" spans="2:4">
      <c r="C5803" t="s">
        <v>7048</v>
      </c>
    </row>
    <row r="5804" spans="2:4">
      <c r="C5804" t="s">
        <v>7049</v>
      </c>
    </row>
    <row r="5805" spans="2:4">
      <c r="C5805" t="s">
        <v>7050</v>
      </c>
    </row>
    <row r="5806" spans="2:4">
      <c r="C5806" t="s">
        <v>7051</v>
      </c>
    </row>
    <row r="5807" spans="2:4">
      <c r="B5807" t="s">
        <v>7052</v>
      </c>
    </row>
    <row r="5808" spans="2:4">
      <c r="C5808" t="s">
        <v>7053</v>
      </c>
    </row>
    <row r="5809" spans="2:2">
      <c r="B5809" t="s">
        <v>7054</v>
      </c>
    </row>
    <row r="5810" spans="2:2">
      <c r="B5810" t="s">
        <v>7055</v>
      </c>
    </row>
    <row r="5812" spans="2:2">
      <c r="B5812" s="121" t="s">
        <v>7056</v>
      </c>
    </row>
    <row r="5814" spans="2:2">
      <c r="B5814" s="762" t="s">
        <v>7057</v>
      </c>
    </row>
    <row r="5815" spans="2:2">
      <c r="B5815" s="762" t="s">
        <v>7058</v>
      </c>
    </row>
    <row r="5816" spans="2:2">
      <c r="B5816" s="762" t="s">
        <v>7059</v>
      </c>
    </row>
    <row r="5817" spans="2:2">
      <c r="B5817" s="762" t="s">
        <v>7060</v>
      </c>
    </row>
    <row r="5818" spans="2:2">
      <c r="B5818" s="762" t="s">
        <v>7061</v>
      </c>
    </row>
    <row r="5819" spans="2:2">
      <c r="B5819" s="762" t="s">
        <v>7062</v>
      </c>
    </row>
    <row r="5820" spans="2:2">
      <c r="B5820" s="762" t="s">
        <v>7063</v>
      </c>
    </row>
    <row r="5821" spans="2:2">
      <c r="B5821" s="762" t="s">
        <v>7064</v>
      </c>
    </row>
    <row r="5822" spans="2:2">
      <c r="B5822" s="762" t="s">
        <v>7065</v>
      </c>
    </row>
    <row r="5823" spans="2:2">
      <c r="B5823" s="762" t="s">
        <v>7066</v>
      </c>
    </row>
    <row r="5824" spans="2:2">
      <c r="B5824" s="762" t="s">
        <v>7067</v>
      </c>
    </row>
    <row r="5825" spans="2:2">
      <c r="B5825" s="762" t="s">
        <v>7068</v>
      </c>
    </row>
    <row r="5826" spans="2:2">
      <c r="B5826" s="762" t="s">
        <v>7069</v>
      </c>
    </row>
    <row r="5827" spans="2:2">
      <c r="B5827" s="762" t="s">
        <v>7070</v>
      </c>
    </row>
    <row r="5828" spans="2:2">
      <c r="B5828" s="762" t="s">
        <v>7071</v>
      </c>
    </row>
    <row r="5829" spans="2:2">
      <c r="B5829" s="762" t="s">
        <v>7072</v>
      </c>
    </row>
    <row r="5830" spans="2:2">
      <c r="B5830" s="762" t="s">
        <v>7073</v>
      </c>
    </row>
    <row r="5831" spans="2:2">
      <c r="B5831" s="762" t="s">
        <v>7074</v>
      </c>
    </row>
    <row r="5832" spans="2:2">
      <c r="B5832" s="762" t="s">
        <v>7075</v>
      </c>
    </row>
    <row r="5833" spans="2:2">
      <c r="B5833" s="762" t="s">
        <v>7076</v>
      </c>
    </row>
    <row r="5834" spans="2:2">
      <c r="B5834" s="762" t="s">
        <v>7077</v>
      </c>
    </row>
    <row r="5835" spans="2:2">
      <c r="B5835" s="762" t="s">
        <v>7078</v>
      </c>
    </row>
    <row r="5836" spans="2:2">
      <c r="B5836" s="762" t="s">
        <v>7079</v>
      </c>
    </row>
    <row r="5837" spans="2:2">
      <c r="B5837" s="762" t="s">
        <v>7080</v>
      </c>
    </row>
    <row r="5839" spans="2:2">
      <c r="B5839" s="784" t="s">
        <v>7081</v>
      </c>
    </row>
    <row r="5840" spans="2:2">
      <c r="B5840" s="784"/>
    </row>
    <row r="5841" spans="2:5">
      <c r="B5841" s="785" t="s">
        <v>7082</v>
      </c>
    </row>
    <row r="5842" spans="2:5">
      <c r="B5842" s="762" t="s">
        <v>7083</v>
      </c>
    </row>
    <row r="5843" spans="2:5">
      <c r="B5843" s="762" t="s">
        <v>7084</v>
      </c>
    </row>
    <row r="5844" spans="2:5">
      <c r="B5844" s="762" t="s">
        <v>7085</v>
      </c>
    </row>
    <row r="5845" spans="2:5">
      <c r="B5845" s="762"/>
      <c r="C5845" s="762" t="s">
        <v>7086</v>
      </c>
      <c r="D5845" s="762"/>
    </row>
    <row r="5846" spans="2:5">
      <c r="B5846" s="762"/>
      <c r="C5846" s="762" t="s">
        <v>7087</v>
      </c>
      <c r="D5846" s="762"/>
    </row>
    <row r="5847" spans="2:5">
      <c r="B5847" s="762" t="s">
        <v>7088</v>
      </c>
      <c r="C5847" s="762"/>
      <c r="D5847" s="762"/>
    </row>
    <row r="5848" spans="2:5">
      <c r="B5848" s="762" t="s">
        <v>7089</v>
      </c>
      <c r="C5848" s="762"/>
      <c r="D5848" s="762"/>
    </row>
    <row r="5849" spans="2:5">
      <c r="B5849" s="762"/>
      <c r="C5849" s="762" t="s">
        <v>7090</v>
      </c>
      <c r="D5849" s="762"/>
    </row>
    <row r="5850" spans="2:5">
      <c r="B5850" s="786" t="s">
        <v>7091</v>
      </c>
      <c r="C5850" s="762"/>
      <c r="D5850" s="762"/>
    </row>
    <row r="5851" spans="2:5">
      <c r="B5851" s="762"/>
      <c r="C5851" s="762" t="s">
        <v>7092</v>
      </c>
      <c r="D5851" s="762"/>
    </row>
    <row r="5852" spans="2:5">
      <c r="B5852" s="762" t="s">
        <v>7093</v>
      </c>
      <c r="C5852" s="762"/>
      <c r="D5852" s="762"/>
    </row>
    <row r="5853" spans="2:5">
      <c r="B5853" s="762" t="s">
        <v>7094</v>
      </c>
      <c r="C5853" s="762"/>
      <c r="D5853" s="762"/>
      <c r="E5853" s="685"/>
    </row>
    <row r="5854" spans="2:5">
      <c r="B5854" s="762" t="s">
        <v>7095</v>
      </c>
      <c r="C5854" s="762"/>
      <c r="D5854" s="762"/>
      <c r="E5854" s="685"/>
    </row>
    <row r="5855" spans="2:5">
      <c r="B5855" s="785" t="s">
        <v>7096</v>
      </c>
      <c r="C5855" s="762"/>
      <c r="D5855" s="762"/>
      <c r="E5855" s="685"/>
    </row>
    <row r="5856" spans="2:5">
      <c r="B5856" s="762" t="s">
        <v>7097</v>
      </c>
      <c r="C5856" s="762"/>
      <c r="D5856" s="762"/>
      <c r="E5856" s="685"/>
    </row>
    <row r="5857" spans="2:5">
      <c r="B5857" s="762" t="s">
        <v>7098</v>
      </c>
      <c r="C5857" s="685"/>
      <c r="D5857" s="685"/>
      <c r="E5857" s="685"/>
    </row>
    <row r="5858" spans="2:5">
      <c r="B5858" s="685"/>
      <c r="C5858" s="685"/>
      <c r="D5858" s="685"/>
      <c r="E5858" s="685"/>
    </row>
    <row r="5859" spans="2:5">
      <c r="B5859" s="785" t="s">
        <v>4911</v>
      </c>
      <c r="C5859" s="685"/>
      <c r="D5859" s="685"/>
      <c r="E5859" s="685"/>
    </row>
    <row r="5860" spans="2:5">
      <c r="B5860" s="762" t="s">
        <v>7099</v>
      </c>
      <c r="C5860" s="685"/>
      <c r="D5860" s="685"/>
      <c r="E5860" s="685"/>
    </row>
    <row r="5861" spans="2:5">
      <c r="B5861" s="762" t="s">
        <v>7100</v>
      </c>
      <c r="C5861" s="685"/>
      <c r="D5861" s="685"/>
      <c r="E5861" s="685"/>
    </row>
    <row r="5862" spans="2:5">
      <c r="B5862" s="685"/>
      <c r="C5862" s="685"/>
      <c r="D5862" s="685"/>
      <c r="E5862" s="685"/>
    </row>
    <row r="5863" spans="2:5">
      <c r="B5863" s="787" t="s">
        <v>938</v>
      </c>
      <c r="C5863" s="685"/>
      <c r="D5863" s="685"/>
      <c r="E5863" s="685"/>
    </row>
    <row r="5864" spans="2:5">
      <c r="B5864" s="685" t="s">
        <v>7101</v>
      </c>
      <c r="C5864" s="685" t="s">
        <v>7102</v>
      </c>
      <c r="D5864" s="685"/>
      <c r="E5864" s="685"/>
    </row>
    <row r="5865" spans="2:5">
      <c r="B5865" s="685" t="s">
        <v>7103</v>
      </c>
      <c r="C5865" s="685"/>
      <c r="D5865" s="685"/>
      <c r="E5865" s="685"/>
    </row>
    <row r="5866" spans="2:5">
      <c r="B5866" s="685" t="s">
        <v>7104</v>
      </c>
      <c r="C5866" s="685"/>
      <c r="D5866" s="685"/>
      <c r="E5866" s="685"/>
    </row>
    <row r="5867" spans="2:5">
      <c r="B5867" s="685" t="s">
        <v>7105</v>
      </c>
      <c r="C5867" s="685"/>
      <c r="D5867" s="685"/>
      <c r="E5867" s="685"/>
    </row>
    <row r="5868" spans="2:5">
      <c r="B5868" s="685"/>
      <c r="C5868" s="685"/>
      <c r="D5868" s="685"/>
      <c r="E5868" s="685"/>
    </row>
    <row r="5869" spans="2:5">
      <c r="B5869" s="787" t="s">
        <v>557</v>
      </c>
      <c r="C5869" s="685"/>
      <c r="D5869" s="685"/>
      <c r="E5869" s="685"/>
    </row>
    <row r="5870" spans="2:5">
      <c r="B5870" s="685" t="s">
        <v>7106</v>
      </c>
      <c r="C5870" s="685"/>
      <c r="D5870" s="685"/>
      <c r="E5870" s="685"/>
    </row>
    <row r="5871" spans="2:5">
      <c r="B5871" s="685"/>
      <c r="C5871" s="685"/>
      <c r="D5871" s="685"/>
      <c r="E5871" s="685"/>
    </row>
    <row r="5872" spans="2:5">
      <c r="B5872" s="788" t="s">
        <v>4911</v>
      </c>
      <c r="C5872" s="685"/>
      <c r="D5872" s="685"/>
      <c r="E5872" s="685"/>
    </row>
    <row r="5873" spans="2:5">
      <c r="B5873" s="787" t="s">
        <v>52</v>
      </c>
      <c r="C5873" s="685"/>
      <c r="D5873" s="685"/>
      <c r="E5873" s="685"/>
    </row>
    <row r="5874" spans="2:5">
      <c r="B5874" s="685" t="s">
        <v>7107</v>
      </c>
      <c r="C5874" s="685"/>
      <c r="D5874" s="685"/>
      <c r="E5874" s="685"/>
    </row>
    <row r="5875" spans="2:5">
      <c r="B5875" s="685"/>
      <c r="C5875" s="685" t="s">
        <v>7108</v>
      </c>
      <c r="D5875" s="685"/>
      <c r="E5875" s="685"/>
    </row>
    <row r="5876" spans="2:5">
      <c r="B5876" s="685"/>
      <c r="C5876" s="685" t="s">
        <v>7109</v>
      </c>
      <c r="D5876" s="685"/>
      <c r="E5876" s="685"/>
    </row>
    <row r="5877" spans="2:5">
      <c r="B5877" s="685"/>
      <c r="C5877" s="685" t="s">
        <v>7110</v>
      </c>
      <c r="D5877" s="685"/>
      <c r="E5877" s="685"/>
    </row>
    <row r="5878" spans="2:5">
      <c r="B5878" s="685" t="s">
        <v>7111</v>
      </c>
      <c r="C5878" s="685"/>
      <c r="D5878" s="685"/>
      <c r="E5878" s="685"/>
    </row>
    <row r="5879" spans="2:5">
      <c r="B5879" s="685" t="s">
        <v>7112</v>
      </c>
      <c r="C5879" s="685"/>
      <c r="D5879" s="685"/>
      <c r="E5879" s="685"/>
    </row>
    <row r="5880" spans="2:5">
      <c r="B5880" s="685"/>
      <c r="C5880" s="685" t="s">
        <v>7113</v>
      </c>
      <c r="D5880" s="685"/>
      <c r="E5880" s="685"/>
    </row>
    <row r="5881" spans="2:5">
      <c r="B5881" s="685" t="s">
        <v>7114</v>
      </c>
      <c r="C5881" s="685"/>
      <c r="D5881" s="685"/>
      <c r="E5881" s="685"/>
    </row>
    <row r="5882" spans="2:5">
      <c r="B5882" s="685"/>
      <c r="C5882" s="685"/>
      <c r="D5882" s="685"/>
      <c r="E5882" s="685"/>
    </row>
    <row r="5883" spans="2:5">
      <c r="B5883" s="685" t="s">
        <v>7115</v>
      </c>
      <c r="C5883" s="685"/>
      <c r="D5883" s="685"/>
      <c r="E5883" s="685"/>
    </row>
    <row r="5884" spans="2:5">
      <c r="B5884" s="685"/>
      <c r="C5884" s="685" t="s">
        <v>7116</v>
      </c>
      <c r="D5884" s="685"/>
      <c r="E5884" s="685"/>
    </row>
    <row r="5885" spans="2:5">
      <c r="B5885" s="685"/>
      <c r="C5885" s="685" t="s">
        <v>7117</v>
      </c>
      <c r="D5885" s="685"/>
      <c r="E5885" s="685"/>
    </row>
    <row r="5886" spans="2:5">
      <c r="B5886" s="685"/>
      <c r="C5886" s="685" t="s">
        <v>7118</v>
      </c>
      <c r="D5886" s="685"/>
      <c r="E5886" s="685"/>
    </row>
    <row r="5887" spans="2:5">
      <c r="B5887" s="787" t="s">
        <v>97</v>
      </c>
      <c r="C5887" s="685"/>
      <c r="D5887" s="685"/>
      <c r="E5887" s="685"/>
    </row>
    <row r="5888" spans="2:5">
      <c r="B5888" s="685" t="s">
        <v>7119</v>
      </c>
      <c r="C5888" s="685"/>
      <c r="D5888" s="685"/>
      <c r="E5888" s="685"/>
    </row>
    <row r="5889" spans="2:5">
      <c r="B5889" s="685"/>
      <c r="C5889" s="685" t="s">
        <v>7120</v>
      </c>
      <c r="D5889" s="685"/>
      <c r="E5889" s="685"/>
    </row>
    <row r="5890" spans="2:5">
      <c r="B5890" s="685"/>
      <c r="C5890" s="685" t="s">
        <v>7121</v>
      </c>
      <c r="D5890" s="685"/>
      <c r="E5890" s="685"/>
    </row>
    <row r="5891" spans="2:5">
      <c r="C5891" s="685" t="s">
        <v>7122</v>
      </c>
    </row>
    <row r="5892" spans="2:5">
      <c r="B5892" s="685" t="s">
        <v>7123</v>
      </c>
    </row>
    <row r="5893" spans="2:5">
      <c r="B5893" s="685" t="s">
        <v>7124</v>
      </c>
    </row>
    <row r="5894" spans="2:5">
      <c r="B5894" s="685" t="s">
        <v>7125</v>
      </c>
    </row>
    <row r="5895" spans="2:5">
      <c r="C5895" s="685" t="s">
        <v>7126</v>
      </c>
    </row>
    <row r="5896" spans="2:5">
      <c r="D5896" s="685" t="s">
        <v>7127</v>
      </c>
    </row>
    <row r="5897" spans="2:5">
      <c r="C5897" s="685" t="s">
        <v>7128</v>
      </c>
    </row>
    <row r="5898" spans="2:5">
      <c r="B5898" s="685" t="s">
        <v>7129</v>
      </c>
    </row>
    <row r="5899" spans="2:5">
      <c r="B5899" s="685" t="s">
        <v>7130</v>
      </c>
    </row>
    <row r="5901" spans="2:5">
      <c r="B5901" s="787" t="s">
        <v>107</v>
      </c>
    </row>
    <row r="5902" spans="2:5">
      <c r="B5902" s="685" t="s">
        <v>7131</v>
      </c>
    </row>
    <row r="5904" spans="2:5">
      <c r="B5904" s="787" t="s">
        <v>5897</v>
      </c>
    </row>
    <row r="5905" spans="2:7">
      <c r="B5905" s="685" t="s">
        <v>7132</v>
      </c>
    </row>
    <row r="5906" spans="2:7">
      <c r="B5906" s="685"/>
      <c r="C5906" s="685" t="s">
        <v>7133</v>
      </c>
    </row>
    <row r="5907" spans="2:7">
      <c r="B5907" s="685"/>
      <c r="C5907" s="685"/>
      <c r="D5907" s="685" t="s">
        <v>7134</v>
      </c>
    </row>
    <row r="5908" spans="2:7">
      <c r="C5908" s="685" t="s">
        <v>7135</v>
      </c>
    </row>
    <row r="5909" spans="2:7">
      <c r="D5909" s="685" t="s">
        <v>7136</v>
      </c>
    </row>
    <row r="5910" spans="2:7">
      <c r="D5910" s="685" t="s">
        <v>7137</v>
      </c>
    </row>
    <row r="5911" spans="2:7">
      <c r="C5911" s="685" t="s">
        <v>191</v>
      </c>
    </row>
    <row r="5912" spans="2:7">
      <c r="D5912" s="685" t="s">
        <v>7138</v>
      </c>
    </row>
    <row r="5913" spans="2:7">
      <c r="C5913" s="685" t="s">
        <v>7139</v>
      </c>
      <c r="D5913" s="685"/>
    </row>
    <row r="5914" spans="2:7">
      <c r="C5914" s="685" t="s">
        <v>7140</v>
      </c>
      <c r="D5914" s="685"/>
    </row>
    <row r="5915" spans="2:7">
      <c r="C5915" s="685" t="s">
        <v>7141</v>
      </c>
      <c r="D5915" s="685"/>
    </row>
    <row r="5916" spans="2:7">
      <c r="B5916" s="685" t="s">
        <v>1067</v>
      </c>
      <c r="C5916" s="685"/>
      <c r="D5916" s="685"/>
      <c r="E5916" s="685"/>
      <c r="F5916" s="685"/>
      <c r="G5916" s="685"/>
    </row>
    <row r="5917" spans="2:7">
      <c r="B5917" s="685"/>
      <c r="C5917" s="685" t="s">
        <v>7142</v>
      </c>
      <c r="D5917" s="685"/>
      <c r="E5917" s="685"/>
      <c r="F5917" s="685"/>
      <c r="G5917" s="685"/>
    </row>
    <row r="5918" spans="2:7">
      <c r="B5918" s="685"/>
      <c r="C5918" s="685" t="s">
        <v>7143</v>
      </c>
      <c r="D5918" s="685"/>
      <c r="E5918" s="685"/>
      <c r="F5918" s="685"/>
      <c r="G5918" s="685"/>
    </row>
    <row r="5919" spans="2:7">
      <c r="B5919" s="685"/>
      <c r="C5919" s="685" t="s">
        <v>7144</v>
      </c>
      <c r="D5919" s="685"/>
      <c r="E5919" s="685"/>
      <c r="F5919" s="685"/>
      <c r="G5919" s="685"/>
    </row>
    <row r="5920" spans="2:7">
      <c r="B5920" s="685"/>
      <c r="C5920" s="685" t="s">
        <v>7145</v>
      </c>
      <c r="D5920" s="685"/>
      <c r="E5920" s="685"/>
      <c r="F5920" s="685"/>
      <c r="G5920" s="685"/>
    </row>
    <row r="5921" spans="2:9">
      <c r="B5921" s="685"/>
      <c r="C5921" s="685" t="s">
        <v>7146</v>
      </c>
      <c r="D5921" s="685"/>
      <c r="E5921" s="685"/>
      <c r="F5921" s="685"/>
      <c r="G5921" s="685"/>
    </row>
    <row r="5922" spans="2:9">
      <c r="B5922" s="787" t="s">
        <v>7147</v>
      </c>
      <c r="C5922" s="685"/>
      <c r="D5922" s="685"/>
      <c r="E5922" s="685"/>
      <c r="F5922" s="685"/>
      <c r="G5922" s="685"/>
    </row>
    <row r="5923" spans="2:9">
      <c r="B5923" s="685" t="s">
        <v>7148</v>
      </c>
      <c r="C5923" s="685"/>
      <c r="D5923" s="685"/>
      <c r="E5923" s="685"/>
      <c r="F5923" s="685"/>
      <c r="G5923" s="685"/>
    </row>
    <row r="5924" spans="2:9">
      <c r="B5924" s="685" t="s">
        <v>7149</v>
      </c>
      <c r="C5924" s="685"/>
      <c r="D5924" s="685"/>
      <c r="E5924" s="685"/>
      <c r="F5924" s="685"/>
      <c r="G5924" s="685"/>
    </row>
    <row r="5925" spans="2:9">
      <c r="B5925" s="685"/>
      <c r="C5925" s="685" t="s">
        <v>7150</v>
      </c>
      <c r="D5925" s="685"/>
      <c r="E5925" s="685"/>
      <c r="F5925" s="685"/>
      <c r="G5925" s="685"/>
    </row>
    <row r="5926" spans="2:9">
      <c r="B5926" s="787" t="s">
        <v>5926</v>
      </c>
      <c r="C5926" s="685"/>
      <c r="D5926" s="685"/>
      <c r="E5926" s="685"/>
      <c r="F5926" s="685"/>
      <c r="G5926" s="685"/>
    </row>
    <row r="5927" spans="2:9">
      <c r="B5927" s="685"/>
      <c r="C5927" s="685" t="s">
        <v>7151</v>
      </c>
      <c r="D5927" s="685"/>
      <c r="E5927" s="685"/>
      <c r="F5927" s="685"/>
      <c r="G5927" s="685"/>
    </row>
    <row r="5928" spans="2:9">
      <c r="B5928" s="685"/>
      <c r="C5928" s="685"/>
      <c r="D5928" s="685">
        <f>500/12</f>
        <v>41.666666666666664</v>
      </c>
      <c r="E5928" s="685"/>
      <c r="F5928" s="685"/>
      <c r="G5928" s="685"/>
    </row>
    <row r="5929" spans="2:9">
      <c r="B5929" s="685"/>
      <c r="C5929" s="685" t="s">
        <v>7152</v>
      </c>
      <c r="D5929" s="685"/>
      <c r="E5929" s="685"/>
      <c r="F5929" s="685"/>
      <c r="G5929" s="685"/>
    </row>
    <row r="5930" spans="2:9">
      <c r="B5930" s="685"/>
      <c r="C5930" s="685"/>
      <c r="D5930" s="685" t="s">
        <v>7153</v>
      </c>
      <c r="E5930" s="685"/>
      <c r="F5930" s="685"/>
      <c r="G5930" s="685"/>
    </row>
    <row r="5931" spans="2:9">
      <c r="B5931" s="685"/>
      <c r="C5931" s="685"/>
      <c r="D5931" s="685" t="s">
        <v>7154</v>
      </c>
      <c r="E5931" s="685"/>
      <c r="F5931" s="685"/>
      <c r="G5931" s="685"/>
    </row>
    <row r="5932" spans="2:9">
      <c r="B5932" s="685"/>
      <c r="C5932" s="685" t="s">
        <v>7155</v>
      </c>
      <c r="D5932" s="685"/>
      <c r="E5932" s="685"/>
      <c r="F5932" s="685"/>
      <c r="G5932" s="685"/>
    </row>
    <row r="5933" spans="2:9">
      <c r="B5933" s="685"/>
      <c r="C5933" s="685"/>
      <c r="D5933" s="685"/>
      <c r="E5933" s="685"/>
      <c r="F5933" s="787" t="s">
        <v>1809</v>
      </c>
      <c r="G5933" s="685"/>
    </row>
    <row r="5934" spans="2:9">
      <c r="B5934" s="685"/>
      <c r="C5934" s="685"/>
      <c r="D5934" s="685" t="s">
        <v>7156</v>
      </c>
      <c r="E5934" s="685"/>
      <c r="F5934" s="685">
        <f>250</f>
        <v>250</v>
      </c>
      <c r="G5934" s="685"/>
    </row>
    <row r="5935" spans="2:9">
      <c r="B5935" s="685"/>
      <c r="C5935" s="685"/>
      <c r="D5935" s="685"/>
      <c r="E5935" s="685"/>
      <c r="F5935" s="685">
        <v>6.99</v>
      </c>
      <c r="G5935" s="685"/>
    </row>
    <row r="5936" spans="2:9">
      <c r="B5936" s="685"/>
      <c r="C5936" s="685"/>
      <c r="D5936" s="685"/>
      <c r="E5936" s="685"/>
      <c r="F5936" s="685">
        <v>189</v>
      </c>
      <c r="G5936" s="685">
        <f>F5936/18</f>
        <v>10.5</v>
      </c>
      <c r="H5936" s="790">
        <f>F5934/(8.5*12)</f>
        <v>2.4509803921568629</v>
      </c>
      <c r="I5936" s="685" t="s">
        <v>7157</v>
      </c>
    </row>
    <row r="5937" spans="2:8">
      <c r="B5937" s="685"/>
      <c r="C5937" s="685" t="s">
        <v>7158</v>
      </c>
      <c r="D5937" s="685"/>
      <c r="E5937" s="685"/>
      <c r="F5937" s="685"/>
      <c r="G5937" s="685"/>
      <c r="H5937" s="685" t="s">
        <v>7159</v>
      </c>
    </row>
    <row r="5938" spans="2:8">
      <c r="B5938" s="685"/>
      <c r="C5938" s="685"/>
      <c r="D5938" s="685" t="s">
        <v>7160</v>
      </c>
      <c r="E5938" s="685"/>
      <c r="F5938" s="685"/>
      <c r="G5938" s="685"/>
    </row>
    <row r="5939" spans="2:8">
      <c r="B5939" s="685"/>
      <c r="C5939" s="685"/>
      <c r="D5939" s="685" t="s">
        <v>7161</v>
      </c>
      <c r="E5939" s="685"/>
      <c r="F5939" s="685"/>
      <c r="G5939" s="685"/>
    </row>
    <row r="5940" spans="2:8">
      <c r="B5940" s="685"/>
      <c r="C5940" s="685" t="s">
        <v>7162</v>
      </c>
      <c r="D5940" s="685"/>
      <c r="E5940" s="685"/>
      <c r="F5940" s="685"/>
      <c r="G5940" s="685"/>
    </row>
    <row r="5941" spans="2:8">
      <c r="B5941" s="685"/>
      <c r="C5941" s="685"/>
      <c r="D5941" s="789">
        <f>30/125</f>
        <v>0.24</v>
      </c>
      <c r="E5941" s="685"/>
      <c r="F5941" s="685"/>
      <c r="G5941" s="685"/>
    </row>
    <row r="5942" spans="2:8">
      <c r="C5942" s="685" t="s">
        <v>7163</v>
      </c>
      <c r="D5942" s="685"/>
    </row>
    <row r="5943" spans="2:8">
      <c r="C5943" s="685" t="s">
        <v>7164</v>
      </c>
      <c r="D5943" s="685"/>
    </row>
    <row r="5945" spans="2:8">
      <c r="C5945" s="685" t="s">
        <v>7165</v>
      </c>
    </row>
    <row r="5946" spans="2:8">
      <c r="C5946" s="685" t="s">
        <v>7166</v>
      </c>
    </row>
    <row r="5947" spans="2:8">
      <c r="C5947" s="685" t="s">
        <v>7167</v>
      </c>
    </row>
    <row r="5948" spans="2:8">
      <c r="B5948" s="685" t="s">
        <v>7168</v>
      </c>
    </row>
    <row r="5949" spans="2:8">
      <c r="C5949" s="685" t="s">
        <v>7169</v>
      </c>
    </row>
    <row r="5950" spans="2:8">
      <c r="B5950" s="685" t="s">
        <v>7170</v>
      </c>
    </row>
    <row r="5951" spans="2:8">
      <c r="B5951" s="685" t="s">
        <v>7171</v>
      </c>
    </row>
    <row r="5957" spans="2:2">
      <c r="B5957" s="121" t="s">
        <v>7172</v>
      </c>
    </row>
    <row r="5983" spans="2:3">
      <c r="B5983" s="121" t="s">
        <v>7173</v>
      </c>
    </row>
    <row r="5984" spans="2:3">
      <c r="B5984" t="s">
        <v>35</v>
      </c>
      <c r="C5984" t="s">
        <v>7174</v>
      </c>
    </row>
    <row r="5985" spans="2:4">
      <c r="C5985" t="s">
        <v>7175</v>
      </c>
    </row>
    <row r="5986" spans="2:4">
      <c r="D5986" t="s">
        <v>7176</v>
      </c>
    </row>
    <row r="5987" spans="2:4">
      <c r="D5987" t="s">
        <v>7177</v>
      </c>
    </row>
    <row r="5988" spans="2:4">
      <c r="C5988" t="s">
        <v>7178</v>
      </c>
    </row>
    <row r="5989" spans="2:4">
      <c r="B5989" t="s">
        <v>7179</v>
      </c>
    </row>
    <row r="5991" spans="2:4">
      <c r="B5991" t="s">
        <v>7180</v>
      </c>
    </row>
    <row r="5993" spans="2:4">
      <c r="B5993" t="s">
        <v>7181</v>
      </c>
    </row>
    <row r="5994" spans="2:4">
      <c r="C5994" t="s">
        <v>7182</v>
      </c>
    </row>
    <row r="5995" spans="2:4">
      <c r="C5995" t="s">
        <v>7183</v>
      </c>
    </row>
    <row r="5996" spans="2:4">
      <c r="B5996" t="s">
        <v>7184</v>
      </c>
    </row>
    <row r="5997" spans="2:4">
      <c r="C5997" t="s">
        <v>7185</v>
      </c>
    </row>
    <row r="5998" spans="2:4">
      <c r="C5998" t="s">
        <v>7186</v>
      </c>
    </row>
    <row r="5999" spans="2:4">
      <c r="C5999" t="s">
        <v>7187</v>
      </c>
    </row>
    <row r="6000" spans="2:4">
      <c r="B6000" t="s">
        <v>7188</v>
      </c>
    </row>
    <row r="6001" spans="2:3">
      <c r="C6001" t="s">
        <v>7189</v>
      </c>
    </row>
    <row r="6002" spans="2:3">
      <c r="C6002" t="s">
        <v>7190</v>
      </c>
    </row>
    <row r="6003" spans="2:3">
      <c r="C6003" t="s">
        <v>7191</v>
      </c>
    </row>
    <row r="6004" spans="2:3">
      <c r="C6004" t="s">
        <v>7192</v>
      </c>
    </row>
    <row r="6005" spans="2:3">
      <c r="C6005" t="s">
        <v>7193</v>
      </c>
    </row>
    <row r="6006" spans="2:3">
      <c r="C6006" t="s">
        <v>7194</v>
      </c>
    </row>
    <row r="6007" spans="2:3">
      <c r="B6007" t="s">
        <v>7195</v>
      </c>
    </row>
    <row r="6008" spans="2:3">
      <c r="C6008" t="s">
        <v>7196</v>
      </c>
    </row>
    <row r="6009" spans="2:3">
      <c r="B6009" t="s">
        <v>7197</v>
      </c>
    </row>
    <row r="6010" spans="2:3">
      <c r="B6010" t="s">
        <v>7198</v>
      </c>
    </row>
    <row r="6011" spans="2:3">
      <c r="C6011" t="s">
        <v>7199</v>
      </c>
    </row>
    <row r="6012" spans="2:3">
      <c r="B6012" t="s">
        <v>35</v>
      </c>
    </row>
    <row r="6013" spans="2:3">
      <c r="C6013" t="s">
        <v>7200</v>
      </c>
    </row>
    <row r="6014" spans="2:3">
      <c r="B6014" t="s">
        <v>7201</v>
      </c>
    </row>
    <row r="6015" spans="2:3">
      <c r="C6015" t="s">
        <v>7202</v>
      </c>
    </row>
    <row r="6016" spans="2:3">
      <c r="C6016" t="s">
        <v>7203</v>
      </c>
    </row>
    <row r="6017" spans="2:5">
      <c r="C6017" t="s">
        <v>7204</v>
      </c>
    </row>
    <row r="6018" spans="2:5">
      <c r="B6018" t="s">
        <v>114</v>
      </c>
    </row>
    <row r="6019" spans="2:5">
      <c r="C6019" t="s">
        <v>7205</v>
      </c>
    </row>
    <row r="6020" spans="2:5">
      <c r="D6020" t="s">
        <v>7206</v>
      </c>
    </row>
    <row r="6021" spans="2:5">
      <c r="C6021" t="s">
        <v>7207</v>
      </c>
    </row>
    <row r="6022" spans="2:5">
      <c r="C6022" t="s">
        <v>7208</v>
      </c>
    </row>
    <row r="6024" spans="2:5">
      <c r="C6024" t="s">
        <v>7209</v>
      </c>
      <c r="D6024">
        <v>2022</v>
      </c>
      <c r="E6024">
        <v>600</v>
      </c>
    </row>
    <row r="6025" spans="2:5">
      <c r="C6025" s="61"/>
      <c r="D6025" s="61">
        <v>2023</v>
      </c>
      <c r="E6025" s="61">
        <v>150</v>
      </c>
    </row>
    <row r="6026" spans="2:5">
      <c r="E6026">
        <f>SUM(E6024:E6025)</f>
        <v>750</v>
      </c>
    </row>
    <row r="6028" spans="2:5">
      <c r="B6028" s="835">
        <v>45194</v>
      </c>
    </row>
    <row r="6029" spans="2:5">
      <c r="B6029" s="42" t="s">
        <v>7210</v>
      </c>
    </row>
    <row r="6031" spans="2:5">
      <c r="B6031" t="s">
        <v>2511</v>
      </c>
    </row>
    <row r="6032" spans="2:5">
      <c r="C6032" t="s">
        <v>7211</v>
      </c>
    </row>
    <row r="6033" spans="2:6">
      <c r="C6033" t="s">
        <v>7212</v>
      </c>
    </row>
    <row r="6034" spans="2:6">
      <c r="C6034" t="s">
        <v>7213</v>
      </c>
    </row>
    <row r="6035" spans="2:6">
      <c r="C6035" t="s">
        <v>7214</v>
      </c>
    </row>
    <row r="6036" spans="2:6">
      <c r="C6036" t="s">
        <v>7215</v>
      </c>
    </row>
    <row r="6037" spans="2:6">
      <c r="B6037" t="s">
        <v>7216</v>
      </c>
    </row>
    <row r="6038" spans="2:6">
      <c r="C6038" t="s">
        <v>7217</v>
      </c>
    </row>
    <row r="6039" spans="2:6">
      <c r="D6039" t="s">
        <v>7218</v>
      </c>
    </row>
    <row r="6040" spans="2:6">
      <c r="D6040" t="s">
        <v>7219</v>
      </c>
    </row>
    <row r="6041" spans="2:6">
      <c r="E6041" t="s">
        <v>7220</v>
      </c>
    </row>
    <row r="6042" spans="2:6">
      <c r="F6042" t="s">
        <v>7221</v>
      </c>
    </row>
    <row r="6043" spans="2:6">
      <c r="F6043" t="s">
        <v>7222</v>
      </c>
    </row>
    <row r="6044" spans="2:6">
      <c r="F6044" t="s">
        <v>7223</v>
      </c>
    </row>
    <row r="6045" spans="2:6">
      <c r="F6045" t="s">
        <v>7224</v>
      </c>
    </row>
    <row r="6046" spans="2:6">
      <c r="E6046" t="s">
        <v>7225</v>
      </c>
    </row>
    <row r="6047" spans="2:6">
      <c r="E6047" t="s">
        <v>7226</v>
      </c>
    </row>
    <row r="6048" spans="2:6">
      <c r="F6048" t="s">
        <v>7227</v>
      </c>
    </row>
    <row r="6049" spans="3:6">
      <c r="F6049" t="s">
        <v>7228</v>
      </c>
    </row>
    <row r="6050" spans="3:6">
      <c r="F6050" t="s">
        <v>7229</v>
      </c>
    </row>
    <row r="6051" spans="3:6">
      <c r="D6051" t="s">
        <v>7230</v>
      </c>
    </row>
    <row r="6052" spans="3:6">
      <c r="D6052" t="s">
        <v>7231</v>
      </c>
    </row>
    <row r="6053" spans="3:6">
      <c r="D6053" t="s">
        <v>7232</v>
      </c>
    </row>
    <row r="6054" spans="3:6">
      <c r="D6054" t="s">
        <v>7233</v>
      </c>
    </row>
    <row r="6055" spans="3:6">
      <c r="D6055" t="s">
        <v>7234</v>
      </c>
    </row>
    <row r="6056" spans="3:6">
      <c r="D6056" t="s">
        <v>7235</v>
      </c>
    </row>
    <row r="6057" spans="3:6">
      <c r="E6057" t="s">
        <v>7236</v>
      </c>
    </row>
    <row r="6058" spans="3:6">
      <c r="D6058" t="s">
        <v>7237</v>
      </c>
    </row>
    <row r="6059" spans="3:6">
      <c r="C6059" t="s">
        <v>7238</v>
      </c>
    </row>
    <row r="6060" spans="3:6">
      <c r="D6060" t="s">
        <v>7239</v>
      </c>
    </row>
    <row r="6061" spans="3:6">
      <c r="D6061" t="s">
        <v>7240</v>
      </c>
    </row>
    <row r="6062" spans="3:6">
      <c r="C6062" t="s">
        <v>7241</v>
      </c>
    </row>
    <row r="6063" spans="3:6">
      <c r="D6063" t="s">
        <v>7242</v>
      </c>
    </row>
    <row r="6064" spans="3:6">
      <c r="C6064" t="s">
        <v>7243</v>
      </c>
    </row>
    <row r="6066" spans="2:4">
      <c r="B6066" t="s">
        <v>7244</v>
      </c>
    </row>
    <row r="6067" spans="2:4">
      <c r="C6067" t="s">
        <v>7245</v>
      </c>
    </row>
    <row r="6068" spans="2:4">
      <c r="C6068" t="s">
        <v>7246</v>
      </c>
    </row>
    <row r="6069" spans="2:4">
      <c r="C6069" t="s">
        <v>7247</v>
      </c>
    </row>
    <row r="6070" spans="2:4">
      <c r="C6070" t="s">
        <v>7248</v>
      </c>
    </row>
    <row r="6071" spans="2:4">
      <c r="D6071" t="s">
        <v>7249</v>
      </c>
    </row>
    <row r="6072" spans="2:4">
      <c r="C6072" t="s">
        <v>7250</v>
      </c>
    </row>
    <row r="6073" spans="2:4">
      <c r="D6073" t="s">
        <v>7251</v>
      </c>
    </row>
    <row r="6074" spans="2:4">
      <c r="D6074" t="s">
        <v>7252</v>
      </c>
    </row>
    <row r="6075" spans="2:4">
      <c r="B6075" t="s">
        <v>97</v>
      </c>
    </row>
    <row r="6076" spans="2:4">
      <c r="C6076" t="s">
        <v>7253</v>
      </c>
    </row>
    <row r="6077" spans="2:4">
      <c r="C6077" t="s">
        <v>7254</v>
      </c>
    </row>
    <row r="6078" spans="2:4">
      <c r="B6078" t="s">
        <v>2227</v>
      </c>
    </row>
    <row r="6079" spans="2:4">
      <c r="C6079" t="s">
        <v>7255</v>
      </c>
    </row>
    <row r="6080" spans="2:4">
      <c r="D6080" t="s">
        <v>7256</v>
      </c>
    </row>
    <row r="6081" spans="3:5">
      <c r="D6081" t="s">
        <v>7257</v>
      </c>
    </row>
    <row r="6082" spans="3:5">
      <c r="E6082" t="s">
        <v>7258</v>
      </c>
    </row>
    <row r="6083" spans="3:5">
      <c r="C6083" t="s">
        <v>7259</v>
      </c>
    </row>
    <row r="6084" spans="3:5">
      <c r="D6084" t="s">
        <v>7260</v>
      </c>
    </row>
    <row r="6085" spans="3:5">
      <c r="C6085" t="s">
        <v>7261</v>
      </c>
    </row>
    <row r="6086" spans="3:5">
      <c r="C6086" t="s">
        <v>6082</v>
      </c>
    </row>
    <row r="6087" spans="3:5">
      <c r="D6087" t="s">
        <v>7262</v>
      </c>
    </row>
    <row r="6088" spans="3:5">
      <c r="D6088" t="s">
        <v>7263</v>
      </c>
    </row>
    <row r="6089" spans="3:5">
      <c r="D6089" t="s">
        <v>7264</v>
      </c>
    </row>
    <row r="6090" spans="3:5">
      <c r="D6090" t="s">
        <v>7265</v>
      </c>
    </row>
    <row r="6172" spans="2:2">
      <c r="B6172" s="121" t="s">
        <v>7266</v>
      </c>
    </row>
    <row r="6174" spans="2:2">
      <c r="B6174" t="s">
        <v>7267</v>
      </c>
    </row>
    <row r="6175" spans="2:2">
      <c r="B6175" t="s">
        <v>7268</v>
      </c>
    </row>
    <row r="6176" spans="2:2">
      <c r="B6176" t="s">
        <v>7269</v>
      </c>
    </row>
    <row r="6177" spans="2:4">
      <c r="C6177" t="s">
        <v>7270</v>
      </c>
    </row>
    <row r="6178" spans="2:4">
      <c r="C6178" t="s">
        <v>7271</v>
      </c>
    </row>
    <row r="6179" spans="2:4">
      <c r="B6179" t="s">
        <v>7272</v>
      </c>
    </row>
    <row r="6180" spans="2:4">
      <c r="C6180" t="s">
        <v>7273</v>
      </c>
    </row>
    <row r="6181" spans="2:4">
      <c r="C6181" t="s">
        <v>7274</v>
      </c>
    </row>
    <row r="6182" spans="2:4">
      <c r="D6182" t="s">
        <v>7275</v>
      </c>
    </row>
    <row r="6183" spans="2:4">
      <c r="D6183" t="s">
        <v>7276</v>
      </c>
    </row>
    <row r="6184" spans="2:4">
      <c r="C6184" t="s">
        <v>7277</v>
      </c>
    </row>
    <row r="6185" spans="2:4">
      <c r="B6185" t="s">
        <v>33</v>
      </c>
    </row>
    <row r="6186" spans="2:4">
      <c r="C6186" t="s">
        <v>7278</v>
      </c>
    </row>
    <row r="6187" spans="2:4">
      <c r="C6187" t="s">
        <v>7279</v>
      </c>
    </row>
    <row r="6188" spans="2:4">
      <c r="C6188" t="s">
        <v>7280</v>
      </c>
    </row>
    <row r="6189" spans="2:4">
      <c r="C6189" t="s">
        <v>7281</v>
      </c>
    </row>
    <row r="6190" spans="2:4">
      <c r="C6190" t="s">
        <v>7282</v>
      </c>
    </row>
    <row r="6192" spans="2:4">
      <c r="C6192" t="s">
        <v>7283</v>
      </c>
    </row>
    <row r="6193" spans="2:5">
      <c r="C6193" t="s">
        <v>7284</v>
      </c>
    </row>
    <row r="6194" spans="2:5">
      <c r="B6194" t="s">
        <v>97</v>
      </c>
    </row>
    <row r="6195" spans="2:5">
      <c r="C6195" t="s">
        <v>587</v>
      </c>
    </row>
    <row r="6196" spans="2:5">
      <c r="D6196" t="s">
        <v>7285</v>
      </c>
    </row>
    <row r="6197" spans="2:5">
      <c r="D6197" t="s">
        <v>7286</v>
      </c>
    </row>
    <row r="6198" spans="2:5">
      <c r="D6198" t="s">
        <v>7287</v>
      </c>
    </row>
    <row r="6199" spans="2:5">
      <c r="C6199" t="s">
        <v>907</v>
      </c>
    </row>
    <row r="6200" spans="2:5">
      <c r="D6200" t="s">
        <v>7288</v>
      </c>
    </row>
    <row r="6201" spans="2:5">
      <c r="E6201" t="s">
        <v>7289</v>
      </c>
    </row>
    <row r="6202" spans="2:5">
      <c r="E6202" t="s">
        <v>7290</v>
      </c>
    </row>
    <row r="6203" spans="2:5">
      <c r="E6203" t="s">
        <v>7291</v>
      </c>
    </row>
    <row r="6204" spans="2:5">
      <c r="D6204" t="s">
        <v>7292</v>
      </c>
    </row>
    <row r="6205" spans="2:5">
      <c r="C6205" t="s">
        <v>34</v>
      </c>
    </row>
    <row r="6206" spans="2:5">
      <c r="D6206" t="s">
        <v>7293</v>
      </c>
    </row>
    <row r="6207" spans="2:5">
      <c r="E6207" t="s">
        <v>7294</v>
      </c>
    </row>
    <row r="6208" spans="2:5">
      <c r="E6208" t="s">
        <v>7295</v>
      </c>
    </row>
    <row r="6209" spans="2:4">
      <c r="D6209" t="s">
        <v>7296</v>
      </c>
    </row>
    <row r="6210" spans="2:4">
      <c r="B6210" t="s">
        <v>107</v>
      </c>
    </row>
    <row r="6211" spans="2:4">
      <c r="C6211" t="s">
        <v>2849</v>
      </c>
    </row>
    <row r="6212" spans="2:4">
      <c r="C6212" t="s">
        <v>7297</v>
      </c>
    </row>
    <row r="6213" spans="2:4">
      <c r="B6213" t="s">
        <v>234</v>
      </c>
    </row>
    <row r="6214" spans="2:4">
      <c r="C6214" t="s">
        <v>7298</v>
      </c>
    </row>
    <row r="6215" spans="2:4">
      <c r="C6215" t="s">
        <v>7299</v>
      </c>
    </row>
    <row r="6216" spans="2:4">
      <c r="B6216" t="s">
        <v>2227</v>
      </c>
    </row>
    <row r="6217" spans="2:4">
      <c r="C6217" t="s">
        <v>7300</v>
      </c>
    </row>
    <row r="6218" spans="2:4">
      <c r="D6218" t="s">
        <v>7301</v>
      </c>
    </row>
    <row r="6219" spans="2:4">
      <c r="D6219" t="s">
        <v>7302</v>
      </c>
    </row>
    <row r="6220" spans="2:4">
      <c r="C6220" t="s">
        <v>7303</v>
      </c>
    </row>
    <row r="6221" spans="2:4">
      <c r="D6221" t="s">
        <v>7304</v>
      </c>
    </row>
    <row r="6222" spans="2:4">
      <c r="D6222" t="s">
        <v>7305</v>
      </c>
    </row>
    <row r="6224" spans="2:4">
      <c r="C6224" t="s">
        <v>7306</v>
      </c>
    </row>
    <row r="6225" spans="2:7">
      <c r="C6225" t="s">
        <v>7307</v>
      </c>
    </row>
    <row r="6226" spans="2:7">
      <c r="D6226" t="s">
        <v>7308</v>
      </c>
    </row>
    <row r="6227" spans="2:7">
      <c r="C6227" t="s">
        <v>7309</v>
      </c>
    </row>
    <row r="6228" spans="2:7">
      <c r="D6228" t="s">
        <v>7310</v>
      </c>
    </row>
    <row r="6229" spans="2:7">
      <c r="C6229" t="s">
        <v>7311</v>
      </c>
    </row>
    <row r="6230" spans="2:7">
      <c r="C6230" t="s">
        <v>7312</v>
      </c>
    </row>
    <row r="6232" spans="2:7">
      <c r="C6232" t="s">
        <v>7313</v>
      </c>
    </row>
    <row r="6233" spans="2:7">
      <c r="C6233" t="s">
        <v>7314</v>
      </c>
    </row>
    <row r="6234" spans="2:7">
      <c r="C6234" t="s">
        <v>7315</v>
      </c>
    </row>
    <row r="6235" spans="2:7">
      <c r="D6235" t="s">
        <v>907</v>
      </c>
      <c r="E6235">
        <f>700</f>
        <v>700</v>
      </c>
      <c r="G6235" t="s">
        <v>7316</v>
      </c>
    </row>
    <row r="6236" spans="2:7">
      <c r="D6236" t="s">
        <v>6275</v>
      </c>
      <c r="E6236">
        <v>40</v>
      </c>
      <c r="G6236" t="s">
        <v>7317</v>
      </c>
    </row>
    <row r="6237" spans="2:7">
      <c r="C6237" s="136">
        <v>2024</v>
      </c>
    </row>
    <row r="6238" spans="2:7">
      <c r="D6238" t="s">
        <v>7318</v>
      </c>
      <c r="E6238" s="419"/>
    </row>
    <row r="6239" spans="2:7">
      <c r="D6239" t="s">
        <v>7319</v>
      </c>
    </row>
    <row r="6240" spans="2:7">
      <c r="B6240" t="s">
        <v>7318</v>
      </c>
    </row>
    <row r="6241" spans="2:3">
      <c r="C6241" t="s">
        <v>7320</v>
      </c>
    </row>
    <row r="6242" spans="2:3">
      <c r="B6242" t="s">
        <v>1067</v>
      </c>
    </row>
    <row r="6243" spans="2:3">
      <c r="C6243" t="s">
        <v>7321</v>
      </c>
    </row>
    <row r="6244" spans="2:3">
      <c r="C6244" t="s">
        <v>7322</v>
      </c>
    </row>
    <row r="6245" spans="2:3">
      <c r="C6245" t="s">
        <v>7323</v>
      </c>
    </row>
    <row r="6246" spans="2:3">
      <c r="C6246" t="s">
        <v>7324</v>
      </c>
    </row>
    <row r="6247" spans="2:3">
      <c r="C6247" t="s">
        <v>7325</v>
      </c>
    </row>
    <row r="6249" spans="2:3">
      <c r="B6249" s="121" t="s">
        <v>860</v>
      </c>
    </row>
    <row r="6251" spans="2:3">
      <c r="B6251" t="s">
        <v>907</v>
      </c>
    </row>
    <row r="6252" spans="2:3">
      <c r="C6252" t="s">
        <v>7326</v>
      </c>
    </row>
    <row r="6253" spans="2:3">
      <c r="C6253" t="s">
        <v>7327</v>
      </c>
    </row>
    <row r="6254" spans="2:3">
      <c r="B6254" t="s">
        <v>7328</v>
      </c>
    </row>
    <row r="6255" spans="2:3">
      <c r="C6255" t="s">
        <v>7329</v>
      </c>
    </row>
    <row r="6256" spans="2:3">
      <c r="C6256" t="s">
        <v>7330</v>
      </c>
    </row>
    <row r="6257" spans="2:3">
      <c r="B6257" t="s">
        <v>894</v>
      </c>
    </row>
    <row r="6258" spans="2:3">
      <c r="C6258" t="s">
        <v>7331</v>
      </c>
    </row>
    <row r="6259" spans="2:3">
      <c r="C6259" t="s">
        <v>7332</v>
      </c>
    </row>
    <row r="6260" spans="2:3">
      <c r="B6260" t="s">
        <v>47</v>
      </c>
    </row>
    <row r="6261" spans="2:3">
      <c r="C6261" t="s">
        <v>7333</v>
      </c>
    </row>
    <row r="6262" spans="2:3">
      <c r="B6262" t="s">
        <v>52</v>
      </c>
    </row>
    <row r="6263" spans="2:3">
      <c r="C6263" t="s">
        <v>7334</v>
      </c>
    </row>
    <row r="6264" spans="2:3">
      <c r="C6264" t="s">
        <v>7335</v>
      </c>
    </row>
    <row r="6265" spans="2:3">
      <c r="C6265" t="s">
        <v>7336</v>
      </c>
    </row>
    <row r="6266" spans="2:3">
      <c r="C6266" t="s">
        <v>7337</v>
      </c>
    </row>
    <row r="6267" spans="2:3">
      <c r="C6267" t="s">
        <v>7338</v>
      </c>
    </row>
    <row r="6268" spans="2:3">
      <c r="B6268" t="s">
        <v>7339</v>
      </c>
    </row>
    <row r="6269" spans="2:3">
      <c r="C6269" t="s">
        <v>7340</v>
      </c>
    </row>
    <row r="6270" spans="2:3">
      <c r="B6270" t="s">
        <v>45</v>
      </c>
    </row>
    <row r="6271" spans="2:3">
      <c r="C6271" t="s">
        <v>7341</v>
      </c>
    </row>
    <row r="6272" spans="2:3">
      <c r="C6272" t="s">
        <v>7342</v>
      </c>
    </row>
    <row r="6273" spans="2:4">
      <c r="C6273" t="s">
        <v>7343</v>
      </c>
    </row>
    <row r="6274" spans="2:4">
      <c r="B6274" t="s">
        <v>7344</v>
      </c>
    </row>
    <row r="6275" spans="2:4">
      <c r="C6275" t="s">
        <v>7345</v>
      </c>
    </row>
    <row r="6276" spans="2:4">
      <c r="C6276" t="s">
        <v>7346</v>
      </c>
    </row>
    <row r="6277" spans="2:4">
      <c r="C6277" t="s">
        <v>7347</v>
      </c>
    </row>
    <row r="6278" spans="2:4">
      <c r="C6278" t="s">
        <v>7348</v>
      </c>
    </row>
    <row r="6279" spans="2:4">
      <c r="B6279" t="s">
        <v>94</v>
      </c>
    </row>
    <row r="6280" spans="2:4">
      <c r="C6280" t="s">
        <v>7349</v>
      </c>
    </row>
    <row r="6281" spans="2:4">
      <c r="C6281" t="s">
        <v>7350</v>
      </c>
    </row>
    <row r="6282" spans="2:4">
      <c r="B6282" t="s">
        <v>907</v>
      </c>
    </row>
    <row r="6283" spans="2:4">
      <c r="C6283" t="s">
        <v>7351</v>
      </c>
    </row>
    <row r="6284" spans="2:4">
      <c r="D6284" t="s">
        <v>7352</v>
      </c>
    </row>
    <row r="6285" spans="2:4">
      <c r="C6285" t="s">
        <v>7353</v>
      </c>
    </row>
    <row r="6286" spans="2:4">
      <c r="C6286" t="s">
        <v>7354</v>
      </c>
    </row>
    <row r="6287" spans="2:4">
      <c r="D6287" t="s">
        <v>7355</v>
      </c>
    </row>
    <row r="6288" spans="2:4">
      <c r="D6288" t="s">
        <v>7356</v>
      </c>
    </row>
    <row r="6289" spans="2:5">
      <c r="C6289" t="s">
        <v>7357</v>
      </c>
    </row>
    <row r="6290" spans="2:5">
      <c r="C6290" t="s">
        <v>7358</v>
      </c>
    </row>
    <row r="6291" spans="2:5">
      <c r="C6291" t="s">
        <v>97</v>
      </c>
    </row>
    <row r="6292" spans="2:5">
      <c r="D6292" t="s">
        <v>7359</v>
      </c>
    </row>
    <row r="6293" spans="2:5">
      <c r="D6293" t="s">
        <v>7360</v>
      </c>
    </row>
    <row r="6294" spans="2:5">
      <c r="D6294" t="s">
        <v>7361</v>
      </c>
    </row>
    <row r="6295" spans="2:5">
      <c r="D6295" t="s">
        <v>7362</v>
      </c>
    </row>
    <row r="6296" spans="2:5">
      <c r="D6296" t="s">
        <v>7363</v>
      </c>
    </row>
    <row r="6297" spans="2:5">
      <c r="D6297" t="s">
        <v>5075</v>
      </c>
    </row>
    <row r="6298" spans="2:5">
      <c r="E6298" t="s">
        <v>7364</v>
      </c>
    </row>
    <row r="6299" spans="2:5">
      <c r="D6299" t="s">
        <v>7365</v>
      </c>
    </row>
    <row r="6300" spans="2:5">
      <c r="D6300" t="s">
        <v>7366</v>
      </c>
    </row>
    <row r="6301" spans="2:5">
      <c r="C6301" t="s">
        <v>7367</v>
      </c>
    </row>
    <row r="6302" spans="2:5">
      <c r="D6302" t="s">
        <v>7368</v>
      </c>
    </row>
    <row r="6303" spans="2:5">
      <c r="C6303" t="s">
        <v>7369</v>
      </c>
    </row>
    <row r="6304" spans="2:5">
      <c r="B6304" t="s">
        <v>7370</v>
      </c>
    </row>
    <row r="6305" spans="2:5">
      <c r="C6305" t="s">
        <v>7371</v>
      </c>
    </row>
    <row r="6306" spans="2:5">
      <c r="D6306" t="s">
        <v>7372</v>
      </c>
    </row>
    <row r="6307" spans="2:5">
      <c r="C6307" t="s">
        <v>7373</v>
      </c>
    </row>
    <row r="6308" spans="2:5">
      <c r="D6308" t="s">
        <v>7374</v>
      </c>
    </row>
    <row r="6309" spans="2:5">
      <c r="C6309" t="s">
        <v>7375</v>
      </c>
    </row>
    <row r="6310" spans="2:5">
      <c r="D6310" t="s">
        <v>7376</v>
      </c>
    </row>
    <row r="6311" spans="2:5">
      <c r="D6311" t="s">
        <v>7377</v>
      </c>
    </row>
    <row r="6312" spans="2:5">
      <c r="C6312" t="s">
        <v>7378</v>
      </c>
    </row>
    <row r="6313" spans="2:5">
      <c r="D6313" t="s">
        <v>7379</v>
      </c>
    </row>
    <row r="6314" spans="2:5">
      <c r="D6314" t="s">
        <v>7380</v>
      </c>
    </row>
    <row r="6315" spans="2:5">
      <c r="D6315" t="s">
        <v>7381</v>
      </c>
    </row>
    <row r="6316" spans="2:5">
      <c r="D6316" t="s">
        <v>7382</v>
      </c>
    </row>
    <row r="6317" spans="2:5">
      <c r="B6317" t="s">
        <v>7383</v>
      </c>
    </row>
    <row r="6318" spans="2:5">
      <c r="C6318" t="s">
        <v>7384</v>
      </c>
    </row>
    <row r="6319" spans="2:5">
      <c r="D6319" t="s">
        <v>5614</v>
      </c>
      <c r="E6319" t="s">
        <v>7385</v>
      </c>
    </row>
    <row r="6320" spans="2:5">
      <c r="D6320" t="s">
        <v>3703</v>
      </c>
      <c r="E6320" t="s">
        <v>7386</v>
      </c>
    </row>
    <row r="6321" spans="2:4">
      <c r="D6321" t="s">
        <v>7387</v>
      </c>
    </row>
    <row r="6322" spans="2:4">
      <c r="C6322" t="s">
        <v>7388</v>
      </c>
    </row>
    <row r="6323" spans="2:4">
      <c r="D6323" t="s">
        <v>7389</v>
      </c>
    </row>
    <row r="6324" spans="2:4">
      <c r="B6324" t="s">
        <v>7390</v>
      </c>
    </row>
    <row r="6325" spans="2:4">
      <c r="C6325" t="s">
        <v>7391</v>
      </c>
    </row>
    <row r="6326" spans="2:4">
      <c r="C6326" t="s">
        <v>7392</v>
      </c>
    </row>
    <row r="6327" spans="2:4">
      <c r="C6327" t="s">
        <v>7393</v>
      </c>
    </row>
    <row r="6328" spans="2:4">
      <c r="D6328" t="s">
        <v>7394</v>
      </c>
    </row>
    <row r="6329" spans="2:4">
      <c r="C6329" t="s">
        <v>7395</v>
      </c>
    </row>
    <row r="6330" spans="2:4">
      <c r="B6330" t="s">
        <v>4162</v>
      </c>
    </row>
    <row r="6331" spans="2:4">
      <c r="C6331" t="s">
        <v>7396</v>
      </c>
    </row>
    <row r="6332" spans="2:4">
      <c r="D6332" t="s">
        <v>7397</v>
      </c>
    </row>
    <row r="6333" spans="2:4">
      <c r="D6333" t="s">
        <v>7398</v>
      </c>
    </row>
    <row r="6334" spans="2:4">
      <c r="C6334" t="s">
        <v>7399</v>
      </c>
    </row>
    <row r="6335" spans="2:4">
      <c r="C6335" t="s">
        <v>7400</v>
      </c>
    </row>
    <row r="6336" spans="2:4">
      <c r="B6336" t="s">
        <v>35</v>
      </c>
    </row>
    <row r="6337" spans="2:4">
      <c r="C6337" t="s">
        <v>7401</v>
      </c>
    </row>
    <row r="6338" spans="2:4">
      <c r="C6338" t="s">
        <v>7402</v>
      </c>
    </row>
    <row r="6339" spans="2:4">
      <c r="D6339" t="s">
        <v>7403</v>
      </c>
    </row>
    <row r="6340" spans="2:4">
      <c r="D6340" t="s">
        <v>7404</v>
      </c>
    </row>
    <row r="6341" spans="2:4">
      <c r="D6341" t="s">
        <v>7405</v>
      </c>
    </row>
    <row r="6342" spans="2:4">
      <c r="B6342" t="s">
        <v>52</v>
      </c>
    </row>
    <row r="6343" spans="2:4">
      <c r="C6343" t="s">
        <v>7406</v>
      </c>
    </row>
    <row r="6344" spans="2:4">
      <c r="C6344" t="s">
        <v>7407</v>
      </c>
    </row>
    <row r="6345" spans="2:4">
      <c r="D6345" t="s">
        <v>7408</v>
      </c>
    </row>
    <row r="6346" spans="2:4">
      <c r="D6346" t="s">
        <v>7409</v>
      </c>
    </row>
    <row r="6347" spans="2:4">
      <c r="C6347" t="s">
        <v>7410</v>
      </c>
    </row>
    <row r="6348" spans="2:4">
      <c r="D6348" t="s">
        <v>7411</v>
      </c>
    </row>
    <row r="6349" spans="2:4">
      <c r="D6349" t="s">
        <v>7412</v>
      </c>
    </row>
    <row r="6350" spans="2:4">
      <c r="D6350" t="s">
        <v>7413</v>
      </c>
    </row>
    <row r="6351" spans="2:4">
      <c r="C6351" t="s">
        <v>466</v>
      </c>
    </row>
    <row r="6352" spans="2:4">
      <c r="D6352" t="s">
        <v>7414</v>
      </c>
    </row>
    <row r="6353" spans="2:4">
      <c r="B6353" t="s">
        <v>2227</v>
      </c>
    </row>
    <row r="6354" spans="2:4">
      <c r="C6354" t="s">
        <v>7415</v>
      </c>
    </row>
    <row r="6355" spans="2:4">
      <c r="C6355" t="s">
        <v>7416</v>
      </c>
    </row>
    <row r="6356" spans="2:4">
      <c r="D6356" t="s">
        <v>7417</v>
      </c>
    </row>
    <row r="6357" spans="2:4">
      <c r="C6357" t="s">
        <v>7418</v>
      </c>
    </row>
    <row r="6358" spans="2:4">
      <c r="C6358" t="s">
        <v>7419</v>
      </c>
    </row>
    <row r="6359" spans="2:4">
      <c r="D6359" t="s">
        <v>7420</v>
      </c>
    </row>
    <row r="6360" spans="2:4">
      <c r="C6360" t="s">
        <v>7421</v>
      </c>
    </row>
    <row r="6361" spans="2:4">
      <c r="D6361" t="s">
        <v>7422</v>
      </c>
    </row>
    <row r="6362" spans="2:4">
      <c r="D6362" t="s">
        <v>7423</v>
      </c>
    </row>
    <row r="6367" spans="2:4" ht="15.75">
      <c r="B6367" s="1528" t="s">
        <v>7424</v>
      </c>
    </row>
    <row r="6368" spans="2:4" ht="15.75">
      <c r="B6368" s="1529"/>
    </row>
    <row r="6369" spans="2:2" ht="15.75">
      <c r="B6369" s="1530" t="s">
        <v>7425</v>
      </c>
    </row>
    <row r="6370" spans="2:2" ht="15.75">
      <c r="B6370" s="1529" t="s">
        <v>7426</v>
      </c>
    </row>
    <row r="6371" spans="2:2" ht="15.75">
      <c r="B6371" s="1529"/>
    </row>
    <row r="6372" spans="2:2" ht="15.75">
      <c r="B6372" s="1529" t="s">
        <v>7427</v>
      </c>
    </row>
    <row r="6373" spans="2:2" ht="15.75">
      <c r="B6373" s="1529" t="s">
        <v>7428</v>
      </c>
    </row>
    <row r="6374" spans="2:2" ht="15.75">
      <c r="B6374" s="1529"/>
    </row>
    <row r="6375" spans="2:2" ht="15.75">
      <c r="B6375" s="1530" t="s">
        <v>7429</v>
      </c>
    </row>
    <row r="6376" spans="2:2" ht="15.75">
      <c r="B6376" s="1529"/>
    </row>
    <row r="6377" spans="2:2" ht="15.75">
      <c r="B6377" s="1529" t="s">
        <v>7430</v>
      </c>
    </row>
    <row r="6378" spans="2:2" ht="15.75">
      <c r="B6378" s="1529"/>
    </row>
    <row r="6379" spans="2:2" ht="15.75">
      <c r="B6379" s="1529" t="s">
        <v>7431</v>
      </c>
    </row>
    <row r="6380" spans="2:2" ht="15.75">
      <c r="B6380" s="1529" t="s">
        <v>7432</v>
      </c>
    </row>
    <row r="6381" spans="2:2" ht="15.75">
      <c r="B6381" s="1529" t="s">
        <v>7433</v>
      </c>
    </row>
    <row r="6382" spans="2:2" ht="15.75">
      <c r="B6382" s="1529" t="s">
        <v>7434</v>
      </c>
    </row>
    <row r="6383" spans="2:2" ht="15.75">
      <c r="B6383" s="1529" t="s">
        <v>7435</v>
      </c>
    </row>
    <row r="6384" spans="2:2" ht="15.75">
      <c r="B6384" s="1529" t="s">
        <v>7436</v>
      </c>
    </row>
    <row r="6385" spans="2:2" ht="15.75">
      <c r="B6385" s="1529"/>
    </row>
    <row r="6386" spans="2:2" ht="15.75">
      <c r="B6386" s="1530" t="s">
        <v>7437</v>
      </c>
    </row>
    <row r="6387" spans="2:2" ht="15.75">
      <c r="B6387" s="1530" t="s">
        <v>7438</v>
      </c>
    </row>
    <row r="6388" spans="2:2" ht="15.75">
      <c r="B6388" s="1530" t="s">
        <v>7439</v>
      </c>
    </row>
    <row r="6389" spans="2:2" ht="15.75">
      <c r="B6389" s="1529"/>
    </row>
    <row r="6390" spans="2:2" ht="15.75">
      <c r="B6390" s="1530" t="s">
        <v>7440</v>
      </c>
    </row>
    <row r="6391" spans="2:2" ht="15.75">
      <c r="B6391" s="1530" t="s">
        <v>7441</v>
      </c>
    </row>
    <row r="6392" spans="2:2" ht="15.75">
      <c r="B6392" s="1530" t="s">
        <v>7442</v>
      </c>
    </row>
    <row r="6393" spans="2:2" ht="15.75">
      <c r="B6393" s="1530" t="s">
        <v>7443</v>
      </c>
    </row>
    <row r="6394" spans="2:2" ht="15.75">
      <c r="B6394" s="1530" t="s">
        <v>7444</v>
      </c>
    </row>
    <row r="6395" spans="2:2" ht="15.75">
      <c r="B6395" s="1529"/>
    </row>
    <row r="6396" spans="2:2" ht="15.75">
      <c r="B6396" s="1530" t="s">
        <v>7445</v>
      </c>
    </row>
    <row r="6397" spans="2:2" ht="15.75">
      <c r="B6397" s="1530" t="s">
        <v>7446</v>
      </c>
    </row>
    <row r="6398" spans="2:2" ht="15.75">
      <c r="B6398" s="1530" t="s">
        <v>7447</v>
      </c>
    </row>
    <row r="6399" spans="2:2" ht="15.75">
      <c r="B6399" s="1530" t="s">
        <v>7448</v>
      </c>
    </row>
    <row r="6400" spans="2:2" ht="15.75">
      <c r="B6400" s="1529"/>
    </row>
    <row r="6401" spans="2:2" ht="15.75">
      <c r="B6401" s="1529"/>
    </row>
    <row r="6403" spans="2:2" ht="15.75">
      <c r="B6403" s="1551" t="s">
        <v>7449</v>
      </c>
    </row>
    <row r="6404" spans="2:2" ht="15.75">
      <c r="B6404" s="1529"/>
    </row>
    <row r="6405" spans="2:2" ht="15.75">
      <c r="B6405" s="1551" t="s">
        <v>7450</v>
      </c>
    </row>
    <row r="6406" spans="2:2" ht="15.75">
      <c r="B6406" s="1552" t="s">
        <v>7451</v>
      </c>
    </row>
    <row r="6407" spans="2:2" ht="15.75">
      <c r="B6407" s="1552" t="s">
        <v>7452</v>
      </c>
    </row>
    <row r="6408" spans="2:2" ht="15.75">
      <c r="B6408" s="1552" t="s">
        <v>7453</v>
      </c>
    </row>
    <row r="6409" spans="2:2" ht="15.75">
      <c r="B6409" s="1552" t="s">
        <v>7454</v>
      </c>
    </row>
    <row r="6410" spans="2:2" ht="15.75">
      <c r="B6410" s="1552" t="s">
        <v>7455</v>
      </c>
    </row>
    <row r="6411" spans="2:2" ht="15.75">
      <c r="B6411" s="1552" t="s">
        <v>7456</v>
      </c>
    </row>
    <row r="6412" spans="2:2" ht="15.75">
      <c r="B6412" s="1552" t="s">
        <v>7457</v>
      </c>
    </row>
    <row r="6413" spans="2:2" ht="15.75">
      <c r="B6413" s="1552" t="s">
        <v>7458</v>
      </c>
    </row>
    <row r="6414" spans="2:2" ht="15.75">
      <c r="B6414" s="1552" t="s">
        <v>7459</v>
      </c>
    </row>
    <row r="6415" spans="2:2" ht="15.75">
      <c r="B6415" s="1552" t="s">
        <v>7460</v>
      </c>
    </row>
    <row r="6416" spans="2:2" ht="15.75">
      <c r="B6416" s="1552" t="s">
        <v>7461</v>
      </c>
    </row>
    <row r="6417" spans="2:2" ht="15.75">
      <c r="B6417" s="1552" t="s">
        <v>7462</v>
      </c>
    </row>
    <row r="6418" spans="2:2" ht="15.75">
      <c r="B6418" s="1529"/>
    </row>
    <row r="6419" spans="2:2" ht="15.75">
      <c r="B6419" s="1551" t="s">
        <v>2680</v>
      </c>
    </row>
    <row r="6420" spans="2:2" ht="15.75">
      <c r="B6420" s="1529"/>
    </row>
    <row r="6421" spans="2:2" ht="15.75">
      <c r="B6421" s="1552" t="s">
        <v>7463</v>
      </c>
    </row>
    <row r="6422" spans="2:2" ht="15.75">
      <c r="B6422" s="1552" t="s">
        <v>7464</v>
      </c>
    </row>
    <row r="6423" spans="2:2" ht="15.75">
      <c r="B6423" s="1552" t="s">
        <v>7465</v>
      </c>
    </row>
    <row r="6424" spans="2:2" ht="15.75">
      <c r="B6424" s="1552" t="s">
        <v>7466</v>
      </c>
    </row>
    <row r="6425" spans="2:2" ht="15.75">
      <c r="B6425" s="1552" t="s">
        <v>7467</v>
      </c>
    </row>
    <row r="6426" spans="2:2" ht="15.75">
      <c r="B6426" s="1552" t="s">
        <v>7468</v>
      </c>
    </row>
    <row r="6427" spans="2:2" ht="15.75">
      <c r="B6427" s="1552" t="s">
        <v>7469</v>
      </c>
    </row>
    <row r="6428" spans="2:2" ht="15.75">
      <c r="B6428" s="1552" t="s">
        <v>7470</v>
      </c>
    </row>
    <row r="6429" spans="2:2" ht="15.75">
      <c r="B6429" s="1553"/>
    </row>
    <row r="6430" spans="2:2" ht="15.75">
      <c r="B6430" s="1552" t="s">
        <v>7471</v>
      </c>
    </row>
    <row r="6431" spans="2:2" ht="15.75">
      <c r="B6431" s="1552" t="s">
        <v>7472</v>
      </c>
    </row>
    <row r="6432" spans="2:2" ht="15.75">
      <c r="B6432" s="1552" t="s">
        <v>7473</v>
      </c>
    </row>
    <row r="6433" spans="2:2" ht="15.75">
      <c r="B6433" s="1529"/>
    </row>
    <row r="6434" spans="2:2" ht="15.75">
      <c r="B6434" s="1529"/>
    </row>
  </sheetData>
  <hyperlinks>
    <hyperlink ref="B32" r:id="rId1" tooltip="Emilio Azcárraga Jean" display="http://en.wikipedia.org/wiki/Emilio_Azc%C3%A1rraga_Jean" xr:uid="{00000000-0004-0000-0300-000000000000}"/>
    <hyperlink ref="B49" r:id="rId2" xr:uid="{00000000-0004-0000-0300-000001000000}"/>
    <hyperlink ref="B54" r:id="rId3" xr:uid="{00000000-0004-0000-0300-000002000000}"/>
  </hyperlinks>
  <pageMargins left="0.70866141732283472" right="0.70866141732283472" top="0.74803149606299213" bottom="0.74803149606299213" header="0.31496062992125984" footer="0.31496062992125984"/>
  <pageSetup paperSize="9" scale="10" orientation="portrait" r:id="rId4"/>
  <drawing r:id="rId5"/>
  <legacy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P272"/>
  <sheetViews>
    <sheetView topLeftCell="A245" zoomScale="85" zoomScaleNormal="85" workbookViewId="0">
      <selection activeCell="L283" sqref="L283"/>
    </sheetView>
  </sheetViews>
  <sheetFormatPr defaultRowHeight="15"/>
  <cols>
    <col min="2" max="2" width="16.5703125" customWidth="1"/>
  </cols>
  <sheetData>
    <row r="2" spans="2:3">
      <c r="B2" s="121" t="s">
        <v>7474</v>
      </c>
    </row>
    <row r="4" spans="2:3">
      <c r="B4" t="s">
        <v>7475</v>
      </c>
      <c r="C4" t="s">
        <v>7476</v>
      </c>
    </row>
    <row r="5" spans="2:3">
      <c r="C5" t="s">
        <v>7477</v>
      </c>
    </row>
    <row r="6" spans="2:3">
      <c r="C6" s="42" t="s">
        <v>7478</v>
      </c>
    </row>
    <row r="7" spans="2:3">
      <c r="C7" s="42" t="s">
        <v>7479</v>
      </c>
    </row>
    <row r="8" spans="2:3">
      <c r="C8" s="42" t="s">
        <v>7480</v>
      </c>
    </row>
    <row r="9" spans="2:3">
      <c r="B9" t="s">
        <v>52</v>
      </c>
      <c r="C9" t="s">
        <v>7481</v>
      </c>
    </row>
    <row r="10" spans="2:3">
      <c r="C10" t="s">
        <v>7482</v>
      </c>
    </row>
    <row r="11" spans="2:3">
      <c r="C11" t="s">
        <v>7483</v>
      </c>
    </row>
    <row r="12" spans="2:3">
      <c r="C12" t="s">
        <v>7484</v>
      </c>
    </row>
    <row r="13" spans="2:3">
      <c r="C13" s="42" t="s">
        <v>7485</v>
      </c>
    </row>
    <row r="14" spans="2:3">
      <c r="C14" s="42" t="s">
        <v>7486</v>
      </c>
    </row>
    <row r="15" spans="2:3">
      <c r="C15" s="42" t="s">
        <v>7487</v>
      </c>
    </row>
    <row r="16" spans="2:3">
      <c r="C16" s="42" t="s">
        <v>7488</v>
      </c>
    </row>
    <row r="17" spans="2:3">
      <c r="C17" s="42" t="s">
        <v>7489</v>
      </c>
    </row>
    <row r="18" spans="2:3">
      <c r="C18" s="42" t="s">
        <v>7490</v>
      </c>
    </row>
    <row r="19" spans="2:3">
      <c r="C19" s="42" t="s">
        <v>7491</v>
      </c>
    </row>
    <row r="20" spans="2:3">
      <c r="C20" s="42" t="s">
        <v>7492</v>
      </c>
    </row>
    <row r="21" spans="2:3">
      <c r="B21" t="s">
        <v>94</v>
      </c>
      <c r="C21" t="s">
        <v>7493</v>
      </c>
    </row>
    <row r="22" spans="2:3">
      <c r="C22" t="s">
        <v>7494</v>
      </c>
    </row>
    <row r="23" spans="2:3">
      <c r="C23" s="42" t="s">
        <v>7495</v>
      </c>
    </row>
    <row r="24" spans="2:3">
      <c r="C24" s="42" t="s">
        <v>7496</v>
      </c>
    </row>
    <row r="25" spans="2:3">
      <c r="C25" s="42" t="s">
        <v>7497</v>
      </c>
    </row>
    <row r="26" spans="2:3">
      <c r="C26" s="42" t="s">
        <v>7498</v>
      </c>
    </row>
    <row r="27" spans="2:3">
      <c r="C27" s="42" t="s">
        <v>7499</v>
      </c>
    </row>
    <row r="28" spans="2:3">
      <c r="C28" t="s">
        <v>7500</v>
      </c>
    </row>
    <row r="29" spans="2:3">
      <c r="C29" t="s">
        <v>7501</v>
      </c>
    </row>
    <row r="30" spans="2:3">
      <c r="B30" t="s">
        <v>97</v>
      </c>
      <c r="C30" t="s">
        <v>7502</v>
      </c>
    </row>
    <row r="31" spans="2:3">
      <c r="B31" t="s">
        <v>106</v>
      </c>
      <c r="C31" t="s">
        <v>7503</v>
      </c>
    </row>
    <row r="32" spans="2:3">
      <c r="C32" t="s">
        <v>7504</v>
      </c>
    </row>
    <row r="33" spans="2:3">
      <c r="C33" t="s">
        <v>7505</v>
      </c>
    </row>
    <row r="34" spans="2:3">
      <c r="B34" t="s">
        <v>7506</v>
      </c>
    </row>
    <row r="35" spans="2:3">
      <c r="B35" t="s">
        <v>7507</v>
      </c>
    </row>
    <row r="36" spans="2:3">
      <c r="C36" s="42" t="s">
        <v>7508</v>
      </c>
    </row>
    <row r="37" spans="2:3">
      <c r="C37" s="42" t="s">
        <v>7509</v>
      </c>
    </row>
    <row r="39" spans="2:3">
      <c r="B39" s="121" t="s">
        <v>7510</v>
      </c>
    </row>
    <row r="40" spans="2:3">
      <c r="B40" t="s">
        <v>7511</v>
      </c>
    </row>
    <row r="43" spans="2:3">
      <c r="B43" s="121" t="s">
        <v>7512</v>
      </c>
    </row>
    <row r="44" spans="2:3">
      <c r="B44" t="s">
        <v>7513</v>
      </c>
    </row>
    <row r="45" spans="2:3">
      <c r="B45" t="s">
        <v>7514</v>
      </c>
    </row>
    <row r="46" spans="2:3">
      <c r="B46" t="s">
        <v>7515</v>
      </c>
      <c r="C46" s="157">
        <v>41207</v>
      </c>
    </row>
    <row r="47" spans="2:3">
      <c r="B47" t="s">
        <v>7516</v>
      </c>
    </row>
    <row r="48" spans="2:3">
      <c r="B48" t="s">
        <v>7517</v>
      </c>
    </row>
    <row r="49" spans="2:3">
      <c r="B49" t="s">
        <v>7518</v>
      </c>
    </row>
    <row r="50" spans="2:3">
      <c r="B50" t="s">
        <v>7519</v>
      </c>
    </row>
    <row r="51" spans="2:3">
      <c r="B51" t="s">
        <v>7520</v>
      </c>
    </row>
    <row r="53" spans="2:3">
      <c r="B53" s="121"/>
    </row>
    <row r="54" spans="2:3">
      <c r="B54" t="s">
        <v>7521</v>
      </c>
    </row>
    <row r="55" spans="2:3">
      <c r="B55" t="s">
        <v>7522</v>
      </c>
    </row>
    <row r="56" spans="2:3">
      <c r="B56" t="s">
        <v>7523</v>
      </c>
    </row>
    <row r="57" spans="2:3">
      <c r="B57" t="s">
        <v>7524</v>
      </c>
    </row>
    <row r="58" spans="2:3">
      <c r="C58" t="s">
        <v>7525</v>
      </c>
    </row>
    <row r="59" spans="2:3">
      <c r="C59" t="s">
        <v>7526</v>
      </c>
    </row>
    <row r="60" spans="2:3">
      <c r="C60" t="s">
        <v>7527</v>
      </c>
    </row>
    <row r="61" spans="2:3">
      <c r="B61" t="s">
        <v>7528</v>
      </c>
    </row>
    <row r="62" spans="2:3">
      <c r="C62" t="s">
        <v>7529</v>
      </c>
    </row>
    <row r="65" spans="2:15">
      <c r="B65" s="121" t="s">
        <v>7530</v>
      </c>
      <c r="O65" s="121" t="s">
        <v>7531</v>
      </c>
    </row>
    <row r="66" spans="2:15">
      <c r="B66" s="121"/>
      <c r="O66" t="s">
        <v>7532</v>
      </c>
    </row>
    <row r="67" spans="2:15">
      <c r="B67" t="s">
        <v>100</v>
      </c>
      <c r="O67" t="s">
        <v>7533</v>
      </c>
    </row>
    <row r="68" spans="2:15">
      <c r="C68" t="s">
        <v>7534</v>
      </c>
      <c r="H68" s="42" t="s">
        <v>7509</v>
      </c>
    </row>
    <row r="69" spans="2:15">
      <c r="C69" t="s">
        <v>7535</v>
      </c>
      <c r="K69" t="s">
        <v>7536</v>
      </c>
    </row>
    <row r="70" spans="2:15">
      <c r="C70" t="s">
        <v>7537</v>
      </c>
    </row>
    <row r="71" spans="2:15">
      <c r="C71" t="s">
        <v>7538</v>
      </c>
    </row>
    <row r="72" spans="2:15">
      <c r="D72" s="42" t="s">
        <v>7539</v>
      </c>
    </row>
    <row r="73" spans="2:15">
      <c r="D73" s="42" t="s">
        <v>7540</v>
      </c>
    </row>
    <row r="74" spans="2:15">
      <c r="D74" s="42" t="s">
        <v>7541</v>
      </c>
    </row>
    <row r="75" spans="2:15">
      <c r="D75" s="42" t="s">
        <v>7542</v>
      </c>
    </row>
    <row r="76" spans="2:15">
      <c r="D76" s="42" t="s">
        <v>7543</v>
      </c>
    </row>
    <row r="77" spans="2:15">
      <c r="D77" s="42" t="s">
        <v>7544</v>
      </c>
    </row>
    <row r="78" spans="2:15">
      <c r="D78" s="42" t="s">
        <v>7545</v>
      </c>
    </row>
    <row r="79" spans="2:15">
      <c r="D79" s="42" t="s">
        <v>7546</v>
      </c>
    </row>
    <row r="80" spans="2:15">
      <c r="D80" s="42" t="s">
        <v>7547</v>
      </c>
    </row>
    <row r="81" spans="2:5">
      <c r="B81" t="s">
        <v>4261</v>
      </c>
    </row>
    <row r="82" spans="2:5">
      <c r="C82" s="42" t="s">
        <v>7548</v>
      </c>
    </row>
    <row r="83" spans="2:5">
      <c r="C83" t="s">
        <v>7549</v>
      </c>
    </row>
    <row r="84" spans="2:5">
      <c r="D84" s="42" t="s">
        <v>7550</v>
      </c>
    </row>
    <row r="85" spans="2:5">
      <c r="D85" s="42" t="s">
        <v>7551</v>
      </c>
    </row>
    <row r="86" spans="2:5">
      <c r="C86" s="42" t="s">
        <v>7552</v>
      </c>
    </row>
    <row r="87" spans="2:5">
      <c r="C87" s="42"/>
      <c r="D87" s="42" t="s">
        <v>7553</v>
      </c>
    </row>
    <row r="88" spans="2:5">
      <c r="C88" s="42"/>
      <c r="D88" s="42" t="s">
        <v>7554</v>
      </c>
    </row>
    <row r="89" spans="2:5">
      <c r="C89" s="42"/>
      <c r="D89" s="42" t="s">
        <v>7555</v>
      </c>
    </row>
    <row r="90" spans="2:5">
      <c r="C90" s="42"/>
      <c r="D90" s="42" t="s">
        <v>7556</v>
      </c>
    </row>
    <row r="91" spans="2:5">
      <c r="C91" s="42"/>
      <c r="D91" s="42" t="s">
        <v>7557</v>
      </c>
    </row>
    <row r="92" spans="2:5">
      <c r="C92" s="42"/>
      <c r="D92" s="42" t="s">
        <v>7558</v>
      </c>
    </row>
    <row r="93" spans="2:5">
      <c r="C93" s="42"/>
      <c r="D93" s="42" t="s">
        <v>7559</v>
      </c>
    </row>
    <row r="94" spans="2:5">
      <c r="C94" s="42"/>
      <c r="D94" s="42"/>
      <c r="E94" s="42" t="s">
        <v>7560</v>
      </c>
    </row>
    <row r="95" spans="2:5">
      <c r="C95" s="42"/>
      <c r="D95" s="42"/>
      <c r="E95" s="42" t="s">
        <v>7561</v>
      </c>
    </row>
    <row r="96" spans="2:5">
      <c r="C96" s="42" t="s">
        <v>7562</v>
      </c>
    </row>
    <row r="97" spans="3:5">
      <c r="C97" s="42"/>
      <c r="D97" s="42" t="s">
        <v>7563</v>
      </c>
    </row>
    <row r="98" spans="3:5">
      <c r="C98" s="42"/>
      <c r="D98" s="42" t="s">
        <v>7564</v>
      </c>
    </row>
    <row r="99" spans="3:5">
      <c r="C99" s="42"/>
      <c r="D99" s="42" t="s">
        <v>7565</v>
      </c>
    </row>
    <row r="100" spans="3:5">
      <c r="C100" s="42"/>
      <c r="D100" s="42" t="s">
        <v>7566</v>
      </c>
    </row>
    <row r="101" spans="3:5">
      <c r="C101" s="42"/>
      <c r="D101" s="42" t="s">
        <v>7567</v>
      </c>
    </row>
    <row r="102" spans="3:5">
      <c r="C102" s="42" t="s">
        <v>7568</v>
      </c>
    </row>
    <row r="103" spans="3:5">
      <c r="C103" s="42"/>
      <c r="D103" s="42" t="s">
        <v>7569</v>
      </c>
    </row>
    <row r="104" spans="3:5">
      <c r="C104" s="42"/>
      <c r="D104" s="42" t="s">
        <v>7570</v>
      </c>
    </row>
    <row r="105" spans="3:5">
      <c r="C105" s="42"/>
      <c r="D105" s="42" t="s">
        <v>7571</v>
      </c>
    </row>
    <row r="106" spans="3:5">
      <c r="C106" s="42"/>
      <c r="D106" s="42"/>
      <c r="E106" s="42" t="s">
        <v>7572</v>
      </c>
    </row>
    <row r="107" spans="3:5">
      <c r="C107" s="42"/>
      <c r="D107" s="42"/>
      <c r="E107" s="42" t="s">
        <v>7573</v>
      </c>
    </row>
    <row r="108" spans="3:5">
      <c r="C108" s="42"/>
      <c r="D108" s="42"/>
      <c r="E108" s="42" t="s">
        <v>7574</v>
      </c>
    </row>
    <row r="109" spans="3:5">
      <c r="C109" s="42"/>
      <c r="D109" s="42"/>
      <c r="E109" s="42" t="s">
        <v>7575</v>
      </c>
    </row>
    <row r="110" spans="3:5">
      <c r="C110" s="42"/>
      <c r="D110" s="42" t="s">
        <v>7576</v>
      </c>
      <c r="E110" s="42"/>
    </row>
    <row r="111" spans="3:5">
      <c r="C111" s="42" t="s">
        <v>1845</v>
      </c>
      <c r="D111" s="42"/>
      <c r="E111" s="42"/>
    </row>
    <row r="112" spans="3:5">
      <c r="C112" s="42"/>
      <c r="D112" s="42" t="s">
        <v>7577</v>
      </c>
      <c r="E112" s="42"/>
    </row>
    <row r="113" spans="2:9">
      <c r="C113" s="42"/>
      <c r="D113" s="42" t="s">
        <v>7578</v>
      </c>
      <c r="E113" s="42"/>
    </row>
    <row r="114" spans="2:9">
      <c r="C114" t="s">
        <v>7579</v>
      </c>
    </row>
    <row r="115" spans="2:9">
      <c r="C115" t="s">
        <v>7580</v>
      </c>
      <c r="I115" t="s">
        <v>7581</v>
      </c>
    </row>
    <row r="116" spans="2:9">
      <c r="C116" t="s">
        <v>7582</v>
      </c>
    </row>
    <row r="117" spans="2:9">
      <c r="B117" t="s">
        <v>2852</v>
      </c>
    </row>
    <row r="118" spans="2:9">
      <c r="C118" t="s">
        <v>7583</v>
      </c>
    </row>
    <row r="119" spans="2:9">
      <c r="D119" s="42" t="s">
        <v>7584</v>
      </c>
    </row>
    <row r="120" spans="2:9">
      <c r="D120" s="42" t="s">
        <v>7585</v>
      </c>
    </row>
    <row r="121" spans="2:9">
      <c r="B121" t="s">
        <v>97</v>
      </c>
    </row>
    <row r="122" spans="2:9">
      <c r="C122" t="s">
        <v>7586</v>
      </c>
    </row>
    <row r="123" spans="2:9">
      <c r="D123" s="42" t="s">
        <v>7587</v>
      </c>
    </row>
    <row r="124" spans="2:9">
      <c r="D124" s="42" t="s">
        <v>7588</v>
      </c>
    </row>
    <row r="125" spans="2:9">
      <c r="D125" s="42" t="s">
        <v>7589</v>
      </c>
    </row>
    <row r="126" spans="2:9">
      <c r="D126" s="42" t="s">
        <v>7590</v>
      </c>
    </row>
    <row r="127" spans="2:9">
      <c r="D127" s="42" t="s">
        <v>7591</v>
      </c>
    </row>
    <row r="128" spans="2:9">
      <c r="D128" s="42" t="s">
        <v>7592</v>
      </c>
    </row>
    <row r="129" spans="2:4">
      <c r="C129" t="s">
        <v>7593</v>
      </c>
    </row>
    <row r="130" spans="2:4">
      <c r="B130" t="s">
        <v>107</v>
      </c>
    </row>
    <row r="132" spans="2:4">
      <c r="C132" t="s">
        <v>7594</v>
      </c>
    </row>
    <row r="133" spans="2:4">
      <c r="C133" t="s">
        <v>7595</v>
      </c>
    </row>
    <row r="134" spans="2:4">
      <c r="B134" t="s">
        <v>2298</v>
      </c>
    </row>
    <row r="135" spans="2:4">
      <c r="C135" t="s">
        <v>7596</v>
      </c>
    </row>
    <row r="136" spans="2:4">
      <c r="B136" t="s">
        <v>52</v>
      </c>
    </row>
    <row r="137" spans="2:4">
      <c r="C137" t="s">
        <v>7597</v>
      </c>
    </row>
    <row r="138" spans="2:4">
      <c r="D138" s="42" t="s">
        <v>7598</v>
      </c>
    </row>
    <row r="139" spans="2:4">
      <c r="D139" s="42" t="s">
        <v>7599</v>
      </c>
    </row>
    <row r="140" spans="2:4">
      <c r="D140" s="42" t="s">
        <v>7600</v>
      </c>
    </row>
    <row r="141" spans="2:4">
      <c r="D141" s="42" t="s">
        <v>7601</v>
      </c>
    </row>
    <row r="142" spans="2:4">
      <c r="C142" t="s">
        <v>7602</v>
      </c>
    </row>
    <row r="143" spans="2:4">
      <c r="D143" s="42" t="s">
        <v>7603</v>
      </c>
    </row>
    <row r="144" spans="2:4">
      <c r="D144" s="42" t="s">
        <v>7604</v>
      </c>
    </row>
    <row r="145" spans="2:5">
      <c r="D145" s="42" t="s">
        <v>7605</v>
      </c>
    </row>
    <row r="146" spans="2:5">
      <c r="D146" s="42" t="s">
        <v>7606</v>
      </c>
    </row>
    <row r="147" spans="2:5">
      <c r="C147" t="s">
        <v>7607</v>
      </c>
    </row>
    <row r="148" spans="2:5">
      <c r="C148" t="s">
        <v>7608</v>
      </c>
    </row>
    <row r="149" spans="2:5">
      <c r="B149" t="s">
        <v>106</v>
      </c>
    </row>
    <row r="150" spans="2:5">
      <c r="C150" t="s">
        <v>7609</v>
      </c>
    </row>
    <row r="151" spans="2:5">
      <c r="C151" t="s">
        <v>7610</v>
      </c>
    </row>
    <row r="152" spans="2:5">
      <c r="D152" s="42" t="s">
        <v>7611</v>
      </c>
    </row>
    <row r="153" spans="2:5">
      <c r="D153" s="42" t="s">
        <v>7612</v>
      </c>
    </row>
    <row r="154" spans="2:5">
      <c r="D154" s="42" t="s">
        <v>7613</v>
      </c>
    </row>
    <row r="155" spans="2:5">
      <c r="D155" s="42" t="s">
        <v>7614</v>
      </c>
    </row>
    <row r="156" spans="2:5">
      <c r="D156" s="42" t="s">
        <v>7615</v>
      </c>
    </row>
    <row r="157" spans="2:5">
      <c r="D157" s="42" t="s">
        <v>7616</v>
      </c>
    </row>
    <row r="158" spans="2:5">
      <c r="D158" s="42" t="s">
        <v>7617</v>
      </c>
    </row>
    <row r="159" spans="2:5">
      <c r="D159" s="42" t="s">
        <v>7618</v>
      </c>
    </row>
    <row r="160" spans="2:5">
      <c r="D160" s="42"/>
      <c r="E160" s="42" t="s">
        <v>7619</v>
      </c>
    </row>
    <row r="161" spans="2:5">
      <c r="D161" s="42"/>
      <c r="E161" s="42" t="s">
        <v>7620</v>
      </c>
    </row>
    <row r="162" spans="2:5">
      <c r="B162" t="s">
        <v>7621</v>
      </c>
    </row>
    <row r="163" spans="2:5">
      <c r="C163" t="s">
        <v>7622</v>
      </c>
    </row>
    <row r="164" spans="2:5">
      <c r="C164" t="s">
        <v>7623</v>
      </c>
    </row>
    <row r="165" spans="2:5">
      <c r="B165" t="s">
        <v>7624</v>
      </c>
    </row>
    <row r="166" spans="2:5">
      <c r="C166" t="s">
        <v>7625</v>
      </c>
    </row>
    <row r="167" spans="2:5">
      <c r="D167" s="42" t="s">
        <v>7626</v>
      </c>
    </row>
    <row r="168" spans="2:5">
      <c r="D168" s="42" t="s">
        <v>7627</v>
      </c>
    </row>
    <row r="169" spans="2:5">
      <c r="D169" s="42" t="s">
        <v>7628</v>
      </c>
    </row>
    <row r="170" spans="2:5">
      <c r="D170" s="42" t="s">
        <v>7629</v>
      </c>
    </row>
    <row r="171" spans="2:5">
      <c r="B171" t="s">
        <v>57</v>
      </c>
      <c r="D171" s="42" t="s">
        <v>7630</v>
      </c>
    </row>
    <row r="172" spans="2:5">
      <c r="D172" s="42" t="s">
        <v>7631</v>
      </c>
    </row>
    <row r="173" spans="2:5">
      <c r="B173" t="s">
        <v>107</v>
      </c>
    </row>
    <row r="174" spans="2:5">
      <c r="C174" t="s">
        <v>7632</v>
      </c>
    </row>
    <row r="176" spans="2:5">
      <c r="B176" s="121" t="s">
        <v>7633</v>
      </c>
    </row>
    <row r="177" spans="2:16" ht="15.75">
      <c r="B177" s="66" t="s">
        <v>106</v>
      </c>
      <c r="C177" s="66"/>
      <c r="D177" s="66"/>
      <c r="E177" s="66"/>
      <c r="F177" s="66"/>
      <c r="G177" s="66"/>
      <c r="H177" s="66"/>
      <c r="I177" s="66"/>
      <c r="J177" s="66"/>
      <c r="K177" s="66"/>
      <c r="L177" s="66"/>
      <c r="M177" s="66"/>
      <c r="N177" s="66"/>
      <c r="O177" s="66"/>
      <c r="P177" s="66"/>
    </row>
    <row r="178" spans="2:16" ht="15.75">
      <c r="B178" s="66"/>
      <c r="C178" s="66" t="s">
        <v>7634</v>
      </c>
      <c r="D178" s="66"/>
      <c r="E178" s="66"/>
      <c r="F178" s="66"/>
      <c r="G178" s="66"/>
      <c r="H178" s="66"/>
      <c r="I178" s="66"/>
      <c r="J178" s="66"/>
      <c r="K178" s="66"/>
      <c r="L178" s="66"/>
      <c r="M178" s="66"/>
      <c r="N178" s="66"/>
      <c r="O178" s="66"/>
      <c r="P178" s="66"/>
    </row>
    <row r="179" spans="2:16" ht="15.75">
      <c r="B179" s="66"/>
      <c r="C179" s="66" t="s">
        <v>7635</v>
      </c>
      <c r="D179" s="66"/>
      <c r="E179" s="66"/>
      <c r="F179" s="66"/>
      <c r="G179" s="66"/>
      <c r="H179" s="66"/>
      <c r="I179" s="66"/>
      <c r="J179" s="66"/>
      <c r="K179" s="66"/>
      <c r="L179" s="66"/>
      <c r="M179" s="66"/>
      <c r="N179" s="66"/>
      <c r="O179" s="66"/>
      <c r="P179" s="66"/>
    </row>
    <row r="180" spans="2:16" ht="15.75">
      <c r="B180" s="66"/>
      <c r="C180" s="66" t="s">
        <v>7636</v>
      </c>
      <c r="D180" s="66"/>
      <c r="E180" s="66"/>
      <c r="F180" s="66"/>
      <c r="G180" s="66"/>
      <c r="H180" s="66"/>
      <c r="I180" s="66"/>
      <c r="J180" s="66"/>
      <c r="K180" s="66"/>
      <c r="L180" s="66"/>
      <c r="M180" s="66"/>
      <c r="N180" s="66"/>
      <c r="O180" s="66"/>
      <c r="P180" s="66"/>
    </row>
    <row r="181" spans="2:16" ht="15.75">
      <c r="B181" s="66"/>
      <c r="C181" s="66" t="s">
        <v>7637</v>
      </c>
      <c r="D181" s="66"/>
      <c r="E181" s="66"/>
      <c r="F181" s="66"/>
      <c r="G181" s="66"/>
      <c r="H181" s="66"/>
      <c r="I181" s="66"/>
      <c r="J181" s="66"/>
      <c r="K181" s="66"/>
      <c r="L181" s="66"/>
      <c r="M181" s="66"/>
      <c r="N181" s="66"/>
      <c r="O181" s="66"/>
      <c r="P181" s="66"/>
    </row>
    <row r="182" spans="2:16" ht="15.75">
      <c r="B182" s="66"/>
      <c r="C182" s="66" t="s">
        <v>7638</v>
      </c>
      <c r="D182" s="66"/>
      <c r="E182" s="66"/>
      <c r="F182" s="66"/>
      <c r="G182" s="66"/>
      <c r="H182" s="66"/>
      <c r="I182" s="66"/>
      <c r="J182" s="66"/>
      <c r="K182" s="66"/>
      <c r="L182" s="66"/>
      <c r="M182" s="66"/>
      <c r="N182" s="66"/>
      <c r="O182" s="66"/>
      <c r="P182" s="66"/>
    </row>
    <row r="183" spans="2:16" ht="15.75">
      <c r="B183" s="66"/>
      <c r="C183" s="66" t="s">
        <v>7639</v>
      </c>
      <c r="D183" s="66"/>
      <c r="E183" s="66"/>
      <c r="F183" s="66"/>
      <c r="G183" s="66"/>
      <c r="H183" s="66"/>
      <c r="I183" s="66"/>
      <c r="J183" s="66"/>
      <c r="K183" s="66"/>
      <c r="L183" s="66"/>
      <c r="M183" s="66"/>
      <c r="N183" s="66"/>
      <c r="O183" s="66"/>
      <c r="P183" s="66"/>
    </row>
    <row r="184" spans="2:16" ht="15.75">
      <c r="B184" s="66"/>
      <c r="C184" s="66" t="s">
        <v>7640</v>
      </c>
      <c r="D184" s="66"/>
      <c r="E184" s="66"/>
      <c r="F184" s="66"/>
      <c r="G184" s="66"/>
      <c r="H184" s="66"/>
      <c r="I184" s="66"/>
      <c r="J184" s="66"/>
      <c r="K184" s="66"/>
      <c r="L184" s="66"/>
      <c r="M184" s="66"/>
      <c r="N184" s="66"/>
      <c r="O184" s="66"/>
      <c r="P184" s="66"/>
    </row>
    <row r="185" spans="2:16" ht="15.75">
      <c r="B185" s="66"/>
      <c r="C185" s="66" t="s">
        <v>7641</v>
      </c>
      <c r="D185" s="66"/>
      <c r="E185" s="66"/>
      <c r="F185" s="66"/>
      <c r="G185" s="66"/>
      <c r="H185" s="66"/>
      <c r="I185" s="66"/>
      <c r="J185" s="66"/>
      <c r="K185" s="66"/>
      <c r="L185" s="66"/>
      <c r="M185" s="66"/>
      <c r="N185" s="66"/>
      <c r="O185" s="66"/>
      <c r="P185" s="66"/>
    </row>
    <row r="186" spans="2:16" ht="15.75">
      <c r="B186" s="66"/>
      <c r="C186" s="66" t="s">
        <v>7642</v>
      </c>
      <c r="D186" s="66"/>
      <c r="E186" s="66"/>
      <c r="F186" s="66"/>
      <c r="G186" s="66"/>
      <c r="H186" s="66"/>
      <c r="I186" s="66"/>
      <c r="J186" s="66"/>
      <c r="K186" s="66"/>
      <c r="L186" s="66"/>
      <c r="M186" s="66"/>
      <c r="N186" s="66"/>
      <c r="O186" s="66"/>
      <c r="P186" s="66"/>
    </row>
    <row r="187" spans="2:16" ht="15.75">
      <c r="B187" s="66"/>
      <c r="C187" s="66" t="s">
        <v>7643</v>
      </c>
      <c r="D187" s="66"/>
      <c r="E187" s="66"/>
      <c r="F187" s="66"/>
      <c r="G187" s="66"/>
      <c r="H187" s="66"/>
      <c r="I187" s="66"/>
      <c r="J187" s="66"/>
      <c r="K187" s="66"/>
      <c r="L187" s="66"/>
      <c r="M187" s="66"/>
      <c r="N187" s="66"/>
      <c r="O187" s="66"/>
      <c r="P187" s="66"/>
    </row>
    <row r="188" spans="2:16" ht="15.75">
      <c r="B188" s="66"/>
      <c r="C188" s="66"/>
      <c r="D188" s="66" t="s">
        <v>7644</v>
      </c>
      <c r="E188" s="66"/>
      <c r="F188" s="66"/>
      <c r="G188" s="66"/>
      <c r="H188" s="66"/>
      <c r="I188" s="66"/>
      <c r="J188" s="66"/>
      <c r="K188" s="66"/>
      <c r="L188" s="66"/>
      <c r="M188" s="66"/>
      <c r="N188" s="66"/>
      <c r="O188" s="66"/>
      <c r="P188" s="66"/>
    </row>
    <row r="189" spans="2:16" ht="15.75">
      <c r="B189" s="66"/>
      <c r="C189" s="66"/>
      <c r="D189" s="66" t="s">
        <v>7645</v>
      </c>
      <c r="E189" s="66"/>
      <c r="F189" s="66"/>
      <c r="G189" s="66"/>
      <c r="H189" s="66"/>
      <c r="I189" s="66"/>
      <c r="J189" s="66"/>
      <c r="K189" s="66"/>
      <c r="L189" s="66"/>
      <c r="M189" s="66"/>
      <c r="N189" s="66"/>
      <c r="O189" s="66"/>
      <c r="P189" s="66"/>
    </row>
    <row r="190" spans="2:16" ht="15.75">
      <c r="B190" s="66"/>
      <c r="C190" s="66"/>
      <c r="D190" s="66" t="s">
        <v>7646</v>
      </c>
      <c r="E190" s="66"/>
      <c r="F190" s="66"/>
      <c r="G190" s="66"/>
      <c r="H190" s="66"/>
      <c r="I190" s="66"/>
      <c r="J190" s="66"/>
      <c r="K190" s="66"/>
      <c r="L190" s="66"/>
      <c r="M190" s="66"/>
      <c r="N190" s="66"/>
      <c r="O190" s="66"/>
      <c r="P190" s="66"/>
    </row>
    <row r="191" spans="2:16" ht="15.75">
      <c r="B191" s="66"/>
      <c r="C191" s="66" t="s">
        <v>7647</v>
      </c>
      <c r="D191" s="66"/>
      <c r="E191" s="66"/>
      <c r="F191" s="66"/>
      <c r="G191" s="66"/>
      <c r="H191" s="66"/>
      <c r="I191" s="66"/>
      <c r="J191" s="66"/>
      <c r="K191" s="66"/>
      <c r="L191" s="66"/>
      <c r="M191" s="66"/>
      <c r="N191" s="66"/>
      <c r="O191" s="66"/>
      <c r="P191" s="66"/>
    </row>
    <row r="192" spans="2:16" ht="15.75">
      <c r="B192" s="66"/>
      <c r="C192" s="66" t="s">
        <v>7648</v>
      </c>
      <c r="D192" s="66"/>
      <c r="E192" s="66"/>
      <c r="F192" s="66"/>
      <c r="G192" s="66"/>
      <c r="H192" s="66"/>
      <c r="I192" s="66"/>
      <c r="J192" s="66"/>
      <c r="K192" s="66"/>
      <c r="L192" s="66"/>
      <c r="M192" s="66"/>
      <c r="N192" s="66"/>
      <c r="O192" s="66"/>
      <c r="P192" s="66"/>
    </row>
    <row r="193" spans="2:16" ht="15.75">
      <c r="B193" s="66"/>
      <c r="C193" s="66" t="s">
        <v>7649</v>
      </c>
      <c r="D193" s="66"/>
      <c r="E193" s="66"/>
      <c r="F193" s="66"/>
      <c r="G193" s="66"/>
      <c r="H193" s="66"/>
      <c r="I193" s="66"/>
      <c r="J193" s="66"/>
      <c r="K193" s="66"/>
      <c r="L193" s="66"/>
      <c r="M193" s="66"/>
      <c r="N193" s="66"/>
      <c r="O193" s="66"/>
      <c r="P193" s="66"/>
    </row>
    <row r="194" spans="2:16" ht="15.75">
      <c r="B194" s="66"/>
      <c r="C194" s="66" t="s">
        <v>7650</v>
      </c>
      <c r="D194" s="66"/>
      <c r="E194" s="66"/>
      <c r="F194" s="66"/>
      <c r="G194" s="66"/>
      <c r="H194" s="66"/>
      <c r="I194" s="66"/>
      <c r="J194" s="66"/>
      <c r="K194" s="66"/>
      <c r="L194" s="66"/>
      <c r="M194" s="66"/>
      <c r="N194" s="66"/>
      <c r="O194" s="66"/>
      <c r="P194" s="66"/>
    </row>
    <row r="195" spans="2:16" ht="15.75">
      <c r="B195" s="66"/>
      <c r="C195" s="66" t="s">
        <v>7651</v>
      </c>
      <c r="D195" s="66"/>
      <c r="E195" s="66"/>
      <c r="F195" s="66"/>
      <c r="G195" s="66"/>
      <c r="H195" s="66"/>
      <c r="I195" s="66"/>
      <c r="J195" s="66"/>
      <c r="K195" s="66"/>
      <c r="L195" s="66"/>
      <c r="M195" s="66"/>
      <c r="N195" s="66"/>
      <c r="O195" s="66"/>
      <c r="P195" s="66"/>
    </row>
    <row r="196" spans="2:16" ht="15.75">
      <c r="B196" s="66"/>
      <c r="C196" s="66" t="s">
        <v>7652</v>
      </c>
      <c r="D196" s="66"/>
      <c r="E196" s="66"/>
      <c r="F196" s="66"/>
      <c r="G196" s="66"/>
      <c r="H196" s="66"/>
      <c r="I196" s="66"/>
      <c r="J196" s="66"/>
      <c r="K196" s="66"/>
      <c r="L196" s="66"/>
      <c r="M196" s="66"/>
      <c r="N196" s="66"/>
      <c r="O196" s="66"/>
      <c r="P196" s="66"/>
    </row>
    <row r="197" spans="2:16" ht="15.75">
      <c r="B197" s="66" t="s">
        <v>7653</v>
      </c>
      <c r="C197" s="66"/>
      <c r="D197" s="66"/>
      <c r="E197" s="66"/>
      <c r="F197" s="66"/>
      <c r="G197" s="66"/>
      <c r="H197" s="66"/>
      <c r="I197" s="66"/>
      <c r="J197" s="66"/>
      <c r="K197" s="66"/>
      <c r="L197" s="66"/>
      <c r="M197" s="66"/>
      <c r="N197" s="66"/>
      <c r="O197" s="66"/>
      <c r="P197" s="66"/>
    </row>
    <row r="198" spans="2:16" ht="15.75">
      <c r="B198" s="66"/>
      <c r="C198" s="66" t="s">
        <v>7654</v>
      </c>
      <c r="D198" s="66"/>
      <c r="E198" s="66"/>
      <c r="F198" s="66"/>
      <c r="G198" s="66"/>
      <c r="H198" s="66"/>
      <c r="I198" s="66"/>
      <c r="J198" s="66"/>
      <c r="K198" s="66"/>
      <c r="L198" s="66"/>
      <c r="M198" s="66"/>
      <c r="N198" s="66"/>
      <c r="O198" s="66"/>
      <c r="P198" s="66"/>
    </row>
    <row r="199" spans="2:16" ht="15.75">
      <c r="B199" s="66"/>
      <c r="C199" s="66" t="s">
        <v>7655</v>
      </c>
      <c r="D199" s="66"/>
      <c r="E199" s="66"/>
      <c r="F199" s="66"/>
      <c r="G199" s="66"/>
      <c r="H199" s="66"/>
      <c r="I199" s="66"/>
      <c r="J199" s="66"/>
      <c r="K199" s="66"/>
      <c r="L199" s="66"/>
      <c r="M199" s="66"/>
      <c r="N199" s="66"/>
      <c r="O199" s="66"/>
      <c r="P199" s="66"/>
    </row>
    <row r="200" spans="2:16" ht="15.75">
      <c r="B200" s="66"/>
      <c r="C200" s="66" t="s">
        <v>7656</v>
      </c>
      <c r="D200" s="66"/>
      <c r="E200" s="66"/>
      <c r="F200" s="66"/>
      <c r="G200" s="66"/>
      <c r="H200" s="66"/>
      <c r="I200" s="66"/>
      <c r="J200" s="66"/>
      <c r="K200" s="66"/>
      <c r="L200" s="66"/>
      <c r="M200" s="66"/>
      <c r="N200" s="66"/>
      <c r="O200" s="66"/>
      <c r="P200" s="66"/>
    </row>
    <row r="201" spans="2:16" ht="15.75">
      <c r="B201" s="66"/>
      <c r="C201" s="66" t="s">
        <v>7657</v>
      </c>
      <c r="D201" s="66"/>
      <c r="E201" s="66"/>
      <c r="F201" s="66"/>
      <c r="G201" s="66"/>
      <c r="H201" s="66"/>
      <c r="I201" s="66"/>
      <c r="J201" s="66"/>
      <c r="K201" s="66"/>
      <c r="L201" s="66"/>
      <c r="M201" s="66"/>
      <c r="N201" s="66"/>
      <c r="O201" s="66"/>
      <c r="P201" s="66"/>
    </row>
    <row r="202" spans="2:16" ht="15.75">
      <c r="B202" s="66"/>
      <c r="C202" s="66" t="s">
        <v>7658</v>
      </c>
      <c r="D202" s="66"/>
      <c r="E202" s="66"/>
      <c r="F202" s="66"/>
      <c r="G202" s="66"/>
      <c r="H202" s="66"/>
      <c r="I202" s="66"/>
      <c r="J202" s="66"/>
      <c r="K202" s="66"/>
      <c r="L202" s="66"/>
      <c r="M202" s="66"/>
      <c r="N202" s="66"/>
      <c r="O202" s="66"/>
      <c r="P202" s="66"/>
    </row>
    <row r="203" spans="2:16" ht="15.75">
      <c r="B203" s="66"/>
      <c r="C203" s="66" t="s">
        <v>7659</v>
      </c>
      <c r="D203" s="66"/>
      <c r="E203" s="66"/>
      <c r="F203" s="66"/>
      <c r="G203" s="66"/>
      <c r="H203" s="66"/>
      <c r="I203" s="66"/>
      <c r="J203" s="66"/>
      <c r="K203" s="66"/>
      <c r="L203" s="66"/>
      <c r="M203" s="66"/>
      <c r="N203" s="66"/>
      <c r="O203" s="66"/>
      <c r="P203" s="66"/>
    </row>
    <row r="204" spans="2:16" ht="15.75">
      <c r="B204" s="66"/>
      <c r="C204" s="66" t="s">
        <v>7660</v>
      </c>
      <c r="D204" s="66"/>
      <c r="E204" s="66"/>
      <c r="F204" s="66"/>
      <c r="G204" s="66"/>
      <c r="H204" s="66"/>
      <c r="I204" s="66"/>
      <c r="J204" s="66"/>
      <c r="K204" s="66"/>
      <c r="L204" s="66"/>
      <c r="M204" s="66"/>
      <c r="N204" s="66"/>
      <c r="O204" s="66"/>
      <c r="P204" s="66"/>
    </row>
    <row r="205" spans="2:16" ht="15.75">
      <c r="B205" s="66"/>
      <c r="C205" s="66" t="s">
        <v>7661</v>
      </c>
      <c r="D205" s="66"/>
      <c r="E205" s="66"/>
      <c r="F205" s="66"/>
      <c r="G205" s="66"/>
      <c r="H205" s="66"/>
      <c r="I205" s="66"/>
      <c r="J205" s="66"/>
      <c r="K205" s="66"/>
      <c r="L205" s="66"/>
      <c r="M205" s="66"/>
      <c r="N205" s="66"/>
      <c r="O205" s="66"/>
      <c r="P205" s="66"/>
    </row>
    <row r="206" spans="2:16" ht="15.75">
      <c r="B206" s="66" t="s">
        <v>7662</v>
      </c>
      <c r="C206" s="66"/>
      <c r="D206" s="66"/>
      <c r="E206" s="66"/>
      <c r="F206" s="66"/>
      <c r="G206" s="66"/>
      <c r="H206" s="66"/>
      <c r="I206" s="66"/>
      <c r="J206" s="66"/>
      <c r="K206" s="66"/>
      <c r="L206" s="66"/>
      <c r="M206" s="66"/>
      <c r="N206" s="66"/>
      <c r="O206" s="66"/>
      <c r="P206" s="66"/>
    </row>
    <row r="207" spans="2:16" ht="15.75">
      <c r="B207" s="66"/>
      <c r="C207" s="66" t="s">
        <v>7663</v>
      </c>
      <c r="D207" s="66"/>
      <c r="E207" s="66"/>
      <c r="F207" s="66"/>
      <c r="G207" s="66"/>
      <c r="H207" s="66"/>
      <c r="I207" s="66"/>
      <c r="J207" s="66"/>
      <c r="K207" s="66"/>
      <c r="L207" s="66"/>
      <c r="M207" s="66"/>
      <c r="N207" s="66"/>
      <c r="O207" s="66"/>
      <c r="P207" s="66"/>
    </row>
    <row r="208" spans="2:16" ht="15.75">
      <c r="B208" s="66"/>
      <c r="C208" s="66" t="s">
        <v>7664</v>
      </c>
      <c r="D208" s="66"/>
      <c r="E208" s="66"/>
      <c r="F208" s="66"/>
      <c r="G208" s="66"/>
      <c r="H208" s="66"/>
      <c r="I208" s="66"/>
      <c r="J208" s="66"/>
      <c r="K208" s="66"/>
      <c r="L208" s="66"/>
      <c r="M208" s="66"/>
      <c r="N208" s="66"/>
      <c r="O208" s="66"/>
      <c r="P208" s="66"/>
    </row>
    <row r="209" spans="2:16" ht="15.75">
      <c r="B209" s="66" t="s">
        <v>507</v>
      </c>
      <c r="C209" s="66"/>
      <c r="D209" s="66"/>
      <c r="E209" s="66"/>
      <c r="F209" s="66"/>
      <c r="G209" s="66"/>
      <c r="H209" s="66"/>
      <c r="I209" s="66"/>
      <c r="J209" s="66"/>
      <c r="K209" s="66"/>
      <c r="L209" s="66"/>
      <c r="M209" s="66"/>
      <c r="N209" s="66"/>
      <c r="O209" s="66"/>
      <c r="P209" s="66"/>
    </row>
    <row r="210" spans="2:16" ht="15.75">
      <c r="B210" s="66"/>
      <c r="C210" s="66" t="s">
        <v>7665</v>
      </c>
      <c r="D210" s="66"/>
      <c r="E210" s="66"/>
      <c r="F210" s="66"/>
      <c r="G210" s="66"/>
      <c r="H210" s="66"/>
      <c r="I210" s="66"/>
      <c r="J210" s="66"/>
      <c r="K210" s="66"/>
      <c r="L210" s="66"/>
      <c r="M210" s="66"/>
      <c r="N210" s="66"/>
      <c r="O210" s="66"/>
      <c r="P210" s="66"/>
    </row>
    <row r="211" spans="2:16" ht="15.75">
      <c r="B211" s="66"/>
      <c r="C211" s="66" t="s">
        <v>7666</v>
      </c>
      <c r="D211" s="66"/>
      <c r="E211" s="66"/>
      <c r="F211" s="66"/>
      <c r="G211" s="66"/>
      <c r="H211" s="66"/>
      <c r="I211" s="66"/>
      <c r="J211" s="66"/>
      <c r="K211" s="66"/>
      <c r="L211" s="66"/>
      <c r="M211" s="66"/>
      <c r="N211" s="66"/>
      <c r="O211" s="66"/>
      <c r="P211" s="66"/>
    </row>
    <row r="212" spans="2:16" ht="15.75">
      <c r="B212" s="66"/>
      <c r="C212" s="66" t="s">
        <v>7667</v>
      </c>
      <c r="D212" s="66"/>
      <c r="E212" s="66"/>
      <c r="F212" s="66"/>
      <c r="G212" s="66"/>
      <c r="H212" s="66"/>
      <c r="I212" s="66"/>
      <c r="J212" s="66"/>
      <c r="K212" s="66"/>
      <c r="L212" s="66"/>
      <c r="M212" s="66"/>
      <c r="N212" s="66"/>
      <c r="O212" s="66"/>
      <c r="P212" s="66"/>
    </row>
    <row r="213" spans="2:16" ht="15.75">
      <c r="B213" s="66"/>
      <c r="C213" s="66" t="s">
        <v>7668</v>
      </c>
      <c r="D213" s="66"/>
      <c r="E213" s="66"/>
      <c r="F213" s="66"/>
      <c r="G213" s="66"/>
      <c r="H213" s="66"/>
      <c r="I213" s="66"/>
      <c r="J213" s="66"/>
      <c r="K213" s="66"/>
      <c r="L213" s="66"/>
      <c r="M213" s="66"/>
      <c r="N213" s="66"/>
      <c r="O213" s="66"/>
      <c r="P213" s="66"/>
    </row>
    <row r="214" spans="2:16" ht="15.75">
      <c r="B214" s="66"/>
      <c r="C214" s="66" t="s">
        <v>7669</v>
      </c>
      <c r="D214" s="66"/>
      <c r="E214" s="66"/>
      <c r="F214" s="66"/>
      <c r="G214" s="66"/>
      <c r="H214" s="66"/>
      <c r="I214" s="66"/>
      <c r="J214" s="66"/>
      <c r="K214" s="66"/>
      <c r="L214" s="66"/>
      <c r="M214" s="66"/>
      <c r="N214" s="66"/>
      <c r="O214" s="66"/>
      <c r="P214" s="66"/>
    </row>
    <row r="215" spans="2:16" ht="15.75">
      <c r="B215" s="66"/>
      <c r="C215" s="66" t="s">
        <v>7670</v>
      </c>
      <c r="D215" s="66"/>
      <c r="E215" s="66"/>
      <c r="F215" s="66"/>
      <c r="G215" s="66"/>
      <c r="H215" s="66"/>
      <c r="I215" s="66"/>
      <c r="J215" s="66"/>
      <c r="K215" s="66"/>
      <c r="L215" s="66"/>
      <c r="M215" s="66"/>
      <c r="N215" s="66"/>
      <c r="O215" s="66"/>
      <c r="P215" s="66"/>
    </row>
    <row r="216" spans="2:16" ht="15.75">
      <c r="B216" s="66"/>
      <c r="C216" s="66" t="s">
        <v>7671</v>
      </c>
      <c r="D216" s="66"/>
      <c r="E216" s="66"/>
      <c r="F216" s="66"/>
      <c r="G216" s="66"/>
      <c r="H216" s="66"/>
      <c r="I216" s="66"/>
      <c r="J216" s="66"/>
      <c r="K216" s="66"/>
      <c r="L216" s="66"/>
      <c r="M216" s="66"/>
      <c r="N216" s="66"/>
      <c r="O216" s="66"/>
      <c r="P216" s="66"/>
    </row>
    <row r="217" spans="2:16" ht="15.75">
      <c r="B217" s="66"/>
      <c r="C217" s="66" t="s">
        <v>7672</v>
      </c>
      <c r="D217" s="66"/>
      <c r="E217" s="66"/>
      <c r="F217" s="66"/>
      <c r="G217" s="66"/>
      <c r="H217" s="66"/>
      <c r="I217" s="66"/>
      <c r="J217" s="66"/>
      <c r="K217" s="66"/>
      <c r="L217" s="66"/>
      <c r="M217" s="66"/>
      <c r="N217" s="66"/>
      <c r="O217" s="66"/>
      <c r="P217" s="66"/>
    </row>
    <row r="218" spans="2:16" ht="15.75">
      <c r="B218" s="66"/>
      <c r="C218" s="66" t="s">
        <v>7673</v>
      </c>
      <c r="D218" s="66"/>
      <c r="E218" s="66"/>
      <c r="F218" s="66"/>
      <c r="G218" s="66"/>
      <c r="H218" s="66"/>
      <c r="I218" s="66"/>
      <c r="J218" s="66"/>
      <c r="K218" s="66"/>
      <c r="L218" s="66"/>
      <c r="M218" s="66"/>
      <c r="N218" s="66"/>
      <c r="O218" s="66"/>
      <c r="P218" s="66"/>
    </row>
    <row r="219" spans="2:16" ht="15.75">
      <c r="B219" s="66"/>
      <c r="C219" s="66" t="s">
        <v>7674</v>
      </c>
      <c r="D219" s="66"/>
      <c r="E219" s="66"/>
      <c r="F219" s="66"/>
      <c r="G219" s="66"/>
      <c r="H219" s="66"/>
      <c r="I219" s="66"/>
      <c r="J219" s="66"/>
      <c r="K219" s="66"/>
      <c r="L219" s="66"/>
      <c r="M219" s="66"/>
      <c r="N219" s="66"/>
      <c r="O219" s="66"/>
      <c r="P219" s="66"/>
    </row>
    <row r="220" spans="2:16" ht="15.75">
      <c r="B220" s="66"/>
      <c r="C220" s="66" t="s">
        <v>7675</v>
      </c>
      <c r="D220" s="66"/>
      <c r="E220" s="66"/>
      <c r="F220" s="66"/>
      <c r="G220" s="66"/>
      <c r="H220" s="66"/>
      <c r="I220" s="66"/>
      <c r="J220" s="66"/>
      <c r="K220" s="66"/>
      <c r="L220" s="66"/>
      <c r="M220" s="66"/>
      <c r="N220" s="66"/>
      <c r="O220" s="66"/>
      <c r="P220" s="66"/>
    </row>
    <row r="221" spans="2:16" ht="15.75">
      <c r="B221" s="66"/>
      <c r="J221" s="66"/>
      <c r="K221" s="66"/>
      <c r="L221" s="66"/>
      <c r="M221" s="66"/>
      <c r="N221" s="66"/>
      <c r="O221" s="66"/>
      <c r="P221" s="66"/>
    </row>
    <row r="222" spans="2:16" ht="15.75">
      <c r="B222" s="66" t="s">
        <v>7676</v>
      </c>
      <c r="C222" s="66"/>
      <c r="D222" s="66"/>
      <c r="E222" s="66"/>
      <c r="F222" s="66"/>
      <c r="G222" s="66"/>
      <c r="H222" s="66"/>
      <c r="I222" s="66"/>
      <c r="J222" s="66"/>
      <c r="K222" s="66"/>
      <c r="L222" s="66"/>
      <c r="M222" s="66"/>
      <c r="N222" s="66"/>
      <c r="O222" s="66"/>
      <c r="P222" s="66"/>
    </row>
    <row r="223" spans="2:16" ht="15.75">
      <c r="B223" s="66"/>
      <c r="C223" s="66" t="s">
        <v>7677</v>
      </c>
      <c r="D223" s="66"/>
      <c r="E223" s="66"/>
      <c r="F223" s="66"/>
      <c r="G223" s="66"/>
      <c r="H223" s="66"/>
      <c r="I223" s="66"/>
      <c r="J223" s="66"/>
      <c r="K223" s="66"/>
      <c r="L223" s="66"/>
      <c r="M223" s="66"/>
      <c r="N223" s="66"/>
      <c r="O223" s="66"/>
      <c r="P223" s="66"/>
    </row>
    <row r="224" spans="2:16" ht="15.75">
      <c r="B224" s="66"/>
      <c r="C224" s="66" t="s">
        <v>7678</v>
      </c>
      <c r="D224" s="66"/>
      <c r="E224" s="66"/>
      <c r="F224" s="66"/>
      <c r="G224" s="66"/>
      <c r="H224" s="66"/>
      <c r="I224" s="66"/>
      <c r="J224" s="66"/>
      <c r="K224" s="66"/>
      <c r="L224" s="66"/>
      <c r="M224" s="66"/>
      <c r="N224" s="66"/>
      <c r="O224" s="66"/>
      <c r="P224" s="66"/>
    </row>
    <row r="225" spans="2:16" ht="15.75">
      <c r="B225" s="66"/>
      <c r="C225" s="66" t="s">
        <v>7679</v>
      </c>
      <c r="D225" s="66"/>
      <c r="E225" s="66"/>
      <c r="F225" s="66"/>
      <c r="G225" s="66"/>
      <c r="H225" s="66"/>
      <c r="I225" s="66"/>
      <c r="J225" s="66"/>
      <c r="K225" s="66"/>
      <c r="L225" s="66"/>
      <c r="M225" s="66"/>
      <c r="N225" s="66"/>
      <c r="O225" s="66"/>
      <c r="P225" s="66"/>
    </row>
    <row r="226" spans="2:16" ht="15.75">
      <c r="B226" s="66"/>
      <c r="C226" s="66" t="s">
        <v>7680</v>
      </c>
      <c r="D226" s="66"/>
      <c r="E226" s="66"/>
      <c r="F226" s="66"/>
      <c r="G226" s="66"/>
      <c r="H226" s="66"/>
      <c r="I226" s="66"/>
      <c r="J226" s="66"/>
      <c r="K226" s="66"/>
      <c r="L226" s="66"/>
      <c r="M226" s="66"/>
      <c r="N226" s="66"/>
      <c r="O226" s="66"/>
      <c r="P226" s="66"/>
    </row>
    <row r="227" spans="2:16" ht="15.75">
      <c r="B227" s="66"/>
      <c r="C227" s="66" t="s">
        <v>7681</v>
      </c>
      <c r="D227" s="66"/>
      <c r="E227" s="66"/>
      <c r="F227" s="66"/>
      <c r="G227" s="66"/>
      <c r="H227" s="66"/>
      <c r="I227" s="66"/>
      <c r="J227" s="66"/>
      <c r="K227" s="66"/>
      <c r="L227" s="66"/>
      <c r="M227" s="66"/>
      <c r="N227" s="66"/>
      <c r="O227" s="66"/>
      <c r="P227" s="66"/>
    </row>
    <row r="228" spans="2:16" ht="15.75">
      <c r="B228" s="66" t="s">
        <v>57</v>
      </c>
      <c r="C228" s="66"/>
      <c r="D228" s="66"/>
      <c r="E228" s="66"/>
      <c r="F228" s="66"/>
      <c r="G228" s="66"/>
      <c r="H228" s="66"/>
      <c r="I228" s="66"/>
      <c r="J228" s="66"/>
      <c r="K228" s="66"/>
      <c r="L228" s="66"/>
      <c r="M228" s="66"/>
      <c r="N228" s="66"/>
      <c r="O228" s="66"/>
      <c r="P228" s="66"/>
    </row>
    <row r="229" spans="2:16" ht="15.75">
      <c r="B229" s="66"/>
      <c r="C229" s="66" t="s">
        <v>7682</v>
      </c>
      <c r="D229" s="66"/>
      <c r="E229" s="66"/>
      <c r="F229" s="66"/>
      <c r="G229" s="66"/>
      <c r="H229" s="66"/>
      <c r="I229" s="66"/>
      <c r="J229" s="66"/>
      <c r="K229" s="66"/>
      <c r="L229" s="66"/>
      <c r="M229" s="66"/>
      <c r="N229" s="66"/>
      <c r="O229" s="66"/>
      <c r="P229" s="66"/>
    </row>
    <row r="230" spans="2:16" ht="15.75">
      <c r="B230" s="66"/>
      <c r="C230" s="66" t="s">
        <v>7683</v>
      </c>
      <c r="D230" s="66"/>
      <c r="E230" s="66"/>
      <c r="F230" s="66"/>
      <c r="G230" s="66"/>
      <c r="H230" s="66"/>
      <c r="I230" s="66"/>
      <c r="J230" s="66"/>
      <c r="K230" s="66"/>
      <c r="L230" s="66"/>
      <c r="M230" s="66"/>
      <c r="N230" s="66"/>
      <c r="O230" s="66"/>
      <c r="P230" s="66"/>
    </row>
    <row r="231" spans="2:16" ht="15.75">
      <c r="B231" s="66"/>
      <c r="C231" s="66" t="s">
        <v>7684</v>
      </c>
      <c r="D231" s="66"/>
      <c r="E231" s="66"/>
      <c r="F231" s="66"/>
      <c r="G231" s="66"/>
      <c r="H231" s="66"/>
      <c r="I231" s="66"/>
      <c r="J231" s="66"/>
      <c r="K231" s="66"/>
      <c r="L231" s="66"/>
      <c r="M231" s="66"/>
      <c r="N231" s="66"/>
      <c r="O231" s="66"/>
      <c r="P231" s="66"/>
    </row>
    <row r="232" spans="2:16" ht="15.75">
      <c r="B232" s="66"/>
      <c r="C232" s="66"/>
      <c r="D232" s="66" t="s">
        <v>7685</v>
      </c>
      <c r="E232" s="66"/>
      <c r="F232" s="66"/>
      <c r="G232" s="66"/>
      <c r="H232" s="66"/>
      <c r="I232" s="66"/>
      <c r="J232" s="66"/>
      <c r="K232" s="66"/>
      <c r="L232" s="66"/>
      <c r="M232" s="66"/>
      <c r="N232" s="66"/>
      <c r="O232" s="66"/>
      <c r="P232" s="66"/>
    </row>
    <row r="233" spans="2:16" ht="15.75">
      <c r="B233" s="66"/>
      <c r="C233" s="66"/>
      <c r="D233" s="66" t="s">
        <v>7686</v>
      </c>
      <c r="E233" s="66"/>
      <c r="F233" s="66"/>
      <c r="G233" s="66"/>
      <c r="H233" s="66"/>
      <c r="I233" s="66"/>
      <c r="J233" s="66"/>
      <c r="K233" s="66"/>
      <c r="L233" s="66"/>
      <c r="M233" s="66"/>
      <c r="N233" s="66"/>
      <c r="O233" s="66"/>
      <c r="P233" s="66"/>
    </row>
    <row r="234" spans="2:16" ht="15.75">
      <c r="B234" s="66"/>
      <c r="C234" s="66"/>
      <c r="D234" s="66" t="s">
        <v>7687</v>
      </c>
      <c r="E234" s="66"/>
      <c r="F234" s="66"/>
      <c r="G234" s="66"/>
      <c r="H234" s="66"/>
      <c r="I234" s="66"/>
      <c r="J234" s="66"/>
      <c r="K234" s="66"/>
      <c r="L234" s="66"/>
      <c r="M234" s="66"/>
      <c r="N234" s="66"/>
      <c r="O234" s="66"/>
      <c r="P234" s="66"/>
    </row>
    <row r="235" spans="2:16" ht="15.75">
      <c r="B235" s="66"/>
      <c r="C235" s="66"/>
      <c r="D235" s="66" t="s">
        <v>7688</v>
      </c>
      <c r="E235" s="66"/>
      <c r="F235" s="66"/>
      <c r="G235" s="66"/>
      <c r="H235" s="66"/>
      <c r="I235" s="66"/>
      <c r="J235" s="66"/>
      <c r="K235" s="66"/>
      <c r="L235" s="66"/>
      <c r="M235" s="66"/>
      <c r="N235" s="66"/>
      <c r="O235" s="66"/>
      <c r="P235" s="66"/>
    </row>
    <row r="236" spans="2:16" ht="15.75">
      <c r="B236" s="66"/>
      <c r="C236" s="66"/>
      <c r="D236" s="66" t="s">
        <v>7689</v>
      </c>
      <c r="E236" s="66"/>
      <c r="F236" s="66"/>
      <c r="G236" s="66"/>
      <c r="H236" s="66"/>
      <c r="I236" s="66"/>
      <c r="J236" s="66"/>
      <c r="K236" s="66"/>
      <c r="L236" s="66"/>
      <c r="M236" s="66"/>
      <c r="N236" s="66"/>
      <c r="O236" s="66"/>
      <c r="P236" s="66"/>
    </row>
    <row r="237" spans="2:16" ht="15.75">
      <c r="B237" s="66"/>
      <c r="C237" s="66"/>
      <c r="D237" s="66" t="s">
        <v>6969</v>
      </c>
      <c r="E237" s="66"/>
      <c r="F237" s="66"/>
      <c r="G237" s="66"/>
      <c r="H237" s="66"/>
      <c r="I237" s="66"/>
      <c r="J237" s="66"/>
      <c r="K237" s="66"/>
      <c r="L237" s="66"/>
      <c r="M237" s="66"/>
      <c r="N237" s="66"/>
      <c r="O237" s="66"/>
      <c r="P237" s="66"/>
    </row>
    <row r="238" spans="2:16" ht="15.75">
      <c r="B238" s="66"/>
      <c r="C238" s="66"/>
      <c r="D238" s="66" t="s">
        <v>7690</v>
      </c>
      <c r="E238" s="66"/>
      <c r="F238" s="66"/>
      <c r="G238" s="66"/>
      <c r="H238" s="66"/>
      <c r="I238" s="66"/>
      <c r="J238" s="66"/>
      <c r="K238" s="66"/>
      <c r="L238" s="66"/>
      <c r="M238" s="66"/>
      <c r="N238" s="66"/>
      <c r="O238" s="66"/>
      <c r="P238" s="66"/>
    </row>
    <row r="239" spans="2:16" ht="15.75">
      <c r="B239" s="66" t="s">
        <v>7691</v>
      </c>
      <c r="C239" s="66"/>
      <c r="D239" s="66"/>
      <c r="E239" s="66"/>
      <c r="F239" s="66"/>
      <c r="G239" s="66"/>
      <c r="H239" s="66"/>
      <c r="I239" s="66"/>
      <c r="J239" s="66"/>
      <c r="K239" s="66"/>
      <c r="L239" s="66"/>
      <c r="M239" s="66"/>
      <c r="N239" s="66"/>
      <c r="O239" s="66"/>
      <c r="P239" s="66"/>
    </row>
    <row r="240" spans="2:16" ht="15.75">
      <c r="B240" s="66" t="s">
        <v>100</v>
      </c>
      <c r="C240" s="66"/>
      <c r="D240" s="66"/>
      <c r="E240" s="66"/>
      <c r="F240" s="66"/>
      <c r="G240" s="66"/>
      <c r="H240" s="66"/>
      <c r="I240" s="66"/>
      <c r="J240" s="66"/>
      <c r="K240" s="66"/>
      <c r="L240" s="66"/>
      <c r="M240" s="66"/>
      <c r="N240" s="66"/>
      <c r="O240" s="66"/>
      <c r="P240" s="66"/>
    </row>
    <row r="241" spans="2:16" ht="15.75">
      <c r="B241" s="66"/>
      <c r="C241" s="66" t="s">
        <v>7692</v>
      </c>
      <c r="D241" s="66"/>
      <c r="E241" s="66"/>
      <c r="F241" s="66"/>
      <c r="G241" s="66"/>
      <c r="H241" s="66"/>
      <c r="I241" s="66"/>
      <c r="J241" s="66"/>
      <c r="K241" s="70" t="s">
        <v>7693</v>
      </c>
      <c r="L241" s="66"/>
      <c r="M241" s="66"/>
      <c r="N241" s="66"/>
      <c r="O241" s="66"/>
      <c r="P241" s="66"/>
    </row>
    <row r="242" spans="2:16" ht="15.75">
      <c r="B242" s="66"/>
      <c r="C242" s="66" t="s">
        <v>7694</v>
      </c>
      <c r="D242" s="66"/>
      <c r="E242" s="66"/>
      <c r="F242" s="66"/>
      <c r="G242" s="66"/>
      <c r="H242" s="66"/>
      <c r="I242" s="66"/>
      <c r="J242" s="66"/>
      <c r="K242" s="71">
        <f>1255/0.35</f>
        <v>3585.7142857142858</v>
      </c>
      <c r="L242" s="66"/>
      <c r="M242" s="66"/>
      <c r="N242" s="66"/>
      <c r="O242" s="66"/>
      <c r="P242" s="66"/>
    </row>
    <row r="243" spans="2:16" ht="15.75">
      <c r="B243" s="66"/>
      <c r="C243" s="66" t="s">
        <v>7695</v>
      </c>
      <c r="D243" s="66"/>
      <c r="E243" s="66"/>
      <c r="F243" s="66"/>
      <c r="G243" s="66"/>
      <c r="H243" s="66"/>
      <c r="I243" s="66"/>
      <c r="J243" s="66"/>
      <c r="K243" s="71">
        <f>49/0.021</f>
        <v>2333.333333333333</v>
      </c>
      <c r="L243" s="66"/>
      <c r="M243" s="66"/>
      <c r="N243" s="66"/>
      <c r="O243" s="66"/>
      <c r="P243" s="66"/>
    </row>
    <row r="244" spans="2:16" ht="15.75">
      <c r="B244" s="66"/>
      <c r="C244" s="66" t="s">
        <v>7696</v>
      </c>
      <c r="D244" s="66"/>
      <c r="E244" s="66"/>
      <c r="F244" s="66"/>
      <c r="G244" s="66"/>
      <c r="H244" s="66"/>
      <c r="I244" s="66"/>
      <c r="J244" s="66"/>
      <c r="K244" s="71"/>
      <c r="L244" s="66"/>
      <c r="M244" s="66"/>
      <c r="N244" s="66"/>
      <c r="O244" s="66"/>
      <c r="P244" s="66"/>
    </row>
    <row r="245" spans="2:16" ht="15.75">
      <c r="B245" s="66"/>
      <c r="C245" s="66" t="s">
        <v>85</v>
      </c>
      <c r="D245" s="66"/>
      <c r="E245" s="66"/>
      <c r="F245" s="66"/>
      <c r="G245" s="66"/>
      <c r="H245" s="66"/>
      <c r="I245" s="66"/>
      <c r="J245" s="66"/>
      <c r="K245" s="66"/>
      <c r="L245" s="66"/>
      <c r="M245" s="66"/>
      <c r="N245" s="66"/>
      <c r="O245" s="66"/>
      <c r="P245" s="66"/>
    </row>
    <row r="246" spans="2:16" ht="15.75">
      <c r="B246" s="66"/>
      <c r="C246" s="66" t="s">
        <v>7697</v>
      </c>
      <c r="D246" s="66"/>
      <c r="E246" s="66"/>
      <c r="F246" s="66"/>
      <c r="G246" s="66"/>
      <c r="H246" s="66"/>
      <c r="I246" s="66"/>
      <c r="J246" s="66"/>
      <c r="K246" s="66"/>
      <c r="L246" s="66"/>
      <c r="M246" s="66"/>
      <c r="N246" s="66"/>
      <c r="O246" s="66"/>
      <c r="P246" s="66"/>
    </row>
    <row r="247" spans="2:16" ht="15.75">
      <c r="B247" s="66"/>
      <c r="C247" s="66" t="s">
        <v>7698</v>
      </c>
      <c r="D247" s="66"/>
      <c r="E247" s="66"/>
      <c r="F247" s="66"/>
      <c r="G247" s="66"/>
      <c r="H247" s="66"/>
      <c r="I247" s="66"/>
      <c r="J247" s="66"/>
      <c r="K247" s="66"/>
      <c r="L247" s="66"/>
      <c r="M247" s="66"/>
      <c r="N247" s="66"/>
      <c r="O247" s="66"/>
      <c r="P247" s="66"/>
    </row>
    <row r="248" spans="2:16" ht="15.75">
      <c r="B248" s="66"/>
      <c r="C248" s="66" t="s">
        <v>7699</v>
      </c>
      <c r="D248" s="66"/>
      <c r="E248" s="66"/>
      <c r="F248" s="66"/>
      <c r="G248" s="66"/>
      <c r="H248" s="66"/>
      <c r="I248" s="66"/>
      <c r="J248" s="66"/>
      <c r="K248" s="66"/>
      <c r="L248" s="66"/>
      <c r="M248" s="66"/>
      <c r="N248" s="66"/>
      <c r="O248" s="66"/>
      <c r="P248" s="66"/>
    </row>
    <row r="249" spans="2:16" ht="15.75">
      <c r="B249" s="66"/>
      <c r="C249" s="66" t="s">
        <v>7700</v>
      </c>
      <c r="D249" s="66"/>
      <c r="E249" s="66"/>
      <c r="F249" s="66"/>
      <c r="G249" s="66"/>
      <c r="H249" s="66"/>
      <c r="I249" s="66"/>
      <c r="J249" s="66"/>
      <c r="K249" s="66"/>
      <c r="L249" s="66"/>
      <c r="M249" s="66"/>
      <c r="N249" s="66"/>
      <c r="O249" s="66"/>
      <c r="P249" s="66"/>
    </row>
    <row r="250" spans="2:16" ht="15.75">
      <c r="B250" s="66" t="s">
        <v>7701</v>
      </c>
      <c r="C250" s="66"/>
      <c r="D250" s="66"/>
      <c r="E250" s="66"/>
      <c r="F250" s="66"/>
      <c r="G250" s="66"/>
      <c r="H250" s="66"/>
      <c r="I250" s="66"/>
      <c r="J250" s="66"/>
      <c r="K250" s="66"/>
      <c r="L250" s="66"/>
      <c r="M250" s="66"/>
      <c r="N250" s="66"/>
      <c r="O250" s="66"/>
      <c r="P250" s="66"/>
    </row>
    <row r="251" spans="2:16" ht="15.75">
      <c r="B251" s="66"/>
      <c r="C251" s="66" t="s">
        <v>7702</v>
      </c>
      <c r="D251" s="66"/>
      <c r="E251" s="66"/>
      <c r="F251" s="66"/>
      <c r="G251" s="66"/>
      <c r="H251" s="66"/>
      <c r="I251" s="66"/>
      <c r="J251" s="66"/>
      <c r="K251" s="66"/>
      <c r="L251" s="66"/>
      <c r="M251" s="66"/>
      <c r="N251" s="66"/>
      <c r="O251" s="66"/>
      <c r="P251" s="66"/>
    </row>
    <row r="252" spans="2:16" ht="15.75">
      <c r="B252" s="66"/>
      <c r="C252" s="66"/>
      <c r="D252" s="66" t="s">
        <v>7703</v>
      </c>
      <c r="E252" s="66"/>
      <c r="F252" s="66"/>
      <c r="G252" s="66"/>
      <c r="H252" s="66">
        <f>1400+2100</f>
        <v>3500</v>
      </c>
      <c r="I252" s="72">
        <f>H252/Valuation!$H$19</f>
        <v>265.95744680851061</v>
      </c>
      <c r="J252">
        <v>2016</v>
      </c>
      <c r="K252" s="66" t="s">
        <v>7704</v>
      </c>
      <c r="L252" s="66"/>
      <c r="M252" s="66"/>
      <c r="N252" s="66"/>
      <c r="O252" s="66"/>
      <c r="P252" s="66"/>
    </row>
    <row r="253" spans="2:16" ht="15.75">
      <c r="B253" s="66"/>
      <c r="C253" s="66"/>
      <c r="D253" s="66" t="s">
        <v>485</v>
      </c>
      <c r="E253" s="66"/>
      <c r="F253" s="66"/>
      <c r="G253" s="66"/>
      <c r="H253" s="66">
        <f>580+1270</f>
        <v>1850</v>
      </c>
      <c r="I253" s="72">
        <f>H253/Valuation!$H$19</f>
        <v>140.57750759878419</v>
      </c>
      <c r="J253" s="66" t="s">
        <v>7705</v>
      </c>
      <c r="K253" s="66"/>
      <c r="L253" s="66"/>
      <c r="M253" s="66"/>
      <c r="N253" s="66"/>
      <c r="O253" s="66"/>
      <c r="P253" s="66"/>
    </row>
    <row r="254" spans="2:16" ht="15.75">
      <c r="B254" s="66"/>
      <c r="C254" s="66" t="s">
        <v>7706</v>
      </c>
      <c r="D254" s="66"/>
      <c r="E254" s="66"/>
      <c r="F254" s="66"/>
      <c r="G254" s="66"/>
      <c r="H254" s="66"/>
      <c r="I254" s="66"/>
      <c r="J254" s="66"/>
      <c r="K254" s="66"/>
      <c r="L254" s="66"/>
      <c r="M254" s="66"/>
      <c r="N254" s="66"/>
      <c r="O254" s="66"/>
      <c r="P254" s="66"/>
    </row>
    <row r="255" spans="2:16" ht="15.75">
      <c r="B255" s="66"/>
      <c r="C255" s="66" t="s">
        <v>7707</v>
      </c>
      <c r="D255" s="66"/>
      <c r="E255" s="66"/>
      <c r="F255" s="66"/>
      <c r="G255" s="66"/>
      <c r="H255" s="66"/>
      <c r="I255" s="66"/>
      <c r="J255" s="66"/>
      <c r="K255" s="66"/>
      <c r="L255" s="66"/>
      <c r="M255" s="66"/>
      <c r="N255" s="66"/>
      <c r="O255" s="66"/>
      <c r="P255" s="66"/>
    </row>
    <row r="256" spans="2:16" ht="15.75">
      <c r="B256" s="66"/>
      <c r="C256" s="66" t="s">
        <v>7708</v>
      </c>
      <c r="D256" s="66"/>
      <c r="E256" s="66"/>
      <c r="F256" s="66"/>
      <c r="G256" s="66"/>
      <c r="H256" s="66"/>
      <c r="I256" s="66"/>
      <c r="J256" s="66"/>
      <c r="K256" s="66"/>
      <c r="L256" s="66"/>
      <c r="M256" s="66"/>
      <c r="N256" s="66"/>
      <c r="O256" s="66"/>
      <c r="P256" s="66"/>
    </row>
    <row r="272" spans="2:2">
      <c r="B272" t="s">
        <v>7709</v>
      </c>
    </row>
  </sheetData>
  <pageMargins left="0.70866141732283472" right="0.70866141732283472" top="0.74803149606299213" bottom="0.74803149606299213" header="0.31496062992125984" footer="0.31496062992125984"/>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8CC7E-6618-4EBD-A0FC-FB99CABD6249}">
  <dimension ref="B2:AC59"/>
  <sheetViews>
    <sheetView showGridLines="0" zoomScale="72" zoomScaleNormal="72" workbookViewId="0">
      <selection activeCell="K15" sqref="K15"/>
    </sheetView>
  </sheetViews>
  <sheetFormatPr defaultColWidth="9.42578125" defaultRowHeight="12.75"/>
  <cols>
    <col min="1" max="1" width="2.140625" style="661" customWidth="1"/>
    <col min="2" max="2" width="34.5703125" style="661" customWidth="1"/>
    <col min="3" max="3" width="9.42578125" style="661" hidden="1" customWidth="1"/>
    <col min="4" max="4" width="9.140625" style="661" hidden="1" customWidth="1"/>
    <col min="5" max="5" width="10.42578125" style="661" hidden="1" customWidth="1"/>
    <col min="6" max="13" width="10.42578125" style="661" customWidth="1"/>
    <col min="14" max="14" width="18" style="661" bestFit="1" customWidth="1"/>
    <col min="15" max="15" width="1.85546875" style="661" customWidth="1"/>
    <col min="16" max="16" width="24.140625" style="661" customWidth="1"/>
    <col min="17" max="17" width="11" style="661" hidden="1" customWidth="1"/>
    <col min="18" max="18" width="10.42578125" style="661" hidden="1" customWidth="1"/>
    <col min="19" max="19" width="10.5703125" style="661" hidden="1" customWidth="1"/>
    <col min="20" max="27" width="10.140625" style="661" customWidth="1"/>
    <col min="28" max="28" width="18" style="661" bestFit="1" customWidth="1"/>
    <col min="29" max="29" width="7.42578125" style="661" customWidth="1"/>
    <col min="30" max="16384" width="9.42578125" style="661"/>
  </cols>
  <sheetData>
    <row r="2" spans="2:29" ht="15">
      <c r="B2" s="791"/>
      <c r="C2" s="791"/>
      <c r="D2" s="791"/>
      <c r="E2" s="791"/>
      <c r="F2" s="791"/>
      <c r="G2" s="791"/>
      <c r="H2" s="791"/>
      <c r="I2" s="791"/>
      <c r="J2" s="791"/>
      <c r="K2" s="791"/>
      <c r="L2" s="791"/>
      <c r="M2" s="791"/>
      <c r="N2" s="791"/>
      <c r="O2" s="791"/>
      <c r="P2" s="791"/>
      <c r="Q2" s="791"/>
      <c r="R2" s="791"/>
      <c r="S2" s="791"/>
      <c r="T2" s="791"/>
      <c r="U2" s="791"/>
      <c r="V2" s="791"/>
      <c r="W2" s="791"/>
      <c r="X2" s="791"/>
      <c r="Y2" s="791"/>
      <c r="Z2" s="791"/>
      <c r="AA2" s="791"/>
      <c r="AB2" s="791"/>
    </row>
    <row r="3" spans="2:29" ht="15.75">
      <c r="B3" s="1572" t="s">
        <v>10</v>
      </c>
      <c r="C3" s="1573">
        <v>2022</v>
      </c>
      <c r="D3" s="1573">
        <v>2023</v>
      </c>
      <c r="E3" s="1573">
        <v>2024</v>
      </c>
      <c r="F3" s="1573">
        <v>2025</v>
      </c>
      <c r="G3" s="1573" t="s">
        <v>12</v>
      </c>
      <c r="H3" s="1573" t="s">
        <v>13</v>
      </c>
      <c r="I3" s="1573" t="s">
        <v>14</v>
      </c>
      <c r="J3" s="1573" t="s">
        <v>8185</v>
      </c>
      <c r="K3" s="1573" t="s">
        <v>8186</v>
      </c>
      <c r="L3" s="1573" t="s">
        <v>8198</v>
      </c>
      <c r="M3" s="1573" t="s">
        <v>8199</v>
      </c>
      <c r="N3" s="1573" t="s">
        <v>15</v>
      </c>
      <c r="O3" s="1574"/>
      <c r="P3" s="1572" t="str">
        <f t="shared" ref="P3:Y3" si="0">B3</f>
        <v>USD m</v>
      </c>
      <c r="Q3" s="1573">
        <f t="shared" si="0"/>
        <v>2022</v>
      </c>
      <c r="R3" s="1573">
        <f t="shared" si="0"/>
        <v>2023</v>
      </c>
      <c r="S3" s="1573">
        <f t="shared" si="0"/>
        <v>2024</v>
      </c>
      <c r="T3" s="1573">
        <f t="shared" si="0"/>
        <v>2025</v>
      </c>
      <c r="U3" s="1573" t="str">
        <f t="shared" si="0"/>
        <v>2026e</v>
      </c>
      <c r="V3" s="1573" t="str">
        <f t="shared" si="0"/>
        <v>2027e</v>
      </c>
      <c r="W3" s="1573" t="str">
        <f t="shared" si="0"/>
        <v>2028e</v>
      </c>
      <c r="X3" s="1573" t="str">
        <f t="shared" si="0"/>
        <v>2029e</v>
      </c>
      <c r="Y3" s="1573" t="str">
        <f t="shared" si="0"/>
        <v>2030e</v>
      </c>
      <c r="Z3" s="1573" t="str">
        <f t="shared" ref="Z3:AA3" si="1">L3</f>
        <v>2031e</v>
      </c>
      <c r="AA3" s="1573" t="str">
        <f t="shared" si="1"/>
        <v>2032e</v>
      </c>
      <c r="AB3" s="1573" t="s">
        <v>16</v>
      </c>
      <c r="AC3" s="1575"/>
    </row>
    <row r="4" spans="2:29" ht="15.75">
      <c r="B4" s="1576" t="s">
        <v>17</v>
      </c>
      <c r="C4" s="1576"/>
      <c r="D4" s="1576"/>
      <c r="E4" s="1576"/>
      <c r="F4" s="1609">
        <f>Valuation!B2</f>
        <v>2.93</v>
      </c>
      <c r="G4" s="1576"/>
      <c r="H4" s="1576"/>
      <c r="I4" s="1576"/>
      <c r="J4" s="1576"/>
      <c r="K4" s="1576"/>
      <c r="L4" s="1576"/>
      <c r="M4" s="1576"/>
      <c r="N4" s="1576"/>
      <c r="O4" s="1578"/>
      <c r="P4" s="1579" t="s">
        <v>18</v>
      </c>
      <c r="Q4" s="1580"/>
      <c r="R4" s="1580"/>
      <c r="S4" s="1580"/>
      <c r="T4" s="1580"/>
      <c r="U4" s="1580"/>
      <c r="V4" s="1580"/>
      <c r="W4" s="1580"/>
      <c r="X4" s="1580"/>
      <c r="Y4" s="1580"/>
      <c r="Z4" s="1580"/>
      <c r="AA4" s="1580"/>
      <c r="AB4" s="1580"/>
      <c r="AC4" s="1575"/>
    </row>
    <row r="5" spans="2:29" ht="15.75">
      <c r="B5" s="1578" t="s">
        <v>19</v>
      </c>
      <c r="C5" s="1581">
        <f>Valuation!R7</f>
        <v>573.38307692307694</v>
      </c>
      <c r="D5" s="1581">
        <f>Valuation!S7</f>
        <v>553.80598290598289</v>
      </c>
      <c r="E5" s="1581">
        <f>Valuation!T7</f>
        <v>539.23384615384612</v>
      </c>
      <c r="F5" s="1581">
        <f>Valuation!U7</f>
        <v>531.8201709401709</v>
      </c>
      <c r="G5" s="1581">
        <f>Valuation!V7</f>
        <v>531.8201709401709</v>
      </c>
      <c r="H5" s="1581">
        <f>Valuation!W7</f>
        <v>660.46632478632478</v>
      </c>
      <c r="I5" s="1581">
        <f>Valuation!X7</f>
        <v>660.46632478632478</v>
      </c>
      <c r="J5" s="1581">
        <f>Valuation!Y7</f>
        <v>660.46632478632478</v>
      </c>
      <c r="K5" s="1581">
        <f>Valuation!Z7</f>
        <v>660.46632478632478</v>
      </c>
      <c r="L5" s="1581">
        <f>Valuation!AA7</f>
        <v>660.46632478632478</v>
      </c>
      <c r="M5" s="1581">
        <f>Valuation!AB7</f>
        <v>660.46632478632478</v>
      </c>
      <c r="N5" s="1578"/>
      <c r="O5" s="1578"/>
      <c r="P5" s="1578" t="s">
        <v>20</v>
      </c>
      <c r="Q5" s="1582">
        <f>C12/C25</f>
        <v>1.6505955381287392</v>
      </c>
      <c r="R5" s="1582"/>
      <c r="S5" s="1582"/>
      <c r="T5" s="1582">
        <f t="shared" ref="T5:Y5" si="2">F12/F25</f>
        <v>1.7309235418140694</v>
      </c>
      <c r="U5" s="1582">
        <f t="shared" ca="1" si="2"/>
        <v>1.6202326167505749</v>
      </c>
      <c r="V5" s="1582">
        <f t="shared" ca="1" si="2"/>
        <v>1.6492477854725665</v>
      </c>
      <c r="W5" s="1582">
        <f t="shared" ca="1" si="2"/>
        <v>1.5977171398105146</v>
      </c>
      <c r="X5" s="1582">
        <f t="shared" ca="1" si="2"/>
        <v>1.493311669581983</v>
      </c>
      <c r="Y5" s="1582">
        <f t="shared" ca="1" si="2"/>
        <v>1.371758487308266</v>
      </c>
      <c r="Z5" s="1582">
        <f t="shared" ref="Z5:AA5" ca="1" si="3">L12/L25</f>
        <v>1.2409661626595456</v>
      </c>
      <c r="AA5" s="1582">
        <f t="shared" ca="1" si="3"/>
        <v>1.1108257901954885</v>
      </c>
      <c r="AB5" s="1578"/>
      <c r="AC5" s="1575"/>
    </row>
    <row r="6" spans="2:29" ht="15.75">
      <c r="B6" s="1576" t="s">
        <v>21</v>
      </c>
      <c r="C6" s="1583">
        <f t="shared" ref="C6:I6" si="4">$F$4*C5</f>
        <v>1680.0124153846155</v>
      </c>
      <c r="D6" s="1583">
        <f t="shared" si="4"/>
        <v>1622.6515299145299</v>
      </c>
      <c r="E6" s="1583">
        <f t="shared" si="4"/>
        <v>1579.9551692307691</v>
      </c>
      <c r="F6" s="1583">
        <f t="shared" si="4"/>
        <v>1558.2331008547008</v>
      </c>
      <c r="G6" s="1583">
        <f t="shared" si="4"/>
        <v>1558.2331008547008</v>
      </c>
      <c r="H6" s="1583">
        <f t="shared" si="4"/>
        <v>1935.1663316239317</v>
      </c>
      <c r="I6" s="1583">
        <f t="shared" si="4"/>
        <v>1935.1663316239317</v>
      </c>
      <c r="J6" s="1583">
        <f t="shared" ref="J6:K6" si="5">$F$4*J5</f>
        <v>1935.1663316239317</v>
      </c>
      <c r="K6" s="1583">
        <f t="shared" si="5"/>
        <v>1935.1663316239317</v>
      </c>
      <c r="L6" s="1583">
        <f t="shared" ref="L6:M6" si="6">$F$4*L5</f>
        <v>1935.1663316239317</v>
      </c>
      <c r="M6" s="1583">
        <f t="shared" si="6"/>
        <v>1935.1663316239317</v>
      </c>
      <c r="N6" s="1576"/>
      <c r="O6" s="1578"/>
      <c r="P6" s="1576" t="s">
        <v>22</v>
      </c>
      <c r="Q6" s="1584">
        <f>C12/C26</f>
        <v>4.7770957835382006</v>
      </c>
      <c r="R6" s="1584"/>
      <c r="S6" s="1584"/>
      <c r="T6" s="1584">
        <f t="shared" ref="T6:Y6" si="7">F12/F26</f>
        <v>4.9372869262761601</v>
      </c>
      <c r="U6" s="1584">
        <f t="shared" ca="1" si="7"/>
        <v>4.5616642419427773</v>
      </c>
      <c r="V6" s="1584">
        <f t="shared" ca="1" si="7"/>
        <v>4.6535848695687063</v>
      </c>
      <c r="W6" s="1584">
        <f t="shared" ca="1" si="7"/>
        <v>4.4816797140701796</v>
      </c>
      <c r="X6" s="1584">
        <f t="shared" ca="1" si="7"/>
        <v>4.1929073756965121</v>
      </c>
      <c r="Y6" s="1584">
        <f t="shared" ca="1" si="7"/>
        <v>3.8562289208679008</v>
      </c>
      <c r="Z6" s="1584">
        <f t="shared" ref="Z6:AA6" ca="1" si="8">L12/L26</f>
        <v>3.4998752568776075</v>
      </c>
      <c r="AA6" s="1584">
        <f t="shared" ca="1" si="8"/>
        <v>3.1506990768237864</v>
      </c>
      <c r="AB6" s="1576"/>
      <c r="AC6" s="1575"/>
    </row>
    <row r="7" spans="2:29" ht="15.75">
      <c r="B7" s="1578" t="s">
        <v>23</v>
      </c>
      <c r="C7" s="1581">
        <f>Valuation!R15</f>
        <v>3106.8473396320237</v>
      </c>
      <c r="D7" s="1581">
        <f>Valuation!S15</f>
        <v>3572.9445197740106</v>
      </c>
      <c r="E7" s="1581">
        <f>Valuation!T15</f>
        <v>3395.7719672131147</v>
      </c>
      <c r="F7" s="1581">
        <f>Valuation!U15</f>
        <v>2868.9161021365294</v>
      </c>
      <c r="G7" s="1581">
        <f ca="1">Valuation!V15</f>
        <v>3147.336304565541</v>
      </c>
      <c r="H7" s="1581">
        <f ca="1">Valuation!W15</f>
        <v>3124.4977400608218</v>
      </c>
      <c r="I7" s="1581">
        <f ca="1">Valuation!X15</f>
        <v>3088.3537172014603</v>
      </c>
      <c r="J7" s="1581">
        <f ca="1">Valuation!Y15</f>
        <v>2945.998584219426</v>
      </c>
      <c r="K7" s="1581">
        <f ca="1">Valuation!Z15</f>
        <v>2785.9761840510296</v>
      </c>
      <c r="L7" s="1581">
        <f ca="1">Valuation!AA15</f>
        <v>2610.5273050309311</v>
      </c>
      <c r="M7" s="1581">
        <f ca="1">Valuation!AB15</f>
        <v>2426.0919206590634</v>
      </c>
      <c r="N7" s="1578"/>
      <c r="O7" s="1578"/>
      <c r="P7" s="1578" t="s">
        <v>24</v>
      </c>
      <c r="Q7" s="1582">
        <f>C12/C28</f>
        <v>8.7951641243584753</v>
      </c>
      <c r="R7" s="1582"/>
      <c r="S7" s="1582"/>
      <c r="T7" s="1582">
        <f t="shared" ref="T7:Y7" si="9">F12/F28</f>
        <v>7.898503480524842</v>
      </c>
      <c r="U7" s="1582">
        <f t="shared" ca="1" si="9"/>
        <v>8.2896358069064071</v>
      </c>
      <c r="V7" s="1582">
        <f t="shared" ca="1" si="9"/>
        <v>7.302793493669907</v>
      </c>
      <c r="W7" s="1582">
        <f t="shared" ca="1" si="9"/>
        <v>6.7650376382420214</v>
      </c>
      <c r="X7" s="1582">
        <f t="shared" ca="1" si="9"/>
        <v>6.219682101841415</v>
      </c>
      <c r="Y7" s="1582">
        <f t="shared" ca="1" si="9"/>
        <v>5.6357978418920407</v>
      </c>
      <c r="Z7" s="1582">
        <f t="shared" ref="Z7:AA7" ca="1" si="10">L12/L28</f>
        <v>5.0526336467530246</v>
      </c>
      <c r="AA7" s="1582">
        <f t="shared" ca="1" si="10"/>
        <v>4.516584376949127</v>
      </c>
      <c r="AB7" s="1585"/>
      <c r="AC7" s="1575"/>
    </row>
    <row r="8" spans="2:29" ht="15.75">
      <c r="B8" s="1576" t="s">
        <v>25</v>
      </c>
      <c r="C8" s="1583">
        <f>SOP!$C$17*VOD!F215</f>
        <v>4268.9699999999993</v>
      </c>
      <c r="D8" s="1583">
        <f>SOP!$C$17*VOD!G215</f>
        <v>4346.4150000000009</v>
      </c>
      <c r="E8" s="1583">
        <f>SOP!$C$17*VOD!H215</f>
        <v>4121.4150000000009</v>
      </c>
      <c r="F8" s="1583">
        <f>SOP!$C$17*VOD!I215</f>
        <v>4000.4100000000008</v>
      </c>
      <c r="G8" s="1583">
        <f>SOP!$C$17*VOD!J215</f>
        <v>3688.6617282600009</v>
      </c>
      <c r="H8" s="1583">
        <f>SOP!$C$17*VOD!K215</f>
        <v>3362.6500700367064</v>
      </c>
      <c r="I8" s="1583">
        <f>SOP!$C$17*VOD!L215</f>
        <v>3011.2150907282744</v>
      </c>
      <c r="J8" s="1583">
        <f>SOP!$C$17*VOD!M215</f>
        <v>2639.2010111443342</v>
      </c>
      <c r="K8" s="1583">
        <f>SOP!$C$17*VOD!N215</f>
        <v>2247.8860742314378</v>
      </c>
      <c r="L8" s="1583">
        <f>SOP!$C$17*VOD!O215</f>
        <v>1839.7275678861502</v>
      </c>
      <c r="M8" s="1583">
        <f>SOP!$C$17*VOD!P215</f>
        <v>1416.5452477536533</v>
      </c>
      <c r="N8" s="1576"/>
      <c r="O8" s="1578"/>
      <c r="P8" s="1576" t="s">
        <v>26</v>
      </c>
      <c r="Q8" s="1584">
        <f>C12/C29</f>
        <v>12.215505728275659</v>
      </c>
      <c r="R8" s="1584"/>
      <c r="S8" s="1584"/>
      <c r="T8" s="1584">
        <f t="shared" ref="T8:Y8" si="11">F12/F29</f>
        <v>10.970143722951169</v>
      </c>
      <c r="U8" s="1584">
        <f t="shared" ca="1" si="11"/>
        <v>11.513383065147787</v>
      </c>
      <c r="V8" s="1584">
        <f t="shared" ca="1" si="11"/>
        <v>10.142768741208204</v>
      </c>
      <c r="W8" s="1584">
        <f t="shared" ca="1" si="11"/>
        <v>9.3958856086694738</v>
      </c>
      <c r="X8" s="1584">
        <f t="shared" ca="1" si="11"/>
        <v>8.6384473636686323</v>
      </c>
      <c r="Y8" s="1584">
        <f t="shared" ca="1" si="11"/>
        <v>7.8274970026278341</v>
      </c>
      <c r="Z8" s="1584">
        <f t="shared" ref="Z8:AA8" ca="1" si="12">L12/L29</f>
        <v>7.0175467316014233</v>
      </c>
      <c r="AA8" s="1584">
        <f t="shared" ca="1" si="12"/>
        <v>6.2730338568737878</v>
      </c>
      <c r="AB8" s="1576"/>
      <c r="AC8" s="1575"/>
    </row>
    <row r="9" spans="2:29" ht="15.75">
      <c r="B9" s="1578" t="str">
        <f>Valuation!A61</f>
        <v>Associates</v>
      </c>
      <c r="C9" s="1581">
        <f>Valuation!R61</f>
        <v>-50</v>
      </c>
      <c r="D9" s="1581">
        <f>Valuation!S61</f>
        <v>-50</v>
      </c>
      <c r="E9" s="1581">
        <f>Valuation!T61</f>
        <v>-50</v>
      </c>
      <c r="F9" s="1581">
        <f>Valuation!U61</f>
        <v>-50</v>
      </c>
      <c r="G9" s="1581">
        <f>Valuation!V61</f>
        <v>-50</v>
      </c>
      <c r="H9" s="1581">
        <f>Valuation!W61</f>
        <v>-50</v>
      </c>
      <c r="I9" s="1581">
        <f>Valuation!X61</f>
        <v>-50</v>
      </c>
      <c r="J9" s="1581">
        <f>Valuation!Y61</f>
        <v>-50</v>
      </c>
      <c r="K9" s="1581">
        <f>Valuation!Z61</f>
        <v>-50</v>
      </c>
      <c r="L9" s="1581">
        <f>Valuation!AA61</f>
        <v>-50</v>
      </c>
      <c r="M9" s="1581">
        <f>Valuation!AB61</f>
        <v>-50</v>
      </c>
      <c r="N9" s="1578"/>
      <c r="O9" s="1578"/>
      <c r="P9" s="1578" t="s">
        <v>27</v>
      </c>
      <c r="Q9" s="1582">
        <f>$F$4/C20</f>
        <v>-2.6495854601523332</v>
      </c>
      <c r="R9" s="1582"/>
      <c r="S9" s="1582"/>
      <c r="T9" s="1582">
        <f t="shared" ref="T9:Y9" si="13">$F$4/F20</f>
        <v>-40.06953723597082</v>
      </c>
      <c r="U9" s="1582">
        <f t="shared" ca="1" si="13"/>
        <v>-262.30332263095283</v>
      </c>
      <c r="V9" s="1582">
        <f t="shared" ca="1" si="13"/>
        <v>104.74858485862286</v>
      </c>
      <c r="W9" s="1582">
        <f t="shared" ca="1" si="13"/>
        <v>43.89336249095642</v>
      </c>
      <c r="X9" s="1582">
        <f t="shared" ca="1" si="13"/>
        <v>20.799915570969866</v>
      </c>
      <c r="Y9" s="1582">
        <f t="shared" ca="1" si="13"/>
        <v>12.60226095639587</v>
      </c>
      <c r="Z9" s="1582">
        <f t="shared" ref="Z9:AA9" ca="1" si="14">$F$4/L20</f>
        <v>9.0428162436347037</v>
      </c>
      <c r="AA9" s="1582">
        <f t="shared" ca="1" si="14"/>
        <v>7.3341043202298026</v>
      </c>
      <c r="AB9" s="1578"/>
      <c r="AC9" s="1575"/>
    </row>
    <row r="10" spans="2:29" ht="15.75">
      <c r="B10" s="1576" t="str">
        <f>Valuation!A62</f>
        <v>Minorities</v>
      </c>
      <c r="C10" s="1583">
        <f>Valuation!R62</f>
        <v>693.19143129330246</v>
      </c>
      <c r="D10" s="1583">
        <f>Valuation!S62</f>
        <v>693.19143129330246</v>
      </c>
      <c r="E10" s="1583">
        <f>Valuation!T62</f>
        <v>693.19143129330246</v>
      </c>
      <c r="F10" s="1583">
        <f>Valuation!U62</f>
        <v>693.19143129330246</v>
      </c>
      <c r="G10" s="1583">
        <f>Valuation!V62</f>
        <v>693.19143129330246</v>
      </c>
      <c r="H10" s="1583">
        <f>Valuation!W62</f>
        <v>693.19143129330246</v>
      </c>
      <c r="I10" s="1583">
        <f>Valuation!X62</f>
        <v>693.19143129330246</v>
      </c>
      <c r="J10" s="1583">
        <f>Valuation!Y62</f>
        <v>693.19143129330246</v>
      </c>
      <c r="K10" s="1583">
        <f>Valuation!Z62</f>
        <v>693.19143129330246</v>
      </c>
      <c r="L10" s="1583">
        <f>Valuation!AA62</f>
        <v>693.19143129330246</v>
      </c>
      <c r="M10" s="1583">
        <f>Valuation!AB62</f>
        <v>693.19143129330246</v>
      </c>
      <c r="N10" s="1576"/>
      <c r="O10" s="1578"/>
      <c r="P10" s="1576" t="s">
        <v>28</v>
      </c>
      <c r="Q10" s="1586">
        <f>Valuation!R49</f>
        <v>-0.41251419295615921</v>
      </c>
      <c r="R10" s="1586"/>
      <c r="S10" s="1586"/>
      <c r="T10" s="1586">
        <f>Anna!AD204</f>
        <v>0.12478732540355313</v>
      </c>
      <c r="U10" s="1586">
        <f ca="1">Anna!AE204</f>
        <v>-2.8389954055223639E-3</v>
      </c>
      <c r="V10" s="1586">
        <f ca="1">Anna!AF204</f>
        <v>8.5992161290297978E-2</v>
      </c>
      <c r="W10" s="1586">
        <f ca="1">Anna!AG204</f>
        <v>9.3368396139098073E-2</v>
      </c>
      <c r="X10" s="1586">
        <f ca="1">Anna!AH204</f>
        <v>9.5421180528045352E-2</v>
      </c>
      <c r="Y10" s="1586">
        <f ca="1">Anna!AI204</f>
        <v>0.10487901363965021</v>
      </c>
      <c r="Z10" s="1586">
        <f ca="1">Anna!AJ204</f>
        <v>0.11144994996190354</v>
      </c>
      <c r="AA10" s="1586">
        <f ca="1">Anna!AK204</f>
        <v>0.11530598331859414</v>
      </c>
      <c r="AB10" s="1576"/>
      <c r="AC10" s="1575"/>
    </row>
    <row r="11" spans="2:29" ht="15.75">
      <c r="B11" s="1587" t="s">
        <v>29</v>
      </c>
      <c r="C11" s="1588">
        <f>Valuation!R60</f>
        <v>0</v>
      </c>
      <c r="D11" s="1588">
        <f>Valuation!S60</f>
        <v>0</v>
      </c>
      <c r="E11" s="1588">
        <f>Valuation!T60</f>
        <v>0</v>
      </c>
      <c r="F11" s="1588">
        <f>Valuation!U60</f>
        <v>0</v>
      </c>
      <c r="G11" s="1588">
        <f>Valuation!V60</f>
        <v>0</v>
      </c>
      <c r="H11" s="1588">
        <f>Valuation!W60</f>
        <v>-70.238471107358833</v>
      </c>
      <c r="I11" s="1588">
        <f>Valuation!X60</f>
        <v>-139.09971729104396</v>
      </c>
      <c r="J11" s="1588">
        <f>Valuation!Y60</f>
        <v>-206.6107429613235</v>
      </c>
      <c r="K11" s="1588">
        <f>Valuation!Z60</f>
        <v>-272.79802303022501</v>
      </c>
      <c r="L11" s="1588">
        <f>Valuation!AA60</f>
        <v>-337.68751329385395</v>
      </c>
      <c r="M11" s="1588">
        <f>Valuation!AB60</f>
        <v>-401.30466061113719</v>
      </c>
      <c r="N11" s="1587"/>
      <c r="O11" s="1578"/>
      <c r="P11" s="1585"/>
      <c r="Q11" s="1585"/>
      <c r="R11" s="1585"/>
      <c r="S11" s="1585"/>
      <c r="T11" s="1585"/>
      <c r="U11" s="1585"/>
      <c r="V11" s="1585"/>
      <c r="W11" s="1585"/>
      <c r="X11" s="1585"/>
      <c r="Y11" s="1585"/>
      <c r="Z11" s="1585"/>
      <c r="AA11" s="1585"/>
      <c r="AB11" s="1578"/>
      <c r="AC11" s="1575"/>
    </row>
    <row r="12" spans="2:29" ht="15.75">
      <c r="B12" s="1576" t="s">
        <v>30</v>
      </c>
      <c r="C12" s="1583">
        <f t="shared" ref="C12:I12" si="15">SUM(C6:C11)</f>
        <v>9699.0211863099412</v>
      </c>
      <c r="D12" s="1583">
        <f t="shared" si="15"/>
        <v>10185.202480981843</v>
      </c>
      <c r="E12" s="1583">
        <f t="shared" si="15"/>
        <v>9740.333567737187</v>
      </c>
      <c r="F12" s="1583">
        <f t="shared" si="15"/>
        <v>9070.7506342845318</v>
      </c>
      <c r="G12" s="1583">
        <f t="shared" ca="1" si="15"/>
        <v>9037.4225649735436</v>
      </c>
      <c r="H12" s="1583">
        <f t="shared" ca="1" si="15"/>
        <v>8995.2671019074023</v>
      </c>
      <c r="I12" s="1583">
        <f t="shared" ca="1" si="15"/>
        <v>8538.8268535559237</v>
      </c>
      <c r="J12" s="1583">
        <f t="shared" ref="J12:K12" ca="1" si="16">SUM(J6:J11)</f>
        <v>7956.9466153196699</v>
      </c>
      <c r="K12" s="1583">
        <f t="shared" ca="1" si="16"/>
        <v>7339.421998169476</v>
      </c>
      <c r="L12" s="1583">
        <f t="shared" ref="L12:M12" ca="1" si="17">SUM(L6:L11)</f>
        <v>6690.9251225404614</v>
      </c>
      <c r="M12" s="1583">
        <f t="shared" ca="1" si="17"/>
        <v>6019.6902707188137</v>
      </c>
      <c r="N12" s="1576"/>
      <c r="O12" s="1578"/>
      <c r="P12" s="1589" t="s">
        <v>31</v>
      </c>
      <c r="Q12" s="1590"/>
      <c r="R12" s="1590"/>
      <c r="S12" s="1590"/>
      <c r="T12" s="1590"/>
      <c r="U12" s="1590"/>
      <c r="V12" s="1590"/>
      <c r="W12" s="1590"/>
      <c r="X12" s="1590"/>
      <c r="Y12" s="1590"/>
      <c r="Z12" s="1590"/>
      <c r="AA12" s="1590"/>
      <c r="AB12" s="1576"/>
      <c r="AC12" s="1575"/>
    </row>
    <row r="13" spans="2:29" ht="15.75">
      <c r="B13" s="1591"/>
      <c r="C13" s="1578"/>
      <c r="D13" s="1578"/>
      <c r="E13" s="1578"/>
      <c r="F13" s="1578"/>
      <c r="G13" s="1578"/>
      <c r="H13" s="1578"/>
      <c r="I13" s="1578"/>
      <c r="J13" s="1578"/>
      <c r="K13" s="1578"/>
      <c r="L13" s="1578"/>
      <c r="M13" s="1578"/>
      <c r="N13" s="1578"/>
      <c r="O13" s="1578"/>
      <c r="P13" s="1578" t="str">
        <f>P40</f>
        <v>Sky</v>
      </c>
      <c r="Q13" s="1592">
        <f t="shared" ref="Q13:T17" si="18">Q40/Q$44</f>
        <v>0.17062394638641484</v>
      </c>
      <c r="R13" s="1592">
        <f t="shared" si="18"/>
        <v>0.1687915162385345</v>
      </c>
      <c r="S13" s="1592">
        <f t="shared" si="18"/>
        <v>0.16915277386203015</v>
      </c>
      <c r="T13" s="1592">
        <f t="shared" si="18"/>
        <v>0.11765005328269852</v>
      </c>
      <c r="U13" s="1592">
        <f t="shared" ref="U13:W17" si="19">U40/U$44</f>
        <v>9.201728092349809E-2</v>
      </c>
      <c r="V13" s="1592">
        <f t="shared" si="19"/>
        <v>6.3809488819959792E-2</v>
      </c>
      <c r="W13" s="1592">
        <f t="shared" si="19"/>
        <v>3.0042806333540381E-2</v>
      </c>
      <c r="X13" s="1592">
        <f t="shared" ref="X13:Y13" si="20">X40/X$44</f>
        <v>1.5701619440416269E-2</v>
      </c>
      <c r="Y13" s="1592">
        <f t="shared" si="20"/>
        <v>8.8768850461212658E-3</v>
      </c>
      <c r="Z13" s="1592">
        <f t="shared" ref="Z13:AA13" si="21">Z40/Z$44</f>
        <v>7.7546791679276228E-3</v>
      </c>
      <c r="AA13" s="1592">
        <f t="shared" si="21"/>
        <v>6.8717242879595365E-3</v>
      </c>
      <c r="AB13" s="1578"/>
      <c r="AC13" s="1575"/>
    </row>
    <row r="14" spans="2:29" ht="15.75">
      <c r="B14" s="1589" t="s">
        <v>32</v>
      </c>
      <c r="C14" s="1576"/>
      <c r="D14" s="1576"/>
      <c r="E14" s="1576"/>
      <c r="F14" s="1576"/>
      <c r="G14" s="1576"/>
      <c r="H14" s="1576"/>
      <c r="I14" s="1576"/>
      <c r="J14" s="1576"/>
      <c r="K14" s="1576"/>
      <c r="L14" s="1576"/>
      <c r="M14" s="1576"/>
      <c r="N14" s="1576"/>
      <c r="O14" s="1578"/>
      <c r="P14" s="1576" t="str">
        <f>P41</f>
        <v>Cable</v>
      </c>
      <c r="Q14" s="1593">
        <f t="shared" si="18"/>
        <v>0.44350934190188657</v>
      </c>
      <c r="R14" s="1593">
        <f t="shared" si="18"/>
        <v>0.46217346084327648</v>
      </c>
      <c r="S14" s="1593">
        <f t="shared" si="18"/>
        <v>0.56081002779251399</v>
      </c>
      <c r="T14" s="1593">
        <f t="shared" si="18"/>
        <v>0.501688856152817</v>
      </c>
      <c r="U14" s="1593">
        <f t="shared" si="19"/>
        <v>0.54537901834238389</v>
      </c>
      <c r="V14" s="1593">
        <f t="shared" si="19"/>
        <v>0.56017465474399164</v>
      </c>
      <c r="W14" s="1593">
        <f t="shared" si="19"/>
        <v>0.57936001447473906</v>
      </c>
      <c r="X14" s="1593">
        <f t="shared" ref="X14:Y14" si="22">X41/X$44</f>
        <v>0.58318913090242352</v>
      </c>
      <c r="Y14" s="1593">
        <f t="shared" si="22"/>
        <v>0.58520680027861183</v>
      </c>
      <c r="Z14" s="1593">
        <f t="shared" ref="Z14:AA14" si="23">Z41/Z$44</f>
        <v>0.58622974313030463</v>
      </c>
      <c r="AA14" s="1593">
        <f t="shared" si="23"/>
        <v>0.58761037435442109</v>
      </c>
      <c r="AB14" s="1586"/>
      <c r="AC14" s="1575"/>
    </row>
    <row r="15" spans="2:29" ht="15.75">
      <c r="B15" s="1585" t="s">
        <v>33</v>
      </c>
      <c r="C15" s="1581">
        <f>Master!U28/Master!U$7</f>
        <v>3755.6737941322731</v>
      </c>
      <c r="D15" s="1581">
        <f>Master!V28/Master!V$7</f>
        <v>4167.6779661016953</v>
      </c>
      <c r="E15" s="1581">
        <f>Master!W28/Master!W$7</f>
        <v>3402.2330054644808</v>
      </c>
      <c r="F15" s="1581">
        <f>Master!X28/Master!X$7</f>
        <v>3068.170922355393</v>
      </c>
      <c r="G15" s="1581">
        <f>Master!Y28/Master!Y$7</f>
        <v>3287.191626835589</v>
      </c>
      <c r="H15" s="1581">
        <f>Master!Z28/Master!Z$7</f>
        <v>3099.9343684332352</v>
      </c>
      <c r="I15" s="1581">
        <f>Master!AA28/Master!AA$7</f>
        <v>2904.8761547879708</v>
      </c>
      <c r="J15" s="1581">
        <f>Master!AB28/Master!AB$7</f>
        <v>2816.9573450505</v>
      </c>
      <c r="K15" s="1581">
        <f>Master!AC28/Master!AC$7</f>
        <v>2773.2171906019244</v>
      </c>
      <c r="L15" s="1581">
        <f>Master!AD28/Master!AD$7</f>
        <v>2753.4077029082327</v>
      </c>
      <c r="M15" s="1581">
        <f>Master!AE28/Master!AE$7</f>
        <v>2722.7432695996235</v>
      </c>
      <c r="N15" s="1594">
        <f>(I15/F15)^(1/2)-1</f>
        <v>-2.6974916727540155E-2</v>
      </c>
      <c r="O15" s="1578"/>
      <c r="P15" s="1578" t="str">
        <f>P42</f>
        <v>HQ/other</v>
      </c>
      <c r="Q15" s="1592">
        <f t="shared" si="18"/>
        <v>-2.0824304924341713E-2</v>
      </c>
      <c r="R15" s="1592">
        <f t="shared" si="18"/>
        <v>-9.8452391873786651E-3</v>
      </c>
      <c r="S15" s="1592">
        <f t="shared" si="18"/>
        <v>-0.19788305128601547</v>
      </c>
      <c r="T15" s="1592">
        <f t="shared" si="18"/>
        <v>-5.0920387189691885E-2</v>
      </c>
      <c r="U15" s="1592">
        <f t="shared" si="19"/>
        <v>-4.6116364279220008E-2</v>
      </c>
      <c r="V15" s="1592">
        <f t="shared" si="19"/>
        <v>-4.4688911672957556E-2</v>
      </c>
      <c r="W15" s="1592">
        <f t="shared" si="19"/>
        <v>-4.1632976067111895E-2</v>
      </c>
      <c r="X15" s="1592">
        <f t="shared" ref="X15:Y15" si="24">X42/X$44</f>
        <v>-4.0554934428115613E-2</v>
      </c>
      <c r="Y15" s="1592">
        <f t="shared" si="24"/>
        <v>-3.9819812094887927E-2</v>
      </c>
      <c r="Z15" s="1592">
        <f t="shared" ref="Z15:AA15" si="25">Z42/Z$44</f>
        <v>-3.9365158201671115E-2</v>
      </c>
      <c r="AA15" s="1592">
        <f t="shared" si="25"/>
        <v>-3.8957984190163622E-2</v>
      </c>
      <c r="AB15" s="1594"/>
      <c r="AC15" s="1575"/>
    </row>
    <row r="16" spans="2:29" ht="15.75">
      <c r="B16" s="1576" t="s">
        <v>34</v>
      </c>
      <c r="C16" s="1583">
        <f>Master!U63/Master!U$7</f>
        <v>1269.8175037294877</v>
      </c>
      <c r="D16" s="1583">
        <f>Master!V63/Master!V$7</f>
        <v>1362.9717514124295</v>
      </c>
      <c r="E16" s="1583">
        <f>Master!W63/Master!W$7</f>
        <v>966.77683060109268</v>
      </c>
      <c r="F16" s="1583">
        <f>Master!X63/Master!X$7</f>
        <v>1114.4033350703492</v>
      </c>
      <c r="G16" s="1583">
        <f>Master!Y63/Master!Y$7</f>
        <v>1248.6632557746232</v>
      </c>
      <c r="H16" s="1583">
        <f>Master!Z63/Master!Z$7</f>
        <v>1199.2317871252098</v>
      </c>
      <c r="I16" s="1583">
        <f>Master!AA63/Master!AA$7</f>
        <v>1147.0111309830852</v>
      </c>
      <c r="J16" s="1583">
        <f>Master!AB63/Master!AB$7</f>
        <v>1126.3805467189595</v>
      </c>
      <c r="K16" s="1583">
        <f>Master!AC63/Master!AC$7</f>
        <v>1122.7568190019381</v>
      </c>
      <c r="L16" s="1583">
        <f>Master!AD63/Master!AD$7</f>
        <v>1128.5038447081065</v>
      </c>
      <c r="M16" s="1583">
        <f>Master!AE63/Master!AE$7</f>
        <v>1129.5495236935265</v>
      </c>
      <c r="N16" s="1586">
        <f>(I16/F16)^(1/2)-1</f>
        <v>1.4524675872215065E-2</v>
      </c>
      <c r="O16" s="1594"/>
      <c r="P16" s="1595" t="str">
        <f>P43</f>
        <v>TelevisaUnivision</v>
      </c>
      <c r="Q16" s="1596">
        <f t="shared" si="18"/>
        <v>0.40669101663604046</v>
      </c>
      <c r="R16" s="1596">
        <f t="shared" si="18"/>
        <v>0.37888026210556769</v>
      </c>
      <c r="S16" s="1596">
        <f t="shared" si="18"/>
        <v>0.46792024963147139</v>
      </c>
      <c r="T16" s="1596">
        <f t="shared" si="18"/>
        <v>0.43158147775417638</v>
      </c>
      <c r="U16" s="1596">
        <f t="shared" si="19"/>
        <v>0.40872006501333807</v>
      </c>
      <c r="V16" s="1596">
        <f t="shared" si="19"/>
        <v>0.42070476810900614</v>
      </c>
      <c r="W16" s="1596">
        <f t="shared" si="19"/>
        <v>0.43223015525883235</v>
      </c>
      <c r="X16" s="1596">
        <f t="shared" ref="X16:Y16" si="26">X43/X$44</f>
        <v>0.44166418408527597</v>
      </c>
      <c r="Y16" s="1596">
        <f t="shared" si="26"/>
        <v>0.44573612677015473</v>
      </c>
      <c r="Z16" s="1596">
        <f t="shared" ref="Z16:AA16" si="27">Z43/Z$44</f>
        <v>0.44538073590343885</v>
      </c>
      <c r="AA16" s="1596">
        <f t="shared" si="27"/>
        <v>0.444475885547783</v>
      </c>
      <c r="AB16" s="1586"/>
      <c r="AC16" s="1575"/>
    </row>
    <row r="17" spans="2:29" ht="15.75">
      <c r="B17" s="1585" t="s">
        <v>35</v>
      </c>
      <c r="C17" s="1581">
        <f>Master!U87/Master!U$7</f>
        <v>856</v>
      </c>
      <c r="D17" s="1581">
        <f>Master!V87/Master!V$7</f>
        <v>819.40000000000009</v>
      </c>
      <c r="E17" s="1581">
        <f>Master!W87/Master!W$7</f>
        <v>497.13114754098359</v>
      </c>
      <c r="F17" s="1581">
        <f>Master!X87/Master!X$7</f>
        <v>635.04950495049502</v>
      </c>
      <c r="G17" s="1581">
        <f>Master!Y87/Master!Y$7</f>
        <v>822.24052330950258</v>
      </c>
      <c r="H17" s="1581">
        <f>Master!Z87/Master!Z$7</f>
        <v>630.59194795265967</v>
      </c>
      <c r="I17" s="1581">
        <f>Master!AA87/Master!AA$7</f>
        <v>569.88884269967753</v>
      </c>
      <c r="J17" s="1581">
        <f>Master!AB87/Master!AB$7</f>
        <v>543.05558500626523</v>
      </c>
      <c r="K17" s="1581">
        <f>Master!AC87/Master!AC$7</f>
        <v>523.66311190781551</v>
      </c>
      <c r="L17" s="1581">
        <f>Master!AD87/Master!AD$7</f>
        <v>508.36701479859192</v>
      </c>
      <c r="M17" s="1581">
        <f>Master!AE87/Master!AE$7</f>
        <v>496.90064670193129</v>
      </c>
      <c r="N17" s="1594">
        <f>(I17/F17)^(1/2)-1</f>
        <v>-5.269182249268034E-2</v>
      </c>
      <c r="O17" s="1594"/>
      <c r="P17" s="1585" t="str">
        <f>P44</f>
        <v>Group Prop</v>
      </c>
      <c r="Q17" s="1592">
        <f t="shared" si="18"/>
        <v>1</v>
      </c>
      <c r="R17" s="1592">
        <f t="shared" si="18"/>
        <v>1</v>
      </c>
      <c r="S17" s="1592">
        <f t="shared" si="18"/>
        <v>1</v>
      </c>
      <c r="T17" s="1592">
        <f t="shared" si="18"/>
        <v>1</v>
      </c>
      <c r="U17" s="1592">
        <f t="shared" si="19"/>
        <v>1</v>
      </c>
      <c r="V17" s="1592">
        <f t="shared" si="19"/>
        <v>1</v>
      </c>
      <c r="W17" s="1592">
        <f t="shared" si="19"/>
        <v>1</v>
      </c>
      <c r="X17" s="1592">
        <f t="shared" ref="X17:Y17" si="28">X44/X$44</f>
        <v>1</v>
      </c>
      <c r="Y17" s="1592">
        <f t="shared" si="28"/>
        <v>1</v>
      </c>
      <c r="Z17" s="1592">
        <f t="shared" ref="Z17:AA17" si="29">Z44/Z$44</f>
        <v>1</v>
      </c>
      <c r="AA17" s="1592">
        <f t="shared" si="29"/>
        <v>1</v>
      </c>
      <c r="AB17" s="1594"/>
      <c r="AC17" s="1575"/>
    </row>
    <row r="18" spans="2:29" ht="15.75">
      <c r="B18" s="1576" t="s">
        <v>36</v>
      </c>
      <c r="C18" s="1583">
        <f t="shared" ref="C18:I18" si="30">C16-C17</f>
        <v>413.81750372948773</v>
      </c>
      <c r="D18" s="1583">
        <f t="shared" si="30"/>
        <v>543.57175141242942</v>
      </c>
      <c r="E18" s="1583">
        <f t="shared" si="30"/>
        <v>469.64568306010909</v>
      </c>
      <c r="F18" s="1583">
        <f t="shared" si="30"/>
        <v>479.35383011985414</v>
      </c>
      <c r="G18" s="1583">
        <f t="shared" si="30"/>
        <v>426.42273246512059</v>
      </c>
      <c r="H18" s="1583">
        <f t="shared" si="30"/>
        <v>568.63983917255018</v>
      </c>
      <c r="I18" s="1583">
        <f t="shared" si="30"/>
        <v>577.12228828340767</v>
      </c>
      <c r="J18" s="1583">
        <f t="shared" ref="J18:K18" si="31">J16-J17</f>
        <v>583.32496171269429</v>
      </c>
      <c r="K18" s="1583">
        <f t="shared" si="31"/>
        <v>599.09370709412258</v>
      </c>
      <c r="L18" s="1583">
        <f t="shared" ref="L18:M18" si="32">L16-L17</f>
        <v>620.13682990951452</v>
      </c>
      <c r="M18" s="1583">
        <f t="shared" si="32"/>
        <v>632.64887699159522</v>
      </c>
      <c r="N18" s="1586">
        <f>(I18/F18)^(1/2)-1</f>
        <v>9.7250588812990202E-2</v>
      </c>
      <c r="O18" s="1594"/>
      <c r="P18" s="1589" t="s">
        <v>37</v>
      </c>
      <c r="Q18" s="1590"/>
      <c r="R18" s="1590"/>
      <c r="S18" s="1590"/>
      <c r="T18" s="1590"/>
      <c r="U18" s="1590"/>
      <c r="V18" s="1590"/>
      <c r="W18" s="1590"/>
      <c r="X18" s="1590"/>
      <c r="Y18" s="1590"/>
      <c r="Z18" s="1590"/>
      <c r="AA18" s="1590"/>
      <c r="AB18" s="1576"/>
      <c r="AC18" s="1575"/>
    </row>
    <row r="19" spans="2:29" ht="15.75">
      <c r="B19" s="1585" t="s">
        <v>38</v>
      </c>
      <c r="C19" s="1581">
        <f>Master!U161/Master!U$7</f>
        <v>-634.06613625062175</v>
      </c>
      <c r="D19" s="1581">
        <f>Master!V161/Master!V$7</f>
        <v>-590.76881355932198</v>
      </c>
      <c r="E19" s="1581">
        <f>Master!W161/Master!W$7</f>
        <v>-451.66901639344286</v>
      </c>
      <c r="F19" s="1581">
        <f>Master!X161/Master!X$7</f>
        <v>-38.888223032829529</v>
      </c>
      <c r="G19" s="1581">
        <f ca="1">Master!Y161/Master!Y$7</f>
        <v>-5.9405770587475706</v>
      </c>
      <c r="H19" s="1581">
        <f ca="1">Master!Z161/Master!Z$7</f>
        <v>18.474391174217658</v>
      </c>
      <c r="I19" s="1581">
        <f ca="1">Master!AA161/Master!AA$7</f>
        <v>44.087903541740374</v>
      </c>
      <c r="J19" s="1581">
        <f ca="1">Master!AB161/Master!AB$7</f>
        <v>93.037220512799323</v>
      </c>
      <c r="K19" s="1581">
        <f ca="1">Master!AC161/Master!AC$7</f>
        <v>153.55707506134451</v>
      </c>
      <c r="L19" s="1581">
        <f ca="1">Master!AD161/Master!AD$7</f>
        <v>214.0004042419979</v>
      </c>
      <c r="M19" s="1581">
        <f ca="1">Master!AE161/Master!AE$7</f>
        <v>263.85857728886197</v>
      </c>
      <c r="N19" s="1594"/>
      <c r="O19" s="1578"/>
      <c r="P19" s="1578" t="str">
        <f>P13</f>
        <v>Sky</v>
      </c>
      <c r="Q19" s="1592">
        <f t="shared" ref="Q19:T23" si="33">Q55/Q$59</f>
        <v>0.11837760303064211</v>
      </c>
      <c r="R19" s="1592">
        <f t="shared" si="33"/>
        <v>0.15011688532471315</v>
      </c>
      <c r="S19" s="1592">
        <f t="shared" si="33"/>
        <v>0.16926393145613117</v>
      </c>
      <c r="T19" s="1592">
        <f t="shared" si="33"/>
        <v>0.10575482536686405</v>
      </c>
      <c r="U19" s="1592">
        <f t="shared" ref="U19:W23" si="34">U55/U$59</f>
        <v>9.3741345282892047E-2</v>
      </c>
      <c r="V19" s="1592">
        <f t="shared" si="34"/>
        <v>5.5742788169087343E-2</v>
      </c>
      <c r="W19" s="1592">
        <f t="shared" si="34"/>
        <v>2.4282057421077564E-2</v>
      </c>
      <c r="X19" s="1592">
        <f t="shared" ref="X19:Y19" si="35">X55/X$59</f>
        <v>1.2096960761509004E-2</v>
      </c>
      <c r="Y19" s="1592">
        <f t="shared" si="35"/>
        <v>6.514722889457948E-3</v>
      </c>
      <c r="Z19" s="1592">
        <f t="shared" ref="Z19:AA19" si="36">Z55/Z$59</f>
        <v>5.4145159373196351E-3</v>
      </c>
      <c r="AA19" s="1592">
        <f t="shared" si="36"/>
        <v>4.5650467321566579E-3</v>
      </c>
      <c r="AB19" s="1578"/>
      <c r="AC19" s="1575"/>
    </row>
    <row r="20" spans="2:29" ht="15.75">
      <c r="B20" s="1580" t="s">
        <v>39</v>
      </c>
      <c r="C20" s="1577">
        <f t="shared" ref="C20:I20" si="37">C19/C5</f>
        <v>-1.1058333630165471</v>
      </c>
      <c r="D20" s="1577">
        <f t="shared" si="37"/>
        <v>-1.0667432851833494</v>
      </c>
      <c r="E20" s="1577">
        <f t="shared" si="37"/>
        <v>-0.83761251192785746</v>
      </c>
      <c r="F20" s="1577">
        <f t="shared" si="37"/>
        <v>-7.3122880924357425E-2</v>
      </c>
      <c r="G20" s="1577">
        <f t="shared" ca="1" si="37"/>
        <v>-1.1170274057574018E-2</v>
      </c>
      <c r="H20" s="1577">
        <f t="shared" ca="1" si="37"/>
        <v>2.7971738271734787E-2</v>
      </c>
      <c r="I20" s="1577">
        <f t="shared" ca="1" si="37"/>
        <v>6.6752689557645156E-2</v>
      </c>
      <c r="J20" s="1577">
        <f t="shared" ref="J20:K20" ca="1" si="38">J19/J5</f>
        <v>0.14086595640269606</v>
      </c>
      <c r="K20" s="1577">
        <f t="shared" ca="1" si="38"/>
        <v>0.23249796287649269</v>
      </c>
      <c r="L20" s="1577">
        <f t="shared" ref="L20:M20" ca="1" si="39">L19/L5</f>
        <v>0.32401410368837757</v>
      </c>
      <c r="M20" s="1577">
        <f t="shared" ca="1" si="39"/>
        <v>0.3995034529190053</v>
      </c>
      <c r="N20" s="1580"/>
      <c r="O20" s="1594"/>
      <c r="P20" s="1576" t="str">
        <f>P14</f>
        <v>Cable</v>
      </c>
      <c r="Q20" s="1593">
        <f t="shared" si="33"/>
        <v>0.27074979096033186</v>
      </c>
      <c r="R20" s="1593">
        <f t="shared" si="33"/>
        <v>0.30622583046275592</v>
      </c>
      <c r="S20" s="1593">
        <f t="shared" si="33"/>
        <v>0.49092280727299681</v>
      </c>
      <c r="T20" s="1593">
        <f t="shared" si="33"/>
        <v>0.35078090915932669</v>
      </c>
      <c r="U20" s="1593">
        <f t="shared" si="34"/>
        <v>0.33441422229043205</v>
      </c>
      <c r="V20" s="1593">
        <f t="shared" si="34"/>
        <v>0.42993648113331001</v>
      </c>
      <c r="W20" s="1593">
        <f t="shared" si="34"/>
        <v>0.46624594699774746</v>
      </c>
      <c r="X20" s="1593">
        <f t="shared" ref="X20:Y20" si="40">X56/X$59</f>
        <v>0.47357978880816404</v>
      </c>
      <c r="Y20" s="1593">
        <f t="shared" si="40"/>
        <v>0.48073494888440471</v>
      </c>
      <c r="Z20" s="1593">
        <f t="shared" ref="Z20:AA20" si="41">Z56/Z$59</f>
        <v>0.48848822639360145</v>
      </c>
      <c r="AA20" s="1593">
        <f t="shared" si="41"/>
        <v>0.4945717216079808</v>
      </c>
      <c r="AB20" s="1586"/>
      <c r="AC20" s="1575"/>
    </row>
    <row r="21" spans="2:29" ht="15.75">
      <c r="B21" s="1585" t="s">
        <v>40</v>
      </c>
      <c r="C21" s="1597">
        <f>Master!U166</f>
        <v>1.764957264955</v>
      </c>
      <c r="D21" s="1597">
        <f>Master!V166</f>
        <v>1.764957264955</v>
      </c>
      <c r="E21" s="1597">
        <f>Master!W166</f>
        <v>1.764957264955</v>
      </c>
      <c r="F21" s="1597">
        <f>Master!X166</f>
        <v>1.764957264955</v>
      </c>
      <c r="G21" s="1597">
        <f>Master!Y166</f>
        <v>0</v>
      </c>
      <c r="H21" s="1597">
        <f>Master!Z166</f>
        <v>1.75</v>
      </c>
      <c r="I21" s="1597">
        <f>Master!AA166</f>
        <v>1.75</v>
      </c>
      <c r="J21" s="1597">
        <f>Master!AB166</f>
        <v>1.75</v>
      </c>
      <c r="K21" s="1597">
        <f>Master!AC166</f>
        <v>1.75</v>
      </c>
      <c r="L21" s="1597">
        <f>Master!AD166</f>
        <v>1.75</v>
      </c>
      <c r="M21" s="1597">
        <f>Master!AE166</f>
        <v>1.75</v>
      </c>
      <c r="N21" s="1585"/>
      <c r="O21" s="1585"/>
      <c r="P21" s="1578" t="str">
        <f>P15</f>
        <v>HQ/other</v>
      </c>
      <c r="Q21" s="1592">
        <f t="shared" si="33"/>
        <v>-3.6596227346649031E-2</v>
      </c>
      <c r="R21" s="1592">
        <f t="shared" si="33"/>
        <v>-1.6237858111168072E-2</v>
      </c>
      <c r="S21" s="1592">
        <f t="shared" si="33"/>
        <v>-0.30423325941440904</v>
      </c>
      <c r="T21" s="1592">
        <f t="shared" si="33"/>
        <v>-9.0258923229157031E-2</v>
      </c>
      <c r="U21" s="1592">
        <f t="shared" si="34"/>
        <v>-9.4006418688896448E-2</v>
      </c>
      <c r="V21" s="1592">
        <f t="shared" si="34"/>
        <v>-7.9512657789592475E-2</v>
      </c>
      <c r="W21" s="1592">
        <f t="shared" si="34"/>
        <v>-7.0882081971651981E-2</v>
      </c>
      <c r="X21" s="1592">
        <f t="shared" ref="X21:Y21" si="42">X57/X$59</f>
        <v>-6.7980974684810708E-2</v>
      </c>
      <c r="Y21" s="1592">
        <f t="shared" si="42"/>
        <v>-6.5775290043591075E-2</v>
      </c>
      <c r="Z21" s="1592">
        <f t="shared" ref="Z21:AA21" si="43">Z57/Z$59</f>
        <v>-6.4188372294234075E-2</v>
      </c>
      <c r="AA21" s="1592">
        <f t="shared" si="43"/>
        <v>-6.3050985656055103E-2</v>
      </c>
      <c r="AB21" s="1594"/>
      <c r="AC21" s="1575"/>
    </row>
    <row r="22" spans="2:29" ht="15.75">
      <c r="B22" s="1580" t="s">
        <v>41</v>
      </c>
      <c r="C22" s="1598">
        <f t="shared" ref="C22:I22" si="44">C7/C16</f>
        <v>2.4466880717167077</v>
      </c>
      <c r="D22" s="1598">
        <f t="shared" si="44"/>
        <v>2.6214369564676714</v>
      </c>
      <c r="E22" s="1598">
        <f t="shared" si="44"/>
        <v>3.5124672620689474</v>
      </c>
      <c r="F22" s="1598">
        <f t="shared" si="44"/>
        <v>2.5743965509179159</v>
      </c>
      <c r="G22" s="1598">
        <f t="shared" ca="1" si="44"/>
        <v>2.5205645237098397</v>
      </c>
      <c r="H22" s="1598">
        <f t="shared" ca="1" si="44"/>
        <v>2.6054160451757591</v>
      </c>
      <c r="I22" s="1598">
        <f t="shared" ca="1" si="44"/>
        <v>2.6925228829771521</v>
      </c>
      <c r="J22" s="1598">
        <f t="shared" ref="J22:K22" ca="1" si="45">J7/J16</f>
        <v>2.615455844652895</v>
      </c>
      <c r="K22" s="1598">
        <f t="shared" ca="1" si="45"/>
        <v>2.4813709762436282</v>
      </c>
      <c r="L22" s="1598">
        <f t="shared" ref="L22:M22" ca="1" si="46">L7/L16</f>
        <v>2.3132639886629343</v>
      </c>
      <c r="M22" s="1598">
        <f t="shared" ca="1" si="46"/>
        <v>2.1478402405287715</v>
      </c>
      <c r="N22" s="1580"/>
      <c r="O22" s="1585"/>
      <c r="P22" s="1599" t="str">
        <f>P16</f>
        <v>TelevisaUnivision</v>
      </c>
      <c r="Q22" s="1596">
        <f t="shared" si="33"/>
        <v>0.64746883335567507</v>
      </c>
      <c r="R22" s="1596">
        <f t="shared" si="33"/>
        <v>0.55989514232369919</v>
      </c>
      <c r="S22" s="1596">
        <f t="shared" si="33"/>
        <v>0.64404652068528101</v>
      </c>
      <c r="T22" s="1596">
        <f t="shared" si="33"/>
        <v>0.63372318870296629</v>
      </c>
      <c r="U22" s="1596">
        <f t="shared" si="34"/>
        <v>0.66585085111557241</v>
      </c>
      <c r="V22" s="1596">
        <f t="shared" si="34"/>
        <v>0.59383338848719514</v>
      </c>
      <c r="W22" s="1596">
        <f t="shared" si="34"/>
        <v>0.58035407755282697</v>
      </c>
      <c r="X22" s="1596">
        <f t="shared" ref="X22:Y22" si="47">X58/X$59</f>
        <v>0.58230422511513746</v>
      </c>
      <c r="Y22" s="1596">
        <f t="shared" si="47"/>
        <v>0.57852561826972837</v>
      </c>
      <c r="Z22" s="1596">
        <f t="shared" ref="Z22:AA22" si="48">Z58/Z$59</f>
        <v>0.57028562996331289</v>
      </c>
      <c r="AA22" s="1596">
        <f t="shared" si="48"/>
        <v>0.56391421731591773</v>
      </c>
      <c r="AB22" s="1600"/>
      <c r="AC22" s="1575"/>
    </row>
    <row r="23" spans="2:29" ht="15.75">
      <c r="B23" s="1585"/>
      <c r="C23" s="1585"/>
      <c r="D23" s="1585"/>
      <c r="E23" s="1585"/>
      <c r="F23" s="1585"/>
      <c r="G23" s="1585"/>
      <c r="H23" s="1585"/>
      <c r="I23" s="1585"/>
      <c r="J23" s="1585"/>
      <c r="K23" s="1585"/>
      <c r="L23" s="1585"/>
      <c r="M23" s="1585"/>
      <c r="N23" s="1585"/>
      <c r="O23" s="1578"/>
      <c r="P23" s="1578" t="str">
        <f>P17</f>
        <v>Group Prop</v>
      </c>
      <c r="Q23" s="1592">
        <f t="shared" si="33"/>
        <v>1</v>
      </c>
      <c r="R23" s="1592">
        <f t="shared" si="33"/>
        <v>1</v>
      </c>
      <c r="S23" s="1592">
        <f t="shared" si="33"/>
        <v>1</v>
      </c>
      <c r="T23" s="1592">
        <f t="shared" si="33"/>
        <v>1</v>
      </c>
      <c r="U23" s="1592">
        <f t="shared" si="34"/>
        <v>1</v>
      </c>
      <c r="V23" s="1592">
        <f t="shared" si="34"/>
        <v>1</v>
      </c>
      <c r="W23" s="1592">
        <f t="shared" si="34"/>
        <v>1</v>
      </c>
      <c r="X23" s="1592">
        <f t="shared" ref="X23:Y23" si="49">X59/X$59</f>
        <v>1</v>
      </c>
      <c r="Y23" s="1592">
        <f t="shared" si="49"/>
        <v>1</v>
      </c>
      <c r="Z23" s="1592">
        <f t="shared" ref="Z23:AA23" si="50">Z59/Z$59</f>
        <v>1</v>
      </c>
      <c r="AA23" s="1592">
        <f t="shared" si="50"/>
        <v>1</v>
      </c>
      <c r="AB23" s="1594"/>
      <c r="AC23" s="1575"/>
    </row>
    <row r="24" spans="2:29" ht="15.75">
      <c r="B24" s="1589" t="s">
        <v>42</v>
      </c>
      <c r="C24" s="1583"/>
      <c r="D24" s="1583"/>
      <c r="E24" s="1583"/>
      <c r="F24" s="1583"/>
      <c r="G24" s="1583"/>
      <c r="H24" s="1583"/>
      <c r="I24" s="1583"/>
      <c r="J24" s="1583"/>
      <c r="K24" s="1583"/>
      <c r="L24" s="1583"/>
      <c r="M24" s="1583"/>
      <c r="N24" s="1601"/>
      <c r="O24" s="1594"/>
      <c r="P24" s="1580"/>
      <c r="Q24" s="1580"/>
      <c r="R24" s="1580"/>
      <c r="S24" s="1580"/>
      <c r="T24" s="1580"/>
      <c r="U24" s="1580"/>
      <c r="V24" s="1580"/>
      <c r="W24" s="1580"/>
      <c r="X24" s="1580"/>
      <c r="Y24" s="1580"/>
      <c r="Z24" s="1580"/>
      <c r="AA24" s="1580"/>
      <c r="AB24" s="1580"/>
      <c r="AC24" s="1575"/>
    </row>
    <row r="25" spans="2:29" ht="15.75">
      <c r="B25" s="1578" t="str">
        <f>B15</f>
        <v>Revenue</v>
      </c>
      <c r="C25" s="1581">
        <f>C15+SOP!$C$17*VOD!F138</f>
        <v>5876.0737941322732</v>
      </c>
      <c r="D25" s="1581">
        <f>D15+SOP!$C$17*VOD!G138</f>
        <v>6385.2779661016957</v>
      </c>
      <c r="E25" s="1581">
        <f>E15+SOP!$C$17*VOD!H138</f>
        <v>5677.2080054644812</v>
      </c>
      <c r="F25" s="1581">
        <f>F15+SOP!$C$17*VOD!I138</f>
        <v>5240.4109223553933</v>
      </c>
      <c r="G25" s="1581">
        <f>G15+SOP!$C$17*VOD!J138</f>
        <v>5577.8549768355888</v>
      </c>
      <c r="H25" s="1581">
        <f>H15+SOP!$C$17*VOD!K138</f>
        <v>5454.1635169332349</v>
      </c>
      <c r="I25" s="1581">
        <f>I15+SOP!$C$17*VOD!L138</f>
        <v>5344.3920959429706</v>
      </c>
      <c r="J25" s="1581">
        <f>J15+SOP!$C$17*VOD!M138</f>
        <v>5328.3897644401504</v>
      </c>
      <c r="K25" s="1581">
        <f>K15+SOP!$C$17*VOD!N138</f>
        <v>5350.3747679165172</v>
      </c>
      <c r="L25" s="1581">
        <f>L15+SOP!$C$17*VOD!O138</f>
        <v>5391.7063364572105</v>
      </c>
      <c r="M25" s="1581">
        <f>M15+SOP!$C$17*VOD!P138</f>
        <v>5419.1128112531842</v>
      </c>
      <c r="N25" s="1594">
        <f>(I25/F25)^(1/2)-1</f>
        <v>9.8723579680153328E-3</v>
      </c>
      <c r="O25" s="1594"/>
      <c r="P25" s="1602" t="s">
        <v>43</v>
      </c>
      <c r="Q25" s="1581"/>
      <c r="R25" s="1581"/>
      <c r="S25" s="1581"/>
      <c r="T25" s="1581"/>
      <c r="U25" s="1581"/>
      <c r="V25" s="1581"/>
      <c r="W25" s="1581"/>
      <c r="X25" s="1581"/>
      <c r="Y25" s="1581"/>
      <c r="Z25" s="1581"/>
      <c r="AA25" s="1581"/>
      <c r="AB25" s="1594"/>
      <c r="AC25" s="1575"/>
    </row>
    <row r="26" spans="2:29" ht="15.75">
      <c r="B26" s="1576" t="str">
        <f>B16</f>
        <v>EBITDA</v>
      </c>
      <c r="C26" s="1583">
        <f>C16+SOP!$C$17*VOD!F165</f>
        <v>2030.3175037294877</v>
      </c>
      <c r="D26" s="1583">
        <f>D16+SOP!$C$17*VOD!G165</f>
        <v>2089.8117514124297</v>
      </c>
      <c r="E26" s="1583">
        <f>E16+SOP!$C$17*VOD!H165</f>
        <v>1673.0518306010927</v>
      </c>
      <c r="F26" s="1583">
        <f>F16+SOP!$C$17*VOD!I165</f>
        <v>1837.1933350703491</v>
      </c>
      <c r="G26" s="1583">
        <f>G16+SOP!$C$17*VOD!J165</f>
        <v>1981.1678557746231</v>
      </c>
      <c r="H26" s="1583">
        <f>H16+SOP!$C$17*VOD!K165</f>
        <v>1932.9758356252098</v>
      </c>
      <c r="I26" s="1583">
        <f>I16+SOP!$C$17*VOD!L165</f>
        <v>1905.2737808880852</v>
      </c>
      <c r="J26" s="1583">
        <f>J16+SOP!$C$17*VOD!M165</f>
        <v>1897.71580966486</v>
      </c>
      <c r="K26" s="1583">
        <f>K16+SOP!$C$17*VOD!N165</f>
        <v>1903.2640822883595</v>
      </c>
      <c r="L26" s="1583">
        <f>L16+SOP!$C$17*VOD!O165</f>
        <v>1911.7610290229973</v>
      </c>
      <c r="M26" s="1583">
        <f>M16+SOP!$C$17*VOD!P165</f>
        <v>1910.588769012892</v>
      </c>
      <c r="N26" s="1586">
        <f>(I26/F26)^(1/2)-1</f>
        <v>1.8359841732622506E-2</v>
      </c>
      <c r="O26" s="1578"/>
      <c r="P26" s="1576" t="s">
        <v>44</v>
      </c>
      <c r="Q26" s="1583">
        <f>Cable!Q157-Cable!P157</f>
        <v>335.04899999999998</v>
      </c>
      <c r="R26" s="1583">
        <f>Cable!R157-Cable!Q157</f>
        <v>-305.72000000000025</v>
      </c>
      <c r="S26" s="1583">
        <f>Cable!S157-Cable!R157</f>
        <v>-52.224999999999454</v>
      </c>
      <c r="T26" s="1583">
        <f>Cable!T13</f>
        <v>46.916999999999462</v>
      </c>
      <c r="U26" s="1583">
        <f>Cable!U13</f>
        <v>100</v>
      </c>
      <c r="V26" s="1583">
        <f>Cable!V13</f>
        <v>75</v>
      </c>
      <c r="W26" s="1583">
        <f>Cable!W13</f>
        <v>65</v>
      </c>
      <c r="X26" s="1583">
        <f>Cable!X13</f>
        <v>60</v>
      </c>
      <c r="Y26" s="1583">
        <f>Cable!Y13</f>
        <v>55</v>
      </c>
      <c r="Z26" s="1583">
        <f>Cable!Z13</f>
        <v>35</v>
      </c>
      <c r="AA26" s="1583">
        <f>Cable!AA13</f>
        <v>15</v>
      </c>
      <c r="AB26" s="1586"/>
      <c r="AC26" s="1575"/>
    </row>
    <row r="27" spans="2:29" ht="15.75">
      <c r="B27" s="1578" t="str">
        <f>B17</f>
        <v>Capex</v>
      </c>
      <c r="C27" s="1581">
        <f>C17+SOP!$C$17*VOD!F205</f>
        <v>927.55</v>
      </c>
      <c r="D27" s="1581">
        <f>D17+SOP!$C$17*VOD!G205</f>
        <v>895.00000000000011</v>
      </c>
      <c r="E27" s="1581">
        <f>E17+SOP!$C$17*VOD!H205</f>
        <v>548.88114754098365</v>
      </c>
      <c r="F27" s="1581">
        <f>F17+SOP!$C$17*VOD!I205</f>
        <v>688.77950495049504</v>
      </c>
      <c r="G27" s="1581">
        <f>G17+SOP!$C$17*VOD!J205</f>
        <v>890.96042380950257</v>
      </c>
      <c r="H27" s="1581">
        <f>H17+SOP!$C$17*VOD!K205</f>
        <v>701.21882240765967</v>
      </c>
      <c r="I27" s="1581">
        <f>I17+SOP!$C$17*VOD!L205</f>
        <v>643.07432093432749</v>
      </c>
      <c r="J27" s="1581">
        <f>J17+SOP!$C$17*VOD!M205</f>
        <v>618.39855758795477</v>
      </c>
      <c r="K27" s="1581">
        <f>K17+SOP!$C$17*VOD!N205</f>
        <v>600.9778392272533</v>
      </c>
      <c r="L27" s="1581">
        <f>L17+SOP!$C$17*VOD!O205</f>
        <v>587.51597380506121</v>
      </c>
      <c r="M27" s="1581">
        <f>M17+SOP!$C$17*VOD!P205</f>
        <v>577.79173295153817</v>
      </c>
      <c r="N27" s="1594">
        <f>(I27/F27)^(1/2)-1</f>
        <v>-3.3747844089561441E-2</v>
      </c>
      <c r="O27" s="1578"/>
      <c r="P27" s="1578" t="s">
        <v>45</v>
      </c>
      <c r="Q27" s="1581">
        <f>'SKY Mex'!S54-'SKY Mex'!R54</f>
        <v>291.76000000000022</v>
      </c>
      <c r="R27" s="1581">
        <f>'SKY Mex'!T54-'SKY Mex'!S54</f>
        <v>-398.72600000000011</v>
      </c>
      <c r="S27" s="1581">
        <f>'SKY Mex'!U54-'SKY Mex'!T54</f>
        <v>-212.97600000000011</v>
      </c>
      <c r="T27" s="1581">
        <f>Cable!T12</f>
        <v>-199.94900000000007</v>
      </c>
      <c r="U27" s="1581">
        <f>Cable!U12</f>
        <v>-140</v>
      </c>
      <c r="V27" s="1581">
        <f>Cable!V12</f>
        <v>-150</v>
      </c>
      <c r="W27" s="1581">
        <f>Cable!W12</f>
        <v>-150</v>
      </c>
      <c r="X27" s="1581">
        <f>Cable!X12</f>
        <v>-150</v>
      </c>
      <c r="Y27" s="1581">
        <f>Cable!Y12</f>
        <v>-150</v>
      </c>
      <c r="Z27" s="1581">
        <f>Cable!Z12</f>
        <v>-150</v>
      </c>
      <c r="AA27" s="1581">
        <f>Cable!AA12</f>
        <v>-150</v>
      </c>
      <c r="AB27" s="1594"/>
      <c r="AC27" s="1575"/>
    </row>
    <row r="28" spans="2:29" ht="15.75">
      <c r="B28" s="1576" t="str">
        <f>B18</f>
        <v>OpFCF</v>
      </c>
      <c r="C28" s="1603">
        <f t="shared" ref="C28:I28" si="51">C26-C27</f>
        <v>1102.7675037294878</v>
      </c>
      <c r="D28" s="1603">
        <f t="shared" si="51"/>
        <v>1194.8117514124297</v>
      </c>
      <c r="E28" s="1603">
        <f t="shared" si="51"/>
        <v>1124.170683060109</v>
      </c>
      <c r="F28" s="1603">
        <f t="shared" si="51"/>
        <v>1148.4138301198541</v>
      </c>
      <c r="G28" s="1603">
        <f t="shared" si="51"/>
        <v>1090.2074319651206</v>
      </c>
      <c r="H28" s="1603">
        <f t="shared" si="51"/>
        <v>1231.7570132175501</v>
      </c>
      <c r="I28" s="1603">
        <f t="shared" si="51"/>
        <v>1262.1994599537577</v>
      </c>
      <c r="J28" s="1603">
        <f t="shared" ref="J28:K28" si="52">J26-J27</f>
        <v>1279.3172520769053</v>
      </c>
      <c r="K28" s="1603">
        <f t="shared" si="52"/>
        <v>1302.2862430611062</v>
      </c>
      <c r="L28" s="1603">
        <f t="shared" ref="L28:M28" si="53">L26-L27</f>
        <v>1324.2450552179362</v>
      </c>
      <c r="M28" s="1603">
        <f t="shared" si="53"/>
        <v>1332.797036061354</v>
      </c>
      <c r="N28" s="1586">
        <f>(I28/F28)^(1/2)-1</f>
        <v>4.8370490698851576E-2</v>
      </c>
      <c r="O28" s="1578"/>
      <c r="P28" s="1604" t="s">
        <v>46</v>
      </c>
      <c r="Q28" s="1583">
        <f>Cable!Q112-Cable!P112</f>
        <v>616.45899999999983</v>
      </c>
      <c r="R28" s="1583">
        <f>Cable!R112-Cable!Q112</f>
        <v>117.42100000000028</v>
      </c>
      <c r="S28" s="1583">
        <f>Cable!S112-Cable!R112</f>
        <v>31.803999999999178</v>
      </c>
      <c r="T28" s="1583">
        <f>Cable!T14</f>
        <v>169.36400000000049</v>
      </c>
      <c r="U28" s="1583">
        <f>Cable!U14</f>
        <v>160</v>
      </c>
      <c r="V28" s="1583">
        <f>Cable!V14</f>
        <v>130</v>
      </c>
      <c r="W28" s="1583">
        <f>Cable!W14</f>
        <v>100</v>
      </c>
      <c r="X28" s="1583">
        <f>Cable!X14</f>
        <v>70</v>
      </c>
      <c r="Y28" s="1583">
        <f>Cable!Y14</f>
        <v>60</v>
      </c>
      <c r="Z28" s="1583">
        <f>Cable!Z14</f>
        <v>35</v>
      </c>
      <c r="AA28" s="1583">
        <f>Cable!AA14</f>
        <v>15</v>
      </c>
      <c r="AB28" s="1586"/>
      <c r="AC28" s="1575"/>
    </row>
    <row r="29" spans="2:29" ht="15.75">
      <c r="B29" s="1587" t="s">
        <v>47</v>
      </c>
      <c r="C29" s="1605">
        <f t="shared" ref="C29:I29" si="54">C28*0.72</f>
        <v>793.99260268523119</v>
      </c>
      <c r="D29" s="1605">
        <f t="shared" si="54"/>
        <v>860.26446101694933</v>
      </c>
      <c r="E29" s="1605">
        <f t="shared" si="54"/>
        <v>809.40289180327841</v>
      </c>
      <c r="F29" s="1605">
        <f t="shared" si="54"/>
        <v>826.85795768629487</v>
      </c>
      <c r="G29" s="1605">
        <f t="shared" si="54"/>
        <v>784.94935101488682</v>
      </c>
      <c r="H29" s="1605">
        <f t="shared" si="54"/>
        <v>886.86504951663608</v>
      </c>
      <c r="I29" s="1605">
        <f t="shared" si="54"/>
        <v>908.78361116670555</v>
      </c>
      <c r="J29" s="1605">
        <f t="shared" ref="J29:K29" si="55">J28*0.72</f>
        <v>921.10842149537177</v>
      </c>
      <c r="K29" s="1605">
        <f t="shared" si="55"/>
        <v>937.64609500399649</v>
      </c>
      <c r="L29" s="1605">
        <f t="shared" ref="L29:M29" si="56">L28*0.72</f>
        <v>953.45643975691405</v>
      </c>
      <c r="M29" s="1605">
        <f t="shared" si="56"/>
        <v>959.61386596417481</v>
      </c>
      <c r="N29" s="2124">
        <f>(I29/F29)^(1/2)-1</f>
        <v>4.8370490698851576E-2</v>
      </c>
      <c r="O29" s="1585"/>
      <c r="P29" s="1607" t="s">
        <v>8200</v>
      </c>
      <c r="Q29" s="1588">
        <f>Mobile!M8-Mobile!L8</f>
        <v>83.949000000000012</v>
      </c>
      <c r="R29" s="1588">
        <f>Mobile!N8-Mobile!M8</f>
        <v>68</v>
      </c>
      <c r="S29" s="1588">
        <f>Mobile!O8-Mobile!N8</f>
        <v>25.973000000000013</v>
      </c>
      <c r="T29" s="1588">
        <f>Mobile!P8-Mobile!O8</f>
        <v>318.887</v>
      </c>
      <c r="U29" s="1588">
        <f>Mobile!Q8-Mobile!P8</f>
        <v>380.14</v>
      </c>
      <c r="V29" s="1588">
        <f>Mobile!R8-Mobile!Q8</f>
        <v>350</v>
      </c>
      <c r="W29" s="1588">
        <f>Mobile!S8-Mobile!R8</f>
        <v>325</v>
      </c>
      <c r="X29" s="1588">
        <f>Mobile!T8-Mobile!S8</f>
        <v>300</v>
      </c>
      <c r="Y29" s="1588">
        <f>Mobile!U8-Mobile!T8</f>
        <v>300</v>
      </c>
      <c r="Z29" s="1588">
        <f>Mobile!V8-Mobile!U8</f>
        <v>300</v>
      </c>
      <c r="AA29" s="1588">
        <f>Mobile!W8-Mobile!V8</f>
        <v>300</v>
      </c>
      <c r="AB29" s="1606"/>
      <c r="AC29" s="1575"/>
    </row>
    <row r="30" spans="2:29" ht="15.75">
      <c r="B30" s="1608" t="s">
        <v>8079</v>
      </c>
      <c r="C30" s="1585"/>
      <c r="D30" s="1585"/>
      <c r="E30" s="1585"/>
      <c r="F30" s="1585"/>
      <c r="G30" s="1585"/>
      <c r="H30" s="1585"/>
      <c r="I30" s="1585"/>
      <c r="J30" s="1585"/>
      <c r="K30" s="1585"/>
      <c r="L30" s="1585"/>
      <c r="M30" s="1585"/>
      <c r="N30" s="1585"/>
      <c r="O30" s="1585"/>
      <c r="P30" s="1585"/>
      <c r="Q30" s="1585"/>
      <c r="R30" s="1585"/>
      <c r="S30" s="1585"/>
      <c r="T30" s="1585"/>
      <c r="U30" s="1585"/>
      <c r="V30" s="1585"/>
      <c r="W30" s="1585"/>
      <c r="X30" s="1585"/>
      <c r="Y30" s="1585"/>
      <c r="Z30" s="1585"/>
      <c r="AA30" s="1585"/>
      <c r="AB30" s="1585"/>
      <c r="AC30" s="1575"/>
    </row>
    <row r="31" spans="2:29" ht="15.75">
      <c r="B31" s="1608" t="s">
        <v>50</v>
      </c>
      <c r="C31" s="1585"/>
      <c r="D31" s="1585"/>
      <c r="E31" s="1585"/>
      <c r="F31" s="1585"/>
      <c r="G31" s="1585"/>
      <c r="H31" s="1585"/>
      <c r="I31" s="1585"/>
      <c r="J31" s="1585"/>
      <c r="K31" s="1585"/>
      <c r="L31" s="1585"/>
      <c r="M31" s="1585"/>
      <c r="N31" s="1585"/>
      <c r="O31" s="1585"/>
      <c r="P31" s="1585"/>
      <c r="Q31" s="1585"/>
      <c r="R31" s="1585"/>
      <c r="S31" s="1585"/>
      <c r="T31" s="1585"/>
      <c r="U31" s="1585"/>
      <c r="V31" s="1585"/>
      <c r="W31" s="1585"/>
      <c r="X31" s="1585"/>
      <c r="Y31" s="1585"/>
      <c r="Z31" s="1585"/>
      <c r="AA31" s="1585"/>
      <c r="AB31" s="1585"/>
      <c r="AC31" s="1575"/>
    </row>
    <row r="33" spans="2:28" ht="15.75">
      <c r="B33" s="1608" t="s">
        <v>49</v>
      </c>
    </row>
    <row r="39" spans="2:28" ht="15">
      <c r="P39" s="667" t="s">
        <v>31</v>
      </c>
      <c r="Q39" s="671"/>
      <c r="R39" s="671"/>
      <c r="S39" s="671"/>
      <c r="T39" s="671"/>
      <c r="U39" s="671"/>
      <c r="V39" s="671"/>
      <c r="W39" s="671"/>
      <c r="X39" s="671"/>
      <c r="Y39" s="671"/>
      <c r="Z39" s="671"/>
      <c r="AA39" s="671"/>
      <c r="AB39" s="662"/>
    </row>
    <row r="40" spans="2:28" ht="15">
      <c r="P40" s="663" t="s">
        <v>70</v>
      </c>
      <c r="Q40" s="670">
        <f>Master!U55/Master!U$7*SOP!$C$6</f>
        <v>319.06166086524115</v>
      </c>
      <c r="R40" s="670">
        <f>Master!V55/Master!V$7*SOP!$C$6</f>
        <v>323.80790960451975</v>
      </c>
      <c r="S40" s="670">
        <f>Master!W55/Master!W$7*SOP!$C$6</f>
        <v>255.31781420765026</v>
      </c>
      <c r="T40" s="670">
        <f>Master!X55/Master!X$7*SOP!$C$6</f>
        <v>197.03413236060447</v>
      </c>
      <c r="U40" s="670">
        <f>Master!Y55/Master!Y$7*SOP!$C$6</f>
        <v>164.91258278145696</v>
      </c>
      <c r="V40" s="670">
        <f>Master!Z55/Master!Z$7*SOP!$C$6</f>
        <v>111.28904687702895</v>
      </c>
      <c r="W40" s="670">
        <f>Master!AA55/Master!AA$7*SOP!$C$6</f>
        <v>52.704184712451401</v>
      </c>
      <c r="X40" s="670">
        <f>Master!AB55/Master!AB$7*SOP!$C$6</f>
        <v>27.421767931745013</v>
      </c>
      <c r="Y40" s="670">
        <f>Master!AC55/Master!AC$7*SOP!$C$6</f>
        <v>15.543889843662946</v>
      </c>
      <c r="Z40" s="670">
        <f>Master!AD55/Master!AD$7*SOP!$C$6</f>
        <v>13.637563730760887</v>
      </c>
      <c r="AA40" s="670">
        <f>Master!AE55/Master!AE$7*SOP!$C$6</f>
        <v>12.07509006995091</v>
      </c>
      <c r="AB40" s="666">
        <f>(T40/Q40)^(1/2)-1</f>
        <v>-0.21416128275680824</v>
      </c>
    </row>
    <row r="41" spans="2:28" ht="15">
      <c r="P41" s="662" t="s">
        <v>52</v>
      </c>
      <c r="Q41" s="664">
        <f>Master!U56/Master!U$7*SOP!$C$7</f>
        <v>829.3491636630722</v>
      </c>
      <c r="R41" s="664">
        <f>Master!V56/Master!V$7*SOP!$C$7</f>
        <v>886.62881621879717</v>
      </c>
      <c r="S41" s="664">
        <f>Master!W56/Master!W$7*SOP!$C$7</f>
        <v>846.48207187252672</v>
      </c>
      <c r="T41" s="664">
        <f>Master!X56/Master!X$7*SOP!$C$7</f>
        <v>840.20215655602374</v>
      </c>
      <c r="U41" s="664">
        <f>Master!Y56/Master!Y$7*SOP!$C$7</f>
        <v>977.42360572937264</v>
      </c>
      <c r="V41" s="664">
        <f>Master!Z56/Master!Z$7*SOP!$C$7</f>
        <v>976.99111157315917</v>
      </c>
      <c r="W41" s="664">
        <f>Master!AA56/Master!AA$7*SOP!$C$11</f>
        <v>1016.3730005407526</v>
      </c>
      <c r="X41" s="664">
        <f>Master!AB56/Master!AB$7*SOP!$C$11</f>
        <v>1018.4985738960407</v>
      </c>
      <c r="Y41" s="664">
        <f>Master!AC56/Master!AC$7*SOP!$C$11</f>
        <v>1024.7277048234223</v>
      </c>
      <c r="Z41" s="664">
        <f>Master!AD56/Master!AD$7*SOP!$C$11</f>
        <v>1030.9576076173951</v>
      </c>
      <c r="AA41" s="664">
        <f>Master!AE56/Master!AE$7*SOP!$C$11</f>
        <v>1032.5571718294452</v>
      </c>
      <c r="AB41" s="668">
        <f>(T41/Q41)^(1/2)-1</f>
        <v>6.5218112056055766E-3</v>
      </c>
    </row>
    <row r="42" spans="2:28" ht="15">
      <c r="P42" s="663" t="s">
        <v>53</v>
      </c>
      <c r="Q42" s="670">
        <f>(Master!U57+Master!U61+Master!U62)/Master!U$7</f>
        <v>-38.940825459970164</v>
      </c>
      <c r="R42" s="670">
        <f>(Master!V57+Master!V61+Master!V62)/Master!V$7</f>
        <v>-18.887005649717512</v>
      </c>
      <c r="S42" s="670">
        <f>(Master!W57+Master!W61+Master!W62)/Master!W$7</f>
        <v>-298.68306010928961</v>
      </c>
      <c r="T42" s="670">
        <f>(Master!X57+Master!X61+Master!X62)/Master!X$7</f>
        <v>-85.278791036998427</v>
      </c>
      <c r="U42" s="670">
        <f>(Master!Y57+Master!Y61+Master!Y62)/Master!Y$7</f>
        <v>-82.649353093790367</v>
      </c>
      <c r="V42" s="670">
        <f>(Master!Z57+Master!Z61+Master!Z62)/Master!Z$7</f>
        <v>-77.941172669283162</v>
      </c>
      <c r="W42" s="670">
        <f>(Master!AA57+Master!AA61+Master!AA62)/Master!AA$7</f>
        <v>-73.036854027862574</v>
      </c>
      <c r="X42" s="670">
        <f>(Master!AB57+Master!AB61+Master!AB62)/Master!AB$7</f>
        <v>-70.826324927503123</v>
      </c>
      <c r="Y42" s="670">
        <f>(Master!AC57+Master!AC61+Master!AC62)/Master!AC$7</f>
        <v>-69.726572956889441</v>
      </c>
      <c r="Z42" s="670">
        <f>(Master!AD57+Master!AD61+Master!AD62)/Master!AD$7</f>
        <v>-69.228506056974894</v>
      </c>
      <c r="AA42" s="670">
        <f>(Master!AE57+Master!AE61+Master!AE62)/Master!AE$7</f>
        <v>-68.457514930307894</v>
      </c>
      <c r="AB42" s="666">
        <f>(T42/Q42)^(1/2)-1</f>
        <v>0.47985083121180883</v>
      </c>
    </row>
    <row r="43" spans="2:28" ht="15">
      <c r="P43" s="672" t="s">
        <v>54</v>
      </c>
      <c r="Q43" s="665">
        <f>VOD!F165*SOP!$C$17</f>
        <v>760.5</v>
      </c>
      <c r="R43" s="665">
        <f>VOD!G165*SOP!$C$17</f>
        <v>726.84</v>
      </c>
      <c r="S43" s="665">
        <f>VOD!H165*SOP!$C$17</f>
        <v>706.27499999999998</v>
      </c>
      <c r="T43" s="665">
        <f>VOD!I165*SOP!$C$17</f>
        <v>722.79</v>
      </c>
      <c r="U43" s="665">
        <f>VOD!J165*SOP!$C$17</f>
        <v>732.50459999999987</v>
      </c>
      <c r="V43" s="665">
        <f>VOD!K165*SOP!$C$17</f>
        <v>733.74404849999996</v>
      </c>
      <c r="W43" s="665">
        <f>VOD!L165*SOP!$C$17</f>
        <v>758.2626499050001</v>
      </c>
      <c r="X43" s="665">
        <f>VOD!M165*SOP!$C$17</f>
        <v>771.33526294590047</v>
      </c>
      <c r="Y43" s="665">
        <f>VOD!N165*SOP!$C$17</f>
        <v>780.50726328642133</v>
      </c>
      <c r="Z43" s="665">
        <f>VOD!O165*SOP!$C$17</f>
        <v>783.25718431489088</v>
      </c>
      <c r="AA43" s="665">
        <f>VOD!P165*SOP!$C$17</f>
        <v>781.0392453193657</v>
      </c>
      <c r="AB43" s="668">
        <f>(T43/Q43)^(1/2)-1</f>
        <v>-2.5108107950716496E-2</v>
      </c>
    </row>
    <row r="44" spans="2:28" ht="15">
      <c r="P44" s="669" t="s">
        <v>55</v>
      </c>
      <c r="Q44" s="670">
        <f t="shared" ref="Q44:V44" si="57">SUM(Q40:Q43)</f>
        <v>1869.969999068343</v>
      </c>
      <c r="R44" s="670">
        <f t="shared" si="57"/>
        <v>1918.3897201735995</v>
      </c>
      <c r="S44" s="670">
        <f t="shared" si="57"/>
        <v>1509.3918259708873</v>
      </c>
      <c r="T44" s="670">
        <f t="shared" si="57"/>
        <v>1674.7474978796297</v>
      </c>
      <c r="U44" s="670">
        <f t="shared" si="57"/>
        <v>1792.191435417039</v>
      </c>
      <c r="V44" s="670">
        <f t="shared" si="57"/>
        <v>1744.0830342809049</v>
      </c>
      <c r="W44" s="670">
        <f>SUM(W40:W43)</f>
        <v>1754.3029811303418</v>
      </c>
      <c r="X44" s="670">
        <f t="shared" ref="X44:Y44" si="58">SUM(X40:X43)</f>
        <v>1746.4292798461829</v>
      </c>
      <c r="Y44" s="670">
        <f t="shared" si="58"/>
        <v>1751.0522849966173</v>
      </c>
      <c r="Z44" s="670">
        <f t="shared" ref="Z44:AA44" si="59">SUM(Z40:Z43)</f>
        <v>1758.6238496060719</v>
      </c>
      <c r="AA44" s="670">
        <f t="shared" si="59"/>
        <v>1757.2139922884539</v>
      </c>
      <c r="AB44" s="666">
        <f>(T44/Q44)^(1/2)-1</f>
        <v>-5.3637878165669339E-2</v>
      </c>
    </row>
    <row r="47" spans="2:28" ht="15">
      <c r="P47" s="667" t="s">
        <v>56</v>
      </c>
      <c r="Q47" s="671"/>
      <c r="R47" s="671"/>
      <c r="S47" s="671"/>
      <c r="T47" s="671"/>
      <c r="U47" s="671"/>
      <c r="V47" s="671"/>
      <c r="W47" s="671"/>
      <c r="X47" s="671"/>
      <c r="Y47" s="671"/>
      <c r="Z47" s="671"/>
      <c r="AA47" s="671"/>
    </row>
    <row r="48" spans="2:28" ht="15">
      <c r="P48" s="663" t="s">
        <v>51</v>
      </c>
      <c r="Q48" s="670">
        <f>Master!U83/Master!U$7*SOP!$C$6</f>
        <v>193.1</v>
      </c>
      <c r="R48" s="670">
        <f>Master!V83/Master!V$7*SOP!$C$6</f>
        <v>149.19999999999999</v>
      </c>
      <c r="S48" s="670">
        <f>Master!W83/Master!W$7*SOP!$C$6</f>
        <v>83.3</v>
      </c>
      <c r="T48" s="670">
        <f>Master!X83/Master!X$7*SOP!$C$6</f>
        <v>85.38235012935904</v>
      </c>
      <c r="U48" s="670">
        <f>Master!Y83/Master!Y$7*SOP!$C$6</f>
        <v>71.462119205298023</v>
      </c>
      <c r="V48" s="670">
        <f>Master!Z83/Master!Z$7*SOP!$C$6</f>
        <v>49.042630827165311</v>
      </c>
      <c r="W48" s="670">
        <f>Master!AA83/Master!AA$7*SOP!$C$6</f>
        <v>24.040505307433975</v>
      </c>
      <c r="X48" s="670">
        <f>Master!AB83/Master!AB$7*SOP!$C$6</f>
        <v>12.963017567734008</v>
      </c>
      <c r="Y48" s="670">
        <f>Master!AC83/Master!AC$7*SOP!$C$6</f>
        <v>7.6253044516082387</v>
      </c>
      <c r="Z48" s="670">
        <f>Master!AD83/Master!AD$7*SOP!$C$6</f>
        <v>6.9524834705839833</v>
      </c>
      <c r="AA48" s="670">
        <f>Master!AE83/Master!AE$7*SOP!$C$6</f>
        <v>6.4071906493617092</v>
      </c>
    </row>
    <row r="49" spans="16:27" ht="15">
      <c r="P49" s="662" t="s">
        <v>52</v>
      </c>
      <c r="Q49" s="664">
        <f>Master!U84/Master!U$7*SOP!$C$7</f>
        <v>541.25333746652052</v>
      </c>
      <c r="R49" s="664">
        <f>Master!V84/Master!V$7*SOP!$C$7</f>
        <v>530.44335441447197</v>
      </c>
      <c r="S49" s="664">
        <f>Master!W84/Master!W$7*SOP!$C$11</f>
        <v>347.57207063773285</v>
      </c>
      <c r="T49" s="664">
        <f>Master!X84/Master!X$7*SOP!$C$11</f>
        <v>469.86147900801819</v>
      </c>
      <c r="U49" s="664">
        <f>Master!Y84/Master!Y$7*SOP!$C$11</f>
        <v>644.04707901971244</v>
      </c>
      <c r="V49" s="664">
        <f>Master!Z84/Master!Z$7*SOP!$C$11</f>
        <v>496.89304043865013</v>
      </c>
      <c r="W49" s="664">
        <f>Master!AA84/Master!AA$7*SOP!$C$11</f>
        <v>465.99441783336056</v>
      </c>
      <c r="X49" s="664">
        <f>Master!AB84/Master!AB$7*SOP!$C$11</f>
        <v>452.45788989169426</v>
      </c>
      <c r="Y49" s="664">
        <f>Master!AC84/Master!AC$7*SOP!$C$11</f>
        <v>440.3988226469848</v>
      </c>
      <c r="Z49" s="664">
        <f>Master!AD84/Master!AD$7*SOP!$C$11</f>
        <v>427.84127415448853</v>
      </c>
      <c r="AA49" s="664">
        <f>Master!AE84/Master!AE$7*SOP!$C$11</f>
        <v>418.50370451315899</v>
      </c>
    </row>
    <row r="50" spans="16:27" ht="15">
      <c r="P50" s="663" t="s">
        <v>53</v>
      </c>
      <c r="Q50" s="670">
        <v>0</v>
      </c>
      <c r="R50" s="670">
        <v>0</v>
      </c>
      <c r="S50" s="670">
        <f>(Master!W85+Master!W86)/Valuation!T19*SOP!$C$10</f>
        <v>10.499999999999998</v>
      </c>
      <c r="T50" s="670">
        <f>(Master!X85+Master!X86)/Valuation!U19*SOP!$C$10</f>
        <v>10.013027618551327</v>
      </c>
      <c r="U50" s="670">
        <f>(Master!Y85+Master!Y86)/Valuation!V19*SOP!$C$10</f>
        <v>11.06536135905557</v>
      </c>
      <c r="V50" s="670">
        <f>(Master!Z85+Master!Z86)/Valuation!W19*SOP!$C$10</f>
        <v>10.848393489270167</v>
      </c>
      <c r="W50" s="670">
        <f>(Master!AA85+Master!AA86)/Valuation!X19*SOP!$C$10</f>
        <v>10.63567989144134</v>
      </c>
      <c r="X50" s="670">
        <f>(Master!AB85+Master!AB86)/Valuation!Y19*SOP!$C$10</f>
        <v>10.427137148471903</v>
      </c>
      <c r="Y50" s="670">
        <f>(Master!AC85+Master!AC86)/Valuation!Z19*SOP!$C$10</f>
        <v>10.222683478894021</v>
      </c>
      <c r="Z50" s="670">
        <f>(Master!AD85+Master!AD86)/Valuation!AA19*SOP!$C$10</f>
        <v>10.022238704798061</v>
      </c>
      <c r="AA50" s="670">
        <f>(Master!AE85+Master!AE86)/Valuation!AB19*SOP!$C$10</f>
        <v>9.8257242203902546</v>
      </c>
    </row>
    <row r="51" spans="16:27" ht="15">
      <c r="P51" s="672" t="s">
        <v>54</v>
      </c>
      <c r="Q51" s="665">
        <f>VOD!F205*SOP!$C$17</f>
        <v>71.55</v>
      </c>
      <c r="R51" s="665">
        <f>VOD!G205*SOP!$C$17</f>
        <v>75.600000000000009</v>
      </c>
      <c r="S51" s="665">
        <f>VOD!H205*SOP!$C$17</f>
        <v>51.75</v>
      </c>
      <c r="T51" s="665">
        <f>VOD!I205*SOP!$C$17</f>
        <v>53.730000000000004</v>
      </c>
      <c r="U51" s="665">
        <f>VOD!J205*SOP!$C$17</f>
        <v>68.719900499999994</v>
      </c>
      <c r="V51" s="665">
        <f>VOD!K205*SOP!$C$17</f>
        <v>70.626874454999992</v>
      </c>
      <c r="W51" s="665">
        <f>VOD!L205*SOP!$C$17</f>
        <v>73.185478234649992</v>
      </c>
      <c r="X51" s="665">
        <f>VOD!M205*SOP!$C$17</f>
        <v>75.342972581689509</v>
      </c>
      <c r="Y51" s="665">
        <f>VOD!N205*SOP!$C$17</f>
        <v>77.314727319437779</v>
      </c>
      <c r="Z51" s="665">
        <f>VOD!O205*SOP!$C$17</f>
        <v>79.148959006469326</v>
      </c>
      <c r="AA51" s="665">
        <f>VOD!P205*SOP!$C$17</f>
        <v>80.891086249606829</v>
      </c>
    </row>
    <row r="52" spans="16:27" ht="15">
      <c r="P52" s="669" t="s">
        <v>55</v>
      </c>
      <c r="Q52" s="670">
        <f t="shared" ref="Q52:V52" si="60">SUM(Q48:Q51)</f>
        <v>805.9033374665205</v>
      </c>
      <c r="R52" s="670">
        <f t="shared" si="60"/>
        <v>755.24335441447204</v>
      </c>
      <c r="S52" s="670">
        <f t="shared" si="60"/>
        <v>493.12207063773286</v>
      </c>
      <c r="T52" s="670">
        <f t="shared" si="60"/>
        <v>618.98685675592856</v>
      </c>
      <c r="U52" s="670">
        <f t="shared" si="60"/>
        <v>795.29446008406603</v>
      </c>
      <c r="V52" s="670">
        <f t="shared" si="60"/>
        <v>627.41093921008564</v>
      </c>
      <c r="W52" s="670">
        <f>SUM(W48:W51)</f>
        <v>573.85608126688589</v>
      </c>
      <c r="X52" s="670">
        <f t="shared" ref="X52:Y52" si="61">SUM(X48:X51)</f>
        <v>551.19101718958973</v>
      </c>
      <c r="Y52" s="670">
        <f t="shared" si="61"/>
        <v>535.56153789692485</v>
      </c>
      <c r="Z52" s="670">
        <f t="shared" ref="Z52:AA52" si="62">SUM(Z48:Z51)</f>
        <v>523.96495533633981</v>
      </c>
      <c r="AA52" s="670">
        <f t="shared" si="62"/>
        <v>515.62770563251786</v>
      </c>
    </row>
    <row r="54" spans="16:27" ht="15">
      <c r="P54" s="667" t="s">
        <v>37</v>
      </c>
      <c r="Q54" s="671"/>
      <c r="R54" s="671"/>
      <c r="S54" s="671"/>
      <c r="T54" s="671"/>
      <c r="U54" s="671"/>
      <c r="V54" s="671"/>
      <c r="W54" s="671"/>
      <c r="X54" s="671"/>
      <c r="Y54" s="671"/>
      <c r="Z54" s="671"/>
      <c r="AA54" s="671"/>
    </row>
    <row r="55" spans="16:27" ht="15">
      <c r="P55" s="663" t="s">
        <v>51</v>
      </c>
      <c r="Q55" s="670">
        <f t="shared" ref="Q55:T58" si="63">Q40-Q48</f>
        <v>125.96166086524116</v>
      </c>
      <c r="R55" s="670">
        <f t="shared" si="63"/>
        <v>174.60790960451976</v>
      </c>
      <c r="S55" s="670">
        <f t="shared" si="63"/>
        <v>172.01781420765025</v>
      </c>
      <c r="T55" s="670">
        <f t="shared" si="63"/>
        <v>111.65178223124543</v>
      </c>
      <c r="U55" s="670">
        <f t="shared" ref="U55:W58" si="64">U40-U48</f>
        <v>93.450463576158938</v>
      </c>
      <c r="V55" s="670">
        <f t="shared" si="64"/>
        <v>62.24641604986364</v>
      </c>
      <c r="W55" s="670">
        <f t="shared" si="64"/>
        <v>28.663679405017426</v>
      </c>
      <c r="X55" s="670">
        <f t="shared" ref="X55:Y55" si="65">X40-X48</f>
        <v>14.458750364011005</v>
      </c>
      <c r="Y55" s="670">
        <f t="shared" si="65"/>
        <v>7.9185853920547071</v>
      </c>
      <c r="Z55" s="670">
        <f t="shared" ref="Z55:AA55" si="66">Z40-Z48</f>
        <v>6.6850802601769033</v>
      </c>
      <c r="AA55" s="670">
        <f t="shared" si="66"/>
        <v>5.667899420589201</v>
      </c>
    </row>
    <row r="56" spans="16:27" ht="15">
      <c r="P56" s="662" t="s">
        <v>52</v>
      </c>
      <c r="Q56" s="664">
        <f t="shared" si="63"/>
        <v>288.09582619655168</v>
      </c>
      <c r="R56" s="664">
        <f t="shared" si="63"/>
        <v>356.1854618043252</v>
      </c>
      <c r="S56" s="664">
        <f t="shared" si="63"/>
        <v>498.91000123479387</v>
      </c>
      <c r="T56" s="664">
        <f t="shared" si="63"/>
        <v>370.34067754800554</v>
      </c>
      <c r="U56" s="664">
        <f t="shared" si="64"/>
        <v>333.3765267096602</v>
      </c>
      <c r="V56" s="664">
        <f t="shared" si="64"/>
        <v>480.09807113450904</v>
      </c>
      <c r="W56" s="664">
        <f t="shared" si="64"/>
        <v>550.37858270739207</v>
      </c>
      <c r="X56" s="664">
        <f t="shared" ref="X56:Y56" si="67">X41-X49</f>
        <v>566.04068400434653</v>
      </c>
      <c r="Y56" s="664">
        <f t="shared" si="67"/>
        <v>584.32888217643745</v>
      </c>
      <c r="Z56" s="664">
        <f t="shared" ref="Z56:AA56" si="68">Z41-Z49</f>
        <v>603.1163334629066</v>
      </c>
      <c r="AA56" s="664">
        <f t="shared" si="68"/>
        <v>614.05346731628629</v>
      </c>
    </row>
    <row r="57" spans="16:27" ht="15">
      <c r="P57" s="663" t="s">
        <v>53</v>
      </c>
      <c r="Q57" s="670">
        <f t="shared" si="63"/>
        <v>-38.940825459970164</v>
      </c>
      <c r="R57" s="670">
        <f t="shared" si="63"/>
        <v>-18.887005649717512</v>
      </c>
      <c r="S57" s="670">
        <f t="shared" si="63"/>
        <v>-309.18306010928961</v>
      </c>
      <c r="T57" s="670">
        <f t="shared" si="63"/>
        <v>-95.291818655549747</v>
      </c>
      <c r="U57" s="670">
        <f t="shared" si="64"/>
        <v>-93.714714452845939</v>
      </c>
      <c r="V57" s="670">
        <f t="shared" si="64"/>
        <v>-88.789566158553328</v>
      </c>
      <c r="W57" s="670">
        <f t="shared" si="64"/>
        <v>-83.672533919303916</v>
      </c>
      <c r="X57" s="670">
        <f t="shared" ref="X57:Y57" si="69">X42-X50</f>
        <v>-81.253462075975023</v>
      </c>
      <c r="Y57" s="670">
        <f t="shared" si="69"/>
        <v>-79.949256435783468</v>
      </c>
      <c r="Z57" s="670">
        <f t="shared" ref="Z57:AA57" si="70">Z42-Z50</f>
        <v>-79.25074476177295</v>
      </c>
      <c r="AA57" s="670">
        <f t="shared" si="70"/>
        <v>-78.283239150698151</v>
      </c>
    </row>
    <row r="58" spans="16:27" ht="15">
      <c r="P58" s="672" t="s">
        <v>54</v>
      </c>
      <c r="Q58" s="665">
        <f t="shared" si="63"/>
        <v>688.95</v>
      </c>
      <c r="R58" s="665">
        <f t="shared" si="63"/>
        <v>651.24</v>
      </c>
      <c r="S58" s="665">
        <f t="shared" si="63"/>
        <v>654.52499999999998</v>
      </c>
      <c r="T58" s="665">
        <f t="shared" si="63"/>
        <v>669.06</v>
      </c>
      <c r="U58" s="665">
        <f t="shared" si="64"/>
        <v>663.78469949999987</v>
      </c>
      <c r="V58" s="665">
        <f t="shared" si="64"/>
        <v>663.11717404499996</v>
      </c>
      <c r="W58" s="665">
        <f t="shared" si="64"/>
        <v>685.07717167035014</v>
      </c>
      <c r="X58" s="665">
        <f t="shared" ref="X58:Y58" si="71">X43-X51</f>
        <v>695.99229036421093</v>
      </c>
      <c r="Y58" s="665">
        <f t="shared" si="71"/>
        <v>703.19253596698354</v>
      </c>
      <c r="Z58" s="665">
        <f t="shared" ref="Z58:AA58" si="72">Z43-Z51</f>
        <v>704.10822530842154</v>
      </c>
      <c r="AA58" s="665">
        <f t="shared" si="72"/>
        <v>700.14815906975889</v>
      </c>
    </row>
    <row r="59" spans="16:27" ht="15">
      <c r="P59" s="669" t="s">
        <v>55</v>
      </c>
      <c r="Q59" s="670">
        <f t="shared" ref="Q59:V59" si="73">SUM(Q55:Q58)</f>
        <v>1064.0666616018227</v>
      </c>
      <c r="R59" s="670">
        <f t="shared" si="73"/>
        <v>1163.1463657591273</v>
      </c>
      <c r="S59" s="670">
        <f t="shared" si="73"/>
        <v>1016.2697553331545</v>
      </c>
      <c r="T59" s="670">
        <f t="shared" si="73"/>
        <v>1055.7606411237011</v>
      </c>
      <c r="U59" s="670">
        <f t="shared" si="73"/>
        <v>996.89697533297306</v>
      </c>
      <c r="V59" s="670">
        <f t="shared" si="73"/>
        <v>1116.6720950708193</v>
      </c>
      <c r="W59" s="670">
        <f>SUM(W55:W58)</f>
        <v>1180.4468998634557</v>
      </c>
      <c r="X59" s="670">
        <f t="shared" ref="X59:Y59" si="74">SUM(X55:X58)</f>
        <v>1195.2382626565936</v>
      </c>
      <c r="Y59" s="670">
        <f t="shared" si="74"/>
        <v>1215.4907470996923</v>
      </c>
      <c r="Z59" s="670">
        <f t="shared" ref="Z59:AA59" si="75">SUM(Z55:Z58)</f>
        <v>1234.6588942697322</v>
      </c>
      <c r="AA59" s="670">
        <f t="shared" si="75"/>
        <v>1241.5862866559362</v>
      </c>
    </row>
  </sheetData>
  <pageMargins left="0.7" right="0.7" top="0.75" bottom="0.75" header="0.3" footer="0.3"/>
  <pageSetup orientation="portrait" horizontalDpi="300" verticalDpi="30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E149"/>
  <sheetViews>
    <sheetView topLeftCell="A19" zoomScale="70" zoomScaleNormal="70" workbookViewId="0">
      <selection activeCell="B67" sqref="B67"/>
    </sheetView>
  </sheetViews>
  <sheetFormatPr defaultRowHeight="15"/>
  <cols>
    <col min="1" max="1" width="12" bestFit="1" customWidth="1"/>
    <col min="2" max="2" width="16.85546875" customWidth="1"/>
    <col min="3" max="3" width="10.5703125" customWidth="1"/>
    <col min="4" max="4" width="22.140625" customWidth="1"/>
    <col min="5" max="5" width="13.140625" customWidth="1"/>
    <col min="6" max="9" width="11" customWidth="1"/>
    <col min="10" max="13" width="9.140625" customWidth="1"/>
    <col min="14" max="17" width="11" customWidth="1"/>
    <col min="18" max="26" width="11.5703125" customWidth="1"/>
    <col min="27" max="27" width="13" customWidth="1"/>
  </cols>
  <sheetData>
    <row r="3" spans="1:31">
      <c r="M3" s="8"/>
    </row>
    <row r="5" spans="1:31">
      <c r="B5" s="61" t="s">
        <v>7710</v>
      </c>
      <c r="C5" s="130" t="s">
        <v>6</v>
      </c>
      <c r="D5" s="61"/>
      <c r="E5" s="61"/>
      <c r="F5" s="61"/>
      <c r="G5" s="61"/>
      <c r="H5" s="61"/>
      <c r="I5" s="61"/>
      <c r="J5" s="61"/>
      <c r="K5" s="61"/>
      <c r="L5" s="61"/>
      <c r="M5" s="131" t="s">
        <v>518</v>
      </c>
      <c r="N5" s="149" t="str">
        <f>N13</f>
        <v>3-play</v>
      </c>
      <c r="O5" s="130"/>
      <c r="P5" s="61"/>
      <c r="Q5" s="131"/>
      <c r="R5" s="149" t="str">
        <f>R13</f>
        <v>2-play (voice + BB)</v>
      </c>
      <c r="S5" s="61"/>
      <c r="T5" s="61"/>
      <c r="U5" s="131"/>
      <c r="V5" s="149" t="str">
        <f>V13</f>
        <v>Naked BB</v>
      </c>
      <c r="W5" s="61"/>
      <c r="X5" s="61"/>
      <c r="Y5" s="61"/>
      <c r="Z5" s="131"/>
    </row>
    <row r="6" spans="1:31">
      <c r="C6" s="140" t="s">
        <v>1376</v>
      </c>
      <c r="D6" s="3" t="s">
        <v>7711</v>
      </c>
      <c r="E6" s="3" t="s">
        <v>1378</v>
      </c>
      <c r="F6" s="3" t="s">
        <v>1379</v>
      </c>
      <c r="G6" t="s">
        <v>1382</v>
      </c>
      <c r="M6" s="132"/>
      <c r="O6" s="3"/>
      <c r="Q6" s="132"/>
      <c r="U6" s="132"/>
      <c r="Z6" s="132"/>
    </row>
    <row r="7" spans="1:31">
      <c r="B7" t="s">
        <v>97</v>
      </c>
      <c r="C7">
        <v>169</v>
      </c>
      <c r="D7">
        <v>226</v>
      </c>
      <c r="E7">
        <v>309</v>
      </c>
      <c r="F7">
        <v>429</v>
      </c>
      <c r="G7">
        <v>734</v>
      </c>
      <c r="M7" s="132"/>
      <c r="Q7" s="132"/>
      <c r="U7" s="132"/>
      <c r="Z7" s="132"/>
    </row>
    <row r="8" spans="1:31">
      <c r="B8" t="s">
        <v>7712</v>
      </c>
      <c r="C8">
        <v>43</v>
      </c>
      <c r="E8">
        <v>173</v>
      </c>
      <c r="F8">
        <v>219</v>
      </c>
      <c r="G8">
        <v>246</v>
      </c>
      <c r="M8" s="132"/>
      <c r="Q8" s="132"/>
      <c r="U8" s="132"/>
      <c r="Z8" s="132"/>
    </row>
    <row r="9" spans="1:31">
      <c r="C9" s="3"/>
      <c r="D9" s="3"/>
      <c r="E9" s="3"/>
      <c r="F9" s="3"/>
      <c r="G9" s="3"/>
      <c r="H9" s="3"/>
      <c r="I9" s="3"/>
      <c r="J9" s="3"/>
      <c r="K9" s="3"/>
      <c r="L9" s="3"/>
      <c r="M9" s="133"/>
      <c r="N9" s="3"/>
      <c r="O9" s="3"/>
      <c r="P9" s="3"/>
      <c r="Q9" s="133"/>
      <c r="R9" s="3"/>
      <c r="S9" s="3"/>
      <c r="T9" s="3"/>
      <c r="U9" s="132"/>
      <c r="Z9" s="132"/>
    </row>
    <row r="10" spans="1:31">
      <c r="C10" s="3" t="s">
        <v>7711</v>
      </c>
      <c r="D10" s="3" t="s">
        <v>7713</v>
      </c>
      <c r="E10" s="3" t="s">
        <v>7714</v>
      </c>
      <c r="F10" s="3"/>
      <c r="G10" s="3"/>
      <c r="H10" s="3"/>
      <c r="I10" s="3"/>
      <c r="J10" s="3"/>
      <c r="K10" s="3"/>
      <c r="L10" s="3"/>
      <c r="M10" s="133"/>
      <c r="N10" s="3"/>
      <c r="O10" s="3"/>
      <c r="P10" s="3"/>
      <c r="Q10" s="133"/>
      <c r="R10" s="3"/>
      <c r="S10" s="3"/>
      <c r="T10" s="3"/>
      <c r="U10" s="132"/>
      <c r="Z10" s="132"/>
    </row>
    <row r="11" spans="1:31">
      <c r="B11" t="s">
        <v>2633</v>
      </c>
      <c r="C11" s="3">
        <v>149</v>
      </c>
      <c r="D11">
        <v>199</v>
      </c>
      <c r="E11" s="3">
        <v>389</v>
      </c>
      <c r="F11" s="3"/>
      <c r="G11" s="3"/>
      <c r="H11" s="3"/>
      <c r="I11" s="3"/>
      <c r="J11" s="3"/>
      <c r="K11" s="3"/>
      <c r="L11" s="3"/>
      <c r="M11" s="133"/>
      <c r="N11" s="3"/>
      <c r="O11" s="3"/>
      <c r="P11" s="3"/>
      <c r="Q11" s="133"/>
      <c r="R11" s="3"/>
      <c r="S11" s="3"/>
      <c r="T11" s="3"/>
      <c r="U11" s="132"/>
      <c r="Z11" s="132"/>
    </row>
    <row r="12" spans="1:31">
      <c r="B12" t="s">
        <v>7712</v>
      </c>
      <c r="C12" s="3" t="s">
        <v>7715</v>
      </c>
      <c r="D12" s="3" t="s">
        <v>7716</v>
      </c>
      <c r="E12" s="3" t="s">
        <v>7717</v>
      </c>
      <c r="F12" s="3"/>
      <c r="G12" s="3"/>
      <c r="H12" s="3"/>
      <c r="I12" s="3"/>
      <c r="J12" s="3"/>
      <c r="K12" s="3"/>
      <c r="L12" s="3"/>
      <c r="M12" s="133"/>
      <c r="N12" s="3"/>
      <c r="O12" s="3"/>
      <c r="P12" s="3"/>
      <c r="Q12" s="133"/>
      <c r="R12" s="3"/>
      <c r="S12" s="3"/>
      <c r="T12" s="3"/>
      <c r="U12" s="132"/>
      <c r="Z12" s="132"/>
    </row>
    <row r="13" spans="1:31">
      <c r="C13" s="3"/>
      <c r="D13" s="3"/>
      <c r="E13" s="3"/>
      <c r="F13" s="3"/>
      <c r="G13" s="3"/>
      <c r="H13" s="3"/>
      <c r="I13" s="3"/>
      <c r="J13" s="3"/>
      <c r="K13" s="3"/>
      <c r="L13" s="3"/>
      <c r="M13" s="133"/>
      <c r="N13" s="148" t="s">
        <v>7718</v>
      </c>
      <c r="O13" s="3"/>
      <c r="P13" s="3"/>
      <c r="Q13" s="133"/>
      <c r="R13" s="148" t="s">
        <v>7719</v>
      </c>
      <c r="S13" s="3"/>
      <c r="T13" s="3"/>
      <c r="U13" s="132"/>
      <c r="V13" s="148" t="s">
        <v>7720</v>
      </c>
      <c r="Z13" s="132"/>
      <c r="AA13" s="148" t="s">
        <v>7721</v>
      </c>
    </row>
    <row r="14" spans="1:31">
      <c r="C14" s="3" t="s">
        <v>7722</v>
      </c>
      <c r="D14" s="3" t="s">
        <v>1111</v>
      </c>
      <c r="E14" s="3" t="s">
        <v>585</v>
      </c>
      <c r="L14" s="3"/>
      <c r="M14" s="133" t="s">
        <v>7711</v>
      </c>
      <c r="N14" s="136"/>
      <c r="O14" s="3" t="s">
        <v>7723</v>
      </c>
      <c r="P14" s="3" t="s">
        <v>7724</v>
      </c>
      <c r="Q14" s="133" t="s">
        <v>7725</v>
      </c>
      <c r="R14" s="3"/>
      <c r="S14" s="3" t="s">
        <v>7726</v>
      </c>
      <c r="T14" s="3" t="s">
        <v>7727</v>
      </c>
      <c r="U14" s="132"/>
      <c r="Z14" s="132"/>
    </row>
    <row r="15" spans="1:31">
      <c r="A15" s="61"/>
      <c r="B15" s="61" t="s">
        <v>484</v>
      </c>
      <c r="C15" s="130">
        <v>170</v>
      </c>
      <c r="D15" s="130">
        <v>339</v>
      </c>
      <c r="E15" s="130">
        <v>119</v>
      </c>
      <c r="F15" s="61"/>
      <c r="G15" s="130">
        <v>179</v>
      </c>
      <c r="H15" s="130">
        <v>399</v>
      </c>
      <c r="I15" s="130">
        <v>599</v>
      </c>
      <c r="J15" s="130">
        <v>949</v>
      </c>
      <c r="K15" s="130">
        <v>1899</v>
      </c>
      <c r="L15" s="130"/>
      <c r="M15" s="134">
        <v>149</v>
      </c>
      <c r="N15" s="137" t="s">
        <v>1231</v>
      </c>
      <c r="O15" s="130">
        <v>528</v>
      </c>
      <c r="P15" s="130">
        <v>734</v>
      </c>
      <c r="Q15" s="134">
        <v>999</v>
      </c>
      <c r="R15" s="130" t="str">
        <f>N15</f>
        <v>Price</v>
      </c>
      <c r="S15" s="130">
        <v>389</v>
      </c>
      <c r="T15" s="130">
        <v>549</v>
      </c>
      <c r="U15" s="131"/>
      <c r="V15" s="61">
        <v>179</v>
      </c>
      <c r="W15" s="61">
        <v>399</v>
      </c>
      <c r="X15" s="61">
        <v>599</v>
      </c>
      <c r="Y15" s="61">
        <v>949</v>
      </c>
      <c r="Z15" s="131">
        <v>1899</v>
      </c>
      <c r="AA15" s="150"/>
      <c r="AB15" s="61"/>
      <c r="AC15" s="61"/>
      <c r="AD15" s="61"/>
      <c r="AE15" s="61"/>
    </row>
    <row r="16" spans="1:31">
      <c r="B16" t="s">
        <v>7712</v>
      </c>
      <c r="C16" s="3" t="s">
        <v>7728</v>
      </c>
      <c r="D16" s="3">
        <v>70</v>
      </c>
      <c r="E16" s="3"/>
      <c r="G16" s="3"/>
      <c r="H16" s="3"/>
      <c r="I16" s="3"/>
      <c r="J16" s="3"/>
      <c r="K16" s="3"/>
      <c r="M16" s="133"/>
      <c r="N16" s="136" t="s">
        <v>7712</v>
      </c>
      <c r="O16" s="3" t="s">
        <v>7729</v>
      </c>
      <c r="P16" s="3" t="s">
        <v>7717</v>
      </c>
      <c r="Q16" s="133" t="s">
        <v>7717</v>
      </c>
      <c r="R16" s="3"/>
      <c r="S16" s="3"/>
      <c r="T16" s="3"/>
      <c r="U16" s="132"/>
      <c r="Z16" s="132"/>
    </row>
    <row r="17" spans="1:31">
      <c r="B17" t="s">
        <v>835</v>
      </c>
      <c r="C17" s="3"/>
      <c r="D17" s="3"/>
      <c r="E17" s="3"/>
      <c r="G17" s="3">
        <v>3</v>
      </c>
      <c r="H17" s="3">
        <v>5</v>
      </c>
      <c r="I17" s="3">
        <v>10</v>
      </c>
      <c r="J17" s="3">
        <v>30</v>
      </c>
      <c r="K17" s="3">
        <v>100</v>
      </c>
      <c r="M17" s="133"/>
      <c r="N17" s="136" t="s">
        <v>835</v>
      </c>
      <c r="O17" s="3">
        <v>5</v>
      </c>
      <c r="P17" s="3">
        <v>10</v>
      </c>
      <c r="Q17" s="133">
        <v>20</v>
      </c>
      <c r="R17" s="3" t="str">
        <f>N17</f>
        <v>BB</v>
      </c>
      <c r="S17" s="3">
        <v>5</v>
      </c>
      <c r="T17" s="3">
        <v>10</v>
      </c>
      <c r="U17" s="132"/>
      <c r="V17" s="3">
        <v>3</v>
      </c>
      <c r="W17" s="3">
        <v>5</v>
      </c>
      <c r="X17" s="3">
        <v>10</v>
      </c>
      <c r="Y17" s="3">
        <v>30</v>
      </c>
      <c r="Z17" s="133">
        <v>100</v>
      </c>
    </row>
    <row r="18" spans="1:31">
      <c r="E18" s="3"/>
      <c r="G18" s="3"/>
      <c r="H18" s="3"/>
      <c r="I18" s="3"/>
      <c r="J18" s="3"/>
      <c r="K18" s="3"/>
      <c r="M18" s="133"/>
      <c r="N18" s="136" t="s">
        <v>7730</v>
      </c>
      <c r="O18" s="3" t="s">
        <v>1292</v>
      </c>
      <c r="P18" s="3" t="s">
        <v>1292</v>
      </c>
      <c r="Q18" s="133" t="s">
        <v>1292</v>
      </c>
      <c r="R18" s="3" t="str">
        <f>N18</f>
        <v>F-F (local)</v>
      </c>
      <c r="S18" s="3" t="s">
        <v>1292</v>
      </c>
      <c r="T18" s="3" t="s">
        <v>1292</v>
      </c>
      <c r="U18" s="132"/>
      <c r="Z18" s="132"/>
    </row>
    <row r="19" spans="1:31">
      <c r="C19" s="3"/>
      <c r="D19" s="3"/>
      <c r="E19" s="3"/>
      <c r="G19" s="3"/>
      <c r="H19" s="3"/>
      <c r="I19" s="3"/>
      <c r="J19" s="3"/>
      <c r="K19" s="3"/>
      <c r="M19" s="133"/>
      <c r="N19" s="136" t="s">
        <v>7731</v>
      </c>
      <c r="O19" s="3">
        <v>30</v>
      </c>
      <c r="P19" s="3">
        <v>50</v>
      </c>
      <c r="Q19" s="133">
        <v>1000</v>
      </c>
      <c r="R19" s="3" t="str">
        <f>N19</f>
        <v>F-M</v>
      </c>
      <c r="S19" s="3"/>
      <c r="T19" s="3"/>
      <c r="U19" s="132"/>
      <c r="Z19" s="132"/>
    </row>
    <row r="20" spans="1:31">
      <c r="C20" s="3"/>
      <c r="D20" s="3"/>
      <c r="E20" s="3"/>
      <c r="G20" s="3"/>
      <c r="H20" s="3"/>
      <c r="I20" s="3"/>
      <c r="J20" s="3"/>
      <c r="K20" s="3"/>
      <c r="L20" s="3"/>
      <c r="M20" s="133"/>
      <c r="N20" s="136"/>
      <c r="O20" s="3"/>
      <c r="P20" s="3"/>
      <c r="Q20" s="133"/>
      <c r="R20" s="3"/>
      <c r="S20" s="3"/>
      <c r="T20" s="3"/>
      <c r="U20" s="132"/>
      <c r="Z20" s="132"/>
    </row>
    <row r="21" spans="1:31">
      <c r="C21" s="3" t="s">
        <v>7732</v>
      </c>
      <c r="D21" s="3" t="s">
        <v>7733</v>
      </c>
      <c r="E21" s="3" t="s">
        <v>585</v>
      </c>
      <c r="G21" s="3">
        <v>3</v>
      </c>
      <c r="H21" s="3">
        <v>6</v>
      </c>
      <c r="I21" s="3">
        <v>8</v>
      </c>
      <c r="J21" s="3"/>
      <c r="K21" s="3"/>
      <c r="L21" s="3"/>
      <c r="M21" s="133" t="s">
        <v>7734</v>
      </c>
      <c r="N21" s="136"/>
      <c r="O21" s="3" t="s">
        <v>7735</v>
      </c>
      <c r="P21" s="3" t="s">
        <v>7736</v>
      </c>
      <c r="Q21" s="133"/>
      <c r="R21" s="3"/>
      <c r="S21" s="3"/>
      <c r="T21" s="3"/>
      <c r="U21" s="132"/>
      <c r="Z21" s="132"/>
    </row>
    <row r="22" spans="1:31">
      <c r="A22" s="61" t="s">
        <v>7737</v>
      </c>
      <c r="B22" s="61" t="s">
        <v>483</v>
      </c>
      <c r="C22" s="130">
        <v>169</v>
      </c>
      <c r="D22" s="130">
        <v>295</v>
      </c>
      <c r="E22" s="130"/>
      <c r="F22" s="61"/>
      <c r="G22" s="130">
        <v>149</v>
      </c>
      <c r="H22" s="130">
        <v>599</v>
      </c>
      <c r="I22" s="130">
        <v>799</v>
      </c>
      <c r="J22" s="130"/>
      <c r="K22" s="130"/>
      <c r="L22" s="130"/>
      <c r="M22" s="134">
        <v>149</v>
      </c>
      <c r="N22" s="137"/>
      <c r="O22" s="130">
        <v>499</v>
      </c>
      <c r="P22" s="130">
        <v>649</v>
      </c>
      <c r="Q22" s="134">
        <v>999</v>
      </c>
      <c r="R22" s="130"/>
      <c r="S22" s="130">
        <f>V22+$AC$22</f>
        <v>298</v>
      </c>
      <c r="T22" s="130">
        <f>W22+$AC$22</f>
        <v>608</v>
      </c>
      <c r="U22" s="130">
        <f>X22+$AC$22</f>
        <v>698</v>
      </c>
      <c r="V22" s="150">
        <v>149</v>
      </c>
      <c r="W22" s="61">
        <v>459</v>
      </c>
      <c r="X22" s="61">
        <v>549</v>
      </c>
      <c r="Y22" s="61"/>
      <c r="Z22" s="131"/>
      <c r="AA22" s="150"/>
      <c r="AB22" s="61">
        <v>149</v>
      </c>
      <c r="AC22" s="61">
        <v>149</v>
      </c>
      <c r="AD22" s="61">
        <v>217</v>
      </c>
      <c r="AE22" s="61">
        <v>284</v>
      </c>
    </row>
    <row r="23" spans="1:31">
      <c r="B23" t="s">
        <v>7712</v>
      </c>
      <c r="C23" s="3" t="s">
        <v>7738</v>
      </c>
      <c r="D23" s="3" t="s">
        <v>7739</v>
      </c>
      <c r="E23" s="3"/>
      <c r="G23" s="3"/>
      <c r="H23" s="3"/>
      <c r="I23" s="3"/>
      <c r="J23" s="3"/>
      <c r="K23" s="3"/>
      <c r="L23" s="3"/>
      <c r="M23" s="133"/>
      <c r="N23" s="136" t="str">
        <f>N16</f>
        <v>Channels</v>
      </c>
      <c r="O23" s="3" t="str">
        <f>C23</f>
        <v xml:space="preserve">&gt;70 </v>
      </c>
      <c r="P23" s="3" t="str">
        <f>D23</f>
        <v xml:space="preserve">&gt;165 </v>
      </c>
      <c r="Q23" s="133" t="s">
        <v>1237</v>
      </c>
      <c r="R23" s="3"/>
      <c r="S23" s="3"/>
      <c r="T23" s="3"/>
      <c r="U23" s="132"/>
      <c r="V23">
        <v>3</v>
      </c>
      <c r="W23">
        <v>6</v>
      </c>
      <c r="X23">
        <v>8</v>
      </c>
      <c r="Z23" s="132"/>
    </row>
    <row r="24" spans="1:31">
      <c r="C24" s="3"/>
      <c r="D24" s="3"/>
      <c r="E24" s="3"/>
      <c r="G24" s="3"/>
      <c r="H24" s="3"/>
      <c r="I24" s="3"/>
      <c r="J24" s="3"/>
      <c r="K24" s="3"/>
      <c r="L24" s="3"/>
      <c r="M24" s="133"/>
      <c r="N24" s="136" t="str">
        <f>N17</f>
        <v>BB</v>
      </c>
      <c r="O24" s="3">
        <v>3</v>
      </c>
      <c r="P24" s="3">
        <v>6</v>
      </c>
      <c r="Q24" s="133">
        <v>20</v>
      </c>
      <c r="R24" s="3" t="str">
        <f>R17</f>
        <v>BB</v>
      </c>
      <c r="S24" s="3">
        <f>V23</f>
        <v>3</v>
      </c>
      <c r="T24" s="3">
        <f>W23</f>
        <v>6</v>
      </c>
      <c r="U24" s="133">
        <f>X23</f>
        <v>8</v>
      </c>
      <c r="Z24" s="132"/>
    </row>
    <row r="25" spans="1:31">
      <c r="C25" s="3"/>
      <c r="D25" s="3"/>
      <c r="E25" s="3"/>
      <c r="G25" s="3"/>
      <c r="H25" s="3"/>
      <c r="I25" s="3"/>
      <c r="J25" s="3"/>
      <c r="K25" s="3"/>
      <c r="L25" s="3"/>
      <c r="M25" s="133"/>
      <c r="N25" s="136" t="str">
        <f>N18</f>
        <v>F-F (local)</v>
      </c>
      <c r="O25" s="3" t="s">
        <v>1292</v>
      </c>
      <c r="P25" s="3" t="s">
        <v>1292</v>
      </c>
      <c r="Q25" s="133" t="s">
        <v>1292</v>
      </c>
      <c r="R25" s="3" t="str">
        <f>R18</f>
        <v>F-F (local)</v>
      </c>
      <c r="S25" s="3"/>
      <c r="T25" s="3"/>
      <c r="U25" s="132"/>
      <c r="Z25" s="132"/>
      <c r="AA25" t="str">
        <f>N18</f>
        <v>F-F (local)</v>
      </c>
      <c r="AB25">
        <v>100</v>
      </c>
      <c r="AC25">
        <v>100</v>
      </c>
      <c r="AD25" t="s">
        <v>1292</v>
      </c>
      <c r="AE25" t="s">
        <v>1292</v>
      </c>
    </row>
    <row r="26" spans="1:31">
      <c r="C26" s="3"/>
      <c r="D26" s="3"/>
      <c r="E26" s="3"/>
      <c r="G26" s="3"/>
      <c r="H26" s="3"/>
      <c r="I26" s="3"/>
      <c r="J26" s="3"/>
      <c r="K26" s="3"/>
      <c r="L26" s="3"/>
      <c r="M26" s="133"/>
      <c r="N26" s="136" t="str">
        <f>N19</f>
        <v>F-M</v>
      </c>
      <c r="O26" s="3">
        <v>30</v>
      </c>
      <c r="P26" s="3">
        <v>50</v>
      </c>
      <c r="Q26" s="133">
        <v>50</v>
      </c>
      <c r="R26" s="3" t="str">
        <f>R19</f>
        <v>F-M</v>
      </c>
      <c r="S26" s="3"/>
      <c r="T26" s="3"/>
      <c r="U26" s="132"/>
      <c r="Z26" s="132"/>
      <c r="AA26" t="str">
        <f>N19</f>
        <v>F-M</v>
      </c>
      <c r="AB26">
        <v>0</v>
      </c>
      <c r="AC26">
        <v>20</v>
      </c>
      <c r="AD26">
        <v>30</v>
      </c>
    </row>
    <row r="27" spans="1:31">
      <c r="C27" s="3"/>
      <c r="D27" s="3"/>
      <c r="E27" s="3"/>
      <c r="G27" s="3"/>
      <c r="H27" s="3"/>
      <c r="I27" s="3"/>
      <c r="J27" s="3"/>
      <c r="K27" s="3"/>
      <c r="L27" s="3"/>
      <c r="M27" s="133"/>
      <c r="N27" s="136"/>
      <c r="O27" s="3"/>
      <c r="P27" s="3"/>
      <c r="Q27" s="133"/>
      <c r="R27" s="3"/>
      <c r="S27" s="3"/>
      <c r="T27" s="3"/>
      <c r="U27" s="132"/>
      <c r="Z27" s="132"/>
    </row>
    <row r="28" spans="1:31">
      <c r="A28" t="s">
        <v>5275</v>
      </c>
      <c r="B28" t="s">
        <v>485</v>
      </c>
      <c r="C28" s="3">
        <v>179</v>
      </c>
      <c r="D28" s="3"/>
      <c r="E28" s="3"/>
      <c r="G28" s="3">
        <v>2</v>
      </c>
      <c r="H28" s="3">
        <v>4</v>
      </c>
      <c r="I28" s="3">
        <v>6</v>
      </c>
      <c r="J28" s="3"/>
      <c r="K28" s="3"/>
      <c r="L28" s="3"/>
      <c r="M28" s="133"/>
      <c r="N28" s="136"/>
      <c r="O28" s="3" t="s">
        <v>7740</v>
      </c>
      <c r="P28" s="3" t="s">
        <v>7741</v>
      </c>
      <c r="Q28" s="133" t="s">
        <v>7742</v>
      </c>
      <c r="R28" s="3"/>
      <c r="S28" s="3"/>
      <c r="T28" s="3"/>
      <c r="U28" s="132"/>
      <c r="Z28" s="132"/>
    </row>
    <row r="29" spans="1:31">
      <c r="A29" s="61"/>
      <c r="B29" s="61"/>
      <c r="C29" s="130"/>
      <c r="D29" s="130"/>
      <c r="E29" s="130"/>
      <c r="F29" s="61"/>
      <c r="G29" s="130">
        <v>149</v>
      </c>
      <c r="H29" s="130">
        <v>299</v>
      </c>
      <c r="I29" s="130">
        <v>399</v>
      </c>
      <c r="J29" s="130"/>
      <c r="K29" s="130"/>
      <c r="L29" s="130"/>
      <c r="M29" s="134"/>
      <c r="N29" s="137"/>
      <c r="O29" s="130">
        <v>479</v>
      </c>
      <c r="P29" s="130">
        <v>525</v>
      </c>
      <c r="Q29" s="134">
        <v>699</v>
      </c>
      <c r="R29" s="130"/>
      <c r="S29" s="130"/>
      <c r="T29" s="130"/>
      <c r="U29" s="131"/>
      <c r="V29" s="150">
        <v>149</v>
      </c>
      <c r="W29" s="61">
        <v>299</v>
      </c>
      <c r="X29" s="61">
        <v>399</v>
      </c>
      <c r="Y29" s="61"/>
      <c r="Z29" s="131"/>
    </row>
    <row r="30" spans="1:31">
      <c r="C30" s="3"/>
      <c r="D30" s="3"/>
      <c r="E30" s="3"/>
      <c r="F30" s="3"/>
      <c r="G30" s="3"/>
      <c r="H30" s="3"/>
      <c r="I30" s="3"/>
      <c r="J30" s="3"/>
      <c r="K30" s="3"/>
      <c r="L30" s="3"/>
      <c r="M30" s="133"/>
      <c r="N30" s="136" t="str">
        <f>N23</f>
        <v>Channels</v>
      </c>
      <c r="O30" s="3" t="s">
        <v>7729</v>
      </c>
      <c r="P30" s="3" t="s">
        <v>7729</v>
      </c>
      <c r="Q30" s="133" t="s">
        <v>7743</v>
      </c>
      <c r="R30" s="3"/>
      <c r="S30" s="3"/>
      <c r="T30" s="3"/>
      <c r="U30" s="132"/>
      <c r="V30">
        <v>2</v>
      </c>
      <c r="W30">
        <v>4</v>
      </c>
      <c r="X30">
        <v>6</v>
      </c>
      <c r="Z30" s="132"/>
    </row>
    <row r="31" spans="1:31">
      <c r="C31" s="3"/>
      <c r="D31" s="3"/>
      <c r="E31" s="3"/>
      <c r="F31" s="3"/>
      <c r="G31" s="3"/>
      <c r="H31" s="3"/>
      <c r="I31" s="3"/>
      <c r="J31" s="3"/>
      <c r="K31" s="3"/>
      <c r="L31" s="3"/>
      <c r="M31" s="133"/>
      <c r="N31" s="136" t="str">
        <f>N24</f>
        <v>BB</v>
      </c>
      <c r="O31" s="3">
        <v>1</v>
      </c>
      <c r="P31" s="3">
        <v>2</v>
      </c>
      <c r="Q31" s="133">
        <v>4</v>
      </c>
      <c r="R31" s="3"/>
      <c r="S31" s="3"/>
      <c r="T31" s="3"/>
      <c r="U31" s="132"/>
      <c r="Z31" s="132"/>
    </row>
    <row r="32" spans="1:31">
      <c r="C32" s="3"/>
      <c r="D32" s="3"/>
      <c r="E32" s="3"/>
      <c r="F32" s="3"/>
      <c r="G32" s="3"/>
      <c r="H32" s="3"/>
      <c r="I32" s="3"/>
      <c r="J32" s="3"/>
      <c r="K32" s="3"/>
      <c r="L32" s="3"/>
      <c r="M32" s="133"/>
      <c r="N32" s="136" t="str">
        <f>N25</f>
        <v>F-F (local)</v>
      </c>
      <c r="O32" s="3">
        <v>50</v>
      </c>
      <c r="P32" s="3" t="s">
        <v>1292</v>
      </c>
      <c r="Q32" s="133" t="s">
        <v>1292</v>
      </c>
      <c r="R32" s="3"/>
      <c r="S32" s="3"/>
      <c r="T32" s="3"/>
      <c r="U32" s="132"/>
      <c r="Z32" s="132"/>
    </row>
    <row r="33" spans="1:26">
      <c r="C33" s="3"/>
      <c r="D33" s="3"/>
      <c r="E33" s="3"/>
      <c r="F33" s="3"/>
      <c r="G33" s="3"/>
      <c r="H33" s="3"/>
      <c r="I33" s="3"/>
      <c r="J33" s="3"/>
      <c r="K33" s="3"/>
      <c r="L33" s="3"/>
      <c r="M33" s="133"/>
      <c r="N33" s="136" t="str">
        <f>N26</f>
        <v>F-M</v>
      </c>
      <c r="O33" s="3">
        <v>30</v>
      </c>
      <c r="P33" s="3"/>
      <c r="Q33" s="133"/>
      <c r="R33" s="3"/>
      <c r="S33" s="3"/>
      <c r="T33" s="3"/>
      <c r="U33" s="132"/>
      <c r="Z33" s="132"/>
    </row>
    <row r="34" spans="1:26">
      <c r="C34" s="3"/>
      <c r="D34" s="3"/>
      <c r="E34" s="3"/>
      <c r="F34" s="3"/>
      <c r="G34" s="3"/>
      <c r="H34" s="3"/>
      <c r="I34" s="3"/>
      <c r="J34" s="3"/>
      <c r="K34" s="3"/>
      <c r="L34" s="3"/>
      <c r="M34" s="133"/>
      <c r="N34" s="3"/>
      <c r="O34" s="3"/>
      <c r="P34" s="3"/>
      <c r="Q34" s="133"/>
      <c r="R34" s="3"/>
      <c r="U34" s="132"/>
      <c r="Z34" s="132"/>
    </row>
    <row r="35" spans="1:26">
      <c r="A35" s="61"/>
      <c r="B35" s="61" t="s">
        <v>466</v>
      </c>
      <c r="C35" s="61"/>
      <c r="D35" s="61"/>
      <c r="E35" s="61"/>
      <c r="F35" s="61"/>
      <c r="G35" s="61"/>
      <c r="H35" s="61"/>
      <c r="I35" s="61"/>
      <c r="J35" s="61"/>
      <c r="K35" s="61"/>
      <c r="L35" s="61"/>
      <c r="M35" s="131"/>
      <c r="N35" s="61" t="str">
        <f>N15</f>
        <v>Price</v>
      </c>
      <c r="O35" s="61">
        <f>S35+C11</f>
        <v>538</v>
      </c>
      <c r="P35" s="61">
        <f>T35+D11</f>
        <v>798</v>
      </c>
      <c r="Q35" s="131">
        <f>U35+E11</f>
        <v>1388</v>
      </c>
      <c r="R35" s="61" t="s">
        <v>1231</v>
      </c>
      <c r="S35" s="61">
        <v>389</v>
      </c>
      <c r="T35" s="130">
        <v>599</v>
      </c>
      <c r="U35" s="131">
        <v>999</v>
      </c>
      <c r="V35" s="150"/>
      <c r="W35" s="61">
        <v>399</v>
      </c>
      <c r="X35" s="61">
        <v>499</v>
      </c>
      <c r="Y35" s="61"/>
      <c r="Z35" s="131"/>
    </row>
    <row r="36" spans="1:26">
      <c r="M36" s="132"/>
      <c r="N36" t="str">
        <f>N16</f>
        <v>Channels</v>
      </c>
      <c r="O36" s="3" t="str">
        <f>C12</f>
        <v>&gt; 40</v>
      </c>
      <c r="P36" s="3" t="str">
        <f>D12</f>
        <v>&gt; 60</v>
      </c>
      <c r="Q36" s="135" t="str">
        <f>E12</f>
        <v>&gt;70</v>
      </c>
      <c r="U36" s="132"/>
      <c r="Z36" s="132"/>
    </row>
    <row r="37" spans="1:26">
      <c r="M37" s="132"/>
      <c r="N37" t="str">
        <f>N17</f>
        <v>BB</v>
      </c>
      <c r="O37">
        <f t="shared" ref="O37:Q39" si="0">S37</f>
        <v>3</v>
      </c>
      <c r="P37">
        <f t="shared" si="0"/>
        <v>5</v>
      </c>
      <c r="Q37" s="132">
        <f t="shared" si="0"/>
        <v>10</v>
      </c>
      <c r="R37" t="str">
        <f>N17</f>
        <v>BB</v>
      </c>
      <c r="S37">
        <v>3</v>
      </c>
      <c r="T37">
        <v>5</v>
      </c>
      <c r="U37" s="132">
        <v>10</v>
      </c>
      <c r="W37">
        <v>5</v>
      </c>
      <c r="X37">
        <v>10</v>
      </c>
      <c r="Z37" s="132"/>
    </row>
    <row r="38" spans="1:26">
      <c r="M38" s="132"/>
      <c r="N38" t="str">
        <f>N18</f>
        <v>F-F (local)</v>
      </c>
      <c r="O38">
        <f t="shared" si="0"/>
        <v>100</v>
      </c>
      <c r="P38" s="3">
        <f t="shared" si="0"/>
        <v>200</v>
      </c>
      <c r="Q38" s="132" t="str">
        <f t="shared" si="0"/>
        <v>unlimited</v>
      </c>
      <c r="R38" t="str">
        <f>N18</f>
        <v>F-F (local)</v>
      </c>
      <c r="S38">
        <v>100</v>
      </c>
      <c r="T38" s="3">
        <v>200</v>
      </c>
      <c r="U38" s="133" t="s">
        <v>1292</v>
      </c>
      <c r="Z38" s="132"/>
    </row>
    <row r="39" spans="1:26">
      <c r="M39" s="132"/>
      <c r="N39" t="str">
        <f>N19</f>
        <v>F-M</v>
      </c>
      <c r="O39">
        <f t="shared" si="0"/>
        <v>100</v>
      </c>
      <c r="P39">
        <f t="shared" si="0"/>
        <v>100</v>
      </c>
      <c r="Q39" s="132">
        <f t="shared" si="0"/>
        <v>100</v>
      </c>
      <c r="R39" t="str">
        <f>N19</f>
        <v>F-M</v>
      </c>
      <c r="S39">
        <v>100</v>
      </c>
      <c r="T39">
        <v>100</v>
      </c>
      <c r="U39" s="132">
        <v>100</v>
      </c>
      <c r="Z39" s="132"/>
    </row>
    <row r="40" spans="1:26">
      <c r="M40" s="132"/>
      <c r="Q40" s="132"/>
      <c r="U40" s="132"/>
      <c r="Z40" s="132"/>
    </row>
    <row r="41" spans="1:26">
      <c r="A41" s="61" t="s">
        <v>7737</v>
      </c>
      <c r="B41" s="61" t="s">
        <v>7744</v>
      </c>
      <c r="C41" s="61"/>
      <c r="D41" s="61"/>
      <c r="E41" s="61"/>
      <c r="F41" s="61"/>
      <c r="G41" s="61"/>
      <c r="H41" s="61"/>
      <c r="I41" s="61"/>
      <c r="J41" s="61"/>
      <c r="K41" s="61"/>
      <c r="L41" s="61"/>
      <c r="M41" s="131"/>
      <c r="N41" s="61" t="s">
        <v>1231</v>
      </c>
      <c r="O41" s="61">
        <v>649</v>
      </c>
      <c r="P41" s="61">
        <v>999</v>
      </c>
      <c r="Q41" s="131">
        <v>1599</v>
      </c>
      <c r="R41" s="61" t="s">
        <v>1231</v>
      </c>
      <c r="S41" s="61">
        <v>649</v>
      </c>
      <c r="T41" s="61"/>
      <c r="U41" s="131"/>
      <c r="Z41" s="132"/>
    </row>
    <row r="42" spans="1:26">
      <c r="A42" t="s">
        <v>7745</v>
      </c>
      <c r="M42" s="145"/>
      <c r="N42" t="str">
        <f>N36</f>
        <v>Channels</v>
      </c>
      <c r="O42" s="3">
        <v>140</v>
      </c>
      <c r="P42" s="3">
        <v>240</v>
      </c>
      <c r="Q42" s="135">
        <v>260</v>
      </c>
      <c r="U42" s="132"/>
      <c r="Z42" s="132"/>
    </row>
    <row r="43" spans="1:26">
      <c r="M43" s="132"/>
      <c r="N43" t="str">
        <f>N37</f>
        <v>BB</v>
      </c>
      <c r="O43">
        <v>10</v>
      </c>
      <c r="P43">
        <v>30</v>
      </c>
      <c r="Q43" s="132">
        <v>50</v>
      </c>
      <c r="R43" t="str">
        <f>R37</f>
        <v>BB</v>
      </c>
      <c r="S43">
        <v>15</v>
      </c>
      <c r="U43" s="132"/>
      <c r="Z43" s="132"/>
    </row>
    <row r="44" spans="1:26">
      <c r="M44" s="132"/>
      <c r="N44" t="str">
        <f>N38</f>
        <v>F-F (local)</v>
      </c>
      <c r="O44" s="3" t="s">
        <v>1292</v>
      </c>
      <c r="P44" s="3" t="s">
        <v>1292</v>
      </c>
      <c r="Q44" s="133" t="s">
        <v>1292</v>
      </c>
      <c r="R44" t="str">
        <f>R38</f>
        <v>F-F (local)</v>
      </c>
      <c r="S44" s="3" t="s">
        <v>1292</v>
      </c>
      <c r="U44" s="132"/>
      <c r="Z44" s="132"/>
    </row>
    <row r="45" spans="1:26">
      <c r="M45" s="132"/>
      <c r="N45" t="str">
        <f>N39</f>
        <v>F-M</v>
      </c>
      <c r="O45">
        <v>0</v>
      </c>
      <c r="P45">
        <v>50</v>
      </c>
      <c r="Q45" s="132">
        <v>100</v>
      </c>
      <c r="R45" t="str">
        <f>R39</f>
        <v>F-M</v>
      </c>
      <c r="S45">
        <v>0</v>
      </c>
      <c r="U45" s="132"/>
      <c r="Z45" s="132"/>
    </row>
    <row r="47" spans="1:26">
      <c r="B47" s="42" t="s">
        <v>7746</v>
      </c>
      <c r="N47" t="s">
        <v>7747</v>
      </c>
    </row>
    <row r="48" spans="1:26">
      <c r="B48" s="61" t="s">
        <v>1808</v>
      </c>
      <c r="C48" s="61">
        <v>2</v>
      </c>
      <c r="D48" s="61">
        <v>3</v>
      </c>
      <c r="E48" s="61">
        <v>5</v>
      </c>
      <c r="F48" s="61">
        <v>10</v>
      </c>
      <c r="G48" s="61">
        <v>20</v>
      </c>
      <c r="H48" s="61">
        <v>30</v>
      </c>
      <c r="I48" s="61">
        <v>50</v>
      </c>
    </row>
    <row r="49" spans="2:9">
      <c r="B49" t="s">
        <v>484</v>
      </c>
      <c r="D49">
        <f>O15</f>
        <v>528</v>
      </c>
      <c r="F49">
        <f>P15</f>
        <v>734</v>
      </c>
      <c r="G49">
        <f>Q15</f>
        <v>999</v>
      </c>
    </row>
    <row r="50" spans="2:9">
      <c r="B50" s="1" t="s">
        <v>7712</v>
      </c>
      <c r="D50" s="146" t="str">
        <f>O16</f>
        <v>&gt;40</v>
      </c>
      <c r="E50" s="146"/>
      <c r="F50" s="146" t="str">
        <f>P16</f>
        <v>&gt;70</v>
      </c>
      <c r="G50" s="146" t="str">
        <f>Q16</f>
        <v>&gt;70</v>
      </c>
    </row>
    <row r="51" spans="2:9">
      <c r="B51" t="s">
        <v>483</v>
      </c>
      <c r="D51">
        <f>O22</f>
        <v>499</v>
      </c>
      <c r="E51">
        <f>P22</f>
        <v>649</v>
      </c>
      <c r="G51">
        <f>Q22</f>
        <v>999</v>
      </c>
      <c r="H51">
        <v>1399</v>
      </c>
    </row>
    <row r="52" spans="2:9">
      <c r="B52" s="1" t="s">
        <v>7712</v>
      </c>
      <c r="D52" s="146" t="str">
        <f>O23</f>
        <v xml:space="preserve">&gt;70 </v>
      </c>
      <c r="E52" s="146" t="str">
        <f>P23</f>
        <v xml:space="preserve">&gt;165 </v>
      </c>
      <c r="F52" s="146"/>
      <c r="G52" s="146" t="str">
        <f>Q23</f>
        <v>Premium</v>
      </c>
      <c r="H52" s="146" t="s">
        <v>1237</v>
      </c>
    </row>
    <row r="53" spans="2:9">
      <c r="B53" t="s">
        <v>485</v>
      </c>
      <c r="C53">
        <f>P29</f>
        <v>525</v>
      </c>
      <c r="E53">
        <f>Q29</f>
        <v>699</v>
      </c>
    </row>
    <row r="54" spans="2:9">
      <c r="B54" s="1" t="s">
        <v>7712</v>
      </c>
      <c r="C54" s="146" t="str">
        <f>P30</f>
        <v>&gt;40</v>
      </c>
      <c r="D54" s="146"/>
      <c r="E54" s="146" t="str">
        <f>Q30</f>
        <v>&gt;150</v>
      </c>
    </row>
    <row r="55" spans="2:9">
      <c r="B55" t="s">
        <v>469</v>
      </c>
      <c r="F55">
        <f>O41</f>
        <v>649</v>
      </c>
      <c r="H55">
        <f>P41</f>
        <v>999</v>
      </c>
      <c r="I55">
        <f>Q41</f>
        <v>1599</v>
      </c>
    </row>
    <row r="56" spans="2:9">
      <c r="B56" s="147" t="s">
        <v>7712</v>
      </c>
      <c r="C56" s="61"/>
      <c r="D56" s="61"/>
      <c r="E56" s="61"/>
      <c r="F56" s="147">
        <f>O42</f>
        <v>140</v>
      </c>
      <c r="G56" s="147"/>
      <c r="H56" s="147">
        <f>P42</f>
        <v>240</v>
      </c>
      <c r="I56" s="147">
        <f>Q42</f>
        <v>260</v>
      </c>
    </row>
    <row r="57" spans="2:9">
      <c r="B57" t="s">
        <v>466</v>
      </c>
      <c r="D57">
        <f t="shared" ref="D57:F58" si="1">O35</f>
        <v>538</v>
      </c>
      <c r="E57">
        <f t="shared" si="1"/>
        <v>798</v>
      </c>
      <c r="F57">
        <f t="shared" si="1"/>
        <v>1388</v>
      </c>
    </row>
    <row r="58" spans="2:9">
      <c r="B58" s="1" t="s">
        <v>7712</v>
      </c>
      <c r="D58" s="146" t="str">
        <f t="shared" si="1"/>
        <v>&gt; 40</v>
      </c>
      <c r="E58" s="146" t="str">
        <f t="shared" si="1"/>
        <v>&gt; 60</v>
      </c>
      <c r="F58" s="146" t="str">
        <f t="shared" si="1"/>
        <v>&gt;70</v>
      </c>
    </row>
    <row r="60" spans="2:9">
      <c r="B60" s="42" t="s">
        <v>7748</v>
      </c>
    </row>
    <row r="61" spans="2:9">
      <c r="B61" s="61" t="str">
        <f>B48</f>
        <v>Mbps</v>
      </c>
      <c r="C61" s="61">
        <f>V17</f>
        <v>3</v>
      </c>
      <c r="D61" s="61">
        <f>W17</f>
        <v>5</v>
      </c>
      <c r="E61" s="61">
        <f>X17</f>
        <v>10</v>
      </c>
    </row>
    <row r="62" spans="2:9">
      <c r="B62" t="str">
        <f>B49</f>
        <v>Cablemas</v>
      </c>
      <c r="C62">
        <f>V15</f>
        <v>179</v>
      </c>
      <c r="D62">
        <f>W15</f>
        <v>399</v>
      </c>
      <c r="E62">
        <f>X15</f>
        <v>599</v>
      </c>
    </row>
    <row r="63" spans="2:9">
      <c r="B63" t="str">
        <f>B22</f>
        <v>Cablevision</v>
      </c>
      <c r="C63">
        <f>V22</f>
        <v>149</v>
      </c>
      <c r="D63">
        <f>W22</f>
        <v>459</v>
      </c>
      <c r="E63">
        <f>X22</f>
        <v>549</v>
      </c>
    </row>
    <row r="64" spans="2:9">
      <c r="B64" s="61" t="s">
        <v>485</v>
      </c>
      <c r="C64" s="61">
        <f>AVERAGE(V29:W29)</f>
        <v>224</v>
      </c>
      <c r="D64" s="61">
        <f>AVERAGE(W29:X29)</f>
        <v>349</v>
      </c>
      <c r="E64" s="61"/>
    </row>
    <row r="65" spans="1:8">
      <c r="B65" t="s">
        <v>7749</v>
      </c>
      <c r="C65">
        <f>AVERAGE(C62:C64)</f>
        <v>184</v>
      </c>
      <c r="D65" s="4">
        <f>AVERAGE(D62:D64)</f>
        <v>402.33333333333331</v>
      </c>
      <c r="E65">
        <f>AVERAGE(E62:E63)</f>
        <v>574</v>
      </c>
    </row>
    <row r="67" spans="1:8">
      <c r="B67" t="s">
        <v>7750</v>
      </c>
      <c r="C67">
        <f>S35</f>
        <v>389</v>
      </c>
      <c r="D67">
        <f>T35</f>
        <v>599</v>
      </c>
      <c r="E67">
        <f>U35</f>
        <v>999</v>
      </c>
    </row>
    <row r="68" spans="1:8">
      <c r="B68" s="2" t="s">
        <v>7751</v>
      </c>
    </row>
    <row r="69" spans="1:8">
      <c r="A69" s="151">
        <f>A71/1.5</f>
        <v>0.42533333333333334</v>
      </c>
      <c r="B69" t="str">
        <f>R38</f>
        <v>F-F (local)</v>
      </c>
      <c r="C69">
        <f>S38</f>
        <v>100</v>
      </c>
      <c r="D69">
        <f>T38</f>
        <v>200</v>
      </c>
      <c r="E69" s="3" t="str">
        <f>U38</f>
        <v>unlimited</v>
      </c>
    </row>
    <row r="70" spans="1:8">
      <c r="A70" s="151">
        <f>A69*1.25</f>
        <v>0.53166666666666673</v>
      </c>
      <c r="B70" t="s">
        <v>7752</v>
      </c>
      <c r="C70">
        <v>100</v>
      </c>
      <c r="D70">
        <v>0</v>
      </c>
      <c r="E70" s="3" t="s">
        <v>1292</v>
      </c>
    </row>
    <row r="71" spans="1:8">
      <c r="A71" s="151">
        <f>0.05*Master!$L$7</f>
        <v>0.63800000000000001</v>
      </c>
      <c r="B71" t="str">
        <f>R39</f>
        <v>F-M</v>
      </c>
      <c r="C71">
        <f>S39</f>
        <v>100</v>
      </c>
      <c r="D71">
        <f>T39</f>
        <v>100</v>
      </c>
      <c r="E71">
        <f>U39</f>
        <v>100</v>
      </c>
    </row>
    <row r="72" spans="1:8">
      <c r="A72" s="151"/>
    </row>
    <row r="73" spans="1:8">
      <c r="B73" t="s">
        <v>7753</v>
      </c>
      <c r="C73" s="4">
        <f>C71*$A71+C70*$A70+C69*$A69</f>
        <v>159.5</v>
      </c>
      <c r="D73" s="4">
        <f>D71*$A71+D70*$A70+D69*$A69</f>
        <v>148.86666666666667</v>
      </c>
      <c r="E73" s="4">
        <f>D73*1.25</f>
        <v>186.08333333333334</v>
      </c>
    </row>
    <row r="74" spans="1:8">
      <c r="B74" t="s">
        <v>7754</v>
      </c>
      <c r="C74" s="4">
        <f>C65+C73</f>
        <v>343.5</v>
      </c>
      <c r="D74" s="4">
        <f>D65+D73</f>
        <v>551.20000000000005</v>
      </c>
      <c r="E74" s="4">
        <f>E65+E73</f>
        <v>760.08333333333337</v>
      </c>
    </row>
    <row r="76" spans="1:8">
      <c r="B76" t="s">
        <v>7755</v>
      </c>
      <c r="C76" s="8">
        <f>C74/C67-1</f>
        <v>-0.11696658097686374</v>
      </c>
      <c r="D76" s="8">
        <f>D74/D67-1</f>
        <v>-7.979966611018352E-2</v>
      </c>
      <c r="E76" s="8">
        <f>E74/E67-1</f>
        <v>-0.23915582248915579</v>
      </c>
    </row>
    <row r="78" spans="1:8">
      <c r="B78" s="121" t="s">
        <v>7756</v>
      </c>
    </row>
    <row r="80" spans="1:8" ht="15.75">
      <c r="B80" s="66" t="s">
        <v>7757</v>
      </c>
      <c r="C80" s="74"/>
      <c r="D80" s="74"/>
      <c r="H80" s="74"/>
    </row>
    <row r="81" spans="2:8" ht="15.75">
      <c r="B81" s="66"/>
      <c r="C81" s="74"/>
      <c r="D81" s="74"/>
      <c r="E81" s="391" t="s">
        <v>7758</v>
      </c>
      <c r="F81" s="74"/>
      <c r="G81" s="74" t="s">
        <v>7759</v>
      </c>
      <c r="H81" s="74"/>
    </row>
    <row r="82" spans="2:8" ht="15.75">
      <c r="B82" s="217" t="s">
        <v>1231</v>
      </c>
      <c r="C82" s="388" t="s">
        <v>1808</v>
      </c>
      <c r="D82" s="388" t="s">
        <v>518</v>
      </c>
      <c r="E82" s="388" t="s">
        <v>466</v>
      </c>
      <c r="F82" s="388" t="s">
        <v>1812</v>
      </c>
      <c r="H82" s="388" t="s">
        <v>937</v>
      </c>
    </row>
    <row r="83" spans="2:8" ht="15.75">
      <c r="B83" s="70" t="s">
        <v>7760</v>
      </c>
      <c r="C83" s="111"/>
      <c r="D83" s="111"/>
      <c r="E83" s="111"/>
      <c r="F83" s="111"/>
      <c r="H83" s="111"/>
    </row>
    <row r="84" spans="2:8" ht="15.75">
      <c r="B84" s="142">
        <v>239</v>
      </c>
      <c r="C84" s="111">
        <v>3</v>
      </c>
      <c r="D84" s="111" t="s">
        <v>7761</v>
      </c>
      <c r="E84" s="66"/>
      <c r="F84" s="66"/>
      <c r="H84" s="66"/>
    </row>
    <row r="85" spans="2:8" ht="15.75">
      <c r="B85" s="142">
        <v>279</v>
      </c>
      <c r="C85" s="111">
        <v>5</v>
      </c>
      <c r="D85" s="111" t="s">
        <v>7761</v>
      </c>
      <c r="E85" s="66"/>
      <c r="F85" s="66"/>
      <c r="H85" s="66"/>
    </row>
    <row r="86" spans="2:8" ht="15.75">
      <c r="B86" s="142">
        <v>349</v>
      </c>
      <c r="C86" s="111">
        <v>10</v>
      </c>
      <c r="D86" s="111" t="s">
        <v>7761</v>
      </c>
      <c r="E86" s="69">
        <f>B86/B95-1</f>
        <v>-0.10282776349614398</v>
      </c>
      <c r="F86" s="66"/>
      <c r="H86" s="69">
        <f>B86/B103-1</f>
        <v>-0.10282776349614398</v>
      </c>
    </row>
    <row r="87" spans="2:8" ht="15.75">
      <c r="B87" s="142">
        <v>399</v>
      </c>
      <c r="C87" s="111">
        <v>20</v>
      </c>
      <c r="D87" s="111" t="s">
        <v>7761</v>
      </c>
      <c r="E87" s="66"/>
      <c r="F87" s="66"/>
      <c r="H87" s="66"/>
    </row>
    <row r="88" spans="2:8" ht="15.75">
      <c r="B88" s="142">
        <v>549</v>
      </c>
      <c r="C88" s="111">
        <v>40</v>
      </c>
      <c r="D88" s="111" t="s">
        <v>7761</v>
      </c>
      <c r="E88" s="66"/>
      <c r="F88" s="66"/>
      <c r="H88" s="66"/>
    </row>
    <row r="89" spans="2:8" ht="15.75">
      <c r="B89" s="142">
        <v>599</v>
      </c>
      <c r="C89" s="111">
        <v>50</v>
      </c>
      <c r="D89" s="111" t="s">
        <v>7761</v>
      </c>
      <c r="E89" s="69">
        <f>B89/B97-1</f>
        <v>0</v>
      </c>
      <c r="F89" s="66"/>
      <c r="H89" s="69">
        <f>B89/B106-1</f>
        <v>0</v>
      </c>
    </row>
    <row r="90" spans="2:8" ht="15.75">
      <c r="B90" s="142">
        <v>849</v>
      </c>
      <c r="C90" s="111">
        <v>100</v>
      </c>
      <c r="D90" s="111" t="s">
        <v>7761</v>
      </c>
      <c r="E90" s="69">
        <f>B90/B98-1</f>
        <v>-0.1501501501501501</v>
      </c>
      <c r="F90" s="66"/>
      <c r="H90" s="66"/>
    </row>
    <row r="91" spans="2:8" ht="15.75">
      <c r="B91" s="142">
        <v>1099</v>
      </c>
      <c r="C91" s="111">
        <v>200</v>
      </c>
      <c r="D91" s="111" t="s">
        <v>7761</v>
      </c>
      <c r="E91" s="69">
        <f>B91/B99-1</f>
        <v>-0.26684456304202797</v>
      </c>
      <c r="F91" s="66"/>
      <c r="H91" s="66"/>
    </row>
    <row r="92" spans="2:8" ht="15.75">
      <c r="B92" s="66"/>
      <c r="C92" s="66"/>
      <c r="D92" s="66"/>
      <c r="E92" s="66"/>
      <c r="F92" s="66"/>
      <c r="G92" s="66"/>
      <c r="H92" s="66"/>
    </row>
    <row r="93" spans="2:8" ht="15.75">
      <c r="B93" s="66" t="s">
        <v>466</v>
      </c>
      <c r="C93" s="66"/>
      <c r="D93" s="66"/>
      <c r="E93" s="66"/>
      <c r="F93" s="66"/>
      <c r="G93" s="66"/>
      <c r="H93" s="66"/>
    </row>
    <row r="94" spans="2:8" ht="15.75">
      <c r="B94" s="67" t="s">
        <v>7762</v>
      </c>
      <c r="C94" s="68" t="s">
        <v>1808</v>
      </c>
      <c r="D94" s="68" t="s">
        <v>518</v>
      </c>
      <c r="E94" s="67" t="s">
        <v>6</v>
      </c>
      <c r="F94" s="66"/>
      <c r="G94" s="66"/>
      <c r="H94" s="66"/>
    </row>
    <row r="95" spans="2:8" ht="15.75">
      <c r="B95" s="142">
        <v>389</v>
      </c>
      <c r="C95" s="111">
        <v>10</v>
      </c>
      <c r="D95" s="111" t="s">
        <v>7763</v>
      </c>
      <c r="E95" s="66" t="s">
        <v>7764</v>
      </c>
      <c r="F95" s="66"/>
      <c r="G95" s="66"/>
      <c r="H95" s="66"/>
    </row>
    <row r="96" spans="2:8" ht="15.75">
      <c r="B96" s="142">
        <v>499</v>
      </c>
      <c r="C96" s="111">
        <v>30</v>
      </c>
      <c r="D96" s="111" t="s">
        <v>7761</v>
      </c>
      <c r="E96" s="66"/>
      <c r="F96" s="66"/>
      <c r="G96" s="66"/>
      <c r="H96" s="66"/>
    </row>
    <row r="97" spans="2:8" ht="15.75">
      <c r="B97" s="142">
        <v>599</v>
      </c>
      <c r="C97" s="111">
        <v>50</v>
      </c>
      <c r="D97" s="111" t="s">
        <v>7761</v>
      </c>
      <c r="E97" s="66"/>
      <c r="F97" s="66"/>
      <c r="G97" s="66"/>
      <c r="H97" s="66"/>
    </row>
    <row r="98" spans="2:8" ht="15.75">
      <c r="B98" s="142">
        <v>999</v>
      </c>
      <c r="C98" s="111">
        <v>100</v>
      </c>
      <c r="D98" s="111" t="s">
        <v>7761</v>
      </c>
      <c r="E98" s="66"/>
      <c r="F98" s="66"/>
      <c r="G98" s="66"/>
      <c r="H98" s="66"/>
    </row>
    <row r="99" spans="2:8" ht="15.75">
      <c r="B99" s="142">
        <v>1499</v>
      </c>
      <c r="C99" s="111">
        <v>200</v>
      </c>
      <c r="D99" s="111" t="s">
        <v>7761</v>
      </c>
      <c r="E99" s="66"/>
      <c r="F99" s="66"/>
      <c r="G99" s="66"/>
      <c r="H99" s="66"/>
    </row>
    <row r="100" spans="2:8" ht="15.75">
      <c r="B100" s="66"/>
      <c r="C100" s="66"/>
      <c r="D100" s="66"/>
      <c r="E100" s="66"/>
      <c r="F100" s="66"/>
      <c r="G100" s="66"/>
      <c r="H100" s="66"/>
    </row>
    <row r="101" spans="2:8" ht="15.75">
      <c r="B101" s="74" t="s">
        <v>937</v>
      </c>
      <c r="C101" s="66"/>
      <c r="D101" s="66"/>
      <c r="E101" s="66"/>
      <c r="F101" s="66"/>
      <c r="G101" s="66"/>
      <c r="H101" s="66"/>
    </row>
    <row r="102" spans="2:8" ht="15.75">
      <c r="B102" s="555" t="s">
        <v>7760</v>
      </c>
      <c r="C102" s="68" t="s">
        <v>1808</v>
      </c>
      <c r="D102" s="68" t="str">
        <f>D94</f>
        <v>Voice</v>
      </c>
      <c r="E102" s="68" t="str">
        <f>E94</f>
        <v>TV</v>
      </c>
      <c r="F102" s="67" t="s">
        <v>1812</v>
      </c>
      <c r="G102" s="66"/>
      <c r="H102" s="66"/>
    </row>
    <row r="103" spans="2:8" ht="15.75">
      <c r="B103" s="142">
        <v>389</v>
      </c>
      <c r="C103" s="111">
        <v>10</v>
      </c>
      <c r="D103" s="111" t="s">
        <v>7761</v>
      </c>
      <c r="E103" s="66"/>
      <c r="F103" s="111" t="s">
        <v>5176</v>
      </c>
      <c r="G103" s="66"/>
      <c r="H103" s="66"/>
    </row>
    <row r="104" spans="2:8" ht="15.75">
      <c r="B104" s="142">
        <v>435</v>
      </c>
      <c r="C104" s="66">
        <v>10</v>
      </c>
      <c r="D104" s="111" t="s">
        <v>7761</v>
      </c>
      <c r="E104" s="66"/>
      <c r="F104" s="111" t="s">
        <v>7765</v>
      </c>
      <c r="G104" s="66"/>
      <c r="H104" s="66"/>
    </row>
    <row r="105" spans="2:8" ht="16.5" thickBot="1">
      <c r="B105" s="142">
        <v>499</v>
      </c>
      <c r="C105" s="66">
        <v>30</v>
      </c>
      <c r="D105" s="111" t="s">
        <v>7761</v>
      </c>
      <c r="E105" s="66"/>
      <c r="F105" s="66"/>
      <c r="G105" s="66"/>
      <c r="H105" s="66"/>
    </row>
    <row r="106" spans="2:8" ht="16.5" thickBot="1">
      <c r="B106" s="556">
        <v>599</v>
      </c>
      <c r="C106" s="557">
        <v>50</v>
      </c>
      <c r="D106" s="557" t="s">
        <v>7761</v>
      </c>
      <c r="E106" s="558"/>
      <c r="F106" s="559"/>
      <c r="G106" s="66"/>
      <c r="H106" s="66"/>
    </row>
    <row r="107" spans="2:8" ht="15.75">
      <c r="B107" s="70" t="s">
        <v>7766</v>
      </c>
      <c r="C107" s="111"/>
      <c r="D107" s="111"/>
      <c r="E107" s="66"/>
      <c r="F107" s="66"/>
      <c r="G107" s="66"/>
      <c r="H107" s="66"/>
    </row>
    <row r="108" spans="2:8" ht="15.75">
      <c r="B108" s="142">
        <v>430</v>
      </c>
      <c r="C108" s="111">
        <v>10</v>
      </c>
      <c r="D108" s="111"/>
      <c r="E108" s="111" t="s">
        <v>1825</v>
      </c>
      <c r="F108" s="66"/>
      <c r="G108" s="66"/>
      <c r="H108" s="66"/>
    </row>
    <row r="109" spans="2:8" ht="15.75">
      <c r="B109" s="70" t="s">
        <v>7767</v>
      </c>
      <c r="C109" s="66"/>
      <c r="D109" s="66"/>
      <c r="E109" s="66"/>
      <c r="F109" s="66"/>
      <c r="G109" s="66"/>
      <c r="H109" s="66"/>
    </row>
    <row r="110" spans="2:8" ht="15.75">
      <c r="B110" s="142">
        <v>490</v>
      </c>
      <c r="C110" s="111">
        <v>10</v>
      </c>
      <c r="D110" s="111" t="s">
        <v>7768</v>
      </c>
      <c r="E110" s="111" t="s">
        <v>1825</v>
      </c>
      <c r="F110" s="66"/>
      <c r="G110" s="66"/>
      <c r="H110" s="66"/>
    </row>
    <row r="111" spans="2:8" ht="15.75">
      <c r="B111" s="142">
        <v>570</v>
      </c>
      <c r="C111" s="111">
        <v>10</v>
      </c>
      <c r="D111" s="111" t="s">
        <v>7768</v>
      </c>
      <c r="E111" s="111" t="s">
        <v>7769</v>
      </c>
      <c r="F111" s="66"/>
      <c r="G111" s="66"/>
      <c r="H111" s="66"/>
    </row>
    <row r="112" spans="2:8" ht="15.75">
      <c r="B112" s="142">
        <v>490</v>
      </c>
      <c r="C112" s="111">
        <v>20</v>
      </c>
      <c r="D112" s="111" t="s">
        <v>7768</v>
      </c>
      <c r="E112" s="111" t="s">
        <v>7769</v>
      </c>
      <c r="F112" s="66"/>
      <c r="G112" s="66"/>
      <c r="H112" s="66"/>
    </row>
    <row r="113" spans="2:8" ht="15.75">
      <c r="B113" s="142">
        <v>570</v>
      </c>
      <c r="C113" s="111">
        <v>20</v>
      </c>
      <c r="D113" s="111" t="s">
        <v>7768</v>
      </c>
      <c r="E113" s="111" t="s">
        <v>1827</v>
      </c>
      <c r="F113" s="66"/>
      <c r="G113" s="66"/>
      <c r="H113" s="66"/>
    </row>
    <row r="114" spans="2:8" ht="15.75">
      <c r="B114" s="66"/>
      <c r="C114" s="66"/>
      <c r="D114" s="66"/>
      <c r="E114" s="66"/>
      <c r="F114" s="66"/>
      <c r="G114" s="66"/>
      <c r="H114" s="66"/>
    </row>
    <row r="115" spans="2:8" ht="15.75">
      <c r="B115" s="66" t="s">
        <v>557</v>
      </c>
      <c r="C115" s="66"/>
      <c r="D115" s="66"/>
      <c r="E115" s="66"/>
      <c r="F115" s="66"/>
      <c r="G115" s="66"/>
      <c r="H115" s="66"/>
    </row>
    <row r="116" spans="2:8" ht="15.75">
      <c r="B116" s="70" t="s">
        <v>7760</v>
      </c>
      <c r="C116" s="66"/>
      <c r="D116" s="66"/>
      <c r="E116" s="66"/>
      <c r="F116" s="66"/>
      <c r="G116" s="66"/>
      <c r="H116" s="66"/>
    </row>
    <row r="117" spans="2:8" ht="15.75">
      <c r="B117" s="142" t="s">
        <v>7770</v>
      </c>
      <c r="C117" s="111">
        <v>10</v>
      </c>
      <c r="D117" s="111" t="s">
        <v>7768</v>
      </c>
      <c r="E117" s="66"/>
      <c r="F117" s="66"/>
      <c r="G117" s="66"/>
      <c r="H117" s="66"/>
    </row>
    <row r="118" spans="2:8" ht="15.75">
      <c r="B118" s="70" t="s">
        <v>7767</v>
      </c>
      <c r="C118" s="66"/>
      <c r="D118" s="66"/>
      <c r="E118" s="66"/>
      <c r="F118" s="66"/>
      <c r="G118" s="66"/>
      <c r="H118" s="66"/>
    </row>
    <row r="119" spans="2:8" ht="15.75">
      <c r="B119" s="142" t="s">
        <v>7771</v>
      </c>
      <c r="C119" s="66">
        <v>20</v>
      </c>
      <c r="D119" s="111" t="s">
        <v>7761</v>
      </c>
      <c r="E119" s="66" t="s">
        <v>7772</v>
      </c>
      <c r="F119" s="66"/>
      <c r="G119" s="66"/>
      <c r="H119" s="66"/>
    </row>
    <row r="120" spans="2:8" ht="15.75">
      <c r="B120" s="142" t="s">
        <v>7773</v>
      </c>
      <c r="C120" s="111">
        <v>20</v>
      </c>
      <c r="D120" s="111" t="s">
        <v>7761</v>
      </c>
      <c r="E120" s="66" t="s">
        <v>7774</v>
      </c>
      <c r="F120" s="66"/>
      <c r="G120" s="66"/>
      <c r="H120" s="66"/>
    </row>
    <row r="121" spans="2:8" ht="15.75">
      <c r="B121" s="142" t="s">
        <v>7775</v>
      </c>
      <c r="C121" s="111">
        <v>30</v>
      </c>
      <c r="D121" s="111" t="s">
        <v>7761</v>
      </c>
      <c r="E121" s="66" t="s">
        <v>7776</v>
      </c>
      <c r="F121" s="66"/>
      <c r="G121" s="66"/>
      <c r="H121" s="66"/>
    </row>
    <row r="122" spans="2:8" ht="15.75">
      <c r="B122" s="142" t="s">
        <v>7777</v>
      </c>
      <c r="C122" s="111">
        <v>50</v>
      </c>
      <c r="D122" s="111" t="s">
        <v>7761</v>
      </c>
      <c r="E122" s="66" t="s">
        <v>7776</v>
      </c>
      <c r="F122" s="66"/>
      <c r="G122" s="66"/>
      <c r="H122" s="66"/>
    </row>
    <row r="123" spans="2:8" ht="15.75">
      <c r="B123" s="142">
        <v>999</v>
      </c>
      <c r="C123" s="111">
        <v>50</v>
      </c>
      <c r="D123" s="111" t="s">
        <v>7761</v>
      </c>
      <c r="E123" s="66" t="s">
        <v>7778</v>
      </c>
      <c r="F123" s="66" t="s">
        <v>7779</v>
      </c>
      <c r="G123" s="66"/>
      <c r="H123" s="66"/>
    </row>
    <row r="124" spans="2:8" ht="15.75">
      <c r="B124" s="66"/>
      <c r="C124" s="66"/>
      <c r="D124" s="66"/>
      <c r="E124" s="66"/>
      <c r="F124" s="66"/>
      <c r="G124" s="66"/>
      <c r="H124" s="66"/>
    </row>
    <row r="125" spans="2:8" ht="15.75">
      <c r="B125" s="554" t="s">
        <v>1844</v>
      </c>
      <c r="C125" s="66"/>
      <c r="D125" s="66"/>
      <c r="E125" s="66"/>
      <c r="F125" s="66"/>
      <c r="G125" s="66"/>
      <c r="H125" s="66"/>
    </row>
    <row r="126" spans="2:8" ht="15.75">
      <c r="B126" s="66"/>
      <c r="C126" s="66"/>
      <c r="D126" s="66"/>
      <c r="E126" s="66"/>
      <c r="F126" s="66"/>
      <c r="G126" s="66"/>
      <c r="H126" s="66"/>
    </row>
    <row r="127" spans="2:8" ht="15.75">
      <c r="B127" s="67" t="s">
        <v>7780</v>
      </c>
      <c r="C127" s="68" t="s">
        <v>1808</v>
      </c>
      <c r="D127" s="68" t="s">
        <v>7781</v>
      </c>
      <c r="E127" s="66"/>
      <c r="F127" s="66"/>
      <c r="G127" s="66"/>
      <c r="H127" s="66"/>
    </row>
    <row r="128" spans="2:8" ht="15.75">
      <c r="B128" s="142">
        <v>300</v>
      </c>
      <c r="C128" s="66">
        <v>5</v>
      </c>
      <c r="D128" s="66"/>
      <c r="E128" s="66"/>
      <c r="F128" s="66"/>
      <c r="G128" s="66"/>
      <c r="H128" s="66"/>
    </row>
    <row r="129" spans="2:8" ht="15.75">
      <c r="B129" s="142">
        <v>400</v>
      </c>
      <c r="C129" s="66">
        <v>10</v>
      </c>
      <c r="D129" s="69">
        <f>B129/B95-1</f>
        <v>2.8277634961439535E-2</v>
      </c>
      <c r="E129" s="66"/>
      <c r="F129" s="66"/>
      <c r="G129" s="66"/>
      <c r="H129" s="66"/>
    </row>
    <row r="130" spans="2:8" ht="15.75">
      <c r="B130" s="66"/>
      <c r="C130" s="66"/>
      <c r="D130" s="66"/>
      <c r="E130" s="66"/>
      <c r="F130" s="66"/>
      <c r="G130" s="66"/>
      <c r="H130" s="66"/>
    </row>
    <row r="131" spans="2:8" ht="15.75">
      <c r="B131" s="67" t="s">
        <v>7782</v>
      </c>
      <c r="C131" s="68" t="s">
        <v>1808</v>
      </c>
      <c r="D131" s="68" t="str">
        <f>D127</f>
        <v>discount*</v>
      </c>
      <c r="E131" s="66"/>
      <c r="F131" s="66"/>
      <c r="G131" s="66"/>
      <c r="H131" s="66"/>
    </row>
    <row r="132" spans="2:8" ht="15.75">
      <c r="B132" s="142">
        <v>225</v>
      </c>
      <c r="C132" s="66">
        <v>5</v>
      </c>
      <c r="D132" s="66"/>
      <c r="E132" s="66"/>
      <c r="F132" s="66"/>
      <c r="G132" s="66"/>
      <c r="H132" s="66"/>
    </row>
    <row r="133" spans="2:8" ht="15.75">
      <c r="B133" s="142">
        <v>375</v>
      </c>
      <c r="C133" s="66">
        <v>10</v>
      </c>
      <c r="D133" s="69">
        <f>B133/B95-1</f>
        <v>-3.5989717223650408E-2</v>
      </c>
      <c r="E133" s="66"/>
      <c r="F133" s="66"/>
      <c r="G133" s="66"/>
      <c r="H133" s="66"/>
    </row>
    <row r="134" spans="2:8" ht="15.75">
      <c r="B134" s="66"/>
      <c r="C134" s="66"/>
      <c r="D134" s="66"/>
      <c r="E134" s="66"/>
      <c r="F134" s="66"/>
      <c r="G134" s="66"/>
      <c r="H134" s="66"/>
    </row>
    <row r="135" spans="2:8" ht="15.75">
      <c r="B135" s="67" t="s">
        <v>1845</v>
      </c>
      <c r="C135" s="68" t="s">
        <v>1808</v>
      </c>
      <c r="D135" s="68" t="str">
        <f>D131</f>
        <v>discount*</v>
      </c>
      <c r="E135" s="66"/>
      <c r="F135" s="66"/>
      <c r="G135" s="66"/>
      <c r="H135" s="66"/>
    </row>
    <row r="136" spans="2:8" ht="15.75">
      <c r="B136" s="142">
        <v>199</v>
      </c>
      <c r="C136" s="66">
        <v>5</v>
      </c>
      <c r="E136" s="66"/>
      <c r="F136" s="66"/>
      <c r="G136" s="66"/>
      <c r="H136" s="66"/>
    </row>
    <row r="137" spans="2:8" ht="15.75">
      <c r="B137" s="142">
        <v>349</v>
      </c>
      <c r="C137" s="66">
        <v>10</v>
      </c>
      <c r="D137" s="69">
        <f>B137/B95-1</f>
        <v>-0.10282776349614398</v>
      </c>
    </row>
    <row r="138" spans="2:8" ht="15.75">
      <c r="B138" s="142">
        <v>599</v>
      </c>
      <c r="C138" s="66">
        <v>20</v>
      </c>
    </row>
    <row r="141" spans="2:8" ht="15.75">
      <c r="B141" s="142"/>
      <c r="C141" s="66"/>
    </row>
    <row r="142" spans="2:8" ht="15.75">
      <c r="B142" s="67" t="s">
        <v>7783</v>
      </c>
      <c r="C142" s="67"/>
      <c r="D142" s="66"/>
      <c r="E142" s="66"/>
      <c r="F142" s="66"/>
      <c r="G142" s="66"/>
      <c r="H142" s="66"/>
    </row>
    <row r="143" spans="2:8" ht="15.75">
      <c r="B143" s="142">
        <v>169</v>
      </c>
      <c r="C143" s="66">
        <v>3</v>
      </c>
      <c r="D143" s="66"/>
      <c r="E143" s="66"/>
      <c r="F143" s="66"/>
      <c r="G143" s="66"/>
      <c r="H143" s="66"/>
    </row>
    <row r="144" spans="2:8" ht="15.75">
      <c r="B144" s="142">
        <v>199</v>
      </c>
      <c r="C144" s="66">
        <v>5</v>
      </c>
      <c r="D144" s="66"/>
      <c r="E144" s="66"/>
      <c r="F144" s="66"/>
      <c r="G144" s="66"/>
      <c r="H144" s="66"/>
    </row>
    <row r="145" spans="2:8" ht="15.75">
      <c r="B145" s="142">
        <v>249</v>
      </c>
      <c r="C145" s="66">
        <v>10</v>
      </c>
      <c r="D145" s="66"/>
      <c r="E145" s="66"/>
      <c r="F145" s="66"/>
      <c r="G145" s="66"/>
      <c r="H145" s="66"/>
    </row>
    <row r="146" spans="2:8" ht="15.75">
      <c r="B146" s="142">
        <v>349</v>
      </c>
      <c r="C146" s="66">
        <v>20</v>
      </c>
      <c r="D146" s="66"/>
      <c r="E146" s="66"/>
      <c r="F146" s="66"/>
      <c r="G146" s="66"/>
      <c r="H146" s="66"/>
    </row>
    <row r="147" spans="2:8" ht="15.75">
      <c r="B147" s="142">
        <v>549</v>
      </c>
      <c r="C147" s="66">
        <v>50</v>
      </c>
      <c r="D147" s="66"/>
      <c r="E147" s="66"/>
      <c r="F147" s="66"/>
      <c r="G147" s="66"/>
      <c r="H147" s="66"/>
    </row>
    <row r="148" spans="2:8" ht="15.75">
      <c r="B148" s="142">
        <v>799</v>
      </c>
      <c r="C148" s="66">
        <v>100</v>
      </c>
      <c r="D148" s="66"/>
      <c r="E148" s="66"/>
      <c r="F148" s="66"/>
      <c r="G148" s="66"/>
      <c r="H148" s="66"/>
    </row>
    <row r="149" spans="2:8" ht="15.75">
      <c r="B149" s="142">
        <v>999</v>
      </c>
      <c r="C149" s="66">
        <v>200</v>
      </c>
      <c r="D149" s="66"/>
      <c r="E149" s="66"/>
      <c r="F149" s="66"/>
      <c r="G149" s="66"/>
      <c r="H149" s="66"/>
    </row>
  </sheetData>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AE159"/>
  <sheetViews>
    <sheetView zoomScale="65" zoomScaleNormal="65" workbookViewId="0">
      <selection activeCell="AG11" sqref="AG11"/>
    </sheetView>
  </sheetViews>
  <sheetFormatPr defaultRowHeight="15" outlineLevelCol="1"/>
  <cols>
    <col min="2" max="2" width="21.42578125" bestFit="1" customWidth="1"/>
    <col min="3" max="14" width="9.140625" hidden="1" customWidth="1" outlineLevel="1"/>
    <col min="15" max="15" width="12.42578125" customWidth="1" collapsed="1"/>
    <col min="16" max="31" width="12.42578125" customWidth="1"/>
  </cols>
  <sheetData>
    <row r="2" spans="2:31" ht="15.75">
      <c r="B2" s="78" t="s">
        <v>7784</v>
      </c>
      <c r="C2" s="78">
        <v>1997</v>
      </c>
      <c r="D2" s="78">
        <v>1998</v>
      </c>
      <c r="E2" s="78">
        <v>1999</v>
      </c>
      <c r="F2" s="78">
        <v>2000</v>
      </c>
      <c r="G2" s="78">
        <v>2001</v>
      </c>
      <c r="H2" s="78">
        <v>2002</v>
      </c>
      <c r="I2" s="78">
        <v>2003</v>
      </c>
      <c r="J2" s="78">
        <v>2004</v>
      </c>
      <c r="K2" s="78">
        <v>2005</v>
      </c>
      <c r="L2" s="78">
        <v>2006</v>
      </c>
      <c r="M2" s="78">
        <v>2007</v>
      </c>
      <c r="N2" s="78">
        <v>2008</v>
      </c>
      <c r="O2" s="78">
        <v>2009</v>
      </c>
      <c r="P2" s="78">
        <v>2010</v>
      </c>
      <c r="Q2" s="78">
        <v>2011</v>
      </c>
      <c r="R2" s="78">
        <v>2012</v>
      </c>
      <c r="S2" s="78">
        <v>2013</v>
      </c>
      <c r="T2" s="78">
        <v>2014</v>
      </c>
      <c r="U2" s="78">
        <v>2015</v>
      </c>
      <c r="V2" s="78">
        <v>2016</v>
      </c>
      <c r="W2" s="78">
        <v>2017</v>
      </c>
      <c r="X2" s="78">
        <v>2018</v>
      </c>
      <c r="Y2" s="78">
        <v>2019</v>
      </c>
      <c r="Z2" s="78">
        <v>2020</v>
      </c>
      <c r="AA2" s="78">
        <v>2021</v>
      </c>
      <c r="AB2" s="78">
        <v>2022</v>
      </c>
      <c r="AC2" s="78">
        <v>2023</v>
      </c>
      <c r="AD2" s="78">
        <v>2024</v>
      </c>
      <c r="AE2" s="78">
        <v>2025</v>
      </c>
    </row>
    <row r="3" spans="2:31" ht="15.75">
      <c r="B3" s="79"/>
      <c r="C3" s="79"/>
      <c r="D3" s="79"/>
      <c r="E3" s="79"/>
      <c r="F3" s="79"/>
      <c r="G3" s="79"/>
      <c r="H3" s="79"/>
      <c r="I3" s="79"/>
      <c r="J3" s="79"/>
      <c r="K3" s="79"/>
      <c r="L3" s="79"/>
      <c r="M3" s="79"/>
      <c r="N3" s="79"/>
      <c r="O3" s="79"/>
      <c r="P3" s="79"/>
      <c r="Q3" s="79"/>
      <c r="R3" s="390"/>
      <c r="S3" s="390"/>
      <c r="T3" s="390"/>
      <c r="U3" s="390"/>
      <c r="V3" s="390"/>
      <c r="W3" s="390"/>
      <c r="X3" s="390"/>
      <c r="Y3" s="390"/>
      <c r="Z3" s="390"/>
      <c r="AA3" s="390"/>
      <c r="AB3" s="390"/>
      <c r="AC3" s="390"/>
      <c r="AD3" s="390"/>
      <c r="AE3" s="390"/>
    </row>
    <row r="4" spans="2:31" ht="15.75">
      <c r="B4" s="79" t="s">
        <v>7785</v>
      </c>
      <c r="C4" s="80"/>
      <c r="D4" s="80"/>
      <c r="E4" s="80"/>
      <c r="F4" s="80">
        <v>99.126394981585889</v>
      </c>
      <c r="G4" s="80">
        <v>100.61329090630967</v>
      </c>
      <c r="H4" s="80">
        <v>102.09230628263242</v>
      </c>
      <c r="I4" s="80">
        <v>103.55222626247406</v>
      </c>
      <c r="J4" s="80">
        <v>104.77414253237126</v>
      </c>
      <c r="K4" s="81">
        <v>106</v>
      </c>
      <c r="L4" s="82">
        <v>107.16599999999998</v>
      </c>
      <c r="M4" s="82">
        <v>108.34482599999997</v>
      </c>
      <c r="N4" s="82">
        <v>109.53661908599996</v>
      </c>
      <c r="O4" s="82">
        <v>110.74152189594595</v>
      </c>
      <c r="P4" s="82">
        <v>111.95967863680134</v>
      </c>
      <c r="Q4" s="82">
        <v>113.19123510180614</v>
      </c>
      <c r="R4" s="82">
        <v>114.436338687926</v>
      </c>
      <c r="S4" s="82">
        <v>115.69513841349317</v>
      </c>
      <c r="T4" s="82">
        <v>116.96778493604158</v>
      </c>
      <c r="U4" s="82">
        <v>118.25443057033803</v>
      </c>
      <c r="V4" s="82">
        <v>119.55522930661174</v>
      </c>
      <c r="W4" s="82">
        <v>120.87033682898445</v>
      </c>
      <c r="X4" s="82">
        <v>122.19991053410327</v>
      </c>
      <c r="Y4" s="82">
        <v>123.54410954997839</v>
      </c>
      <c r="Z4" s="82">
        <v>124.90309475502814</v>
      </c>
      <c r="AA4" s="82">
        <v>126.27702879733343</v>
      </c>
      <c r="AB4" s="82">
        <v>127.66607611410409</v>
      </c>
      <c r="AC4" s="82">
        <v>129.07040295135923</v>
      </c>
      <c r="AD4" s="82">
        <v>130.49017738382418</v>
      </c>
      <c r="AE4" s="82">
        <v>131.92556933504622</v>
      </c>
    </row>
    <row r="5" spans="2:31" ht="15.75">
      <c r="B5" s="79" t="s">
        <v>192</v>
      </c>
      <c r="C5" s="79"/>
      <c r="D5" s="83"/>
      <c r="E5" s="83"/>
      <c r="F5" s="84">
        <v>1.5299999999999999E-2</v>
      </c>
      <c r="G5" s="84">
        <v>1.4999999999999999E-2</v>
      </c>
      <c r="H5" s="84">
        <v>1.47E-2</v>
      </c>
      <c r="I5" s="84">
        <v>1.43E-2</v>
      </c>
      <c r="J5" s="84">
        <v>1.18E-2</v>
      </c>
      <c r="K5" s="84">
        <v>1.17E-2</v>
      </c>
      <c r="L5" s="84">
        <v>1.0999999999999999E-2</v>
      </c>
      <c r="M5" s="84">
        <v>1.0999999999999999E-2</v>
      </c>
      <c r="N5" s="84">
        <v>1.0999999999999999E-2</v>
      </c>
      <c r="O5" s="84">
        <v>1.0999999999999999E-2</v>
      </c>
      <c r="P5" s="84">
        <v>1.0999999999999999E-2</v>
      </c>
      <c r="Q5" s="84">
        <v>1.0999999999999999E-2</v>
      </c>
      <c r="R5" s="84">
        <v>1.0999999999999999E-2</v>
      </c>
      <c r="S5" s="84">
        <v>1.0999999999999999E-2</v>
      </c>
      <c r="T5" s="84">
        <v>1.0999999999999999E-2</v>
      </c>
      <c r="U5" s="84">
        <v>1.0999999999999999E-2</v>
      </c>
      <c r="V5" s="84">
        <v>1.0999999999999999E-2</v>
      </c>
      <c r="W5" s="84">
        <v>1.0999999999999999E-2</v>
      </c>
      <c r="X5" s="84">
        <v>1.0999999999999999E-2</v>
      </c>
      <c r="Y5" s="84">
        <v>1.0999999999999999E-2</v>
      </c>
      <c r="Z5" s="84">
        <v>1.0999999999999999E-2</v>
      </c>
      <c r="AA5" s="84">
        <v>1.0999999999999999E-2</v>
      </c>
      <c r="AB5" s="84">
        <v>1.0999999999999999E-2</v>
      </c>
      <c r="AC5" s="84">
        <v>1.0999999999999999E-2</v>
      </c>
      <c r="AD5" s="84">
        <v>1.0999999999999999E-2</v>
      </c>
      <c r="AE5" s="84">
        <v>1.0999999999999999E-2</v>
      </c>
    </row>
    <row r="6" spans="2:31" ht="15.75">
      <c r="B6" s="79"/>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row>
    <row r="7" spans="2:31" ht="15.75">
      <c r="B7" s="79" t="s">
        <v>7786</v>
      </c>
      <c r="C7" s="64"/>
      <c r="D7" s="64"/>
      <c r="E7" s="64"/>
      <c r="F7" s="64"/>
      <c r="G7" s="64">
        <v>22715</v>
      </c>
      <c r="H7" s="64">
        <v>26365</v>
      </c>
      <c r="I7" s="64">
        <v>30019</v>
      </c>
      <c r="J7" s="64">
        <v>38189</v>
      </c>
      <c r="K7" s="64">
        <v>46625</v>
      </c>
      <c r="L7" s="64">
        <v>56716</v>
      </c>
      <c r="M7" s="64">
        <v>68689</v>
      </c>
      <c r="N7" s="64">
        <v>77935</v>
      </c>
      <c r="O7" s="64">
        <v>83554</v>
      </c>
      <c r="P7" s="64">
        <v>91911</v>
      </c>
      <c r="Q7" s="64">
        <v>94521.4</v>
      </c>
      <c r="R7" s="64">
        <v>100775.4495412844</v>
      </c>
      <c r="S7" s="64">
        <v>105103</v>
      </c>
      <c r="T7" s="64">
        <v>102750.09945191872</v>
      </c>
      <c r="U7" s="64">
        <v>103880.35054588984</v>
      </c>
      <c r="V7" s="64">
        <v>105023.03440189461</v>
      </c>
      <c r="W7" s="64">
        <v>106178.28778031544</v>
      </c>
      <c r="X7" s="64">
        <v>107346.24894589889</v>
      </c>
      <c r="Y7" s="64">
        <v>108527.05768430377</v>
      </c>
      <c r="Z7" s="64">
        <v>109720.85531883111</v>
      </c>
      <c r="AA7" s="64">
        <v>110927.78472733824</v>
      </c>
      <c r="AB7" s="64">
        <v>112147.99035933893</v>
      </c>
      <c r="AC7" s="64">
        <v>113381.61825329166</v>
      </c>
      <c r="AD7" s="64">
        <v>114628.81605407788</v>
      </c>
      <c r="AE7" s="64">
        <v>115889.73303067269</v>
      </c>
    </row>
    <row r="8" spans="2:31" ht="15.75">
      <c r="B8" s="79" t="s">
        <v>476</v>
      </c>
      <c r="C8" s="83"/>
      <c r="D8" s="83"/>
      <c r="E8" s="83"/>
      <c r="F8" s="83"/>
      <c r="G8" s="83">
        <v>0.22576540132408585</v>
      </c>
      <c r="H8" s="83">
        <v>0.25824668831568082</v>
      </c>
      <c r="I8" s="83">
        <v>0.28989236719943395</v>
      </c>
      <c r="J8" s="83">
        <v>0.36448878584905658</v>
      </c>
      <c r="K8" s="83">
        <v>0.43985849056603776</v>
      </c>
      <c r="L8" s="83">
        <v>0.52923501856932242</v>
      </c>
      <c r="M8" s="83">
        <v>0.63398505065668764</v>
      </c>
      <c r="N8" s="83">
        <v>0.71149722029316309</v>
      </c>
      <c r="O8" s="83">
        <v>0.7544956811999417</v>
      </c>
      <c r="P8" s="83">
        <v>0.82092947317364573</v>
      </c>
      <c r="Q8" s="83">
        <v>0.83505935698100497</v>
      </c>
      <c r="R8" s="83">
        <v>0.88062455245186089</v>
      </c>
      <c r="S8" s="83">
        <v>0.90844785218513691</v>
      </c>
      <c r="T8" s="83">
        <v>0.87844785218513688</v>
      </c>
      <c r="U8" s="83">
        <v>0.87844785218513688</v>
      </c>
      <c r="V8" s="83">
        <v>0.87844785218513688</v>
      </c>
      <c r="W8" s="83">
        <v>0.87844785218513688</v>
      </c>
      <c r="X8" s="83">
        <v>0.87844785218513688</v>
      </c>
      <c r="Y8" s="83">
        <v>0.87844785218513688</v>
      </c>
      <c r="Z8" s="83">
        <v>0.87844785218513688</v>
      </c>
      <c r="AA8" s="83">
        <v>0.87844785218513688</v>
      </c>
      <c r="AB8" s="83">
        <v>0.87844785218513688</v>
      </c>
      <c r="AC8" s="83">
        <v>0.87844785218513688</v>
      </c>
      <c r="AD8" s="83">
        <v>0.87844785218513688</v>
      </c>
      <c r="AE8" s="83">
        <v>0.87844785218513688</v>
      </c>
    </row>
    <row r="9" spans="2:31" ht="15.75">
      <c r="B9" s="79" t="s">
        <v>1699</v>
      </c>
      <c r="C9" s="79"/>
      <c r="D9" s="83"/>
      <c r="E9" s="83"/>
      <c r="F9" s="83"/>
      <c r="G9" s="83"/>
      <c r="H9" s="83">
        <v>3.2481286991594971E-2</v>
      </c>
      <c r="I9" s="83">
        <v>3.1645678883753137E-2</v>
      </c>
      <c r="J9" s="83">
        <v>7.4596418649622631E-2</v>
      </c>
      <c r="K9" s="83">
        <v>7.5369704716981178E-2</v>
      </c>
      <c r="L9" s="83">
        <v>8.9376528003284661E-2</v>
      </c>
      <c r="M9" s="83">
        <v>0.10475003208736522</v>
      </c>
      <c r="N9" s="83">
        <v>7.7512169636475448E-2</v>
      </c>
      <c r="O9" s="83">
        <v>4.2998460906778613E-2</v>
      </c>
      <c r="P9" s="83">
        <v>6.6433791973704026E-2</v>
      </c>
      <c r="Q9" s="83">
        <v>1.4129883807359245E-2</v>
      </c>
      <c r="R9" s="83">
        <v>4.5565195470855913E-2</v>
      </c>
      <c r="S9" s="83">
        <v>2.7823299733276019E-2</v>
      </c>
      <c r="T9" s="84">
        <v>-0.03</v>
      </c>
      <c r="U9" s="84">
        <v>0</v>
      </c>
      <c r="V9" s="84">
        <v>0</v>
      </c>
      <c r="W9" s="84">
        <v>0</v>
      </c>
      <c r="X9" s="84">
        <v>0</v>
      </c>
      <c r="Y9" s="84">
        <v>0</v>
      </c>
      <c r="Z9" s="84">
        <v>0</v>
      </c>
      <c r="AA9" s="84">
        <v>0</v>
      </c>
      <c r="AB9" s="84">
        <v>0</v>
      </c>
      <c r="AC9" s="84">
        <v>0</v>
      </c>
      <c r="AD9" s="84">
        <v>0</v>
      </c>
      <c r="AE9" s="84">
        <v>0</v>
      </c>
    </row>
    <row r="10" spans="2:31" ht="15.75">
      <c r="B10" s="79"/>
      <c r="C10" s="79"/>
      <c r="D10" s="79"/>
      <c r="E10" s="79"/>
      <c r="F10" s="79"/>
      <c r="G10" s="79"/>
      <c r="H10" s="79"/>
      <c r="I10" s="79"/>
      <c r="J10" s="79"/>
      <c r="K10" s="79"/>
      <c r="L10" s="79"/>
      <c r="M10" s="79"/>
      <c r="N10" s="79"/>
      <c r="O10" s="79"/>
      <c r="P10" s="79"/>
      <c r="Q10" s="79"/>
      <c r="R10" s="98"/>
      <c r="S10" s="98"/>
      <c r="T10" s="79"/>
      <c r="U10" s="79"/>
      <c r="V10" s="79"/>
      <c r="W10" s="79"/>
      <c r="X10" s="79"/>
      <c r="Y10" s="79"/>
      <c r="Z10" s="79"/>
      <c r="AA10" s="79"/>
      <c r="AB10" s="79"/>
      <c r="AC10" s="79"/>
      <c r="AD10" s="79"/>
      <c r="AE10" s="79"/>
    </row>
    <row r="11" spans="2:31" ht="15.75">
      <c r="B11" s="79" t="s">
        <v>7787</v>
      </c>
      <c r="C11" s="85">
        <v>1113</v>
      </c>
      <c r="D11" s="85">
        <v>2113</v>
      </c>
      <c r="E11" s="85">
        <v>5272</v>
      </c>
      <c r="F11" s="85">
        <v>10462</v>
      </c>
      <c r="G11" s="85">
        <v>16965</v>
      </c>
      <c r="H11" s="85">
        <v>20067</v>
      </c>
      <c r="I11" s="85">
        <v>23444</v>
      </c>
      <c r="J11" s="85">
        <v>28851</v>
      </c>
      <c r="K11" s="86">
        <v>35914</v>
      </c>
      <c r="L11" s="86">
        <v>43190</v>
      </c>
      <c r="M11" s="86">
        <v>50011</v>
      </c>
      <c r="N11" s="86">
        <v>56371</v>
      </c>
      <c r="O11" s="86">
        <v>59167</v>
      </c>
      <c r="P11" s="86">
        <v>64138</v>
      </c>
      <c r="Q11" s="86">
        <v>65678</v>
      </c>
      <c r="R11" s="228">
        <v>70366</v>
      </c>
      <c r="S11" s="228">
        <v>73505</v>
      </c>
      <c r="T11" s="87">
        <v>70318.220266527685</v>
      </c>
      <c r="U11" s="87">
        <v>69533.515431271153</v>
      </c>
      <c r="V11" s="87">
        <v>68723.038584986702</v>
      </c>
      <c r="W11" s="87">
        <v>67886.317692716824</v>
      </c>
      <c r="X11" s="87">
        <v>67022.873453148204</v>
      </c>
      <c r="Y11" s="87">
        <v>66240.746253552585</v>
      </c>
      <c r="Z11" s="87">
        <v>65433.302487878012</v>
      </c>
      <c r="AA11" s="87">
        <v>64600.079829061928</v>
      </c>
      <c r="AB11" s="87">
        <v>63740.608842150854</v>
      </c>
      <c r="AC11" s="87">
        <v>62854.412883868426</v>
      </c>
      <c r="AD11" s="87">
        <v>61941.008000833892</v>
      </c>
      <c r="AE11" s="87">
        <v>60999.902826413621</v>
      </c>
    </row>
    <row r="12" spans="2:31" ht="15.75">
      <c r="B12" s="79" t="s">
        <v>106</v>
      </c>
      <c r="C12" s="88"/>
      <c r="D12" s="88"/>
      <c r="E12" s="88"/>
      <c r="F12" s="88"/>
      <c r="G12" s="85">
        <v>1855</v>
      </c>
      <c r="H12" s="85">
        <v>2081</v>
      </c>
      <c r="I12" s="85">
        <v>1276</v>
      </c>
      <c r="J12" s="85">
        <v>1460</v>
      </c>
      <c r="K12" s="85">
        <v>1800</v>
      </c>
      <c r="L12" s="86">
        <v>2123</v>
      </c>
      <c r="M12" s="86">
        <v>4000</v>
      </c>
      <c r="N12" s="86">
        <v>3507</v>
      </c>
      <c r="O12" s="86">
        <v>4000</v>
      </c>
      <c r="P12" s="86">
        <v>4750</v>
      </c>
      <c r="Q12" s="86">
        <v>5406</v>
      </c>
      <c r="R12" s="228">
        <v>7339.4495412844035</v>
      </c>
      <c r="S12" s="86">
        <v>8000</v>
      </c>
      <c r="T12" s="87">
        <v>8797.0330132436975</v>
      </c>
      <c r="U12" s="87">
        <v>9309.3217785729394</v>
      </c>
      <c r="V12" s="87">
        <v>11512.185006175132</v>
      </c>
      <c r="W12" s="87">
        <v>13762.384796849366</v>
      </c>
      <c r="X12" s="87">
        <v>16060.696008532683</v>
      </c>
      <c r="Y12" s="87">
        <v>18407.904818312614</v>
      </c>
      <c r="Z12" s="87">
        <v>20804.808877690673</v>
      </c>
      <c r="AA12" s="87">
        <v>22697.578546255343</v>
      </c>
      <c r="AB12" s="87">
        <v>24629.471765654234</v>
      </c>
      <c r="AC12" s="87">
        <v>26601.120228875807</v>
      </c>
      <c r="AD12" s="87">
        <v>26893.732551393441</v>
      </c>
      <c r="AE12" s="87">
        <v>27189.563609458761</v>
      </c>
    </row>
    <row r="13" spans="2:31" ht="15.75">
      <c r="B13" s="79" t="s">
        <v>7788</v>
      </c>
      <c r="C13" s="88"/>
      <c r="D13" s="88"/>
      <c r="E13" s="88"/>
      <c r="F13" s="88"/>
      <c r="G13" s="85">
        <v>2768</v>
      </c>
      <c r="H13" s="85">
        <v>2419</v>
      </c>
      <c r="I13" s="85">
        <v>3454</v>
      </c>
      <c r="J13" s="85">
        <v>5639</v>
      </c>
      <c r="K13" s="85">
        <v>6367</v>
      </c>
      <c r="L13" s="86">
        <v>8551</v>
      </c>
      <c r="M13" s="86">
        <v>12538</v>
      </c>
      <c r="N13" s="86">
        <v>15331</v>
      </c>
      <c r="O13" s="86">
        <v>17400</v>
      </c>
      <c r="P13" s="86">
        <v>19662</v>
      </c>
      <c r="Q13" s="86">
        <v>19742.400000000001</v>
      </c>
      <c r="R13" s="228">
        <v>19168</v>
      </c>
      <c r="S13" s="228">
        <v>20333</v>
      </c>
      <c r="T13" s="87">
        <v>20918.765634334693</v>
      </c>
      <c r="U13" s="87">
        <v>21877.793481833451</v>
      </c>
      <c r="V13" s="87">
        <v>21401.12296853973</v>
      </c>
      <c r="W13" s="87">
        <v>20892.358004729205</v>
      </c>
      <c r="X13" s="87">
        <v>20452.415428256907</v>
      </c>
      <c r="Y13" s="87">
        <v>20026.229651861911</v>
      </c>
      <c r="Z13" s="87">
        <v>19588.193046119406</v>
      </c>
      <c r="AA13" s="87">
        <v>19692.735384899381</v>
      </c>
      <c r="AB13" s="87">
        <v>19797.207483773931</v>
      </c>
      <c r="AC13" s="87">
        <v>19901.595147842152</v>
      </c>
      <c r="AD13" s="87">
        <v>21725.31611922551</v>
      </c>
      <c r="AE13" s="87">
        <v>23586.750858966403</v>
      </c>
    </row>
    <row r="14" spans="2:31" ht="15.75">
      <c r="B14" s="79" t="s">
        <v>7789</v>
      </c>
      <c r="C14" s="89"/>
      <c r="D14" s="89"/>
      <c r="E14" s="89"/>
      <c r="F14" s="89"/>
      <c r="G14" s="90">
        <v>727</v>
      </c>
      <c r="H14" s="90">
        <v>1281</v>
      </c>
      <c r="I14" s="90">
        <v>1187</v>
      </c>
      <c r="J14" s="90">
        <v>1404</v>
      </c>
      <c r="K14" s="90">
        <v>1424</v>
      </c>
      <c r="L14" s="86">
        <v>1307</v>
      </c>
      <c r="M14" s="86">
        <v>0</v>
      </c>
      <c r="N14" s="86">
        <v>0</v>
      </c>
      <c r="O14" s="86">
        <v>0</v>
      </c>
      <c r="P14" s="86">
        <v>0</v>
      </c>
      <c r="Q14" s="86">
        <v>0</v>
      </c>
      <c r="R14" s="228">
        <v>0</v>
      </c>
      <c r="S14" s="228">
        <v>0</v>
      </c>
      <c r="T14" s="87">
        <v>0</v>
      </c>
      <c r="U14" s="87">
        <v>0</v>
      </c>
      <c r="V14" s="87">
        <v>0</v>
      </c>
      <c r="W14" s="87">
        <v>0</v>
      </c>
      <c r="X14" s="87">
        <v>0</v>
      </c>
      <c r="Y14" s="87">
        <v>0</v>
      </c>
      <c r="Z14" s="87">
        <v>0</v>
      </c>
      <c r="AA14" s="87">
        <v>0</v>
      </c>
      <c r="AB14" s="87">
        <v>0</v>
      </c>
      <c r="AC14" s="87">
        <v>0</v>
      </c>
      <c r="AD14" s="87">
        <v>0</v>
      </c>
      <c r="AE14" s="87">
        <v>0</v>
      </c>
    </row>
    <row r="15" spans="2:31" ht="15.75">
      <c r="B15" s="91" t="s">
        <v>7790</v>
      </c>
      <c r="C15" s="92"/>
      <c r="D15" s="92"/>
      <c r="E15" s="92"/>
      <c r="F15" s="92"/>
      <c r="G15" s="93">
        <v>400</v>
      </c>
      <c r="H15" s="93">
        <v>517</v>
      </c>
      <c r="I15" s="93">
        <v>658</v>
      </c>
      <c r="J15" s="93">
        <v>835</v>
      </c>
      <c r="K15" s="93">
        <v>1120</v>
      </c>
      <c r="L15" s="94">
        <v>1545</v>
      </c>
      <c r="M15" s="94">
        <v>2140</v>
      </c>
      <c r="N15" s="94">
        <v>2726</v>
      </c>
      <c r="O15" s="94">
        <v>2987</v>
      </c>
      <c r="P15" s="94">
        <v>3361</v>
      </c>
      <c r="Q15" s="94">
        <v>3695</v>
      </c>
      <c r="R15" s="229">
        <v>3902</v>
      </c>
      <c r="S15" s="229">
        <v>3265</v>
      </c>
      <c r="T15" s="229">
        <v>2716.0805378126406</v>
      </c>
      <c r="U15" s="229">
        <v>3159.7198542122974</v>
      </c>
      <c r="V15" s="229">
        <v>3386.6878421930405</v>
      </c>
      <c r="W15" s="229">
        <v>3637.2272860200483</v>
      </c>
      <c r="X15" s="229">
        <v>3810.2640559610913</v>
      </c>
      <c r="Y15" s="95">
        <v>3852.1769605766635</v>
      </c>
      <c r="Z15" s="95">
        <v>3894.5509071430065</v>
      </c>
      <c r="AA15" s="95">
        <v>3937.3909671215793</v>
      </c>
      <c r="AB15" s="95">
        <v>3980.7022677599157</v>
      </c>
      <c r="AC15" s="95">
        <v>4024.4899927052747</v>
      </c>
      <c r="AD15" s="95">
        <v>4068.7593826250331</v>
      </c>
      <c r="AE15" s="95">
        <v>4113.5157358339075</v>
      </c>
    </row>
    <row r="16" spans="2:31" ht="15.75">
      <c r="B16" s="96" t="s">
        <v>85</v>
      </c>
      <c r="C16" s="97"/>
      <c r="D16" s="97"/>
      <c r="E16" s="97"/>
      <c r="F16" s="97"/>
      <c r="G16" s="97">
        <v>22715</v>
      </c>
      <c r="H16" s="97">
        <v>26365</v>
      </c>
      <c r="I16" s="97">
        <v>30019</v>
      </c>
      <c r="J16" s="97">
        <v>38189</v>
      </c>
      <c r="K16" s="97">
        <v>46625</v>
      </c>
      <c r="L16" s="97">
        <v>56716</v>
      </c>
      <c r="M16" s="97">
        <v>68689</v>
      </c>
      <c r="N16" s="97">
        <v>77935</v>
      </c>
      <c r="O16" s="97">
        <v>83554</v>
      </c>
      <c r="P16" s="97">
        <v>91911</v>
      </c>
      <c r="Q16" s="97">
        <v>94521.4</v>
      </c>
      <c r="R16" s="97">
        <v>100775.4495412844</v>
      </c>
      <c r="S16" s="97">
        <v>105103</v>
      </c>
      <c r="T16" s="97">
        <v>102750.09945191872</v>
      </c>
      <c r="U16" s="97">
        <v>103880.35054588984</v>
      </c>
      <c r="V16" s="97">
        <v>105023.03440189461</v>
      </c>
      <c r="W16" s="97">
        <v>106178.28778031544</v>
      </c>
      <c r="X16" s="97">
        <v>107346.24894589889</v>
      </c>
      <c r="Y16" s="97">
        <v>108527.05768430377</v>
      </c>
      <c r="Z16" s="97">
        <v>109720.85531883111</v>
      </c>
      <c r="AA16" s="97">
        <v>110927.78472733824</v>
      </c>
      <c r="AB16" s="97">
        <v>112147.99035933893</v>
      </c>
      <c r="AC16" s="97">
        <v>113381.61825329166</v>
      </c>
      <c r="AD16" s="97">
        <v>114628.81605407788</v>
      </c>
      <c r="AE16" s="97">
        <v>115889.73303067269</v>
      </c>
    </row>
    <row r="17" spans="2:31" ht="15.75">
      <c r="B17" s="79" t="s">
        <v>192</v>
      </c>
      <c r="C17" s="79"/>
      <c r="D17" s="83"/>
      <c r="E17" s="83"/>
      <c r="F17" s="83"/>
      <c r="G17" s="83"/>
      <c r="H17" s="83">
        <v>0.16068677085626248</v>
      </c>
      <c r="I17" s="83">
        <v>0.13859283140527223</v>
      </c>
      <c r="J17" s="83">
        <v>0.27216096472234241</v>
      </c>
      <c r="K17" s="83">
        <v>0.22090130665898555</v>
      </c>
      <c r="L17" s="83">
        <v>0.21642895442359245</v>
      </c>
      <c r="M17" s="83">
        <v>0.21110445024331748</v>
      </c>
      <c r="N17" s="83">
        <v>0.13460670558604715</v>
      </c>
      <c r="O17" s="83">
        <v>7.2098543658176695E-2</v>
      </c>
      <c r="P17" s="83">
        <v>0.10001914929267297</v>
      </c>
      <c r="Q17" s="83">
        <v>2.8401388299550634E-2</v>
      </c>
      <c r="R17" s="83">
        <v>6.6165434930972378E-2</v>
      </c>
      <c r="S17" s="83">
        <v>4.2942507112734285E-2</v>
      </c>
      <c r="T17" s="83">
        <v>-2.2386616443691221E-2</v>
      </c>
      <c r="U17" s="83">
        <v>1.1000000000000121E-2</v>
      </c>
      <c r="V17" s="83">
        <v>1.0999999999999677E-2</v>
      </c>
      <c r="W17" s="83">
        <v>1.0999999999999899E-2</v>
      </c>
      <c r="X17" s="83">
        <v>1.0999999999999677E-2</v>
      </c>
      <c r="Y17" s="83">
        <v>1.0999999999999899E-2</v>
      </c>
      <c r="Z17" s="83">
        <v>1.0999999999999899E-2</v>
      </c>
      <c r="AA17" s="83">
        <v>1.0999999999999899E-2</v>
      </c>
      <c r="AB17" s="83">
        <v>1.0999999999999677E-2</v>
      </c>
      <c r="AC17" s="83">
        <v>1.0999999999999899E-2</v>
      </c>
      <c r="AD17" s="83">
        <v>1.1000000000000121E-2</v>
      </c>
      <c r="AE17" s="83">
        <v>1.0999999999999677E-2</v>
      </c>
    </row>
    <row r="18" spans="2:31" ht="15.75">
      <c r="B18" s="79" t="s">
        <v>587</v>
      </c>
      <c r="C18" s="79"/>
      <c r="D18" s="64"/>
      <c r="E18" s="64"/>
      <c r="F18" s="64"/>
      <c r="G18" s="64"/>
      <c r="H18" s="64">
        <v>3650</v>
      </c>
      <c r="I18" s="64">
        <v>3654</v>
      </c>
      <c r="J18" s="64">
        <v>8170</v>
      </c>
      <c r="K18" s="64">
        <v>8436</v>
      </c>
      <c r="L18" s="64">
        <v>10091</v>
      </c>
      <c r="M18" s="64">
        <v>11973</v>
      </c>
      <c r="N18" s="64">
        <v>9246</v>
      </c>
      <c r="O18" s="64">
        <v>5619</v>
      </c>
      <c r="P18" s="64">
        <v>8357</v>
      </c>
      <c r="Q18" s="64">
        <v>2610.3999999999942</v>
      </c>
      <c r="R18" s="64">
        <v>6254.0495412844029</v>
      </c>
      <c r="S18" s="64">
        <v>4327.5504587156029</v>
      </c>
      <c r="T18" s="64">
        <v>-2352.9005480812775</v>
      </c>
      <c r="U18" s="64">
        <v>1130.251093971121</v>
      </c>
      <c r="V18" s="64">
        <v>1142.6838560047618</v>
      </c>
      <c r="W18" s="64">
        <v>1155.2533784208354</v>
      </c>
      <c r="X18" s="64">
        <v>1167.9611655834451</v>
      </c>
      <c r="Y18" s="64">
        <v>1180.8087384048849</v>
      </c>
      <c r="Z18" s="64">
        <v>1193.7976345273346</v>
      </c>
      <c r="AA18" s="64">
        <v>1206.9294085071306</v>
      </c>
      <c r="AB18" s="64">
        <v>1220.2056320006959</v>
      </c>
      <c r="AC18" s="64">
        <v>1233.6278939527256</v>
      </c>
      <c r="AD18" s="64">
        <v>1247.1978007862199</v>
      </c>
      <c r="AE18" s="64">
        <v>1260.9169765948172</v>
      </c>
    </row>
    <row r="19" spans="2:31" ht="15.75">
      <c r="B19" s="79" t="s">
        <v>7791</v>
      </c>
      <c r="C19" s="79"/>
      <c r="D19" s="79"/>
      <c r="E19" s="79"/>
      <c r="F19" s="79"/>
      <c r="G19" s="79"/>
      <c r="H19" s="87">
        <v>1968</v>
      </c>
      <c r="I19" s="87">
        <v>1678.5</v>
      </c>
      <c r="J19" s="87">
        <v>1368</v>
      </c>
      <c r="K19" s="87">
        <v>1630</v>
      </c>
      <c r="L19" s="87">
        <v>1961.5</v>
      </c>
      <c r="M19" s="87">
        <v>3061.5</v>
      </c>
      <c r="N19" s="87">
        <v>3753.5</v>
      </c>
      <c r="O19" s="87">
        <v>3753.5</v>
      </c>
      <c r="P19" s="87">
        <v>4375</v>
      </c>
      <c r="Q19" s="87">
        <v>5078</v>
      </c>
      <c r="R19" s="87">
        <v>6372.7247706422022</v>
      </c>
      <c r="S19" s="87">
        <v>7669.7247706422022</v>
      </c>
      <c r="T19" s="87">
        <v>8398.5165066218487</v>
      </c>
      <c r="U19" s="87">
        <v>9053.1773959083184</v>
      </c>
      <c r="V19" s="87">
        <v>10410.753392374036</v>
      </c>
      <c r="W19" s="87">
        <v>12637.284901512248</v>
      </c>
      <c r="X19" s="87">
        <v>14911.540402691026</v>
      </c>
      <c r="Y19" s="87">
        <v>17234.30041342265</v>
      </c>
      <c r="Z19" s="87">
        <v>19606.356848001644</v>
      </c>
      <c r="AA19" s="87">
        <v>21751.193711973006</v>
      </c>
      <c r="AB19" s="87">
        <v>23663.525155954791</v>
      </c>
      <c r="AC19" s="87">
        <v>25615.295997265021</v>
      </c>
      <c r="AD19" s="87">
        <v>26747.426390134624</v>
      </c>
      <c r="AE19" s="87">
        <v>27041.648080426101</v>
      </c>
    </row>
    <row r="20" spans="2:31" ht="15.75">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row>
    <row r="21" spans="2:31" ht="15.75">
      <c r="B21" s="96" t="s">
        <v>579</v>
      </c>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row>
    <row r="22" spans="2:31" ht="15.75">
      <c r="B22" s="79" t="s">
        <v>7787</v>
      </c>
      <c r="C22" s="98"/>
      <c r="D22" s="98"/>
      <c r="E22" s="98"/>
      <c r="F22" s="98"/>
      <c r="G22" s="83">
        <v>0.74686330618534014</v>
      </c>
      <c r="H22" s="83">
        <v>0.76112270054997155</v>
      </c>
      <c r="I22" s="83">
        <v>0.78097205103434486</v>
      </c>
      <c r="J22" s="83">
        <v>0.75547932650763305</v>
      </c>
      <c r="K22" s="83">
        <v>0.77027345844504025</v>
      </c>
      <c r="L22" s="83">
        <v>0.7615135058889908</v>
      </c>
      <c r="M22" s="83">
        <v>0.72807873167464954</v>
      </c>
      <c r="N22" s="83">
        <v>0.72330788477577468</v>
      </c>
      <c r="O22" s="83">
        <v>0.70812887473968933</v>
      </c>
      <c r="P22" s="83">
        <v>0.69782724592268608</v>
      </c>
      <c r="Q22" s="83">
        <v>0.69484793919683796</v>
      </c>
      <c r="R22" s="83">
        <v>0.69824545879275246</v>
      </c>
      <c r="S22" s="83">
        <v>0.69936157864190363</v>
      </c>
      <c r="T22" s="101">
        <v>0.68436157864190361</v>
      </c>
      <c r="U22" s="101">
        <v>0.6693615786419036</v>
      </c>
      <c r="V22" s="101">
        <v>0.65436157864190359</v>
      </c>
      <c r="W22" s="101">
        <v>0.63936157864190357</v>
      </c>
      <c r="X22" s="101">
        <v>0.62436157864190356</v>
      </c>
      <c r="Y22" s="101">
        <v>0.61036157864190355</v>
      </c>
      <c r="Z22" s="101">
        <v>0.59636157864190353</v>
      </c>
      <c r="AA22" s="101">
        <v>0.58236157864190352</v>
      </c>
      <c r="AB22" s="101">
        <v>0.56836157864190351</v>
      </c>
      <c r="AC22" s="101">
        <v>0.5543615786419035</v>
      </c>
      <c r="AD22" s="101">
        <v>0.54036157864190348</v>
      </c>
      <c r="AE22" s="101">
        <v>0.52636157864190347</v>
      </c>
    </row>
    <row r="23" spans="2:31" ht="15.75">
      <c r="B23" s="79" t="s">
        <v>106</v>
      </c>
      <c r="C23" s="98"/>
      <c r="D23" s="98"/>
      <c r="E23" s="98"/>
      <c r="F23" s="98"/>
      <c r="G23" s="83">
        <v>8.1664098613251149E-2</v>
      </c>
      <c r="H23" s="83">
        <v>7.893040015171629E-2</v>
      </c>
      <c r="I23" s="83">
        <v>4.2506412605349944E-2</v>
      </c>
      <c r="J23" s="83">
        <v>3.8230904187069578E-2</v>
      </c>
      <c r="K23" s="83">
        <v>3.8605898123324399E-2</v>
      </c>
      <c r="L23" s="83">
        <v>3.7432117920868889E-2</v>
      </c>
      <c r="M23" s="83">
        <v>5.8233487166795266E-2</v>
      </c>
      <c r="N23" s="83">
        <v>4.4999037659588119E-2</v>
      </c>
      <c r="O23" s="83">
        <v>4.7873231682504729E-2</v>
      </c>
      <c r="P23" s="83">
        <v>5.1680429981177445E-2</v>
      </c>
      <c r="Q23" s="83">
        <v>5.7193397474011178E-2</v>
      </c>
      <c r="R23" s="83">
        <v>7.2829737547116288E-2</v>
      </c>
      <c r="S23" s="83">
        <v>7.6115810205227258E-2</v>
      </c>
      <c r="T23" s="101">
        <v>8.5615810205227252E-2</v>
      </c>
      <c r="U23" s="101">
        <v>8.9615810205227256E-2</v>
      </c>
      <c r="V23" s="101">
        <v>0.10961581020522726</v>
      </c>
      <c r="W23" s="101">
        <v>0.12961581020522725</v>
      </c>
      <c r="X23" s="101">
        <v>0.14961581020522724</v>
      </c>
      <c r="Y23" s="101">
        <v>0.16961581020522723</v>
      </c>
      <c r="Z23" s="101">
        <v>0.18961581020522722</v>
      </c>
      <c r="AA23" s="101">
        <v>0.20461581020522723</v>
      </c>
      <c r="AB23" s="101">
        <v>0.21961581020522725</v>
      </c>
      <c r="AC23" s="101">
        <v>0.23461581020522726</v>
      </c>
      <c r="AD23" s="101">
        <v>0.23461581020522726</v>
      </c>
      <c r="AE23" s="101">
        <v>0.23461581020522726</v>
      </c>
    </row>
    <row r="24" spans="2:31" ht="15.75">
      <c r="B24" s="79" t="s">
        <v>7788</v>
      </c>
      <c r="C24" s="98"/>
      <c r="D24" s="98"/>
      <c r="E24" s="98"/>
      <c r="F24" s="98"/>
      <c r="G24" s="83">
        <v>0.12185780321373542</v>
      </c>
      <c r="H24" s="83">
        <v>9.1750426702067137E-2</v>
      </c>
      <c r="I24" s="83">
        <v>0.1150604617075852</v>
      </c>
      <c r="J24" s="83">
        <v>0.14766032103485296</v>
      </c>
      <c r="K24" s="83">
        <v>0.13655764075067023</v>
      </c>
      <c r="L24" s="83">
        <v>0.15076874250652372</v>
      </c>
      <c r="M24" s="83">
        <v>0.18253286552431977</v>
      </c>
      <c r="N24" s="83">
        <v>0.19671521139411047</v>
      </c>
      <c r="O24" s="83">
        <v>0.20824855781889556</v>
      </c>
      <c r="P24" s="83">
        <v>0.21392433985050754</v>
      </c>
      <c r="Q24" s="83">
        <v>0.20886698673527904</v>
      </c>
      <c r="R24" s="83">
        <v>0.19020505576755078</v>
      </c>
      <c r="S24" s="83">
        <v>0.19345784611286071</v>
      </c>
      <c r="T24" s="83">
        <v>0.20358876289091576</v>
      </c>
      <c r="U24" s="83">
        <v>0.2106056955609597</v>
      </c>
      <c r="V24" s="83">
        <v>0.20377551544210243</v>
      </c>
      <c r="W24" s="83">
        <v>0.19676676316306613</v>
      </c>
      <c r="X24" s="83">
        <v>0.19052752778128892</v>
      </c>
      <c r="Y24" s="83">
        <v>0.18452752778128895</v>
      </c>
      <c r="Z24" s="83">
        <v>0.17852752778128897</v>
      </c>
      <c r="AA24" s="83">
        <v>0.17752752778128897</v>
      </c>
      <c r="AB24" s="83">
        <v>0.17652752778128897</v>
      </c>
      <c r="AC24" s="83">
        <v>0.17552752778128897</v>
      </c>
      <c r="AD24" s="83">
        <v>0.18952752778128898</v>
      </c>
      <c r="AE24" s="83">
        <v>0.20352752778128899</v>
      </c>
    </row>
    <row r="25" spans="2:31" ht="15.75">
      <c r="B25" s="79" t="s">
        <v>7789</v>
      </c>
      <c r="C25" s="98"/>
      <c r="D25" s="98"/>
      <c r="E25" s="98"/>
      <c r="F25" s="98"/>
      <c r="G25" s="83">
        <v>3.2005282852740478E-2</v>
      </c>
      <c r="H25" s="83">
        <v>4.8587142044377016E-2</v>
      </c>
      <c r="I25" s="83">
        <v>3.9541623638362368E-2</v>
      </c>
      <c r="J25" s="83">
        <v>3.6764513341538137E-2</v>
      </c>
      <c r="K25" s="83">
        <v>3.0541554959785524E-2</v>
      </c>
      <c r="L25" s="83">
        <v>2.3044643486846744E-2</v>
      </c>
      <c r="M25" s="83">
        <v>0</v>
      </c>
      <c r="N25" s="83">
        <v>0</v>
      </c>
      <c r="O25" s="83">
        <v>0</v>
      </c>
      <c r="P25" s="83">
        <v>0</v>
      </c>
      <c r="Q25" s="83">
        <v>0</v>
      </c>
      <c r="R25" s="83">
        <v>0</v>
      </c>
      <c r="S25" s="83">
        <v>0</v>
      </c>
      <c r="T25" s="101">
        <v>0</v>
      </c>
      <c r="U25" s="101">
        <v>0</v>
      </c>
      <c r="V25" s="101">
        <v>0</v>
      </c>
      <c r="W25" s="101">
        <v>0</v>
      </c>
      <c r="X25" s="101">
        <v>0</v>
      </c>
      <c r="Y25" s="101">
        <v>0</v>
      </c>
      <c r="Z25" s="101">
        <v>0</v>
      </c>
      <c r="AA25" s="101">
        <v>0</v>
      </c>
      <c r="AB25" s="101">
        <v>0</v>
      </c>
      <c r="AC25" s="101">
        <v>0</v>
      </c>
      <c r="AD25" s="101">
        <v>0</v>
      </c>
      <c r="AE25" s="101">
        <v>0</v>
      </c>
    </row>
    <row r="26" spans="2:31" ht="15.75">
      <c r="B26" s="91" t="s">
        <v>7790</v>
      </c>
      <c r="C26" s="99"/>
      <c r="D26" s="99"/>
      <c r="E26" s="99"/>
      <c r="F26" s="99"/>
      <c r="G26" s="100">
        <v>1.7609509134932862E-2</v>
      </c>
      <c r="H26" s="100">
        <v>1.9609330551868007E-2</v>
      </c>
      <c r="I26" s="100">
        <v>2.1919451014357574E-2</v>
      </c>
      <c r="J26" s="100">
        <v>2.1864934928906229E-2</v>
      </c>
      <c r="K26" s="100">
        <v>2.4021447721179624E-2</v>
      </c>
      <c r="L26" s="100">
        <v>2.7240990196769871E-2</v>
      </c>
      <c r="M26" s="100">
        <v>3.1154915634235468E-2</v>
      </c>
      <c r="N26" s="100">
        <v>3.4977866170526721E-2</v>
      </c>
      <c r="O26" s="100">
        <v>3.5749335758910407E-2</v>
      </c>
      <c r="P26" s="100">
        <v>3.6567984245628925E-2</v>
      </c>
      <c r="Q26" s="100">
        <v>3.9091676593871867E-2</v>
      </c>
      <c r="R26" s="100">
        <v>3.8719747892580508E-2</v>
      </c>
      <c r="S26" s="100">
        <v>3.1064765040008373E-2</v>
      </c>
      <c r="T26" s="100">
        <v>2.6433848261953399E-2</v>
      </c>
      <c r="U26" s="100">
        <v>3.0416915591909462E-2</v>
      </c>
      <c r="V26" s="100">
        <v>3.2247095710766713E-2</v>
      </c>
      <c r="W26" s="100">
        <v>3.4255847989803051E-2</v>
      </c>
      <c r="X26" s="100">
        <v>3.549508337158027E-2</v>
      </c>
      <c r="Y26" s="102">
        <v>3.549508337158027E-2</v>
      </c>
      <c r="Z26" s="102">
        <v>3.549508337158027E-2</v>
      </c>
      <c r="AA26" s="102">
        <v>3.549508337158027E-2</v>
      </c>
      <c r="AB26" s="102">
        <v>3.549508337158027E-2</v>
      </c>
      <c r="AC26" s="102">
        <v>3.549508337158027E-2</v>
      </c>
      <c r="AD26" s="102">
        <v>3.549508337158027E-2</v>
      </c>
      <c r="AE26" s="102">
        <v>3.549508337158027E-2</v>
      </c>
    </row>
    <row r="27" spans="2:31" ht="15.75">
      <c r="B27" s="79" t="s">
        <v>85</v>
      </c>
      <c r="C27" s="98"/>
      <c r="D27" s="98"/>
      <c r="E27" s="98"/>
      <c r="F27" s="98"/>
      <c r="G27" s="98">
        <v>1</v>
      </c>
      <c r="H27" s="98">
        <v>1</v>
      </c>
      <c r="I27" s="98">
        <v>1</v>
      </c>
      <c r="J27" s="98">
        <v>1</v>
      </c>
      <c r="K27" s="98">
        <v>1</v>
      </c>
      <c r="L27" s="98">
        <v>1</v>
      </c>
      <c r="M27" s="98">
        <v>1</v>
      </c>
      <c r="N27" s="98">
        <v>1</v>
      </c>
      <c r="O27" s="98">
        <v>1</v>
      </c>
      <c r="P27" s="98">
        <v>1</v>
      </c>
      <c r="Q27" s="98">
        <v>1</v>
      </c>
      <c r="R27" s="98">
        <v>1</v>
      </c>
      <c r="S27" s="98">
        <v>1</v>
      </c>
      <c r="T27" s="98">
        <v>1</v>
      </c>
      <c r="U27" s="98">
        <v>1</v>
      </c>
      <c r="V27" s="98">
        <v>1</v>
      </c>
      <c r="W27" s="98">
        <v>1</v>
      </c>
      <c r="X27" s="98">
        <v>1</v>
      </c>
      <c r="Y27" s="98">
        <v>1</v>
      </c>
      <c r="Z27" s="98">
        <v>1</v>
      </c>
      <c r="AA27" s="98">
        <v>1</v>
      </c>
      <c r="AB27" s="98">
        <v>1</v>
      </c>
      <c r="AC27" s="98">
        <v>1</v>
      </c>
      <c r="AD27" s="98">
        <v>1</v>
      </c>
      <c r="AE27" s="98">
        <v>1</v>
      </c>
    </row>
    <row r="29" spans="2:31" ht="15.75">
      <c r="B29" s="79"/>
    </row>
    <row r="30" spans="2:31" ht="15.75">
      <c r="B30" s="79" t="s">
        <v>970</v>
      </c>
      <c r="G30" s="64">
        <v>283.65000000000003</v>
      </c>
      <c r="H30" s="64">
        <v>246.45000000000002</v>
      </c>
      <c r="I30" s="64">
        <v>272.8</v>
      </c>
      <c r="J30" s="64">
        <v>300.7</v>
      </c>
      <c r="K30" s="64">
        <v>297.60000000000002</v>
      </c>
      <c r="L30" s="64">
        <v>292.95</v>
      </c>
      <c r="M30" s="64">
        <v>285.2</v>
      </c>
      <c r="N30" s="64">
        <v>269.7</v>
      </c>
      <c r="O30" s="64">
        <v>251.1</v>
      </c>
      <c r="P30" s="64">
        <v>239.25</v>
      </c>
      <c r="Q30" s="64">
        <v>187.57999999999998</v>
      </c>
      <c r="R30" s="64">
        <v>193.20228698279794</v>
      </c>
      <c r="S30" s="64">
        <v>180.84851475279106</v>
      </c>
      <c r="T30" s="64">
        <v>169.30955511115101</v>
      </c>
      <c r="U30" s="64">
        <v>166.5791615172883</v>
      </c>
      <c r="V30" s="64">
        <v>166.13936904940036</v>
      </c>
      <c r="W30" s="64">
        <v>160.11484315862819</v>
      </c>
      <c r="X30" s="64">
        <v>158.39779817982202</v>
      </c>
      <c r="Y30" s="64">
        <v>162.37952224268324</v>
      </c>
      <c r="Z30" s="64">
        <v>164.87520406021414</v>
      </c>
      <c r="AA30" s="64">
        <v>162.40207599931094</v>
      </c>
      <c r="AB30" s="64">
        <v>159.96604485932127</v>
      </c>
      <c r="AC30" s="64">
        <v>157.56655418643146</v>
      </c>
      <c r="AD30" s="64">
        <v>155.20305587363498</v>
      </c>
      <c r="AE30" s="64">
        <v>152.87501003553047</v>
      </c>
    </row>
    <row r="31" spans="2:31" ht="15.75">
      <c r="B31" s="79" t="s">
        <v>7792</v>
      </c>
      <c r="G31" s="64"/>
      <c r="H31" s="64"/>
      <c r="I31" s="64"/>
      <c r="J31" s="64"/>
      <c r="K31" s="64"/>
      <c r="L31" s="64"/>
      <c r="M31" s="64"/>
      <c r="N31" s="64"/>
      <c r="O31" s="82">
        <v>18.599999999999998</v>
      </c>
      <c r="P31" s="82">
        <v>18.942992874109262</v>
      </c>
      <c r="Q31" s="82">
        <v>15.07877813504823</v>
      </c>
      <c r="R31" s="82">
        <v>14.681024846717168</v>
      </c>
      <c r="S31" s="82">
        <v>14.173081093478924</v>
      </c>
      <c r="T31" s="82">
        <v>12.720477468906912</v>
      </c>
      <c r="U31" s="82">
        <v>10.496481507075508</v>
      </c>
      <c r="V31" s="82">
        <v>8.8137596312679225</v>
      </c>
      <c r="W31" s="82">
        <v>8.4716848232078412</v>
      </c>
      <c r="X31" s="82">
        <v>8.2284570483024417</v>
      </c>
      <c r="Y31" s="82">
        <v>8.4352998567627662</v>
      </c>
      <c r="Z31" s="82">
        <v>7.675754378967139</v>
      </c>
      <c r="AA31" s="82">
        <v>8.0058123908705277</v>
      </c>
      <c r="AB31" s="82">
        <v>7.954552205833977</v>
      </c>
      <c r="AC31" s="82">
        <v>8.9020652082729637</v>
      </c>
      <c r="AD31" s="82">
        <v>8.4810413045702173</v>
      </c>
      <c r="AE31" s="82">
        <v>7.966389267093823</v>
      </c>
    </row>
    <row r="32" spans="2:31" ht="15.75">
      <c r="B32" s="79" t="s">
        <v>7793</v>
      </c>
      <c r="G32" s="103">
        <v>1.55</v>
      </c>
      <c r="H32" s="103">
        <v>1.55</v>
      </c>
      <c r="I32" s="103">
        <v>1.55</v>
      </c>
      <c r="J32" s="103">
        <v>1.55</v>
      </c>
      <c r="K32" s="103">
        <v>1.55</v>
      </c>
      <c r="L32" s="103">
        <v>1.55</v>
      </c>
      <c r="M32" s="103">
        <v>1.55</v>
      </c>
      <c r="N32" s="103">
        <v>1.55</v>
      </c>
      <c r="O32" s="103">
        <v>1.55</v>
      </c>
      <c r="P32" s="103">
        <v>1.45</v>
      </c>
      <c r="Q32" s="103">
        <v>0.13</v>
      </c>
      <c r="R32" s="98">
        <v>9.9301775151055205E-2</v>
      </c>
      <c r="S32" s="98">
        <v>8.2925238040665095E-2</v>
      </c>
      <c r="T32" s="103">
        <v>0.05</v>
      </c>
      <c r="U32" s="103">
        <v>0.02</v>
      </c>
      <c r="V32" s="103">
        <v>0</v>
      </c>
      <c r="W32" s="103">
        <v>-0.05</v>
      </c>
      <c r="X32" s="103">
        <v>-0.06</v>
      </c>
      <c r="Y32" s="103">
        <v>-0.03</v>
      </c>
      <c r="Z32" s="103">
        <v>0</v>
      </c>
      <c r="AA32" s="103">
        <v>0</v>
      </c>
      <c r="AB32" s="103">
        <v>0</v>
      </c>
      <c r="AC32" s="103">
        <v>0</v>
      </c>
      <c r="AD32" s="103">
        <v>0</v>
      </c>
      <c r="AE32" s="103">
        <v>0</v>
      </c>
    </row>
    <row r="33" spans="2:31" ht="15.75">
      <c r="B33" s="79"/>
      <c r="G33" s="98"/>
    </row>
    <row r="34" spans="2:31" ht="15.75">
      <c r="B34" s="79" t="s">
        <v>669</v>
      </c>
      <c r="G34" s="85">
        <v>183</v>
      </c>
      <c r="H34" s="85">
        <v>159</v>
      </c>
      <c r="I34" s="85">
        <v>176</v>
      </c>
      <c r="J34" s="85">
        <v>194</v>
      </c>
      <c r="K34" s="85">
        <v>192</v>
      </c>
      <c r="L34" s="85">
        <v>189</v>
      </c>
      <c r="M34" s="85">
        <v>184</v>
      </c>
      <c r="N34" s="85">
        <v>174</v>
      </c>
      <c r="O34" s="85">
        <v>162</v>
      </c>
      <c r="P34" s="85">
        <v>165</v>
      </c>
      <c r="Q34" s="85">
        <v>166</v>
      </c>
      <c r="R34" s="85">
        <v>175.75</v>
      </c>
      <c r="S34" s="85">
        <v>167</v>
      </c>
      <c r="T34" s="85">
        <v>161.24719534395334</v>
      </c>
      <c r="U34" s="85">
        <v>163.31290344832186</v>
      </c>
      <c r="V34" s="85">
        <v>166.13936904940036</v>
      </c>
      <c r="W34" s="85">
        <v>168.54194016697704</v>
      </c>
      <c r="X34" s="85">
        <v>168.50829593598087</v>
      </c>
      <c r="Y34" s="85">
        <v>167.40156932235385</v>
      </c>
      <c r="Z34" s="85">
        <v>164.87520406021414</v>
      </c>
      <c r="AA34" s="85">
        <v>162.40207599931094</v>
      </c>
      <c r="AB34" s="85">
        <v>159.96604485932127</v>
      </c>
      <c r="AC34" s="85">
        <v>157.56655418643146</v>
      </c>
      <c r="AD34" s="85">
        <v>155.20305587363498</v>
      </c>
      <c r="AE34" s="85">
        <v>152.87501003553047</v>
      </c>
    </row>
    <row r="35" spans="2:31" ht="15.75">
      <c r="B35" s="79" t="s">
        <v>7794</v>
      </c>
      <c r="O35" s="82">
        <v>12</v>
      </c>
      <c r="P35" s="82">
        <v>13.064133016627078</v>
      </c>
      <c r="Q35" s="82">
        <v>13.344051446945338</v>
      </c>
      <c r="R35" s="82">
        <v>13.354863221884498</v>
      </c>
      <c r="S35" s="82">
        <v>13.087774294670847</v>
      </c>
      <c r="T35" s="82">
        <v>12.114740446578011</v>
      </c>
      <c r="U35" s="82">
        <v>10.290668144191674</v>
      </c>
      <c r="V35" s="82">
        <v>8.8137596312679225</v>
      </c>
      <c r="W35" s="82">
        <v>8.9175629717977269</v>
      </c>
      <c r="X35" s="82">
        <v>8.7536777109600443</v>
      </c>
      <c r="Y35" s="82">
        <v>8.6961854193430579</v>
      </c>
      <c r="Z35" s="82">
        <v>7.675754378967139</v>
      </c>
      <c r="AA35" s="82">
        <v>8.0058123908705277</v>
      </c>
      <c r="AB35" s="82">
        <v>7.954552205833977</v>
      </c>
      <c r="AC35" s="82">
        <v>8.9020652082729637</v>
      </c>
      <c r="AD35" s="82">
        <v>8.4810413045702173</v>
      </c>
      <c r="AE35" s="82">
        <v>7.966389267093823</v>
      </c>
    </row>
    <row r="37" spans="2:31" ht="15.75">
      <c r="B37" s="247" t="s">
        <v>672</v>
      </c>
      <c r="C37" s="248"/>
      <c r="D37" s="248"/>
      <c r="E37" s="248"/>
      <c r="F37" s="248"/>
      <c r="G37" s="248"/>
      <c r="H37" s="248"/>
      <c r="I37" s="248"/>
      <c r="J37" s="248"/>
      <c r="K37" s="248"/>
      <c r="L37" s="248"/>
      <c r="M37" s="248"/>
      <c r="N37" s="248"/>
      <c r="O37" s="249">
        <v>11310.046199999999</v>
      </c>
      <c r="P37" s="249">
        <v>12560.625</v>
      </c>
      <c r="Q37" s="249">
        <v>11430.374879999999</v>
      </c>
      <c r="R37" s="249">
        <v>14774.7</v>
      </c>
      <c r="S37" s="249">
        <v>16644.7</v>
      </c>
      <c r="T37" s="249">
        <v>17063.389119957639</v>
      </c>
      <c r="U37" s="249">
        <v>18096.848396132104</v>
      </c>
      <c r="V37" s="249">
        <v>20755.631999255122</v>
      </c>
      <c r="W37" s="249">
        <v>24281.002679478403</v>
      </c>
      <c r="X37" s="249">
        <v>28343.462007068581</v>
      </c>
      <c r="Y37" s="249">
        <v>33581.969607821375</v>
      </c>
      <c r="Z37" s="249">
        <v>38791.22503429978</v>
      </c>
      <c r="AA37" s="249">
        <v>42389.268171450887</v>
      </c>
      <c r="AB37" s="249">
        <v>45424.326319525695</v>
      </c>
      <c r="AC37" s="249">
        <v>48433.367097054484</v>
      </c>
      <c r="AD37" s="249">
        <v>49815.38775004803</v>
      </c>
      <c r="AE37" s="249">
        <v>49607.906660069078</v>
      </c>
    </row>
    <row r="38" spans="2:31" ht="15.75">
      <c r="B38" s="79" t="s">
        <v>989</v>
      </c>
      <c r="O38" s="104"/>
      <c r="P38" s="104">
        <v>0.11057238652128598</v>
      </c>
      <c r="Q38" s="104">
        <v>-8.998358919241678E-2</v>
      </c>
      <c r="R38" s="104">
        <v>0.29258227793137803</v>
      </c>
      <c r="S38" s="104">
        <v>0.12656771372684394</v>
      </c>
      <c r="T38" s="104">
        <v>2.5154500829551729E-2</v>
      </c>
      <c r="U38" s="104">
        <v>6.0565885763322003E-2</v>
      </c>
      <c r="V38" s="104">
        <v>0.14691970363697626</v>
      </c>
      <c r="W38" s="104">
        <v>0.16985128086438417</v>
      </c>
      <c r="X38" s="104">
        <v>0.16731019642049838</v>
      </c>
      <c r="Y38" s="104">
        <v>0.18482243275173516</v>
      </c>
      <c r="Z38" s="104">
        <v>0.15512060451823961</v>
      </c>
      <c r="AA38" s="104">
        <v>9.2754047699438846E-2</v>
      </c>
      <c r="AB38" s="104">
        <v>7.1599682631910078E-2</v>
      </c>
      <c r="AC38" s="104">
        <v>6.6242936799160601E-2</v>
      </c>
      <c r="AD38" s="104">
        <v>2.8534473975847074E-2</v>
      </c>
      <c r="AE38" s="104">
        <v>-4.1650000000000853E-3</v>
      </c>
    </row>
    <row r="39" spans="2:31" ht="15.75">
      <c r="B39" s="79"/>
      <c r="O39" s="104"/>
      <c r="P39" s="104"/>
      <c r="Q39" s="104"/>
      <c r="R39" s="104"/>
      <c r="S39" s="104" t="s">
        <v>57</v>
      </c>
      <c r="T39" s="104"/>
      <c r="U39" s="104"/>
      <c r="V39" s="104"/>
      <c r="W39" s="104"/>
      <c r="X39" s="104"/>
      <c r="Y39" s="104"/>
      <c r="Z39" s="104"/>
      <c r="AA39" s="104"/>
      <c r="AB39" s="104"/>
      <c r="AC39" s="104"/>
      <c r="AD39" s="104"/>
      <c r="AE39" s="104"/>
    </row>
    <row r="40" spans="2:31" ht="15.75">
      <c r="B40" s="79" t="s">
        <v>7795</v>
      </c>
      <c r="O40" s="104"/>
      <c r="P40" s="244">
        <v>1</v>
      </c>
      <c r="Q40" s="181">
        <v>0.7</v>
      </c>
      <c r="R40" s="181">
        <v>0.371</v>
      </c>
      <c r="S40" s="181">
        <v>0.32647999999999999</v>
      </c>
      <c r="T40" s="244">
        <v>0.31</v>
      </c>
      <c r="U40" s="181">
        <v>0.27900000000000003</v>
      </c>
      <c r="V40" s="181">
        <v>0.25110000000000005</v>
      </c>
      <c r="W40" s="181">
        <v>0.22599000000000005</v>
      </c>
      <c r="X40" s="181">
        <v>0.20339100000000004</v>
      </c>
      <c r="Y40" s="181">
        <v>0.18305190000000005</v>
      </c>
      <c r="Z40" s="181">
        <v>0.16474671000000005</v>
      </c>
      <c r="AA40" s="181">
        <v>0.14827203900000005</v>
      </c>
      <c r="AB40" s="181">
        <v>0.13344483510000005</v>
      </c>
      <c r="AC40" s="181">
        <v>0.12010035159000004</v>
      </c>
      <c r="AD40" s="181">
        <v>0.10809031643100005</v>
      </c>
      <c r="AE40" s="181">
        <v>9.7281284787900046E-2</v>
      </c>
    </row>
    <row r="41" spans="2:31" ht="15.75">
      <c r="B41" s="79" t="s">
        <v>192</v>
      </c>
      <c r="O41" s="104"/>
      <c r="P41" s="104"/>
      <c r="Q41" s="63">
        <v>-0.3</v>
      </c>
      <c r="R41" s="63">
        <v>-0.47</v>
      </c>
      <c r="S41" s="63">
        <v>-0.12</v>
      </c>
      <c r="T41" s="104">
        <v>-5.0477824062729715E-2</v>
      </c>
      <c r="U41" s="63">
        <v>-0.1</v>
      </c>
      <c r="V41" s="63">
        <v>-0.1</v>
      </c>
      <c r="W41" s="63">
        <v>-0.1</v>
      </c>
      <c r="X41" s="63">
        <v>-0.1</v>
      </c>
      <c r="Y41" s="63">
        <v>-0.1</v>
      </c>
      <c r="Z41" s="63">
        <v>-0.1</v>
      </c>
      <c r="AA41" s="63">
        <v>-0.1</v>
      </c>
      <c r="AB41" s="63">
        <v>-0.1</v>
      </c>
      <c r="AC41" s="63">
        <v>-0.1</v>
      </c>
      <c r="AD41" s="63">
        <v>-0.1</v>
      </c>
      <c r="AE41" s="63">
        <v>-0.1</v>
      </c>
    </row>
    <row r="42" spans="2:31" ht="15.75">
      <c r="B42" s="79"/>
      <c r="O42" s="104"/>
      <c r="P42" s="104"/>
      <c r="Q42" s="104"/>
      <c r="R42" s="104" t="s">
        <v>57</v>
      </c>
      <c r="S42" s="104"/>
      <c r="T42" s="104"/>
      <c r="U42" s="104"/>
      <c r="V42" s="104"/>
      <c r="W42" s="104"/>
      <c r="X42" s="104"/>
      <c r="Y42" s="104"/>
      <c r="Z42" s="104"/>
      <c r="AA42" s="104"/>
      <c r="AB42" s="104"/>
      <c r="AC42" s="104"/>
      <c r="AD42" s="104"/>
      <c r="AE42" s="104"/>
    </row>
    <row r="43" spans="2:31" ht="15.75">
      <c r="B43" s="243" t="s">
        <v>7796</v>
      </c>
      <c r="O43" s="104"/>
      <c r="P43" s="64">
        <v>1130.45625</v>
      </c>
      <c r="Q43" s="64">
        <v>800.12624160000007</v>
      </c>
      <c r="R43" s="64">
        <v>480.17775000000006</v>
      </c>
      <c r="S43" s="64">
        <v>499.34100000000001</v>
      </c>
      <c r="T43" s="64">
        <v>519.18858973471151</v>
      </c>
      <c r="U43" s="64">
        <v>503.6932130792917</v>
      </c>
      <c r="V43" s="64">
        <v>521.30241546309662</v>
      </c>
      <c r="W43" s="64">
        <v>569.51329132350577</v>
      </c>
      <c r="X43" s="64">
        <v>604.80462913211579</v>
      </c>
      <c r="Y43" s="64">
        <v>629.11315327351701</v>
      </c>
      <c r="Z43" s="64">
        <v>644.13147133729683</v>
      </c>
      <c r="AA43" s="64">
        <v>643.13659421216619</v>
      </c>
      <c r="AB43" s="64">
        <v>629.71215555538288</v>
      </c>
      <c r="AC43" s="64">
        <v>613.48581144137177</v>
      </c>
      <c r="AD43" s="64">
        <v>576.54027992512431</v>
      </c>
      <c r="AE43" s="64">
        <v>524.59400070387062</v>
      </c>
    </row>
    <row r="44" spans="2:31" ht="15.75">
      <c r="B44" s="243" t="s">
        <v>7797</v>
      </c>
      <c r="O44" s="104"/>
      <c r="P44" s="101">
        <v>0.09</v>
      </c>
      <c r="Q44" s="101">
        <v>7.0000000000000007E-2</v>
      </c>
      <c r="R44" s="101">
        <v>3.2500000000000001E-2</v>
      </c>
      <c r="S44" s="101">
        <v>0.03</v>
      </c>
      <c r="T44" s="104">
        <v>3.042704975458008E-2</v>
      </c>
      <c r="U44" s="104">
        <v>2.7833200679680096E-2</v>
      </c>
      <c r="V44" s="104">
        <v>2.5116190896129067E-2</v>
      </c>
      <c r="W44" s="104">
        <v>2.345509775034298E-2</v>
      </c>
      <c r="X44" s="104">
        <v>2.133841762101198E-2</v>
      </c>
      <c r="Y44" s="104">
        <v>1.8733658585855965E-2</v>
      </c>
      <c r="Z44" s="104">
        <v>1.66050819680932E-2</v>
      </c>
      <c r="AA44" s="104">
        <v>1.5172156112978563E-2</v>
      </c>
      <c r="AB44" s="104">
        <v>1.3862883758051475E-2</v>
      </c>
      <c r="AC44" s="104">
        <v>1.266659429669678E-2</v>
      </c>
      <c r="AD44" s="104">
        <v>1.1573537936068126E-2</v>
      </c>
      <c r="AE44" s="104">
        <v>1.0574806236001334E-2</v>
      </c>
    </row>
    <row r="45" spans="2:31" ht="15.75">
      <c r="B45" s="243" t="s">
        <v>7798</v>
      </c>
      <c r="O45" s="104"/>
      <c r="P45" s="64">
        <v>1130.45625</v>
      </c>
      <c r="Q45" s="64">
        <v>1143.0374880000002</v>
      </c>
      <c r="R45" s="64">
        <v>1294.2796495956875</v>
      </c>
      <c r="S45" s="64">
        <v>1529.4688801764273</v>
      </c>
      <c r="T45" s="64">
        <v>1674.8019023700372</v>
      </c>
      <c r="U45" s="64">
        <v>1805.3520182053464</v>
      </c>
      <c r="V45" s="64">
        <v>2076.074932150922</v>
      </c>
      <c r="W45" s="64">
        <v>2520.0818236360265</v>
      </c>
      <c r="X45" s="64">
        <v>2973.6056616670139</v>
      </c>
      <c r="Y45" s="64">
        <v>3436.8020942340222</v>
      </c>
      <c r="Z45" s="64">
        <v>3909.8290420324424</v>
      </c>
      <c r="AA45" s="64">
        <v>4337.5446817195652</v>
      </c>
      <c r="AB45" s="64">
        <v>4718.894928256258</v>
      </c>
      <c r="AC45" s="64">
        <v>5108.1100373102709</v>
      </c>
      <c r="AD45" s="64">
        <v>5333.8754012544823</v>
      </c>
      <c r="AE45" s="64">
        <v>5392.5480306682812</v>
      </c>
    </row>
    <row r="46" spans="2:31" ht="15.75">
      <c r="B46" s="243" t="s">
        <v>7799</v>
      </c>
      <c r="O46" s="104"/>
      <c r="P46" s="104"/>
      <c r="Q46" s="104"/>
      <c r="R46" s="64">
        <v>16.924728644045643</v>
      </c>
      <c r="S46" s="64">
        <v>16.618033088041322</v>
      </c>
      <c r="T46" s="246">
        <v>16.618033088041322</v>
      </c>
      <c r="U46" s="246">
        <v>16.618033088041322</v>
      </c>
      <c r="V46" s="246">
        <v>16.618033088041322</v>
      </c>
      <c r="W46" s="246">
        <v>16.618033088041322</v>
      </c>
      <c r="X46" s="246">
        <v>16.618033088041322</v>
      </c>
      <c r="Y46" s="246">
        <v>16.618033088041322</v>
      </c>
      <c r="Z46" s="246">
        <v>16.618033088041322</v>
      </c>
      <c r="AA46" s="246">
        <v>16.618033088041322</v>
      </c>
      <c r="AB46" s="246">
        <v>16.618033088041322</v>
      </c>
      <c r="AC46" s="246">
        <v>16.618033088041322</v>
      </c>
      <c r="AD46" s="246">
        <v>16.618033088041322</v>
      </c>
      <c r="AE46" s="246">
        <v>16.618033088041322</v>
      </c>
    </row>
    <row r="47" spans="2:31" ht="15.75">
      <c r="B47" s="243"/>
      <c r="O47" s="104"/>
      <c r="P47" s="104"/>
      <c r="Q47" s="104"/>
      <c r="R47" s="104"/>
      <c r="S47" s="104"/>
      <c r="T47" s="104"/>
      <c r="U47" s="104"/>
      <c r="V47" s="104"/>
      <c r="W47" s="104"/>
      <c r="X47" s="104"/>
      <c r="Y47" s="104"/>
      <c r="Z47" s="104"/>
      <c r="AA47" s="104"/>
      <c r="AB47" s="104"/>
      <c r="AC47" s="104"/>
      <c r="AD47" s="104"/>
      <c r="AE47" s="104"/>
    </row>
    <row r="48" spans="2:31" ht="15.75">
      <c r="B48" s="79" t="s">
        <v>7800</v>
      </c>
      <c r="O48" s="64">
        <v>1696.5069299999998</v>
      </c>
      <c r="P48" s="64">
        <v>1884.09375</v>
      </c>
      <c r="Q48" s="64">
        <v>1714.5562319999999</v>
      </c>
      <c r="R48" s="64">
        <v>2607.2999999999997</v>
      </c>
      <c r="S48" s="64">
        <v>2937.2999999999997</v>
      </c>
      <c r="T48" s="159">
        <v>3040.1054999999997</v>
      </c>
      <c r="U48" s="159">
        <v>3344.1160500000001</v>
      </c>
      <c r="V48" s="159">
        <v>3678.5276550000003</v>
      </c>
      <c r="W48" s="159">
        <v>4046.3804205000006</v>
      </c>
      <c r="X48" s="159">
        <v>4451.0184625500005</v>
      </c>
      <c r="Y48" s="159">
        <v>4896.1203088050006</v>
      </c>
      <c r="Z48" s="159">
        <v>5385.7323396855008</v>
      </c>
      <c r="AA48" s="159">
        <v>5924.3055736540518</v>
      </c>
      <c r="AB48" s="159">
        <v>6516.7361310194574</v>
      </c>
      <c r="AC48" s="159">
        <v>7168.4097441214035</v>
      </c>
      <c r="AD48" s="159">
        <v>7885.2507185335444</v>
      </c>
      <c r="AE48" s="159">
        <v>8673.7757903868987</v>
      </c>
    </row>
    <row r="49" spans="2:31" ht="15.75">
      <c r="B49" s="91" t="s">
        <v>7801</v>
      </c>
      <c r="C49" s="61"/>
      <c r="D49" s="61"/>
      <c r="E49" s="61"/>
      <c r="F49" s="61"/>
      <c r="G49" s="61"/>
      <c r="H49" s="61"/>
      <c r="I49" s="61"/>
      <c r="J49" s="61"/>
      <c r="K49" s="61"/>
      <c r="L49" s="61"/>
      <c r="M49" s="61"/>
      <c r="N49" s="61"/>
      <c r="O49" s="240">
        <v>0.15</v>
      </c>
      <c r="P49" s="240">
        <v>0.15</v>
      </c>
      <c r="Q49" s="240">
        <v>0.15</v>
      </c>
      <c r="R49" s="240">
        <v>0.15</v>
      </c>
      <c r="S49" s="240">
        <v>0.15</v>
      </c>
      <c r="T49" s="233">
        <v>0.15122273801003489</v>
      </c>
      <c r="U49" s="233">
        <v>0.15596854602327695</v>
      </c>
      <c r="V49" s="233">
        <v>0.150548564266232</v>
      </c>
      <c r="W49" s="233">
        <v>0.1428434249015782</v>
      </c>
      <c r="X49" s="233">
        <v>0.13572462191232171</v>
      </c>
      <c r="Y49" s="233">
        <v>0.12724436996258975</v>
      </c>
      <c r="Z49" s="233">
        <v>0.12191270426552793</v>
      </c>
      <c r="AA49" s="233">
        <v>0.12262196965411391</v>
      </c>
      <c r="AB49" s="233">
        <v>0.12546405143761283</v>
      </c>
      <c r="AC49" s="233">
        <v>0.12892411270592416</v>
      </c>
      <c r="AD49" s="233">
        <v>0.13665794569720616</v>
      </c>
      <c r="AE49" s="233">
        <v>0.14882507549023299</v>
      </c>
    </row>
    <row r="50" spans="2:31" ht="15.75">
      <c r="B50" s="96" t="s">
        <v>7802</v>
      </c>
      <c r="C50" s="42"/>
      <c r="D50" s="42"/>
      <c r="E50" s="42"/>
      <c r="F50" s="42"/>
      <c r="G50" s="42"/>
      <c r="H50" s="42"/>
      <c r="I50" s="42"/>
      <c r="J50" s="42"/>
      <c r="K50" s="42"/>
      <c r="L50" s="42"/>
      <c r="M50" s="42"/>
      <c r="N50" s="42"/>
      <c r="O50" s="250">
        <v>13006.553129999998</v>
      </c>
      <c r="P50" s="250">
        <v>14444.71875</v>
      </c>
      <c r="Q50" s="250">
        <v>13144.931111999998</v>
      </c>
      <c r="R50" s="251">
        <v>17382</v>
      </c>
      <c r="S50" s="251">
        <v>19582</v>
      </c>
      <c r="T50" s="250">
        <v>20103.494619957637</v>
      </c>
      <c r="U50" s="250">
        <v>21440.964446132104</v>
      </c>
      <c r="V50" s="250">
        <v>24434.159654255123</v>
      </c>
      <c r="W50" s="250">
        <v>28327.383099978404</v>
      </c>
      <c r="X50" s="250">
        <v>32794.480469618582</v>
      </c>
      <c r="Y50" s="250">
        <v>38478.089916626377</v>
      </c>
      <c r="Z50" s="250">
        <v>44176.957373985279</v>
      </c>
      <c r="AA50" s="250">
        <v>48313.573745104935</v>
      </c>
      <c r="AB50" s="250">
        <v>51941.062450545156</v>
      </c>
      <c r="AC50" s="250">
        <v>55601.776841175888</v>
      </c>
      <c r="AD50" s="250">
        <v>57700.638468581572</v>
      </c>
      <c r="AE50" s="250">
        <v>58281.682450455977</v>
      </c>
    </row>
    <row r="51" spans="2:31" ht="15.75">
      <c r="B51" s="79" t="s">
        <v>192</v>
      </c>
      <c r="P51" s="104">
        <v>0.11057238652128598</v>
      </c>
      <c r="Q51" s="104">
        <v>-8.9983589192416891E-2</v>
      </c>
      <c r="R51" s="104">
        <v>0.32233481118299534</v>
      </c>
      <c r="S51" s="104">
        <v>0.12656771372684394</v>
      </c>
      <c r="T51" s="104">
        <v>2.6631325705118947E-2</v>
      </c>
      <c r="U51" s="104">
        <v>6.6529220489192964E-2</v>
      </c>
      <c r="V51" s="104">
        <v>0.13960170568087404</v>
      </c>
      <c r="W51" s="104">
        <v>0.15933527081809373</v>
      </c>
      <c r="X51" s="104">
        <v>0.15769537743299633</v>
      </c>
      <c r="Y51" s="104">
        <v>0.17330994013682255</v>
      </c>
      <c r="Z51" s="104">
        <v>0.1481068179243592</v>
      </c>
      <c r="AA51" s="104">
        <v>9.3637421339379356E-2</v>
      </c>
      <c r="AB51" s="104">
        <v>7.5082185486387232E-2</v>
      </c>
      <c r="AC51" s="104">
        <v>7.047823471297332E-2</v>
      </c>
      <c r="AD51" s="104">
        <v>3.7748103507573072E-2</v>
      </c>
      <c r="AE51" s="104">
        <v>1.0069974913549551E-2</v>
      </c>
    </row>
    <row r="52" spans="2:31" ht="15.75">
      <c r="B52" s="79"/>
      <c r="P52" s="104"/>
      <c r="Q52" s="104"/>
      <c r="R52" s="104"/>
      <c r="S52" s="104"/>
      <c r="T52" s="104"/>
      <c r="U52" s="104"/>
      <c r="V52" s="104"/>
      <c r="W52" s="104"/>
      <c r="X52" s="104"/>
      <c r="Y52" s="104"/>
      <c r="Z52" s="104"/>
      <c r="AA52" s="104"/>
      <c r="AB52" s="104"/>
      <c r="AC52" s="104"/>
      <c r="AD52" s="104"/>
      <c r="AE52" s="104"/>
    </row>
    <row r="53" spans="2:31" ht="15.75">
      <c r="B53" s="79" t="s">
        <v>7803</v>
      </c>
      <c r="O53" s="64">
        <v>942.50384999999994</v>
      </c>
      <c r="P53" s="64">
        <v>961.45875000000001</v>
      </c>
      <c r="Q53" s="64">
        <v>856.58953919999988</v>
      </c>
      <c r="R53" s="64">
        <v>1301.5483357041253</v>
      </c>
      <c r="S53" s="64">
        <v>1496.2055089820358</v>
      </c>
      <c r="T53" s="64">
        <v>1659.4242946109644</v>
      </c>
      <c r="U53" s="64">
        <v>2083.5347273572274</v>
      </c>
      <c r="V53" s="64">
        <v>2772.2743388158515</v>
      </c>
      <c r="W53" s="64">
        <v>3176.5834667571485</v>
      </c>
      <c r="X53" s="64">
        <v>3746.36599066907</v>
      </c>
      <c r="Y53" s="64">
        <v>4424.7090029887095</v>
      </c>
      <c r="Z53" s="64">
        <v>5755.3896585119492</v>
      </c>
      <c r="AA53" s="64">
        <v>6034.8121322702473</v>
      </c>
      <c r="AB53" s="64">
        <v>6529.7280232130315</v>
      </c>
      <c r="AC53" s="64">
        <v>6245.941311405295</v>
      </c>
      <c r="AD53" s="64">
        <v>6803.4851377846926</v>
      </c>
      <c r="AE53" s="64">
        <v>7315.9470992957658</v>
      </c>
    </row>
    <row r="54" spans="2:31" ht="15.75">
      <c r="B54" s="79"/>
    </row>
    <row r="55" spans="2:31" ht="15.75">
      <c r="B55" s="96" t="s">
        <v>34</v>
      </c>
      <c r="C55" s="42"/>
      <c r="D55" s="42"/>
      <c r="E55" s="42"/>
      <c r="F55" s="42"/>
      <c r="G55" s="42"/>
      <c r="H55" s="42"/>
      <c r="I55" s="42"/>
      <c r="J55" s="42"/>
      <c r="K55" s="42"/>
      <c r="L55" s="42"/>
      <c r="M55" s="42"/>
      <c r="N55" s="42"/>
      <c r="O55" s="42"/>
      <c r="P55" s="250">
        <v>1884.09375</v>
      </c>
      <c r="Q55" s="250">
        <v>457.21499519999998</v>
      </c>
      <c r="R55" s="251">
        <v>230</v>
      </c>
      <c r="S55" s="251">
        <v>1285</v>
      </c>
      <c r="T55" s="250">
        <v>1809.3145157961874</v>
      </c>
      <c r="U55" s="250">
        <v>1072.0482223066053</v>
      </c>
      <c r="V55" s="250">
        <v>733.02478962765372</v>
      </c>
      <c r="W55" s="250">
        <v>2549.4644789980562</v>
      </c>
      <c r="X55" s="250">
        <v>4919.1720704427871</v>
      </c>
      <c r="Y55" s="250">
        <v>6926.0561849927481</v>
      </c>
      <c r="Z55" s="250">
        <v>8835.3914747970557</v>
      </c>
      <c r="AA55" s="250">
        <v>10628.986223923086</v>
      </c>
      <c r="AB55" s="250">
        <v>11946.444363625387</v>
      </c>
      <c r="AC55" s="250">
        <v>13344.426441882213</v>
      </c>
      <c r="AD55" s="250">
        <v>14425.159617145393</v>
      </c>
      <c r="AE55" s="250">
        <v>14570.420612613994</v>
      </c>
    </row>
    <row r="56" spans="2:31" ht="15.75">
      <c r="B56" s="79" t="s">
        <v>548</v>
      </c>
      <c r="P56" s="103">
        <v>0.15</v>
      </c>
      <c r="Q56" s="103">
        <v>0.04</v>
      </c>
      <c r="R56" s="69">
        <v>1.3232079162351858E-2</v>
      </c>
      <c r="S56" s="69">
        <v>6.5621489122663676E-2</v>
      </c>
      <c r="T56" s="103">
        <v>0.09</v>
      </c>
      <c r="U56" s="103">
        <v>0.05</v>
      </c>
      <c r="V56" s="103">
        <v>0.03</v>
      </c>
      <c r="W56" s="103">
        <v>0.09</v>
      </c>
      <c r="X56" s="103">
        <v>0.15</v>
      </c>
      <c r="Y56" s="103">
        <v>0.18</v>
      </c>
      <c r="Z56" s="103">
        <v>0.2</v>
      </c>
      <c r="AA56" s="103">
        <v>0.22</v>
      </c>
      <c r="AB56" s="103">
        <v>0.23</v>
      </c>
      <c r="AC56" s="103">
        <v>0.24</v>
      </c>
      <c r="AD56" s="103">
        <v>0.25</v>
      </c>
      <c r="AE56" s="103">
        <v>0.25</v>
      </c>
    </row>
    <row r="57" spans="2:31" ht="15.75">
      <c r="B57" s="79"/>
    </row>
    <row r="58" spans="2:31" ht="15.75">
      <c r="B58" s="79" t="s">
        <v>7804</v>
      </c>
      <c r="P58" s="65">
        <v>1412.5472286044073</v>
      </c>
      <c r="Q58" s="65">
        <v>999.78756816616351</v>
      </c>
      <c r="R58" s="159">
        <v>600</v>
      </c>
      <c r="S58" s="159">
        <v>600</v>
      </c>
      <c r="T58" s="64">
        <v>306.89323341535822</v>
      </c>
      <c r="U58" s="64">
        <v>43.385630698188528</v>
      </c>
      <c r="V58" s="64">
        <v>44.902399897524859</v>
      </c>
      <c r="W58" s="64">
        <v>49.055045201059365</v>
      </c>
      <c r="X58" s="64">
        <v>52.09486568950485</v>
      </c>
      <c r="Y58" s="64">
        <v>54.188681178439801</v>
      </c>
      <c r="Z58" s="64">
        <v>55.482284475652612</v>
      </c>
      <c r="AA58" s="64">
        <v>55.396590703292418</v>
      </c>
      <c r="AB58" s="64">
        <v>54.240276258765661</v>
      </c>
      <c r="AC58" s="64">
        <v>52.842619599847382</v>
      </c>
      <c r="AD58" s="64">
        <v>49.660315084539441</v>
      </c>
      <c r="AE58" s="64">
        <v>45.185920695422425</v>
      </c>
    </row>
    <row r="59" spans="2:31" ht="15.75">
      <c r="B59" s="79" t="s">
        <v>7805</v>
      </c>
      <c r="P59" s="181">
        <v>1</v>
      </c>
      <c r="Q59" s="181">
        <v>0.7</v>
      </c>
      <c r="R59" s="181">
        <v>0.371</v>
      </c>
      <c r="S59" s="181">
        <v>0.32647999999999999</v>
      </c>
      <c r="T59" s="245">
        <v>0.1525</v>
      </c>
      <c r="U59" s="245">
        <v>0.02</v>
      </c>
      <c r="V59" s="181">
        <v>1.8000000000000002E-2</v>
      </c>
      <c r="W59" s="181">
        <v>1.6200000000000003E-2</v>
      </c>
      <c r="X59" s="181">
        <v>1.4580000000000003E-2</v>
      </c>
      <c r="Y59" s="181">
        <v>1.3122000000000003E-2</v>
      </c>
      <c r="Z59" s="181">
        <v>1.1809800000000004E-2</v>
      </c>
      <c r="AA59" s="181">
        <v>1.0628820000000004E-2</v>
      </c>
      <c r="AB59" s="181">
        <v>9.5659380000000047E-3</v>
      </c>
      <c r="AC59" s="181">
        <v>8.6093442000000041E-3</v>
      </c>
      <c r="AD59" s="181">
        <v>7.7484097800000042E-3</v>
      </c>
      <c r="AE59" s="181">
        <v>6.973568802000004E-3</v>
      </c>
    </row>
    <row r="60" spans="2:31" ht="15.75">
      <c r="B60" s="79"/>
      <c r="R60" s="181"/>
      <c r="S60" s="56">
        <v>-0.12</v>
      </c>
      <c r="T60" s="56">
        <v>-0.53289634893408477</v>
      </c>
      <c r="U60" s="56">
        <v>-0.86885245901639341</v>
      </c>
      <c r="V60" s="63">
        <v>-0.1</v>
      </c>
      <c r="W60" s="63">
        <v>-0.1</v>
      </c>
      <c r="X60" s="63">
        <v>-0.1</v>
      </c>
      <c r="Y60" s="63">
        <v>-0.1</v>
      </c>
      <c r="Z60" s="63">
        <v>-0.1</v>
      </c>
      <c r="AA60" s="63">
        <v>-0.1</v>
      </c>
      <c r="AB60" s="63">
        <v>-0.1</v>
      </c>
      <c r="AC60" s="63">
        <v>-0.1</v>
      </c>
      <c r="AD60" s="63">
        <v>-0.1</v>
      </c>
      <c r="AE60" s="63">
        <v>-0.1</v>
      </c>
    </row>
    <row r="61" spans="2:31" ht="15.75">
      <c r="B61" s="79" t="s">
        <v>7806</v>
      </c>
      <c r="P61" s="65">
        <v>1412.5472286044073</v>
      </c>
      <c r="Q61" s="65">
        <v>1428.2679545230908</v>
      </c>
      <c r="R61" s="65">
        <v>1617.2506738544475</v>
      </c>
      <c r="S61" s="65">
        <v>1837.7848566527812</v>
      </c>
      <c r="T61" s="65">
        <v>2012.4146453466115</v>
      </c>
      <c r="U61" s="65">
        <v>2169.2815349094262</v>
      </c>
      <c r="V61" s="65">
        <v>2494.5777720847141</v>
      </c>
      <c r="W61" s="65">
        <v>3028.0892099419357</v>
      </c>
      <c r="X61" s="65">
        <v>3573.0360555215939</v>
      </c>
      <c r="Y61" s="65">
        <v>4129.6053329096012</v>
      </c>
      <c r="Z61" s="65">
        <v>4697.9867970374262</v>
      </c>
      <c r="AA61" s="65">
        <v>5211.9229324884982</v>
      </c>
      <c r="AB61" s="65">
        <v>5670.1471678747694</v>
      </c>
      <c r="AC61" s="65">
        <v>6137.8216937647067</v>
      </c>
      <c r="AD61" s="65">
        <v>6409.097672237388</v>
      </c>
      <c r="AE61" s="65">
        <v>6479.5977466319973</v>
      </c>
    </row>
    <row r="62" spans="2:31" ht="15.75">
      <c r="B62" s="79" t="s">
        <v>7807</v>
      </c>
      <c r="R62" s="65">
        <v>21.148079406901683</v>
      </c>
      <c r="S62" s="65">
        <v>19.967957473599792</v>
      </c>
      <c r="T62" s="246">
        <v>19.967957473599792</v>
      </c>
      <c r="U62" s="246">
        <v>19.967957473599792</v>
      </c>
      <c r="V62" s="246">
        <v>19.967957473599792</v>
      </c>
      <c r="W62" s="246">
        <v>19.967957473599792</v>
      </c>
      <c r="X62" s="246">
        <v>19.967957473599792</v>
      </c>
      <c r="Y62" s="246">
        <v>19.967957473599792</v>
      </c>
      <c r="Z62" s="246">
        <v>19.967957473599792</v>
      </c>
      <c r="AA62" s="246">
        <v>19.967957473599792</v>
      </c>
      <c r="AB62" s="246">
        <v>19.967957473599792</v>
      </c>
      <c r="AC62" s="246">
        <v>19.967957473599792</v>
      </c>
      <c r="AD62" s="246">
        <v>19.967957473599792</v>
      </c>
      <c r="AE62" s="246">
        <v>19.967957473599792</v>
      </c>
    </row>
    <row r="63" spans="2:31" ht="15.75">
      <c r="B63" s="79"/>
      <c r="R63" s="181"/>
      <c r="S63" s="56"/>
      <c r="T63" s="56"/>
      <c r="U63" s="56"/>
      <c r="V63" s="56"/>
      <c r="W63" s="56"/>
      <c r="X63" s="56"/>
      <c r="Y63" s="56"/>
      <c r="Z63" s="56"/>
      <c r="AA63" s="56"/>
      <c r="AB63" s="56"/>
      <c r="AC63" s="56"/>
      <c r="AD63" s="56"/>
      <c r="AE63" s="56"/>
    </row>
    <row r="64" spans="2:31" ht="15.75">
      <c r="B64" s="79" t="s">
        <v>1272</v>
      </c>
      <c r="P64" s="65">
        <v>-282.09097860440738</v>
      </c>
      <c r="Q64" s="65">
        <v>-199.66132656616344</v>
      </c>
      <c r="R64" s="65">
        <v>-119.82224999999994</v>
      </c>
      <c r="S64" s="65">
        <v>-100.65899999999999</v>
      </c>
      <c r="T64" s="65">
        <v>212.29535631935329</v>
      </c>
      <c r="U64" s="65">
        <v>460.30758238110315</v>
      </c>
      <c r="V64" s="65">
        <v>476.40001556557178</v>
      </c>
      <c r="W64" s="65">
        <v>520.45824612244644</v>
      </c>
      <c r="X64" s="65">
        <v>552.70976344261089</v>
      </c>
      <c r="Y64" s="65">
        <v>574.92447209507725</v>
      </c>
      <c r="Z64" s="65">
        <v>588.64918686164424</v>
      </c>
      <c r="AA64" s="65">
        <v>587.74000350887377</v>
      </c>
      <c r="AB64" s="65">
        <v>575.4718792966172</v>
      </c>
      <c r="AC64" s="65">
        <v>560.64319184152441</v>
      </c>
      <c r="AD64" s="65">
        <v>526.87996484058488</v>
      </c>
      <c r="AE64" s="65">
        <v>479.40808000844822</v>
      </c>
    </row>
    <row r="65" spans="2:31" ht="15.75">
      <c r="B65" s="79" t="s">
        <v>7808</v>
      </c>
      <c r="R65" s="56">
        <v>-6.8934673800483222E-3</v>
      </c>
      <c r="S65" s="56">
        <v>-5.1403840261464604E-3</v>
      </c>
      <c r="T65" s="56">
        <v>1.0560122025182538E-2</v>
      </c>
      <c r="U65" s="56">
        <v>2.1468604340890155E-2</v>
      </c>
      <c r="V65" s="56">
        <v>1.9497294865330406E-2</v>
      </c>
      <c r="W65" s="56">
        <v>1.8372973044687747E-2</v>
      </c>
      <c r="X65" s="56">
        <v>1.6853743542443112E-2</v>
      </c>
      <c r="Y65" s="56">
        <v>1.4941606335990511E-2</v>
      </c>
      <c r="Z65" s="56">
        <v>1.3324801476895855E-2</v>
      </c>
      <c r="AA65" s="56">
        <v>1.2165111333094517E-2</v>
      </c>
      <c r="AB65" s="56">
        <v>1.1079324375479293E-2</v>
      </c>
      <c r="AC65" s="56">
        <v>1.0083188410380802E-2</v>
      </c>
      <c r="AD65" s="56">
        <v>9.1312675010948967E-3</v>
      </c>
      <c r="AE65" s="56">
        <v>8.2257076297682866E-3</v>
      </c>
    </row>
    <row r="66" spans="2:31" ht="15.75">
      <c r="B66" s="79"/>
    </row>
    <row r="67" spans="2:31" ht="15.75">
      <c r="B67" s="247" t="s">
        <v>779</v>
      </c>
      <c r="C67" s="248"/>
      <c r="D67" s="248"/>
      <c r="E67" s="248"/>
      <c r="F67" s="248"/>
      <c r="G67" s="248"/>
      <c r="H67" s="248"/>
      <c r="I67" s="248"/>
      <c r="J67" s="248"/>
      <c r="K67" s="248"/>
      <c r="L67" s="248"/>
      <c r="M67" s="248"/>
      <c r="N67" s="248"/>
      <c r="O67" s="248"/>
      <c r="P67" s="249"/>
      <c r="Q67" s="248"/>
      <c r="R67" s="249">
        <v>17152</v>
      </c>
      <c r="S67" s="249">
        <v>18297</v>
      </c>
      <c r="T67" s="249">
        <v>18294.180104161449</v>
      </c>
      <c r="U67" s="249">
        <v>20368.916223825498</v>
      </c>
      <c r="V67" s="249">
        <v>23701.134864627471</v>
      </c>
      <c r="W67" s="249">
        <v>25777.918620980348</v>
      </c>
      <c r="X67" s="249">
        <v>27875.308399175796</v>
      </c>
      <c r="Y67" s="249">
        <v>31552.03373163363</v>
      </c>
      <c r="Z67" s="249">
        <v>35341.565899188223</v>
      </c>
      <c r="AA67" s="249">
        <v>37684.587521181849</v>
      </c>
      <c r="AB67" s="249">
        <v>39994.618086919771</v>
      </c>
      <c r="AC67" s="249">
        <v>42257.350399293675</v>
      </c>
      <c r="AD67" s="249">
        <v>43275.478851436179</v>
      </c>
      <c r="AE67" s="249">
        <v>43711.261837841987</v>
      </c>
    </row>
    <row r="68" spans="2:31" ht="15.75">
      <c r="B68" s="79"/>
    </row>
    <row r="69" spans="2:31" ht="15.75">
      <c r="B69" s="79" t="s">
        <v>7809</v>
      </c>
      <c r="P69" s="64">
        <v>149.17606888361044</v>
      </c>
      <c r="Q69" s="64">
        <v>36.753616977491959</v>
      </c>
      <c r="R69" s="64">
        <v>17.477203647416413</v>
      </c>
      <c r="S69" s="64">
        <v>100.70532915360502</v>
      </c>
      <c r="T69" s="64">
        <v>135.93647752037469</v>
      </c>
      <c r="U69" s="64">
        <v>67.551872861159765</v>
      </c>
      <c r="V69" s="64">
        <v>38.88725674417261</v>
      </c>
      <c r="W69" s="64">
        <v>134.89230047608763</v>
      </c>
      <c r="X69" s="64">
        <v>255.54140625676817</v>
      </c>
      <c r="Y69" s="64">
        <v>359.79512649312977</v>
      </c>
      <c r="Z69" s="64">
        <v>411.33107424567299</v>
      </c>
      <c r="AA69" s="64">
        <v>523.96910008857662</v>
      </c>
      <c r="AB69" s="64">
        <v>594.05491614248569</v>
      </c>
      <c r="AC69" s="64">
        <v>753.92239784645278</v>
      </c>
      <c r="AD69" s="64">
        <v>788.26008836860069</v>
      </c>
      <c r="AE69" s="64">
        <v>759.27152749421543</v>
      </c>
    </row>
    <row r="70" spans="2:31" ht="15.75">
      <c r="B70" s="79"/>
    </row>
    <row r="71" spans="2:31" ht="15.75">
      <c r="B71" s="79" t="s">
        <v>552</v>
      </c>
      <c r="Q71" s="64">
        <v>1714.5562319999999</v>
      </c>
      <c r="R71" s="159">
        <v>2017</v>
      </c>
      <c r="S71" s="159">
        <v>2379</v>
      </c>
      <c r="T71" s="64">
        <v>2243.6500650520543</v>
      </c>
      <c r="U71" s="64">
        <v>2352.5902914971734</v>
      </c>
      <c r="V71" s="64">
        <v>2802.0103198994416</v>
      </c>
      <c r="W71" s="64">
        <v>3277.9353617295847</v>
      </c>
      <c r="X71" s="64">
        <v>3968.0846809896016</v>
      </c>
      <c r="Y71" s="64">
        <v>4701.4757450949928</v>
      </c>
      <c r="Z71" s="64">
        <v>5430.77150480197</v>
      </c>
      <c r="AA71" s="64">
        <v>5934.4975440031249</v>
      </c>
      <c r="AB71" s="64">
        <v>6359.4056847335978</v>
      </c>
      <c r="AC71" s="64">
        <v>6780.6713935876287</v>
      </c>
      <c r="AD71" s="64">
        <v>6974.1542850067253</v>
      </c>
      <c r="AE71" s="64">
        <v>6945.1069324096716</v>
      </c>
    </row>
    <row r="72" spans="2:31" ht="15.75">
      <c r="B72" s="79" t="s">
        <v>396</v>
      </c>
      <c r="Q72" s="103">
        <v>0.15</v>
      </c>
      <c r="R72" s="98">
        <v>0.11603958117592912</v>
      </c>
      <c r="S72" s="98">
        <v>0.12148912266367072</v>
      </c>
      <c r="T72" s="103">
        <v>0.13148912266367072</v>
      </c>
      <c r="U72" s="103">
        <v>0.13</v>
      </c>
      <c r="V72" s="103">
        <v>0.13500000000000001</v>
      </c>
      <c r="W72" s="103">
        <v>0.13500000000000001</v>
      </c>
      <c r="X72" s="103">
        <v>0.14000000000000001</v>
      </c>
      <c r="Y72" s="103">
        <v>0.14000000000000001</v>
      </c>
      <c r="Z72" s="103">
        <v>0.14000000000000001</v>
      </c>
      <c r="AA72" s="103">
        <v>0.14000000000000001</v>
      </c>
      <c r="AB72" s="103">
        <v>0.14000000000000001</v>
      </c>
      <c r="AC72" s="103">
        <v>0.14000000000000001</v>
      </c>
      <c r="AD72" s="103">
        <v>0.14000000000000001</v>
      </c>
      <c r="AE72" s="103">
        <v>0.14000000000000001</v>
      </c>
    </row>
    <row r="73" spans="2:31" ht="15.75">
      <c r="B73" s="79" t="s">
        <v>242</v>
      </c>
      <c r="Q73" s="64">
        <v>-1257.3412367999999</v>
      </c>
      <c r="R73" s="64">
        <v>-1787</v>
      </c>
      <c r="S73" s="64">
        <v>-1094</v>
      </c>
      <c r="T73" s="64">
        <v>-434.33554925586691</v>
      </c>
      <c r="U73" s="64">
        <v>-1280.5420691905681</v>
      </c>
      <c r="V73" s="64">
        <v>-2068.9855302717879</v>
      </c>
      <c r="W73" s="64">
        <v>-728.47088273152849</v>
      </c>
      <c r="X73" s="64">
        <v>951.08738945318555</v>
      </c>
      <c r="Y73" s="64">
        <v>2224.5804398977552</v>
      </c>
      <c r="Z73" s="64">
        <v>3404.6199699950857</v>
      </c>
      <c r="AA73" s="64">
        <v>4694.4886799199612</v>
      </c>
      <c r="AB73" s="64">
        <v>5587.0386788917895</v>
      </c>
      <c r="AC73" s="64">
        <v>6563.7550482945844</v>
      </c>
      <c r="AD73" s="64">
        <v>7451.0053321386677</v>
      </c>
      <c r="AE73" s="64">
        <v>7625.3136802043227</v>
      </c>
    </row>
    <row r="74" spans="2:31" ht="15.75">
      <c r="B74" s="79"/>
    </row>
    <row r="75" spans="2:31" ht="15.75">
      <c r="B75" s="79" t="s">
        <v>35</v>
      </c>
      <c r="O75" s="64">
        <v>1696.5069299999998</v>
      </c>
      <c r="P75" s="64">
        <v>1884.09375</v>
      </c>
      <c r="Q75" s="64">
        <v>5143.6686959999997</v>
      </c>
      <c r="R75" s="64">
        <v>7574.988690000001</v>
      </c>
      <c r="S75" s="64">
        <v>3283.9993100000002</v>
      </c>
      <c r="T75" s="64">
        <v>2559.5083679936456</v>
      </c>
      <c r="U75" s="64">
        <v>3619.3696792264209</v>
      </c>
      <c r="V75" s="64">
        <v>4566.2390398361267</v>
      </c>
      <c r="W75" s="64">
        <v>5341.820589485249</v>
      </c>
      <c r="X75" s="64">
        <v>5952.1270214844017</v>
      </c>
      <c r="Y75" s="64">
        <v>6716.3939215642749</v>
      </c>
      <c r="Z75" s="64">
        <v>6206.5960054879652</v>
      </c>
      <c r="AA75" s="64">
        <v>5934.4975440031249</v>
      </c>
      <c r="AB75" s="64">
        <v>6359.4056847335978</v>
      </c>
      <c r="AC75" s="64">
        <v>6780.6713935876287</v>
      </c>
      <c r="AD75" s="64">
        <v>6974.1542850067253</v>
      </c>
      <c r="AE75" s="64">
        <v>6945.1069324096716</v>
      </c>
    </row>
    <row r="76" spans="2:31" ht="15.75">
      <c r="B76" s="79" t="s">
        <v>1039</v>
      </c>
      <c r="O76" s="101">
        <v>0.15</v>
      </c>
      <c r="P76" s="101">
        <v>0.15</v>
      </c>
      <c r="Q76" s="101">
        <v>0.45</v>
      </c>
      <c r="R76" s="101">
        <v>0.51270000000000004</v>
      </c>
      <c r="S76" s="101">
        <v>0.1973</v>
      </c>
      <c r="T76" s="101">
        <v>0.15</v>
      </c>
      <c r="U76" s="101">
        <v>0.2</v>
      </c>
      <c r="V76" s="101">
        <v>0.22</v>
      </c>
      <c r="W76" s="101">
        <v>0.22</v>
      </c>
      <c r="X76" s="101">
        <v>0.21</v>
      </c>
      <c r="Y76" s="101">
        <v>0.2</v>
      </c>
      <c r="Z76" s="101">
        <v>0.16</v>
      </c>
      <c r="AA76" s="101">
        <v>0.14000000000000001</v>
      </c>
      <c r="AB76" s="101">
        <v>0.14000000000000001</v>
      </c>
      <c r="AC76" s="101">
        <v>0.14000000000000001</v>
      </c>
      <c r="AD76" s="101">
        <v>0.14000000000000001</v>
      </c>
      <c r="AE76" s="101">
        <v>0.14000000000000001</v>
      </c>
    </row>
    <row r="77" spans="2:31" ht="15.75">
      <c r="B77" s="79" t="s">
        <v>7810</v>
      </c>
      <c r="Q77" s="64">
        <v>413.47819099678458</v>
      </c>
      <c r="R77" s="64">
        <v>575.60704331306999</v>
      </c>
      <c r="S77" s="64">
        <v>257.3667170846395</v>
      </c>
      <c r="T77" s="64">
        <v>192.29965199050679</v>
      </c>
      <c r="U77" s="64">
        <v>228.06362187942162</v>
      </c>
      <c r="V77" s="64">
        <v>242.24079786929053</v>
      </c>
      <c r="W77" s="64">
        <v>282.63601002567458</v>
      </c>
      <c r="X77" s="64">
        <v>309.20140371347543</v>
      </c>
      <c r="Y77" s="64">
        <v>348.90358034100132</v>
      </c>
      <c r="Z77" s="64">
        <v>288.94767250875071</v>
      </c>
      <c r="AA77" s="64">
        <v>292.54843990770485</v>
      </c>
      <c r="AB77" s="64">
        <v>316.2310136615414</v>
      </c>
      <c r="AC77" s="64">
        <v>383.08877929873609</v>
      </c>
      <c r="AD77" s="64">
        <v>381.10132704954782</v>
      </c>
      <c r="AE77" s="64">
        <v>361.91281565449043</v>
      </c>
    </row>
    <row r="78" spans="2:31" ht="15.75">
      <c r="B78" s="79" t="s">
        <v>7811</v>
      </c>
      <c r="Q78" s="104">
        <v>3</v>
      </c>
      <c r="R78" s="104">
        <v>3.7555719831432826</v>
      </c>
      <c r="S78" s="104">
        <v>1.3804116477511561</v>
      </c>
      <c r="T78" s="104">
        <v>1.1407787728850949</v>
      </c>
      <c r="U78" s="104">
        <v>1.5384615384615385</v>
      </c>
      <c r="V78" s="104">
        <v>1.6296296296296295</v>
      </c>
      <c r="W78" s="104">
        <v>1.6296296296296295</v>
      </c>
      <c r="X78" s="104">
        <v>1.4999999999999998</v>
      </c>
      <c r="Y78" s="104">
        <v>1.4285714285714284</v>
      </c>
      <c r="Z78" s="104">
        <v>1.1428571428571428</v>
      </c>
      <c r="AA78" s="104">
        <v>1</v>
      </c>
      <c r="AB78" s="104">
        <v>1</v>
      </c>
      <c r="AC78" s="104">
        <v>1</v>
      </c>
      <c r="AD78" s="104">
        <v>1</v>
      </c>
      <c r="AE78" s="104">
        <v>1</v>
      </c>
    </row>
    <row r="79" spans="2:31" ht="15.75">
      <c r="B79" s="79"/>
      <c r="Q79" s="104"/>
      <c r="R79" s="104"/>
      <c r="S79" s="104"/>
      <c r="T79" s="104"/>
      <c r="U79" s="104"/>
      <c r="V79" s="104"/>
      <c r="W79" s="104"/>
      <c r="X79" s="104"/>
      <c r="Y79" s="104"/>
      <c r="Z79" s="104"/>
      <c r="AA79" s="104"/>
      <c r="AB79" s="104"/>
      <c r="AC79" s="104"/>
      <c r="AD79" s="104"/>
      <c r="AE79" s="104"/>
    </row>
    <row r="80" spans="2:31" ht="15.75">
      <c r="B80" s="79" t="s">
        <v>1148</v>
      </c>
      <c r="Q80" s="64">
        <v>0</v>
      </c>
      <c r="R80" s="64">
        <v>0</v>
      </c>
      <c r="S80" s="64">
        <v>0</v>
      </c>
      <c r="T80" s="64">
        <v>0</v>
      </c>
      <c r="U80" s="64">
        <v>0</v>
      </c>
      <c r="V80" s="64">
        <v>0</v>
      </c>
      <c r="W80" s="64">
        <v>0</v>
      </c>
      <c r="X80" s="64">
        <v>0</v>
      </c>
      <c r="Y80" s="64">
        <v>0</v>
      </c>
      <c r="Z80" s="64">
        <v>0</v>
      </c>
      <c r="AA80" s="64">
        <v>0</v>
      </c>
      <c r="AB80" s="64">
        <v>0</v>
      </c>
      <c r="AC80" s="64">
        <v>0</v>
      </c>
      <c r="AD80" s="64">
        <v>0</v>
      </c>
      <c r="AE80" s="64">
        <v>0</v>
      </c>
    </row>
    <row r="81" spans="2:31" ht="15.75">
      <c r="B81" s="79" t="s">
        <v>7812</v>
      </c>
      <c r="Q81" s="158"/>
      <c r="R81" s="158"/>
      <c r="S81" s="159">
        <v>0</v>
      </c>
      <c r="T81" s="159">
        <v>0</v>
      </c>
      <c r="U81" s="159">
        <v>0</v>
      </c>
      <c r="V81" s="159">
        <v>0</v>
      </c>
      <c r="W81" s="159">
        <v>0</v>
      </c>
      <c r="X81" s="159">
        <v>0</v>
      </c>
      <c r="Y81" s="159">
        <v>0</v>
      </c>
      <c r="Z81" s="159">
        <v>0</v>
      </c>
      <c r="AA81" s="159">
        <v>0</v>
      </c>
      <c r="AB81" s="159">
        <v>0</v>
      </c>
      <c r="AC81" s="159">
        <v>0</v>
      </c>
      <c r="AD81" s="159">
        <v>0</v>
      </c>
      <c r="AE81" s="159">
        <v>0</v>
      </c>
    </row>
    <row r="82" spans="2:31" ht="15.75">
      <c r="B82" s="79"/>
    </row>
    <row r="83" spans="2:31" ht="15.75">
      <c r="B83" s="79" t="s">
        <v>7813</v>
      </c>
      <c r="Q83" s="64">
        <v>-4686.4537007999998</v>
      </c>
      <c r="R83" s="64">
        <v>-7344.988690000001</v>
      </c>
      <c r="S83" s="64">
        <v>-1998.9993100000002</v>
      </c>
      <c r="T83" s="64">
        <v>-750.19385219745823</v>
      </c>
      <c r="U83" s="64">
        <v>-2547.3214569198153</v>
      </c>
      <c r="V83" s="64">
        <v>-3833.214250208473</v>
      </c>
      <c r="W83" s="64">
        <v>-2792.3561104871928</v>
      </c>
      <c r="X83" s="64">
        <v>-1032.9549510416145</v>
      </c>
      <c r="Y83" s="64">
        <v>209.66226342847312</v>
      </c>
      <c r="Z83" s="64">
        <v>2628.7954693090905</v>
      </c>
      <c r="AA83" s="64">
        <v>4694.4886799199612</v>
      </c>
      <c r="AB83" s="64">
        <v>5587.0386788917895</v>
      </c>
      <c r="AC83" s="64">
        <v>6563.7550482945844</v>
      </c>
      <c r="AD83" s="64">
        <v>7451.0053321386677</v>
      </c>
      <c r="AE83" s="64">
        <v>7625.3136802043227</v>
      </c>
    </row>
    <row r="84" spans="2:31" ht="15.75">
      <c r="B84" s="79" t="s">
        <v>7814</v>
      </c>
      <c r="Q84" s="64">
        <v>-376.72457401929262</v>
      </c>
      <c r="R84" s="64">
        <v>-558.12983966565355</v>
      </c>
      <c r="S84" s="64">
        <v>-156.66138793103451</v>
      </c>
      <c r="T84" s="64">
        <v>-56.363174470132094</v>
      </c>
      <c r="U84" s="64">
        <v>-160.51174901826184</v>
      </c>
      <c r="V84" s="64">
        <v>-203.35354112511791</v>
      </c>
      <c r="W84" s="64">
        <v>-147.74370954958692</v>
      </c>
      <c r="X84" s="64">
        <v>-53.659997456707252</v>
      </c>
      <c r="Y84" s="64">
        <v>10.891546152128473</v>
      </c>
      <c r="Z84" s="64">
        <v>122.38340173692228</v>
      </c>
      <c r="AA84" s="64">
        <v>231.42066018087178</v>
      </c>
      <c r="AB84" s="64">
        <v>277.8239024809443</v>
      </c>
      <c r="AC84" s="64">
        <v>370.83361854771664</v>
      </c>
      <c r="AD84" s="64">
        <v>407.15876131905287</v>
      </c>
      <c r="AE84" s="64">
        <v>397.35871183972495</v>
      </c>
    </row>
    <row r="85" spans="2:31" ht="15.75">
      <c r="B85" s="79"/>
    </row>
    <row r="86" spans="2:31" ht="15.75">
      <c r="B86" s="79" t="s">
        <v>7815</v>
      </c>
      <c r="Q86" s="64">
        <v>1693.6499999999999</v>
      </c>
      <c r="R86" s="64">
        <v>1384.95</v>
      </c>
      <c r="S86" s="64">
        <v>1214.5700000000002</v>
      </c>
      <c r="T86" s="64">
        <v>1237.18</v>
      </c>
      <c r="U86" s="64">
        <v>1237.18</v>
      </c>
      <c r="V86" s="64">
        <v>1237.18</v>
      </c>
      <c r="W86" s="64">
        <v>1237.18</v>
      </c>
      <c r="X86" s="64">
        <v>1237.18</v>
      </c>
      <c r="Y86" s="64">
        <v>1237.18</v>
      </c>
      <c r="Z86" s="64">
        <v>1237.18</v>
      </c>
      <c r="AA86" s="64">
        <v>1237.18</v>
      </c>
      <c r="AB86" s="64">
        <v>1237.18</v>
      </c>
      <c r="AC86" s="64">
        <v>1237.18</v>
      </c>
      <c r="AD86" s="64">
        <v>1237.18</v>
      </c>
      <c r="AE86" s="64">
        <v>1237.18</v>
      </c>
    </row>
    <row r="87" spans="2:31" ht="15.75">
      <c r="B87" s="79" t="s">
        <v>7816</v>
      </c>
      <c r="Q87" s="101">
        <v>0.15</v>
      </c>
      <c r="R87" s="101">
        <v>0.15</v>
      </c>
      <c r="S87" s="101">
        <v>0.14000000000000001</v>
      </c>
      <c r="T87" s="101">
        <v>0.14000000000000001</v>
      </c>
      <c r="U87" s="101">
        <v>0.14000000000000001</v>
      </c>
      <c r="V87" s="101">
        <v>0.14000000000000001</v>
      </c>
      <c r="W87" s="101">
        <v>0.14000000000000001</v>
      </c>
      <c r="X87" s="101">
        <v>0.14000000000000001</v>
      </c>
      <c r="Y87" s="101">
        <v>0.14000000000000001</v>
      </c>
      <c r="Z87" s="101">
        <v>0.14000000000000001</v>
      </c>
      <c r="AA87" s="101">
        <v>0.14000000000000001</v>
      </c>
      <c r="AB87" s="101">
        <v>0.14000000000000001</v>
      </c>
      <c r="AC87" s="101">
        <v>0.14000000000000001</v>
      </c>
      <c r="AD87" s="101">
        <v>0.14000000000000001</v>
      </c>
      <c r="AE87" s="101">
        <v>0.14000000000000001</v>
      </c>
    </row>
    <row r="88" spans="2:31" ht="15.75">
      <c r="B88" s="79" t="s">
        <v>315</v>
      </c>
      <c r="Q88" s="64">
        <v>216.2340307745547</v>
      </c>
      <c r="R88" s="64">
        <v>21.950000000000045</v>
      </c>
      <c r="S88" s="64">
        <v>65.570000000000164</v>
      </c>
      <c r="T88" s="64">
        <v>129.93986430076285</v>
      </c>
      <c r="U88" s="64">
        <v>225.08737682733789</v>
      </c>
      <c r="V88" s="64">
        <v>334.06707584997542</v>
      </c>
      <c r="W88" s="64">
        <v>509.3441331438878</v>
      </c>
      <c r="X88" s="64">
        <v>784.84133376940292</v>
      </c>
      <c r="Y88" s="64">
        <v>1147.8702564510643</v>
      </c>
      <c r="Z88" s="64">
        <v>1640.4676507326333</v>
      </c>
      <c r="AA88" s="64">
        <v>2102.7381688538781</v>
      </c>
      <c r="AB88" s="64">
        <v>2473.9344606251534</v>
      </c>
      <c r="AC88" s="64">
        <v>2925.8322318387754</v>
      </c>
      <c r="AD88" s="64">
        <v>3463.2551455184666</v>
      </c>
      <c r="AE88" s="64">
        <v>4066.6939532044107</v>
      </c>
    </row>
    <row r="89" spans="2:31" ht="15.75">
      <c r="B89" s="91" t="s">
        <v>7817</v>
      </c>
      <c r="C89" s="61"/>
      <c r="D89" s="61"/>
      <c r="E89" s="61"/>
      <c r="F89" s="61"/>
      <c r="G89" s="61"/>
      <c r="H89" s="61"/>
      <c r="I89" s="61"/>
      <c r="J89" s="61"/>
      <c r="K89" s="61"/>
      <c r="L89" s="61"/>
      <c r="M89" s="61"/>
      <c r="N89" s="61"/>
      <c r="O89" s="61"/>
      <c r="P89" s="61"/>
      <c r="Q89" s="77">
        <v>3.5000000000000003E-2</v>
      </c>
      <c r="R89" s="73">
        <v>3.5185500398716742E-3</v>
      </c>
      <c r="S89" s="73">
        <v>7.0733549083063826E-2</v>
      </c>
      <c r="T89" s="102">
        <v>7.0733549083063826E-2</v>
      </c>
      <c r="U89" s="102">
        <v>7.0733549083063826E-2</v>
      </c>
      <c r="V89" s="102">
        <v>7.0733549083063826E-2</v>
      </c>
      <c r="W89" s="102">
        <v>7.0733549083063826E-2</v>
      </c>
      <c r="X89" s="102">
        <v>7.0733549083063826E-2</v>
      </c>
      <c r="Y89" s="102">
        <v>7.0733549083063826E-2</v>
      </c>
      <c r="Z89" s="102">
        <v>7.0733549083063826E-2</v>
      </c>
      <c r="AA89" s="102">
        <v>7.0733549083063826E-2</v>
      </c>
      <c r="AB89" s="102">
        <v>7.0733549083063826E-2</v>
      </c>
      <c r="AC89" s="102">
        <v>7.0733549083063826E-2</v>
      </c>
      <c r="AD89" s="102">
        <v>7.0733549083063826E-2</v>
      </c>
      <c r="AE89" s="102">
        <v>7.0733549083063826E-2</v>
      </c>
    </row>
    <row r="90" spans="2:31" ht="15.75">
      <c r="B90" s="79" t="s">
        <v>7818</v>
      </c>
      <c r="Q90" s="64">
        <v>1477.4159692254452</v>
      </c>
      <c r="R90" s="159">
        <v>1363</v>
      </c>
      <c r="S90" s="159">
        <v>1149</v>
      </c>
      <c r="T90" s="64">
        <v>1107.2401356992373</v>
      </c>
      <c r="U90" s="64">
        <v>1012.0926231726621</v>
      </c>
      <c r="V90" s="64">
        <v>903.11292415002458</v>
      </c>
      <c r="W90" s="64">
        <v>727.83586685611226</v>
      </c>
      <c r="X90" s="64">
        <v>452.33866623059714</v>
      </c>
      <c r="Y90" s="64">
        <v>89.309743548935785</v>
      </c>
      <c r="Z90" s="64">
        <v>-403.28765073263321</v>
      </c>
      <c r="AA90" s="64">
        <v>-865.55816885387799</v>
      </c>
      <c r="AB90" s="64">
        <v>-1236.7544606251533</v>
      </c>
      <c r="AC90" s="64">
        <v>-1688.6522318387754</v>
      </c>
      <c r="AD90" s="64">
        <v>-2226.0751455184663</v>
      </c>
      <c r="AE90" s="64">
        <v>-2829.5139532044104</v>
      </c>
    </row>
    <row r="91" spans="2:31" ht="15.75">
      <c r="B91" s="79"/>
      <c r="Q91" s="64"/>
      <c r="R91" s="252"/>
      <c r="S91" s="252"/>
      <c r="T91" s="64"/>
      <c r="U91" s="64"/>
      <c r="V91" s="64"/>
      <c r="W91" s="64"/>
      <c r="X91" s="64"/>
      <c r="Y91" s="64"/>
      <c r="Z91" s="64"/>
      <c r="AA91" s="64"/>
      <c r="AB91" s="64"/>
      <c r="AC91" s="64"/>
      <c r="AD91" s="64"/>
      <c r="AE91" s="64"/>
    </row>
    <row r="92" spans="2:31" ht="15.75">
      <c r="B92" s="79" t="s">
        <v>242</v>
      </c>
      <c r="R92" s="64">
        <v>-3150</v>
      </c>
      <c r="S92" s="64">
        <v>-2243</v>
      </c>
      <c r="T92" s="64">
        <v>-1541.5756849551042</v>
      </c>
      <c r="U92" s="64">
        <v>-2292.63469236323</v>
      </c>
      <c r="V92" s="64">
        <v>-2972.0984544218127</v>
      </c>
      <c r="W92" s="64">
        <v>-1456.3067495876408</v>
      </c>
      <c r="X92" s="64">
        <v>498.74872322258841</v>
      </c>
      <c r="Y92" s="64">
        <v>2135.2706963488195</v>
      </c>
      <c r="Z92" s="64">
        <v>3807.9076207277189</v>
      </c>
      <c r="AA92" s="64">
        <v>5560.046848773839</v>
      </c>
      <c r="AB92" s="64">
        <v>6823.7931395169426</v>
      </c>
      <c r="AC92" s="64">
        <v>8252.4072801333605</v>
      </c>
      <c r="AD92" s="64">
        <v>9677.0804776571349</v>
      </c>
      <c r="AE92" s="64">
        <v>10454.827633408733</v>
      </c>
    </row>
    <row r="93" spans="2:31" ht="15.75">
      <c r="B93" s="79"/>
    </row>
    <row r="94" spans="2:31" ht="15.75">
      <c r="B94" s="79" t="s">
        <v>114</v>
      </c>
      <c r="Q94" s="64">
        <v>0</v>
      </c>
      <c r="R94" s="159">
        <v>-467</v>
      </c>
      <c r="S94" s="159">
        <v>-342</v>
      </c>
      <c r="T94" s="64">
        <v>-235.05077318530792</v>
      </c>
      <c r="U94" s="64">
        <v>-349.56801818467443</v>
      </c>
      <c r="V94" s="64">
        <v>-453.16882363453414</v>
      </c>
      <c r="W94" s="64">
        <v>-222.04944643734871</v>
      </c>
      <c r="X94" s="64">
        <v>76.046394713386206</v>
      </c>
      <c r="Y94" s="64">
        <v>325.57404286727433</v>
      </c>
      <c r="Z94" s="64">
        <v>580.60829526922873</v>
      </c>
      <c r="AA94" s="64">
        <v>847.76461091424574</v>
      </c>
      <c r="AB94" s="64">
        <v>1040.4535237248303</v>
      </c>
      <c r="AC94" s="64">
        <v>1258.2805572026791</v>
      </c>
      <c r="AD94" s="64">
        <v>1475.5066978861971</v>
      </c>
      <c r="AE94" s="64">
        <v>1594.093201348991</v>
      </c>
    </row>
    <row r="95" spans="2:31" ht="15.75">
      <c r="B95" s="79" t="s">
        <v>7819</v>
      </c>
      <c r="Q95" s="101">
        <v>0.28000000000000003</v>
      </c>
      <c r="R95" s="69">
        <v>0.14825396825396825</v>
      </c>
      <c r="S95" s="69">
        <v>0.15247436469014714</v>
      </c>
      <c r="T95" s="101">
        <v>0.15247436469014714</v>
      </c>
      <c r="U95" s="101">
        <v>0.15247436469014714</v>
      </c>
      <c r="V95" s="101">
        <v>0.15247436469014714</v>
      </c>
      <c r="W95" s="101">
        <v>0.15247436469014714</v>
      </c>
      <c r="X95" s="101">
        <v>0.15247436469014714</v>
      </c>
      <c r="Y95" s="101">
        <v>0.15247436469014714</v>
      </c>
      <c r="Z95" s="101">
        <v>0.15247436469014714</v>
      </c>
      <c r="AA95" s="101">
        <v>0.15247436469014714</v>
      </c>
      <c r="AB95" s="101">
        <v>0.15247436469014714</v>
      </c>
      <c r="AC95" s="101">
        <v>0.15247436469014714</v>
      </c>
      <c r="AD95" s="101">
        <v>0.15247436469014714</v>
      </c>
      <c r="AE95" s="101">
        <v>0.15247436469014714</v>
      </c>
    </row>
    <row r="96" spans="2:31" ht="15.75">
      <c r="B96" s="79"/>
    </row>
    <row r="97" spans="2:31" ht="15.75">
      <c r="B97" s="79" t="s">
        <v>38</v>
      </c>
      <c r="Q97" s="64">
        <v>-2734.7572060254452</v>
      </c>
      <c r="R97" s="64">
        <v>-2683</v>
      </c>
      <c r="S97" s="64">
        <v>-1901</v>
      </c>
      <c r="T97" s="64">
        <v>-1306.5249117697963</v>
      </c>
      <c r="U97" s="64">
        <v>-1943.0666741785556</v>
      </c>
      <c r="V97" s="64">
        <v>-2518.9296307872787</v>
      </c>
      <c r="W97" s="64">
        <v>-1234.257303150292</v>
      </c>
      <c r="X97" s="64">
        <v>422.70232850920218</v>
      </c>
      <c r="Y97" s="64">
        <v>1809.6966534815451</v>
      </c>
      <c r="Z97" s="64">
        <v>3227.2993254584903</v>
      </c>
      <c r="AA97" s="64">
        <v>4712.2822378595929</v>
      </c>
      <c r="AB97" s="64">
        <v>5783.3396157921125</v>
      </c>
      <c r="AC97" s="64">
        <v>6994.1267229306814</v>
      </c>
      <c r="AD97" s="64">
        <v>8201.5737797709371</v>
      </c>
      <c r="AE97" s="64">
        <v>8860.7344320597422</v>
      </c>
    </row>
    <row r="98" spans="2:31" ht="15.75">
      <c r="B98" s="79"/>
    </row>
    <row r="99" spans="2:31" ht="15.75">
      <c r="B99" s="79" t="s">
        <v>374</v>
      </c>
      <c r="Q99" s="64">
        <v>0</v>
      </c>
      <c r="R99" s="64">
        <v>0</v>
      </c>
      <c r="S99" s="64">
        <v>0</v>
      </c>
      <c r="T99" s="64">
        <v>0</v>
      </c>
      <c r="U99" s="64">
        <v>0</v>
      </c>
      <c r="V99" s="64">
        <v>0</v>
      </c>
      <c r="W99" s="64">
        <v>0</v>
      </c>
      <c r="X99" s="64">
        <v>76.046394713386206</v>
      </c>
      <c r="Y99" s="64">
        <v>325.57404286727433</v>
      </c>
      <c r="Z99" s="64">
        <v>580.60829526922873</v>
      </c>
      <c r="AA99" s="64">
        <v>847.76461091424574</v>
      </c>
      <c r="AB99" s="64">
        <v>1040.4535237248303</v>
      </c>
      <c r="AC99" s="64">
        <v>1258.2805572026791</v>
      </c>
      <c r="AD99" s="64">
        <v>1475.5066978861971</v>
      </c>
      <c r="AE99" s="64">
        <v>1594.093201348991</v>
      </c>
    </row>
    <row r="100" spans="2:31" ht="15.75">
      <c r="B100" s="79" t="s">
        <v>7820</v>
      </c>
      <c r="Q100" s="64">
        <v>-6163.869670025445</v>
      </c>
      <c r="R100" s="64">
        <v>-8707.988690000002</v>
      </c>
      <c r="S100" s="64">
        <v>-3147.9993100000002</v>
      </c>
      <c r="T100" s="64">
        <v>-1857.4339878966955</v>
      </c>
      <c r="U100" s="64">
        <v>-3559.4140800924774</v>
      </c>
      <c r="V100" s="64">
        <v>-4736.3271743584974</v>
      </c>
      <c r="W100" s="64">
        <v>-3520.1919773433051</v>
      </c>
      <c r="X100" s="64">
        <v>-1561.3400119855978</v>
      </c>
      <c r="Y100" s="64">
        <v>-205.22152298773699</v>
      </c>
      <c r="Z100" s="64">
        <v>2451.4748247724951</v>
      </c>
      <c r="AA100" s="64">
        <v>4712.2822378595929</v>
      </c>
      <c r="AB100" s="64">
        <v>5783.3396157921125</v>
      </c>
      <c r="AC100" s="64">
        <v>6994.1267229306814</v>
      </c>
      <c r="AD100" s="64">
        <v>8201.5737797709371</v>
      </c>
      <c r="AE100" s="64">
        <v>8860.7344320597422</v>
      </c>
    </row>
    <row r="101" spans="2:31" ht="15.75">
      <c r="B101" s="254" t="s">
        <v>7821</v>
      </c>
      <c r="C101" s="255"/>
      <c r="D101" s="255"/>
      <c r="E101" s="255"/>
      <c r="F101" s="255"/>
      <c r="G101" s="255"/>
      <c r="H101" s="255"/>
      <c r="I101" s="255"/>
      <c r="J101" s="255"/>
      <c r="K101" s="255"/>
      <c r="L101" s="255"/>
      <c r="M101" s="255"/>
      <c r="N101" s="255"/>
      <c r="O101" s="255"/>
      <c r="P101" s="255"/>
      <c r="Q101" s="256"/>
      <c r="R101" s="256">
        <v>826.74163997455253</v>
      </c>
      <c r="S101" s="256">
        <v>6.899999998495332E-4</v>
      </c>
      <c r="T101" s="256">
        <v>0</v>
      </c>
      <c r="U101" s="256">
        <v>0</v>
      </c>
      <c r="V101" s="256">
        <v>0</v>
      </c>
      <c r="W101" s="256">
        <v>0</v>
      </c>
      <c r="X101" s="256">
        <v>0</v>
      </c>
      <c r="Y101" s="256">
        <v>4.5474735088646412E-13</v>
      </c>
      <c r="Z101" s="256">
        <v>0</v>
      </c>
      <c r="AA101" s="256">
        <v>0</v>
      </c>
      <c r="AB101" s="256">
        <v>0</v>
      </c>
      <c r="AC101" s="256">
        <v>0</v>
      </c>
      <c r="AD101" s="256">
        <v>0</v>
      </c>
      <c r="AE101" s="256">
        <v>0</v>
      </c>
    </row>
    <row r="102" spans="2:31" ht="15.75">
      <c r="B102" s="79"/>
    </row>
    <row r="103" spans="2:31" ht="16.5" thickBot="1">
      <c r="B103" s="79" t="s">
        <v>7822</v>
      </c>
      <c r="Q103" s="64">
        <v>19935.099999999999</v>
      </c>
      <c r="R103" s="64">
        <v>0</v>
      </c>
      <c r="S103" s="64">
        <v>3175</v>
      </c>
      <c r="T103" s="64">
        <v>3327.5</v>
      </c>
      <c r="U103" s="64">
        <v>4779.6559561128524</v>
      </c>
      <c r="V103" s="64">
        <v>6597.5000000000009</v>
      </c>
      <c r="W103" s="64">
        <v>6614.9999999999991</v>
      </c>
      <c r="X103" s="64">
        <v>6256.25</v>
      </c>
      <c r="Y103" s="64">
        <v>5775</v>
      </c>
      <c r="Z103" s="64">
        <v>5907</v>
      </c>
      <c r="AA103" s="64">
        <v>0</v>
      </c>
      <c r="AB103" s="64">
        <v>0</v>
      </c>
      <c r="AC103" s="64">
        <v>0</v>
      </c>
      <c r="AD103" s="64">
        <v>0</v>
      </c>
      <c r="AE103" s="64">
        <v>0</v>
      </c>
    </row>
    <row r="104" spans="2:31" ht="16.5" thickBot="1">
      <c r="B104" s="79" t="s">
        <v>7823</v>
      </c>
      <c r="Q104" s="85">
        <v>1602.5</v>
      </c>
      <c r="R104" s="88">
        <v>0</v>
      </c>
      <c r="S104" s="88">
        <v>248.8244514106583</v>
      </c>
      <c r="T104" s="85">
        <v>250</v>
      </c>
      <c r="U104" s="257">
        <v>301.1755485893417</v>
      </c>
      <c r="V104" s="85">
        <v>350</v>
      </c>
      <c r="W104" s="85">
        <v>350</v>
      </c>
      <c r="X104" s="85">
        <v>325</v>
      </c>
      <c r="Y104" s="85">
        <v>300</v>
      </c>
      <c r="Z104" s="257">
        <v>275</v>
      </c>
      <c r="AA104" s="85">
        <v>0</v>
      </c>
      <c r="AB104" s="85">
        <v>0</v>
      </c>
      <c r="AC104" s="85">
        <v>0</v>
      </c>
      <c r="AD104" s="85">
        <v>0</v>
      </c>
      <c r="AE104" s="85">
        <v>0</v>
      </c>
    </row>
    <row r="105" spans="2:31" ht="15.75">
      <c r="B105" s="79"/>
      <c r="R105" s="253"/>
      <c r="S105" s="253"/>
    </row>
    <row r="106" spans="2:31" ht="15.75">
      <c r="B106" s="79" t="s">
        <v>7824</v>
      </c>
      <c r="P106" s="64">
        <v>11998.5</v>
      </c>
      <c r="Q106" s="64">
        <v>-1772.7303299745545</v>
      </c>
      <c r="R106" s="64">
        <v>7762</v>
      </c>
      <c r="S106" s="64">
        <v>7735</v>
      </c>
      <c r="T106" s="64">
        <v>0</v>
      </c>
      <c r="U106" s="64">
        <v>5044.6921118763203</v>
      </c>
      <c r="V106" s="64">
        <v>3183.5192862348167</v>
      </c>
      <c r="W106" s="64">
        <v>88.711263578122271</v>
      </c>
      <c r="X106" s="64">
        <v>-4606.1987244362799</v>
      </c>
      <c r="Y106" s="64">
        <v>-10175.977201448542</v>
      </c>
      <c r="Z106" s="64">
        <v>-18534.452026221035</v>
      </c>
      <c r="AA106" s="64">
        <v>-23246.734264080627</v>
      </c>
      <c r="AB106" s="64">
        <v>-29030.07387987274</v>
      </c>
      <c r="AC106" s="64">
        <v>-36024.200602803423</v>
      </c>
      <c r="AD106" s="64">
        <v>-44225.77438257436</v>
      </c>
      <c r="AE106" s="64">
        <v>-53086.5088146341</v>
      </c>
    </row>
    <row r="107" spans="2:31" ht="15.75">
      <c r="B107" s="79" t="s">
        <v>7825</v>
      </c>
      <c r="P107" s="159">
        <v>950</v>
      </c>
      <c r="Q107" s="64">
        <v>-142.50243810084842</v>
      </c>
      <c r="R107" s="64">
        <v>589.81762917933133</v>
      </c>
      <c r="S107" s="64">
        <v>606.19122257053289</v>
      </c>
      <c r="T107" s="64">
        <v>470.69376317781325</v>
      </c>
      <c r="U107" s="64">
        <v>317.87599948811095</v>
      </c>
      <c r="V107" s="64">
        <v>168.88696478699291</v>
      </c>
      <c r="W107" s="64">
        <v>4.6937176496360991</v>
      </c>
      <c r="X107" s="64">
        <v>-239.28305062006649</v>
      </c>
      <c r="Y107" s="64">
        <v>-528.62219228304116</v>
      </c>
      <c r="Z107" s="64">
        <v>-862.87020606243175</v>
      </c>
      <c r="AA107" s="64">
        <v>-1145.9766882502215</v>
      </c>
      <c r="AB107" s="64">
        <v>-1443.5640914904395</v>
      </c>
      <c r="AC107" s="64">
        <v>-2035.2655707798544</v>
      </c>
      <c r="AD107" s="64">
        <v>-2416.7089826543365</v>
      </c>
      <c r="AE107" s="64">
        <v>-2766.3631482352316</v>
      </c>
    </row>
    <row r="108" spans="2:31">
      <c r="T108" s="253"/>
    </row>
    <row r="109" spans="2:31" ht="15.75">
      <c r="B109" s="79" t="s">
        <v>7826</v>
      </c>
      <c r="P109" s="64">
        <v>12630</v>
      </c>
      <c r="Q109" s="64">
        <v>9952</v>
      </c>
      <c r="R109" s="159">
        <v>8514</v>
      </c>
      <c r="S109" s="159">
        <v>8837</v>
      </c>
      <c r="T109" s="64">
        <v>8837</v>
      </c>
      <c r="U109" s="64">
        <v>8837</v>
      </c>
      <c r="V109" s="64">
        <v>8837</v>
      </c>
      <c r="W109" s="64">
        <v>8837</v>
      </c>
      <c r="X109" s="64">
        <v>8837</v>
      </c>
      <c r="Y109" s="64">
        <v>8837</v>
      </c>
      <c r="Z109" s="64">
        <v>8837</v>
      </c>
      <c r="AA109" s="64">
        <v>8837</v>
      </c>
      <c r="AB109" s="64">
        <v>8837</v>
      </c>
      <c r="AC109" s="64">
        <v>8837</v>
      </c>
      <c r="AD109" s="64">
        <v>8837</v>
      </c>
      <c r="AE109" s="64">
        <v>8837</v>
      </c>
    </row>
    <row r="110" spans="2:31" ht="15.75">
      <c r="B110" s="79" t="s">
        <v>7827</v>
      </c>
      <c r="P110" s="64">
        <v>1000</v>
      </c>
      <c r="Q110" s="64">
        <v>800</v>
      </c>
      <c r="R110" s="64">
        <v>646.96048632218844</v>
      </c>
      <c r="S110" s="64">
        <v>692.55485893416926</v>
      </c>
      <c r="T110" s="64">
        <v>663.93688955672428</v>
      </c>
      <c r="U110" s="64">
        <v>556.83679899180845</v>
      </c>
      <c r="V110" s="64">
        <v>468.80636604774531</v>
      </c>
      <c r="W110" s="64">
        <v>467.56613756613763</v>
      </c>
      <c r="X110" s="64">
        <v>459.06493506493507</v>
      </c>
      <c r="Y110" s="64">
        <v>459.06493506493507</v>
      </c>
      <c r="Z110" s="64">
        <v>411.40595903165735</v>
      </c>
      <c r="AA110" s="64">
        <v>435.63090965920304</v>
      </c>
      <c r="AB110" s="64">
        <v>439.43311785181504</v>
      </c>
      <c r="AC110" s="64">
        <v>499.26553672316385</v>
      </c>
      <c r="AD110" s="64">
        <v>482.89617486338796</v>
      </c>
      <c r="AE110" s="64">
        <v>460.500260552371</v>
      </c>
    </row>
    <row r="111" spans="2:31" ht="15.75">
      <c r="B111" s="79"/>
      <c r="P111" s="64"/>
      <c r="Q111" s="64"/>
      <c r="R111" s="64"/>
      <c r="S111" s="64"/>
      <c r="T111" s="64"/>
      <c r="U111" s="64"/>
      <c r="V111" s="64"/>
      <c r="W111" s="64"/>
      <c r="X111" s="64"/>
      <c r="Y111" s="64"/>
      <c r="Z111" s="64"/>
      <c r="AA111" s="64"/>
      <c r="AB111" s="64"/>
      <c r="AC111" s="64"/>
      <c r="AD111" s="64"/>
      <c r="AE111" s="64"/>
    </row>
    <row r="112" spans="2:31" ht="15.75">
      <c r="B112" s="79" t="s">
        <v>7828</v>
      </c>
      <c r="P112" s="64">
        <v>631.5</v>
      </c>
      <c r="Q112" s="64">
        <v>11724.730329974553</v>
      </c>
      <c r="R112" s="159">
        <v>752</v>
      </c>
      <c r="S112" s="159">
        <v>1102</v>
      </c>
      <c r="T112" s="64">
        <v>2572.0660121033052</v>
      </c>
      <c r="U112" s="64">
        <v>3792.3078881236797</v>
      </c>
      <c r="V112" s="64">
        <v>5653.4807137651833</v>
      </c>
      <c r="W112" s="64">
        <v>8748.2887364218768</v>
      </c>
      <c r="X112" s="64">
        <v>13443.198724436279</v>
      </c>
      <c r="Y112" s="64">
        <v>19012.977201448542</v>
      </c>
      <c r="Z112" s="64">
        <v>27371.452026221035</v>
      </c>
      <c r="AA112" s="64">
        <v>32083.734264080627</v>
      </c>
      <c r="AB112" s="64">
        <v>37867.07387987274</v>
      </c>
      <c r="AC112" s="64">
        <v>44861.200602803423</v>
      </c>
      <c r="AD112" s="64">
        <v>53062.77438257436</v>
      </c>
      <c r="AE112" s="64">
        <v>61923.5088146341</v>
      </c>
    </row>
    <row r="113" spans="2:31" ht="15.75">
      <c r="B113" s="79" t="s">
        <v>7829</v>
      </c>
      <c r="P113" s="64">
        <v>50</v>
      </c>
      <c r="Q113" s="64">
        <v>942.50243810084839</v>
      </c>
      <c r="R113" s="64">
        <v>57.142857142857139</v>
      </c>
      <c r="S113" s="64">
        <v>86.36363636363636</v>
      </c>
      <c r="T113" s="64">
        <v>193.24312637891103</v>
      </c>
      <c r="U113" s="64">
        <v>238.9607995036975</v>
      </c>
      <c r="V113" s="64">
        <v>299.91940126075241</v>
      </c>
      <c r="W113" s="64">
        <v>462.87241991650154</v>
      </c>
      <c r="X113" s="64">
        <v>698.3479856850015</v>
      </c>
      <c r="Y113" s="64">
        <v>987.68712734797623</v>
      </c>
      <c r="Z113" s="64">
        <v>1274.276165094089</v>
      </c>
      <c r="AA113" s="64">
        <v>1581.6075979094246</v>
      </c>
      <c r="AB113" s="64">
        <v>1882.9972093422546</v>
      </c>
      <c r="AC113" s="64">
        <v>2534.5311075030181</v>
      </c>
      <c r="AD113" s="64">
        <v>2899.6051575177244</v>
      </c>
      <c r="AE113" s="64">
        <v>3226.8634087876026</v>
      </c>
    </row>
    <row r="115" spans="2:31" ht="15.75">
      <c r="B115" s="79" t="s">
        <v>41</v>
      </c>
      <c r="P115" s="64"/>
      <c r="Q115" s="82">
        <v>-3.8772357612617392</v>
      </c>
      <c r="R115" s="82">
        <v>33.747826086956522</v>
      </c>
      <c r="S115" s="82">
        <v>6.019455252918287</v>
      </c>
      <c r="T115" s="82">
        <v>3.4626008541913542</v>
      </c>
      <c r="U115" s="82">
        <v>4.7056578304119796</v>
      </c>
      <c r="V115" s="82">
        <v>4.3429899387876265</v>
      </c>
      <c r="W115" s="82">
        <v>3.4796038269568653E-2</v>
      </c>
      <c r="X115" s="82">
        <v>-0.93637682489558938</v>
      </c>
      <c r="Y115" s="82">
        <v>-1.4692311078125042</v>
      </c>
      <c r="Z115" s="82">
        <v>-2.0977510820081418</v>
      </c>
      <c r="AA115" s="82">
        <v>-2.1871073848753579</v>
      </c>
      <c r="AB115" s="82">
        <v>-2.4300179196635026</v>
      </c>
      <c r="AC115" s="82">
        <v>-2.6995690492728479</v>
      </c>
      <c r="AD115" s="82">
        <v>-3.0658776440857323</v>
      </c>
      <c r="AE115" s="82">
        <v>-3.6434438116821224</v>
      </c>
    </row>
    <row r="116" spans="2:31" ht="15.75">
      <c r="B116" s="79"/>
      <c r="P116" s="64"/>
      <c r="Q116" s="82"/>
      <c r="R116" s="82"/>
      <c r="S116" s="82"/>
      <c r="T116" s="82"/>
      <c r="U116" s="82"/>
      <c r="V116" s="82"/>
      <c r="W116" s="82"/>
      <c r="X116" s="82"/>
      <c r="Y116" s="82"/>
      <c r="Z116" s="82"/>
      <c r="AA116" s="82"/>
      <c r="AB116" s="82"/>
      <c r="AC116" s="82"/>
      <c r="AD116" s="82"/>
      <c r="AE116" s="82"/>
    </row>
    <row r="117" spans="2:31" ht="15.75">
      <c r="B117" s="91" t="s">
        <v>7830</v>
      </c>
      <c r="C117" s="105"/>
      <c r="D117" s="105"/>
      <c r="E117" s="105"/>
      <c r="F117" s="105"/>
      <c r="G117" s="105"/>
      <c r="H117" s="105"/>
      <c r="I117" s="105"/>
      <c r="J117" s="105"/>
      <c r="K117" s="105"/>
      <c r="L117" s="105"/>
      <c r="M117" s="105"/>
      <c r="N117" s="105"/>
      <c r="O117" s="105"/>
      <c r="P117" s="105">
        <v>2010</v>
      </c>
      <c r="Q117" s="105">
        <v>2011</v>
      </c>
      <c r="R117" s="105">
        <v>2012</v>
      </c>
      <c r="S117" s="105">
        <v>2013</v>
      </c>
      <c r="T117" s="105">
        <v>2014</v>
      </c>
      <c r="U117" s="105">
        <v>2015</v>
      </c>
      <c r="V117" s="105">
        <v>2016</v>
      </c>
      <c r="W117" s="105">
        <v>2017</v>
      </c>
      <c r="X117" s="105">
        <v>2018</v>
      </c>
      <c r="Y117" s="105">
        <v>2019</v>
      </c>
      <c r="Z117" s="105">
        <v>2020</v>
      </c>
      <c r="AA117" s="105">
        <v>2021</v>
      </c>
      <c r="AB117" s="105">
        <v>2022</v>
      </c>
      <c r="AC117" s="105">
        <v>2023</v>
      </c>
      <c r="AD117" s="105">
        <v>2024</v>
      </c>
      <c r="AE117" s="105">
        <v>2025</v>
      </c>
    </row>
    <row r="118" spans="2:31" ht="15.75">
      <c r="B118" s="79" t="s">
        <v>36</v>
      </c>
      <c r="C118" s="106"/>
      <c r="D118" s="106"/>
      <c r="E118" s="106"/>
      <c r="F118" s="106"/>
      <c r="G118" s="106"/>
      <c r="H118" s="106"/>
      <c r="I118" s="106"/>
      <c r="J118" s="106"/>
      <c r="K118" s="106"/>
      <c r="L118" s="106"/>
      <c r="M118" s="106"/>
      <c r="N118" s="106"/>
      <c r="O118" s="106"/>
      <c r="P118" s="106"/>
      <c r="Q118" s="107">
        <v>-376.72457401929262</v>
      </c>
      <c r="R118" s="107">
        <v>-558.12983966565355</v>
      </c>
      <c r="S118" s="107">
        <v>-156.66138793103451</v>
      </c>
      <c r="T118" s="107">
        <v>-56.363174470132094</v>
      </c>
      <c r="U118" s="107">
        <v>-160.51174901826184</v>
      </c>
      <c r="V118" s="107">
        <v>-203.35354112511791</v>
      </c>
      <c r="W118" s="107">
        <v>-147.74370954958692</v>
      </c>
      <c r="X118" s="107">
        <v>-53.659997456707252</v>
      </c>
      <c r="Y118" s="107">
        <v>10.891546152128473</v>
      </c>
      <c r="Z118" s="107">
        <v>122.38340173692228</v>
      </c>
      <c r="AA118" s="107">
        <v>231.42066018087178</v>
      </c>
      <c r="AB118" s="107">
        <v>277.8239024809443</v>
      </c>
      <c r="AC118" s="107">
        <v>370.83361854771664</v>
      </c>
      <c r="AD118" s="107">
        <v>407.15876131905287</v>
      </c>
      <c r="AE118" s="107">
        <v>397.35871183972495</v>
      </c>
    </row>
    <row r="119" spans="2:31" ht="15.75">
      <c r="B119" s="91" t="s">
        <v>114</v>
      </c>
      <c r="C119" s="105"/>
      <c r="D119" s="105"/>
      <c r="E119" s="105"/>
      <c r="F119" s="105"/>
      <c r="G119" s="105"/>
      <c r="H119" s="105"/>
      <c r="I119" s="105"/>
      <c r="J119" s="105"/>
      <c r="K119" s="105"/>
      <c r="L119" s="105"/>
      <c r="M119" s="105"/>
      <c r="N119" s="105"/>
      <c r="O119" s="105"/>
      <c r="P119" s="105"/>
      <c r="Q119" s="108">
        <v>0</v>
      </c>
      <c r="R119" s="108">
        <v>35.486322188449847</v>
      </c>
      <c r="S119" s="108">
        <v>26.802507836990596</v>
      </c>
      <c r="T119" s="108">
        <v>17.659712485748152</v>
      </c>
      <c r="U119" s="108">
        <v>22.026970269985789</v>
      </c>
      <c r="V119" s="108">
        <v>24.040786399710033</v>
      </c>
      <c r="W119" s="108">
        <v>11.74864795964808</v>
      </c>
      <c r="X119" s="108">
        <v>-3.9504620630330498</v>
      </c>
      <c r="Y119" s="108">
        <v>-16.912937291806458</v>
      </c>
      <c r="Z119" s="108">
        <v>-27.030181344005062</v>
      </c>
      <c r="AA119" s="108">
        <v>-41.791611251494082</v>
      </c>
      <c r="AB119" s="108">
        <v>-51.738116545242683</v>
      </c>
      <c r="AC119" s="108">
        <v>-71.08929701710052</v>
      </c>
      <c r="AD119" s="108">
        <v>-80.628781305256666</v>
      </c>
      <c r="AE119" s="108">
        <v>-83.068952649765023</v>
      </c>
    </row>
    <row r="120" spans="2:31" ht="15.75">
      <c r="B120" s="79" t="s">
        <v>47</v>
      </c>
      <c r="C120" s="106"/>
      <c r="D120" s="106"/>
      <c r="E120" s="106"/>
      <c r="F120" s="106"/>
      <c r="G120" s="106"/>
      <c r="H120" s="106"/>
      <c r="I120" s="106"/>
      <c r="J120" s="106"/>
      <c r="K120" s="106"/>
      <c r="L120" s="106"/>
      <c r="M120" s="106"/>
      <c r="N120" s="106"/>
      <c r="O120" s="106"/>
      <c r="P120" s="106"/>
      <c r="Q120" s="107">
        <v>-376.72457401929262</v>
      </c>
      <c r="R120" s="107">
        <v>-522.64351747720366</v>
      </c>
      <c r="S120" s="107">
        <v>-129.85888009404391</v>
      </c>
      <c r="T120" s="107">
        <v>-38.703461984383942</v>
      </c>
      <c r="U120" s="107">
        <v>-138.48477874827606</v>
      </c>
      <c r="V120" s="107">
        <v>-179.31275472540787</v>
      </c>
      <c r="W120" s="107">
        <v>-135.99506158993884</v>
      </c>
      <c r="X120" s="107">
        <v>-57.610459519740303</v>
      </c>
      <c r="Y120" s="107">
        <v>-6.0213911396779842</v>
      </c>
      <c r="Z120" s="107">
        <v>95.353220392917223</v>
      </c>
      <c r="AA120" s="107">
        <v>189.62904892937769</v>
      </c>
      <c r="AB120" s="107">
        <v>226.08578593570161</v>
      </c>
      <c r="AC120" s="107">
        <v>299.74432153061611</v>
      </c>
      <c r="AD120" s="107">
        <v>326.52998001379621</v>
      </c>
      <c r="AE120" s="107">
        <v>314.28975918995991</v>
      </c>
    </row>
    <row r="121" spans="2:31">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row>
    <row r="122" spans="2:31" ht="15.75">
      <c r="B122" s="66" t="s">
        <v>110</v>
      </c>
      <c r="F122" s="106"/>
      <c r="G122" s="106"/>
      <c r="H122" s="106"/>
      <c r="I122" s="106"/>
      <c r="J122" s="106"/>
      <c r="K122" s="106"/>
      <c r="L122" s="106"/>
      <c r="M122" s="106"/>
      <c r="N122" s="106"/>
      <c r="O122" s="116">
        <v>8.1429999999999989E-2</v>
      </c>
      <c r="Q122" s="106"/>
      <c r="R122" s="106"/>
      <c r="S122" s="106"/>
      <c r="T122" s="106"/>
      <c r="U122" s="106"/>
      <c r="V122" s="106"/>
      <c r="W122" s="106"/>
      <c r="X122" s="106"/>
      <c r="Y122" s="106"/>
      <c r="Z122" s="106"/>
      <c r="AA122" s="106"/>
      <c r="AB122" s="106"/>
      <c r="AC122" s="106"/>
      <c r="AD122" s="106"/>
      <c r="AE122" s="106"/>
    </row>
    <row r="123" spans="2:31" ht="15.75">
      <c r="B123" s="66" t="s">
        <v>123</v>
      </c>
      <c r="F123" s="106"/>
      <c r="G123" s="106"/>
      <c r="H123" s="106"/>
      <c r="I123" s="106"/>
      <c r="J123" s="106"/>
      <c r="K123" s="106"/>
      <c r="L123" s="106"/>
      <c r="M123" s="106"/>
      <c r="N123" s="106"/>
      <c r="O123" s="75">
        <v>1.4999999999999999E-2</v>
      </c>
      <c r="Q123" s="106"/>
      <c r="R123" s="106"/>
      <c r="S123" s="106"/>
      <c r="T123" s="106"/>
      <c r="U123" s="106"/>
      <c r="V123" s="106"/>
      <c r="W123" s="106"/>
      <c r="X123" s="106"/>
      <c r="Y123" s="106"/>
      <c r="Z123" s="106"/>
      <c r="AA123" s="106"/>
      <c r="AB123" s="106"/>
      <c r="AC123" s="106"/>
      <c r="AD123" s="106"/>
      <c r="AE123" s="106"/>
    </row>
    <row r="124" spans="2:31" ht="15.75">
      <c r="B124" s="66" t="s">
        <v>7831</v>
      </c>
      <c r="F124" s="106"/>
      <c r="G124" s="106"/>
      <c r="H124" s="106"/>
      <c r="I124" s="106"/>
      <c r="J124" s="106"/>
      <c r="K124" s="106"/>
      <c r="L124" s="106"/>
      <c r="M124" s="106"/>
      <c r="N124" s="106"/>
      <c r="O124" s="64">
        <v>446.98639853000083</v>
      </c>
      <c r="Q124" s="106"/>
      <c r="R124" s="106"/>
      <c r="S124" s="106"/>
      <c r="T124" s="106"/>
      <c r="U124" s="106"/>
      <c r="V124" s="106"/>
      <c r="W124" s="106"/>
      <c r="X124" s="106"/>
      <c r="Y124" s="106"/>
      <c r="Z124" s="106"/>
      <c r="AA124" s="106"/>
      <c r="AB124" s="106"/>
      <c r="AC124" s="106"/>
      <c r="AD124" s="106"/>
      <c r="AE124" s="106"/>
    </row>
    <row r="125" spans="2:31" ht="15.75">
      <c r="B125" s="66"/>
      <c r="F125" s="106"/>
      <c r="G125" s="106"/>
      <c r="H125" s="106"/>
      <c r="I125" s="106"/>
      <c r="J125" s="106"/>
      <c r="K125" s="106"/>
      <c r="L125" s="106"/>
      <c r="M125" s="106"/>
      <c r="N125" s="106"/>
      <c r="O125" s="66"/>
      <c r="Q125" s="106"/>
      <c r="R125" s="106"/>
      <c r="S125" s="106"/>
      <c r="T125" s="106"/>
      <c r="U125" s="106"/>
      <c r="V125" s="106"/>
      <c r="W125" s="106"/>
      <c r="X125" s="106"/>
      <c r="Y125" s="106"/>
      <c r="Z125" s="106"/>
      <c r="AA125" s="106"/>
      <c r="AB125" s="106"/>
      <c r="AC125" s="106"/>
      <c r="AD125" s="106"/>
      <c r="AE125" s="106"/>
    </row>
    <row r="126" spans="2:31" ht="15.75">
      <c r="B126" s="66" t="s">
        <v>680</v>
      </c>
      <c r="F126" s="106"/>
      <c r="G126" s="106"/>
      <c r="H126" s="106"/>
      <c r="I126" s="106"/>
      <c r="J126" s="106"/>
      <c r="K126" s="106"/>
      <c r="L126" s="106"/>
      <c r="M126" s="106"/>
      <c r="N126" s="106"/>
      <c r="O126" s="112">
        <v>15.05343971097396</v>
      </c>
      <c r="Q126" s="106"/>
      <c r="R126" s="106"/>
      <c r="S126" s="106"/>
      <c r="T126" s="106"/>
      <c r="U126" s="106"/>
      <c r="V126" s="106"/>
      <c r="W126" s="106"/>
      <c r="X126" s="106"/>
      <c r="Y126" s="106"/>
      <c r="Z126" s="106"/>
      <c r="AA126" s="106"/>
      <c r="AB126" s="106"/>
      <c r="AC126" s="106"/>
      <c r="AD126" s="106"/>
      <c r="AE126" s="106"/>
    </row>
    <row r="127" spans="2:31" ht="15.75">
      <c r="B127" s="66" t="s">
        <v>6</v>
      </c>
      <c r="F127" s="106"/>
      <c r="G127" s="106"/>
      <c r="H127" s="106"/>
      <c r="I127" s="106"/>
      <c r="J127" s="106"/>
      <c r="K127" s="106"/>
      <c r="L127" s="106"/>
      <c r="M127" s="106"/>
      <c r="N127" s="106"/>
      <c r="O127" s="64">
        <v>4731.1419417425859</v>
      </c>
      <c r="Q127" s="106"/>
      <c r="R127" s="106"/>
      <c r="S127" s="106"/>
      <c r="T127" s="106"/>
      <c r="U127" s="106"/>
      <c r="V127" s="106"/>
      <c r="W127" s="106"/>
      <c r="X127" s="106"/>
      <c r="Y127" s="106"/>
      <c r="Z127" s="106"/>
      <c r="AA127" s="106"/>
      <c r="AB127" s="106"/>
      <c r="AC127" s="106"/>
      <c r="AD127" s="106"/>
      <c r="AE127" s="106"/>
    </row>
    <row r="128" spans="2:31" ht="15.75">
      <c r="B128" s="67" t="s">
        <v>7832</v>
      </c>
      <c r="F128" s="106"/>
      <c r="G128" s="106"/>
      <c r="H128" s="106"/>
      <c r="I128" s="106"/>
      <c r="J128" s="106"/>
      <c r="K128" s="106"/>
      <c r="L128" s="106"/>
      <c r="M128" s="106"/>
      <c r="N128" s="106"/>
      <c r="O128" s="110">
        <v>2162.628120860662</v>
      </c>
      <c r="Q128" s="106"/>
      <c r="R128" s="106"/>
      <c r="S128" s="106"/>
      <c r="T128" s="106"/>
      <c r="U128" s="106"/>
      <c r="V128" s="106"/>
      <c r="W128" s="106"/>
      <c r="X128" s="106"/>
      <c r="Y128" s="106"/>
      <c r="Z128" s="106"/>
      <c r="AA128" s="106"/>
      <c r="AB128" s="106"/>
      <c r="AC128" s="106"/>
      <c r="AD128" s="106"/>
      <c r="AE128" s="106"/>
    </row>
    <row r="129" spans="2:18" ht="15.75">
      <c r="B129" s="66" t="s">
        <v>77</v>
      </c>
      <c r="O129" s="64">
        <v>2609.6145193906627</v>
      </c>
    </row>
    <row r="130" spans="2:18" ht="16.5">
      <c r="B130" s="115"/>
      <c r="O130" s="115"/>
    </row>
    <row r="131" spans="2:18" ht="15.75">
      <c r="B131" s="66" t="s">
        <v>7833</v>
      </c>
      <c r="O131" s="64">
        <v>317.87599948811095</v>
      </c>
    </row>
    <row r="132" spans="2:18" ht="15.75">
      <c r="B132" s="67" t="s">
        <v>7834</v>
      </c>
      <c r="O132" s="110">
        <v>0</v>
      </c>
    </row>
    <row r="133" spans="2:18" ht="15.75">
      <c r="B133" s="66" t="s">
        <v>92</v>
      </c>
      <c r="O133" s="64">
        <v>2291.7385199025516</v>
      </c>
    </row>
    <row r="134" spans="2:18">
      <c r="O134" s="182"/>
    </row>
    <row r="135" spans="2:18">
      <c r="B135" s="106" t="s">
        <v>7835</v>
      </c>
    </row>
    <row r="136" spans="2:18" ht="15.75">
      <c r="B136" s="106" t="s">
        <v>7836</v>
      </c>
      <c r="O136" s="64">
        <v>1500</v>
      </c>
    </row>
    <row r="137" spans="2:18" ht="15.75">
      <c r="B137" s="106" t="s">
        <v>7693</v>
      </c>
      <c r="O137" s="64">
        <v>3000</v>
      </c>
    </row>
    <row r="139" spans="2:18" ht="15.75">
      <c r="B139" s="106" t="s">
        <v>7837</v>
      </c>
      <c r="O139" s="64">
        <v>950</v>
      </c>
    </row>
    <row r="140" spans="2:18" ht="15.75">
      <c r="B140" s="105" t="s">
        <v>7838</v>
      </c>
      <c r="O140" s="110">
        <v>-550</v>
      </c>
    </row>
    <row r="141" spans="2:18" ht="15.75">
      <c r="B141" s="106" t="s">
        <v>1245</v>
      </c>
      <c r="O141" s="64">
        <v>2450</v>
      </c>
    </row>
    <row r="142" spans="2:18">
      <c r="O142" s="109"/>
    </row>
    <row r="144" spans="2:18" ht="15.75">
      <c r="B144" s="67" t="s">
        <v>7839</v>
      </c>
      <c r="P144" s="67"/>
      <c r="Q144" s="67">
        <v>2012</v>
      </c>
      <c r="R144" s="67">
        <v>2013</v>
      </c>
    </row>
    <row r="145" spans="2:18" ht="15.75">
      <c r="B145" s="66" t="s">
        <v>33</v>
      </c>
      <c r="P145" s="66"/>
      <c r="Q145" s="66">
        <v>17382</v>
      </c>
      <c r="R145" s="66">
        <v>19582</v>
      </c>
    </row>
    <row r="146" spans="2:18" ht="15.75">
      <c r="B146" s="66"/>
      <c r="P146" s="66"/>
      <c r="Q146" s="66"/>
      <c r="R146" s="66"/>
    </row>
    <row r="147" spans="2:18" ht="15.75">
      <c r="B147" s="66" t="s">
        <v>34</v>
      </c>
      <c r="P147" s="66"/>
      <c r="Q147" s="66">
        <v>230</v>
      </c>
      <c r="R147" s="66">
        <v>1285</v>
      </c>
    </row>
    <row r="148" spans="2:18" ht="15.75">
      <c r="B148" s="66" t="s">
        <v>548</v>
      </c>
      <c r="P148" s="66"/>
      <c r="Q148" s="116">
        <v>1.3232079162351858E-2</v>
      </c>
      <c r="R148" s="116">
        <v>6.5621489122663676E-2</v>
      </c>
    </row>
    <row r="149" spans="2:18" ht="15.75">
      <c r="B149" s="66" t="s">
        <v>552</v>
      </c>
      <c r="P149" s="66"/>
      <c r="Q149" s="66">
        <v>2017</v>
      </c>
      <c r="R149" s="66">
        <v>2379</v>
      </c>
    </row>
    <row r="150" spans="2:18" ht="15.75">
      <c r="B150" s="66" t="s">
        <v>904</v>
      </c>
      <c r="P150" s="66"/>
      <c r="Q150" s="66">
        <v>-1787</v>
      </c>
      <c r="R150" s="66">
        <v>-1094</v>
      </c>
    </row>
    <row r="151" spans="2:18" ht="15.75">
      <c r="B151" s="66" t="s">
        <v>1041</v>
      </c>
      <c r="P151" s="66"/>
      <c r="Q151" s="66">
        <v>-1363</v>
      </c>
      <c r="R151" s="66">
        <v>-1149</v>
      </c>
    </row>
    <row r="152" spans="2:18" ht="15.75">
      <c r="B152" s="66" t="s">
        <v>114</v>
      </c>
      <c r="P152" s="66"/>
      <c r="Q152" s="66">
        <v>467</v>
      </c>
      <c r="R152" s="66">
        <v>342</v>
      </c>
    </row>
    <row r="153" spans="2:18" ht="15.75">
      <c r="B153" s="66" t="s">
        <v>716</v>
      </c>
      <c r="P153" s="66"/>
      <c r="Q153" s="66">
        <v>0</v>
      </c>
      <c r="R153" s="66">
        <v>0</v>
      </c>
    </row>
    <row r="154" spans="2:18" ht="15.75">
      <c r="B154" s="66" t="s">
        <v>38</v>
      </c>
      <c r="P154" s="66"/>
      <c r="Q154" s="66">
        <v>-2683</v>
      </c>
      <c r="R154" s="66">
        <v>-1901</v>
      </c>
    </row>
    <row r="155" spans="2:18" ht="15.75">
      <c r="B155" s="66"/>
      <c r="P155" s="66"/>
      <c r="Q155" s="66"/>
      <c r="R155" s="66"/>
    </row>
    <row r="157" spans="2:18" ht="15.75">
      <c r="B157" s="241">
        <v>0.5</v>
      </c>
    </row>
    <row r="158" spans="2:18" ht="15.75">
      <c r="B158" s="66" t="s">
        <v>7840</v>
      </c>
      <c r="Q158" s="66">
        <v>18072</v>
      </c>
      <c r="R158" s="66">
        <v>13828</v>
      </c>
    </row>
    <row r="159" spans="2:18" ht="15.75">
      <c r="B159" s="66" t="s">
        <v>7841</v>
      </c>
      <c r="Q159" s="71">
        <v>1398.7616099071208</v>
      </c>
      <c r="R159" s="71">
        <v>1056.3789152024447</v>
      </c>
    </row>
  </sheetData>
  <pageMargins left="0.70866141732283472" right="0.70866141732283472" top="0.74803149606299213" bottom="0.74803149606299213" header="0.31496062992125984" footer="0.31496062992125984"/>
  <pageSetup paperSize="9" scale="37"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CD293"/>
  <sheetViews>
    <sheetView topLeftCell="B33" zoomScaleNormal="100" workbookViewId="0">
      <pane xSplit="1" topLeftCell="C1" activePane="topRight" state="frozen"/>
      <selection activeCell="B202" sqref="B202"/>
      <selection pane="topRight" activeCell="J40" sqref="J40"/>
    </sheetView>
  </sheetViews>
  <sheetFormatPr defaultRowHeight="15" outlineLevelRow="1" outlineLevelCol="1"/>
  <cols>
    <col min="2" max="2" width="27.85546875" customWidth="1"/>
    <col min="3" max="6" width="9.140625" customWidth="1" outlineLevel="1"/>
    <col min="7" max="14" width="9.140625" customWidth="1"/>
    <col min="17" max="17" width="9.140625" customWidth="1"/>
    <col min="20" max="30" width="9.140625" customWidth="1" outlineLevel="1"/>
    <col min="45" max="60" width="8.5703125" customWidth="1"/>
  </cols>
  <sheetData>
    <row r="2" spans="2:50" ht="15.75">
      <c r="B2" s="402" t="s">
        <v>2239</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row>
    <row r="3" spans="2:50" ht="15.75">
      <c r="B3" s="66"/>
      <c r="C3" s="66"/>
      <c r="D3" s="66"/>
      <c r="E3" s="66"/>
      <c r="F3" s="66"/>
      <c r="G3" s="66"/>
      <c r="H3" s="66"/>
      <c r="I3" s="66"/>
      <c r="J3" s="66"/>
      <c r="K3" s="69"/>
      <c r="L3" s="66"/>
      <c r="M3" s="69"/>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row>
    <row r="4" spans="2:50" ht="15.75">
      <c r="B4" s="67" t="s">
        <v>7842</v>
      </c>
      <c r="C4" s="67">
        <v>2010</v>
      </c>
      <c r="D4" s="67">
        <v>2011</v>
      </c>
      <c r="E4" s="67">
        <f>D4+1</f>
        <v>2012</v>
      </c>
      <c r="F4" s="67">
        <f t="shared" ref="F4:K4" si="0">E4+1</f>
        <v>2013</v>
      </c>
      <c r="G4" s="67">
        <f t="shared" si="0"/>
        <v>2014</v>
      </c>
      <c r="H4" s="67">
        <f t="shared" si="0"/>
        <v>2015</v>
      </c>
      <c r="I4" s="67">
        <f t="shared" si="0"/>
        <v>2016</v>
      </c>
      <c r="J4" s="67">
        <f t="shared" si="0"/>
        <v>2017</v>
      </c>
      <c r="K4" s="67">
        <f t="shared" si="0"/>
        <v>2018</v>
      </c>
      <c r="L4" s="67">
        <f t="shared" ref="L4:R4" si="1">K4+1</f>
        <v>2019</v>
      </c>
      <c r="M4" s="67">
        <f t="shared" si="1"/>
        <v>2020</v>
      </c>
      <c r="N4" s="67">
        <f t="shared" si="1"/>
        <v>2021</v>
      </c>
      <c r="O4" s="67">
        <f t="shared" si="1"/>
        <v>2022</v>
      </c>
      <c r="P4" s="67">
        <f t="shared" si="1"/>
        <v>2023</v>
      </c>
      <c r="Q4" s="67">
        <f t="shared" si="1"/>
        <v>2024</v>
      </c>
      <c r="R4" s="67">
        <f t="shared" si="1"/>
        <v>2025</v>
      </c>
      <c r="AI4" s="66"/>
      <c r="AJ4" s="66"/>
      <c r="AK4" s="66"/>
      <c r="AL4" s="66"/>
      <c r="AM4" s="66"/>
      <c r="AN4" s="66"/>
      <c r="AO4" s="66"/>
      <c r="AP4" s="66"/>
      <c r="AQ4" s="66"/>
    </row>
    <row r="5" spans="2:50" ht="15.75">
      <c r="B5" s="66" t="s">
        <v>33</v>
      </c>
      <c r="C5" s="114">
        <f>SUM(C218:F218)</f>
        <v>2245.1999999999998</v>
      </c>
      <c r="D5" s="124">
        <f>SUM(G218:J218)</f>
        <v>2273.5</v>
      </c>
      <c r="E5" s="124">
        <v>2442</v>
      </c>
      <c r="F5" s="124">
        <v>2627.6</v>
      </c>
      <c r="G5" s="124">
        <v>2911</v>
      </c>
      <c r="H5" s="124">
        <v>2858.4</v>
      </c>
      <c r="I5" s="124">
        <v>3042</v>
      </c>
      <c r="J5" s="124">
        <v>3016.4</v>
      </c>
      <c r="K5" s="124">
        <v>2713.8</v>
      </c>
      <c r="L5" s="124">
        <v>2678.9</v>
      </c>
      <c r="M5" s="124">
        <v>2541.9</v>
      </c>
      <c r="N5" s="125">
        <f>(1+N6)*M5</f>
        <v>2859.6375000000003</v>
      </c>
      <c r="O5" s="125">
        <f>(1+O6)*N5</f>
        <v>3288.5831250000001</v>
      </c>
      <c r="P5" s="125">
        <f>(1+P6)*O5</f>
        <v>3453.0122812500003</v>
      </c>
      <c r="Q5" s="125">
        <f>(1+Q6)*P5</f>
        <v>3556.6026496875006</v>
      </c>
      <c r="R5" s="125">
        <f>(1+R6)*Q5</f>
        <v>3627.7347026812508</v>
      </c>
      <c r="S5" s="69">
        <f>(M5/G5)^(1/6)-1</f>
        <v>-2.2344061510023105E-2</v>
      </c>
      <c r="AI5" s="66">
        <v>2013</v>
      </c>
      <c r="AJ5" s="66"/>
      <c r="AK5" s="66"/>
      <c r="AL5" s="66"/>
      <c r="AM5" s="66"/>
      <c r="AN5" s="66"/>
      <c r="AO5" s="66"/>
      <c r="AP5" s="66"/>
      <c r="AQ5" s="66"/>
      <c r="AR5" s="66">
        <f>AI5+1</f>
        <v>2014</v>
      </c>
      <c r="AS5" s="66">
        <f t="shared" ref="AS5:AX5" si="2">AR5+1</f>
        <v>2015</v>
      </c>
      <c r="AT5" s="66">
        <f t="shared" si="2"/>
        <v>2016</v>
      </c>
      <c r="AU5" s="66">
        <f t="shared" si="2"/>
        <v>2017</v>
      </c>
      <c r="AV5" s="66">
        <f t="shared" si="2"/>
        <v>2018</v>
      </c>
      <c r="AW5" s="66">
        <f t="shared" si="2"/>
        <v>2019</v>
      </c>
      <c r="AX5" s="66">
        <f t="shared" si="2"/>
        <v>2020</v>
      </c>
    </row>
    <row r="6" spans="2:50" ht="15.75">
      <c r="B6" s="66" t="s">
        <v>192</v>
      </c>
      <c r="C6" s="66"/>
      <c r="D6" s="69">
        <f t="shared" ref="D6:M6" si="3">D5/C5-1</f>
        <v>1.260466773561375E-2</v>
      </c>
      <c r="E6" s="69">
        <f t="shared" si="3"/>
        <v>7.4114800967671091E-2</v>
      </c>
      <c r="F6" s="69">
        <f t="shared" si="3"/>
        <v>7.6003276003276055E-2</v>
      </c>
      <c r="G6" s="69">
        <f t="shared" si="3"/>
        <v>0.10785507687623697</v>
      </c>
      <c r="H6" s="69">
        <f t="shared" si="3"/>
        <v>-1.8069391961525239E-2</v>
      </c>
      <c r="I6" s="69">
        <f t="shared" si="3"/>
        <v>6.4231738035264385E-2</v>
      </c>
      <c r="J6" s="69">
        <f t="shared" si="3"/>
        <v>-8.4155161078237617E-3</v>
      </c>
      <c r="K6" s="69">
        <f t="shared" si="3"/>
        <v>-0.10031826017769518</v>
      </c>
      <c r="L6" s="69">
        <f t="shared" si="3"/>
        <v>-1.286019603508004E-2</v>
      </c>
      <c r="M6" s="69">
        <f t="shared" si="3"/>
        <v>-5.1140393445070709E-2</v>
      </c>
      <c r="N6" s="117">
        <v>0.125</v>
      </c>
      <c r="O6" s="117">
        <v>0.15</v>
      </c>
      <c r="P6" s="117">
        <v>0.05</v>
      </c>
      <c r="Q6" s="117">
        <v>0.03</v>
      </c>
      <c r="R6" s="117">
        <v>0.02</v>
      </c>
      <c r="AH6" t="s">
        <v>7843</v>
      </c>
      <c r="AI6" s="69"/>
      <c r="AJ6" s="69"/>
      <c r="AK6" s="69"/>
      <c r="AL6" s="69"/>
      <c r="AM6" s="69"/>
      <c r="AN6" s="69"/>
      <c r="AO6" s="69"/>
      <c r="AP6" s="69"/>
      <c r="AQ6" s="69"/>
      <c r="AR6" s="69"/>
      <c r="AS6" s="69">
        <f>G6-G7</f>
        <v>0.10785507687623697</v>
      </c>
      <c r="AT6" s="69"/>
      <c r="AU6" s="69"/>
      <c r="AV6" s="69"/>
      <c r="AW6" s="69"/>
      <c r="AX6" s="69"/>
    </row>
    <row r="7" spans="2:50" ht="15.75">
      <c r="B7" s="66"/>
      <c r="C7" s="66"/>
      <c r="D7" s="66"/>
      <c r="E7" s="66"/>
      <c r="F7" s="66"/>
      <c r="G7" s="69"/>
      <c r="H7" s="66"/>
      <c r="I7" s="66"/>
      <c r="J7" s="66"/>
      <c r="K7" s="66"/>
      <c r="L7" s="66"/>
      <c r="M7" s="66"/>
      <c r="N7" s="66"/>
      <c r="O7" s="66"/>
      <c r="P7" s="66"/>
      <c r="Q7" s="66"/>
      <c r="R7" s="66"/>
      <c r="AH7" s="106" t="s">
        <v>33</v>
      </c>
      <c r="AI7" s="69">
        <f>AVERAGE(BA242:BD242)</f>
        <v>7.5528299286319822E-2</v>
      </c>
      <c r="AJ7" s="69"/>
      <c r="AK7" s="69"/>
      <c r="AL7" s="69"/>
      <c r="AM7" s="69"/>
      <c r="AN7" s="69"/>
      <c r="AO7" s="69"/>
      <c r="AP7" s="69"/>
      <c r="AQ7" s="69"/>
      <c r="AR7" s="69">
        <f>G7</f>
        <v>0</v>
      </c>
      <c r="AS7" s="69">
        <f t="shared" ref="AS7:AX7" si="4">H6</f>
        <v>-1.8069391961525239E-2</v>
      </c>
      <c r="AT7" s="69">
        <f t="shared" si="4"/>
        <v>6.4231738035264385E-2</v>
      </c>
      <c r="AU7" s="69">
        <f t="shared" si="4"/>
        <v>-8.4155161078237617E-3</v>
      </c>
      <c r="AV7" s="69">
        <f t="shared" si="4"/>
        <v>-0.10031826017769518</v>
      </c>
      <c r="AW7" s="69">
        <f t="shared" si="4"/>
        <v>-1.286019603508004E-2</v>
      </c>
      <c r="AX7" s="69">
        <f t="shared" si="4"/>
        <v>-5.1140393445070709E-2</v>
      </c>
    </row>
    <row r="8" spans="2:50" ht="15.75">
      <c r="B8" s="141" t="s">
        <v>7844</v>
      </c>
      <c r="C8" s="66"/>
      <c r="D8" s="66"/>
      <c r="E8" s="66"/>
      <c r="F8" s="66"/>
      <c r="G8" s="125">
        <f>G10*G5</f>
        <v>640.41999999999996</v>
      </c>
      <c r="H8" s="125">
        <f t="shared" ref="H8:R8" si="5">(1+H9)*G8</f>
        <v>691.65359999999998</v>
      </c>
      <c r="I8" s="125">
        <f t="shared" si="5"/>
        <v>778.11029999999994</v>
      </c>
      <c r="J8" s="125">
        <f t="shared" si="5"/>
        <v>875.37408749999997</v>
      </c>
      <c r="K8" s="125">
        <f t="shared" si="5"/>
        <v>984.79584843750001</v>
      </c>
      <c r="L8" s="125">
        <f t="shared" si="5"/>
        <v>1107.8953294921876</v>
      </c>
      <c r="M8" s="125">
        <f t="shared" si="5"/>
        <v>1246.3822456787111</v>
      </c>
      <c r="N8" s="125">
        <f t="shared" si="5"/>
        <v>1383.4842927033694</v>
      </c>
      <c r="O8" s="125">
        <f t="shared" si="5"/>
        <v>1521.8327219737064</v>
      </c>
      <c r="P8" s="125">
        <f t="shared" si="5"/>
        <v>1658.79766695134</v>
      </c>
      <c r="Q8" s="125">
        <f t="shared" si="5"/>
        <v>1791.5014803074473</v>
      </c>
      <c r="R8" s="125">
        <f t="shared" si="5"/>
        <v>1934.8215987320432</v>
      </c>
      <c r="S8" s="69">
        <f>(M8/G8)^(1/6)-1</f>
        <v>0.1173718551269316</v>
      </c>
      <c r="AH8" s="106"/>
      <c r="AI8" s="69"/>
      <c r="AJ8" s="69"/>
      <c r="AK8" s="69"/>
      <c r="AL8" s="69"/>
      <c r="AM8" s="69"/>
      <c r="AN8" s="69"/>
      <c r="AO8" s="69"/>
      <c r="AP8" s="69"/>
      <c r="AQ8" s="69"/>
      <c r="AR8" s="69"/>
      <c r="AS8" s="69"/>
      <c r="AT8" s="69"/>
      <c r="AU8" s="69"/>
      <c r="AV8" s="69"/>
      <c r="AW8" s="69"/>
      <c r="AX8" s="69"/>
    </row>
    <row r="9" spans="2:50" ht="15.75">
      <c r="B9" s="141" t="s">
        <v>192</v>
      </c>
      <c r="C9" s="66"/>
      <c r="D9" s="66"/>
      <c r="E9" s="66"/>
      <c r="F9" s="66"/>
      <c r="G9" s="125"/>
      <c r="H9" s="117">
        <v>0.08</v>
      </c>
      <c r="I9" s="117">
        <v>0.125</v>
      </c>
      <c r="J9" s="117">
        <v>0.125</v>
      </c>
      <c r="K9" s="117">
        <v>0.125</v>
      </c>
      <c r="L9" s="117">
        <v>0.125</v>
      </c>
      <c r="M9" s="117">
        <v>0.125</v>
      </c>
      <c r="N9" s="117">
        <v>0.11</v>
      </c>
      <c r="O9" s="117">
        <v>0.1</v>
      </c>
      <c r="P9" s="117">
        <v>0.09</v>
      </c>
      <c r="Q9" s="117">
        <v>0.08</v>
      </c>
      <c r="R9" s="117">
        <v>0.08</v>
      </c>
      <c r="AH9" s="106"/>
      <c r="AI9" s="69"/>
      <c r="AJ9" s="69"/>
      <c r="AK9" s="69"/>
      <c r="AL9" s="69"/>
      <c r="AM9" s="69"/>
      <c r="AN9" s="69"/>
      <c r="AO9" s="69"/>
      <c r="AP9" s="69"/>
      <c r="AQ9" s="69"/>
      <c r="AR9" s="69"/>
      <c r="AS9" s="69"/>
      <c r="AT9" s="69"/>
      <c r="AU9" s="69"/>
      <c r="AV9" s="69"/>
      <c r="AW9" s="69"/>
      <c r="AX9" s="69"/>
    </row>
    <row r="10" spans="2:50" ht="15.75">
      <c r="B10" s="141" t="s">
        <v>592</v>
      </c>
      <c r="C10" s="66"/>
      <c r="D10" s="66"/>
      <c r="E10" s="66"/>
      <c r="F10" s="66"/>
      <c r="G10" s="75">
        <v>0.22</v>
      </c>
      <c r="H10" s="69">
        <f t="shared" ref="H10:R10" si="6">H8/H5</f>
        <v>0.24197229219143576</v>
      </c>
      <c r="I10" s="69">
        <f t="shared" si="6"/>
        <v>0.25578905325443785</v>
      </c>
      <c r="J10" s="69">
        <f t="shared" si="6"/>
        <v>0.29020490899748042</v>
      </c>
      <c r="K10" s="69">
        <f t="shared" si="6"/>
        <v>0.36288446032776916</v>
      </c>
      <c r="L10" s="69">
        <f t="shared" si="6"/>
        <v>0.41356352588457485</v>
      </c>
      <c r="M10" s="69">
        <f t="shared" si="6"/>
        <v>0.49033488558901256</v>
      </c>
      <c r="N10" s="69">
        <f t="shared" si="6"/>
        <v>0.48379708711449243</v>
      </c>
      <c r="O10" s="69">
        <f t="shared" si="6"/>
        <v>0.46276243115299276</v>
      </c>
      <c r="P10" s="69">
        <f t="shared" si="6"/>
        <v>0.48039147614929723</v>
      </c>
      <c r="Q10" s="69">
        <f t="shared" si="6"/>
        <v>0.50371145071965151</v>
      </c>
      <c r="R10" s="69">
        <f t="shared" si="6"/>
        <v>0.53334153605610157</v>
      </c>
      <c r="S10" s="69"/>
      <c r="AH10" s="106"/>
      <c r="AI10" s="69"/>
      <c r="AJ10" s="69"/>
      <c r="AK10" s="69"/>
      <c r="AL10" s="69"/>
      <c r="AM10" s="69"/>
      <c r="AN10" s="69"/>
      <c r="AO10" s="69"/>
      <c r="AP10" s="69"/>
      <c r="AQ10" s="69"/>
      <c r="AR10" s="69"/>
      <c r="AS10" s="69"/>
      <c r="AT10" s="69"/>
      <c r="AU10" s="69"/>
      <c r="AV10" s="69"/>
      <c r="AW10" s="69"/>
      <c r="AX10" s="69"/>
    </row>
    <row r="11" spans="2:50" ht="15.75">
      <c r="B11" s="141" t="s">
        <v>7845</v>
      </c>
      <c r="C11" s="66"/>
      <c r="D11" s="66"/>
      <c r="E11" s="66"/>
      <c r="F11" s="66"/>
      <c r="G11" s="125">
        <f>G5-G8</f>
        <v>2270.58</v>
      </c>
      <c r="H11" s="125">
        <f t="shared" ref="H11:M11" si="7">H5-H8</f>
        <v>2166.7464</v>
      </c>
      <c r="I11" s="125">
        <f t="shared" si="7"/>
        <v>2263.8897000000002</v>
      </c>
      <c r="J11" s="125">
        <f t="shared" si="7"/>
        <v>2141.0259125000002</v>
      </c>
      <c r="K11" s="125">
        <f t="shared" si="7"/>
        <v>1729.0041515625003</v>
      </c>
      <c r="L11" s="125">
        <f t="shared" si="7"/>
        <v>1571.0046705078125</v>
      </c>
      <c r="M11" s="125">
        <f t="shared" si="7"/>
        <v>1295.517754321289</v>
      </c>
      <c r="N11" s="125">
        <f>N5-N8</f>
        <v>1476.1532072966309</v>
      </c>
      <c r="O11" s="125">
        <f>O5-O8</f>
        <v>1766.7504030262937</v>
      </c>
      <c r="P11" s="125">
        <f>P5-P8</f>
        <v>1794.2146142986603</v>
      </c>
      <c r="Q11" s="125">
        <f>Q5-Q8</f>
        <v>1765.1011693800533</v>
      </c>
      <c r="R11" s="125">
        <f>R5-R8</f>
        <v>1692.9131039492077</v>
      </c>
      <c r="S11" s="69">
        <f>(M11/G11)^(1/6)-1</f>
        <v>-8.9280937859790743E-2</v>
      </c>
      <c r="AH11" s="106"/>
      <c r="AI11" s="69"/>
      <c r="AJ11" s="69"/>
      <c r="AK11" s="69"/>
      <c r="AL11" s="69"/>
      <c r="AM11" s="69"/>
      <c r="AN11" s="69"/>
      <c r="AO11" s="69"/>
      <c r="AP11" s="69"/>
      <c r="AQ11" s="69"/>
      <c r="AR11" s="69"/>
      <c r="AS11" s="69"/>
      <c r="AT11" s="69"/>
      <c r="AU11" s="69"/>
      <c r="AV11" s="69"/>
      <c r="AW11" s="69"/>
      <c r="AX11" s="69"/>
    </row>
    <row r="12" spans="2:50" ht="15.75">
      <c r="B12" s="141" t="s">
        <v>192</v>
      </c>
      <c r="C12" s="66"/>
      <c r="D12" s="66"/>
      <c r="E12" s="66"/>
      <c r="F12" s="66"/>
      <c r="G12" s="125"/>
      <c r="H12" s="69">
        <f t="shared" ref="H12:M12" si="8">H11/G11-1</f>
        <v>-4.5729989694263118E-2</v>
      </c>
      <c r="I12" s="69">
        <f t="shared" si="8"/>
        <v>4.4833719349897327E-2</v>
      </c>
      <c r="J12" s="69">
        <f t="shared" si="8"/>
        <v>-5.4271101414525624E-2</v>
      </c>
      <c r="K12" s="69">
        <f t="shared" si="8"/>
        <v>-0.19244127711485604</v>
      </c>
      <c r="L12" s="69">
        <f t="shared" si="8"/>
        <v>-9.1381782346736218E-2</v>
      </c>
      <c r="M12" s="69">
        <f t="shared" si="8"/>
        <v>-0.17535715924859407</v>
      </c>
      <c r="N12" s="69">
        <f>N11/M11-1</f>
        <v>0.13943109029021006</v>
      </c>
      <c r="O12" s="69">
        <f>O11/N11-1</f>
        <v>0.19686113493724089</v>
      </c>
      <c r="P12" s="69">
        <f>P11/O11-1</f>
        <v>1.5545043162476624E-2</v>
      </c>
      <c r="Q12" s="69">
        <f>Q11/P11-1</f>
        <v>-1.6226289032868602E-2</v>
      </c>
      <c r="R12" s="69">
        <f>R11/Q11-1</f>
        <v>-4.0897409555396669E-2</v>
      </c>
      <c r="AH12" s="106"/>
      <c r="AI12" s="69"/>
      <c r="AJ12" s="69"/>
      <c r="AK12" s="69"/>
      <c r="AL12" s="69"/>
      <c r="AM12" s="69"/>
      <c r="AN12" s="69"/>
      <c r="AO12" s="69"/>
      <c r="AP12" s="69"/>
      <c r="AQ12" s="69"/>
      <c r="AR12" s="69"/>
      <c r="AS12" s="69"/>
      <c r="AT12" s="69"/>
      <c r="AU12" s="69"/>
      <c r="AV12" s="69"/>
      <c r="AW12" s="69"/>
      <c r="AX12" s="69"/>
    </row>
    <row r="13" spans="2:50" ht="15.75">
      <c r="B13" s="66"/>
      <c r="C13" s="66"/>
      <c r="D13" s="66"/>
      <c r="E13" s="66"/>
      <c r="F13" s="66"/>
      <c r="G13" s="69"/>
      <c r="H13" s="69"/>
      <c r="I13" s="66"/>
      <c r="J13" s="66"/>
      <c r="K13" s="66"/>
      <c r="L13" s="66"/>
      <c r="M13" s="66"/>
      <c r="N13" s="66"/>
      <c r="O13" s="66"/>
      <c r="P13" s="66"/>
      <c r="Q13" s="66"/>
      <c r="R13" s="66"/>
      <c r="AH13" s="106"/>
      <c r="AI13" s="69"/>
      <c r="AJ13" s="69"/>
      <c r="AK13" s="69"/>
      <c r="AL13" s="69"/>
      <c r="AM13" s="69"/>
      <c r="AN13" s="69"/>
      <c r="AO13" s="69"/>
      <c r="AP13" s="69"/>
      <c r="AQ13" s="69"/>
      <c r="AR13" s="69"/>
      <c r="AS13" s="69"/>
      <c r="AT13" s="69"/>
      <c r="AU13" s="69"/>
      <c r="AV13" s="69"/>
      <c r="AW13" s="69"/>
      <c r="AX13" s="69"/>
    </row>
    <row r="14" spans="2:50" ht="15.75">
      <c r="B14" s="66" t="s">
        <v>214</v>
      </c>
      <c r="C14" s="114">
        <f>SUM(C235:F235)</f>
        <v>943.4</v>
      </c>
      <c r="D14" s="124">
        <f>SUM(G235:J235)</f>
        <v>933.90000000000009</v>
      </c>
      <c r="E14" s="124">
        <f>SUM(K235:N235)</f>
        <v>1003.2</v>
      </c>
      <c r="F14" s="124">
        <f>SUM(O235:R235)</f>
        <v>1120.3999999999999</v>
      </c>
      <c r="G14" s="124">
        <f>SUM(S235:V235)</f>
        <v>1240.8</v>
      </c>
      <c r="H14" s="124">
        <v>1311.8</v>
      </c>
      <c r="I14" s="124">
        <v>1333.1</v>
      </c>
      <c r="J14" s="124">
        <v>1288.0999999999999</v>
      </c>
      <c r="K14" s="124">
        <v>1022.8</v>
      </c>
      <c r="L14" s="125">
        <f t="shared" ref="L14:R14" si="9">L16+L17</f>
        <v>977.79849999999999</v>
      </c>
      <c r="M14" s="125">
        <f t="shared" si="9"/>
        <v>838.82700000000011</v>
      </c>
      <c r="N14" s="125">
        <f t="shared" si="9"/>
        <v>1029.4695000000002</v>
      </c>
      <c r="O14" s="125">
        <f t="shared" si="9"/>
        <v>1167.4470093749999</v>
      </c>
      <c r="P14" s="125">
        <f t="shared" si="9"/>
        <v>1208.5542984374999</v>
      </c>
      <c r="Q14" s="125">
        <f t="shared" si="9"/>
        <v>1244.8109273906252</v>
      </c>
      <c r="R14" s="125">
        <f t="shared" si="9"/>
        <v>1269.7071459384376</v>
      </c>
      <c r="AH14" s="106" t="s">
        <v>34</v>
      </c>
      <c r="AI14" s="69">
        <f>AVERAGE(BA244:BD244)</f>
        <v>0.15692665180741749</v>
      </c>
      <c r="AJ14" s="69"/>
      <c r="AK14" s="69"/>
      <c r="AL14" s="69"/>
      <c r="AM14" s="69"/>
      <c r="AN14" s="69"/>
      <c r="AO14" s="69"/>
      <c r="AP14" s="69"/>
      <c r="AQ14" s="69"/>
      <c r="AR14" s="69" t="e">
        <f>#REF!</f>
        <v>#REF!</v>
      </c>
      <c r="AS14" s="69" t="e">
        <f>#REF!</f>
        <v>#REF!</v>
      </c>
      <c r="AT14" s="69" t="e">
        <f>#REF!</f>
        <v>#REF!</v>
      </c>
      <c r="AU14" s="69" t="e">
        <f>#REF!</f>
        <v>#REF!</v>
      </c>
      <c r="AV14" s="69" t="e">
        <f>#REF!</f>
        <v>#REF!</v>
      </c>
      <c r="AW14" s="69" t="e">
        <f>#REF!</f>
        <v>#REF!</v>
      </c>
      <c r="AX14" s="69" t="e">
        <f>#REF!</f>
        <v>#REF!</v>
      </c>
    </row>
    <row r="15" spans="2:50" ht="15.75">
      <c r="B15" s="66"/>
      <c r="C15" s="71"/>
      <c r="D15" s="69"/>
      <c r="E15" s="69"/>
      <c r="F15" s="69"/>
      <c r="G15" s="69"/>
      <c r="H15" s="69"/>
      <c r="I15" s="69"/>
      <c r="J15" s="69"/>
      <c r="K15" s="69"/>
      <c r="L15" s="69"/>
      <c r="M15" s="69"/>
      <c r="N15" s="69"/>
      <c r="O15" s="69"/>
      <c r="P15" s="69"/>
      <c r="Q15" s="69"/>
      <c r="R15" s="69"/>
      <c r="AI15" s="66"/>
      <c r="AJ15" s="66"/>
      <c r="AK15" s="66"/>
      <c r="AL15" s="66"/>
      <c r="AM15" s="66"/>
      <c r="AN15" s="66"/>
      <c r="AO15" s="66"/>
      <c r="AP15" s="66"/>
      <c r="AQ15" s="66"/>
    </row>
    <row r="16" spans="2:50" ht="15.75">
      <c r="B16" s="66" t="s">
        <v>7846</v>
      </c>
      <c r="C16" s="71"/>
      <c r="D16" s="69"/>
      <c r="E16" s="69"/>
      <c r="F16" s="69"/>
      <c r="G16" s="125">
        <f>G14-G17</f>
        <v>122.20000000000005</v>
      </c>
      <c r="H16" s="125">
        <f>H14-H17</f>
        <v>106.29999999999995</v>
      </c>
      <c r="I16" s="125">
        <f>I14-I17</f>
        <v>85.299999999999955</v>
      </c>
      <c r="J16" s="125">
        <f>J14-J17</f>
        <v>0</v>
      </c>
      <c r="K16" s="125">
        <f>K14-K17</f>
        <v>32.199999999999932</v>
      </c>
      <c r="L16" s="124">
        <v>0</v>
      </c>
      <c r="M16" s="124">
        <v>0</v>
      </c>
      <c r="N16" s="124">
        <v>0</v>
      </c>
      <c r="O16" s="124">
        <v>0</v>
      </c>
      <c r="P16" s="124">
        <v>0</v>
      </c>
      <c r="Q16" s="124">
        <v>0</v>
      </c>
      <c r="R16" s="124">
        <v>0</v>
      </c>
      <c r="AI16" s="66"/>
      <c r="AJ16" s="66"/>
      <c r="AK16" s="66"/>
      <c r="AL16" s="66"/>
      <c r="AM16" s="66"/>
      <c r="AN16" s="66"/>
      <c r="AO16" s="66"/>
      <c r="AP16" s="66"/>
      <c r="AQ16" s="66"/>
    </row>
    <row r="17" spans="2:43" ht="15.75">
      <c r="B17" s="66" t="s">
        <v>7847</v>
      </c>
      <c r="C17" s="71">
        <f>C14</f>
        <v>943.4</v>
      </c>
      <c r="D17" s="71">
        <f>D14</f>
        <v>933.90000000000009</v>
      </c>
      <c r="E17" s="71">
        <f>E14</f>
        <v>1003.2</v>
      </c>
      <c r="F17" s="71">
        <f>F14</f>
        <v>1120.3999999999999</v>
      </c>
      <c r="G17" s="124">
        <v>1118.5999999999999</v>
      </c>
      <c r="H17" s="124">
        <v>1205.5</v>
      </c>
      <c r="I17" s="124">
        <v>1247.8</v>
      </c>
      <c r="J17" s="124">
        <v>1288.0999999999999</v>
      </c>
      <c r="K17" s="124">
        <v>990.6</v>
      </c>
      <c r="L17" s="125">
        <f t="shared" ref="L17:R17" si="10">L19*L5</f>
        <v>977.79849999999999</v>
      </c>
      <c r="M17" s="125">
        <f t="shared" si="10"/>
        <v>838.82700000000011</v>
      </c>
      <c r="N17" s="125">
        <f t="shared" si="10"/>
        <v>1029.4695000000002</v>
      </c>
      <c r="O17" s="125">
        <f t="shared" si="10"/>
        <v>1167.4470093749999</v>
      </c>
      <c r="P17" s="125">
        <f t="shared" si="10"/>
        <v>1208.5542984374999</v>
      </c>
      <c r="Q17" s="125">
        <f t="shared" si="10"/>
        <v>1244.8109273906252</v>
      </c>
      <c r="R17" s="125">
        <f t="shared" si="10"/>
        <v>1269.7071459384376</v>
      </c>
      <c r="AI17" s="66"/>
      <c r="AJ17" s="66"/>
      <c r="AK17" s="66"/>
      <c r="AL17" s="66"/>
      <c r="AM17" s="66"/>
      <c r="AN17" s="66"/>
      <c r="AO17" s="66"/>
      <c r="AP17" s="66"/>
      <c r="AQ17" s="66"/>
    </row>
    <row r="18" spans="2:43" ht="15.75">
      <c r="B18" s="66" t="s">
        <v>192</v>
      </c>
      <c r="C18" s="71"/>
      <c r="D18" s="69">
        <f>D17/C17-1</f>
        <v>-1.0069959720161004E-2</v>
      </c>
      <c r="E18" s="69">
        <f t="shared" ref="E18:R18" si="11">E17/D17-1</f>
        <v>7.4204946996466292E-2</v>
      </c>
      <c r="F18" s="69">
        <f t="shared" si="11"/>
        <v>0.11682615629984028</v>
      </c>
      <c r="G18" s="69">
        <f t="shared" si="11"/>
        <v>-1.606569082470477E-3</v>
      </c>
      <c r="H18" s="69">
        <f t="shared" si="11"/>
        <v>7.7686393706418722E-2</v>
      </c>
      <c r="I18" s="69">
        <f t="shared" si="11"/>
        <v>3.5089174616341756E-2</v>
      </c>
      <c r="J18" s="69">
        <f t="shared" si="11"/>
        <v>3.2296842442699036E-2</v>
      </c>
      <c r="K18" s="69">
        <f t="shared" si="11"/>
        <v>-0.23096032916699005</v>
      </c>
      <c r="L18" s="69">
        <f t="shared" si="11"/>
        <v>-1.2922975974157147E-2</v>
      </c>
      <c r="M18" s="69">
        <f t="shared" si="11"/>
        <v>-0.1421269310599268</v>
      </c>
      <c r="N18" s="69">
        <f t="shared" si="11"/>
        <v>0.22727272727272729</v>
      </c>
      <c r="O18" s="69">
        <f t="shared" si="11"/>
        <v>0.13402777777777741</v>
      </c>
      <c r="P18" s="69">
        <f t="shared" si="11"/>
        <v>3.5211267605633756E-2</v>
      </c>
      <c r="Q18" s="69">
        <f t="shared" si="11"/>
        <v>3.0000000000000249E-2</v>
      </c>
      <c r="R18" s="69">
        <f t="shared" si="11"/>
        <v>2.0000000000000018E-2</v>
      </c>
      <c r="AI18" s="66"/>
      <c r="AJ18" s="66"/>
      <c r="AK18" s="66"/>
      <c r="AL18" s="66"/>
      <c r="AM18" s="66"/>
      <c r="AN18" s="66"/>
      <c r="AO18" s="66"/>
      <c r="AP18" s="66"/>
      <c r="AQ18" s="66"/>
    </row>
    <row r="19" spans="2:43" ht="15.75">
      <c r="B19" s="66" t="s">
        <v>548</v>
      </c>
      <c r="C19" s="116">
        <f t="shared" ref="C19:K19" si="12">C17/C5</f>
        <v>0.42018528416176737</v>
      </c>
      <c r="D19" s="116">
        <f t="shared" si="12"/>
        <v>0.41077633604574448</v>
      </c>
      <c r="E19" s="116">
        <f t="shared" si="12"/>
        <v>0.41081081081081083</v>
      </c>
      <c r="F19" s="116">
        <f t="shared" si="12"/>
        <v>0.42639671182828431</v>
      </c>
      <c r="G19" s="116">
        <f t="shared" si="12"/>
        <v>0.38426657506011674</v>
      </c>
      <c r="H19" s="116">
        <f t="shared" si="12"/>
        <v>0.42173943464875452</v>
      </c>
      <c r="I19" s="116">
        <f t="shared" si="12"/>
        <v>0.41019066403681786</v>
      </c>
      <c r="J19" s="116">
        <f t="shared" si="12"/>
        <v>0.42703222384299161</v>
      </c>
      <c r="K19" s="116">
        <f t="shared" si="12"/>
        <v>0.36502321468052173</v>
      </c>
      <c r="L19" s="117">
        <v>0.36499999999999999</v>
      </c>
      <c r="M19" s="117">
        <v>0.33</v>
      </c>
      <c r="N19" s="117">
        <v>0.36</v>
      </c>
      <c r="O19" s="117">
        <f>N19-0.5%</f>
        <v>0.35499999999999998</v>
      </c>
      <c r="P19" s="117">
        <f>O19-0.5%</f>
        <v>0.35</v>
      </c>
      <c r="Q19" s="117">
        <f>P19</f>
        <v>0.35</v>
      </c>
      <c r="R19" s="117">
        <f>Q19</f>
        <v>0.35</v>
      </c>
      <c r="AI19" s="66"/>
      <c r="AJ19" s="66"/>
      <c r="AK19" s="66"/>
      <c r="AL19" s="66"/>
      <c r="AM19" s="66"/>
      <c r="AN19" s="66"/>
      <c r="AO19" s="66"/>
      <c r="AP19" s="66"/>
      <c r="AQ19" s="66"/>
    </row>
    <row r="20" spans="2:43" ht="15.75">
      <c r="B20" s="66"/>
      <c r="C20" s="66"/>
      <c r="D20" s="66"/>
      <c r="E20" s="66"/>
      <c r="F20" s="66"/>
      <c r="G20" s="66"/>
      <c r="H20" s="66"/>
      <c r="I20" s="66"/>
      <c r="J20" s="66"/>
      <c r="K20" s="66"/>
      <c r="L20" s="66"/>
      <c r="M20" s="66"/>
      <c r="N20" s="66"/>
      <c r="O20" s="66"/>
      <c r="P20" s="66"/>
      <c r="Q20" s="66"/>
      <c r="R20" s="66"/>
      <c r="AI20" s="66"/>
      <c r="AJ20" s="66"/>
      <c r="AK20" s="66"/>
      <c r="AL20" s="66"/>
      <c r="AM20" s="66"/>
      <c r="AN20" s="66"/>
      <c r="AO20" s="66"/>
      <c r="AP20" s="66"/>
      <c r="AQ20" s="66"/>
    </row>
    <row r="21" spans="2:43" ht="15.75">
      <c r="B21" s="66" t="s">
        <v>7848</v>
      </c>
      <c r="C21" s="66"/>
      <c r="D21" s="66"/>
      <c r="E21" s="66"/>
      <c r="F21" s="66"/>
      <c r="G21" s="125">
        <f>G5-G17</f>
        <v>1792.4</v>
      </c>
      <c r="H21" s="125">
        <f>H5-H17</f>
        <v>1652.9</v>
      </c>
      <c r="I21" s="125">
        <f>I5-I17</f>
        <v>1794.2</v>
      </c>
      <c r="J21" s="125">
        <f>J5-J17</f>
        <v>1728.3000000000002</v>
      </c>
      <c r="K21" s="125">
        <f>K5-K17</f>
        <v>1723.2000000000003</v>
      </c>
      <c r="L21" s="125">
        <f t="shared" ref="L21:R21" si="13">L5-L17</f>
        <v>1701.1015000000002</v>
      </c>
      <c r="M21" s="125">
        <f t="shared" si="13"/>
        <v>1703.0729999999999</v>
      </c>
      <c r="N21" s="125">
        <f t="shared" si="13"/>
        <v>1830.1680000000001</v>
      </c>
      <c r="O21" s="125">
        <f t="shared" si="13"/>
        <v>2121.1361156250005</v>
      </c>
      <c r="P21" s="125">
        <f t="shared" si="13"/>
        <v>2244.4579828125006</v>
      </c>
      <c r="Q21" s="125">
        <f t="shared" si="13"/>
        <v>2311.7917222968754</v>
      </c>
      <c r="R21" s="125">
        <f t="shared" si="13"/>
        <v>2358.0275567428134</v>
      </c>
      <c r="AI21" s="66"/>
      <c r="AJ21" s="66"/>
      <c r="AK21" s="66"/>
      <c r="AL21" s="66"/>
      <c r="AM21" s="66"/>
      <c r="AN21" s="66"/>
      <c r="AO21" s="66"/>
      <c r="AP21" s="66"/>
      <c r="AQ21" s="66"/>
    </row>
    <row r="22" spans="2:43" ht="15.75">
      <c r="B22" s="66" t="s">
        <v>192</v>
      </c>
      <c r="C22" s="66"/>
      <c r="D22" s="66"/>
      <c r="E22" s="66"/>
      <c r="F22" s="66"/>
      <c r="G22" s="125"/>
      <c r="H22" s="125"/>
      <c r="I22" s="116">
        <f>I21/H21-1</f>
        <v>8.548611531248107E-2</v>
      </c>
      <c r="J22" s="116">
        <f>J21/I21-1</f>
        <v>-3.6729461598483892E-2</v>
      </c>
      <c r="K22" s="116">
        <f>K21/J21-1</f>
        <v>-2.9508765839263429E-3</v>
      </c>
      <c r="L22" s="116">
        <f t="shared" ref="L22:R22" si="14">L21/K21-1</f>
        <v>-1.2824106313834793E-2</v>
      </c>
      <c r="M22" s="116">
        <f t="shared" si="14"/>
        <v>1.1589549477204475E-3</v>
      </c>
      <c r="N22" s="116">
        <f t="shared" si="14"/>
        <v>7.4626865671642006E-2</v>
      </c>
      <c r="O22" s="116">
        <f t="shared" si="14"/>
        <v>0.15898437500000018</v>
      </c>
      <c r="P22" s="116">
        <f t="shared" si="14"/>
        <v>5.8139534883721034E-2</v>
      </c>
      <c r="Q22" s="116">
        <f t="shared" si="14"/>
        <v>2.9999999999999805E-2</v>
      </c>
      <c r="R22" s="116">
        <f t="shared" si="14"/>
        <v>2.000000000000024E-2</v>
      </c>
      <c r="AI22" s="66"/>
      <c r="AJ22" s="66"/>
      <c r="AK22" s="66"/>
      <c r="AL22" s="66"/>
      <c r="AM22" s="66"/>
      <c r="AN22" s="66"/>
      <c r="AO22" s="66"/>
      <c r="AP22" s="66"/>
      <c r="AQ22" s="66"/>
    </row>
    <row r="23" spans="2:43" ht="15.75">
      <c r="B23" s="66"/>
      <c r="C23" s="66"/>
      <c r="D23" s="66"/>
      <c r="E23" s="66"/>
      <c r="F23" s="66"/>
      <c r="G23" s="66"/>
      <c r="H23" s="66"/>
      <c r="I23" s="66"/>
      <c r="J23" s="66"/>
      <c r="K23" s="66"/>
      <c r="L23" s="66"/>
      <c r="M23" s="66"/>
      <c r="N23" s="66"/>
      <c r="O23" s="66"/>
      <c r="P23" s="66"/>
      <c r="Q23" s="66"/>
      <c r="R23" s="66"/>
      <c r="AI23" s="66"/>
      <c r="AJ23" s="66"/>
      <c r="AK23" s="66"/>
      <c r="AL23" s="66"/>
      <c r="AM23" s="66"/>
      <c r="AN23" s="66"/>
      <c r="AO23" s="66"/>
      <c r="AP23" s="66"/>
      <c r="AQ23" s="66"/>
    </row>
    <row r="24" spans="2:43" ht="15.75">
      <c r="B24" s="66" t="s">
        <v>7849</v>
      </c>
      <c r="C24" s="71">
        <f t="shared" ref="C24:R24" si="15">(C14+C137)</f>
        <v>1117.8250975999999</v>
      </c>
      <c r="D24" s="125">
        <f t="shared" si="15"/>
        <v>1158.6422955</v>
      </c>
      <c r="E24" s="125">
        <f t="shared" si="15"/>
        <v>1247.8785034740781</v>
      </c>
      <c r="F24" s="125">
        <f t="shared" si="15"/>
        <v>1387.9232709780865</v>
      </c>
      <c r="G24" s="125">
        <f t="shared" si="15"/>
        <v>1544.6161972207374</v>
      </c>
      <c r="H24" s="125">
        <f t="shared" si="15"/>
        <v>1614.1970443613041</v>
      </c>
      <c r="I24" s="125">
        <f t="shared" si="15"/>
        <v>1645.8715018706573</v>
      </c>
      <c r="J24" s="125">
        <f t="shared" si="15"/>
        <v>1590.5515339390699</v>
      </c>
      <c r="K24" s="125">
        <f t="shared" si="15"/>
        <v>1399.4436317477284</v>
      </c>
      <c r="L24" s="125">
        <f t="shared" si="15"/>
        <v>1349.5984208080881</v>
      </c>
      <c r="M24" s="125">
        <f t="shared" si="15"/>
        <v>1191.6129265751165</v>
      </c>
      <c r="N24" s="125">
        <f t="shared" si="15"/>
        <v>1426.3536673970061</v>
      </c>
      <c r="O24" s="125">
        <f t="shared" si="15"/>
        <v>1623.8638018815568</v>
      </c>
      <c r="P24" s="125">
        <f t="shared" si="15"/>
        <v>1687.7919305693847</v>
      </c>
      <c r="Q24" s="125">
        <f t="shared" si="15"/>
        <v>1738.4256884864667</v>
      </c>
      <c r="R24" s="125">
        <f t="shared" si="15"/>
        <v>1773.1942022561959</v>
      </c>
      <c r="AI24" s="66"/>
      <c r="AJ24" s="66"/>
      <c r="AK24" s="66"/>
      <c r="AL24" s="66"/>
      <c r="AM24" s="66"/>
      <c r="AN24" s="66"/>
      <c r="AO24" s="66"/>
      <c r="AP24" s="66"/>
      <c r="AQ24" s="66"/>
    </row>
    <row r="25" spans="2:43" ht="15.75">
      <c r="B25" s="66" t="s">
        <v>548</v>
      </c>
      <c r="C25" s="116">
        <f t="shared" ref="C25:R25" si="16">C24/C5</f>
        <v>0.49787328416176735</v>
      </c>
      <c r="D25" s="116">
        <f t="shared" si="16"/>
        <v>0.50962933604574445</v>
      </c>
      <c r="E25" s="116">
        <f t="shared" si="16"/>
        <v>0.51100675817939312</v>
      </c>
      <c r="F25" s="116">
        <f t="shared" si="16"/>
        <v>0.52820949572921549</v>
      </c>
      <c r="G25" s="116">
        <f t="shared" si="16"/>
        <v>0.53061360261791046</v>
      </c>
      <c r="H25" s="116">
        <f t="shared" si="16"/>
        <v>0.56472048851151135</v>
      </c>
      <c r="I25" s="116">
        <f t="shared" si="16"/>
        <v>0.54104914591408848</v>
      </c>
      <c r="J25" s="116">
        <f t="shared" si="16"/>
        <v>0.5273012644009647</v>
      </c>
      <c r="K25" s="116">
        <f t="shared" si="16"/>
        <v>0.51567677490888364</v>
      </c>
      <c r="L25" s="116">
        <f t="shared" si="16"/>
        <v>0.50378827907278667</v>
      </c>
      <c r="M25" s="116">
        <f t="shared" si="16"/>
        <v>0.4687882790727867</v>
      </c>
      <c r="N25" s="116">
        <f t="shared" si="16"/>
        <v>0.49878827907278667</v>
      </c>
      <c r="O25" s="116">
        <f t="shared" si="16"/>
        <v>0.49378827907278661</v>
      </c>
      <c r="P25" s="116">
        <f t="shared" si="16"/>
        <v>0.4887882790727866</v>
      </c>
      <c r="Q25" s="116">
        <f t="shared" si="16"/>
        <v>0.48878827907278671</v>
      </c>
      <c r="R25" s="116">
        <f t="shared" si="16"/>
        <v>0.48878827907278666</v>
      </c>
      <c r="AI25" s="66"/>
      <c r="AJ25" s="66"/>
      <c r="AK25" s="66"/>
      <c r="AL25" s="66"/>
      <c r="AM25" s="66"/>
      <c r="AN25" s="66"/>
      <c r="AO25" s="66"/>
      <c r="AP25" s="66"/>
      <c r="AQ25" s="66"/>
    </row>
    <row r="26" spans="2:43" ht="15.75">
      <c r="B26" s="66"/>
      <c r="C26" s="66"/>
      <c r="D26" s="66"/>
      <c r="E26" s="66"/>
      <c r="F26" s="66"/>
      <c r="G26" s="125"/>
      <c r="H26" s="125"/>
      <c r="I26" s="66"/>
      <c r="J26" s="66"/>
      <c r="K26" s="66"/>
      <c r="L26" s="66"/>
      <c r="M26" s="66"/>
      <c r="N26" s="66"/>
      <c r="O26" s="66"/>
      <c r="P26" s="66"/>
      <c r="Q26" s="66"/>
      <c r="R26" s="66"/>
      <c r="AI26" s="66"/>
      <c r="AJ26" s="66"/>
      <c r="AK26" s="66"/>
      <c r="AL26" s="66"/>
      <c r="AM26" s="66"/>
      <c r="AN26" s="66"/>
      <c r="AO26" s="66"/>
      <c r="AP26" s="66"/>
      <c r="AQ26" s="66"/>
    </row>
    <row r="27" spans="2:43" ht="15.75">
      <c r="B27" s="138" t="s">
        <v>7850</v>
      </c>
      <c r="C27" s="139">
        <f t="shared" ref="C27:J27" si="17">C25+$C$133*0.87/2</f>
        <v>0.53858928416176732</v>
      </c>
      <c r="D27" s="139">
        <f t="shared" si="17"/>
        <v>0.55034533604574443</v>
      </c>
      <c r="E27" s="139">
        <f t="shared" si="17"/>
        <v>0.55172275817939309</v>
      </c>
      <c r="F27" s="139">
        <f t="shared" si="17"/>
        <v>0.56892549572921547</v>
      </c>
      <c r="G27" s="139">
        <f t="shared" si="17"/>
        <v>0.57132960261791044</v>
      </c>
      <c r="H27" s="139">
        <f t="shared" si="17"/>
        <v>0.60543648851151133</v>
      </c>
      <c r="I27" s="139">
        <f t="shared" si="17"/>
        <v>0.58176514591408846</v>
      </c>
      <c r="J27" s="139">
        <f t="shared" si="17"/>
        <v>0.56801726440096467</v>
      </c>
      <c r="K27" s="139">
        <f>K25</f>
        <v>0.51567677490888364</v>
      </c>
      <c r="L27" s="139">
        <f>L25</f>
        <v>0.50378827907278667</v>
      </c>
      <c r="M27" s="139">
        <f t="shared" ref="M27:R27" si="18">M25</f>
        <v>0.4687882790727867</v>
      </c>
      <c r="N27" s="139">
        <f t="shared" si="18"/>
        <v>0.49878827907278667</v>
      </c>
      <c r="O27" s="139">
        <f t="shared" si="18"/>
        <v>0.49378827907278661</v>
      </c>
      <c r="P27" s="139">
        <f t="shared" si="18"/>
        <v>0.4887882790727866</v>
      </c>
      <c r="Q27" s="139">
        <f t="shared" si="18"/>
        <v>0.48878827907278671</v>
      </c>
      <c r="R27" s="139">
        <f t="shared" si="18"/>
        <v>0.48878827907278666</v>
      </c>
      <c r="AI27" s="66"/>
      <c r="AJ27" s="66"/>
      <c r="AK27" s="66"/>
      <c r="AL27" s="66"/>
      <c r="AM27" s="66"/>
      <c r="AN27" s="66"/>
      <c r="AO27" s="66"/>
      <c r="AP27" s="66"/>
      <c r="AQ27" s="66"/>
    </row>
    <row r="28" spans="2:43" ht="15.75">
      <c r="B28" s="66"/>
      <c r="C28" s="116"/>
      <c r="D28" s="116"/>
      <c r="E28" s="116"/>
      <c r="F28" s="116"/>
      <c r="G28" s="116"/>
      <c r="H28" s="116"/>
      <c r="I28" s="116"/>
      <c r="J28" s="116"/>
      <c r="K28" s="116"/>
      <c r="L28" s="116"/>
      <c r="M28" s="116"/>
      <c r="N28" s="116"/>
      <c r="O28" s="116"/>
      <c r="P28" s="116"/>
      <c r="Q28" s="116"/>
      <c r="R28" s="116"/>
      <c r="AI28" s="66"/>
      <c r="AJ28" s="66"/>
      <c r="AK28" s="66"/>
      <c r="AL28" s="66"/>
      <c r="AM28" s="66"/>
      <c r="AN28" s="66"/>
      <c r="AO28" s="66"/>
      <c r="AP28" s="66"/>
      <c r="AQ28" s="66"/>
    </row>
    <row r="29" spans="2:43" ht="15.75">
      <c r="B29" s="66" t="s">
        <v>552</v>
      </c>
      <c r="C29" s="114">
        <v>-117.8</v>
      </c>
      <c r="D29" s="114">
        <v>-124.9</v>
      </c>
      <c r="E29" s="114">
        <v>-130.30000000000001</v>
      </c>
      <c r="F29" s="114">
        <v>-145.9</v>
      </c>
      <c r="G29" s="114">
        <f>-105.5-58.3</f>
        <v>-163.80000000000001</v>
      </c>
      <c r="H29" s="114">
        <v>-171.1</v>
      </c>
      <c r="I29" s="114">
        <v>-185.3</v>
      </c>
      <c r="J29" s="71">
        <f t="shared" ref="J29:R29" si="19">J30*J5</f>
        <v>-165.7129360017594</v>
      </c>
      <c r="K29" s="71">
        <f t="shared" si="19"/>
        <v>-149.08890257312515</v>
      </c>
      <c r="L29" s="71">
        <f t="shared" si="19"/>
        <v>-147.17159005937981</v>
      </c>
      <c r="M29" s="71">
        <f t="shared" si="19"/>
        <v>-139.64517703980647</v>
      </c>
      <c r="N29" s="71">
        <f t="shared" si="19"/>
        <v>-157.1008241697823</v>
      </c>
      <c r="O29" s="71">
        <f t="shared" si="19"/>
        <v>-180.66594779524962</v>
      </c>
      <c r="P29" s="71">
        <f t="shared" si="19"/>
        <v>-189.6992451850121</v>
      </c>
      <c r="Q29" s="71">
        <f t="shared" si="19"/>
        <v>-195.39022254056249</v>
      </c>
      <c r="R29" s="71">
        <f t="shared" si="19"/>
        <v>-199.29802699137375</v>
      </c>
      <c r="AI29" s="66"/>
      <c r="AJ29" s="66"/>
      <c r="AK29" s="66"/>
      <c r="AL29" s="66"/>
      <c r="AM29" s="66"/>
      <c r="AN29" s="66"/>
      <c r="AO29" s="66"/>
      <c r="AP29" s="66"/>
      <c r="AQ29" s="66"/>
    </row>
    <row r="30" spans="2:43" ht="15.75">
      <c r="B30" s="66" t="s">
        <v>396</v>
      </c>
      <c r="C30" s="116">
        <f>C29/C5</f>
        <v>-5.2467486192766796E-2</v>
      </c>
      <c r="D30" s="116">
        <f>D29/D5</f>
        <v>-5.4937321310754343E-2</v>
      </c>
      <c r="E30" s="116">
        <f>D30</f>
        <v>-5.4937321310754343E-2</v>
      </c>
      <c r="F30" s="116">
        <f t="shared" ref="F30:K30" si="20">E30</f>
        <v>-5.4937321310754343E-2</v>
      </c>
      <c r="G30" s="116">
        <f t="shared" si="20"/>
        <v>-5.4937321310754343E-2</v>
      </c>
      <c r="H30" s="116">
        <f t="shared" si="20"/>
        <v>-5.4937321310754343E-2</v>
      </c>
      <c r="I30" s="116">
        <f t="shared" si="20"/>
        <v>-5.4937321310754343E-2</v>
      </c>
      <c r="J30" s="116">
        <f t="shared" si="20"/>
        <v>-5.4937321310754343E-2</v>
      </c>
      <c r="K30" s="116">
        <f t="shared" si="20"/>
        <v>-5.4937321310754343E-2</v>
      </c>
      <c r="L30" s="116">
        <f t="shared" ref="L30:R30" si="21">K30</f>
        <v>-5.4937321310754343E-2</v>
      </c>
      <c r="M30" s="116">
        <f t="shared" si="21"/>
        <v>-5.4937321310754343E-2</v>
      </c>
      <c r="N30" s="116">
        <f t="shared" si="21"/>
        <v>-5.4937321310754343E-2</v>
      </c>
      <c r="O30" s="116">
        <f t="shared" si="21"/>
        <v>-5.4937321310754343E-2</v>
      </c>
      <c r="P30" s="116">
        <f t="shared" si="21"/>
        <v>-5.4937321310754343E-2</v>
      </c>
      <c r="Q30" s="116">
        <f t="shared" si="21"/>
        <v>-5.4937321310754343E-2</v>
      </c>
      <c r="R30" s="116">
        <f t="shared" si="21"/>
        <v>-5.4937321310754343E-2</v>
      </c>
      <c r="AI30" s="66"/>
      <c r="AJ30" s="66"/>
      <c r="AK30" s="66"/>
      <c r="AL30" s="66"/>
      <c r="AM30" s="66"/>
      <c r="AN30" s="66"/>
      <c r="AO30" s="66"/>
      <c r="AP30" s="66"/>
      <c r="AQ30" s="66"/>
    </row>
    <row r="31" spans="2:43" ht="15.75">
      <c r="B31" s="66"/>
      <c r="C31" s="10"/>
      <c r="D31" s="10"/>
      <c r="E31" s="116"/>
      <c r="F31" s="116"/>
      <c r="G31" s="116"/>
      <c r="H31" s="116"/>
      <c r="I31" s="116"/>
      <c r="J31" s="116"/>
      <c r="K31" s="116"/>
      <c r="L31" s="116"/>
      <c r="M31" s="116"/>
      <c r="N31" s="116"/>
      <c r="O31" s="116"/>
      <c r="P31" s="116"/>
      <c r="Q31" s="116"/>
      <c r="R31" s="116"/>
      <c r="AI31" s="66"/>
      <c r="AJ31" s="66"/>
      <c r="AK31" s="66"/>
      <c r="AL31" s="66"/>
      <c r="AM31" s="66"/>
      <c r="AN31" s="66"/>
      <c r="AO31" s="66"/>
      <c r="AP31" s="66"/>
      <c r="AQ31" s="66"/>
    </row>
    <row r="32" spans="2:43" ht="15.75">
      <c r="B32" s="66" t="s">
        <v>7851</v>
      </c>
      <c r="C32" s="71">
        <f t="shared" ref="C32:I32" si="22">-((C14+C29)-C33)</f>
        <v>-577.40000000000009</v>
      </c>
      <c r="D32" s="71">
        <f t="shared" si="22"/>
        <v>-136.90000000000009</v>
      </c>
      <c r="E32" s="71">
        <f t="shared" si="22"/>
        <v>-244.70000000000005</v>
      </c>
      <c r="F32" s="71">
        <f t="shared" si="22"/>
        <v>-546.59999999999991</v>
      </c>
      <c r="G32" s="71">
        <f t="shared" si="22"/>
        <v>-443</v>
      </c>
      <c r="H32" s="71">
        <f t="shared" si="22"/>
        <v>-529.70000000000005</v>
      </c>
      <c r="I32" s="71">
        <f t="shared" si="22"/>
        <v>-254.5</v>
      </c>
      <c r="J32" s="71">
        <v>0</v>
      </c>
      <c r="K32" s="71">
        <v>0</v>
      </c>
      <c r="L32" s="71">
        <v>0</v>
      </c>
      <c r="M32" s="71">
        <v>0</v>
      </c>
      <c r="N32" s="71">
        <v>0</v>
      </c>
      <c r="O32" s="71">
        <v>0</v>
      </c>
      <c r="P32" s="71">
        <v>0</v>
      </c>
      <c r="Q32" s="71">
        <v>0</v>
      </c>
      <c r="R32" s="71">
        <v>0</v>
      </c>
      <c r="AI32" s="66"/>
      <c r="AJ32" s="66"/>
      <c r="AK32" s="66"/>
      <c r="AL32" s="66"/>
      <c r="AM32" s="66"/>
      <c r="AN32" s="66"/>
      <c r="AO32" s="66"/>
      <c r="AP32" s="66"/>
      <c r="AQ32" s="66"/>
    </row>
    <row r="33" spans="2:43" ht="15.75">
      <c r="B33" s="66" t="s">
        <v>238</v>
      </c>
      <c r="C33" s="71">
        <v>248.2</v>
      </c>
      <c r="D33" s="124">
        <v>672.1</v>
      </c>
      <c r="E33" s="124">
        <v>628.20000000000005</v>
      </c>
      <c r="F33" s="124">
        <v>427.9</v>
      </c>
      <c r="G33" s="124">
        <v>634</v>
      </c>
      <c r="H33" s="124">
        <v>611</v>
      </c>
      <c r="I33" s="124">
        <v>893.3</v>
      </c>
      <c r="J33" s="125">
        <f t="shared" ref="J33:R33" si="23">J14+J29</f>
        <v>1122.3870639982406</v>
      </c>
      <c r="K33" s="125">
        <f t="shared" si="23"/>
        <v>873.71109742687486</v>
      </c>
      <c r="L33" s="125">
        <f t="shared" si="23"/>
        <v>830.62690994062018</v>
      </c>
      <c r="M33" s="125">
        <f t="shared" si="23"/>
        <v>699.18182296019359</v>
      </c>
      <c r="N33" s="125">
        <f t="shared" si="23"/>
        <v>872.36867583021785</v>
      </c>
      <c r="O33" s="125">
        <f t="shared" si="23"/>
        <v>986.78106157975026</v>
      </c>
      <c r="P33" s="125">
        <f t="shared" si="23"/>
        <v>1018.8550532524878</v>
      </c>
      <c r="Q33" s="125">
        <f t="shared" si="23"/>
        <v>1049.4207048500627</v>
      </c>
      <c r="R33" s="125">
        <f t="shared" si="23"/>
        <v>1070.4091189470639</v>
      </c>
      <c r="AI33" s="66"/>
      <c r="AJ33" s="66"/>
      <c r="AK33" s="66"/>
      <c r="AL33" s="66"/>
      <c r="AM33" s="66"/>
      <c r="AN33" s="66"/>
      <c r="AO33" s="66"/>
      <c r="AP33" s="66"/>
      <c r="AQ33" s="66"/>
    </row>
    <row r="34" spans="2:43" ht="15.75">
      <c r="B34" s="66"/>
      <c r="C34" s="71"/>
      <c r="D34" s="71"/>
      <c r="E34" s="66"/>
      <c r="F34" s="66"/>
      <c r="G34" s="66"/>
      <c r="H34" s="66"/>
      <c r="I34" s="66"/>
      <c r="J34" s="66"/>
      <c r="K34" s="66"/>
      <c r="L34" s="66"/>
      <c r="M34" s="66"/>
      <c r="N34" s="66"/>
      <c r="O34" s="66"/>
      <c r="P34" s="66"/>
      <c r="Q34" s="66"/>
      <c r="R34" s="66"/>
      <c r="AI34" s="66"/>
      <c r="AJ34" s="66"/>
      <c r="AK34" s="66"/>
      <c r="AL34" s="66"/>
      <c r="AM34" s="66"/>
      <c r="AN34" s="66"/>
      <c r="AO34" s="66"/>
      <c r="AP34" s="66"/>
      <c r="AQ34" s="66"/>
    </row>
    <row r="35" spans="2:43" ht="15.75">
      <c r="B35" s="66" t="s">
        <v>318</v>
      </c>
      <c r="C35" s="118">
        <v>-585</v>
      </c>
      <c r="D35" s="118">
        <v>-516.6</v>
      </c>
      <c r="E35" s="118">
        <v>-558.5</v>
      </c>
      <c r="F35" s="118">
        <v>-603.4</v>
      </c>
      <c r="G35" s="118">
        <v>-572.5</v>
      </c>
      <c r="H35" s="118">
        <f>-539.7</f>
        <v>-539.70000000000005</v>
      </c>
      <c r="I35" s="118">
        <v>-494.1</v>
      </c>
      <c r="J35" s="71">
        <f>-J93</f>
        <v>-554.0625</v>
      </c>
      <c r="K35" s="71">
        <f>-K93</f>
        <v>-554.0625</v>
      </c>
      <c r="L35" s="71">
        <f>-L93</f>
        <v>-512.8125</v>
      </c>
      <c r="M35" s="71">
        <f t="shared" ref="M35:R35" si="24">-M93</f>
        <v>-471.5625</v>
      </c>
      <c r="N35" s="71">
        <f t="shared" si="24"/>
        <v>-442.36874999999998</v>
      </c>
      <c r="O35" s="71">
        <f t="shared" si="24"/>
        <v>-378.53749999999997</v>
      </c>
      <c r="P35" s="71">
        <f t="shared" si="24"/>
        <v>-261.21249999999998</v>
      </c>
      <c r="Q35" s="71">
        <f t="shared" si="24"/>
        <v>-117.02499999999998</v>
      </c>
      <c r="R35" s="71">
        <f t="shared" si="24"/>
        <v>-55.524999999999977</v>
      </c>
      <c r="AI35" s="66"/>
      <c r="AJ35" s="66"/>
      <c r="AK35" s="66"/>
      <c r="AL35" s="66"/>
      <c r="AM35" s="66"/>
      <c r="AN35" s="66"/>
      <c r="AO35" s="66"/>
      <c r="AP35" s="66"/>
      <c r="AQ35" s="66"/>
    </row>
    <row r="36" spans="2:43" ht="15.75">
      <c r="B36" s="66" t="s">
        <v>7819</v>
      </c>
      <c r="C36" s="66"/>
      <c r="D36" s="116">
        <f t="shared" ref="D36:I36" si="25">-D35/AVERAGE(C61,D61)</f>
        <v>5.3038742100913243E-2</v>
      </c>
      <c r="E36" s="116">
        <f t="shared" si="25"/>
        <v>6.0551194761264582E-2</v>
      </c>
      <c r="F36" s="116">
        <f t="shared" si="25"/>
        <v>6.4368159416270179E-2</v>
      </c>
      <c r="G36" s="116">
        <f t="shared" si="25"/>
        <v>6.0665787145211106E-2</v>
      </c>
      <c r="H36" s="116">
        <f t="shared" si="25"/>
        <v>5.7615321383963372E-2</v>
      </c>
      <c r="I36" s="116">
        <f t="shared" si="25"/>
        <v>5.3900740167014842E-2</v>
      </c>
      <c r="J36" s="116">
        <f>-J35/((J61*3+I61*1)/4)</f>
        <v>6.7095655017074776E-2</v>
      </c>
      <c r="K36" s="116">
        <f>-K35/((K61*3+J61*1)/4)</f>
        <v>7.2160702250209208E-2</v>
      </c>
      <c r="L36" s="116">
        <f>-L35/((L61*3+K61*1)/4)</f>
        <v>7.7015063226504074E-2</v>
      </c>
      <c r="M36" s="116">
        <f t="shared" ref="M36:R36" si="26">-M35/((M61*3+L61*1)/4)</f>
        <v>7.4161372000125819E-2</v>
      </c>
      <c r="N36" s="116">
        <f t="shared" si="26"/>
        <v>7.6321793964907444E-2</v>
      </c>
      <c r="O36" s="116">
        <f t="shared" si="26"/>
        <v>7.5747646252513831E-2</v>
      </c>
      <c r="P36" s="116">
        <f t="shared" si="26"/>
        <v>8.8363891613950821E-2</v>
      </c>
      <c r="Q36" s="116">
        <f t="shared" si="26"/>
        <v>0.21527777777777796</v>
      </c>
      <c r="R36" s="116">
        <f t="shared" si="26"/>
        <v>-0.984485815602827</v>
      </c>
      <c r="AI36" s="66"/>
      <c r="AJ36" s="66"/>
      <c r="AK36" s="66"/>
      <c r="AL36" s="66"/>
      <c r="AM36" s="66"/>
      <c r="AN36" s="66"/>
      <c r="AO36" s="66"/>
      <c r="AP36" s="66"/>
      <c r="AQ36" s="66"/>
    </row>
    <row r="37" spans="2:43" ht="15.75">
      <c r="B37" s="66" t="s">
        <v>315</v>
      </c>
      <c r="C37" s="118">
        <v>10.5</v>
      </c>
      <c r="D37" s="118">
        <v>2.4</v>
      </c>
      <c r="E37" s="118">
        <v>0.1</v>
      </c>
      <c r="F37" s="118">
        <v>3.4</v>
      </c>
      <c r="G37" s="118">
        <v>6</v>
      </c>
      <c r="H37" s="118">
        <v>9.9</v>
      </c>
      <c r="I37" s="118">
        <v>11</v>
      </c>
      <c r="J37" s="71">
        <f t="shared" ref="J37:R37" si="27">J38*AVERAGE(I95:J95)</f>
        <v>0.63049999999999995</v>
      </c>
      <c r="K37" s="71">
        <f t="shared" si="27"/>
        <v>0.9395</v>
      </c>
      <c r="L37" s="71">
        <f t="shared" si="27"/>
        <v>-3.5232034637837306</v>
      </c>
      <c r="M37" s="71">
        <f t="shared" si="27"/>
        <v>-7.4579303175639282</v>
      </c>
      <c r="N37" s="71">
        <f t="shared" si="27"/>
        <v>-8.7780665115577321</v>
      </c>
      <c r="O37" s="71">
        <f t="shared" si="27"/>
        <v>-12.875402955173655</v>
      </c>
      <c r="P37" s="71">
        <f t="shared" si="27"/>
        <v>-24.399968688968965</v>
      </c>
      <c r="Q37" s="71">
        <f t="shared" si="27"/>
        <v>-42.8751299168038</v>
      </c>
      <c r="R37" s="71">
        <f t="shared" si="27"/>
        <v>-48.338292979239675</v>
      </c>
      <c r="AI37" s="66"/>
      <c r="AJ37" s="66"/>
      <c r="AK37" s="66"/>
      <c r="AL37" s="66"/>
      <c r="AM37" s="66"/>
      <c r="AN37" s="66"/>
      <c r="AO37" s="66"/>
      <c r="AP37" s="66"/>
      <c r="AQ37" s="66"/>
    </row>
    <row r="38" spans="2:43" ht="15.75">
      <c r="B38" s="66" t="s">
        <v>7819</v>
      </c>
      <c r="C38" s="66"/>
      <c r="D38" s="66"/>
      <c r="E38" s="117">
        <v>0.01</v>
      </c>
      <c r="F38" s="117">
        <v>0.01</v>
      </c>
      <c r="G38" s="117">
        <v>0.01</v>
      </c>
      <c r="H38" s="117">
        <v>0.01</v>
      </c>
      <c r="I38" s="117">
        <v>0.01</v>
      </c>
      <c r="J38" s="117">
        <v>0.01</v>
      </c>
      <c r="K38" s="117">
        <v>0.01</v>
      </c>
      <c r="L38" s="117">
        <v>0.01</v>
      </c>
      <c r="M38" s="117">
        <v>0.01</v>
      </c>
      <c r="N38" s="117">
        <v>0.01</v>
      </c>
      <c r="O38" s="117">
        <v>0.01</v>
      </c>
      <c r="P38" s="117">
        <v>0.01</v>
      </c>
      <c r="Q38" s="117">
        <v>0.01</v>
      </c>
      <c r="R38" s="117">
        <v>0.01</v>
      </c>
      <c r="AI38" s="66"/>
      <c r="AJ38" s="66"/>
      <c r="AK38" s="66"/>
      <c r="AL38" s="66"/>
      <c r="AM38" s="66"/>
      <c r="AN38" s="66"/>
      <c r="AO38" s="66"/>
      <c r="AP38" s="66"/>
      <c r="AQ38" s="66"/>
    </row>
    <row r="39" spans="2:43" ht="15.75">
      <c r="B39" s="66" t="s">
        <v>8096</v>
      </c>
      <c r="C39" s="66"/>
      <c r="D39" s="66"/>
      <c r="E39" s="117"/>
      <c r="F39" s="117"/>
      <c r="G39" s="117"/>
      <c r="H39" s="117"/>
      <c r="I39" s="117"/>
      <c r="J39" s="1989">
        <f>J35+J37</f>
        <v>-553.43200000000002</v>
      </c>
      <c r="K39" s="1989">
        <f t="shared" ref="K39:R39" si="28">K35+K37</f>
        <v>-553.12300000000005</v>
      </c>
      <c r="L39" s="1989">
        <f t="shared" si="28"/>
        <v>-516.33570346378372</v>
      </c>
      <c r="M39" s="1989">
        <f t="shared" si="28"/>
        <v>-479.02043031756392</v>
      </c>
      <c r="N39" s="1989">
        <f t="shared" si="28"/>
        <v>-451.14681651155769</v>
      </c>
      <c r="O39" s="1989">
        <f t="shared" si="28"/>
        <v>-391.41290295517365</v>
      </c>
      <c r="P39" s="1989">
        <f t="shared" si="28"/>
        <v>-285.61246868896893</v>
      </c>
      <c r="Q39" s="1989">
        <f t="shared" si="28"/>
        <v>-159.90012991680379</v>
      </c>
      <c r="R39" s="1989">
        <f t="shared" si="28"/>
        <v>-103.86329297923965</v>
      </c>
      <c r="AI39" s="66"/>
      <c r="AJ39" s="66"/>
      <c r="AK39" s="66"/>
      <c r="AL39" s="66"/>
      <c r="AM39" s="66"/>
      <c r="AN39" s="66"/>
      <c r="AO39" s="66"/>
      <c r="AP39" s="66"/>
      <c r="AQ39" s="66"/>
    </row>
    <row r="40" spans="2:43" ht="15.75">
      <c r="B40" s="66" t="s">
        <v>8097</v>
      </c>
      <c r="C40" s="66"/>
      <c r="D40" s="66"/>
      <c r="E40" s="117"/>
      <c r="F40" s="117"/>
      <c r="G40" s="117"/>
      <c r="H40" s="117"/>
      <c r="I40" s="117"/>
      <c r="J40" s="1989">
        <v>-553.43200000000002</v>
      </c>
      <c r="K40" s="1989">
        <v>-553.12300000000005</v>
      </c>
      <c r="L40" s="1989">
        <v>-516.45587586721524</v>
      </c>
      <c r="M40" s="1989">
        <v>-479.50105070962076</v>
      </c>
      <c r="N40" s="1989">
        <v>-452.19672712564994</v>
      </c>
      <c r="O40" s="1989">
        <v>-393.31221749923498</v>
      </c>
      <c r="P40" s="1989">
        <v>-288.89192776093472</v>
      </c>
      <c r="Q40" s="1989">
        <v>-165.30077071871071</v>
      </c>
      <c r="R40" s="1989">
        <v>-111.96014380893178</v>
      </c>
      <c r="AI40" s="66"/>
      <c r="AJ40" s="66"/>
      <c r="AK40" s="66"/>
      <c r="AL40" s="66"/>
      <c r="AM40" s="66"/>
      <c r="AN40" s="66"/>
      <c r="AO40" s="66"/>
      <c r="AP40" s="66"/>
      <c r="AQ40" s="66"/>
    </row>
    <row r="41" spans="2:43" ht="15.75">
      <c r="B41" s="66"/>
      <c r="C41" s="66"/>
      <c r="D41" s="66"/>
      <c r="E41" s="117"/>
      <c r="F41" s="117"/>
      <c r="G41" s="117"/>
      <c r="H41" s="117"/>
      <c r="I41" s="117"/>
      <c r="J41" s="117"/>
      <c r="K41" s="117"/>
      <c r="L41" s="117"/>
      <c r="M41" s="117"/>
      <c r="N41" s="117"/>
      <c r="O41" s="117"/>
      <c r="P41" s="117"/>
      <c r="Q41" s="117"/>
      <c r="R41" s="117"/>
      <c r="AI41" s="66"/>
      <c r="AJ41" s="66"/>
      <c r="AK41" s="66"/>
      <c r="AL41" s="66"/>
      <c r="AM41" s="66"/>
      <c r="AN41" s="66"/>
      <c r="AO41" s="66"/>
      <c r="AP41" s="66"/>
      <c r="AQ41" s="66"/>
    </row>
    <row r="42" spans="2:43" ht="15.75">
      <c r="B42" s="66"/>
      <c r="C42" s="66"/>
      <c r="D42" s="66"/>
      <c r="E42" s="66"/>
      <c r="F42" s="66"/>
      <c r="G42" s="125"/>
      <c r="H42" s="66"/>
      <c r="I42" s="66"/>
      <c r="J42" s="66"/>
      <c r="K42" s="66"/>
      <c r="L42" s="66"/>
      <c r="M42" s="66"/>
      <c r="N42" s="66"/>
      <c r="O42" s="66"/>
      <c r="P42" s="66"/>
      <c r="Q42" s="66"/>
      <c r="R42" s="66"/>
      <c r="AI42" s="66"/>
      <c r="AJ42" s="66"/>
      <c r="AK42" s="66"/>
      <c r="AL42" s="66"/>
      <c r="AM42" s="66"/>
      <c r="AN42" s="66"/>
      <c r="AO42" s="66"/>
      <c r="AP42" s="66"/>
      <c r="AQ42" s="66"/>
    </row>
    <row r="43" spans="2:43" ht="15.75">
      <c r="B43" s="66" t="s">
        <v>7852</v>
      </c>
      <c r="C43" s="71">
        <f t="shared" ref="C43:I43" si="29">C44-(C33+C35+C37)</f>
        <v>-199.09999999999997</v>
      </c>
      <c r="D43" s="71">
        <f t="shared" si="29"/>
        <v>-180.1</v>
      </c>
      <c r="E43" s="71">
        <f t="shared" si="29"/>
        <v>-10.30000000000004</v>
      </c>
      <c r="F43" s="71">
        <f t="shared" si="29"/>
        <v>-59.300000000000011</v>
      </c>
      <c r="G43" s="71">
        <f t="shared" si="29"/>
        <v>-117.6</v>
      </c>
      <c r="H43" s="71">
        <f t="shared" si="29"/>
        <v>-195.99999999999994</v>
      </c>
      <c r="I43" s="71">
        <f t="shared" si="29"/>
        <v>-80.89999999999992</v>
      </c>
      <c r="J43" s="71">
        <v>0</v>
      </c>
      <c r="K43" s="71">
        <v>0</v>
      </c>
      <c r="L43" s="71">
        <v>0</v>
      </c>
      <c r="M43" s="71">
        <v>0</v>
      </c>
      <c r="N43" s="71">
        <v>0</v>
      </c>
      <c r="O43" s="71">
        <v>0</v>
      </c>
      <c r="P43" s="71">
        <v>0</v>
      </c>
      <c r="Q43" s="71">
        <v>0</v>
      </c>
      <c r="R43" s="71">
        <v>0</v>
      </c>
      <c r="AI43" s="66"/>
      <c r="AJ43" s="66"/>
      <c r="AK43" s="66"/>
      <c r="AL43" s="66"/>
      <c r="AM43" s="66"/>
      <c r="AN43" s="66"/>
      <c r="AO43" s="66"/>
      <c r="AP43" s="66"/>
      <c r="AQ43" s="66"/>
    </row>
    <row r="44" spans="2:43" ht="15.75">
      <c r="B44" s="66" t="s">
        <v>7853</v>
      </c>
      <c r="C44" s="119">
        <v>-525.4</v>
      </c>
      <c r="D44" s="119">
        <v>-22.2</v>
      </c>
      <c r="E44" s="119">
        <v>59.5</v>
      </c>
      <c r="F44" s="119">
        <v>-231.4</v>
      </c>
      <c r="G44" s="119">
        <v>-50.1</v>
      </c>
      <c r="H44" s="119">
        <v>-114.8</v>
      </c>
      <c r="I44" s="119">
        <v>329.3</v>
      </c>
      <c r="J44" s="71">
        <f>J33+J40</f>
        <v>568.95506399824058</v>
      </c>
      <c r="K44" s="71">
        <f t="shared" ref="K44:R44" si="30">K33+K40</f>
        <v>320.58809742687481</v>
      </c>
      <c r="L44" s="71">
        <f t="shared" si="30"/>
        <v>314.17103407340494</v>
      </c>
      <c r="M44" s="71">
        <f t="shared" si="30"/>
        <v>219.68077225057283</v>
      </c>
      <c r="N44" s="71">
        <f t="shared" si="30"/>
        <v>420.17194870456791</v>
      </c>
      <c r="O44" s="71">
        <f t="shared" si="30"/>
        <v>593.46884408051528</v>
      </c>
      <c r="P44" s="71">
        <f t="shared" si="30"/>
        <v>729.963125491553</v>
      </c>
      <c r="Q44" s="71">
        <f t="shared" si="30"/>
        <v>884.11993413135201</v>
      </c>
      <c r="R44" s="71">
        <f t="shared" si="30"/>
        <v>958.44897513813214</v>
      </c>
      <c r="AI44" s="66"/>
      <c r="AJ44" s="66"/>
      <c r="AK44" s="66"/>
      <c r="AL44" s="66"/>
      <c r="AM44" s="66"/>
      <c r="AN44" s="66"/>
      <c r="AO44" s="66"/>
      <c r="AP44" s="66"/>
      <c r="AQ44" s="66"/>
    </row>
    <row r="45" spans="2:43" ht="15.75">
      <c r="B45" s="66"/>
      <c r="C45" s="66"/>
      <c r="D45" s="66"/>
      <c r="E45" s="66"/>
      <c r="F45" s="66"/>
      <c r="G45" s="66"/>
      <c r="H45" s="66"/>
      <c r="I45" s="66"/>
      <c r="J45" s="66"/>
      <c r="K45" s="66"/>
      <c r="L45" s="66"/>
      <c r="M45" s="66"/>
      <c r="N45" s="66"/>
      <c r="O45" s="66"/>
      <c r="P45" s="66"/>
      <c r="Q45" s="66"/>
      <c r="R45" s="66"/>
      <c r="AI45" s="66"/>
      <c r="AJ45" s="66"/>
      <c r="AK45" s="66"/>
      <c r="AL45" s="66"/>
      <c r="AM45" s="66"/>
      <c r="AN45" s="66"/>
      <c r="AO45" s="66"/>
      <c r="AP45" s="66"/>
      <c r="AQ45" s="66"/>
    </row>
    <row r="46" spans="2:43" ht="15.75">
      <c r="B46" s="66" t="s">
        <v>114</v>
      </c>
      <c r="C46" s="119">
        <v>-30.1</v>
      </c>
      <c r="D46" s="119">
        <v>-35.200000000000003</v>
      </c>
      <c r="E46" s="119">
        <v>-58.9</v>
      </c>
      <c r="F46" s="119">
        <v>437.2</v>
      </c>
      <c r="G46" s="119">
        <v>60.2</v>
      </c>
      <c r="H46" s="119">
        <v>69.3</v>
      </c>
      <c r="I46" s="119">
        <v>-113.6</v>
      </c>
      <c r="J46" s="71">
        <f>-J47*(J44-J43)</f>
        <v>-199.1342723993842</v>
      </c>
      <c r="K46" s="71">
        <f>-K47*(K44-K43)</f>
        <v>-112.20583409940618</v>
      </c>
      <c r="L46" s="71">
        <f t="shared" ref="L46:R46" si="31">-L47*(L44-L43)</f>
        <v>-109.95986192569173</v>
      </c>
      <c r="M46" s="71">
        <f t="shared" si="31"/>
        <v>-76.888270287700479</v>
      </c>
      <c r="N46" s="71">
        <f t="shared" si="31"/>
        <v>-147.06018204659875</v>
      </c>
      <c r="O46" s="71">
        <f t="shared" si="31"/>
        <v>-207.71409542818034</v>
      </c>
      <c r="P46" s="71">
        <f t="shared" si="31"/>
        <v>-255.48709392204353</v>
      </c>
      <c r="Q46" s="71">
        <f t="shared" si="31"/>
        <v>-309.44197694597318</v>
      </c>
      <c r="R46" s="71">
        <f t="shared" si="31"/>
        <v>-335.45714129834624</v>
      </c>
      <c r="AI46" s="66"/>
      <c r="AJ46" s="66"/>
      <c r="AK46" s="66"/>
      <c r="AL46" s="66"/>
      <c r="AM46" s="66"/>
      <c r="AN46" s="66"/>
      <c r="AO46" s="66"/>
      <c r="AP46" s="66"/>
      <c r="AQ46" s="66"/>
    </row>
    <row r="47" spans="2:43" ht="15.75">
      <c r="B47" s="66" t="s">
        <v>7854</v>
      </c>
      <c r="C47" s="69">
        <f t="shared" ref="C47:I47" si="32">-C46/(C44-C43)</f>
        <v>-9.2246399019307382E-2</v>
      </c>
      <c r="D47" s="69">
        <f t="shared" si="32"/>
        <v>0.22292590246991767</v>
      </c>
      <c r="E47" s="69">
        <f t="shared" si="32"/>
        <v>0.84383954154727747</v>
      </c>
      <c r="F47" s="69">
        <f t="shared" si="32"/>
        <v>2.5403834979662987</v>
      </c>
      <c r="G47" s="69">
        <f t="shared" si="32"/>
        <v>-0.8918518518518519</v>
      </c>
      <c r="H47" s="69">
        <f t="shared" si="32"/>
        <v>-0.85344827586206951</v>
      </c>
      <c r="I47" s="69">
        <f t="shared" si="32"/>
        <v>0.27693807898586059</v>
      </c>
      <c r="J47" s="75">
        <v>0.35</v>
      </c>
      <c r="K47" s="75">
        <v>0.35</v>
      </c>
      <c r="L47" s="75">
        <v>0.35</v>
      </c>
      <c r="M47" s="75">
        <v>0.35</v>
      </c>
      <c r="N47" s="75">
        <v>0.35</v>
      </c>
      <c r="O47" s="75">
        <v>0.35</v>
      </c>
      <c r="P47" s="75">
        <v>0.35</v>
      </c>
      <c r="Q47" s="75">
        <v>0.35</v>
      </c>
      <c r="R47" s="75">
        <v>0.35</v>
      </c>
      <c r="AI47" s="66"/>
      <c r="AJ47" s="66"/>
      <c r="AK47" s="66"/>
      <c r="AL47" s="66"/>
      <c r="AM47" s="66"/>
      <c r="AN47" s="66"/>
      <c r="AO47" s="66"/>
      <c r="AP47" s="66"/>
      <c r="AQ47" s="66"/>
    </row>
    <row r="48" spans="2:43" ht="15.75">
      <c r="B48" s="66" t="s">
        <v>38</v>
      </c>
      <c r="C48" s="71">
        <f>C44+C46</f>
        <v>-555.5</v>
      </c>
      <c r="D48" s="71">
        <f>D44+D46</f>
        <v>-57.400000000000006</v>
      </c>
      <c r="E48" s="71">
        <f>E44+E46</f>
        <v>0.60000000000000142</v>
      </c>
      <c r="F48" s="71">
        <f t="shared" ref="F48:K48" si="33">F44+F46</f>
        <v>205.79999999999998</v>
      </c>
      <c r="G48" s="71">
        <f t="shared" si="33"/>
        <v>10.100000000000001</v>
      </c>
      <c r="H48" s="71">
        <f t="shared" si="33"/>
        <v>-45.5</v>
      </c>
      <c r="I48" s="71">
        <f t="shared" si="33"/>
        <v>215.70000000000002</v>
      </c>
      <c r="J48" s="71">
        <f t="shared" si="33"/>
        <v>369.82079159885637</v>
      </c>
      <c r="K48" s="71">
        <f t="shared" si="33"/>
        <v>208.38226332746865</v>
      </c>
      <c r="L48" s="71">
        <f t="shared" ref="L48:R48" si="34">L44+L46</f>
        <v>204.21117214771323</v>
      </c>
      <c r="M48" s="71">
        <f t="shared" si="34"/>
        <v>142.79250196287234</v>
      </c>
      <c r="N48" s="71">
        <f t="shared" si="34"/>
        <v>273.11176665796916</v>
      </c>
      <c r="O48" s="71">
        <f t="shared" si="34"/>
        <v>385.75474865233491</v>
      </c>
      <c r="P48" s="71">
        <f t="shared" si="34"/>
        <v>474.47603156950947</v>
      </c>
      <c r="Q48" s="71">
        <f t="shared" si="34"/>
        <v>574.67795718537877</v>
      </c>
      <c r="R48" s="71">
        <f t="shared" si="34"/>
        <v>622.99183383978584</v>
      </c>
      <c r="AI48" s="66"/>
      <c r="AJ48" s="66"/>
      <c r="AK48" s="66"/>
      <c r="AL48" s="66"/>
      <c r="AM48" s="66"/>
      <c r="AN48" s="66"/>
      <c r="AO48" s="66"/>
      <c r="AP48" s="66"/>
      <c r="AQ48" s="66"/>
    </row>
    <row r="49" spans="1:43" ht="15.75">
      <c r="B49" s="66"/>
      <c r="C49" s="71"/>
      <c r="D49" s="71"/>
      <c r="E49" s="71"/>
      <c r="F49" s="71"/>
      <c r="G49" s="71"/>
      <c r="H49" s="71"/>
      <c r="I49" s="71"/>
      <c r="J49" s="71"/>
      <c r="K49" s="71"/>
      <c r="L49" s="71"/>
      <c r="M49" s="71"/>
      <c r="N49" s="71"/>
      <c r="O49" s="71"/>
      <c r="P49" s="71"/>
      <c r="Q49" s="71"/>
      <c r="R49" s="71"/>
      <c r="AI49" s="66"/>
      <c r="AJ49" s="66"/>
      <c r="AK49" s="66"/>
      <c r="AL49" s="66"/>
      <c r="AM49" s="66"/>
      <c r="AN49" s="66"/>
      <c r="AO49" s="66"/>
      <c r="AP49" s="66"/>
      <c r="AQ49" s="66"/>
    </row>
    <row r="50" spans="1:43" ht="15.75">
      <c r="B50" s="66" t="s">
        <v>911</v>
      </c>
      <c r="C50" s="71">
        <f>C48-C43-C32</f>
        <v>221.00000000000006</v>
      </c>
      <c r="D50" s="71">
        <f>D48-D43-D32</f>
        <v>259.60000000000008</v>
      </c>
      <c r="E50" s="71">
        <f>E48-E43-E32</f>
        <v>255.60000000000008</v>
      </c>
      <c r="F50" s="71">
        <f>F48-F43-F32</f>
        <v>811.69999999999993</v>
      </c>
      <c r="G50" s="71">
        <f>G48-G43-G32</f>
        <v>570.70000000000005</v>
      </c>
      <c r="H50" s="71">
        <f t="shared" ref="H50:R50" si="35">H48-H43-H32</f>
        <v>680.2</v>
      </c>
      <c r="I50" s="71">
        <f t="shared" si="35"/>
        <v>551.09999999999991</v>
      </c>
      <c r="J50" s="71">
        <f t="shared" si="35"/>
        <v>369.82079159885637</v>
      </c>
      <c r="K50" s="71">
        <f t="shared" si="35"/>
        <v>208.38226332746865</v>
      </c>
      <c r="L50" s="71">
        <f t="shared" si="35"/>
        <v>204.21117214771323</v>
      </c>
      <c r="M50" s="71">
        <f t="shared" si="35"/>
        <v>142.79250196287234</v>
      </c>
      <c r="N50" s="71">
        <f t="shared" si="35"/>
        <v>273.11176665796916</v>
      </c>
      <c r="O50" s="71">
        <f t="shared" si="35"/>
        <v>385.75474865233491</v>
      </c>
      <c r="P50" s="71">
        <f t="shared" si="35"/>
        <v>474.47603156950947</v>
      </c>
      <c r="Q50" s="71">
        <f t="shared" si="35"/>
        <v>574.67795718537877</v>
      </c>
      <c r="R50" s="71">
        <f t="shared" si="35"/>
        <v>622.99183383978584</v>
      </c>
      <c r="AI50" s="66"/>
      <c r="AJ50" s="66"/>
      <c r="AK50" s="66"/>
      <c r="AL50" s="66"/>
      <c r="AM50" s="66"/>
      <c r="AN50" s="66"/>
      <c r="AO50" s="66"/>
      <c r="AP50" s="66"/>
      <c r="AQ50" s="66"/>
    </row>
    <row r="51" spans="1:43" ht="15.75">
      <c r="B51" s="66"/>
      <c r="C51" s="66"/>
      <c r="D51" s="66"/>
      <c r="E51" s="66"/>
      <c r="F51" s="66"/>
      <c r="G51" s="66"/>
      <c r="H51" s="66"/>
      <c r="I51" s="66"/>
      <c r="J51" s="66"/>
      <c r="K51" s="66"/>
      <c r="L51" s="66"/>
      <c r="M51" s="66"/>
      <c r="N51" s="66"/>
      <c r="O51" s="66"/>
      <c r="P51" s="66"/>
      <c r="Q51" s="66"/>
      <c r="R51" s="66"/>
      <c r="AI51" s="66"/>
      <c r="AJ51" s="66"/>
      <c r="AK51" s="66"/>
      <c r="AL51" s="66"/>
      <c r="AM51" s="66"/>
      <c r="AN51" s="66"/>
      <c r="AO51" s="66"/>
      <c r="AP51" s="66"/>
      <c r="AQ51" s="66"/>
    </row>
    <row r="52" spans="1:43" ht="15.75">
      <c r="B52" s="66" t="s">
        <v>35</v>
      </c>
      <c r="C52" s="119">
        <v>79.2</v>
      </c>
      <c r="D52" s="119">
        <v>75.400000000000006</v>
      </c>
      <c r="E52" s="119">
        <v>99.5</v>
      </c>
      <c r="F52" s="119">
        <v>179.2</v>
      </c>
      <c r="G52" s="119">
        <v>133.4</v>
      </c>
      <c r="H52" s="119">
        <v>122.1</v>
      </c>
      <c r="I52" s="119">
        <v>99.5</v>
      </c>
      <c r="J52" s="71">
        <f t="shared" ref="J52:R52" si="36">J53*J5</f>
        <v>98.662656147271548</v>
      </c>
      <c r="K52" s="71">
        <f t="shared" si="36"/>
        <v>88.764990138067077</v>
      </c>
      <c r="L52" s="71">
        <f t="shared" si="36"/>
        <v>87.623454963839592</v>
      </c>
      <c r="M52" s="71">
        <f t="shared" si="36"/>
        <v>83.1423570019724</v>
      </c>
      <c r="N52" s="71">
        <f t="shared" si="36"/>
        <v>93.535151627218951</v>
      </c>
      <c r="O52" s="71">
        <f t="shared" si="36"/>
        <v>107.56542437130179</v>
      </c>
      <c r="P52" s="71">
        <f t="shared" si="36"/>
        <v>112.94369558986689</v>
      </c>
      <c r="Q52" s="71">
        <f t="shared" si="36"/>
        <v>116.3320064575629</v>
      </c>
      <c r="R52" s="71">
        <f t="shared" si="36"/>
        <v>118.65864658671417</v>
      </c>
      <c r="AI52" s="66"/>
      <c r="AJ52" s="66"/>
      <c r="AK52" s="66"/>
      <c r="AL52" s="66"/>
      <c r="AM52" s="66"/>
      <c r="AN52" s="66"/>
      <c r="AO52" s="66"/>
      <c r="AP52" s="66"/>
      <c r="AQ52" s="66"/>
    </row>
    <row r="53" spans="1:43" ht="15.75">
      <c r="B53" s="66" t="s">
        <v>396</v>
      </c>
      <c r="C53" s="69">
        <f t="shared" ref="C53:I53" si="37">C52/C5</f>
        <v>3.5275253874933195E-2</v>
      </c>
      <c r="D53" s="69">
        <f t="shared" si="37"/>
        <v>3.3164723993842099E-2</v>
      </c>
      <c r="E53" s="69">
        <f t="shared" si="37"/>
        <v>4.0745290745290742E-2</v>
      </c>
      <c r="F53" s="69">
        <f t="shared" si="37"/>
        <v>6.8199117065002285E-2</v>
      </c>
      <c r="G53" s="69">
        <f t="shared" si="37"/>
        <v>4.5826176571624876E-2</v>
      </c>
      <c r="H53" s="69">
        <f t="shared" si="37"/>
        <v>4.2716204869857256E-2</v>
      </c>
      <c r="I53" s="69">
        <f t="shared" si="37"/>
        <v>3.2708744247205788E-2</v>
      </c>
      <c r="J53" s="75">
        <f>I53</f>
        <v>3.2708744247205788E-2</v>
      </c>
      <c r="K53" s="75">
        <f>J53</f>
        <v>3.2708744247205788E-2</v>
      </c>
      <c r="L53" s="75">
        <f t="shared" ref="L53:R53" si="38">K53</f>
        <v>3.2708744247205788E-2</v>
      </c>
      <c r="M53" s="75">
        <f t="shared" si="38"/>
        <v>3.2708744247205788E-2</v>
      </c>
      <c r="N53" s="75">
        <f t="shared" si="38"/>
        <v>3.2708744247205788E-2</v>
      </c>
      <c r="O53" s="75">
        <f t="shared" si="38"/>
        <v>3.2708744247205788E-2</v>
      </c>
      <c r="P53" s="75">
        <f t="shared" si="38"/>
        <v>3.2708744247205788E-2</v>
      </c>
      <c r="Q53" s="75">
        <f t="shared" si="38"/>
        <v>3.2708744247205788E-2</v>
      </c>
      <c r="R53" s="75">
        <f t="shared" si="38"/>
        <v>3.2708744247205788E-2</v>
      </c>
      <c r="AI53" s="66"/>
      <c r="AJ53" s="66"/>
      <c r="AK53" s="66"/>
      <c r="AL53" s="66"/>
      <c r="AM53" s="66"/>
      <c r="AN53" s="66"/>
      <c r="AO53" s="66"/>
      <c r="AP53" s="66"/>
      <c r="AQ53" s="66"/>
    </row>
    <row r="54" spans="1:43" ht="15.75">
      <c r="B54" s="66"/>
      <c r="C54" s="66"/>
      <c r="D54" s="66"/>
      <c r="E54" s="66"/>
      <c r="F54" s="66"/>
      <c r="G54" s="66"/>
      <c r="H54" s="66"/>
      <c r="I54" s="66"/>
      <c r="J54" s="66"/>
      <c r="K54" s="66"/>
      <c r="L54" s="66"/>
      <c r="M54" s="66"/>
      <c r="N54" s="66"/>
      <c r="O54" s="66"/>
      <c r="P54" s="66"/>
      <c r="Q54" s="66"/>
      <c r="R54" s="66"/>
      <c r="AI54" s="66"/>
      <c r="AJ54" s="66"/>
      <c r="AK54" s="66"/>
      <c r="AL54" s="66"/>
      <c r="AM54" s="66"/>
      <c r="AN54" s="66"/>
      <c r="AO54" s="66"/>
      <c r="AP54" s="66"/>
      <c r="AQ54" s="66"/>
    </row>
    <row r="55" spans="1:43" ht="15.75">
      <c r="B55" s="66" t="s">
        <v>36</v>
      </c>
      <c r="C55" s="71">
        <f t="shared" ref="C55:R55" si="39">C14-C52</f>
        <v>864.19999999999993</v>
      </c>
      <c r="D55" s="125">
        <f t="shared" si="39"/>
        <v>858.50000000000011</v>
      </c>
      <c r="E55" s="125">
        <f t="shared" si="39"/>
        <v>903.7</v>
      </c>
      <c r="F55" s="125">
        <f t="shared" si="39"/>
        <v>941.19999999999982</v>
      </c>
      <c r="G55" s="125">
        <f t="shared" si="39"/>
        <v>1107.3999999999999</v>
      </c>
      <c r="H55" s="125">
        <f t="shared" si="39"/>
        <v>1189.7</v>
      </c>
      <c r="I55" s="125">
        <f t="shared" si="39"/>
        <v>1233.5999999999999</v>
      </c>
      <c r="J55" s="125">
        <f t="shared" si="39"/>
        <v>1189.4373438527284</v>
      </c>
      <c r="K55" s="125">
        <f t="shared" si="39"/>
        <v>934.03500986193285</v>
      </c>
      <c r="L55" s="125">
        <f t="shared" si="39"/>
        <v>890.17504503616044</v>
      </c>
      <c r="M55" s="125">
        <f t="shared" si="39"/>
        <v>755.6846429980277</v>
      </c>
      <c r="N55" s="125">
        <f t="shared" si="39"/>
        <v>935.93434837278119</v>
      </c>
      <c r="O55" s="125">
        <f t="shared" si="39"/>
        <v>1059.8815850036981</v>
      </c>
      <c r="P55" s="125">
        <f t="shared" si="39"/>
        <v>1095.6106028476331</v>
      </c>
      <c r="Q55" s="125">
        <f t="shared" si="39"/>
        <v>1128.4789209330625</v>
      </c>
      <c r="R55" s="125">
        <f t="shared" si="39"/>
        <v>1151.0484993517234</v>
      </c>
      <c r="AI55" s="66"/>
      <c r="AJ55" s="66"/>
      <c r="AK55" s="66"/>
      <c r="AL55" s="66"/>
      <c r="AM55" s="66"/>
      <c r="AN55" s="66"/>
      <c r="AO55" s="66"/>
      <c r="AP55" s="66"/>
      <c r="AQ55" s="66"/>
    </row>
    <row r="56" spans="1:43" ht="15.75">
      <c r="B56" s="66" t="s">
        <v>548</v>
      </c>
      <c r="C56" s="116">
        <f t="shared" ref="C56:R56" si="40">C55/C5</f>
        <v>0.38491003028683413</v>
      </c>
      <c r="D56" s="116">
        <f t="shared" si="40"/>
        <v>0.37761161205190241</v>
      </c>
      <c r="E56" s="116">
        <f t="shared" si="40"/>
        <v>0.37006552006552007</v>
      </c>
      <c r="F56" s="116">
        <f t="shared" si="40"/>
        <v>0.358197594763282</v>
      </c>
      <c r="G56" s="116">
        <f t="shared" si="40"/>
        <v>0.38041909996564749</v>
      </c>
      <c r="H56" s="116">
        <f t="shared" si="40"/>
        <v>0.41621186677861743</v>
      </c>
      <c r="I56" s="116">
        <f t="shared" si="40"/>
        <v>0.40552268244575934</v>
      </c>
      <c r="J56" s="116">
        <f t="shared" si="40"/>
        <v>0.39432347959578584</v>
      </c>
      <c r="K56" s="116">
        <f t="shared" si="40"/>
        <v>0.34417975158889114</v>
      </c>
      <c r="L56" s="116">
        <f t="shared" si="40"/>
        <v>0.33229125575279422</v>
      </c>
      <c r="M56" s="116">
        <f t="shared" si="40"/>
        <v>0.29729125575279425</v>
      </c>
      <c r="N56" s="116">
        <f t="shared" si="40"/>
        <v>0.32729125575279422</v>
      </c>
      <c r="O56" s="116">
        <f t="shared" si="40"/>
        <v>0.32229125575279416</v>
      </c>
      <c r="P56" s="116">
        <f t="shared" si="40"/>
        <v>0.31729125575279415</v>
      </c>
      <c r="Q56" s="116">
        <f t="shared" si="40"/>
        <v>0.31729125575279427</v>
      </c>
      <c r="R56" s="116">
        <f t="shared" si="40"/>
        <v>0.31729125575279415</v>
      </c>
      <c r="AI56" s="66"/>
      <c r="AJ56" s="66"/>
      <c r="AK56" s="66"/>
      <c r="AL56" s="66"/>
      <c r="AM56" s="66"/>
      <c r="AN56" s="66"/>
      <c r="AO56" s="66"/>
      <c r="AP56" s="66"/>
      <c r="AQ56" s="66"/>
    </row>
    <row r="57" spans="1:43" ht="15.75">
      <c r="B57" s="66" t="s">
        <v>154</v>
      </c>
      <c r="C57" s="71">
        <f t="shared" ref="C57:I57" si="41">C55+C35+C37+C46</f>
        <v>259.59999999999991</v>
      </c>
      <c r="D57" s="125">
        <f t="shared" si="41"/>
        <v>309.10000000000008</v>
      </c>
      <c r="E57" s="125">
        <f t="shared" si="41"/>
        <v>286.40000000000009</v>
      </c>
      <c r="F57" s="125">
        <f t="shared" si="41"/>
        <v>778.39999999999986</v>
      </c>
      <c r="G57" s="125">
        <f t="shared" si="41"/>
        <v>601.09999999999991</v>
      </c>
      <c r="H57" s="125">
        <f t="shared" si="41"/>
        <v>729.19999999999993</v>
      </c>
      <c r="I57" s="125">
        <f t="shared" si="41"/>
        <v>636.89999999999986</v>
      </c>
      <c r="J57" s="125">
        <f>J55+J40+J46</f>
        <v>436.8710714533442</v>
      </c>
      <c r="K57" s="125">
        <f t="shared" ref="K57:R57" si="42">K55+K40+K46</f>
        <v>268.70617576252664</v>
      </c>
      <c r="L57" s="125">
        <f t="shared" si="42"/>
        <v>263.75930724325349</v>
      </c>
      <c r="M57" s="125">
        <f t="shared" si="42"/>
        <v>199.29532200070645</v>
      </c>
      <c r="N57" s="125">
        <f t="shared" si="42"/>
        <v>336.67743920053249</v>
      </c>
      <c r="O57" s="125">
        <f t="shared" si="42"/>
        <v>458.85527207628274</v>
      </c>
      <c r="P57" s="125">
        <f t="shared" si="42"/>
        <v>551.23158116465481</v>
      </c>
      <c r="Q57" s="125">
        <f t="shared" si="42"/>
        <v>653.73617326837848</v>
      </c>
      <c r="R57" s="125">
        <f t="shared" si="42"/>
        <v>703.63121424444557</v>
      </c>
      <c r="AI57" s="66"/>
      <c r="AJ57" s="66"/>
      <c r="AK57" s="66"/>
      <c r="AL57" s="66"/>
      <c r="AM57" s="66"/>
      <c r="AN57" s="66"/>
      <c r="AO57" s="66"/>
      <c r="AP57" s="66"/>
      <c r="AQ57" s="66"/>
    </row>
    <row r="58" spans="1:43" ht="15.75">
      <c r="B58" s="66" t="s">
        <v>7855</v>
      </c>
      <c r="C58" s="71"/>
      <c r="D58" s="125"/>
      <c r="E58" s="125"/>
      <c r="F58" s="119">
        <v>-350</v>
      </c>
      <c r="G58" s="119">
        <v>-25</v>
      </c>
      <c r="H58" s="119">
        <v>-25</v>
      </c>
      <c r="I58" s="119">
        <v>-25</v>
      </c>
      <c r="J58" s="119">
        <v>-25</v>
      </c>
      <c r="K58" s="119">
        <v>-25</v>
      </c>
      <c r="L58" s="119">
        <v>-25</v>
      </c>
      <c r="M58" s="119">
        <v>-25</v>
      </c>
      <c r="N58" s="119">
        <v>-25</v>
      </c>
      <c r="O58" s="119">
        <v>-25</v>
      </c>
      <c r="P58" s="119">
        <v>-25</v>
      </c>
      <c r="Q58" s="119">
        <v>-25</v>
      </c>
      <c r="R58" s="119">
        <v>-25</v>
      </c>
      <c r="AI58" s="66"/>
      <c r="AJ58" s="66"/>
      <c r="AK58" s="66"/>
      <c r="AL58" s="66"/>
      <c r="AM58" s="66"/>
      <c r="AN58" s="66"/>
      <c r="AO58" s="66"/>
      <c r="AP58" s="66"/>
      <c r="AQ58" s="66"/>
    </row>
    <row r="59" spans="1:43" ht="15.75">
      <c r="B59" s="66"/>
      <c r="C59" s="66"/>
      <c r="D59" s="66"/>
      <c r="E59" s="66"/>
      <c r="F59" s="66"/>
      <c r="G59" s="66"/>
      <c r="H59" s="66"/>
      <c r="I59" s="66"/>
      <c r="J59" s="66"/>
      <c r="K59" s="66"/>
      <c r="L59" s="66"/>
      <c r="M59" s="66"/>
      <c r="N59" s="66"/>
      <c r="O59" s="66"/>
      <c r="P59" s="66"/>
      <c r="Q59" s="66"/>
      <c r="R59" s="66"/>
      <c r="AI59" s="66"/>
      <c r="AJ59" s="66"/>
      <c r="AK59" s="66"/>
      <c r="AL59" s="66"/>
      <c r="AM59" s="66"/>
      <c r="AN59" s="66"/>
      <c r="AO59" s="66"/>
      <c r="AP59" s="66"/>
      <c r="AQ59" s="66"/>
    </row>
    <row r="60" spans="1:43" ht="15.75">
      <c r="B60" s="67" t="s">
        <v>128</v>
      </c>
      <c r="C60" s="67">
        <f t="shared" ref="C60:R60" si="43">C4</f>
        <v>2010</v>
      </c>
      <c r="D60" s="67">
        <f t="shared" si="43"/>
        <v>2011</v>
      </c>
      <c r="E60" s="67">
        <f t="shared" si="43"/>
        <v>2012</v>
      </c>
      <c r="F60" s="67">
        <f t="shared" si="43"/>
        <v>2013</v>
      </c>
      <c r="G60" s="67">
        <f t="shared" si="43"/>
        <v>2014</v>
      </c>
      <c r="H60" s="67">
        <f t="shared" si="43"/>
        <v>2015</v>
      </c>
      <c r="I60" s="67">
        <f t="shared" si="43"/>
        <v>2016</v>
      </c>
      <c r="J60" s="67">
        <f t="shared" si="43"/>
        <v>2017</v>
      </c>
      <c r="K60" s="67">
        <f t="shared" si="43"/>
        <v>2018</v>
      </c>
      <c r="L60" s="67">
        <f t="shared" si="43"/>
        <v>2019</v>
      </c>
      <c r="M60" s="67">
        <f t="shared" si="43"/>
        <v>2020</v>
      </c>
      <c r="N60" s="67">
        <f t="shared" si="43"/>
        <v>2021</v>
      </c>
      <c r="O60" s="67">
        <f t="shared" si="43"/>
        <v>2022</v>
      </c>
      <c r="P60" s="67">
        <f t="shared" si="43"/>
        <v>2023</v>
      </c>
      <c r="Q60" s="67">
        <f t="shared" si="43"/>
        <v>2024</v>
      </c>
      <c r="R60" s="67">
        <f t="shared" si="43"/>
        <v>2025</v>
      </c>
      <c r="AI60" s="66"/>
      <c r="AJ60" s="66"/>
      <c r="AK60" s="66"/>
      <c r="AL60" s="66"/>
      <c r="AM60" s="66"/>
      <c r="AN60" s="66"/>
      <c r="AO60" s="66"/>
      <c r="AP60" s="66"/>
      <c r="AQ60" s="66"/>
    </row>
    <row r="61" spans="1:43" ht="15.75">
      <c r="B61" s="66" t="s">
        <v>324</v>
      </c>
      <c r="C61" s="114">
        <f>F253+F254</f>
        <v>10228.799999999999</v>
      </c>
      <c r="D61" s="124">
        <f>J253+J254</f>
        <v>9251.2999999999993</v>
      </c>
      <c r="E61" s="124">
        <f>N253+N254</f>
        <v>9195.9000000000015</v>
      </c>
      <c r="F61" s="124">
        <f>R253+R254</f>
        <v>9552.5</v>
      </c>
      <c r="G61" s="124">
        <f>V253+V254</f>
        <v>9321.4</v>
      </c>
      <c r="H61" s="124">
        <f>Z253+Z254</f>
        <v>9413.2000000000007</v>
      </c>
      <c r="I61" s="124">
        <f>AD253+AD254</f>
        <v>8920.5</v>
      </c>
      <c r="J61" s="124">
        <f>7999.9+37</f>
        <v>8036.9</v>
      </c>
      <c r="K61" s="124">
        <f>7440.9+117.7</f>
        <v>7558.5999999999995</v>
      </c>
      <c r="L61" s="125">
        <f>L77</f>
        <v>6358.5999999999995</v>
      </c>
      <c r="M61" s="125">
        <f t="shared" ref="M61:R61" si="44">M77</f>
        <v>6358.5999999999995</v>
      </c>
      <c r="N61" s="125">
        <f t="shared" si="44"/>
        <v>5608.5999999999995</v>
      </c>
      <c r="O61" s="125">
        <f t="shared" si="44"/>
        <v>4793.5999999999995</v>
      </c>
      <c r="P61" s="125">
        <f t="shared" si="44"/>
        <v>2343.5999999999995</v>
      </c>
      <c r="Q61" s="125">
        <f t="shared" si="44"/>
        <v>-56.400000000000546</v>
      </c>
      <c r="R61" s="125">
        <f t="shared" si="44"/>
        <v>-56.400000000000546</v>
      </c>
      <c r="AI61" s="66"/>
      <c r="AJ61" s="66"/>
      <c r="AK61" s="66"/>
      <c r="AL61" s="66"/>
      <c r="AM61" s="66"/>
      <c r="AN61" s="66"/>
      <c r="AO61" s="66"/>
      <c r="AP61" s="66"/>
      <c r="AQ61" s="66"/>
    </row>
    <row r="62" spans="1:43" ht="15.75">
      <c r="A62" s="141" t="s">
        <v>7816</v>
      </c>
      <c r="B62" s="141" t="s">
        <v>7856</v>
      </c>
      <c r="C62" s="71"/>
      <c r="D62" s="125"/>
      <c r="E62" s="125"/>
      <c r="F62" s="125"/>
      <c r="G62" s="125"/>
      <c r="H62" s="125"/>
      <c r="I62" s="125"/>
      <c r="J62" s="125"/>
      <c r="K62" s="125"/>
      <c r="L62" s="125"/>
      <c r="M62" s="125"/>
      <c r="N62" s="125"/>
      <c r="O62" s="125"/>
      <c r="P62" s="125"/>
      <c r="Q62" s="125"/>
      <c r="R62" s="125"/>
      <c r="AI62" s="66"/>
      <c r="AJ62" s="66"/>
      <c r="AK62" s="66"/>
      <c r="AL62" s="66"/>
      <c r="AM62" s="66"/>
      <c r="AN62" s="66"/>
      <c r="AO62" s="66"/>
      <c r="AP62" s="66"/>
      <c r="AQ62" s="66"/>
    </row>
    <row r="63" spans="1:43" ht="15.75">
      <c r="A63" s="143">
        <v>6.7500000000000004E-2</v>
      </c>
      <c r="B63" s="142" t="s">
        <v>7857</v>
      </c>
      <c r="C63" s="71">
        <v>0</v>
      </c>
      <c r="D63" s="124">
        <v>625</v>
      </c>
      <c r="E63" s="124">
        <f>D63+600</f>
        <v>1225</v>
      </c>
      <c r="F63" s="124">
        <v>1225</v>
      </c>
      <c r="G63" s="124">
        <v>1225</v>
      </c>
      <c r="H63" s="125">
        <f t="shared" ref="H63:O63" si="45">G63</f>
        <v>1225</v>
      </c>
      <c r="I63" s="125">
        <f t="shared" si="45"/>
        <v>1225</v>
      </c>
      <c r="J63" s="125">
        <f t="shared" si="45"/>
        <v>1225</v>
      </c>
      <c r="K63" s="125">
        <f t="shared" si="45"/>
        <v>1225</v>
      </c>
      <c r="L63" s="125">
        <f t="shared" si="45"/>
        <v>1225</v>
      </c>
      <c r="M63" s="125">
        <f t="shared" si="45"/>
        <v>1225</v>
      </c>
      <c r="N63" s="125">
        <f t="shared" si="45"/>
        <v>1225</v>
      </c>
      <c r="O63" s="125">
        <f t="shared" si="45"/>
        <v>1225</v>
      </c>
      <c r="P63" s="125">
        <v>0</v>
      </c>
      <c r="Q63" s="125">
        <v>0</v>
      </c>
      <c r="R63" s="125">
        <v>0</v>
      </c>
      <c r="AI63" s="66"/>
      <c r="AJ63" s="66"/>
      <c r="AK63" s="66"/>
      <c r="AL63" s="66"/>
      <c r="AM63" s="66"/>
      <c r="AN63" s="66"/>
      <c r="AO63" s="66"/>
      <c r="AP63" s="66"/>
      <c r="AQ63" s="66"/>
    </row>
    <row r="64" spans="1:43" ht="15.75">
      <c r="A64" s="143">
        <v>8.5000000000000006E-2</v>
      </c>
      <c r="B64" s="142" t="s">
        <v>7858</v>
      </c>
      <c r="C64" s="71">
        <f>D64</f>
        <v>815</v>
      </c>
      <c r="D64" s="124">
        <v>815</v>
      </c>
      <c r="E64" s="124">
        <v>815</v>
      </c>
      <c r="F64" s="124">
        <v>815</v>
      </c>
      <c r="G64" s="124">
        <v>815</v>
      </c>
      <c r="H64" s="125">
        <f t="shared" ref="H64:N64" si="46">G64</f>
        <v>815</v>
      </c>
      <c r="I64" s="125">
        <f t="shared" si="46"/>
        <v>815</v>
      </c>
      <c r="J64" s="125">
        <f t="shared" si="46"/>
        <v>815</v>
      </c>
      <c r="K64" s="125">
        <f t="shared" si="46"/>
        <v>815</v>
      </c>
      <c r="L64" s="125">
        <f t="shared" si="46"/>
        <v>815</v>
      </c>
      <c r="M64" s="125">
        <f t="shared" si="46"/>
        <v>815</v>
      </c>
      <c r="N64" s="125">
        <f t="shared" si="46"/>
        <v>815</v>
      </c>
      <c r="O64" s="125">
        <v>0</v>
      </c>
      <c r="P64" s="125">
        <v>0</v>
      </c>
      <c r="Q64" s="125">
        <v>0</v>
      </c>
      <c r="R64" s="125">
        <v>0</v>
      </c>
      <c r="AI64" s="66"/>
      <c r="AJ64" s="66"/>
      <c r="AK64" s="66"/>
      <c r="AL64" s="66"/>
      <c r="AM64" s="66"/>
      <c r="AN64" s="66"/>
      <c r="AO64" s="66"/>
      <c r="AP64" s="66"/>
      <c r="AQ64" s="66"/>
    </row>
    <row r="65" spans="1:43" ht="15.75">
      <c r="A65" s="143">
        <v>6.8750000000000006E-2</v>
      </c>
      <c r="B65" s="142" t="s">
        <v>7859</v>
      </c>
      <c r="C65" s="71">
        <f t="shared" ref="C65:C70" si="47">D65</f>
        <v>1200</v>
      </c>
      <c r="D65" s="124">
        <v>1200</v>
      </c>
      <c r="E65" s="124">
        <v>1200</v>
      </c>
      <c r="F65" s="124">
        <v>1200</v>
      </c>
      <c r="G65" s="124">
        <v>1200</v>
      </c>
      <c r="H65" s="124">
        <v>0</v>
      </c>
      <c r="I65" s="125">
        <v>0</v>
      </c>
      <c r="J65" s="125">
        <v>0</v>
      </c>
      <c r="K65" s="125">
        <v>0</v>
      </c>
      <c r="L65" s="125">
        <v>0</v>
      </c>
      <c r="M65" s="125">
        <v>0</v>
      </c>
      <c r="N65" s="125">
        <v>0</v>
      </c>
      <c r="O65" s="125">
        <v>0</v>
      </c>
      <c r="P65" s="125">
        <v>0</v>
      </c>
      <c r="Q65" s="125">
        <v>0</v>
      </c>
      <c r="R65" s="125">
        <v>0</v>
      </c>
      <c r="AI65" s="66"/>
      <c r="AJ65" s="66"/>
      <c r="AK65" s="66"/>
      <c r="AL65" s="66"/>
      <c r="AM65" s="66"/>
      <c r="AN65" s="66"/>
      <c r="AO65" s="66"/>
      <c r="AP65" s="66"/>
      <c r="AQ65" s="66"/>
    </row>
    <row r="66" spans="1:43" ht="15.75">
      <c r="A66" s="143">
        <v>7.7850000000000003E-2</v>
      </c>
      <c r="B66" s="142" t="s">
        <v>7860</v>
      </c>
      <c r="C66" s="71">
        <f t="shared" si="47"/>
        <v>750</v>
      </c>
      <c r="D66" s="124">
        <v>750</v>
      </c>
      <c r="E66" s="124">
        <v>750</v>
      </c>
      <c r="F66" s="124">
        <v>750</v>
      </c>
      <c r="G66" s="124">
        <v>750</v>
      </c>
      <c r="H66" s="125">
        <f t="shared" ref="H66:L70" si="48">G66</f>
        <v>750</v>
      </c>
      <c r="I66" s="125">
        <f t="shared" si="48"/>
        <v>750</v>
      </c>
      <c r="J66" s="125">
        <f t="shared" si="48"/>
        <v>750</v>
      </c>
      <c r="K66" s="125">
        <f t="shared" si="48"/>
        <v>750</v>
      </c>
      <c r="L66" s="125">
        <f t="shared" si="48"/>
        <v>750</v>
      </c>
      <c r="M66" s="125">
        <f>L66</f>
        <v>750</v>
      </c>
      <c r="N66" s="125">
        <v>0</v>
      </c>
      <c r="O66" s="125">
        <v>0</v>
      </c>
      <c r="P66" s="125">
        <v>0</v>
      </c>
      <c r="Q66" s="125">
        <v>0</v>
      </c>
      <c r="R66" s="125">
        <v>0</v>
      </c>
      <c r="AI66" s="66"/>
      <c r="AJ66" s="66"/>
      <c r="AK66" s="66"/>
      <c r="AL66" s="66"/>
      <c r="AM66" s="66"/>
      <c r="AN66" s="66"/>
      <c r="AO66" s="66"/>
      <c r="AP66" s="66"/>
      <c r="AQ66" s="66"/>
    </row>
    <row r="67" spans="1:43" ht="15.75">
      <c r="A67" s="144">
        <v>6.8750000000000006E-2</v>
      </c>
      <c r="B67" s="142" t="s">
        <v>7859</v>
      </c>
      <c r="C67" s="119">
        <v>0</v>
      </c>
      <c r="D67" s="124">
        <v>600</v>
      </c>
      <c r="E67" s="124">
        <v>600</v>
      </c>
      <c r="F67" s="124">
        <v>600</v>
      </c>
      <c r="G67" s="124">
        <v>600</v>
      </c>
      <c r="H67" s="125">
        <f t="shared" si="48"/>
        <v>600</v>
      </c>
      <c r="I67" s="125">
        <f t="shared" si="48"/>
        <v>600</v>
      </c>
      <c r="J67" s="125">
        <f t="shared" si="48"/>
        <v>600</v>
      </c>
      <c r="K67" s="125">
        <f t="shared" si="48"/>
        <v>600</v>
      </c>
      <c r="L67" s="125">
        <v>0</v>
      </c>
      <c r="M67" s="125">
        <v>0</v>
      </c>
      <c r="N67" s="125">
        <v>0</v>
      </c>
      <c r="O67" s="125">
        <v>0</v>
      </c>
      <c r="P67" s="125">
        <v>0</v>
      </c>
      <c r="Q67" s="125">
        <v>0</v>
      </c>
      <c r="R67" s="125">
        <v>0</v>
      </c>
      <c r="AI67" s="66"/>
      <c r="AJ67" s="66"/>
      <c r="AK67" s="66"/>
      <c r="AL67" s="66"/>
      <c r="AM67" s="66"/>
      <c r="AN67" s="66"/>
      <c r="AO67" s="66"/>
      <c r="AP67" s="66"/>
      <c r="AQ67" s="66"/>
    </row>
    <row r="68" spans="1:43" ht="15.75">
      <c r="A68" s="144">
        <v>6.8750000000000006E-2</v>
      </c>
      <c r="B68" s="142" t="s">
        <v>7859</v>
      </c>
      <c r="C68" s="119">
        <v>0</v>
      </c>
      <c r="D68" s="124">
        <v>0</v>
      </c>
      <c r="E68" s="124">
        <v>600</v>
      </c>
      <c r="F68" s="124">
        <v>600</v>
      </c>
      <c r="G68" s="124">
        <v>600</v>
      </c>
      <c r="H68" s="125">
        <f>G68</f>
        <v>600</v>
      </c>
      <c r="I68" s="125">
        <f>H68</f>
        <v>600</v>
      </c>
      <c r="J68" s="125">
        <f>I68</f>
        <v>600</v>
      </c>
      <c r="K68" s="125">
        <f>J68</f>
        <v>600</v>
      </c>
      <c r="L68" s="125">
        <v>0</v>
      </c>
      <c r="M68" s="125">
        <v>0</v>
      </c>
      <c r="N68" s="125">
        <v>0</v>
      </c>
      <c r="O68" s="125">
        <v>0</v>
      </c>
      <c r="P68" s="125">
        <v>0</v>
      </c>
      <c r="Q68" s="125">
        <v>0</v>
      </c>
      <c r="R68" s="125">
        <v>0</v>
      </c>
      <c r="AI68" s="66"/>
      <c r="AJ68" s="66"/>
      <c r="AK68" s="66"/>
      <c r="AL68" s="66"/>
      <c r="AM68" s="66"/>
      <c r="AN68" s="66"/>
      <c r="AO68" s="66"/>
      <c r="AP68" s="66"/>
      <c r="AQ68" s="66"/>
    </row>
    <row r="69" spans="1:43" ht="15.75">
      <c r="A69" s="143">
        <v>6.7500000000000004E-2</v>
      </c>
      <c r="B69" s="142" t="s">
        <v>7857</v>
      </c>
      <c r="C69" s="71">
        <f t="shared" si="47"/>
        <v>625</v>
      </c>
      <c r="D69" s="124">
        <v>625</v>
      </c>
      <c r="E69" s="124">
        <v>625</v>
      </c>
      <c r="F69" s="124">
        <v>625</v>
      </c>
      <c r="G69" s="124">
        <v>625</v>
      </c>
      <c r="H69" s="125">
        <f t="shared" si="48"/>
        <v>625</v>
      </c>
      <c r="I69" s="125">
        <f t="shared" si="48"/>
        <v>625</v>
      </c>
      <c r="J69" s="125">
        <f t="shared" si="48"/>
        <v>625</v>
      </c>
      <c r="K69" s="125">
        <f t="shared" si="48"/>
        <v>625</v>
      </c>
      <c r="L69" s="125">
        <f t="shared" si="48"/>
        <v>625</v>
      </c>
      <c r="M69" s="125">
        <f t="shared" ref="M69:O70" si="49">L69</f>
        <v>625</v>
      </c>
      <c r="N69" s="125">
        <f t="shared" si="49"/>
        <v>625</v>
      </c>
      <c r="O69" s="125">
        <f t="shared" si="49"/>
        <v>625</v>
      </c>
      <c r="P69" s="125">
        <v>0</v>
      </c>
      <c r="Q69" s="125">
        <v>0</v>
      </c>
      <c r="R69" s="125">
        <v>0</v>
      </c>
      <c r="AI69" s="66"/>
      <c r="AJ69" s="66"/>
      <c r="AK69" s="66"/>
      <c r="AL69" s="66"/>
      <c r="AM69" s="66"/>
      <c r="AN69" s="66"/>
      <c r="AO69" s="66"/>
      <c r="AP69" s="66"/>
      <c r="AQ69" s="66"/>
    </row>
    <row r="70" spans="1:43" ht="15.75">
      <c r="A70" s="143">
        <v>6.7500000000000004E-2</v>
      </c>
      <c r="B70" s="142" t="s">
        <v>7857</v>
      </c>
      <c r="C70" s="71">
        <f t="shared" si="47"/>
        <v>600</v>
      </c>
      <c r="D70" s="124">
        <v>600</v>
      </c>
      <c r="E70" s="124">
        <v>600</v>
      </c>
      <c r="F70" s="124">
        <v>600</v>
      </c>
      <c r="G70" s="124">
        <v>600</v>
      </c>
      <c r="H70" s="125">
        <f t="shared" si="48"/>
        <v>600</v>
      </c>
      <c r="I70" s="125">
        <f t="shared" si="48"/>
        <v>600</v>
      </c>
      <c r="J70" s="125">
        <f t="shared" si="48"/>
        <v>600</v>
      </c>
      <c r="K70" s="125">
        <f t="shared" si="48"/>
        <v>600</v>
      </c>
      <c r="L70" s="125">
        <f t="shared" si="48"/>
        <v>600</v>
      </c>
      <c r="M70" s="125">
        <f t="shared" si="49"/>
        <v>600</v>
      </c>
      <c r="N70" s="125">
        <f t="shared" si="49"/>
        <v>600</v>
      </c>
      <c r="O70" s="125">
        <f t="shared" si="49"/>
        <v>600</v>
      </c>
      <c r="P70" s="125">
        <v>0</v>
      </c>
      <c r="Q70" s="125">
        <v>0</v>
      </c>
      <c r="R70" s="125">
        <v>0</v>
      </c>
      <c r="AI70" s="66"/>
      <c r="AJ70" s="66"/>
      <c r="AK70" s="66"/>
      <c r="AL70" s="66"/>
      <c r="AM70" s="66"/>
      <c r="AN70" s="66"/>
      <c r="AO70" s="66"/>
      <c r="AP70" s="66"/>
      <c r="AQ70" s="66"/>
    </row>
    <row r="71" spans="1:43" ht="15.75">
      <c r="A71" s="143">
        <v>5.1249999999999997E-2</v>
      </c>
      <c r="B71" s="142" t="s">
        <v>7861</v>
      </c>
      <c r="C71" s="71"/>
      <c r="D71" s="124"/>
      <c r="E71" s="124"/>
      <c r="F71" s="124">
        <v>1200</v>
      </c>
      <c r="G71" s="124">
        <v>1200</v>
      </c>
      <c r="H71" s="125">
        <f t="shared" ref="H71:P71" si="50">G71</f>
        <v>1200</v>
      </c>
      <c r="I71" s="125">
        <f t="shared" si="50"/>
        <v>1200</v>
      </c>
      <c r="J71" s="125">
        <f t="shared" si="50"/>
        <v>1200</v>
      </c>
      <c r="K71" s="125">
        <f t="shared" si="50"/>
        <v>1200</v>
      </c>
      <c r="L71" s="125">
        <f t="shared" si="50"/>
        <v>1200</v>
      </c>
      <c r="M71" s="125">
        <f t="shared" si="50"/>
        <v>1200</v>
      </c>
      <c r="N71" s="125">
        <f t="shared" si="50"/>
        <v>1200</v>
      </c>
      <c r="O71" s="125">
        <f t="shared" si="50"/>
        <v>1200</v>
      </c>
      <c r="P71" s="125">
        <f t="shared" si="50"/>
        <v>1200</v>
      </c>
      <c r="Q71" s="125">
        <v>0</v>
      </c>
      <c r="R71" s="125">
        <v>0</v>
      </c>
      <c r="AI71" s="66"/>
      <c r="AJ71" s="66"/>
      <c r="AK71" s="66"/>
      <c r="AL71" s="66"/>
      <c r="AM71" s="66"/>
      <c r="AN71" s="66"/>
      <c r="AO71" s="66"/>
      <c r="AP71" s="66"/>
      <c r="AQ71" s="66"/>
    </row>
    <row r="72" spans="1:43" ht="15.75">
      <c r="A72" s="143">
        <v>5.1249999999999997E-2</v>
      </c>
      <c r="B72" s="142" t="s">
        <v>7861</v>
      </c>
      <c r="C72" s="71"/>
      <c r="D72" s="124"/>
      <c r="E72" s="124"/>
      <c r="F72" s="124">
        <v>700</v>
      </c>
      <c r="G72" s="124">
        <v>700</v>
      </c>
      <c r="H72" s="125">
        <f t="shared" ref="H72:N72" si="51">G72</f>
        <v>700</v>
      </c>
      <c r="I72" s="125">
        <f t="shared" si="51"/>
        <v>700</v>
      </c>
      <c r="J72" s="125">
        <f t="shared" si="51"/>
        <v>700</v>
      </c>
      <c r="K72" s="125">
        <f t="shared" si="51"/>
        <v>700</v>
      </c>
      <c r="L72" s="125">
        <f t="shared" si="51"/>
        <v>700</v>
      </c>
      <c r="M72" s="125">
        <f t="shared" si="51"/>
        <v>700</v>
      </c>
      <c r="N72" s="125">
        <f t="shared" si="51"/>
        <v>700</v>
      </c>
      <c r="O72" s="125">
        <f t="shared" ref="O72:R74" si="52">N72</f>
        <v>700</v>
      </c>
      <c r="P72" s="125">
        <f t="shared" si="52"/>
        <v>700</v>
      </c>
      <c r="Q72" s="125">
        <v>0</v>
      </c>
      <c r="R72" s="125">
        <v>0</v>
      </c>
      <c r="AI72" s="66"/>
      <c r="AJ72" s="66"/>
      <c r="AK72" s="66"/>
      <c r="AL72" s="66"/>
      <c r="AM72" s="66"/>
      <c r="AN72" s="66"/>
      <c r="AO72" s="66"/>
      <c r="AP72" s="66"/>
      <c r="AQ72" s="66"/>
    </row>
    <row r="73" spans="1:43" ht="15.75">
      <c r="A73" s="143">
        <v>5.1249999999999997E-2</v>
      </c>
      <c r="B73" s="142" t="s">
        <v>7861</v>
      </c>
      <c r="C73" s="71"/>
      <c r="D73" s="124"/>
      <c r="E73" s="124"/>
      <c r="F73" s="124"/>
      <c r="G73" s="124">
        <v>0</v>
      </c>
      <c r="H73" s="124">
        <v>500</v>
      </c>
      <c r="I73" s="125">
        <f t="shared" ref="I73:N74" si="53">H73</f>
        <v>500</v>
      </c>
      <c r="J73" s="125">
        <f t="shared" si="53"/>
        <v>500</v>
      </c>
      <c r="K73" s="125">
        <f t="shared" si="53"/>
        <v>500</v>
      </c>
      <c r="L73" s="125">
        <f t="shared" si="53"/>
        <v>500</v>
      </c>
      <c r="M73" s="125">
        <f t="shared" si="53"/>
        <v>500</v>
      </c>
      <c r="N73" s="125">
        <f t="shared" si="53"/>
        <v>500</v>
      </c>
      <c r="O73" s="125">
        <f t="shared" si="52"/>
        <v>500</v>
      </c>
      <c r="P73" s="125">
        <f t="shared" si="52"/>
        <v>500</v>
      </c>
      <c r="Q73" s="125">
        <v>0</v>
      </c>
      <c r="R73" s="125">
        <v>0</v>
      </c>
      <c r="AI73" s="66"/>
      <c r="AJ73" s="66"/>
      <c r="AK73" s="66"/>
      <c r="AL73" s="66"/>
      <c r="AM73" s="66"/>
      <c r="AN73" s="66"/>
      <c r="AO73" s="66"/>
      <c r="AP73" s="66"/>
      <c r="AQ73" s="66"/>
    </row>
    <row r="74" spans="1:43" ht="15.75">
      <c r="A74" s="143">
        <v>5.1249999999999997E-2</v>
      </c>
      <c r="B74" s="142" t="s">
        <v>7862</v>
      </c>
      <c r="C74" s="71"/>
      <c r="D74" s="124"/>
      <c r="E74" s="124"/>
      <c r="F74" s="124"/>
      <c r="G74" s="124">
        <v>0</v>
      </c>
      <c r="H74" s="124">
        <v>750</v>
      </c>
      <c r="I74" s="125">
        <f t="shared" si="53"/>
        <v>750</v>
      </c>
      <c r="J74" s="125">
        <f t="shared" si="53"/>
        <v>750</v>
      </c>
      <c r="K74" s="125">
        <f t="shared" si="53"/>
        <v>750</v>
      </c>
      <c r="L74" s="125">
        <f t="shared" si="53"/>
        <v>750</v>
      </c>
      <c r="M74" s="125">
        <f t="shared" si="53"/>
        <v>750</v>
      </c>
      <c r="N74" s="125">
        <f t="shared" si="53"/>
        <v>750</v>
      </c>
      <c r="O74" s="125">
        <f t="shared" si="52"/>
        <v>750</v>
      </c>
      <c r="P74" s="125">
        <f t="shared" si="52"/>
        <v>750</v>
      </c>
      <c r="Q74" s="125">
        <f t="shared" si="52"/>
        <v>750</v>
      </c>
      <c r="R74" s="125">
        <f t="shared" si="52"/>
        <v>750</v>
      </c>
      <c r="AI74" s="66"/>
      <c r="AJ74" s="66"/>
      <c r="AK74" s="66"/>
      <c r="AL74" s="66"/>
      <c r="AM74" s="66"/>
      <c r="AN74" s="66"/>
      <c r="AO74" s="66"/>
      <c r="AP74" s="66"/>
      <c r="AQ74" s="66"/>
    </row>
    <row r="75" spans="1:43" ht="15.75">
      <c r="A75" s="143"/>
      <c r="B75" s="142"/>
      <c r="C75" s="71"/>
      <c r="D75" s="124"/>
      <c r="E75" s="124"/>
      <c r="F75" s="124"/>
      <c r="G75" s="124"/>
      <c r="H75" s="125"/>
      <c r="I75" s="125"/>
      <c r="J75" s="125"/>
      <c r="K75" s="125"/>
      <c r="L75" s="125"/>
      <c r="M75" s="125"/>
      <c r="N75" s="125"/>
      <c r="O75" s="125"/>
      <c r="P75" s="125"/>
      <c r="Q75" s="125"/>
      <c r="R75" s="125"/>
      <c r="AI75" s="66"/>
      <c r="AJ75" s="66"/>
      <c r="AK75" s="66"/>
      <c r="AL75" s="66"/>
      <c r="AM75" s="66"/>
      <c r="AN75" s="66"/>
      <c r="AO75" s="66"/>
      <c r="AP75" s="66"/>
      <c r="AQ75" s="66"/>
    </row>
    <row r="76" spans="1:43" ht="15.75">
      <c r="A76" s="9"/>
      <c r="B76" s="67" t="s">
        <v>107</v>
      </c>
      <c r="C76" s="76">
        <f t="shared" ref="C76:K76" si="54">C61-SUM(C63:C75)</f>
        <v>6238.7999999999993</v>
      </c>
      <c r="D76" s="76">
        <f t="shared" si="54"/>
        <v>4036.2999999999993</v>
      </c>
      <c r="E76" s="76">
        <f t="shared" si="54"/>
        <v>2780.9000000000015</v>
      </c>
      <c r="F76" s="76">
        <f t="shared" si="54"/>
        <v>1237.5</v>
      </c>
      <c r="G76" s="76">
        <f t="shared" si="54"/>
        <v>1006.3999999999996</v>
      </c>
      <c r="H76" s="76">
        <f t="shared" si="54"/>
        <v>1048.2000000000007</v>
      </c>
      <c r="I76" s="76">
        <f t="shared" si="54"/>
        <v>555.5</v>
      </c>
      <c r="J76" s="76">
        <f t="shared" si="54"/>
        <v>-328.10000000000036</v>
      </c>
      <c r="K76" s="76">
        <f t="shared" si="54"/>
        <v>-806.40000000000055</v>
      </c>
      <c r="L76" s="76">
        <f t="shared" ref="L76:R76" si="55">K76</f>
        <v>-806.40000000000055</v>
      </c>
      <c r="M76" s="76">
        <f t="shared" si="55"/>
        <v>-806.40000000000055</v>
      </c>
      <c r="N76" s="76">
        <f t="shared" si="55"/>
        <v>-806.40000000000055</v>
      </c>
      <c r="O76" s="76">
        <f t="shared" si="55"/>
        <v>-806.40000000000055</v>
      </c>
      <c r="P76" s="76">
        <f t="shared" si="55"/>
        <v>-806.40000000000055</v>
      </c>
      <c r="Q76" s="76">
        <f t="shared" si="55"/>
        <v>-806.40000000000055</v>
      </c>
      <c r="R76" s="76">
        <f t="shared" si="55"/>
        <v>-806.40000000000055</v>
      </c>
      <c r="AI76" s="66"/>
      <c r="AJ76" s="66"/>
      <c r="AK76" s="66"/>
      <c r="AL76" s="66"/>
      <c r="AM76" s="66"/>
      <c r="AN76" s="66"/>
      <c r="AO76" s="66"/>
      <c r="AP76" s="66"/>
      <c r="AQ76" s="66"/>
    </row>
    <row r="77" spans="1:43" ht="15.75">
      <c r="A77" s="9"/>
      <c r="B77" s="66" t="s">
        <v>85</v>
      </c>
      <c r="C77" s="71">
        <f t="shared" ref="C77:R77" si="56">SUM(C63:C76)</f>
        <v>10228.799999999999</v>
      </c>
      <c r="D77" s="125">
        <f t="shared" si="56"/>
        <v>9251.2999999999993</v>
      </c>
      <c r="E77" s="125">
        <f t="shared" si="56"/>
        <v>9195.9000000000015</v>
      </c>
      <c r="F77" s="125">
        <f t="shared" si="56"/>
        <v>9552.5</v>
      </c>
      <c r="G77" s="125">
        <f t="shared" si="56"/>
        <v>9321.4</v>
      </c>
      <c r="H77" s="125">
        <f t="shared" si="56"/>
        <v>9413.2000000000007</v>
      </c>
      <c r="I77" s="125">
        <f t="shared" si="56"/>
        <v>8920.5</v>
      </c>
      <c r="J77" s="125">
        <f t="shared" si="56"/>
        <v>8036.9</v>
      </c>
      <c r="K77" s="125">
        <f t="shared" si="56"/>
        <v>7558.5999999999995</v>
      </c>
      <c r="L77" s="125">
        <f t="shared" si="56"/>
        <v>6358.5999999999995</v>
      </c>
      <c r="M77" s="125">
        <f t="shared" si="56"/>
        <v>6358.5999999999995</v>
      </c>
      <c r="N77" s="125">
        <f t="shared" si="56"/>
        <v>5608.5999999999995</v>
      </c>
      <c r="O77" s="125">
        <f t="shared" si="56"/>
        <v>4793.5999999999995</v>
      </c>
      <c r="P77" s="125">
        <f t="shared" si="56"/>
        <v>2343.5999999999995</v>
      </c>
      <c r="Q77" s="125">
        <f t="shared" si="56"/>
        <v>-56.400000000000546</v>
      </c>
      <c r="R77" s="125">
        <f t="shared" si="56"/>
        <v>-56.400000000000546</v>
      </c>
      <c r="AI77" s="66"/>
      <c r="AJ77" s="66"/>
      <c r="AK77" s="66"/>
      <c r="AL77" s="66"/>
      <c r="AM77" s="66"/>
      <c r="AN77" s="66"/>
      <c r="AO77" s="66"/>
      <c r="AP77" s="66"/>
      <c r="AQ77" s="66"/>
    </row>
    <row r="78" spans="1:43" ht="15.75">
      <c r="A78" s="9"/>
      <c r="B78" s="66"/>
      <c r="C78" s="66"/>
      <c r="D78" s="66"/>
      <c r="E78" s="66"/>
      <c r="F78" s="66"/>
      <c r="G78" s="66"/>
      <c r="H78" s="66"/>
      <c r="I78" s="66"/>
      <c r="J78" s="66"/>
      <c r="K78" s="66"/>
      <c r="L78" s="66"/>
      <c r="M78" s="66"/>
      <c r="N78" s="66"/>
      <c r="O78" s="66"/>
      <c r="P78" s="66"/>
      <c r="Q78" s="66"/>
      <c r="R78" s="66"/>
      <c r="AI78" s="66"/>
      <c r="AJ78" s="66"/>
      <c r="AK78" s="66"/>
      <c r="AL78" s="66"/>
      <c r="AM78" s="66"/>
      <c r="AN78" s="66"/>
      <c r="AO78" s="66"/>
      <c r="AP78" s="66"/>
      <c r="AQ78" s="66"/>
    </row>
    <row r="79" spans="1:43" ht="15.75" outlineLevel="1">
      <c r="A79" s="9"/>
      <c r="B79" s="66" t="s">
        <v>7815</v>
      </c>
      <c r="C79" s="66"/>
      <c r="D79" s="66"/>
      <c r="E79" s="66"/>
      <c r="F79" s="66"/>
      <c r="G79" s="66"/>
      <c r="H79" s="66"/>
      <c r="I79" s="66"/>
      <c r="J79" s="66"/>
      <c r="K79" s="66"/>
      <c r="L79" s="66"/>
      <c r="M79" s="66"/>
      <c r="N79" s="66"/>
      <c r="O79" s="66"/>
      <c r="P79" s="66"/>
      <c r="Q79" s="66"/>
      <c r="R79" s="66"/>
      <c r="AI79" s="66"/>
      <c r="AJ79" s="66"/>
      <c r="AK79" s="66"/>
      <c r="AL79" s="66"/>
      <c r="AM79" s="66"/>
      <c r="AN79" s="66"/>
      <c r="AO79" s="66"/>
      <c r="AP79" s="66"/>
      <c r="AQ79" s="66"/>
    </row>
    <row r="80" spans="1:43" ht="15.75" outlineLevel="1">
      <c r="A80" s="143">
        <f t="shared" ref="A80:A91" si="57">A63</f>
        <v>6.7500000000000004E-2</v>
      </c>
      <c r="B80" s="142">
        <v>2022</v>
      </c>
      <c r="C80" s="66"/>
      <c r="D80" s="71">
        <f t="shared" ref="D80:R80" si="58">$A80*AVERAGE(C63:D63)</f>
        <v>21.09375</v>
      </c>
      <c r="E80" s="71">
        <f t="shared" si="58"/>
        <v>62.437500000000007</v>
      </c>
      <c r="F80" s="71">
        <f t="shared" si="58"/>
        <v>82.6875</v>
      </c>
      <c r="G80" s="71">
        <f t="shared" si="58"/>
        <v>82.6875</v>
      </c>
      <c r="H80" s="71">
        <f t="shared" si="58"/>
        <v>82.6875</v>
      </c>
      <c r="I80" s="71">
        <f t="shared" si="58"/>
        <v>82.6875</v>
      </c>
      <c r="J80" s="71">
        <f t="shared" si="58"/>
        <v>82.6875</v>
      </c>
      <c r="K80" s="71">
        <f t="shared" si="58"/>
        <v>82.6875</v>
      </c>
      <c r="L80" s="71">
        <f t="shared" si="58"/>
        <v>82.6875</v>
      </c>
      <c r="M80" s="71">
        <f t="shared" si="58"/>
        <v>82.6875</v>
      </c>
      <c r="N80" s="71">
        <f t="shared" si="58"/>
        <v>82.6875</v>
      </c>
      <c r="O80" s="71">
        <f t="shared" si="58"/>
        <v>82.6875</v>
      </c>
      <c r="P80" s="71">
        <f t="shared" si="58"/>
        <v>41.34375</v>
      </c>
      <c r="Q80" s="71">
        <f t="shared" si="58"/>
        <v>0</v>
      </c>
      <c r="R80" s="71">
        <f t="shared" si="58"/>
        <v>0</v>
      </c>
      <c r="AI80" s="66"/>
      <c r="AJ80" s="66"/>
      <c r="AK80" s="66"/>
      <c r="AL80" s="66"/>
      <c r="AM80" s="66"/>
      <c r="AN80" s="66"/>
      <c r="AO80" s="66"/>
      <c r="AP80" s="66"/>
      <c r="AQ80" s="66"/>
    </row>
    <row r="81" spans="1:43" ht="15.75" outlineLevel="1">
      <c r="A81" s="143">
        <f t="shared" si="57"/>
        <v>8.5000000000000006E-2</v>
      </c>
      <c r="B81" s="142">
        <v>2021</v>
      </c>
      <c r="C81" s="66"/>
      <c r="D81" s="71">
        <f t="shared" ref="D81:R81" si="59">$A81*AVERAGE(C64:D64)</f>
        <v>69.275000000000006</v>
      </c>
      <c r="E81" s="71">
        <f t="shared" si="59"/>
        <v>69.275000000000006</v>
      </c>
      <c r="F81" s="71">
        <f t="shared" si="59"/>
        <v>69.275000000000006</v>
      </c>
      <c r="G81" s="71">
        <f t="shared" si="59"/>
        <v>69.275000000000006</v>
      </c>
      <c r="H81" s="71">
        <f t="shared" si="59"/>
        <v>69.275000000000006</v>
      </c>
      <c r="I81" s="71">
        <f t="shared" si="59"/>
        <v>69.275000000000006</v>
      </c>
      <c r="J81" s="71">
        <f t="shared" si="59"/>
        <v>69.275000000000006</v>
      </c>
      <c r="K81" s="71">
        <f t="shared" si="59"/>
        <v>69.275000000000006</v>
      </c>
      <c r="L81" s="71">
        <f t="shared" si="59"/>
        <v>69.275000000000006</v>
      </c>
      <c r="M81" s="71">
        <f t="shared" si="59"/>
        <v>69.275000000000006</v>
      </c>
      <c r="N81" s="71">
        <f t="shared" si="59"/>
        <v>69.275000000000006</v>
      </c>
      <c r="O81" s="71">
        <f t="shared" si="59"/>
        <v>34.637500000000003</v>
      </c>
      <c r="P81" s="71">
        <f t="shared" si="59"/>
        <v>0</v>
      </c>
      <c r="Q81" s="71">
        <f t="shared" si="59"/>
        <v>0</v>
      </c>
      <c r="R81" s="71">
        <f t="shared" si="59"/>
        <v>0</v>
      </c>
      <c r="AI81" s="66"/>
      <c r="AJ81" s="66"/>
      <c r="AK81" s="66"/>
      <c r="AL81" s="66"/>
      <c r="AM81" s="66"/>
      <c r="AN81" s="66"/>
      <c r="AO81" s="66"/>
      <c r="AP81" s="66"/>
      <c r="AQ81" s="66"/>
    </row>
    <row r="82" spans="1:43" ht="15.75" outlineLevel="1">
      <c r="A82" s="143">
        <f t="shared" si="57"/>
        <v>6.8750000000000006E-2</v>
      </c>
      <c r="B82" s="142">
        <v>2019</v>
      </c>
      <c r="C82" s="66"/>
      <c r="D82" s="71">
        <f t="shared" ref="D82:G87" si="60">$A82*AVERAGE(C65:D65)</f>
        <v>82.5</v>
      </c>
      <c r="E82" s="71">
        <f t="shared" si="60"/>
        <v>82.5</v>
      </c>
      <c r="F82" s="71">
        <f t="shared" si="60"/>
        <v>82.5</v>
      </c>
      <c r="G82" s="71">
        <f t="shared" si="60"/>
        <v>82.5</v>
      </c>
      <c r="H82" s="71">
        <f>$A82*AVERAGE(G65:H65)*2/12</f>
        <v>6.875</v>
      </c>
      <c r="I82" s="71">
        <f t="shared" ref="I82:R82" si="61">$A82*AVERAGE(H65:I65)</f>
        <v>0</v>
      </c>
      <c r="J82" s="71">
        <f t="shared" si="61"/>
        <v>0</v>
      </c>
      <c r="K82" s="71">
        <f t="shared" si="61"/>
        <v>0</v>
      </c>
      <c r="L82" s="71">
        <f t="shared" si="61"/>
        <v>0</v>
      </c>
      <c r="M82" s="71">
        <f t="shared" si="61"/>
        <v>0</v>
      </c>
      <c r="N82" s="71">
        <f t="shared" si="61"/>
        <v>0</v>
      </c>
      <c r="O82" s="71">
        <f t="shared" si="61"/>
        <v>0</v>
      </c>
      <c r="P82" s="71">
        <f t="shared" si="61"/>
        <v>0</v>
      </c>
      <c r="Q82" s="71">
        <f t="shared" si="61"/>
        <v>0</v>
      </c>
      <c r="R82" s="71">
        <f t="shared" si="61"/>
        <v>0</v>
      </c>
      <c r="AI82" s="66"/>
      <c r="AJ82" s="66"/>
      <c r="AK82" s="66"/>
      <c r="AL82" s="66"/>
      <c r="AM82" s="66"/>
      <c r="AN82" s="66"/>
      <c r="AO82" s="66"/>
      <c r="AP82" s="66"/>
      <c r="AQ82" s="66"/>
    </row>
    <row r="83" spans="1:43" ht="15.75" outlineLevel="1">
      <c r="A83" s="143">
        <f t="shared" si="57"/>
        <v>7.7850000000000003E-2</v>
      </c>
      <c r="B83" s="142">
        <v>2020</v>
      </c>
      <c r="C83" s="66"/>
      <c r="D83" s="71">
        <f t="shared" si="60"/>
        <v>58.387500000000003</v>
      </c>
      <c r="E83" s="71">
        <f t="shared" si="60"/>
        <v>58.387500000000003</v>
      </c>
      <c r="F83" s="71">
        <f t="shared" si="60"/>
        <v>58.387500000000003</v>
      </c>
      <c r="G83" s="71">
        <f t="shared" si="60"/>
        <v>58.387500000000003</v>
      </c>
      <c r="H83" s="71">
        <f t="shared" ref="H83:H91" si="62">$A83*AVERAGE(G66:H66)</f>
        <v>58.387500000000003</v>
      </c>
      <c r="I83" s="71">
        <f t="shared" ref="I83:R83" si="63">$A83*AVERAGE(H66:I66)</f>
        <v>58.387500000000003</v>
      </c>
      <c r="J83" s="71">
        <f t="shared" si="63"/>
        <v>58.387500000000003</v>
      </c>
      <c r="K83" s="71">
        <f t="shared" si="63"/>
        <v>58.387500000000003</v>
      </c>
      <c r="L83" s="71">
        <f t="shared" si="63"/>
        <v>58.387500000000003</v>
      </c>
      <c r="M83" s="71">
        <f t="shared" si="63"/>
        <v>58.387500000000003</v>
      </c>
      <c r="N83" s="71">
        <f t="shared" si="63"/>
        <v>29.193750000000001</v>
      </c>
      <c r="O83" s="71">
        <f t="shared" si="63"/>
        <v>0</v>
      </c>
      <c r="P83" s="71">
        <f t="shared" si="63"/>
        <v>0</v>
      </c>
      <c r="Q83" s="71">
        <f t="shared" si="63"/>
        <v>0</v>
      </c>
      <c r="R83" s="71">
        <f t="shared" si="63"/>
        <v>0</v>
      </c>
      <c r="AI83" s="66"/>
      <c r="AJ83" s="66"/>
      <c r="AK83" s="66"/>
      <c r="AL83" s="66"/>
      <c r="AM83" s="66"/>
      <c r="AN83" s="66"/>
      <c r="AO83" s="66"/>
      <c r="AP83" s="66"/>
      <c r="AQ83" s="66"/>
    </row>
    <row r="84" spans="1:43" ht="15.75" outlineLevel="1">
      <c r="A84" s="143">
        <f t="shared" si="57"/>
        <v>6.8750000000000006E-2</v>
      </c>
      <c r="B84" s="142">
        <v>2019</v>
      </c>
      <c r="C84" s="66"/>
      <c r="D84" s="71">
        <f t="shared" si="60"/>
        <v>20.625</v>
      </c>
      <c r="E84" s="71">
        <f t="shared" si="60"/>
        <v>41.25</v>
      </c>
      <c r="F84" s="71">
        <f t="shared" si="60"/>
        <v>41.25</v>
      </c>
      <c r="G84" s="71">
        <f t="shared" si="60"/>
        <v>41.25</v>
      </c>
      <c r="H84" s="71">
        <f t="shared" si="62"/>
        <v>41.25</v>
      </c>
      <c r="I84" s="71">
        <f t="shared" ref="I84:R84" si="64">$A84*AVERAGE(H67:I67)</f>
        <v>41.25</v>
      </c>
      <c r="J84" s="71">
        <f t="shared" si="64"/>
        <v>41.25</v>
      </c>
      <c r="K84" s="71">
        <f t="shared" si="64"/>
        <v>41.25</v>
      </c>
      <c r="L84" s="71">
        <f t="shared" si="64"/>
        <v>20.625</v>
      </c>
      <c r="M84" s="71">
        <f t="shared" si="64"/>
        <v>0</v>
      </c>
      <c r="N84" s="71">
        <f t="shared" si="64"/>
        <v>0</v>
      </c>
      <c r="O84" s="71">
        <f t="shared" si="64"/>
        <v>0</v>
      </c>
      <c r="P84" s="71">
        <f t="shared" si="64"/>
        <v>0</v>
      </c>
      <c r="Q84" s="71">
        <f t="shared" si="64"/>
        <v>0</v>
      </c>
      <c r="R84" s="71">
        <f t="shared" si="64"/>
        <v>0</v>
      </c>
      <c r="AI84" s="66"/>
      <c r="AJ84" s="66"/>
      <c r="AK84" s="66"/>
      <c r="AL84" s="66"/>
      <c r="AM84" s="66"/>
      <c r="AN84" s="66"/>
      <c r="AO84" s="66"/>
      <c r="AP84" s="66"/>
      <c r="AQ84" s="66"/>
    </row>
    <row r="85" spans="1:43" ht="15.75" outlineLevel="1">
      <c r="A85" s="143">
        <f t="shared" si="57"/>
        <v>6.8750000000000006E-2</v>
      </c>
      <c r="B85" s="142">
        <v>2019</v>
      </c>
      <c r="C85" s="66"/>
      <c r="D85" s="71">
        <f t="shared" si="60"/>
        <v>0</v>
      </c>
      <c r="E85" s="71">
        <f t="shared" si="60"/>
        <v>20.625</v>
      </c>
      <c r="F85" s="71">
        <f t="shared" si="60"/>
        <v>41.25</v>
      </c>
      <c r="G85" s="71">
        <f t="shared" si="60"/>
        <v>41.25</v>
      </c>
      <c r="H85" s="71">
        <f t="shared" si="62"/>
        <v>41.25</v>
      </c>
      <c r="I85" s="71">
        <f t="shared" ref="I85:R85" si="65">$A85*AVERAGE(H68:I68)</f>
        <v>41.25</v>
      </c>
      <c r="J85" s="71">
        <f t="shared" si="65"/>
        <v>41.25</v>
      </c>
      <c r="K85" s="71">
        <f t="shared" si="65"/>
        <v>41.25</v>
      </c>
      <c r="L85" s="71">
        <f t="shared" si="65"/>
        <v>20.625</v>
      </c>
      <c r="M85" s="71">
        <f t="shared" si="65"/>
        <v>0</v>
      </c>
      <c r="N85" s="71">
        <f t="shared" si="65"/>
        <v>0</v>
      </c>
      <c r="O85" s="71">
        <f t="shared" si="65"/>
        <v>0</v>
      </c>
      <c r="P85" s="71">
        <f t="shared" si="65"/>
        <v>0</v>
      </c>
      <c r="Q85" s="71">
        <f t="shared" si="65"/>
        <v>0</v>
      </c>
      <c r="R85" s="71">
        <f t="shared" si="65"/>
        <v>0</v>
      </c>
      <c r="AI85" s="66"/>
      <c r="AJ85" s="66"/>
      <c r="AK85" s="66"/>
      <c r="AL85" s="66"/>
      <c r="AM85" s="66"/>
      <c r="AN85" s="66"/>
      <c r="AO85" s="66"/>
      <c r="AP85" s="66"/>
      <c r="AQ85" s="66"/>
    </row>
    <row r="86" spans="1:43" ht="15.75" outlineLevel="1">
      <c r="A86" s="143">
        <f t="shared" si="57"/>
        <v>6.7500000000000004E-2</v>
      </c>
      <c r="B86" s="142">
        <v>2022</v>
      </c>
      <c r="C86" s="66"/>
      <c r="D86" s="71">
        <f t="shared" si="60"/>
        <v>42.1875</v>
      </c>
      <c r="E86" s="71">
        <f t="shared" si="60"/>
        <v>42.1875</v>
      </c>
      <c r="F86" s="71">
        <f t="shared" si="60"/>
        <v>42.1875</v>
      </c>
      <c r="G86" s="71">
        <f t="shared" si="60"/>
        <v>42.1875</v>
      </c>
      <c r="H86" s="71">
        <f t="shared" si="62"/>
        <v>42.1875</v>
      </c>
      <c r="I86" s="71">
        <f t="shared" ref="I86:R86" si="66">$A86*AVERAGE(H69:I69)</f>
        <v>42.1875</v>
      </c>
      <c r="J86" s="71">
        <f t="shared" si="66"/>
        <v>42.1875</v>
      </c>
      <c r="K86" s="71">
        <f t="shared" si="66"/>
        <v>42.1875</v>
      </c>
      <c r="L86" s="71">
        <f t="shared" si="66"/>
        <v>42.1875</v>
      </c>
      <c r="M86" s="71">
        <f t="shared" si="66"/>
        <v>42.1875</v>
      </c>
      <c r="N86" s="71">
        <f t="shared" si="66"/>
        <v>42.1875</v>
      </c>
      <c r="O86" s="71">
        <f t="shared" si="66"/>
        <v>42.1875</v>
      </c>
      <c r="P86" s="71">
        <f t="shared" si="66"/>
        <v>21.09375</v>
      </c>
      <c r="Q86" s="71">
        <f t="shared" si="66"/>
        <v>0</v>
      </c>
      <c r="R86" s="71">
        <f t="shared" si="66"/>
        <v>0</v>
      </c>
      <c r="AI86" s="66"/>
      <c r="AJ86" s="66"/>
      <c r="AK86" s="66"/>
      <c r="AL86" s="66"/>
      <c r="AM86" s="66"/>
      <c r="AN86" s="66"/>
      <c r="AO86" s="66"/>
      <c r="AP86" s="66"/>
      <c r="AQ86" s="66"/>
    </row>
    <row r="87" spans="1:43" ht="15.75" outlineLevel="1">
      <c r="A87" s="143">
        <f t="shared" si="57"/>
        <v>6.7500000000000004E-2</v>
      </c>
      <c r="B87" s="142">
        <v>2022</v>
      </c>
      <c r="C87" s="66"/>
      <c r="D87" s="71">
        <f t="shared" si="60"/>
        <v>40.5</v>
      </c>
      <c r="E87" s="71">
        <f t="shared" si="60"/>
        <v>40.5</v>
      </c>
      <c r="F87" s="71">
        <f t="shared" si="60"/>
        <v>40.5</v>
      </c>
      <c r="G87" s="71">
        <f t="shared" si="60"/>
        <v>40.5</v>
      </c>
      <c r="H87" s="71">
        <f t="shared" si="62"/>
        <v>40.5</v>
      </c>
      <c r="I87" s="71">
        <f t="shared" ref="I87:R87" si="67">$A87*AVERAGE(H70:I70)</f>
        <v>40.5</v>
      </c>
      <c r="J87" s="71">
        <f t="shared" si="67"/>
        <v>40.5</v>
      </c>
      <c r="K87" s="71">
        <f t="shared" si="67"/>
        <v>40.5</v>
      </c>
      <c r="L87" s="71">
        <f t="shared" si="67"/>
        <v>40.5</v>
      </c>
      <c r="M87" s="71">
        <f t="shared" si="67"/>
        <v>40.5</v>
      </c>
      <c r="N87" s="71">
        <f t="shared" si="67"/>
        <v>40.5</v>
      </c>
      <c r="O87" s="71">
        <f t="shared" si="67"/>
        <v>40.5</v>
      </c>
      <c r="P87" s="71">
        <f t="shared" si="67"/>
        <v>20.25</v>
      </c>
      <c r="Q87" s="71">
        <f t="shared" si="67"/>
        <v>0</v>
      </c>
      <c r="R87" s="71">
        <f t="shared" si="67"/>
        <v>0</v>
      </c>
      <c r="AI87" s="66"/>
      <c r="AJ87" s="66"/>
      <c r="AK87" s="66"/>
      <c r="AL87" s="66"/>
      <c r="AM87" s="66"/>
      <c r="AN87" s="66"/>
      <c r="AO87" s="66"/>
      <c r="AP87" s="66"/>
      <c r="AQ87" s="66"/>
    </row>
    <row r="88" spans="1:43" ht="15.75" outlineLevel="1">
      <c r="A88" s="143">
        <f t="shared" si="57"/>
        <v>5.1249999999999997E-2</v>
      </c>
      <c r="B88" s="142">
        <v>2023</v>
      </c>
      <c r="C88" s="66"/>
      <c r="D88" s="71"/>
      <c r="E88" s="71"/>
      <c r="F88" s="71">
        <f>$A88*AVERAGE(E71:F71)</f>
        <v>61.499999999999993</v>
      </c>
      <c r="G88" s="71">
        <f>$A88*AVERAGE(F71:G71)</f>
        <v>61.499999999999993</v>
      </c>
      <c r="H88" s="71">
        <f t="shared" si="62"/>
        <v>61.499999999999993</v>
      </c>
      <c r="I88" s="71">
        <f t="shared" ref="I88:R88" si="68">$A88*AVERAGE(H71:I71)</f>
        <v>61.499999999999993</v>
      </c>
      <c r="J88" s="71">
        <f t="shared" si="68"/>
        <v>61.499999999999993</v>
      </c>
      <c r="K88" s="71">
        <f t="shared" si="68"/>
        <v>61.499999999999993</v>
      </c>
      <c r="L88" s="71">
        <f t="shared" si="68"/>
        <v>61.499999999999993</v>
      </c>
      <c r="M88" s="71">
        <f t="shared" si="68"/>
        <v>61.499999999999993</v>
      </c>
      <c r="N88" s="71">
        <f t="shared" si="68"/>
        <v>61.499999999999993</v>
      </c>
      <c r="O88" s="71">
        <f t="shared" si="68"/>
        <v>61.499999999999993</v>
      </c>
      <c r="P88" s="71">
        <f t="shared" si="68"/>
        <v>61.499999999999993</v>
      </c>
      <c r="Q88" s="71">
        <f t="shared" si="68"/>
        <v>30.749999999999996</v>
      </c>
      <c r="R88" s="71">
        <f t="shared" si="68"/>
        <v>0</v>
      </c>
      <c r="AI88" s="66"/>
      <c r="AJ88" s="66"/>
      <c r="AK88" s="66"/>
      <c r="AL88" s="66"/>
      <c r="AM88" s="66"/>
      <c r="AN88" s="66"/>
      <c r="AO88" s="66"/>
      <c r="AP88" s="66"/>
      <c r="AQ88" s="66"/>
    </row>
    <row r="89" spans="1:43" ht="15.75" outlineLevel="1">
      <c r="A89" s="143">
        <f t="shared" si="57"/>
        <v>5.1249999999999997E-2</v>
      </c>
      <c r="B89" s="142">
        <v>2023</v>
      </c>
      <c r="C89" s="66"/>
      <c r="D89" s="71"/>
      <c r="E89" s="71"/>
      <c r="F89" s="71">
        <f>$A89*AVERAGE(E72:F72)*0.5</f>
        <v>17.9375</v>
      </c>
      <c r="G89" s="71">
        <f>$A89*AVERAGE(F72:G72)</f>
        <v>35.875</v>
      </c>
      <c r="H89" s="71">
        <f t="shared" si="62"/>
        <v>35.875</v>
      </c>
      <c r="I89" s="71">
        <f t="shared" ref="I89:R89" si="69">$A89*AVERAGE(H72:I72)</f>
        <v>35.875</v>
      </c>
      <c r="J89" s="71">
        <f t="shared" si="69"/>
        <v>35.875</v>
      </c>
      <c r="K89" s="71">
        <f t="shared" si="69"/>
        <v>35.875</v>
      </c>
      <c r="L89" s="71">
        <f t="shared" si="69"/>
        <v>35.875</v>
      </c>
      <c r="M89" s="71">
        <f t="shared" si="69"/>
        <v>35.875</v>
      </c>
      <c r="N89" s="71">
        <f t="shared" si="69"/>
        <v>35.875</v>
      </c>
      <c r="O89" s="71">
        <f t="shared" si="69"/>
        <v>35.875</v>
      </c>
      <c r="P89" s="71">
        <f t="shared" si="69"/>
        <v>35.875</v>
      </c>
      <c r="Q89" s="71">
        <f t="shared" si="69"/>
        <v>17.9375</v>
      </c>
      <c r="R89" s="71">
        <f t="shared" si="69"/>
        <v>0</v>
      </c>
      <c r="AI89" s="66"/>
      <c r="AJ89" s="66"/>
      <c r="AK89" s="66"/>
      <c r="AL89" s="66"/>
      <c r="AM89" s="66"/>
      <c r="AN89" s="66"/>
      <c r="AO89" s="66"/>
      <c r="AP89" s="66"/>
      <c r="AQ89" s="66"/>
    </row>
    <row r="90" spans="1:43" ht="15.75" outlineLevel="1">
      <c r="A90" s="143">
        <f t="shared" si="57"/>
        <v>5.1249999999999997E-2</v>
      </c>
      <c r="B90" s="142">
        <v>2023</v>
      </c>
      <c r="C90" s="66"/>
      <c r="D90" s="71"/>
      <c r="E90" s="71"/>
      <c r="F90" s="71"/>
      <c r="G90" s="71">
        <f>$A90*AVERAGE(F73:G73)</f>
        <v>0</v>
      </c>
      <c r="H90" s="71">
        <f t="shared" si="62"/>
        <v>12.8125</v>
      </c>
      <c r="I90" s="71">
        <f t="shared" ref="I90:R90" si="70">$A90*AVERAGE(H73:I73)</f>
        <v>25.625</v>
      </c>
      <c r="J90" s="71">
        <f t="shared" si="70"/>
        <v>25.625</v>
      </c>
      <c r="K90" s="71">
        <f t="shared" si="70"/>
        <v>25.625</v>
      </c>
      <c r="L90" s="71">
        <f t="shared" si="70"/>
        <v>25.625</v>
      </c>
      <c r="M90" s="71">
        <f t="shared" si="70"/>
        <v>25.625</v>
      </c>
      <c r="N90" s="71">
        <f t="shared" si="70"/>
        <v>25.625</v>
      </c>
      <c r="O90" s="71">
        <f t="shared" si="70"/>
        <v>25.625</v>
      </c>
      <c r="P90" s="71">
        <f t="shared" si="70"/>
        <v>25.625</v>
      </c>
      <c r="Q90" s="71">
        <f t="shared" si="70"/>
        <v>12.8125</v>
      </c>
      <c r="R90" s="71">
        <f t="shared" si="70"/>
        <v>0</v>
      </c>
      <c r="AI90" s="66"/>
      <c r="AJ90" s="66"/>
      <c r="AK90" s="66"/>
      <c r="AL90" s="66"/>
      <c r="AM90" s="66"/>
      <c r="AN90" s="66"/>
      <c r="AO90" s="66"/>
      <c r="AP90" s="66"/>
      <c r="AQ90" s="66"/>
    </row>
    <row r="91" spans="1:43" ht="15.75" outlineLevel="1">
      <c r="A91" s="143">
        <f t="shared" si="57"/>
        <v>5.1249999999999997E-2</v>
      </c>
      <c r="B91" s="142">
        <v>2025</v>
      </c>
      <c r="C91" s="66"/>
      <c r="D91" s="71"/>
      <c r="E91" s="71"/>
      <c r="F91" s="71"/>
      <c r="G91" s="71">
        <f>$A91*AVERAGE(F74:G74)</f>
        <v>0</v>
      </c>
      <c r="H91" s="71">
        <f t="shared" si="62"/>
        <v>19.21875</v>
      </c>
      <c r="I91" s="71">
        <f t="shared" ref="I91:R91" si="71">$A91*AVERAGE(H74:I74)</f>
        <v>38.4375</v>
      </c>
      <c r="J91" s="71">
        <f t="shared" si="71"/>
        <v>38.4375</v>
      </c>
      <c r="K91" s="71">
        <f t="shared" si="71"/>
        <v>38.4375</v>
      </c>
      <c r="L91" s="71">
        <f t="shared" si="71"/>
        <v>38.4375</v>
      </c>
      <c r="M91" s="71">
        <f t="shared" si="71"/>
        <v>38.4375</v>
      </c>
      <c r="N91" s="71">
        <f t="shared" si="71"/>
        <v>38.4375</v>
      </c>
      <c r="O91" s="71">
        <f t="shared" si="71"/>
        <v>38.4375</v>
      </c>
      <c r="P91" s="71">
        <f t="shared" si="71"/>
        <v>38.4375</v>
      </c>
      <c r="Q91" s="71">
        <f t="shared" si="71"/>
        <v>38.4375</v>
      </c>
      <c r="R91" s="71">
        <f t="shared" si="71"/>
        <v>38.4375</v>
      </c>
      <c r="AI91" s="66"/>
      <c r="AJ91" s="66"/>
      <c r="AK91" s="66"/>
      <c r="AL91" s="66"/>
      <c r="AM91" s="66"/>
      <c r="AN91" s="66"/>
      <c r="AO91" s="66"/>
      <c r="AP91" s="66"/>
      <c r="AQ91" s="66"/>
    </row>
    <row r="92" spans="1:43" ht="15.75" outlineLevel="1">
      <c r="A92" s="403"/>
      <c r="B92" s="67" t="s">
        <v>107</v>
      </c>
      <c r="C92" s="67"/>
      <c r="D92" s="76"/>
      <c r="E92" s="76"/>
      <c r="F92" s="76">
        <f>F93-SUM(F80:F91)</f>
        <v>65.924999999999955</v>
      </c>
      <c r="G92" s="76">
        <f>G93-SUM(G80:G91)</f>
        <v>17.087499999999977</v>
      </c>
      <c r="H92" s="76">
        <f>G92</f>
        <v>17.087499999999977</v>
      </c>
      <c r="I92" s="76">
        <f t="shared" ref="I92:R92" si="72">H92</f>
        <v>17.087499999999977</v>
      </c>
      <c r="J92" s="76">
        <f t="shared" si="72"/>
        <v>17.087499999999977</v>
      </c>
      <c r="K92" s="76">
        <f t="shared" si="72"/>
        <v>17.087499999999977</v>
      </c>
      <c r="L92" s="76">
        <f t="shared" si="72"/>
        <v>17.087499999999977</v>
      </c>
      <c r="M92" s="76">
        <f t="shared" si="72"/>
        <v>17.087499999999977</v>
      </c>
      <c r="N92" s="76">
        <f t="shared" si="72"/>
        <v>17.087499999999977</v>
      </c>
      <c r="O92" s="76">
        <f t="shared" si="72"/>
        <v>17.087499999999977</v>
      </c>
      <c r="P92" s="76">
        <f t="shared" si="72"/>
        <v>17.087499999999977</v>
      </c>
      <c r="Q92" s="76">
        <f t="shared" si="72"/>
        <v>17.087499999999977</v>
      </c>
      <c r="R92" s="76">
        <f t="shared" si="72"/>
        <v>17.087499999999977</v>
      </c>
      <c r="AI92" s="66"/>
      <c r="AJ92" s="66"/>
      <c r="AK92" s="66"/>
      <c r="AL92" s="66"/>
      <c r="AM92" s="66"/>
      <c r="AN92" s="66"/>
      <c r="AO92" s="66"/>
      <c r="AP92" s="66"/>
      <c r="AQ92" s="66"/>
    </row>
    <row r="93" spans="1:43" ht="15.75">
      <c r="B93" s="66" t="s">
        <v>7815</v>
      </c>
      <c r="C93" s="66"/>
      <c r="D93" s="125">
        <f>-D35</f>
        <v>516.6</v>
      </c>
      <c r="E93" s="125">
        <f>-E35</f>
        <v>558.5</v>
      </c>
      <c r="F93" s="125">
        <f>-F35</f>
        <v>603.4</v>
      </c>
      <c r="G93" s="125">
        <f>-G35</f>
        <v>572.5</v>
      </c>
      <c r="H93" s="125">
        <f t="shared" ref="H93:R93" si="73">SUM(H80:H92)</f>
        <v>528.90625</v>
      </c>
      <c r="I93" s="125">
        <f t="shared" si="73"/>
        <v>554.0625</v>
      </c>
      <c r="J93" s="125">
        <f t="shared" si="73"/>
        <v>554.0625</v>
      </c>
      <c r="K93" s="125">
        <f t="shared" si="73"/>
        <v>554.0625</v>
      </c>
      <c r="L93" s="125">
        <f t="shared" si="73"/>
        <v>512.8125</v>
      </c>
      <c r="M93" s="125">
        <f t="shared" si="73"/>
        <v>471.5625</v>
      </c>
      <c r="N93" s="125">
        <f t="shared" si="73"/>
        <v>442.36874999999998</v>
      </c>
      <c r="O93" s="125">
        <f t="shared" si="73"/>
        <v>378.53749999999997</v>
      </c>
      <c r="P93" s="125">
        <f t="shared" si="73"/>
        <v>261.21249999999998</v>
      </c>
      <c r="Q93" s="125">
        <f t="shared" si="73"/>
        <v>117.02499999999998</v>
      </c>
      <c r="R93" s="125">
        <f t="shared" si="73"/>
        <v>55.524999999999977</v>
      </c>
      <c r="AI93" s="66"/>
      <c r="AJ93" s="66"/>
      <c r="AK93" s="66"/>
      <c r="AL93" s="66"/>
      <c r="AM93" s="66"/>
      <c r="AN93" s="66"/>
      <c r="AO93" s="66"/>
      <c r="AP93" s="66"/>
      <c r="AQ93" s="66"/>
    </row>
    <row r="94" spans="1:43" ht="15.75">
      <c r="B94" s="66"/>
      <c r="C94" s="66"/>
      <c r="D94" s="125"/>
      <c r="E94" s="125"/>
      <c r="F94" s="125"/>
      <c r="G94" s="125"/>
      <c r="H94" s="125"/>
      <c r="I94" s="125"/>
      <c r="J94" s="125"/>
      <c r="K94" s="125"/>
      <c r="L94" s="125"/>
      <c r="M94" s="125"/>
      <c r="N94" s="125"/>
      <c r="O94" s="125"/>
      <c r="P94" s="125"/>
      <c r="Q94" s="125"/>
      <c r="R94" s="125"/>
      <c r="AI94" s="66"/>
      <c r="AJ94" s="66"/>
      <c r="AK94" s="66"/>
      <c r="AL94" s="66"/>
      <c r="AM94" s="66"/>
      <c r="AN94" s="66"/>
      <c r="AO94" s="66"/>
      <c r="AP94" s="66"/>
      <c r="AQ94" s="66"/>
    </row>
    <row r="95" spans="1:43" ht="15.75">
      <c r="B95" s="66" t="s">
        <v>549</v>
      </c>
      <c r="C95" s="114">
        <f>F256</f>
        <v>1293.8</v>
      </c>
      <c r="D95" s="124">
        <f>J256</f>
        <v>58.1</v>
      </c>
      <c r="E95" s="124">
        <f>N256</f>
        <v>35.5</v>
      </c>
      <c r="F95" s="124">
        <f>R256</f>
        <v>43.3</v>
      </c>
      <c r="G95" s="124">
        <f>V256</f>
        <v>56.2</v>
      </c>
      <c r="H95" s="124">
        <v>101.3</v>
      </c>
      <c r="I95" s="124">
        <v>66.5</v>
      </c>
      <c r="J95" s="124">
        <v>59.6</v>
      </c>
      <c r="K95" s="124">
        <v>128.30000000000001</v>
      </c>
      <c r="L95" s="125">
        <f t="shared" ref="L95:R95" si="74">L61-L96</f>
        <v>-832.9406927567461</v>
      </c>
      <c r="M95" s="125">
        <f t="shared" si="74"/>
        <v>-658.64537075603948</v>
      </c>
      <c r="N95" s="125">
        <f t="shared" si="74"/>
        <v>-1096.9679315555068</v>
      </c>
      <c r="O95" s="125">
        <f t="shared" si="74"/>
        <v>-1478.112659479224</v>
      </c>
      <c r="P95" s="125">
        <f t="shared" si="74"/>
        <v>-3401.8810783145691</v>
      </c>
      <c r="Q95" s="125">
        <f t="shared" si="74"/>
        <v>-5173.1449050461906</v>
      </c>
      <c r="R95" s="125">
        <f t="shared" si="74"/>
        <v>-4494.5136908017448</v>
      </c>
      <c r="AI95" s="66"/>
      <c r="AJ95" s="66"/>
      <c r="AK95" s="66"/>
      <c r="AL95" s="66"/>
      <c r="AM95" s="66"/>
      <c r="AN95" s="66"/>
      <c r="AO95" s="66"/>
      <c r="AP95" s="66"/>
      <c r="AQ95" s="66"/>
    </row>
    <row r="96" spans="1:43" ht="15.75">
      <c r="B96" s="66" t="s">
        <v>271</v>
      </c>
      <c r="C96" s="71">
        <f t="shared" ref="C96:K96" si="75">C61-C95</f>
        <v>8935</v>
      </c>
      <c r="D96" s="125">
        <f t="shared" si="75"/>
        <v>9193.1999999999989</v>
      </c>
      <c r="E96" s="125">
        <f t="shared" si="75"/>
        <v>9160.4000000000015</v>
      </c>
      <c r="F96" s="125">
        <f t="shared" si="75"/>
        <v>9509.2000000000007</v>
      </c>
      <c r="G96" s="125">
        <f t="shared" si="75"/>
        <v>9265.1999999999989</v>
      </c>
      <c r="H96" s="125">
        <f t="shared" si="75"/>
        <v>9311.9000000000015</v>
      </c>
      <c r="I96" s="125">
        <f t="shared" si="75"/>
        <v>8854</v>
      </c>
      <c r="J96" s="125">
        <f t="shared" si="75"/>
        <v>7977.2999999999993</v>
      </c>
      <c r="K96" s="125">
        <f t="shared" si="75"/>
        <v>7430.2999999999993</v>
      </c>
      <c r="L96" s="125">
        <f>K96-L57-L58</f>
        <v>7191.5406927567456</v>
      </c>
      <c r="M96" s="125">
        <f t="shared" ref="M96:R96" si="76">L96-M57-M58</f>
        <v>7017.2453707560389</v>
      </c>
      <c r="N96" s="125">
        <f t="shared" si="76"/>
        <v>6705.5679315555062</v>
      </c>
      <c r="O96" s="125">
        <f t="shared" si="76"/>
        <v>6271.7126594792235</v>
      </c>
      <c r="P96" s="125">
        <f t="shared" si="76"/>
        <v>5745.4810783145685</v>
      </c>
      <c r="Q96" s="125">
        <f t="shared" si="76"/>
        <v>5116.7449050461901</v>
      </c>
      <c r="R96" s="125">
        <f t="shared" si="76"/>
        <v>4438.1136908017443</v>
      </c>
      <c r="AI96" s="66"/>
      <c r="AJ96" s="66"/>
      <c r="AK96" s="66"/>
      <c r="AL96" s="66"/>
      <c r="AM96" s="66"/>
      <c r="AN96" s="66"/>
      <c r="AO96" s="66"/>
      <c r="AP96" s="66"/>
      <c r="AQ96" s="66"/>
    </row>
    <row r="97" spans="2:43" ht="15.75">
      <c r="B97" s="66" t="s">
        <v>41</v>
      </c>
      <c r="C97" s="112">
        <f t="shared" ref="C97:R97" si="77">C96/C14</f>
        <v>9.471062115751538</v>
      </c>
      <c r="D97" s="112">
        <f t="shared" si="77"/>
        <v>9.8438805011243158</v>
      </c>
      <c r="E97" s="112">
        <f t="shared" si="77"/>
        <v>9.1311802232854866</v>
      </c>
      <c r="F97" s="112">
        <f t="shared" si="77"/>
        <v>8.4873259550160682</v>
      </c>
      <c r="G97" s="112">
        <f t="shared" si="77"/>
        <v>7.467117988394584</v>
      </c>
      <c r="H97" s="112">
        <f t="shared" si="77"/>
        <v>7.0985668547034626</v>
      </c>
      <c r="I97" s="112">
        <f t="shared" si="77"/>
        <v>6.641662290900908</v>
      </c>
      <c r="J97" s="112">
        <f t="shared" si="77"/>
        <v>6.1930750718111947</v>
      </c>
      <c r="K97" s="112">
        <f t="shared" si="77"/>
        <v>7.264665623777864</v>
      </c>
      <c r="L97" s="112">
        <f t="shared" si="77"/>
        <v>7.3548289271836129</v>
      </c>
      <c r="M97" s="112">
        <f t="shared" si="77"/>
        <v>8.3655454232589541</v>
      </c>
      <c r="N97" s="112">
        <f t="shared" si="77"/>
        <v>6.5136149556208371</v>
      </c>
      <c r="O97" s="112">
        <f t="shared" si="77"/>
        <v>5.3721604570616224</v>
      </c>
      <c r="P97" s="112">
        <f t="shared" si="77"/>
        <v>4.7540115373737963</v>
      </c>
      <c r="Q97" s="112">
        <f t="shared" si="77"/>
        <v>4.1104595022891708</v>
      </c>
      <c r="R97" s="112">
        <f t="shared" si="77"/>
        <v>3.4953837229304909</v>
      </c>
      <c r="AI97" s="66"/>
      <c r="AJ97" s="66"/>
      <c r="AK97" s="66"/>
      <c r="AL97" s="66"/>
      <c r="AM97" s="66"/>
      <c r="AN97" s="66"/>
      <c r="AO97" s="66"/>
      <c r="AP97" s="66"/>
      <c r="AQ97" s="66"/>
    </row>
    <row r="98" spans="2:43" ht="15.75">
      <c r="B98" s="66"/>
      <c r="C98" s="66"/>
      <c r="D98" s="66"/>
      <c r="E98" s="66"/>
      <c r="F98" s="66"/>
      <c r="G98" s="125"/>
      <c r="H98" s="66"/>
      <c r="I98" s="66"/>
      <c r="J98" s="66"/>
      <c r="K98" s="66"/>
      <c r="L98" s="66"/>
      <c r="M98" s="66"/>
      <c r="N98" s="66"/>
      <c r="O98" s="66"/>
      <c r="P98" s="66"/>
      <c r="Q98" s="66"/>
      <c r="R98" s="66"/>
      <c r="AI98" s="66"/>
      <c r="AJ98" s="66"/>
      <c r="AK98" s="66"/>
      <c r="AL98" s="66"/>
      <c r="AM98" s="66"/>
      <c r="AN98" s="66"/>
      <c r="AO98" s="66"/>
      <c r="AP98" s="66"/>
      <c r="AQ98" s="66"/>
    </row>
    <row r="99" spans="2:43" ht="15.75">
      <c r="B99" s="67" t="s">
        <v>69</v>
      </c>
      <c r="C99" s="67">
        <f t="shared" ref="C99:R99" si="78">C4</f>
        <v>2010</v>
      </c>
      <c r="D99" s="67">
        <f t="shared" si="78"/>
        <v>2011</v>
      </c>
      <c r="E99" s="67">
        <f t="shared" si="78"/>
        <v>2012</v>
      </c>
      <c r="F99" s="67">
        <f t="shared" si="78"/>
        <v>2013</v>
      </c>
      <c r="G99" s="67">
        <f t="shared" si="78"/>
        <v>2014</v>
      </c>
      <c r="H99" s="67">
        <f t="shared" si="78"/>
        <v>2015</v>
      </c>
      <c r="I99" s="67">
        <f t="shared" si="78"/>
        <v>2016</v>
      </c>
      <c r="J99" s="67">
        <f t="shared" si="78"/>
        <v>2017</v>
      </c>
      <c r="K99" s="67">
        <f t="shared" si="78"/>
        <v>2018</v>
      </c>
      <c r="L99" s="67">
        <f t="shared" si="78"/>
        <v>2019</v>
      </c>
      <c r="M99" s="67">
        <f t="shared" si="78"/>
        <v>2020</v>
      </c>
      <c r="N99" s="67">
        <f t="shared" si="78"/>
        <v>2021</v>
      </c>
      <c r="O99" s="67">
        <f t="shared" si="78"/>
        <v>2022</v>
      </c>
      <c r="P99" s="67">
        <f t="shared" si="78"/>
        <v>2023</v>
      </c>
      <c r="Q99" s="67">
        <f t="shared" si="78"/>
        <v>2024</v>
      </c>
      <c r="R99" s="67">
        <f t="shared" si="78"/>
        <v>2025</v>
      </c>
      <c r="AI99" s="66"/>
      <c r="AJ99" s="66"/>
      <c r="AK99" s="66"/>
      <c r="AL99" s="66"/>
      <c r="AM99" s="66"/>
      <c r="AN99" s="66"/>
      <c r="AO99" s="66"/>
      <c r="AP99" s="66"/>
      <c r="AQ99" s="66"/>
    </row>
    <row r="100" spans="2:43" ht="15.75">
      <c r="B100" s="66" t="s">
        <v>47</v>
      </c>
      <c r="C100" s="66"/>
      <c r="D100" s="66"/>
      <c r="E100" s="125">
        <f t="shared" ref="E100:R100" si="79">E55+E46</f>
        <v>844.80000000000007</v>
      </c>
      <c r="F100" s="125">
        <f t="shared" si="79"/>
        <v>1378.3999999999999</v>
      </c>
      <c r="G100" s="125">
        <f t="shared" si="79"/>
        <v>1167.5999999999999</v>
      </c>
      <c r="H100" s="125">
        <f t="shared" si="79"/>
        <v>1259</v>
      </c>
      <c r="I100" s="125">
        <f>I55+I46</f>
        <v>1120</v>
      </c>
      <c r="J100" s="125">
        <f t="shared" si="79"/>
        <v>990.30307145334427</v>
      </c>
      <c r="K100" s="125">
        <f>K55+K46</f>
        <v>821.82917576252669</v>
      </c>
      <c r="L100" s="125">
        <f t="shared" si="79"/>
        <v>780.21518311046873</v>
      </c>
      <c r="M100" s="125">
        <f t="shared" si="79"/>
        <v>678.7963727103272</v>
      </c>
      <c r="N100" s="125">
        <f t="shared" si="79"/>
        <v>788.87416632618238</v>
      </c>
      <c r="O100" s="125">
        <f t="shared" si="79"/>
        <v>852.16748957551772</v>
      </c>
      <c r="P100" s="125">
        <f t="shared" si="79"/>
        <v>840.12350892558959</v>
      </c>
      <c r="Q100" s="125">
        <f t="shared" si="79"/>
        <v>819.03694398708922</v>
      </c>
      <c r="R100" s="125">
        <f t="shared" si="79"/>
        <v>815.59135805337723</v>
      </c>
      <c r="AI100" s="66"/>
      <c r="AJ100" s="66"/>
      <c r="AK100" s="66"/>
      <c r="AL100" s="66"/>
      <c r="AM100" s="66"/>
      <c r="AN100" s="66"/>
      <c r="AO100" s="66"/>
      <c r="AP100" s="66"/>
      <c r="AQ100" s="66"/>
    </row>
    <row r="101" spans="2:43" ht="15.75">
      <c r="B101" s="66"/>
      <c r="C101" s="66"/>
      <c r="D101" s="66"/>
      <c r="E101" s="66"/>
      <c r="F101" s="66"/>
      <c r="G101" s="66"/>
      <c r="H101" s="66"/>
      <c r="I101" s="66"/>
      <c r="J101" s="66"/>
      <c r="K101" s="66"/>
      <c r="L101" s="66"/>
      <c r="M101" s="66"/>
      <c r="N101" s="66"/>
      <c r="O101" s="66"/>
      <c r="P101" s="66"/>
      <c r="Q101" s="66"/>
      <c r="R101" s="66"/>
      <c r="AI101" s="66"/>
      <c r="AJ101" s="66"/>
      <c r="AK101" s="66"/>
      <c r="AL101" s="66"/>
      <c r="AM101" s="66"/>
      <c r="AN101" s="66"/>
      <c r="AO101" s="66"/>
      <c r="AP101" s="66"/>
      <c r="AQ101" s="66"/>
    </row>
    <row r="102" spans="2:43" ht="15.75">
      <c r="B102" s="66" t="s">
        <v>110</v>
      </c>
      <c r="C102" s="117">
        <v>7.4999999999999997E-2</v>
      </c>
      <c r="D102" s="66"/>
      <c r="E102" s="66"/>
      <c r="M102" s="66"/>
      <c r="N102" s="66"/>
      <c r="O102" s="66"/>
      <c r="P102" s="66"/>
      <c r="Q102" s="66"/>
      <c r="R102" s="66"/>
      <c r="AI102" s="66"/>
      <c r="AJ102" s="66"/>
      <c r="AK102" s="66"/>
      <c r="AL102" s="66"/>
      <c r="AM102" s="66"/>
      <c r="AN102" s="66"/>
      <c r="AO102" s="66"/>
      <c r="AP102" s="66"/>
      <c r="AQ102" s="66"/>
    </row>
    <row r="103" spans="2:43" ht="15.75">
      <c r="B103" s="66" t="s">
        <v>123</v>
      </c>
      <c r="C103" s="117">
        <v>-0.01</v>
      </c>
      <c r="D103" s="66"/>
      <c r="E103" s="66"/>
      <c r="M103" s="66"/>
      <c r="N103" s="66"/>
      <c r="O103" s="66"/>
      <c r="P103" s="66"/>
      <c r="Q103" s="66"/>
      <c r="R103" s="66"/>
      <c r="AI103" s="66"/>
      <c r="AJ103" s="66"/>
      <c r="AK103" s="66"/>
      <c r="AL103" s="66"/>
      <c r="AM103" s="66"/>
      <c r="AN103" s="66"/>
      <c r="AO103" s="66"/>
      <c r="AP103" s="66"/>
      <c r="AQ103" s="66"/>
    </row>
    <row r="104" spans="2:43" ht="15.75">
      <c r="B104" s="66" t="s">
        <v>7831</v>
      </c>
      <c r="C104" s="64">
        <f>NPV($C$102, N100:R100)</f>
        <v>3328.9135502868844</v>
      </c>
      <c r="D104" s="66"/>
      <c r="E104" s="66"/>
      <c r="M104" s="66"/>
      <c r="N104" s="66"/>
      <c r="O104" s="66"/>
      <c r="P104" s="66"/>
      <c r="Q104" s="66"/>
      <c r="R104" s="66"/>
      <c r="AI104" s="66"/>
      <c r="AJ104" s="66"/>
      <c r="AK104" s="66"/>
      <c r="AL104" s="66"/>
      <c r="AM104" s="66"/>
      <c r="AN104" s="66"/>
      <c r="AO104" s="66"/>
      <c r="AP104" s="66"/>
      <c r="AQ104" s="66"/>
    </row>
    <row r="105" spans="2:43" ht="15.75">
      <c r="B105" s="66"/>
      <c r="C105" s="66"/>
      <c r="D105" s="66"/>
      <c r="E105" s="66"/>
      <c r="M105" s="66"/>
      <c r="N105" s="66"/>
      <c r="O105" s="66"/>
      <c r="P105" s="66"/>
      <c r="Q105" s="66"/>
      <c r="R105" s="66"/>
      <c r="AI105" s="66"/>
      <c r="AJ105" s="66"/>
      <c r="AK105" s="66"/>
      <c r="AL105" s="66"/>
      <c r="AM105" s="66"/>
      <c r="AN105" s="66"/>
      <c r="AO105" s="66"/>
      <c r="AP105" s="66"/>
      <c r="AQ105" s="66"/>
    </row>
    <row r="106" spans="2:43" ht="15.75">
      <c r="B106" s="66" t="s">
        <v>680</v>
      </c>
      <c r="C106" s="112">
        <f>1/(C102-C103)</f>
        <v>11.764705882352942</v>
      </c>
      <c r="D106" s="66"/>
      <c r="E106" s="66"/>
      <c r="M106" s="66"/>
      <c r="N106" s="66"/>
      <c r="O106" s="66"/>
      <c r="P106" s="66"/>
      <c r="Q106" s="66"/>
      <c r="R106" s="66"/>
      <c r="AI106" s="66"/>
      <c r="AJ106" s="66"/>
      <c r="AK106" s="66"/>
      <c r="AL106" s="66"/>
      <c r="AM106" s="66"/>
      <c r="AN106" s="66"/>
      <c r="AO106" s="66"/>
      <c r="AP106" s="66"/>
      <c r="AQ106" s="66"/>
    </row>
    <row r="107" spans="2:43" ht="15.75">
      <c r="B107" s="66" t="s">
        <v>6</v>
      </c>
      <c r="C107" s="64">
        <f>C106*R100</f>
        <v>9595.1924476867916</v>
      </c>
      <c r="D107" s="66"/>
      <c r="E107" s="66"/>
      <c r="M107" s="66"/>
      <c r="N107" s="66"/>
      <c r="O107" s="66"/>
      <c r="P107" s="66"/>
      <c r="Q107" s="66"/>
      <c r="R107" s="66"/>
      <c r="AI107" s="66"/>
      <c r="AJ107" s="66"/>
      <c r="AK107" s="66"/>
      <c r="AL107" s="66"/>
      <c r="AM107" s="66"/>
      <c r="AN107" s="66"/>
      <c r="AO107" s="66"/>
      <c r="AP107" s="66"/>
      <c r="AQ107" s="66"/>
    </row>
    <row r="108" spans="2:43" ht="15.75">
      <c r="B108" s="66" t="s">
        <v>7832</v>
      </c>
      <c r="C108" s="237">
        <f>C107/(1+$C$102)^5</f>
        <v>6683.6141284968753</v>
      </c>
      <c r="E108" s="66"/>
      <c r="M108" s="66"/>
      <c r="N108" s="66"/>
      <c r="O108" s="66"/>
      <c r="P108" s="66"/>
      <c r="Q108" s="66"/>
      <c r="R108" s="66"/>
      <c r="AI108" s="66"/>
      <c r="AJ108" s="66"/>
      <c r="AK108" s="66"/>
      <c r="AL108" s="66"/>
      <c r="AM108" s="66"/>
      <c r="AN108" s="66"/>
      <c r="AO108" s="66"/>
      <c r="AP108" s="66"/>
      <c r="AQ108" s="66"/>
    </row>
    <row r="109" spans="2:43" ht="15.75">
      <c r="B109" s="67" t="s">
        <v>7863</v>
      </c>
      <c r="C109" s="400">
        <v>0</v>
      </c>
      <c r="E109" s="66"/>
      <c r="M109" s="66"/>
      <c r="N109" s="66"/>
      <c r="O109" s="66"/>
      <c r="P109" s="66"/>
      <c r="Q109" s="66"/>
      <c r="R109" s="66"/>
      <c r="AI109" s="66"/>
      <c r="AJ109" s="66"/>
      <c r="AK109" s="66"/>
      <c r="AL109" s="66"/>
      <c r="AM109" s="66"/>
      <c r="AN109" s="66"/>
      <c r="AO109" s="66"/>
      <c r="AP109" s="66"/>
      <c r="AQ109" s="66"/>
    </row>
    <row r="110" spans="2:43" ht="15.75">
      <c r="B110" s="66" t="s">
        <v>77</v>
      </c>
      <c r="C110" s="64">
        <f>C104+C108+C109</f>
        <v>10012.527678783759</v>
      </c>
      <c r="D110" s="66"/>
      <c r="E110" s="66"/>
      <c r="M110" s="66"/>
      <c r="N110" s="66"/>
      <c r="O110" s="66"/>
      <c r="P110" s="66"/>
      <c r="Q110" s="66"/>
      <c r="R110" s="66"/>
      <c r="AI110" s="66"/>
      <c r="AJ110" s="66"/>
      <c r="AK110" s="66"/>
      <c r="AL110" s="66"/>
      <c r="AM110" s="66"/>
      <c r="AN110" s="66"/>
      <c r="AO110" s="66"/>
      <c r="AP110" s="66"/>
      <c r="AQ110" s="66"/>
    </row>
    <row r="111" spans="2:43" ht="16.5">
      <c r="B111" s="66" t="s">
        <v>7864</v>
      </c>
      <c r="C111" s="64">
        <f>N96</f>
        <v>6705.5679315555062</v>
      </c>
      <c r="D111" s="115"/>
      <c r="E111" s="66"/>
      <c r="M111" s="115"/>
      <c r="N111" s="115"/>
      <c r="O111" s="115"/>
      <c r="P111" s="115"/>
      <c r="Q111" s="115"/>
      <c r="R111" s="115"/>
    </row>
    <row r="112" spans="2:43" ht="16.5">
      <c r="B112" s="66" t="s">
        <v>79</v>
      </c>
      <c r="C112" s="64">
        <f>C110-C111</f>
        <v>3306.959747228253</v>
      </c>
      <c r="D112" s="115"/>
      <c r="E112" s="66"/>
      <c r="M112" s="115"/>
      <c r="N112" s="115"/>
      <c r="O112" s="115"/>
      <c r="P112" s="115"/>
      <c r="Q112" s="115"/>
      <c r="R112" s="115"/>
    </row>
    <row r="113" spans="2:18" ht="16.5">
      <c r="B113" s="66"/>
      <c r="C113" s="64"/>
      <c r="D113" s="115"/>
      <c r="E113" s="234"/>
      <c r="F113" s="253"/>
      <c r="G113" s="253"/>
      <c r="H113" s="253"/>
      <c r="I113" s="182"/>
      <c r="M113" s="115"/>
      <c r="N113" s="115"/>
      <c r="O113" s="115"/>
      <c r="P113" s="115"/>
      <c r="Q113" s="115"/>
      <c r="R113" s="115"/>
    </row>
    <row r="114" spans="2:18" ht="16.5">
      <c r="B114" s="66" t="s">
        <v>7865</v>
      </c>
      <c r="C114" s="82">
        <f>C110/(AK244+AL244+AM244+AN244)</f>
        <v>10.509633335555536</v>
      </c>
      <c r="D114" s="115"/>
      <c r="E114" s="234"/>
      <c r="F114" s="253"/>
      <c r="G114" s="253"/>
      <c r="H114" s="253"/>
      <c r="I114" s="182"/>
      <c r="M114" s="115"/>
      <c r="N114" s="115"/>
      <c r="O114" s="115"/>
      <c r="P114" s="115"/>
      <c r="Q114" s="115"/>
      <c r="R114" s="115"/>
    </row>
    <row r="115" spans="2:18" ht="16.5">
      <c r="B115" s="66"/>
      <c r="C115" s="64"/>
      <c r="D115" s="115"/>
      <c r="E115" s="234"/>
      <c r="F115" s="253"/>
      <c r="G115" s="253"/>
      <c r="H115" s="253"/>
      <c r="I115" s="182"/>
      <c r="M115" s="115"/>
      <c r="N115" s="115"/>
      <c r="O115" s="115"/>
      <c r="P115" s="115"/>
      <c r="Q115" s="115"/>
      <c r="R115" s="115"/>
    </row>
    <row r="116" spans="2:18" ht="16.5">
      <c r="B116" s="66" t="s">
        <v>7866</v>
      </c>
      <c r="C116" s="64">
        <v>125</v>
      </c>
      <c r="D116" s="115"/>
      <c r="E116" s="234"/>
      <c r="F116" s="253"/>
      <c r="G116" s="253"/>
      <c r="H116" s="253"/>
      <c r="I116" s="182"/>
      <c r="M116" s="115"/>
      <c r="N116" s="115"/>
      <c r="O116" s="115"/>
      <c r="P116" s="115"/>
      <c r="Q116" s="115"/>
      <c r="R116" s="115"/>
    </row>
    <row r="117" spans="2:18" ht="16.5">
      <c r="B117" s="66" t="s">
        <v>139</v>
      </c>
      <c r="C117" s="230">
        <v>1.4999999999999999E-2</v>
      </c>
      <c r="D117" s="115"/>
      <c r="E117" s="234"/>
      <c r="F117" s="253"/>
      <c r="G117" s="253"/>
      <c r="H117" s="253"/>
      <c r="I117" s="182"/>
      <c r="M117" s="115"/>
      <c r="N117" s="115"/>
      <c r="O117" s="115"/>
      <c r="P117" s="115"/>
      <c r="Q117" s="115"/>
      <c r="R117" s="115"/>
    </row>
    <row r="118" spans="2:18" ht="16.5">
      <c r="B118" s="66" t="s">
        <v>7867</v>
      </c>
      <c r="C118" s="64">
        <f>C116/C117</f>
        <v>8333.3333333333339</v>
      </c>
      <c r="D118" s="115"/>
      <c r="E118" s="234"/>
      <c r="F118" s="253"/>
      <c r="G118" s="253"/>
      <c r="H118" s="253"/>
      <c r="I118" s="182"/>
      <c r="M118" s="115"/>
      <c r="N118" s="115"/>
      <c r="O118" s="115"/>
      <c r="P118" s="115"/>
      <c r="Q118" s="115"/>
      <c r="R118" s="115"/>
    </row>
    <row r="119" spans="2:18" ht="16.5">
      <c r="B119" s="66" t="s">
        <v>7868</v>
      </c>
      <c r="C119" s="64">
        <f>C111</f>
        <v>6705.5679315555062</v>
      </c>
      <c r="D119" s="115"/>
      <c r="E119" s="234"/>
      <c r="F119" s="253"/>
      <c r="G119" s="253"/>
      <c r="H119" s="253"/>
      <c r="I119" s="182"/>
      <c r="M119" s="115"/>
      <c r="N119" s="115"/>
      <c r="O119" s="115"/>
      <c r="P119" s="115"/>
      <c r="Q119" s="115"/>
      <c r="R119" s="115"/>
    </row>
    <row r="120" spans="2:18" ht="16.5">
      <c r="B120" s="66" t="s">
        <v>77</v>
      </c>
      <c r="C120" s="64">
        <f>C118+C119</f>
        <v>15038.90126488884</v>
      </c>
      <c r="D120" s="115"/>
      <c r="E120" s="234"/>
      <c r="F120" s="253"/>
      <c r="G120" s="253"/>
      <c r="H120" s="253"/>
      <c r="I120" s="182"/>
      <c r="M120" s="115"/>
      <c r="N120" s="115"/>
      <c r="O120" s="115"/>
      <c r="P120" s="115"/>
      <c r="Q120" s="115"/>
      <c r="R120" s="115"/>
    </row>
    <row r="121" spans="2:18" ht="16.5">
      <c r="B121" s="66" t="s">
        <v>7869</v>
      </c>
      <c r="C121" s="112">
        <f>C120/H14</f>
        <v>11.464324794091203</v>
      </c>
      <c r="D121" s="115"/>
      <c r="E121" s="234"/>
      <c r="F121" s="253"/>
      <c r="G121" s="253"/>
      <c r="H121" s="253"/>
      <c r="I121" s="182"/>
      <c r="M121" s="115"/>
      <c r="N121" s="115"/>
      <c r="O121" s="115"/>
      <c r="P121" s="115"/>
      <c r="Q121" s="115"/>
      <c r="R121" s="115"/>
    </row>
    <row r="122" spans="2:18" ht="16.5">
      <c r="B122" s="115"/>
      <c r="C122" s="115"/>
      <c r="D122" s="115"/>
      <c r="E122" s="115"/>
      <c r="M122" s="115"/>
      <c r="N122" s="115"/>
      <c r="O122" s="115"/>
      <c r="P122" s="115"/>
      <c r="Q122" s="115"/>
      <c r="R122" s="115"/>
    </row>
    <row r="123" spans="2:18" ht="15.75">
      <c r="B123" s="67" t="s">
        <v>7870</v>
      </c>
      <c r="C123" s="67"/>
      <c r="D123" s="67"/>
      <c r="E123" s="67">
        <f t="shared" ref="E123:R123" si="80">E99</f>
        <v>2012</v>
      </c>
      <c r="F123" s="67">
        <f t="shared" si="80"/>
        <v>2013</v>
      </c>
      <c r="G123" s="67">
        <f t="shared" si="80"/>
        <v>2014</v>
      </c>
      <c r="H123" s="67">
        <f t="shared" si="80"/>
        <v>2015</v>
      </c>
      <c r="I123" s="67">
        <f t="shared" si="80"/>
        <v>2016</v>
      </c>
      <c r="J123" s="67">
        <f t="shared" si="80"/>
        <v>2017</v>
      </c>
      <c r="K123" s="67">
        <f t="shared" si="80"/>
        <v>2018</v>
      </c>
      <c r="L123" s="67">
        <f t="shared" si="80"/>
        <v>2019</v>
      </c>
      <c r="M123" s="67">
        <f t="shared" si="80"/>
        <v>2020</v>
      </c>
      <c r="N123" s="67">
        <f t="shared" si="80"/>
        <v>2021</v>
      </c>
      <c r="O123" s="67">
        <f t="shared" si="80"/>
        <v>2022</v>
      </c>
      <c r="P123" s="67">
        <f t="shared" si="80"/>
        <v>2023</v>
      </c>
      <c r="Q123" s="67">
        <f t="shared" si="80"/>
        <v>2024</v>
      </c>
      <c r="R123" s="67">
        <f t="shared" si="80"/>
        <v>2025</v>
      </c>
    </row>
    <row r="124" spans="2:18" ht="15.75">
      <c r="B124" s="66" t="s">
        <v>47</v>
      </c>
      <c r="C124" s="66"/>
      <c r="D124" s="66"/>
      <c r="E124" s="71">
        <f t="shared" ref="E124:R124" si="81">E100+((E24-E14)*(1-0.35))</f>
        <v>1003.8410272581508</v>
      </c>
      <c r="F124" s="71">
        <f t="shared" si="81"/>
        <v>1552.2901261357563</v>
      </c>
      <c r="G124" s="71">
        <f t="shared" si="81"/>
        <v>1365.0805281934793</v>
      </c>
      <c r="H124" s="71">
        <f t="shared" si="81"/>
        <v>1455.5580788348477</v>
      </c>
      <c r="I124" s="71">
        <f t="shared" si="81"/>
        <v>1323.3014762159273</v>
      </c>
      <c r="J124" s="71">
        <f t="shared" si="81"/>
        <v>1186.8965685137398</v>
      </c>
      <c r="K124" s="71">
        <f t="shared" si="81"/>
        <v>1066.6475363985503</v>
      </c>
      <c r="L124" s="71">
        <f t="shared" si="81"/>
        <v>1021.885131635726</v>
      </c>
      <c r="M124" s="71">
        <f t="shared" si="81"/>
        <v>908.10722498415282</v>
      </c>
      <c r="N124" s="71">
        <f t="shared" si="81"/>
        <v>1046.8488751342363</v>
      </c>
      <c r="O124" s="71">
        <f t="shared" si="81"/>
        <v>1148.8384047047798</v>
      </c>
      <c r="P124" s="71">
        <f t="shared" si="81"/>
        <v>1151.6279698113146</v>
      </c>
      <c r="Q124" s="71">
        <f t="shared" si="81"/>
        <v>1139.8865386993862</v>
      </c>
      <c r="R124" s="71">
        <f t="shared" si="81"/>
        <v>1142.8579446599201</v>
      </c>
    </row>
    <row r="125" spans="2:18" ht="15.75">
      <c r="B125" s="66" t="s">
        <v>373</v>
      </c>
      <c r="C125" s="64">
        <f>NPV($C$102, I124:R124)</f>
        <v>7679.945543924412</v>
      </c>
      <c r="D125" s="66"/>
      <c r="E125" s="71"/>
      <c r="F125" s="71"/>
      <c r="G125" s="71"/>
      <c r="H125" s="71"/>
      <c r="I125" s="71"/>
      <c r="J125" s="71"/>
      <c r="K125" s="71"/>
      <c r="L125" s="71"/>
      <c r="M125" s="71"/>
      <c r="N125" s="71"/>
      <c r="O125" s="71"/>
      <c r="P125" s="71"/>
      <c r="Q125" s="71"/>
      <c r="R125" s="71"/>
    </row>
    <row r="126" spans="2:18" ht="15.75">
      <c r="B126" s="66" t="s">
        <v>6</v>
      </c>
      <c r="C126" s="64">
        <f>C106*R124</f>
        <v>13445.387584234355</v>
      </c>
      <c r="D126" s="66"/>
      <c r="E126" s="71"/>
      <c r="F126" s="71"/>
      <c r="G126" s="71"/>
      <c r="H126" s="71"/>
      <c r="I126" s="71"/>
      <c r="J126" s="71"/>
      <c r="K126" s="71"/>
      <c r="L126" s="71"/>
      <c r="M126" s="71"/>
      <c r="N126" s="71"/>
      <c r="O126" s="71"/>
      <c r="P126" s="71"/>
      <c r="Q126" s="71"/>
      <c r="R126" s="71"/>
    </row>
    <row r="127" spans="2:18" ht="15.75">
      <c r="B127" s="67" t="s">
        <v>7832</v>
      </c>
      <c r="C127" s="110">
        <f>C126/(1+$C$102)^10</f>
        <v>6523.6204195304035</v>
      </c>
      <c r="D127" s="66"/>
      <c r="E127" s="71"/>
      <c r="F127" s="71"/>
      <c r="G127" s="71"/>
      <c r="H127" s="71"/>
      <c r="I127" s="71"/>
      <c r="J127" s="71"/>
      <c r="K127" s="71"/>
      <c r="L127" s="71"/>
      <c r="M127" s="71"/>
      <c r="N127" s="71"/>
      <c r="O127" s="71"/>
      <c r="P127" s="71"/>
      <c r="Q127" s="71"/>
      <c r="R127" s="71"/>
    </row>
    <row r="128" spans="2:18" ht="16.5">
      <c r="B128" s="66" t="s">
        <v>77</v>
      </c>
      <c r="C128" s="237">
        <f>C125+C127</f>
        <v>14203.565963454816</v>
      </c>
      <c r="D128" s="115"/>
      <c r="E128" s="115"/>
      <c r="M128" s="115"/>
      <c r="N128" s="115"/>
      <c r="O128" s="115"/>
      <c r="P128" s="115"/>
      <c r="Q128" s="115"/>
      <c r="R128" s="115"/>
    </row>
    <row r="129" spans="2:18" ht="16.5">
      <c r="B129" s="66" t="str">
        <f>B111</f>
        <v>2021e net debt</v>
      </c>
      <c r="C129" s="237">
        <f>C111</f>
        <v>6705.5679315555062</v>
      </c>
      <c r="D129" s="115"/>
      <c r="E129" s="115"/>
      <c r="M129" s="115"/>
      <c r="N129" s="115"/>
      <c r="O129" s="115"/>
      <c r="P129" s="115"/>
      <c r="Q129" s="115"/>
      <c r="R129" s="115"/>
    </row>
    <row r="130" spans="2:18" ht="16.5">
      <c r="B130" s="66" t="s">
        <v>79</v>
      </c>
      <c r="C130" s="64">
        <f>C128-C129</f>
        <v>7497.9980318993094</v>
      </c>
      <c r="D130" s="236"/>
      <c r="E130" s="115"/>
      <c r="F130" s="115"/>
      <c r="G130" s="115"/>
      <c r="H130" s="115"/>
      <c r="I130" s="115"/>
      <c r="J130" s="115"/>
      <c r="K130" s="115"/>
      <c r="L130" s="115"/>
      <c r="M130" s="115"/>
      <c r="N130" s="115"/>
      <c r="O130" s="115"/>
      <c r="P130" s="115"/>
      <c r="Q130" s="115"/>
      <c r="R130" s="115"/>
    </row>
    <row r="131" spans="2:18" ht="16.5">
      <c r="B131" s="115"/>
      <c r="C131" s="236"/>
      <c r="D131" s="115"/>
      <c r="E131" s="115"/>
      <c r="F131" s="115"/>
      <c r="G131" s="115"/>
      <c r="H131" s="115"/>
      <c r="I131" s="115"/>
      <c r="J131" s="115"/>
      <c r="K131" s="453"/>
      <c r="L131" s="115"/>
      <c r="M131" s="115"/>
      <c r="N131" s="115"/>
      <c r="O131" s="115"/>
      <c r="P131" s="115"/>
      <c r="Q131" s="115"/>
      <c r="R131" s="115"/>
    </row>
    <row r="132" spans="2:18" ht="15.75">
      <c r="B132" s="67" t="s">
        <v>7871</v>
      </c>
      <c r="C132" s="67">
        <f t="shared" ref="C132:R132" si="82">C99</f>
        <v>2010</v>
      </c>
      <c r="D132" s="67">
        <f t="shared" si="82"/>
        <v>2011</v>
      </c>
      <c r="E132" s="67">
        <f t="shared" si="82"/>
        <v>2012</v>
      </c>
      <c r="F132" s="67">
        <f t="shared" si="82"/>
        <v>2013</v>
      </c>
      <c r="G132" s="67">
        <f t="shared" si="82"/>
        <v>2014</v>
      </c>
      <c r="H132" s="67">
        <f t="shared" si="82"/>
        <v>2015</v>
      </c>
      <c r="I132" s="67">
        <f t="shared" si="82"/>
        <v>2016</v>
      </c>
      <c r="J132" s="67">
        <f t="shared" si="82"/>
        <v>2017</v>
      </c>
      <c r="K132" s="67">
        <f t="shared" si="82"/>
        <v>2018</v>
      </c>
      <c r="L132" s="67">
        <f t="shared" si="82"/>
        <v>2019</v>
      </c>
      <c r="M132" s="67">
        <f t="shared" si="82"/>
        <v>2020</v>
      </c>
      <c r="N132" s="67">
        <f t="shared" si="82"/>
        <v>2021</v>
      </c>
      <c r="O132" s="67">
        <f t="shared" si="82"/>
        <v>2022</v>
      </c>
      <c r="P132" s="67">
        <f t="shared" si="82"/>
        <v>2023</v>
      </c>
      <c r="Q132" s="67">
        <f t="shared" si="82"/>
        <v>2024</v>
      </c>
      <c r="R132" s="67">
        <f t="shared" si="82"/>
        <v>2025</v>
      </c>
    </row>
    <row r="133" spans="2:18" ht="15.75">
      <c r="B133" s="66" t="s">
        <v>7872</v>
      </c>
      <c r="C133" s="120">
        <v>9.3600000000000003E-2</v>
      </c>
      <c r="D133" s="120">
        <v>0.1191</v>
      </c>
      <c r="E133" s="120">
        <f t="shared" ref="E133:J133" si="83">D133</f>
        <v>0.1191</v>
      </c>
      <c r="F133" s="120">
        <f t="shared" si="83"/>
        <v>0.1191</v>
      </c>
      <c r="G133" s="120">
        <f t="shared" si="83"/>
        <v>0.1191</v>
      </c>
      <c r="H133" s="120">
        <f t="shared" si="83"/>
        <v>0.1191</v>
      </c>
      <c r="I133" s="120">
        <f t="shared" si="83"/>
        <v>0.1191</v>
      </c>
      <c r="J133" s="120">
        <f t="shared" si="83"/>
        <v>0.1191</v>
      </c>
      <c r="K133" s="120">
        <v>0.16220000000000001</v>
      </c>
      <c r="L133" s="120">
        <v>0.16220000000000001</v>
      </c>
      <c r="M133" s="120">
        <v>0.16220000000000001</v>
      </c>
      <c r="N133" s="120">
        <v>0.16220000000000001</v>
      </c>
      <c r="O133" s="120">
        <v>0.16220000000000001</v>
      </c>
      <c r="P133" s="120">
        <v>0.16220000000000001</v>
      </c>
      <c r="Q133" s="120">
        <v>0.16220000000000001</v>
      </c>
      <c r="R133" s="120">
        <v>0.16220000000000001</v>
      </c>
    </row>
    <row r="134" spans="2:18" ht="15.75">
      <c r="B134" s="66"/>
      <c r="C134" s="66"/>
      <c r="D134" s="66"/>
      <c r="E134" s="66"/>
      <c r="F134" s="66"/>
      <c r="G134" s="66"/>
      <c r="H134" s="66"/>
      <c r="I134" s="66"/>
      <c r="J134" s="66"/>
      <c r="K134" s="69"/>
      <c r="L134" s="66"/>
      <c r="M134" s="66"/>
      <c r="N134" s="66"/>
      <c r="O134" s="66"/>
      <c r="P134" s="66"/>
      <c r="Q134" s="66"/>
      <c r="R134" s="66"/>
    </row>
    <row r="135" spans="2:18" ht="16.5">
      <c r="B135" s="66" t="s">
        <v>7873</v>
      </c>
      <c r="C135" s="115"/>
      <c r="D135" s="115"/>
      <c r="E135" s="116">
        <f t="shared" ref="E135:K135" si="84">E136/E133</f>
        <v>0.84127579654561135</v>
      </c>
      <c r="F135" s="116">
        <f t="shared" si="84"/>
        <v>0.85485125021772568</v>
      </c>
      <c r="G135" s="116">
        <f t="shared" si="84"/>
        <v>0.87630836339746521</v>
      </c>
      <c r="H135" s="116">
        <f t="shared" si="84"/>
        <v>0.88826546484497648</v>
      </c>
      <c r="I135" s="116">
        <f t="shared" si="84"/>
        <v>0.86328899429994477</v>
      </c>
      <c r="J135" s="116">
        <f t="shared" si="84"/>
        <v>0.84188950930288053</v>
      </c>
      <c r="K135" s="116">
        <f t="shared" si="84"/>
        <v>0.85566139995552815</v>
      </c>
      <c r="L135" s="242">
        <f t="shared" ref="L135:R135" si="85">K135</f>
        <v>0.85566139995552815</v>
      </c>
      <c r="M135" s="242">
        <f t="shared" si="85"/>
        <v>0.85566139995552815</v>
      </c>
      <c r="N135" s="242">
        <f t="shared" si="85"/>
        <v>0.85566139995552815</v>
      </c>
      <c r="O135" s="242">
        <f t="shared" si="85"/>
        <v>0.85566139995552815</v>
      </c>
      <c r="P135" s="242">
        <f t="shared" si="85"/>
        <v>0.85566139995552815</v>
      </c>
      <c r="Q135" s="242">
        <f t="shared" si="85"/>
        <v>0.85566139995552815</v>
      </c>
      <c r="R135" s="242">
        <f t="shared" si="85"/>
        <v>0.85566139995552815</v>
      </c>
    </row>
    <row r="136" spans="2:18" ht="15.75">
      <c r="B136" s="66" t="s">
        <v>7874</v>
      </c>
      <c r="C136" s="230">
        <f>0.83*C133</f>
        <v>7.7687999999999993E-2</v>
      </c>
      <c r="D136" s="230">
        <f>0.83*D133</f>
        <v>9.8852999999999996E-2</v>
      </c>
      <c r="E136" s="116">
        <f t="shared" ref="E136:K136" si="86">E137/E5</f>
        <v>0.10019594736858231</v>
      </c>
      <c r="F136" s="116">
        <f t="shared" si="86"/>
        <v>0.10181278390093113</v>
      </c>
      <c r="G136" s="116">
        <f t="shared" si="86"/>
        <v>0.1043683260806381</v>
      </c>
      <c r="H136" s="116">
        <f t="shared" si="86"/>
        <v>0.1057924168630367</v>
      </c>
      <c r="I136" s="116">
        <f t="shared" si="86"/>
        <v>0.10281771922112341</v>
      </c>
      <c r="J136" s="116">
        <f t="shared" si="86"/>
        <v>0.10026904055797307</v>
      </c>
      <c r="K136" s="116">
        <f t="shared" si="86"/>
        <v>0.13878827907278668</v>
      </c>
      <c r="L136" s="230">
        <f t="shared" ref="L136:R136" si="87">L133*L135</f>
        <v>0.13878827907278668</v>
      </c>
      <c r="M136" s="230">
        <f t="shared" si="87"/>
        <v>0.13878827907278668</v>
      </c>
      <c r="N136" s="230">
        <f t="shared" si="87"/>
        <v>0.13878827907278668</v>
      </c>
      <c r="O136" s="230">
        <f t="shared" si="87"/>
        <v>0.13878827907278668</v>
      </c>
      <c r="P136" s="230">
        <f t="shared" si="87"/>
        <v>0.13878827907278668</v>
      </c>
      <c r="Q136" s="230">
        <f t="shared" si="87"/>
        <v>0.13878827907278668</v>
      </c>
      <c r="R136" s="230">
        <f t="shared" si="87"/>
        <v>0.13878827907278668</v>
      </c>
    </row>
    <row r="137" spans="2:18" ht="15.75">
      <c r="B137" s="66" t="s">
        <v>7875</v>
      </c>
      <c r="C137" s="71">
        <f>C136*C5</f>
        <v>174.42509759999996</v>
      </c>
      <c r="D137" s="71">
        <f>D136*D5</f>
        <v>224.74229549999998</v>
      </c>
      <c r="E137" s="71">
        <f t="shared" ref="E137:K137" si="88">E146-E144</f>
        <v>244.67850347407801</v>
      </c>
      <c r="F137" s="71">
        <f t="shared" si="88"/>
        <v>267.5232709780866</v>
      </c>
      <c r="G137" s="71">
        <f t="shared" si="88"/>
        <v>303.81619722073754</v>
      </c>
      <c r="H137" s="71">
        <f t="shared" si="88"/>
        <v>302.3970443613041</v>
      </c>
      <c r="I137" s="71">
        <f t="shared" si="88"/>
        <v>312.7715018706574</v>
      </c>
      <c r="J137" s="71">
        <f t="shared" si="88"/>
        <v>302.45153393906998</v>
      </c>
      <c r="K137" s="71">
        <f t="shared" si="88"/>
        <v>376.64363174772853</v>
      </c>
      <c r="L137" s="71">
        <f t="shared" ref="L137:R137" si="89">L136*L5</f>
        <v>371.79992080808825</v>
      </c>
      <c r="M137" s="71">
        <f t="shared" si="89"/>
        <v>352.78592657511649</v>
      </c>
      <c r="N137" s="71">
        <f t="shared" si="89"/>
        <v>396.88416739700608</v>
      </c>
      <c r="O137" s="71">
        <f t="shared" si="89"/>
        <v>456.41679250655693</v>
      </c>
      <c r="P137" s="71">
        <f t="shared" si="89"/>
        <v>479.23763213188482</v>
      </c>
      <c r="Q137" s="71">
        <f t="shared" si="89"/>
        <v>493.6147610958414</v>
      </c>
      <c r="R137" s="71">
        <f t="shared" si="89"/>
        <v>503.48705631775823</v>
      </c>
    </row>
    <row r="138" spans="2:18" ht="15.75">
      <c r="B138" s="66"/>
      <c r="C138" s="71"/>
      <c r="D138" s="71"/>
      <c r="E138" s="71"/>
      <c r="F138" s="71"/>
      <c r="G138" s="71"/>
      <c r="H138" s="71"/>
      <c r="I138" s="71"/>
      <c r="J138" s="71"/>
      <c r="K138" s="71"/>
      <c r="L138" s="71"/>
      <c r="M138" s="71"/>
      <c r="N138" s="71"/>
      <c r="O138" s="71"/>
      <c r="P138" s="71"/>
      <c r="Q138" s="71"/>
      <c r="R138" s="71"/>
    </row>
    <row r="139" spans="2:18" ht="15.75">
      <c r="B139" s="66" t="s">
        <v>7876</v>
      </c>
      <c r="C139" s="71">
        <v>1650</v>
      </c>
      <c r="D139" s="71">
        <f t="shared" ref="D139:R139" si="90">D140*D5</f>
        <v>1670.7977017637627</v>
      </c>
      <c r="E139" s="71">
        <f t="shared" si="90"/>
        <v>1794.6285408872261</v>
      </c>
      <c r="F139" s="71">
        <f t="shared" si="90"/>
        <v>1931.0261892036344</v>
      </c>
      <c r="G139" s="71">
        <f t="shared" si="90"/>
        <v>2139.297167290219</v>
      </c>
      <c r="H139" s="71">
        <f t="shared" si="90"/>
        <v>2100.6413682522716</v>
      </c>
      <c r="I139" s="71">
        <f t="shared" si="90"/>
        <v>2235.5692143238912</v>
      </c>
      <c r="J139" s="71">
        <f t="shared" si="90"/>
        <v>2216.7557455905935</v>
      </c>
      <c r="K139" s="71">
        <f t="shared" si="90"/>
        <v>1994.3746659540354</v>
      </c>
      <c r="L139" s="71">
        <f t="shared" si="90"/>
        <v>1968.7266167824694</v>
      </c>
      <c r="M139" s="71">
        <f t="shared" si="90"/>
        <v>1868.045163014431</v>
      </c>
      <c r="N139" s="71">
        <f t="shared" si="90"/>
        <v>2101.550808391235</v>
      </c>
      <c r="O139" s="71">
        <f t="shared" si="90"/>
        <v>2416.78342964992</v>
      </c>
      <c r="P139" s="71">
        <f t="shared" si="90"/>
        <v>2537.6226011324161</v>
      </c>
      <c r="Q139" s="71">
        <f t="shared" si="90"/>
        <v>2613.7512791663889</v>
      </c>
      <c r="R139" s="71">
        <f t="shared" si="90"/>
        <v>2666.0263047497169</v>
      </c>
    </row>
    <row r="140" spans="2:18" ht="15.75">
      <c r="B140" s="66" t="s">
        <v>592</v>
      </c>
      <c r="C140" s="69">
        <f>C139/C5</f>
        <v>0.7349011223944415</v>
      </c>
      <c r="D140" s="69">
        <f>C140</f>
        <v>0.7349011223944415</v>
      </c>
      <c r="E140" s="69">
        <f t="shared" ref="E140:R140" si="91">D140</f>
        <v>0.7349011223944415</v>
      </c>
      <c r="F140" s="69">
        <f t="shared" si="91"/>
        <v>0.7349011223944415</v>
      </c>
      <c r="G140" s="69">
        <f t="shared" si="91"/>
        <v>0.7349011223944415</v>
      </c>
      <c r="H140" s="69">
        <f t="shared" si="91"/>
        <v>0.7349011223944415</v>
      </c>
      <c r="I140" s="69">
        <f t="shared" si="91"/>
        <v>0.7349011223944415</v>
      </c>
      <c r="J140" s="69">
        <f t="shared" si="91"/>
        <v>0.7349011223944415</v>
      </c>
      <c r="K140" s="69">
        <f t="shared" si="91"/>
        <v>0.7349011223944415</v>
      </c>
      <c r="L140" s="69">
        <f t="shared" si="91"/>
        <v>0.7349011223944415</v>
      </c>
      <c r="M140" s="69">
        <f t="shared" si="91"/>
        <v>0.7349011223944415</v>
      </c>
      <c r="N140" s="69">
        <f t="shared" si="91"/>
        <v>0.7349011223944415</v>
      </c>
      <c r="O140" s="69">
        <f t="shared" si="91"/>
        <v>0.7349011223944415</v>
      </c>
      <c r="P140" s="69">
        <f t="shared" si="91"/>
        <v>0.7349011223944415</v>
      </c>
      <c r="Q140" s="69">
        <f t="shared" si="91"/>
        <v>0.7349011223944415</v>
      </c>
      <c r="R140" s="69">
        <f t="shared" si="91"/>
        <v>0.7349011223944415</v>
      </c>
    </row>
    <row r="141" spans="2:18" ht="15.75">
      <c r="B141" s="66" t="s">
        <v>7877</v>
      </c>
      <c r="C141" s="71">
        <f t="shared" ref="C141:J141" si="92">C139-$C$139</f>
        <v>0</v>
      </c>
      <c r="D141" s="71">
        <f t="shared" si="92"/>
        <v>20.797701763762689</v>
      </c>
      <c r="E141" s="71">
        <f t="shared" si="92"/>
        <v>144.62854088722611</v>
      </c>
      <c r="F141" s="71">
        <f t="shared" si="92"/>
        <v>281.02618920363443</v>
      </c>
      <c r="G141" s="71">
        <f t="shared" si="92"/>
        <v>489.29716729021902</v>
      </c>
      <c r="H141" s="71">
        <f t="shared" si="92"/>
        <v>450.6413682522716</v>
      </c>
      <c r="I141" s="71">
        <f t="shared" si="92"/>
        <v>585.56921432389117</v>
      </c>
      <c r="J141" s="71">
        <f t="shared" si="92"/>
        <v>566.75574559059351</v>
      </c>
      <c r="K141" s="71">
        <f>K139-$C$139</f>
        <v>344.37466595403544</v>
      </c>
      <c r="L141" s="71">
        <f t="shared" ref="L141:R141" si="93">L139-$C$139</f>
        <v>318.72661678246936</v>
      </c>
      <c r="M141" s="71">
        <f t="shared" si="93"/>
        <v>218.04516301443095</v>
      </c>
      <c r="N141" s="71">
        <f t="shared" si="93"/>
        <v>451.55080839123502</v>
      </c>
      <c r="O141" s="71">
        <f t="shared" si="93"/>
        <v>766.78342964991998</v>
      </c>
      <c r="P141" s="71">
        <f t="shared" si="93"/>
        <v>887.62260113241609</v>
      </c>
      <c r="Q141" s="71">
        <f t="shared" si="93"/>
        <v>963.75127916638894</v>
      </c>
      <c r="R141" s="71">
        <f t="shared" si="93"/>
        <v>1016.0263047497169</v>
      </c>
    </row>
    <row r="142" spans="2:18" ht="15.75">
      <c r="B142" s="66"/>
      <c r="C142" s="69"/>
      <c r="D142" s="69"/>
      <c r="E142" s="69"/>
      <c r="F142" s="69"/>
      <c r="G142" s="69"/>
      <c r="H142" s="69"/>
      <c r="I142" s="69"/>
      <c r="J142" s="69"/>
      <c r="K142" s="69"/>
      <c r="L142" s="69"/>
      <c r="M142" s="69"/>
      <c r="N142" s="69"/>
      <c r="O142" s="69"/>
      <c r="P142" s="69"/>
      <c r="Q142" s="69"/>
      <c r="R142" s="69"/>
    </row>
    <row r="143" spans="2:18" ht="15.75">
      <c r="B143" s="66" t="s">
        <v>7878</v>
      </c>
      <c r="C143" s="71"/>
      <c r="D143" s="120">
        <v>2.0199999999999999E-2</v>
      </c>
      <c r="E143" s="238">
        <f t="shared" ref="E143:J143" si="94">D143</f>
        <v>2.0199999999999999E-2</v>
      </c>
      <c r="F143" s="238">
        <f t="shared" si="94"/>
        <v>2.0199999999999999E-2</v>
      </c>
      <c r="G143" s="238">
        <f t="shared" si="94"/>
        <v>2.0199999999999999E-2</v>
      </c>
      <c r="H143" s="238">
        <f t="shared" si="94"/>
        <v>2.0199999999999999E-2</v>
      </c>
      <c r="I143" s="238">
        <f t="shared" si="94"/>
        <v>2.0199999999999999E-2</v>
      </c>
      <c r="J143" s="238">
        <f t="shared" si="94"/>
        <v>2.0199999999999999E-2</v>
      </c>
      <c r="K143" s="238">
        <f>J143</f>
        <v>2.0199999999999999E-2</v>
      </c>
      <c r="L143" s="238">
        <f>K143</f>
        <v>2.0199999999999999E-2</v>
      </c>
      <c r="M143" s="238">
        <f t="shared" ref="M143:R143" si="95">L143</f>
        <v>2.0199999999999999E-2</v>
      </c>
      <c r="N143" s="238">
        <f t="shared" si="95"/>
        <v>2.0199999999999999E-2</v>
      </c>
      <c r="O143" s="238">
        <f t="shared" si="95"/>
        <v>2.0199999999999999E-2</v>
      </c>
      <c r="P143" s="238">
        <f t="shared" si="95"/>
        <v>2.0199999999999999E-2</v>
      </c>
      <c r="Q143" s="238">
        <f t="shared" si="95"/>
        <v>2.0199999999999999E-2</v>
      </c>
      <c r="R143" s="238">
        <f t="shared" si="95"/>
        <v>2.0199999999999999E-2</v>
      </c>
    </row>
    <row r="144" spans="2:18" ht="15.75">
      <c r="B144" s="66" t="s">
        <v>7878</v>
      </c>
      <c r="C144" s="71"/>
      <c r="D144" s="71">
        <f t="shared" ref="D144:J144" si="96">D143*D141</f>
        <v>0.42011357562800627</v>
      </c>
      <c r="E144" s="71">
        <f t="shared" si="96"/>
        <v>2.9214965259219672</v>
      </c>
      <c r="F144" s="71">
        <f t="shared" si="96"/>
        <v>5.676729021913415</v>
      </c>
      <c r="G144" s="71">
        <f t="shared" si="96"/>
        <v>9.8838027792624246</v>
      </c>
      <c r="H144" s="71">
        <f t="shared" si="96"/>
        <v>9.1029556386958852</v>
      </c>
      <c r="I144" s="71">
        <f t="shared" si="96"/>
        <v>11.8284981293426</v>
      </c>
      <c r="J144" s="71">
        <f t="shared" si="96"/>
        <v>11.448466060929988</v>
      </c>
      <c r="K144" s="71">
        <f>K143*K141</f>
        <v>6.9563682522715151</v>
      </c>
      <c r="L144" s="71">
        <f t="shared" ref="L144:R144" si="97">L143*L141</f>
        <v>6.4382776590058812</v>
      </c>
      <c r="M144" s="71">
        <f t="shared" si="97"/>
        <v>4.4045122928915053</v>
      </c>
      <c r="N144" s="71">
        <f t="shared" si="97"/>
        <v>9.1213263295029474</v>
      </c>
      <c r="O144" s="71">
        <f t="shared" si="97"/>
        <v>15.489025278928382</v>
      </c>
      <c r="P144" s="71">
        <f t="shared" si="97"/>
        <v>17.929976542874805</v>
      </c>
      <c r="Q144" s="71">
        <f t="shared" si="97"/>
        <v>19.467775839161057</v>
      </c>
      <c r="R144" s="71">
        <f t="shared" si="97"/>
        <v>20.523731355944282</v>
      </c>
    </row>
    <row r="145" spans="2:34" ht="15.75">
      <c r="B145" s="66"/>
      <c r="C145" s="71"/>
      <c r="D145" s="71"/>
      <c r="E145" s="71"/>
      <c r="F145" s="71"/>
      <c r="G145" s="71"/>
      <c r="H145" s="71"/>
      <c r="I145" s="71"/>
      <c r="J145" s="71"/>
      <c r="K145" s="71"/>
      <c r="L145" s="71"/>
      <c r="M145" s="71"/>
      <c r="N145" s="71"/>
      <c r="O145" s="71"/>
      <c r="P145" s="71"/>
      <c r="Q145" s="71"/>
      <c r="R145" s="71"/>
    </row>
    <row r="146" spans="2:34" ht="15.75">
      <c r="B146" s="138" t="s">
        <v>7879</v>
      </c>
      <c r="C146" s="239">
        <f>C137+C144</f>
        <v>174.42509759999996</v>
      </c>
      <c r="D146" s="239">
        <f>D137+D144</f>
        <v>225.16240907562798</v>
      </c>
      <c r="E146" s="239">
        <f>Content!F58</f>
        <v>247.6</v>
      </c>
      <c r="F146" s="239">
        <f>Content!G58</f>
        <v>273.2</v>
      </c>
      <c r="G146" s="239">
        <f>Content!H58</f>
        <v>313.7</v>
      </c>
      <c r="H146" s="239">
        <f>Content!I58</f>
        <v>311.5</v>
      </c>
      <c r="I146" s="239">
        <f>Content!J58</f>
        <v>324.60000000000002</v>
      </c>
      <c r="J146" s="239">
        <f>Content!K58</f>
        <v>313.89999999999998</v>
      </c>
      <c r="K146" s="239">
        <f>Content!L58</f>
        <v>383.6</v>
      </c>
      <c r="L146" s="239">
        <f t="shared" ref="L146:Q146" si="98">L137+L144</f>
        <v>378.23819846709415</v>
      </c>
      <c r="M146" s="239">
        <f t="shared" si="98"/>
        <v>357.19043886800802</v>
      </c>
      <c r="N146" s="239">
        <f t="shared" si="98"/>
        <v>406.00549372650903</v>
      </c>
      <c r="O146" s="239">
        <f t="shared" si="98"/>
        <v>471.90581778548534</v>
      </c>
      <c r="P146" s="239">
        <f t="shared" si="98"/>
        <v>497.16760867475961</v>
      </c>
      <c r="Q146" s="239">
        <f t="shared" si="98"/>
        <v>513.08253693500251</v>
      </c>
      <c r="R146" s="239">
        <f>R137+R144</f>
        <v>524.01078767370257</v>
      </c>
    </row>
    <row r="147" spans="2:34" ht="15.75">
      <c r="B147" s="66" t="s">
        <v>192</v>
      </c>
      <c r="C147" s="71"/>
      <c r="D147" s="69">
        <f>D146/C146-1</f>
        <v>0.29088309064318985</v>
      </c>
      <c r="E147" s="69">
        <f t="shared" ref="E147:R147" si="99">E146/D146-1</f>
        <v>9.9650696652635373E-2</v>
      </c>
      <c r="F147" s="69">
        <f t="shared" si="99"/>
        <v>0.10339256865912771</v>
      </c>
      <c r="G147" s="69">
        <f t="shared" si="99"/>
        <v>0.14824304538799415</v>
      </c>
      <c r="H147" s="69">
        <f t="shared" si="99"/>
        <v>-7.013069811922179E-3</v>
      </c>
      <c r="I147" s="69">
        <f t="shared" si="99"/>
        <v>4.2054574638844322E-2</v>
      </c>
      <c r="J147" s="69">
        <f>J146/I146-1</f>
        <v>-3.2963647566235488E-2</v>
      </c>
      <c r="K147" s="69">
        <f>K146/J146-1</f>
        <v>0.22204523733673165</v>
      </c>
      <c r="L147" s="69">
        <f t="shared" si="99"/>
        <v>-1.3977584809452215E-2</v>
      </c>
      <c r="M147" s="69">
        <f t="shared" si="99"/>
        <v>-5.5646837586440179E-2</v>
      </c>
      <c r="N147" s="69">
        <f t="shared" si="99"/>
        <v>0.13666394602611276</v>
      </c>
      <c r="O147" s="69">
        <f t="shared" si="99"/>
        <v>0.16231387278559262</v>
      </c>
      <c r="P147" s="69">
        <f t="shared" si="99"/>
        <v>5.3531424994547328E-2</v>
      </c>
      <c r="Q147" s="69">
        <f t="shared" si="99"/>
        <v>3.2011192971049374E-2</v>
      </c>
      <c r="R147" s="69">
        <f t="shared" si="99"/>
        <v>2.1299206174472562E-2</v>
      </c>
    </row>
    <row r="148" spans="2:34" ht="15.75">
      <c r="B148" s="66"/>
      <c r="C148" s="71"/>
      <c r="D148" s="71"/>
      <c r="E148" s="71"/>
      <c r="F148" s="71"/>
      <c r="G148" s="71"/>
      <c r="H148" s="71"/>
      <c r="I148" s="71"/>
      <c r="J148" s="71"/>
      <c r="K148" s="71"/>
      <c r="L148" s="71"/>
      <c r="M148" s="71"/>
      <c r="N148" s="71"/>
      <c r="O148" s="71"/>
      <c r="P148" s="71"/>
      <c r="Q148" s="71"/>
      <c r="R148" s="71"/>
    </row>
    <row r="149" spans="2:34" ht="15.75">
      <c r="B149" s="66" t="s">
        <v>7880</v>
      </c>
      <c r="C149" s="71">
        <f>0.72*C137</f>
        <v>125.58607027199997</v>
      </c>
      <c r="D149" s="71">
        <f t="shared" ref="D149:L149" si="100">0.72*D137</f>
        <v>161.81445275999999</v>
      </c>
      <c r="E149" s="71">
        <f>0.72*E137</f>
        <v>176.16852250133616</v>
      </c>
      <c r="F149" s="71">
        <f t="shared" si="100"/>
        <v>192.61675510422234</v>
      </c>
      <c r="G149" s="71">
        <f t="shared" si="100"/>
        <v>218.74766199893102</v>
      </c>
      <c r="H149" s="71">
        <f t="shared" si="100"/>
        <v>217.72587194013894</v>
      </c>
      <c r="I149" s="71">
        <f t="shared" si="100"/>
        <v>225.19548134687332</v>
      </c>
      <c r="J149" s="71">
        <f t="shared" si="100"/>
        <v>217.76510443613037</v>
      </c>
      <c r="K149" s="71">
        <f>0.72*K137</f>
        <v>271.18341485836453</v>
      </c>
      <c r="L149" s="71">
        <f t="shared" si="100"/>
        <v>267.69594298182352</v>
      </c>
      <c r="M149" s="71">
        <f t="shared" ref="M149:R149" si="101">0.72*M137</f>
        <v>254.00586713408387</v>
      </c>
      <c r="N149" s="71">
        <f t="shared" si="101"/>
        <v>285.75660052584436</v>
      </c>
      <c r="O149" s="71">
        <f t="shared" si="101"/>
        <v>328.62009060472099</v>
      </c>
      <c r="P149" s="71">
        <f t="shared" si="101"/>
        <v>345.05109513495705</v>
      </c>
      <c r="Q149" s="71">
        <f t="shared" si="101"/>
        <v>355.40262798900579</v>
      </c>
      <c r="R149" s="71">
        <f t="shared" si="101"/>
        <v>362.5106805487859</v>
      </c>
      <c r="S149" t="s">
        <v>57</v>
      </c>
    </row>
    <row r="150" spans="2:34" ht="16.5">
      <c r="B150" s="66"/>
      <c r="C150" s="115"/>
      <c r="D150" s="115"/>
      <c r="E150" s="115"/>
      <c r="F150" s="115"/>
      <c r="G150" s="115"/>
      <c r="H150" s="115"/>
      <c r="I150" s="115"/>
      <c r="J150" s="115"/>
      <c r="K150" s="220"/>
      <c r="L150" s="115"/>
    </row>
    <row r="151" spans="2:34" ht="16.5">
      <c r="B151" s="66" t="s">
        <v>7831</v>
      </c>
      <c r="C151" s="64">
        <f>NPV($C$102, E149:R149)</f>
        <v>2116.0278202967784</v>
      </c>
      <c r="D151" s="115"/>
      <c r="E151" s="115"/>
      <c r="F151" s="115"/>
      <c r="G151" s="115"/>
      <c r="H151" s="115"/>
      <c r="I151" s="115"/>
      <c r="J151" s="115"/>
      <c r="K151" s="115"/>
      <c r="L151" s="115"/>
    </row>
    <row r="152" spans="2:34" ht="16.5">
      <c r="B152" s="66" t="s">
        <v>680</v>
      </c>
      <c r="C152" s="112">
        <f>C106</f>
        <v>11.764705882352942</v>
      </c>
      <c r="D152" s="115"/>
      <c r="E152" s="115"/>
      <c r="F152" s="115"/>
      <c r="G152" s="115"/>
      <c r="H152" s="115"/>
      <c r="I152" s="115"/>
      <c r="J152" s="115"/>
      <c r="K152" s="115"/>
      <c r="L152" s="115"/>
    </row>
    <row r="153" spans="2:34" ht="16.5">
      <c r="B153" s="66" t="s">
        <v>6</v>
      </c>
      <c r="C153" s="64">
        <f>C152*R149</f>
        <v>4264.8315358680693</v>
      </c>
      <c r="D153" s="115"/>
      <c r="E153" s="115"/>
      <c r="F153" s="115"/>
      <c r="G153" s="115"/>
      <c r="H153" s="115"/>
      <c r="I153" s="115"/>
      <c r="J153" s="115"/>
      <c r="K153" s="115"/>
      <c r="L153" s="115"/>
    </row>
    <row r="154" spans="2:34" ht="16.5">
      <c r="B154" s="67" t="s">
        <v>7832</v>
      </c>
      <c r="C154" s="110">
        <f>C153/(1+C102)^11</f>
        <v>1924.9026664481823</v>
      </c>
      <c r="D154" s="115"/>
      <c r="E154" s="115"/>
      <c r="F154" s="115"/>
      <c r="G154" s="115"/>
      <c r="H154" s="115"/>
      <c r="I154" s="115"/>
      <c r="J154" s="115"/>
      <c r="K154" s="115"/>
      <c r="L154" s="115"/>
    </row>
    <row r="155" spans="2:34" ht="16.5">
      <c r="B155" s="66" t="s">
        <v>77</v>
      </c>
      <c r="C155" s="64">
        <f>C151+C154</f>
        <v>4040.9304867449609</v>
      </c>
      <c r="D155" s="115"/>
      <c r="E155" s="115"/>
      <c r="F155" s="115"/>
      <c r="G155" s="115"/>
      <c r="H155" s="115"/>
      <c r="I155" s="115"/>
      <c r="J155" s="115"/>
      <c r="K155" s="115"/>
      <c r="L155" s="115"/>
    </row>
    <row r="156" spans="2:34" ht="16.5">
      <c r="B156" s="66"/>
      <c r="C156" s="64"/>
      <c r="D156" s="115"/>
      <c r="E156" s="115"/>
      <c r="F156" s="115"/>
      <c r="G156" s="115"/>
      <c r="H156" s="115"/>
      <c r="I156" s="115"/>
      <c r="J156" s="115"/>
      <c r="K156" s="115"/>
      <c r="L156" s="115"/>
    </row>
    <row r="157" spans="2:34" ht="15.75">
      <c r="B157" s="66" t="s">
        <v>7881</v>
      </c>
      <c r="C157" s="64">
        <f>C146*Valuation!F19</f>
        <v>2202.9889826879994</v>
      </c>
      <c r="D157" s="64">
        <f>D146*Valuation!G19</f>
        <v>2801.0203689008117</v>
      </c>
      <c r="E157" s="64">
        <f>E146*Valuation!H19</f>
        <v>3258.4160000000002</v>
      </c>
      <c r="F157" s="64">
        <f>F146*Valuation!I19</f>
        <v>3486.0319999999997</v>
      </c>
      <c r="G157" s="64">
        <f>G146*Valuation!J19</f>
        <v>4175.3469999999998</v>
      </c>
      <c r="H157" s="64">
        <f>H146*Valuation!K19</f>
        <v>4943.5050000000001</v>
      </c>
      <c r="I157" s="64">
        <f>I146*Valuation!L19</f>
        <v>6118.7100000000009</v>
      </c>
      <c r="J157" s="64">
        <f>J146*Valuation!M19</f>
        <v>5932.7099999999991</v>
      </c>
      <c r="K157" s="64">
        <f>K146*Valuation!N19</f>
        <v>7384.3</v>
      </c>
      <c r="L157" s="64">
        <f>L146*Valuation!O19</f>
        <v>7281.085320491562</v>
      </c>
      <c r="M157" s="64">
        <f>M146*Valuation!P19</f>
        <v>7672.4506268848127</v>
      </c>
      <c r="N157" s="64">
        <f>N137*Valuation!Q19</f>
        <v>8051.0021431470504</v>
      </c>
      <c r="O157" s="64">
        <f>O137*Valuation!R19</f>
        <v>9178.5416973068604</v>
      </c>
      <c r="P157" s="64">
        <f>P137*Valuation!S19</f>
        <v>8482.5060887343607</v>
      </c>
      <c r="Q157" s="64">
        <f>Q137*Valuation!T19</f>
        <v>9033.1501280538978</v>
      </c>
      <c r="R157" s="64">
        <f>R137*Valuation!U19</f>
        <v>9661.9166107377805</v>
      </c>
    </row>
    <row r="158" spans="2:34" ht="15.75">
      <c r="B158" s="67" t="s">
        <v>107</v>
      </c>
      <c r="C158" s="110">
        <f>C159-C157</f>
        <v>1906.0110173120006</v>
      </c>
      <c r="D158" s="110">
        <f t="shared" ref="D158:L158" si="102">D159-D157</f>
        <v>2087.679631099189</v>
      </c>
      <c r="E158" s="110">
        <f t="shared" si="102"/>
        <v>2500.4839999999995</v>
      </c>
      <c r="F158" s="110">
        <f t="shared" si="102"/>
        <v>2203.4680000000003</v>
      </c>
      <c r="G158" s="110">
        <f t="shared" si="102"/>
        <v>2372.6530000000002</v>
      </c>
      <c r="H158" s="110">
        <f t="shared" si="102"/>
        <v>2764.3949999999995</v>
      </c>
      <c r="I158" s="110">
        <f t="shared" si="102"/>
        <v>2945.49</v>
      </c>
      <c r="J158" s="110">
        <f t="shared" si="102"/>
        <v>3287.2900000000009</v>
      </c>
      <c r="K158" s="110">
        <f t="shared" si="102"/>
        <v>3136.7</v>
      </c>
      <c r="L158" s="110">
        <f t="shared" si="102"/>
        <v>3154.914679508438</v>
      </c>
      <c r="M158" s="110">
        <f t="shared" ref="M158:R158" si="103">M159-M157</f>
        <v>3124.5493731151873</v>
      </c>
      <c r="N158" s="110">
        <f t="shared" si="103"/>
        <v>3338.0978568529499</v>
      </c>
      <c r="O158" s="110">
        <f t="shared" si="103"/>
        <v>-9178.5416973068604</v>
      </c>
      <c r="P158" s="110">
        <f t="shared" si="103"/>
        <v>-8482.5060887343607</v>
      </c>
      <c r="Q158" s="110">
        <f t="shared" si="103"/>
        <v>-9033.1501280538978</v>
      </c>
      <c r="R158" s="110">
        <f t="shared" si="103"/>
        <v>-9661.9166107377805</v>
      </c>
    </row>
    <row r="159" spans="2:34" ht="15.75">
      <c r="B159" s="66" t="s">
        <v>7882</v>
      </c>
      <c r="C159" s="64">
        <f>Master!I15</f>
        <v>4109</v>
      </c>
      <c r="D159" s="64">
        <f>Master!J15</f>
        <v>4888.7000000000007</v>
      </c>
      <c r="E159" s="64">
        <f>Master!K15</f>
        <v>5758.9</v>
      </c>
      <c r="F159" s="64">
        <f>Master!L15</f>
        <v>5689.5</v>
      </c>
      <c r="G159" s="64">
        <f>Master!M15</f>
        <v>6548</v>
      </c>
      <c r="H159" s="64">
        <f>Master!N15</f>
        <v>7707.9</v>
      </c>
      <c r="I159" s="64">
        <f>Master!O15</f>
        <v>9064.2000000000007</v>
      </c>
      <c r="J159" s="64">
        <f>Master!P15</f>
        <v>9220</v>
      </c>
      <c r="K159" s="64">
        <f>Master!Q15</f>
        <v>10521</v>
      </c>
      <c r="L159" s="64">
        <f>Master!R15</f>
        <v>10436</v>
      </c>
      <c r="M159" s="64">
        <f>Master!S15</f>
        <v>10797</v>
      </c>
      <c r="N159" s="64">
        <f>Master!T15</f>
        <v>11389.1</v>
      </c>
      <c r="O159" s="64">
        <f>Master!U15</f>
        <v>0</v>
      </c>
      <c r="P159" s="64">
        <f>Master!V15</f>
        <v>0</v>
      </c>
      <c r="Q159" s="64">
        <f>Master!W15</f>
        <v>0</v>
      </c>
      <c r="R159" s="64">
        <f>Master!X15</f>
        <v>0</v>
      </c>
    </row>
    <row r="160" spans="2:34" ht="15.75">
      <c r="B160" s="66" t="s">
        <v>7883</v>
      </c>
      <c r="C160" s="104">
        <f>C157/C159</f>
        <v>0.53613749882891204</v>
      </c>
      <c r="D160" s="104">
        <f t="shared" ref="D160:K160" si="104">D157/D159</f>
        <v>0.5729581215662265</v>
      </c>
      <c r="E160" s="104">
        <f t="shared" si="104"/>
        <v>0.56580527531299385</v>
      </c>
      <c r="F160" s="104">
        <f t="shared" si="104"/>
        <v>0.61271324369452496</v>
      </c>
      <c r="G160" s="104">
        <f t="shared" si="104"/>
        <v>0.63765226023213195</v>
      </c>
      <c r="H160" s="104">
        <f t="shared" si="104"/>
        <v>0.64135562215389408</v>
      </c>
      <c r="I160" s="104">
        <f t="shared" si="104"/>
        <v>0.67504137154961286</v>
      </c>
      <c r="J160" s="104">
        <f t="shared" si="104"/>
        <v>0.64346095444685458</v>
      </c>
      <c r="K160" s="104">
        <f t="shared" si="104"/>
        <v>0.70186294078509648</v>
      </c>
      <c r="L160" s="104"/>
      <c r="M160" s="104"/>
      <c r="N160" s="104"/>
      <c r="O160" s="104"/>
      <c r="P160" s="104"/>
      <c r="Q160" s="104"/>
      <c r="R160" s="104"/>
      <c r="S160" s="104"/>
      <c r="T160" s="104"/>
      <c r="U160" s="104"/>
      <c r="V160" s="104"/>
      <c r="W160" s="104"/>
      <c r="X160" s="104"/>
      <c r="Y160" s="104"/>
      <c r="Z160" s="104"/>
      <c r="AA160" s="104"/>
      <c r="AB160" s="104"/>
      <c r="AC160" s="104"/>
      <c r="AD160" s="104"/>
      <c r="AE160" s="104"/>
      <c r="AF160" s="104"/>
      <c r="AG160" s="104"/>
      <c r="AH160" s="104"/>
    </row>
    <row r="161" spans="2:11" ht="15.75">
      <c r="B161" s="66" t="s">
        <v>7884</v>
      </c>
      <c r="D161" s="104">
        <f>D158/C158-1</f>
        <v>9.5313517150279248E-2</v>
      </c>
      <c r="E161" s="104">
        <f t="shared" ref="E161:K161" si="105">E158/D158-1</f>
        <v>0.19773358074268499</v>
      </c>
      <c r="F161" s="104">
        <f t="shared" si="105"/>
        <v>-0.1187834035330757</v>
      </c>
      <c r="G161" s="104">
        <f t="shared" si="105"/>
        <v>7.6781237576402317E-2</v>
      </c>
      <c r="H161" s="104">
        <f t="shared" si="105"/>
        <v>0.16510716063410835</v>
      </c>
      <c r="I161" s="104">
        <f t="shared" si="105"/>
        <v>6.5509813177928811E-2</v>
      </c>
      <c r="J161" s="104">
        <f t="shared" si="105"/>
        <v>0.11604181307694184</v>
      </c>
      <c r="K161" s="104">
        <f t="shared" si="105"/>
        <v>-4.5809770357954749E-2</v>
      </c>
    </row>
    <row r="163" spans="2:11" ht="15.75">
      <c r="B163" s="66" t="s">
        <v>7885</v>
      </c>
      <c r="K163">
        <f>(K133-J133)*K5</f>
        <v>116.96478000000005</v>
      </c>
    </row>
    <row r="164" spans="2:11" ht="15.75">
      <c r="B164" s="66" t="s">
        <v>4261</v>
      </c>
      <c r="K164">
        <f>Master!Q17/Valuation!N19</f>
        <v>2039.012987012987</v>
      </c>
    </row>
    <row r="165" spans="2:11" ht="15.75">
      <c r="B165" s="66" t="s">
        <v>7886</v>
      </c>
      <c r="K165">
        <f>K163/K164</f>
        <v>5.7363430613232812E-2</v>
      </c>
    </row>
    <row r="167" spans="2:11" ht="15.75">
      <c r="B167" s="66"/>
      <c r="C167" s="66"/>
      <c r="D167" s="66"/>
      <c r="E167" s="66"/>
      <c r="F167" s="67" t="s">
        <v>128</v>
      </c>
      <c r="G167" s="67">
        <v>2013</v>
      </c>
      <c r="H167" s="67">
        <v>2014</v>
      </c>
    </row>
    <row r="168" spans="2:11" ht="15.75">
      <c r="B168" s="66"/>
      <c r="C168" s="66"/>
      <c r="D168" s="66"/>
      <c r="E168" s="66"/>
      <c r="F168" s="66" t="s">
        <v>907</v>
      </c>
      <c r="G168" s="125">
        <f>F5</f>
        <v>2627.6</v>
      </c>
      <c r="H168" s="125">
        <f>G5</f>
        <v>2911</v>
      </c>
    </row>
    <row r="169" spans="2:11" ht="15.75">
      <c r="B169" s="66"/>
      <c r="C169" s="66"/>
      <c r="D169" s="66"/>
      <c r="E169" s="66"/>
      <c r="F169" s="66" t="s">
        <v>192</v>
      </c>
      <c r="G169" s="116">
        <f>G168/E5-1</f>
        <v>7.6003276003276055E-2</v>
      </c>
      <c r="H169" s="116">
        <f>H168/G168-1</f>
        <v>0.10785507687623697</v>
      </c>
    </row>
    <row r="170" spans="2:11" ht="15.75">
      <c r="B170" s="66" t="s">
        <v>7887</v>
      </c>
      <c r="C170" s="112">
        <v>13</v>
      </c>
      <c r="D170" s="66"/>
      <c r="E170" s="66"/>
      <c r="F170" s="66"/>
      <c r="G170" s="66"/>
      <c r="H170" s="66"/>
    </row>
    <row r="171" spans="2:11" ht="15.75">
      <c r="B171" s="66" t="s">
        <v>7888</v>
      </c>
      <c r="C171" s="125">
        <f>H171</f>
        <v>1240.8</v>
      </c>
      <c r="D171" s="66"/>
      <c r="E171" s="66"/>
      <c r="F171" s="66" t="s">
        <v>34</v>
      </c>
      <c r="G171" s="125">
        <f>F14</f>
        <v>1120.3999999999999</v>
      </c>
      <c r="H171" s="125">
        <f>G14</f>
        <v>1240.8</v>
      </c>
    </row>
    <row r="172" spans="2:11" ht="15.75">
      <c r="B172" s="66" t="s">
        <v>77</v>
      </c>
      <c r="C172" s="125">
        <f>C170*C171</f>
        <v>16130.4</v>
      </c>
      <c r="D172" s="66"/>
      <c r="E172" s="66"/>
      <c r="F172" s="66" t="s">
        <v>548</v>
      </c>
      <c r="G172" s="116">
        <f>G171/G168</f>
        <v>0.42639671182828431</v>
      </c>
      <c r="H172" s="116">
        <f>H171/H168</f>
        <v>0.4262452765372724</v>
      </c>
    </row>
    <row r="173" spans="2:11" ht="15.75">
      <c r="B173" s="66" t="s">
        <v>7889</v>
      </c>
      <c r="C173" s="125">
        <f>H179</f>
        <v>9265.1999999999989</v>
      </c>
      <c r="D173" s="66"/>
      <c r="E173" s="66"/>
    </row>
    <row r="174" spans="2:11" ht="15.75">
      <c r="B174" s="66" t="s">
        <v>79</v>
      </c>
      <c r="C174" s="125">
        <f>C172-C173</f>
        <v>6865.2000000000007</v>
      </c>
      <c r="D174" s="66"/>
      <c r="E174" s="66"/>
      <c r="F174" s="66" t="s">
        <v>35</v>
      </c>
      <c r="G174" s="125">
        <f>F52</f>
        <v>179.2</v>
      </c>
      <c r="H174" s="125">
        <f>G52</f>
        <v>133.4</v>
      </c>
    </row>
    <row r="175" spans="2:11" ht="15.75">
      <c r="F175" s="66" t="s">
        <v>396</v>
      </c>
      <c r="G175" s="116">
        <f>G174/G168</f>
        <v>6.8199117065002285E-2</v>
      </c>
      <c r="H175" s="116">
        <f>H174/H168</f>
        <v>4.5826176571624876E-2</v>
      </c>
    </row>
    <row r="176" spans="2:11" ht="16.5">
      <c r="B176" s="219" t="s">
        <v>7890</v>
      </c>
      <c r="C176" s="125">
        <f>0.37*C174</f>
        <v>2540.1240000000003</v>
      </c>
      <c r="D176" s="115"/>
      <c r="E176" s="115"/>
    </row>
    <row r="177" spans="2:8" ht="16.5">
      <c r="B177" s="66" t="s">
        <v>7891</v>
      </c>
      <c r="C177" s="125">
        <f>SOP!G15+SOP!G16</f>
        <v>1190.505509002171</v>
      </c>
      <c r="D177" s="115"/>
      <c r="E177" s="115"/>
      <c r="F177" s="66" t="s">
        <v>154</v>
      </c>
      <c r="G177" s="125">
        <f>G171-G174+F35+F46</f>
        <v>774.99999999999977</v>
      </c>
      <c r="H177" s="125">
        <f>H171-H174+G35+G46</f>
        <v>595.09999999999991</v>
      </c>
    </row>
    <row r="178" spans="2:8" ht="16.5">
      <c r="B178" s="66" t="s">
        <v>103</v>
      </c>
      <c r="C178" s="125">
        <f>C176-C177</f>
        <v>1349.6184909978292</v>
      </c>
      <c r="D178" s="115"/>
      <c r="E178" s="115"/>
      <c r="F178" s="67" t="s">
        <v>7892</v>
      </c>
      <c r="G178" s="154">
        <f>-(G179-E96)-G177</f>
        <v>-1123.799999999999</v>
      </c>
      <c r="H178" s="154">
        <f>-(H179-F96)-H177</f>
        <v>-351.09999999999809</v>
      </c>
    </row>
    <row r="179" spans="2:8" ht="16.5">
      <c r="B179" s="66" t="s">
        <v>7893</v>
      </c>
      <c r="C179" s="156">
        <f>C178/SOP!G33</f>
        <v>2.0434327086009421</v>
      </c>
      <c r="D179" s="115"/>
      <c r="E179" s="115"/>
      <c r="F179" s="66" t="s">
        <v>271</v>
      </c>
      <c r="G179" s="125">
        <f>F96</f>
        <v>9509.2000000000007</v>
      </c>
      <c r="H179" s="125">
        <f>G96</f>
        <v>9265.1999999999989</v>
      </c>
    </row>
    <row r="181" spans="2:8" ht="15.75">
      <c r="B181" s="74" t="s">
        <v>7894</v>
      </c>
    </row>
    <row r="183" spans="2:8">
      <c r="B183" s="42" t="s">
        <v>7895</v>
      </c>
    </row>
    <row r="184" spans="2:8">
      <c r="B184" s="42"/>
    </row>
    <row r="185" spans="2:8" ht="15.75">
      <c r="B185" s="66" t="s">
        <v>7896</v>
      </c>
      <c r="C185" s="125">
        <f>R24-R14</f>
        <v>503.48705631775829</v>
      </c>
    </row>
    <row r="186" spans="2:8" ht="15.75">
      <c r="B186" s="66" t="s">
        <v>7897</v>
      </c>
      <c r="C186" s="69">
        <v>0.28000000000000003</v>
      </c>
    </row>
    <row r="187" spans="2:8" ht="15.75">
      <c r="B187" s="66" t="s">
        <v>7898</v>
      </c>
      <c r="C187" s="125">
        <f>(1-C186)*C185</f>
        <v>362.51068054878596</v>
      </c>
    </row>
    <row r="188" spans="2:8" ht="15.75">
      <c r="B188" s="66" t="s">
        <v>6</v>
      </c>
      <c r="C188" s="125">
        <f>C106*C187</f>
        <v>4264.8315358680702</v>
      </c>
    </row>
    <row r="189" spans="2:8" ht="15.75">
      <c r="B189" s="66" t="s">
        <v>124</v>
      </c>
      <c r="C189" s="125">
        <f>C188/(1+C102)^11</f>
        <v>1924.9026664481828</v>
      </c>
    </row>
    <row r="190" spans="2:8" ht="15.75">
      <c r="B190" s="66"/>
      <c r="C190" s="125"/>
    </row>
    <row r="191" spans="2:8" ht="15.75">
      <c r="B191" s="66" t="s">
        <v>7899</v>
      </c>
      <c r="C191" s="69">
        <v>0.37</v>
      </c>
    </row>
    <row r="192" spans="2:8" ht="15.75">
      <c r="B192" s="66" t="s">
        <v>7900</v>
      </c>
      <c r="C192" s="125">
        <f>C189*C191</f>
        <v>712.21398658582768</v>
      </c>
      <c r="E192" t="s">
        <v>57</v>
      </c>
    </row>
    <row r="194" spans="2:3">
      <c r="B194" t="s">
        <v>7901</v>
      </c>
      <c r="C194">
        <v>421</v>
      </c>
    </row>
    <row r="195" spans="2:3">
      <c r="B195" t="s">
        <v>1302</v>
      </c>
      <c r="C195">
        <v>430</v>
      </c>
    </row>
    <row r="196" spans="2:3">
      <c r="B196" t="s">
        <v>7902</v>
      </c>
      <c r="C196">
        <v>473</v>
      </c>
    </row>
    <row r="197" spans="2:3">
      <c r="B197" t="s">
        <v>7903</v>
      </c>
      <c r="C197">
        <v>515</v>
      </c>
    </row>
    <row r="198" spans="2:3">
      <c r="B198" t="s">
        <v>7904</v>
      </c>
      <c r="C198">
        <v>542</v>
      </c>
    </row>
    <row r="199" spans="2:3">
      <c r="B199" t="s">
        <v>100</v>
      </c>
      <c r="C199">
        <v>797</v>
      </c>
    </row>
    <row r="200" spans="2:3">
      <c r="B200" t="s">
        <v>1732</v>
      </c>
      <c r="C200">
        <v>1027</v>
      </c>
    </row>
    <row r="201" spans="2:3">
      <c r="B201" t="s">
        <v>7905</v>
      </c>
      <c r="C201">
        <v>1051</v>
      </c>
    </row>
    <row r="202" spans="2:3">
      <c r="B202" t="s">
        <v>7906</v>
      </c>
      <c r="C202">
        <v>1144</v>
      </c>
    </row>
    <row r="203" spans="2:3">
      <c r="B203" t="s">
        <v>7907</v>
      </c>
      <c r="C203">
        <v>1267</v>
      </c>
    </row>
    <row r="212" spans="2:82" ht="15.75">
      <c r="B212" s="402" t="s">
        <v>7908</v>
      </c>
      <c r="C212" s="66"/>
      <c r="D212" s="66"/>
      <c r="E212" s="66"/>
      <c r="F212" s="66"/>
      <c r="G212" s="66"/>
      <c r="H212" s="66"/>
      <c r="I212" s="66"/>
      <c r="J212" s="66"/>
      <c r="K212" s="66"/>
      <c r="L212" s="66"/>
      <c r="M212" s="66"/>
      <c r="N212" s="66"/>
      <c r="O212" s="66"/>
      <c r="P212" s="66"/>
      <c r="Q212" s="66"/>
      <c r="R212" s="66"/>
      <c r="S212" s="66"/>
      <c r="T212" s="66"/>
      <c r="U212" s="66"/>
      <c r="V212" s="66"/>
      <c r="W212" s="66"/>
      <c r="X212" s="66"/>
      <c r="Y212" s="66"/>
      <c r="Z212" s="66"/>
      <c r="AA212" s="66"/>
      <c r="AB212" s="66"/>
      <c r="AC212" s="66"/>
      <c r="AD212" s="66"/>
      <c r="AE212" s="66"/>
      <c r="AF212" s="66"/>
      <c r="AG212" s="66"/>
      <c r="AH212" s="66"/>
      <c r="AI212" s="66"/>
      <c r="AJ212" s="66"/>
      <c r="AK212" s="66"/>
      <c r="AL212" s="66"/>
      <c r="AM212" s="66"/>
      <c r="AN212" s="66"/>
      <c r="AO212" s="66"/>
      <c r="AP212" s="66"/>
      <c r="AQ212" s="66"/>
    </row>
    <row r="213" spans="2:82" ht="15.75">
      <c r="B213" s="66"/>
      <c r="C213" s="66"/>
      <c r="D213" s="66"/>
      <c r="E213" s="66"/>
      <c r="F213" s="66"/>
      <c r="G213" s="66"/>
      <c r="H213" s="66"/>
      <c r="I213" s="66"/>
      <c r="J213" s="66"/>
      <c r="K213" s="66"/>
      <c r="L213" s="66"/>
      <c r="O213" s="66"/>
      <c r="P213" s="66"/>
      <c r="AR213" s="66"/>
      <c r="AS213" s="111" t="s">
        <v>732</v>
      </c>
      <c r="AT213" s="111" t="s">
        <v>732</v>
      </c>
      <c r="AU213" s="111" t="s">
        <v>732</v>
      </c>
      <c r="AV213" s="111" t="s">
        <v>732</v>
      </c>
      <c r="AW213" s="111" t="s">
        <v>732</v>
      </c>
      <c r="AX213" s="111" t="s">
        <v>732</v>
      </c>
      <c r="AY213" s="111" t="s">
        <v>732</v>
      </c>
      <c r="AZ213" s="111" t="s">
        <v>732</v>
      </c>
      <c r="BA213" s="111" t="s">
        <v>732</v>
      </c>
      <c r="BB213" s="111" t="s">
        <v>732</v>
      </c>
      <c r="BC213" s="111" t="s">
        <v>732</v>
      </c>
      <c r="BD213" s="111" t="s">
        <v>732</v>
      </c>
      <c r="BE213" s="111" t="s">
        <v>732</v>
      </c>
      <c r="BF213" s="111" t="s">
        <v>732</v>
      </c>
      <c r="BG213" s="111" t="s">
        <v>732</v>
      </c>
      <c r="BH213" s="111" t="s">
        <v>732</v>
      </c>
      <c r="BI213" s="111" t="s">
        <v>732</v>
      </c>
      <c r="BJ213" s="111" t="s">
        <v>732</v>
      </c>
      <c r="BK213" s="111" t="s">
        <v>732</v>
      </c>
      <c r="BL213" s="111" t="s">
        <v>732</v>
      </c>
      <c r="BM213" s="111" t="s">
        <v>732</v>
      </c>
      <c r="BN213" s="111" t="s">
        <v>732</v>
      </c>
      <c r="BO213" s="111" t="s">
        <v>732</v>
      </c>
      <c r="BP213" s="111" t="s">
        <v>732</v>
      </c>
      <c r="BQ213" s="111" t="s">
        <v>732</v>
      </c>
      <c r="BR213" s="111" t="s">
        <v>732</v>
      </c>
      <c r="BS213" s="111" t="s">
        <v>732</v>
      </c>
      <c r="BT213" s="111" t="s">
        <v>732</v>
      </c>
      <c r="BU213" s="111" t="s">
        <v>732</v>
      </c>
      <c r="BV213" s="111" t="s">
        <v>732</v>
      </c>
      <c r="BW213" s="111" t="s">
        <v>732</v>
      </c>
      <c r="BX213" s="111" t="s">
        <v>732</v>
      </c>
      <c r="BY213" s="111" t="s">
        <v>732</v>
      </c>
      <c r="BZ213" s="111" t="s">
        <v>732</v>
      </c>
      <c r="CA213" s="111" t="s">
        <v>732</v>
      </c>
      <c r="CB213" s="111" t="s">
        <v>732</v>
      </c>
    </row>
    <row r="214" spans="2:82" ht="15.75">
      <c r="B214" s="67" t="s">
        <v>1943</v>
      </c>
      <c r="C214" s="68" t="s">
        <v>867</v>
      </c>
      <c r="D214" s="68" t="s">
        <v>868</v>
      </c>
      <c r="E214" s="68" t="s">
        <v>869</v>
      </c>
      <c r="F214" s="68" t="s">
        <v>870</v>
      </c>
      <c r="G214" s="68" t="s">
        <v>871</v>
      </c>
      <c r="H214" s="68" t="s">
        <v>872</v>
      </c>
      <c r="I214" s="68" t="s">
        <v>873</v>
      </c>
      <c r="J214" s="68" t="s">
        <v>874</v>
      </c>
      <c r="K214" s="68" t="s">
        <v>875</v>
      </c>
      <c r="L214" s="68" t="s">
        <v>876</v>
      </c>
      <c r="M214" s="68" t="s">
        <v>877</v>
      </c>
      <c r="N214" s="68" t="s">
        <v>878</v>
      </c>
      <c r="O214" s="68" t="s">
        <v>879</v>
      </c>
      <c r="P214" s="68" t="s">
        <v>880</v>
      </c>
      <c r="Q214" s="68" t="s">
        <v>881</v>
      </c>
      <c r="R214" s="68" t="s">
        <v>882</v>
      </c>
      <c r="S214" s="68" t="s">
        <v>883</v>
      </c>
      <c r="T214" s="68" t="s">
        <v>884</v>
      </c>
      <c r="U214" s="68" t="s">
        <v>885</v>
      </c>
      <c r="V214" s="68" t="s">
        <v>886</v>
      </c>
      <c r="W214" s="68" t="s">
        <v>733</v>
      </c>
      <c r="X214" s="68" t="s">
        <v>734</v>
      </c>
      <c r="Y214" s="68" t="s">
        <v>735</v>
      </c>
      <c r="Z214" s="68" t="s">
        <v>736</v>
      </c>
      <c r="AA214" s="68" t="s">
        <v>737</v>
      </c>
      <c r="AB214" s="68" t="s">
        <v>738</v>
      </c>
      <c r="AC214" s="68" t="s">
        <v>739</v>
      </c>
      <c r="AD214" s="68" t="s">
        <v>740</v>
      </c>
      <c r="AE214" s="68" t="s">
        <v>741</v>
      </c>
      <c r="AF214" s="68" t="s">
        <v>742</v>
      </c>
      <c r="AG214" s="68" t="s">
        <v>743</v>
      </c>
      <c r="AH214" s="68" t="s">
        <v>744</v>
      </c>
      <c r="AI214" s="68" t="s">
        <v>745</v>
      </c>
      <c r="AJ214" s="68" t="s">
        <v>746</v>
      </c>
      <c r="AK214" s="68" t="s">
        <v>747</v>
      </c>
      <c r="AL214" s="68" t="s">
        <v>748</v>
      </c>
      <c r="AM214" s="68" t="s">
        <v>749</v>
      </c>
      <c r="AN214" s="68" t="s">
        <v>750</v>
      </c>
      <c r="AO214" s="68" t="s">
        <v>751</v>
      </c>
      <c r="AP214" s="68" t="s">
        <v>7909</v>
      </c>
      <c r="AR214" s="67" t="s">
        <v>201</v>
      </c>
      <c r="AS214" s="68" t="str">
        <f t="shared" ref="AS214:BY214" si="106">G214</f>
        <v>Q1 11</v>
      </c>
      <c r="AT214" s="68" t="str">
        <f t="shared" si="106"/>
        <v>Q2 11</v>
      </c>
      <c r="AU214" s="68" t="str">
        <f t="shared" si="106"/>
        <v>Q3 11</v>
      </c>
      <c r="AV214" s="68" t="str">
        <f t="shared" si="106"/>
        <v>Q4 11</v>
      </c>
      <c r="AW214" s="68" t="str">
        <f t="shared" si="106"/>
        <v>Q1 12</v>
      </c>
      <c r="AX214" s="68" t="str">
        <f t="shared" si="106"/>
        <v>Q2 12</v>
      </c>
      <c r="AY214" s="68" t="str">
        <f t="shared" si="106"/>
        <v>Q3 12</v>
      </c>
      <c r="AZ214" s="68" t="str">
        <f t="shared" si="106"/>
        <v>Q4 12</v>
      </c>
      <c r="BA214" s="68" t="str">
        <f t="shared" si="106"/>
        <v>Q1 13</v>
      </c>
      <c r="BB214" s="68" t="str">
        <f t="shared" si="106"/>
        <v>Q2 13</v>
      </c>
      <c r="BC214" s="68" t="str">
        <f t="shared" si="106"/>
        <v>Q3 13</v>
      </c>
      <c r="BD214" s="68" t="str">
        <f t="shared" si="106"/>
        <v>Q4 13</v>
      </c>
      <c r="BE214" s="68" t="str">
        <f t="shared" si="106"/>
        <v>Q1 14</v>
      </c>
      <c r="BF214" s="68" t="str">
        <f t="shared" si="106"/>
        <v>Q2 14</v>
      </c>
      <c r="BG214" s="68" t="str">
        <f t="shared" si="106"/>
        <v>Q3 14</v>
      </c>
      <c r="BH214" s="68" t="str">
        <f t="shared" si="106"/>
        <v>Q4 14</v>
      </c>
      <c r="BI214" s="68" t="str">
        <f t="shared" si="106"/>
        <v>Q1 15</v>
      </c>
      <c r="BJ214" s="68" t="str">
        <f t="shared" si="106"/>
        <v>Q2 15</v>
      </c>
      <c r="BK214" s="68" t="str">
        <f t="shared" si="106"/>
        <v>Q3 15</v>
      </c>
      <c r="BL214" s="68" t="str">
        <f t="shared" si="106"/>
        <v>Q4 15</v>
      </c>
      <c r="BM214" s="68" t="str">
        <f t="shared" si="106"/>
        <v>Q1 16</v>
      </c>
      <c r="BN214" s="68" t="str">
        <f t="shared" si="106"/>
        <v>Q2 16</v>
      </c>
      <c r="BO214" s="68" t="str">
        <f t="shared" si="106"/>
        <v>Q3 16</v>
      </c>
      <c r="BP214" s="68" t="str">
        <f t="shared" si="106"/>
        <v>Q4 16</v>
      </c>
      <c r="BQ214" s="68" t="str">
        <f t="shared" si="106"/>
        <v>Q1 17</v>
      </c>
      <c r="BR214" s="68" t="str">
        <f t="shared" si="106"/>
        <v>Q2 17</v>
      </c>
      <c r="BS214" s="68" t="str">
        <f t="shared" si="106"/>
        <v>Q3 17</v>
      </c>
      <c r="BT214" s="68" t="str">
        <f t="shared" si="106"/>
        <v>Q4 17</v>
      </c>
      <c r="BU214" s="68" t="str">
        <f t="shared" si="106"/>
        <v>Q1 18</v>
      </c>
      <c r="BV214" s="68" t="str">
        <f t="shared" si="106"/>
        <v>Q2 18</v>
      </c>
      <c r="BW214" s="68" t="str">
        <f t="shared" si="106"/>
        <v>Q3 18</v>
      </c>
      <c r="BX214" s="68" t="str">
        <f t="shared" si="106"/>
        <v>Q4 18</v>
      </c>
      <c r="BY214" s="68" t="str">
        <f t="shared" si="106"/>
        <v>Q1 19</v>
      </c>
      <c r="BZ214" s="68" t="str">
        <f>AN214</f>
        <v>Q2 19</v>
      </c>
      <c r="CA214" s="68" t="str">
        <f>AO214</f>
        <v>Q3 19</v>
      </c>
      <c r="CB214" s="68" t="str">
        <f>AP214</f>
        <v>Q4 19e</v>
      </c>
    </row>
    <row r="215" spans="2:82" ht="15.75">
      <c r="B215" s="66" t="s">
        <v>6</v>
      </c>
      <c r="C215" s="66">
        <v>380.1</v>
      </c>
      <c r="D215" s="66">
        <v>530.1</v>
      </c>
      <c r="E215" s="66">
        <v>472.8</v>
      </c>
      <c r="F215" s="66">
        <v>476</v>
      </c>
      <c r="G215" s="66">
        <v>407.1</v>
      </c>
      <c r="H215" s="66">
        <v>485.3</v>
      </c>
      <c r="I215" s="66">
        <v>480.9</v>
      </c>
      <c r="J215" s="66">
        <v>516.79999999999995</v>
      </c>
      <c r="K215" s="66">
        <v>449.5</v>
      </c>
      <c r="L215" s="66">
        <v>508.1</v>
      </c>
      <c r="M215" s="66">
        <v>509.2</v>
      </c>
      <c r="N215" s="66">
        <v>543</v>
      </c>
      <c r="O215" s="66">
        <v>478.7</v>
      </c>
      <c r="P215" s="66">
        <v>565.79999999999995</v>
      </c>
      <c r="Q215" s="66">
        <v>580.6</v>
      </c>
      <c r="R215" s="66">
        <v>594.79999999999995</v>
      </c>
      <c r="S215" s="66">
        <v>526.79999999999995</v>
      </c>
      <c r="T215" s="66">
        <v>713.9</v>
      </c>
      <c r="U215" s="66">
        <v>613.9</v>
      </c>
      <c r="V215" s="66">
        <v>600</v>
      </c>
      <c r="W215" s="66">
        <f>560.9-W217</f>
        <v>525.9</v>
      </c>
      <c r="X215" s="66">
        <v>623.79999999999995</v>
      </c>
      <c r="Y215" s="66">
        <v>727.4</v>
      </c>
      <c r="Z215" s="112">
        <v>663.8</v>
      </c>
      <c r="AA215" s="112"/>
      <c r="AB215" s="112"/>
      <c r="AC215" s="112"/>
      <c r="AD215" s="112"/>
      <c r="AE215" s="112"/>
      <c r="AF215" s="112"/>
      <c r="AG215" s="112"/>
      <c r="AH215" s="66"/>
      <c r="AI215" s="66"/>
      <c r="AJ215" s="66"/>
      <c r="AK215" s="66"/>
      <c r="AL215" s="66"/>
      <c r="AM215" s="66"/>
      <c r="AN215" s="66"/>
      <c r="AO215" s="66"/>
      <c r="AP215" s="66"/>
      <c r="AR215" s="66" t="str">
        <f>B215</f>
        <v>TV</v>
      </c>
      <c r="AS215" s="69">
        <f t="shared" ref="AS215:BB218" si="107">G215/C215-1</f>
        <v>7.1033938437253363E-2</v>
      </c>
      <c r="AT215" s="69">
        <f t="shared" si="107"/>
        <v>-8.4512356159215263E-2</v>
      </c>
      <c r="AU215" s="69">
        <f t="shared" si="107"/>
        <v>1.7131979695431454E-2</v>
      </c>
      <c r="AV215" s="69">
        <f t="shared" si="107"/>
        <v>8.5714285714285632E-2</v>
      </c>
      <c r="AW215" s="69">
        <f t="shared" si="107"/>
        <v>0.10415131417342161</v>
      </c>
      <c r="AX215" s="69">
        <f t="shared" si="107"/>
        <v>4.6981248712136825E-2</v>
      </c>
      <c r="AY215" s="69">
        <f t="shared" si="107"/>
        <v>5.8847993345809924E-2</v>
      </c>
      <c r="AZ215" s="69">
        <f t="shared" si="107"/>
        <v>5.0696594427244612E-2</v>
      </c>
      <c r="BA215" s="69">
        <f t="shared" si="107"/>
        <v>6.496106785317024E-2</v>
      </c>
      <c r="BB215" s="69">
        <f t="shared" si="107"/>
        <v>0.11356032277110795</v>
      </c>
      <c r="BC215" s="69">
        <f t="shared" ref="BC215:BJ218" si="108">Q215/M215-1</f>
        <v>0.14021995286724276</v>
      </c>
      <c r="BD215" s="69">
        <f t="shared" si="108"/>
        <v>9.5395948434622291E-2</v>
      </c>
      <c r="BE215" s="69">
        <f t="shared" si="108"/>
        <v>0.1004804679339879</v>
      </c>
      <c r="BF215" s="69">
        <f t="shared" si="108"/>
        <v>0.26175326970661028</v>
      </c>
      <c r="BG215" s="69">
        <f t="shared" si="108"/>
        <v>5.7354460902514504E-2</v>
      </c>
      <c r="BH215" s="69">
        <f t="shared" si="108"/>
        <v>8.7424344317419411E-3</v>
      </c>
      <c r="BI215" s="69">
        <f t="shared" si="108"/>
        <v>-1.7084282460135825E-3</v>
      </c>
      <c r="BJ215" s="69">
        <f t="shared" si="108"/>
        <v>-0.12620815240229732</v>
      </c>
    </row>
    <row r="216" spans="2:82" ht="15.75">
      <c r="B216" s="66" t="s">
        <v>1738</v>
      </c>
      <c r="C216" s="66">
        <v>64.3</v>
      </c>
      <c r="D216" s="66">
        <v>89.9</v>
      </c>
      <c r="E216" s="66">
        <v>86.4</v>
      </c>
      <c r="F216" s="66">
        <v>82.6</v>
      </c>
      <c r="G216" s="66">
        <v>62.8</v>
      </c>
      <c r="H216" s="66">
        <v>89.4</v>
      </c>
      <c r="I216" s="66">
        <v>87.7</v>
      </c>
      <c r="J216" s="66">
        <v>83.1</v>
      </c>
      <c r="K216" s="66">
        <v>66.8</v>
      </c>
      <c r="L216" s="66">
        <v>89.7</v>
      </c>
      <c r="M216" s="66">
        <v>90.7</v>
      </c>
      <c r="N216" s="66">
        <v>89.1</v>
      </c>
      <c r="O216" s="66">
        <v>68.400000000000006</v>
      </c>
      <c r="P216" s="66">
        <v>89.7</v>
      </c>
      <c r="Q216" s="66">
        <v>90.2</v>
      </c>
      <c r="R216" s="66">
        <v>81.599999999999994</v>
      </c>
      <c r="S216" s="66">
        <v>67</v>
      </c>
      <c r="T216" s="66">
        <v>75.599999999999994</v>
      </c>
      <c r="U216" s="66">
        <v>78.900000000000006</v>
      </c>
      <c r="V216" s="66">
        <v>80.5</v>
      </c>
      <c r="W216" s="66">
        <v>63.8</v>
      </c>
      <c r="X216" s="66">
        <v>72.5</v>
      </c>
      <c r="Y216" s="112">
        <f>Y218-Y215</f>
        <v>74.100000000000023</v>
      </c>
      <c r="Z216" s="112">
        <f>Z218-Z215</f>
        <v>72.100000000000023</v>
      </c>
      <c r="AA216" s="112"/>
      <c r="AB216" s="112"/>
      <c r="AC216" s="112"/>
      <c r="AD216" s="112"/>
      <c r="AE216" s="112"/>
      <c r="AF216" s="112"/>
      <c r="AG216" s="112"/>
      <c r="AH216" s="66"/>
      <c r="AI216" s="66"/>
      <c r="AJ216" s="66"/>
      <c r="AK216" s="66"/>
      <c r="AL216" s="66"/>
      <c r="AM216" s="66"/>
      <c r="AN216" s="66"/>
      <c r="AO216" s="66"/>
      <c r="AP216" s="66"/>
      <c r="AR216" s="66" t="str">
        <f>B216</f>
        <v>Radio</v>
      </c>
      <c r="AS216" s="69">
        <f t="shared" si="107"/>
        <v>-2.3328149300155476E-2</v>
      </c>
      <c r="AT216" s="69">
        <f t="shared" si="107"/>
        <v>-5.5617352614015791E-3</v>
      </c>
      <c r="AU216" s="69">
        <f t="shared" si="107"/>
        <v>1.504629629629628E-2</v>
      </c>
      <c r="AV216" s="69">
        <f t="shared" si="107"/>
        <v>6.0532687651331241E-3</v>
      </c>
      <c r="AW216" s="69">
        <f t="shared" si="107"/>
        <v>6.3694267515923553E-2</v>
      </c>
      <c r="AX216" s="69">
        <f t="shared" si="107"/>
        <v>3.3557046979866278E-3</v>
      </c>
      <c r="AY216" s="69">
        <f t="shared" si="107"/>
        <v>3.4207525655644222E-2</v>
      </c>
      <c r="AZ216" s="69">
        <f t="shared" si="107"/>
        <v>7.2202166064981865E-2</v>
      </c>
      <c r="BA216" s="69">
        <f t="shared" si="107"/>
        <v>2.3952095808383422E-2</v>
      </c>
      <c r="BB216" s="69">
        <f t="shared" si="107"/>
        <v>0</v>
      </c>
      <c r="BC216" s="69">
        <f t="shared" si="108"/>
        <v>-5.5126791620727644E-3</v>
      </c>
      <c r="BD216" s="69">
        <f t="shared" si="108"/>
        <v>-8.4175084175084125E-2</v>
      </c>
      <c r="BE216" s="69">
        <f t="shared" si="108"/>
        <v>-2.0467836257309968E-2</v>
      </c>
      <c r="BF216" s="69">
        <f t="shared" si="108"/>
        <v>-0.15719063545150513</v>
      </c>
      <c r="BG216" s="69">
        <f t="shared" si="108"/>
        <v>-0.12527716186252769</v>
      </c>
      <c r="BH216" s="69">
        <f t="shared" si="108"/>
        <v>-1.3480392156862697E-2</v>
      </c>
      <c r="BI216" s="69">
        <f t="shared" si="108"/>
        <v>-4.7761194029850795E-2</v>
      </c>
      <c r="BJ216" s="69">
        <f t="shared" si="108"/>
        <v>-4.1005291005290934E-2</v>
      </c>
    </row>
    <row r="217" spans="2:82" ht="15.75">
      <c r="B217" s="67" t="s">
        <v>7910</v>
      </c>
      <c r="C217" s="67">
        <v>9.3000000000000007</v>
      </c>
      <c r="D217" s="67">
        <v>19.8</v>
      </c>
      <c r="E217" s="67">
        <v>15.8</v>
      </c>
      <c r="F217" s="67">
        <v>18.100000000000001</v>
      </c>
      <c r="G217" s="67">
        <v>11.9</v>
      </c>
      <c r="H217" s="67">
        <v>15.7</v>
      </c>
      <c r="I217" s="67">
        <v>16</v>
      </c>
      <c r="J217" s="67">
        <v>16.8</v>
      </c>
      <c r="K217" s="67">
        <v>12.1</v>
      </c>
      <c r="L217" s="67">
        <v>15.2</v>
      </c>
      <c r="M217" s="67">
        <v>29</v>
      </c>
      <c r="N217" s="67">
        <v>39.6</v>
      </c>
      <c r="O217" s="67">
        <v>14.9</v>
      </c>
      <c r="P217" s="67">
        <v>21</v>
      </c>
      <c r="Q217" s="67">
        <v>22.1</v>
      </c>
      <c r="R217" s="67">
        <v>19.8</v>
      </c>
      <c r="S217" s="67">
        <v>27.3</v>
      </c>
      <c r="T217" s="67">
        <v>44.2</v>
      </c>
      <c r="U217" s="67">
        <v>36.1</v>
      </c>
      <c r="V217" s="67">
        <v>47.2</v>
      </c>
      <c r="W217" s="398">
        <v>35</v>
      </c>
      <c r="X217" s="67"/>
      <c r="Y217" s="67"/>
      <c r="Z217" s="67"/>
      <c r="AA217" s="67"/>
      <c r="AB217" s="67"/>
      <c r="AC217" s="67"/>
      <c r="AD217" s="67"/>
      <c r="AE217" s="67"/>
      <c r="AF217" s="67"/>
      <c r="AG217" s="67"/>
      <c r="AH217" s="67"/>
      <c r="AI217" s="67"/>
      <c r="AJ217" s="67"/>
      <c r="AK217" s="67"/>
      <c r="AL217" s="67"/>
      <c r="AM217" s="67"/>
      <c r="AN217" s="67"/>
      <c r="AO217" s="67"/>
      <c r="AP217" s="67"/>
      <c r="AR217" s="67" t="str">
        <f>B217</f>
        <v>Interactive</v>
      </c>
      <c r="AS217" s="73">
        <f t="shared" si="107"/>
        <v>0.27956989247311825</v>
      </c>
      <c r="AT217" s="73">
        <f t="shared" si="107"/>
        <v>-0.20707070707070718</v>
      </c>
      <c r="AU217" s="73">
        <f t="shared" si="107"/>
        <v>1.2658227848101111E-2</v>
      </c>
      <c r="AV217" s="73">
        <f t="shared" si="107"/>
        <v>-7.1823204419889541E-2</v>
      </c>
      <c r="AW217" s="73">
        <f t="shared" si="107"/>
        <v>1.6806722689075571E-2</v>
      </c>
      <c r="AX217" s="73">
        <f t="shared" si="107"/>
        <v>-3.1847133757961776E-2</v>
      </c>
      <c r="AY217" s="73">
        <f t="shared" si="107"/>
        <v>0.8125</v>
      </c>
      <c r="AZ217" s="73">
        <f t="shared" si="107"/>
        <v>1.3571428571428572</v>
      </c>
      <c r="BA217" s="73">
        <f t="shared" si="107"/>
        <v>0.23140495867768607</v>
      </c>
      <c r="BB217" s="73">
        <f t="shared" si="107"/>
        <v>0.38157894736842102</v>
      </c>
      <c r="BC217" s="73">
        <f t="shared" si="108"/>
        <v>-0.23793103448275854</v>
      </c>
      <c r="BD217" s="73">
        <f t="shared" si="108"/>
        <v>-0.5</v>
      </c>
      <c r="BE217" s="73">
        <f t="shared" si="108"/>
        <v>0.83221476510067105</v>
      </c>
      <c r="BF217" s="73">
        <f t="shared" si="108"/>
        <v>1.1047619047619048</v>
      </c>
      <c r="BG217" s="73">
        <f t="shared" si="108"/>
        <v>0.63348416289592757</v>
      </c>
      <c r="BH217" s="73">
        <f t="shared" si="108"/>
        <v>1.3838383838383841</v>
      </c>
      <c r="BI217" s="73">
        <f t="shared" si="108"/>
        <v>0.28205128205128194</v>
      </c>
      <c r="BJ217" s="73">
        <f t="shared" si="108"/>
        <v>-1</v>
      </c>
      <c r="BK217" s="61"/>
      <c r="BL217" s="61"/>
      <c r="BM217" s="61"/>
      <c r="BN217" s="61"/>
      <c r="BO217" s="61"/>
      <c r="BP217" s="61"/>
      <c r="BQ217" s="61"/>
      <c r="BR217" s="61"/>
      <c r="BS217" s="61"/>
      <c r="BT217" s="61"/>
      <c r="BU217" s="61"/>
      <c r="BV217" s="61"/>
      <c r="BW217" s="61"/>
      <c r="BX217" s="61"/>
      <c r="BY217" s="61"/>
      <c r="BZ217" s="61"/>
      <c r="CA217" s="61"/>
      <c r="CB217" s="61"/>
    </row>
    <row r="218" spans="2:82" ht="15.75">
      <c r="B218" s="66" t="s">
        <v>33</v>
      </c>
      <c r="C218" s="66">
        <f t="shared" ref="C218:L218" si="109">SUM(C215:C217)</f>
        <v>453.70000000000005</v>
      </c>
      <c r="D218" s="66">
        <f t="shared" si="109"/>
        <v>639.79999999999995</v>
      </c>
      <c r="E218" s="66">
        <f t="shared" si="109"/>
        <v>575</v>
      </c>
      <c r="F218" s="66">
        <f t="shared" si="109"/>
        <v>576.70000000000005</v>
      </c>
      <c r="G218" s="66">
        <f t="shared" si="109"/>
        <v>481.8</v>
      </c>
      <c r="H218" s="66">
        <f t="shared" si="109"/>
        <v>590.40000000000009</v>
      </c>
      <c r="I218" s="66">
        <f t="shared" si="109"/>
        <v>584.6</v>
      </c>
      <c r="J218" s="66">
        <f t="shared" si="109"/>
        <v>616.69999999999993</v>
      </c>
      <c r="K218" s="66">
        <f t="shared" si="109"/>
        <v>528.4</v>
      </c>
      <c r="L218" s="66">
        <f t="shared" si="109"/>
        <v>613.00000000000011</v>
      </c>
      <c r="M218" s="66">
        <f t="shared" ref="M218:R218" si="110">SUM(M215:M217)</f>
        <v>628.9</v>
      </c>
      <c r="N218" s="66">
        <f t="shared" si="110"/>
        <v>671.7</v>
      </c>
      <c r="O218" s="66">
        <f t="shared" si="110"/>
        <v>562</v>
      </c>
      <c r="P218" s="66">
        <f t="shared" si="110"/>
        <v>676.5</v>
      </c>
      <c r="Q218" s="66">
        <f t="shared" si="110"/>
        <v>692.90000000000009</v>
      </c>
      <c r="R218" s="66">
        <f t="shared" si="110"/>
        <v>696.19999999999993</v>
      </c>
      <c r="S218" s="66">
        <f>SUM(S215:S217)</f>
        <v>621.09999999999991</v>
      </c>
      <c r="T218" s="66">
        <f>SUM(T215:T217)</f>
        <v>833.7</v>
      </c>
      <c r="U218" s="66">
        <f>SUM(U215:U217)</f>
        <v>728.9</v>
      </c>
      <c r="V218" s="66">
        <f>SUM(V215:V217)</f>
        <v>727.7</v>
      </c>
      <c r="W218" s="66">
        <v>624.70000000000005</v>
      </c>
      <c r="X218" s="112">
        <f>SUM(X215:X217)</f>
        <v>696.3</v>
      </c>
      <c r="Y218" s="112">
        <v>801.5</v>
      </c>
      <c r="Z218" s="112">
        <v>735.9</v>
      </c>
      <c r="AA218" s="112">
        <v>660.4</v>
      </c>
      <c r="AB218" s="112">
        <v>800.3</v>
      </c>
      <c r="AC218" s="112">
        <v>734.8</v>
      </c>
      <c r="AD218" s="112">
        <v>846.5</v>
      </c>
      <c r="AE218" s="112">
        <v>692.6</v>
      </c>
      <c r="AF218" s="112">
        <v>764.9</v>
      </c>
      <c r="AG218" s="112">
        <v>759.4</v>
      </c>
      <c r="AH218" s="112">
        <v>755.5</v>
      </c>
      <c r="AI218" s="66">
        <v>666.2</v>
      </c>
      <c r="AJ218" s="66">
        <v>749.8</v>
      </c>
      <c r="AK218" s="66">
        <v>628.20000000000005</v>
      </c>
      <c r="AL218" s="66">
        <v>688.5</v>
      </c>
      <c r="AM218" s="66">
        <v>611.9</v>
      </c>
      <c r="AN218" s="66">
        <v>730.9</v>
      </c>
      <c r="AO218" s="66">
        <v>681.4</v>
      </c>
      <c r="AP218" s="125">
        <f>L5-AM218-AN218-AO218</f>
        <v>654.69999999999993</v>
      </c>
      <c r="AR218" s="66" t="str">
        <f>B218</f>
        <v>Revenue</v>
      </c>
      <c r="AS218" s="69">
        <f t="shared" si="107"/>
        <v>6.1935199471016E-2</v>
      </c>
      <c r="AT218" s="69">
        <f t="shared" si="107"/>
        <v>-7.7211628633947926E-2</v>
      </c>
      <c r="AU218" s="69">
        <f t="shared" si="107"/>
        <v>1.6695652173913E-2</v>
      </c>
      <c r="AV218" s="69">
        <f t="shared" si="107"/>
        <v>6.9360152592335522E-2</v>
      </c>
      <c r="AW218" s="69">
        <f t="shared" si="107"/>
        <v>9.6720630967206178E-2</v>
      </c>
      <c r="AX218" s="69">
        <f t="shared" si="107"/>
        <v>3.8279132791327886E-2</v>
      </c>
      <c r="AY218" s="69">
        <f t="shared" si="107"/>
        <v>7.5778309955525147E-2</v>
      </c>
      <c r="AZ218" s="69">
        <f t="shared" si="107"/>
        <v>8.9184368412518422E-2</v>
      </c>
      <c r="BA218" s="69">
        <f t="shared" si="107"/>
        <v>6.3588190764572339E-2</v>
      </c>
      <c r="BB218" s="69">
        <f t="shared" si="107"/>
        <v>0.1035889070146816</v>
      </c>
      <c r="BC218" s="69">
        <f t="shared" si="108"/>
        <v>0.10176498648433796</v>
      </c>
      <c r="BD218" s="69">
        <f t="shared" si="108"/>
        <v>3.6474616644335045E-2</v>
      </c>
      <c r="BE218" s="69">
        <f t="shared" si="108"/>
        <v>0.10516014234875426</v>
      </c>
      <c r="BF218" s="69">
        <f t="shared" si="108"/>
        <v>0.2323725055432373</v>
      </c>
      <c r="BG218" s="69">
        <f t="shared" si="108"/>
        <v>5.1955549141289969E-2</v>
      </c>
      <c r="BH218" s="69">
        <f t="shared" si="108"/>
        <v>4.5245619074978594E-2</v>
      </c>
      <c r="BI218" s="69">
        <f t="shared" si="108"/>
        <v>5.7961680888747313E-3</v>
      </c>
      <c r="BJ218" s="69">
        <f t="shared" si="108"/>
        <v>-0.16480748470672912</v>
      </c>
      <c r="BK218" s="116">
        <f t="shared" ref="BK218:BP218" si="111">Y225/U225-1</f>
        <v>8.3422296782064809E-2</v>
      </c>
      <c r="BL218" s="116">
        <f t="shared" si="111"/>
        <v>3.5964912280701755E-2</v>
      </c>
      <c r="BM218" s="116">
        <f t="shared" si="111"/>
        <v>7.5762599469495928E-2</v>
      </c>
      <c r="BN218" s="116">
        <f t="shared" si="111"/>
        <v>4.9706744868035058E-2</v>
      </c>
      <c r="BO218" s="116">
        <f t="shared" si="111"/>
        <v>-1.6751126126126059E-2</v>
      </c>
      <c r="BP218" s="116">
        <f t="shared" si="111"/>
        <v>8.5097375105842366E-2</v>
      </c>
      <c r="BQ218" s="117">
        <v>8.0000000000000002E-3</v>
      </c>
      <c r="BR218" s="117">
        <v>7.0000000000000001E-3</v>
      </c>
      <c r="BS218" s="117">
        <v>0.01</v>
      </c>
      <c r="BT218" s="117">
        <v>-2.9000000000000001E-2</v>
      </c>
      <c r="BU218" s="117">
        <v>-1.2E-2</v>
      </c>
      <c r="BV218" s="116">
        <f>AJ225/AF225-1</f>
        <v>-3.0789648307896544E-2</v>
      </c>
      <c r="BW218" s="116">
        <f>AK225/AG225-1</f>
        <v>-8.1788594877600151E-2</v>
      </c>
      <c r="BX218" s="116">
        <f>AL225/AH225-1</f>
        <v>-8.6625086625086611E-2</v>
      </c>
      <c r="BY218" s="116">
        <f>AM225/AI225-1</f>
        <v>-7.9981787828198425E-2</v>
      </c>
      <c r="BZ218" s="116">
        <f>AN225/AJ225-1</f>
        <v>-3.9161988224017397E-2</v>
      </c>
      <c r="CA218" s="117">
        <v>2.5999999999999999E-2</v>
      </c>
      <c r="CB218" s="116">
        <f>AP225/AL225-1</f>
        <v>-4.9092229484386518E-2</v>
      </c>
      <c r="CD218" t="s">
        <v>7911</v>
      </c>
    </row>
    <row r="219" spans="2:82" ht="15.75">
      <c r="B219" s="66"/>
      <c r="C219" s="66"/>
      <c r="D219" s="66"/>
      <c r="E219" s="66"/>
      <c r="F219" s="66"/>
      <c r="G219" s="66"/>
      <c r="H219" s="66"/>
      <c r="I219" s="66"/>
      <c r="J219" s="66"/>
      <c r="K219" s="66"/>
      <c r="L219" s="66"/>
      <c r="M219" s="66"/>
      <c r="N219" s="66"/>
      <c r="O219" s="66"/>
      <c r="P219" s="66"/>
      <c r="AG219" s="66"/>
      <c r="AH219" s="66"/>
      <c r="AI219" s="66"/>
      <c r="AJ219" s="66"/>
      <c r="AK219" s="66"/>
      <c r="AL219" s="66"/>
      <c r="AM219" s="66"/>
      <c r="AN219" s="66"/>
      <c r="AO219" s="66"/>
      <c r="AP219" s="66"/>
      <c r="AR219" s="66"/>
      <c r="AS219" s="66"/>
      <c r="AT219" s="66"/>
      <c r="AU219" s="66"/>
      <c r="AV219" s="66"/>
      <c r="AW219" s="66"/>
      <c r="AX219" s="66"/>
      <c r="AY219" s="66"/>
      <c r="AZ219" s="66"/>
      <c r="BA219" s="66"/>
      <c r="BB219" s="66"/>
      <c r="BC219" s="66"/>
      <c r="BD219" s="66"/>
    </row>
    <row r="220" spans="2:82" ht="15.75">
      <c r="B220" s="66" t="s">
        <v>7912</v>
      </c>
      <c r="C220" s="66"/>
      <c r="D220" s="66"/>
      <c r="E220" s="66"/>
      <c r="F220" s="66"/>
      <c r="G220" s="66"/>
      <c r="H220" s="66"/>
      <c r="I220" s="66"/>
      <c r="J220" s="66"/>
      <c r="K220" s="231">
        <f>37.2-L220-M220-N220</f>
        <v>1.7000000000000028</v>
      </c>
      <c r="L220" s="231">
        <v>3</v>
      </c>
      <c r="M220" s="231">
        <v>10</v>
      </c>
      <c r="N220" s="66">
        <v>22.5</v>
      </c>
      <c r="O220" s="231">
        <v>3.5</v>
      </c>
      <c r="P220" s="231">
        <v>3.9</v>
      </c>
      <c r="Q220" s="231">
        <f>11.3-O220-P220</f>
        <v>3.9000000000000008</v>
      </c>
      <c r="R220" s="66">
        <v>2.2000000000000002</v>
      </c>
      <c r="S220" s="66">
        <f>2.6-S221-S222</f>
        <v>1.8</v>
      </c>
      <c r="T220" s="66"/>
      <c r="U220" s="66">
        <v>16.100000000000001</v>
      </c>
      <c r="V220" s="66">
        <v>28.4</v>
      </c>
      <c r="W220" s="66"/>
      <c r="X220" s="66"/>
      <c r="Y220" s="66">
        <v>7.4</v>
      </c>
      <c r="Z220" s="66">
        <v>9.8000000000000007</v>
      </c>
      <c r="AA220" s="66"/>
      <c r="AB220" s="66"/>
      <c r="AC220" s="66"/>
      <c r="AD220" s="66"/>
      <c r="AE220" s="66"/>
      <c r="AF220" s="66"/>
      <c r="AG220" s="66"/>
      <c r="AH220" s="66"/>
      <c r="AI220" s="66"/>
      <c r="AJ220" s="66"/>
      <c r="AK220" s="66"/>
      <c r="AL220" s="66"/>
      <c r="AM220" s="66"/>
      <c r="AN220" s="66"/>
      <c r="AO220" s="66"/>
      <c r="AP220" s="66"/>
      <c r="AR220" s="66"/>
      <c r="AS220" s="66"/>
      <c r="AT220" s="66"/>
      <c r="AU220" s="66"/>
      <c r="AV220" s="66"/>
      <c r="AW220" s="66"/>
      <c r="AX220" s="66"/>
      <c r="AY220" s="66"/>
      <c r="AZ220" s="66"/>
      <c r="BA220" s="66"/>
      <c r="BB220" s="66"/>
      <c r="BC220" s="66"/>
      <c r="BD220" s="66"/>
    </row>
    <row r="221" spans="2:82" ht="15.75">
      <c r="B221" s="66" t="s">
        <v>7913</v>
      </c>
      <c r="C221" s="66"/>
      <c r="D221" s="66"/>
      <c r="E221" s="66"/>
      <c r="F221" s="66"/>
      <c r="G221" s="66"/>
      <c r="H221" s="66"/>
      <c r="I221" s="66"/>
      <c r="J221" s="66"/>
      <c r="K221" s="231">
        <f>36.1-N221-M221-L221</f>
        <v>4.2000000000000028</v>
      </c>
      <c r="L221" s="231">
        <v>6</v>
      </c>
      <c r="M221" s="231">
        <v>6</v>
      </c>
      <c r="N221" s="66">
        <v>19.899999999999999</v>
      </c>
      <c r="O221" s="231">
        <v>5</v>
      </c>
      <c r="P221" s="231">
        <v>3</v>
      </c>
      <c r="Q221" s="231">
        <f>12.6-O221-P221</f>
        <v>4.5999999999999996</v>
      </c>
      <c r="R221" s="66">
        <v>1.4</v>
      </c>
      <c r="S221" s="66">
        <v>0.8</v>
      </c>
      <c r="T221" s="231"/>
      <c r="U221" s="231"/>
      <c r="V221" s="231"/>
      <c r="W221" s="66">
        <v>7.4</v>
      </c>
      <c r="X221" s="66"/>
      <c r="Y221" s="66"/>
      <c r="Z221" s="66"/>
      <c r="AA221" s="66"/>
      <c r="AB221" s="66"/>
      <c r="AC221" s="66"/>
      <c r="AD221" s="66"/>
      <c r="AE221" s="66"/>
      <c r="AF221" s="66"/>
      <c r="AG221" s="66"/>
      <c r="AH221" s="66"/>
      <c r="AI221" s="66"/>
      <c r="AJ221" s="66"/>
      <c r="AK221" s="66"/>
      <c r="AL221" s="66"/>
      <c r="AM221" s="66"/>
      <c r="AN221" s="66"/>
      <c r="AO221" s="66"/>
      <c r="AP221" s="66"/>
      <c r="AR221" s="66"/>
      <c r="AS221" s="66"/>
      <c r="AT221" s="66"/>
      <c r="AU221" s="66"/>
      <c r="AV221" s="66"/>
      <c r="AW221" s="66"/>
      <c r="AX221" s="66"/>
      <c r="AY221" s="66"/>
      <c r="AZ221" s="66"/>
      <c r="BA221" s="66"/>
      <c r="BB221" s="66"/>
      <c r="BC221" s="66"/>
      <c r="BD221" s="66"/>
    </row>
    <row r="222" spans="2:82" ht="15.75">
      <c r="B222" s="66" t="s">
        <v>7914</v>
      </c>
      <c r="C222" s="66"/>
      <c r="D222" s="66"/>
      <c r="E222" s="66"/>
      <c r="F222" s="66"/>
      <c r="G222" s="66"/>
      <c r="H222" s="66"/>
      <c r="I222" s="66"/>
      <c r="J222" s="66"/>
      <c r="K222" s="231">
        <f>23.4-N222-M222-L222</f>
        <v>4.3999999999999986</v>
      </c>
      <c r="L222" s="231">
        <v>6</v>
      </c>
      <c r="M222" s="231">
        <v>6</v>
      </c>
      <c r="N222" s="66">
        <v>7</v>
      </c>
      <c r="O222" s="231">
        <f>11.2-O221-O220</f>
        <v>2.6999999999999993</v>
      </c>
      <c r="P222" s="231">
        <v>3</v>
      </c>
      <c r="Q222" s="231">
        <f>7.7-O222-P222</f>
        <v>2.0000000000000009</v>
      </c>
      <c r="R222" s="66">
        <v>0.3</v>
      </c>
      <c r="S222" s="231">
        <v>0</v>
      </c>
      <c r="T222" s="231"/>
      <c r="U222" s="231"/>
      <c r="V222" s="231"/>
      <c r="W222" s="231"/>
      <c r="X222" s="231"/>
      <c r="Y222" s="231"/>
      <c r="Z222" s="231"/>
      <c r="AA222" s="231"/>
      <c r="AB222" s="231"/>
      <c r="AC222" s="231"/>
      <c r="AD222" s="231"/>
      <c r="AE222" s="231"/>
      <c r="AF222" s="231"/>
      <c r="AG222" s="231"/>
      <c r="AH222" s="66"/>
      <c r="AI222" s="66"/>
      <c r="AJ222" s="66"/>
      <c r="AK222" s="66"/>
      <c r="AL222" s="66"/>
      <c r="AM222" s="66"/>
      <c r="AN222" s="66"/>
      <c r="AO222" s="66"/>
      <c r="AP222" s="66"/>
      <c r="AR222" s="66"/>
      <c r="AS222" s="66"/>
      <c r="AT222" s="66"/>
      <c r="AU222" s="66"/>
      <c r="AV222" s="66"/>
      <c r="AW222" s="66"/>
      <c r="AX222" s="66"/>
      <c r="AY222" s="66"/>
      <c r="AZ222" s="66"/>
    </row>
    <row r="223" spans="2:82" ht="15.75">
      <c r="B223" s="67" t="s">
        <v>7915</v>
      </c>
      <c r="C223" s="67"/>
      <c r="D223" s="67"/>
      <c r="E223" s="67"/>
      <c r="F223" s="67"/>
      <c r="G223" s="67"/>
      <c r="H223" s="67"/>
      <c r="I223" s="67"/>
      <c r="J223" s="67"/>
      <c r="K223" s="232"/>
      <c r="L223" s="232"/>
      <c r="M223" s="232"/>
      <c r="N223" s="67"/>
      <c r="O223" s="232"/>
      <c r="P223" s="232">
        <f>65.3+2.7-Q223</f>
        <v>22.9</v>
      </c>
      <c r="Q223" s="232">
        <f>42.4+2.7</f>
        <v>45.1</v>
      </c>
      <c r="R223" s="67"/>
      <c r="S223" s="232">
        <f>120.1-T223</f>
        <v>4.5999999999999943</v>
      </c>
      <c r="T223" s="232">
        <v>115.5</v>
      </c>
      <c r="U223" s="67">
        <f>54.1+3</f>
        <v>57.1</v>
      </c>
      <c r="V223" s="67">
        <v>15.3</v>
      </c>
      <c r="W223" s="404">
        <v>0</v>
      </c>
      <c r="X223" s="232">
        <v>0</v>
      </c>
      <c r="Y223" s="67">
        <f>22.1+26+35.6</f>
        <v>83.7</v>
      </c>
      <c r="Z223" s="404">
        <f>17.5</f>
        <v>17.5</v>
      </c>
      <c r="AA223" s="404"/>
      <c r="AB223" s="404"/>
      <c r="AC223" s="404"/>
      <c r="AD223" s="404"/>
      <c r="AE223" s="404"/>
      <c r="AF223" s="404"/>
      <c r="AG223" s="404"/>
      <c r="AH223" s="404"/>
      <c r="AI223" s="404"/>
      <c r="AJ223" s="404"/>
      <c r="AK223" s="404"/>
      <c r="AL223" s="404"/>
      <c r="AM223" s="404"/>
      <c r="AN223" s="404"/>
      <c r="AO223" s="404"/>
      <c r="AP223" s="48"/>
      <c r="AR223" s="66"/>
      <c r="AS223" s="66"/>
      <c r="AT223" s="66"/>
      <c r="AU223" s="66"/>
      <c r="AV223" s="66"/>
      <c r="AW223" s="66"/>
      <c r="AX223" s="66"/>
      <c r="AY223" s="66"/>
      <c r="AZ223" s="66"/>
    </row>
    <row r="224" spans="2:82" ht="15.75">
      <c r="B224" s="66" t="s">
        <v>7916</v>
      </c>
      <c r="C224" s="66"/>
      <c r="D224" s="66"/>
      <c r="E224" s="66"/>
      <c r="F224" s="66"/>
      <c r="G224" s="66"/>
      <c r="H224" s="66"/>
      <c r="I224" s="66"/>
      <c r="J224" s="66"/>
      <c r="K224" s="66">
        <f t="shared" ref="K224:T224" si="112">K218-K220-K221-K222-K223</f>
        <v>518.09999999999991</v>
      </c>
      <c r="L224" s="66">
        <f t="shared" si="112"/>
        <v>598.00000000000011</v>
      </c>
      <c r="M224" s="66">
        <f t="shared" si="112"/>
        <v>606.9</v>
      </c>
      <c r="N224" s="66">
        <f t="shared" si="112"/>
        <v>622.30000000000007</v>
      </c>
      <c r="O224" s="66">
        <f t="shared" si="112"/>
        <v>550.79999999999995</v>
      </c>
      <c r="P224" s="66">
        <f t="shared" si="112"/>
        <v>643.70000000000005</v>
      </c>
      <c r="Q224" s="66">
        <f t="shared" si="112"/>
        <v>637.30000000000007</v>
      </c>
      <c r="R224" s="66">
        <f t="shared" si="112"/>
        <v>692.3</v>
      </c>
      <c r="S224" s="66">
        <f t="shared" si="112"/>
        <v>613.9</v>
      </c>
      <c r="T224" s="66">
        <f t="shared" si="112"/>
        <v>718.2</v>
      </c>
      <c r="U224" s="66">
        <f>U218-U220-U221-U222-U223</f>
        <v>655.69999999999993</v>
      </c>
      <c r="V224" s="66">
        <f>V218-V220-V221-V222-V223</f>
        <v>684.00000000000011</v>
      </c>
      <c r="W224" s="66">
        <f>W218-W220-W221-W222-W223</f>
        <v>617.30000000000007</v>
      </c>
      <c r="X224" s="66">
        <f>X218-X220-X221-X222-X223</f>
        <v>696.3</v>
      </c>
      <c r="Y224" s="112">
        <f>Y218-SUM(Y220:Y223)</f>
        <v>710.4</v>
      </c>
      <c r="Z224" s="112">
        <f>Z218-SUM(Z220:Z223)</f>
        <v>708.6</v>
      </c>
      <c r="AA224" s="112"/>
      <c r="AB224" s="112"/>
      <c r="AC224" s="112"/>
      <c r="AD224" s="112"/>
      <c r="AE224" s="112"/>
      <c r="AF224" s="112"/>
      <c r="AG224" s="112"/>
      <c r="AH224" s="66"/>
      <c r="AI224" s="66"/>
      <c r="AJ224" s="66"/>
      <c r="AK224" s="66"/>
      <c r="AL224" s="66"/>
      <c r="AM224" s="66"/>
      <c r="AN224" s="66"/>
      <c r="AO224" s="66"/>
      <c r="AP224" s="66"/>
      <c r="AR224" s="66"/>
      <c r="AS224" s="66"/>
      <c r="AT224" s="66"/>
      <c r="AU224" s="66"/>
      <c r="AV224" s="66"/>
      <c r="AW224" s="66"/>
      <c r="AX224" s="66"/>
      <c r="AY224" s="66"/>
      <c r="AZ224" s="66"/>
    </row>
    <row r="225" spans="2:71" ht="15.75">
      <c r="B225" s="66" t="s">
        <v>7917</v>
      </c>
      <c r="C225" s="66"/>
      <c r="D225" s="66"/>
      <c r="E225" s="66"/>
      <c r="F225" s="66"/>
      <c r="G225" s="66"/>
      <c r="H225" s="66"/>
      <c r="I225" s="66"/>
      <c r="J225" s="66"/>
      <c r="K225" s="66"/>
      <c r="L225" s="66"/>
      <c r="M225" s="66"/>
      <c r="N225" s="66"/>
      <c r="O225" s="66"/>
      <c r="P225" s="66"/>
      <c r="Q225" s="66"/>
      <c r="R225" s="66"/>
      <c r="S225" s="66"/>
      <c r="T225" s="66"/>
      <c r="U225" s="66">
        <v>655.7</v>
      </c>
      <c r="V225" s="112">
        <v>684</v>
      </c>
      <c r="W225" s="66">
        <v>603.20000000000005</v>
      </c>
      <c r="X225" s="112">
        <v>682</v>
      </c>
      <c r="Y225" s="112">
        <v>710.4</v>
      </c>
      <c r="Z225" s="112">
        <v>708.6</v>
      </c>
      <c r="AA225" s="112">
        <v>648.9</v>
      </c>
      <c r="AB225" s="112">
        <v>715.9</v>
      </c>
      <c r="AC225" s="112">
        <v>698.5</v>
      </c>
      <c r="AD225" s="112">
        <v>768.9</v>
      </c>
      <c r="AE225" s="112">
        <v>681.1</v>
      </c>
      <c r="AF225" s="112">
        <v>753.5</v>
      </c>
      <c r="AG225" s="112">
        <v>706.7</v>
      </c>
      <c r="AH225" s="66">
        <v>721.5</v>
      </c>
      <c r="AI225" s="66">
        <v>658.9</v>
      </c>
      <c r="AJ225" s="66">
        <v>730.3</v>
      </c>
      <c r="AK225" s="66">
        <v>648.9</v>
      </c>
      <c r="AL225" s="66">
        <v>659</v>
      </c>
      <c r="AM225" s="66">
        <v>606.20000000000005</v>
      </c>
      <c r="AN225" s="66">
        <v>701.7</v>
      </c>
      <c r="AO225" s="71">
        <v>675.1</v>
      </c>
      <c r="AP225" s="71">
        <f>AL225/AL218*AP218</f>
        <v>626.6482207697893</v>
      </c>
      <c r="AR225" s="66"/>
      <c r="AS225" s="66"/>
      <c r="AT225" s="66"/>
      <c r="AU225" s="66"/>
      <c r="AV225" s="66"/>
      <c r="AW225" s="66"/>
      <c r="AX225" s="66"/>
      <c r="AY225" s="66"/>
      <c r="AZ225" s="66"/>
    </row>
    <row r="226" spans="2:71" ht="15.75">
      <c r="B226" s="66" t="s">
        <v>7918</v>
      </c>
      <c r="C226" s="66"/>
      <c r="D226" s="66"/>
      <c r="E226" s="66"/>
      <c r="F226" s="66"/>
      <c r="G226" s="66"/>
      <c r="H226" s="66"/>
      <c r="I226" s="66"/>
      <c r="J226" s="66"/>
      <c r="K226" s="66"/>
      <c r="L226" s="66"/>
      <c r="M226" s="66"/>
      <c r="N226" s="66"/>
      <c r="O226" s="66"/>
      <c r="P226" s="66"/>
      <c r="Q226" s="66"/>
      <c r="R226" s="66"/>
      <c r="S226" s="66"/>
      <c r="T226" s="66"/>
      <c r="U226" s="66"/>
      <c r="V226" s="112"/>
      <c r="W226" s="66"/>
      <c r="X226" s="112"/>
      <c r="Y226" s="112"/>
      <c r="Z226" s="112"/>
      <c r="AA226" s="112">
        <v>26.6</v>
      </c>
      <c r="AB226" s="112">
        <v>32.6</v>
      </c>
      <c r="AC226" s="112">
        <v>19.5</v>
      </c>
      <c r="AD226" s="112"/>
      <c r="AE226" s="112">
        <v>0</v>
      </c>
      <c r="AF226" s="112">
        <v>0</v>
      </c>
      <c r="AG226" s="112">
        <v>0</v>
      </c>
      <c r="AH226" s="66"/>
      <c r="AI226" s="66"/>
      <c r="AJ226" s="66"/>
      <c r="AK226" s="66"/>
      <c r="AL226" s="66"/>
      <c r="AM226" s="66"/>
      <c r="AN226" s="66"/>
      <c r="AO226" s="66"/>
      <c r="AP226" s="66"/>
      <c r="AR226" s="66"/>
      <c r="AS226" s="66"/>
      <c r="AT226" s="66"/>
      <c r="AU226" s="66"/>
      <c r="AV226" s="66"/>
      <c r="AW226" s="66"/>
      <c r="AX226" s="66"/>
      <c r="AY226" s="66"/>
      <c r="AZ226" s="66"/>
    </row>
    <row r="227" spans="2:71" ht="15.75">
      <c r="B227" s="66"/>
      <c r="C227" s="66"/>
      <c r="D227" s="66"/>
      <c r="E227" s="66"/>
      <c r="F227" s="66"/>
      <c r="G227" s="66"/>
      <c r="H227" s="66"/>
      <c r="I227" s="66"/>
      <c r="J227" s="66"/>
      <c r="K227" s="66"/>
      <c r="L227" s="66"/>
      <c r="M227" s="66"/>
      <c r="N227" s="66"/>
      <c r="O227" s="66"/>
      <c r="P227" s="66"/>
      <c r="Q227" s="66"/>
      <c r="R227" s="66"/>
      <c r="S227" s="66"/>
      <c r="T227" s="66"/>
      <c r="U227" s="66"/>
      <c r="V227" s="112"/>
      <c r="W227" s="66"/>
      <c r="X227" s="112"/>
      <c r="Y227" s="112"/>
      <c r="Z227" s="112"/>
      <c r="AA227" s="112">
        <f>AA225+AA226</f>
        <v>675.5</v>
      </c>
      <c r="AB227" s="112">
        <f>AB225+AB226</f>
        <v>748.5</v>
      </c>
      <c r="AC227" s="112">
        <v>718</v>
      </c>
      <c r="AD227" s="112"/>
      <c r="AE227" s="112">
        <f>AE225+AE226</f>
        <v>681.1</v>
      </c>
      <c r="AF227" s="112">
        <v>725.5</v>
      </c>
      <c r="AG227" s="112">
        <v>725.5</v>
      </c>
      <c r="AH227" s="66"/>
      <c r="AI227" s="66"/>
      <c r="AJ227" s="66"/>
      <c r="AK227" s="66"/>
      <c r="AL227" s="66"/>
      <c r="AM227" s="66"/>
      <c r="AN227" s="66"/>
      <c r="AO227" s="66"/>
      <c r="AP227" s="66"/>
      <c r="AR227" s="66"/>
      <c r="AS227" s="66"/>
      <c r="AT227" s="66"/>
      <c r="AU227" s="66"/>
      <c r="AV227" s="66"/>
      <c r="AW227" s="66"/>
      <c r="AX227" s="66"/>
      <c r="AY227" s="66"/>
      <c r="AZ227" s="66"/>
    </row>
    <row r="228" spans="2:71" ht="15.75">
      <c r="B228" s="66"/>
      <c r="C228" s="66"/>
      <c r="D228" s="66"/>
      <c r="E228" s="66"/>
      <c r="F228" s="66"/>
      <c r="G228" s="66"/>
      <c r="H228" s="66"/>
      <c r="I228" s="66"/>
      <c r="J228" s="66"/>
      <c r="K228" s="66"/>
      <c r="L228" s="66"/>
      <c r="M228" s="66"/>
      <c r="N228" s="66"/>
      <c r="O228" s="66"/>
      <c r="P228" s="66"/>
      <c r="AG228" s="66"/>
      <c r="AH228" s="66"/>
      <c r="AI228" s="66"/>
      <c r="AJ228" s="66"/>
      <c r="AK228" s="66"/>
      <c r="AL228" s="66"/>
      <c r="AM228" s="66"/>
      <c r="AN228" s="66"/>
      <c r="AO228" s="66"/>
      <c r="AP228" s="66"/>
      <c r="AR228" s="66"/>
      <c r="AS228" s="66"/>
      <c r="AT228" s="66"/>
      <c r="AU228" s="66"/>
      <c r="AV228" s="66"/>
      <c r="AW228" s="66"/>
      <c r="AX228" s="66"/>
      <c r="AY228" s="66"/>
      <c r="AZ228" s="66"/>
      <c r="BA228" s="66"/>
      <c r="BB228" s="66"/>
      <c r="BC228" s="66"/>
      <c r="BD228" s="66"/>
    </row>
    <row r="229" spans="2:71" ht="15.75">
      <c r="B229" s="66" t="s">
        <v>1589</v>
      </c>
      <c r="C229" s="66"/>
      <c r="D229" s="66"/>
      <c r="E229" s="66"/>
      <c r="F229" s="66"/>
      <c r="G229" s="66"/>
      <c r="H229" s="66"/>
      <c r="I229" s="66"/>
      <c r="J229" s="66"/>
      <c r="K229" s="66"/>
      <c r="L229" s="66"/>
      <c r="M229" s="66"/>
      <c r="N229" s="66"/>
      <c r="O229" s="66"/>
      <c r="P229" s="66"/>
      <c r="AC229" s="112">
        <v>474.5</v>
      </c>
      <c r="AG229" s="112">
        <v>433.1</v>
      </c>
      <c r="AH229" s="66"/>
      <c r="AI229" s="66"/>
      <c r="AJ229" s="66"/>
      <c r="AK229" s="66"/>
      <c r="AL229" s="66"/>
      <c r="AM229" s="66"/>
      <c r="AN229" s="66"/>
      <c r="AO229" s="66"/>
      <c r="AP229" s="66"/>
      <c r="AR229" s="66"/>
      <c r="AS229" s="66"/>
      <c r="AT229" s="66"/>
      <c r="AU229" s="66"/>
      <c r="AV229" s="66"/>
      <c r="AW229" s="66"/>
      <c r="AX229" s="66"/>
      <c r="AY229" s="66"/>
      <c r="AZ229" s="66"/>
      <c r="BA229" s="66"/>
      <c r="BB229" s="66"/>
      <c r="BC229" s="66"/>
      <c r="BD229" s="66"/>
    </row>
    <row r="230" spans="2:71" ht="15.75">
      <c r="B230" s="66" t="s">
        <v>7919</v>
      </c>
      <c r="C230" s="66"/>
      <c r="D230" s="66"/>
      <c r="E230" s="66"/>
      <c r="F230" s="66"/>
      <c r="G230" s="66"/>
      <c r="H230" s="66"/>
      <c r="I230" s="66"/>
      <c r="J230" s="66"/>
      <c r="K230" s="66"/>
      <c r="L230" s="66"/>
      <c r="M230" s="66"/>
      <c r="N230" s="66"/>
      <c r="O230" s="66"/>
      <c r="P230" s="66"/>
      <c r="AC230" s="112">
        <v>243.5</v>
      </c>
      <c r="AG230" s="112">
        <f>AG225-AG229</f>
        <v>273.60000000000002</v>
      </c>
      <c r="AH230" s="66"/>
      <c r="AI230" s="66"/>
      <c r="AJ230" s="66"/>
      <c r="AK230" s="66"/>
      <c r="AL230" s="66"/>
      <c r="AM230" s="66"/>
      <c r="AN230" s="66"/>
      <c r="AO230" s="66"/>
      <c r="AP230" s="66"/>
      <c r="AR230" s="66"/>
      <c r="AS230" s="66"/>
      <c r="AT230" s="66"/>
      <c r="AU230" s="66"/>
      <c r="AV230" s="66"/>
      <c r="AW230" s="66"/>
      <c r="AX230" s="66"/>
      <c r="AY230" s="66"/>
      <c r="AZ230" s="66"/>
      <c r="BA230" s="66"/>
      <c r="BB230" s="66"/>
      <c r="BC230" s="66"/>
      <c r="BD230" s="66"/>
    </row>
    <row r="231" spans="2:71" ht="15.75">
      <c r="B231" s="66"/>
      <c r="C231" s="66"/>
      <c r="D231" s="66"/>
      <c r="E231" s="66"/>
      <c r="F231" s="66"/>
      <c r="G231" s="66"/>
      <c r="H231" s="66"/>
      <c r="I231" s="66"/>
      <c r="J231" s="66"/>
      <c r="K231" s="66"/>
      <c r="L231" s="66"/>
      <c r="M231" s="66"/>
      <c r="N231" s="66"/>
      <c r="O231" s="66"/>
      <c r="P231" s="66"/>
      <c r="AG231" s="66"/>
      <c r="AH231" s="66"/>
      <c r="AI231" s="66"/>
      <c r="AJ231" s="66"/>
      <c r="AK231" s="66"/>
      <c r="AL231" s="66"/>
      <c r="AM231" s="66"/>
      <c r="AN231" s="66"/>
      <c r="AO231" s="66"/>
      <c r="AP231" s="66"/>
      <c r="AR231" s="66"/>
      <c r="AS231" s="66"/>
      <c r="AT231" s="66"/>
      <c r="AU231" s="66"/>
      <c r="AV231" s="66"/>
      <c r="AW231" s="66"/>
      <c r="AX231" s="66"/>
      <c r="AY231" s="66"/>
      <c r="AZ231" s="66"/>
      <c r="BA231" s="66"/>
      <c r="BB231" s="66"/>
      <c r="BC231" s="66"/>
      <c r="BD231" s="66"/>
    </row>
    <row r="232" spans="2:71" ht="15.75">
      <c r="B232" s="66" t="str">
        <f>B215</f>
        <v>TV</v>
      </c>
      <c r="C232" s="66">
        <v>172.2</v>
      </c>
      <c r="D232" s="66">
        <v>232.9</v>
      </c>
      <c r="E232" s="66">
        <v>200.5</v>
      </c>
      <c r="F232" s="66">
        <v>233.2</v>
      </c>
      <c r="G232" s="66">
        <v>166</v>
      </c>
      <c r="H232" s="66">
        <v>223.2</v>
      </c>
      <c r="I232" s="66">
        <v>207.7</v>
      </c>
      <c r="J232" s="66">
        <v>247</v>
      </c>
      <c r="K232" s="66">
        <v>176.6</v>
      </c>
      <c r="L232" s="66">
        <v>228.6</v>
      </c>
      <c r="M232" s="66">
        <v>235.7</v>
      </c>
      <c r="N232" s="66">
        <v>238.5</v>
      </c>
      <c r="O232" s="66">
        <v>212.6</v>
      </c>
      <c r="P232" s="66">
        <v>264.3</v>
      </c>
      <c r="Q232" s="66">
        <v>263</v>
      </c>
      <c r="R232" s="66">
        <v>264.89999999999998</v>
      </c>
      <c r="S232" s="66">
        <v>228.1</v>
      </c>
      <c r="T232" s="66">
        <v>313.10000000000002</v>
      </c>
      <c r="U232" s="66">
        <v>276.3</v>
      </c>
      <c r="V232" s="66">
        <v>280.39999999999998</v>
      </c>
      <c r="W232" s="66">
        <f>276.2-18.5-W234</f>
        <v>257.7</v>
      </c>
      <c r="X232" s="66">
        <v>330</v>
      </c>
      <c r="Y232" s="66"/>
      <c r="Z232" s="66"/>
      <c r="AA232" s="66"/>
      <c r="AB232" s="66"/>
      <c r="AC232" s="66"/>
      <c r="AD232" s="66"/>
      <c r="AE232" s="66"/>
      <c r="AF232" s="66"/>
      <c r="AG232" s="66"/>
      <c r="AH232" s="66"/>
      <c r="AI232" s="66"/>
      <c r="AJ232" s="66"/>
      <c r="AK232" s="66"/>
      <c r="AL232" s="66"/>
      <c r="AM232" s="66"/>
      <c r="AN232" s="66"/>
      <c r="AO232" s="66"/>
      <c r="AP232" s="66"/>
      <c r="AR232" s="66" t="str">
        <f>B232</f>
        <v>TV</v>
      </c>
      <c r="AS232" s="69">
        <f t="shared" ref="AS232:BB234" si="113">G232/C232-1</f>
        <v>-3.6004645760743248E-2</v>
      </c>
      <c r="AT232" s="69">
        <f t="shared" si="113"/>
        <v>-4.1648776298840784E-2</v>
      </c>
      <c r="AU232" s="69">
        <f t="shared" si="113"/>
        <v>3.5910224438902683E-2</v>
      </c>
      <c r="AV232" s="69">
        <f t="shared" si="113"/>
        <v>5.9176672384219531E-2</v>
      </c>
      <c r="AW232" s="69">
        <f t="shared" si="113"/>
        <v>6.3855421686746849E-2</v>
      </c>
      <c r="AX232" s="69">
        <f t="shared" si="113"/>
        <v>2.4193548387096753E-2</v>
      </c>
      <c r="AY232" s="69">
        <f t="shared" si="113"/>
        <v>0.1348098218584497</v>
      </c>
      <c r="AZ232" s="69">
        <f t="shared" si="113"/>
        <v>-3.4412955465587092E-2</v>
      </c>
      <c r="BA232" s="69">
        <f t="shared" si="113"/>
        <v>0.20385050962627416</v>
      </c>
      <c r="BB232" s="69">
        <f t="shared" si="113"/>
        <v>0.15616797900262469</v>
      </c>
      <c r="BC232" s="69">
        <f t="shared" ref="BC232:BJ234" si="114">Q232/M232-1</f>
        <v>0.11582520152736531</v>
      </c>
      <c r="BD232" s="69">
        <f t="shared" si="114"/>
        <v>0.11069182389937104</v>
      </c>
      <c r="BE232" s="69">
        <f t="shared" si="114"/>
        <v>7.2906867356538063E-2</v>
      </c>
      <c r="BF232" s="69">
        <f t="shared" si="114"/>
        <v>0.18463866818009844</v>
      </c>
      <c r="BG232" s="69">
        <f t="shared" si="114"/>
        <v>5.0570342205323193E-2</v>
      </c>
      <c r="BH232" s="69">
        <f t="shared" si="114"/>
        <v>5.8512646281615677E-2</v>
      </c>
      <c r="BI232" s="69">
        <f t="shared" si="114"/>
        <v>0.12976764576939948</v>
      </c>
      <c r="BJ232" s="69">
        <f t="shared" si="114"/>
        <v>5.3976365378473279E-2</v>
      </c>
    </row>
    <row r="233" spans="2:71" ht="15.75">
      <c r="B233" s="66" t="str">
        <f>B216</f>
        <v>Radio</v>
      </c>
      <c r="C233" s="66">
        <v>10.1</v>
      </c>
      <c r="D233" s="66">
        <v>32.299999999999997</v>
      </c>
      <c r="E233" s="66">
        <v>28.7</v>
      </c>
      <c r="F233" s="66">
        <v>24.2</v>
      </c>
      <c r="G233" s="66">
        <v>6.2</v>
      </c>
      <c r="H233" s="66">
        <v>30.8</v>
      </c>
      <c r="I233" s="66">
        <v>28.8</v>
      </c>
      <c r="J233" s="66">
        <v>29.2</v>
      </c>
      <c r="K233" s="66">
        <v>10.4</v>
      </c>
      <c r="L233" s="66">
        <v>27.1</v>
      </c>
      <c r="M233" s="66">
        <v>29.6</v>
      </c>
      <c r="N233" s="66">
        <v>34.5</v>
      </c>
      <c r="O233" s="66">
        <v>13.3</v>
      </c>
      <c r="P233" s="66">
        <v>30.6</v>
      </c>
      <c r="Q233" s="66">
        <v>34.6</v>
      </c>
      <c r="R233" s="66">
        <v>31.7</v>
      </c>
      <c r="S233" s="66">
        <v>15.6</v>
      </c>
      <c r="T233" s="66">
        <v>24</v>
      </c>
      <c r="U233" s="66">
        <v>25.5</v>
      </c>
      <c r="V233" s="66">
        <v>30.1</v>
      </c>
      <c r="W233" s="66">
        <v>16.5</v>
      </c>
      <c r="X233" s="66">
        <v>24.5</v>
      </c>
      <c r="Y233" s="66"/>
      <c r="Z233" s="66"/>
      <c r="AA233" s="66"/>
      <c r="AB233" s="66"/>
      <c r="AC233" s="66"/>
      <c r="AD233" s="66"/>
      <c r="AE233" s="66"/>
      <c r="AF233" s="66"/>
      <c r="AG233" s="66"/>
      <c r="AH233" s="66"/>
      <c r="AI233" s="66"/>
      <c r="AJ233" s="66"/>
      <c r="AK233" s="66"/>
      <c r="AL233" s="66"/>
      <c r="AM233" s="66"/>
      <c r="AN233" s="66"/>
      <c r="AO233" s="66"/>
      <c r="AP233" s="66"/>
      <c r="AR233" s="66" t="str">
        <f>B233</f>
        <v>Radio</v>
      </c>
      <c r="AS233" s="69">
        <f t="shared" si="113"/>
        <v>-0.38613861386138615</v>
      </c>
      <c r="AT233" s="69">
        <f t="shared" si="113"/>
        <v>-4.6439628482972006E-2</v>
      </c>
      <c r="AU233" s="69">
        <f t="shared" si="113"/>
        <v>3.4843205574912606E-3</v>
      </c>
      <c r="AV233" s="69">
        <f t="shared" si="113"/>
        <v>0.20661157024793386</v>
      </c>
      <c r="AW233" s="69">
        <f t="shared" si="113"/>
        <v>0.67741935483870974</v>
      </c>
      <c r="AX233" s="69">
        <f t="shared" si="113"/>
        <v>-0.12012987012987009</v>
      </c>
      <c r="AY233" s="69">
        <f t="shared" si="113"/>
        <v>2.7777777777777901E-2</v>
      </c>
      <c r="AZ233" s="69">
        <f t="shared" si="113"/>
        <v>0.18150684931506844</v>
      </c>
      <c r="BA233" s="69">
        <f t="shared" si="113"/>
        <v>0.27884615384615397</v>
      </c>
      <c r="BB233" s="69">
        <f t="shared" si="113"/>
        <v>0.12915129151291516</v>
      </c>
      <c r="BC233" s="69">
        <f t="shared" si="114"/>
        <v>0.16891891891891886</v>
      </c>
      <c r="BD233" s="69">
        <f t="shared" si="114"/>
        <v>-8.1159420289855122E-2</v>
      </c>
      <c r="BE233" s="69">
        <f t="shared" si="114"/>
        <v>0.1729323308270676</v>
      </c>
      <c r="BF233" s="69">
        <f t="shared" si="114"/>
        <v>-0.21568627450980393</v>
      </c>
      <c r="BG233" s="69">
        <f t="shared" si="114"/>
        <v>-0.26300578034682087</v>
      </c>
      <c r="BH233" s="69">
        <f t="shared" si="114"/>
        <v>-5.0473186119873725E-2</v>
      </c>
      <c r="BI233" s="69">
        <f t="shared" si="114"/>
        <v>5.7692307692307709E-2</v>
      </c>
      <c r="BJ233" s="69">
        <f t="shared" si="114"/>
        <v>2.0833333333333259E-2</v>
      </c>
    </row>
    <row r="234" spans="2:71" ht="15.75">
      <c r="B234" s="67" t="str">
        <f>B217</f>
        <v>Interactive</v>
      </c>
      <c r="C234" s="67">
        <v>-2</v>
      </c>
      <c r="D234" s="67">
        <v>6.8</v>
      </c>
      <c r="E234" s="67">
        <v>2.5</v>
      </c>
      <c r="F234" s="67">
        <v>2</v>
      </c>
      <c r="G234" s="67">
        <v>-3.2</v>
      </c>
      <c r="H234" s="67">
        <v>-1</v>
      </c>
      <c r="I234" s="67">
        <v>-0.3</v>
      </c>
      <c r="J234" s="67">
        <v>-0.5</v>
      </c>
      <c r="K234" s="67">
        <v>-3.3</v>
      </c>
      <c r="L234" s="67">
        <v>-2</v>
      </c>
      <c r="M234" s="67">
        <v>11.2</v>
      </c>
      <c r="N234" s="67">
        <v>16.3</v>
      </c>
      <c r="O234" s="67">
        <v>-1.7</v>
      </c>
      <c r="P234" s="67">
        <v>3.4</v>
      </c>
      <c r="Q234" s="67">
        <v>4.2</v>
      </c>
      <c r="R234" s="67">
        <v>-0.5</v>
      </c>
      <c r="S234" s="67">
        <v>7.7</v>
      </c>
      <c r="T234" s="67">
        <v>1</v>
      </c>
      <c r="U234" s="67">
        <v>13.3</v>
      </c>
      <c r="V234" s="67">
        <v>25.7</v>
      </c>
      <c r="W234" s="398">
        <v>0</v>
      </c>
      <c r="X234" s="67">
        <v>-19.899999999999999</v>
      </c>
      <c r="Y234" s="67"/>
      <c r="Z234" s="67"/>
      <c r="AA234" s="67"/>
      <c r="AB234" s="67"/>
      <c r="AC234" s="67"/>
      <c r="AD234" s="67"/>
      <c r="AE234" s="67"/>
      <c r="AF234" s="67"/>
      <c r="AG234" s="67"/>
      <c r="AH234" s="67"/>
      <c r="AI234" s="67"/>
      <c r="AJ234" s="67"/>
      <c r="AK234" s="67"/>
      <c r="AL234" s="67"/>
      <c r="AM234" s="67"/>
      <c r="AN234" s="67"/>
      <c r="AO234" s="67"/>
      <c r="AP234" s="66"/>
      <c r="AR234" s="67" t="str">
        <f>B234</f>
        <v>Interactive</v>
      </c>
      <c r="AS234" s="73">
        <f t="shared" si="113"/>
        <v>0.60000000000000009</v>
      </c>
      <c r="AT234" s="73">
        <f t="shared" si="113"/>
        <v>-1.1470588235294117</v>
      </c>
      <c r="AU234" s="73">
        <f t="shared" si="113"/>
        <v>-1.1200000000000001</v>
      </c>
      <c r="AV234" s="73">
        <f t="shared" si="113"/>
        <v>-1.25</v>
      </c>
      <c r="AW234" s="73">
        <f t="shared" si="113"/>
        <v>3.1249999999999778E-2</v>
      </c>
      <c r="AX234" s="73">
        <f t="shared" si="113"/>
        <v>1</v>
      </c>
      <c r="AY234" s="73">
        <f t="shared" si="113"/>
        <v>-38.333333333333336</v>
      </c>
      <c r="AZ234" s="73">
        <f t="shared" si="113"/>
        <v>-33.6</v>
      </c>
      <c r="BA234" s="73">
        <f t="shared" si="113"/>
        <v>-0.48484848484848486</v>
      </c>
      <c r="BB234" s="73">
        <f t="shared" si="113"/>
        <v>-2.7</v>
      </c>
      <c r="BC234" s="73">
        <f t="shared" si="114"/>
        <v>-0.625</v>
      </c>
      <c r="BD234" s="73">
        <f t="shared" si="114"/>
        <v>-1.0306748466257669</v>
      </c>
      <c r="BE234" s="73">
        <f t="shared" si="114"/>
        <v>-5.5294117647058822</v>
      </c>
      <c r="BF234" s="73">
        <f t="shared" si="114"/>
        <v>-0.70588235294117641</v>
      </c>
      <c r="BG234" s="73">
        <f t="shared" si="114"/>
        <v>2.1666666666666665</v>
      </c>
      <c r="BH234" s="73">
        <f t="shared" si="114"/>
        <v>-52.4</v>
      </c>
      <c r="BI234" s="73">
        <f t="shared" si="114"/>
        <v>-1</v>
      </c>
      <c r="BJ234" s="73">
        <f t="shared" si="114"/>
        <v>-20.9</v>
      </c>
      <c r="BK234" s="61"/>
      <c r="BL234" s="61"/>
      <c r="BM234" s="61"/>
      <c r="BN234" s="61"/>
      <c r="BO234" s="61"/>
      <c r="BP234" s="61"/>
      <c r="BQ234" s="61"/>
      <c r="BR234" s="61"/>
      <c r="BS234" s="61"/>
    </row>
    <row r="235" spans="2:71" ht="15.75">
      <c r="B235" s="66" t="s">
        <v>7920</v>
      </c>
      <c r="C235" s="66">
        <f t="shared" ref="C235:L235" si="115">SUM(C232:C234)</f>
        <v>180.29999999999998</v>
      </c>
      <c r="D235" s="66">
        <f t="shared" si="115"/>
        <v>272</v>
      </c>
      <c r="E235" s="66">
        <f t="shared" si="115"/>
        <v>231.7</v>
      </c>
      <c r="F235" s="66">
        <f t="shared" si="115"/>
        <v>259.39999999999998</v>
      </c>
      <c r="G235" s="66">
        <f t="shared" si="115"/>
        <v>169</v>
      </c>
      <c r="H235" s="66">
        <f t="shared" si="115"/>
        <v>253</v>
      </c>
      <c r="I235" s="66">
        <f t="shared" si="115"/>
        <v>236.2</v>
      </c>
      <c r="J235" s="66">
        <f t="shared" si="115"/>
        <v>275.7</v>
      </c>
      <c r="K235" s="66">
        <f t="shared" si="115"/>
        <v>183.7</v>
      </c>
      <c r="L235" s="66">
        <f t="shared" si="115"/>
        <v>253.7</v>
      </c>
      <c r="M235" s="66">
        <f t="shared" ref="M235:R235" si="116">SUM(M232:M234)</f>
        <v>276.5</v>
      </c>
      <c r="N235" s="66">
        <f t="shared" si="116"/>
        <v>289.3</v>
      </c>
      <c r="O235" s="66">
        <f t="shared" si="116"/>
        <v>224.20000000000002</v>
      </c>
      <c r="P235" s="66">
        <f t="shared" si="116"/>
        <v>298.3</v>
      </c>
      <c r="Q235" s="66">
        <f t="shared" si="116"/>
        <v>301.8</v>
      </c>
      <c r="R235" s="66">
        <f t="shared" si="116"/>
        <v>296.09999999999997</v>
      </c>
      <c r="S235" s="66">
        <f t="shared" ref="S235:X235" si="117">SUM(S232:S234)</f>
        <v>251.39999999999998</v>
      </c>
      <c r="T235" s="66">
        <f t="shared" si="117"/>
        <v>338.1</v>
      </c>
      <c r="U235" s="66">
        <f t="shared" si="117"/>
        <v>315.10000000000002</v>
      </c>
      <c r="V235" s="66">
        <f t="shared" si="117"/>
        <v>336.2</v>
      </c>
      <c r="W235" s="66">
        <f t="shared" si="117"/>
        <v>274.2</v>
      </c>
      <c r="X235" s="112">
        <f t="shared" si="117"/>
        <v>334.6</v>
      </c>
      <c r="Y235" s="112">
        <v>391.4</v>
      </c>
      <c r="Z235" s="112">
        <v>347.6</v>
      </c>
      <c r="AA235" s="112">
        <v>308.7</v>
      </c>
      <c r="AB235" s="112">
        <v>337.7</v>
      </c>
      <c r="AC235" s="112">
        <v>327.10000000000002</v>
      </c>
      <c r="AD235" s="112">
        <v>397.2</v>
      </c>
      <c r="AE235" s="112">
        <v>295.10000000000002</v>
      </c>
      <c r="AF235" s="112">
        <v>336.9</v>
      </c>
      <c r="AG235" s="112">
        <v>355.3</v>
      </c>
      <c r="AH235" s="112">
        <v>352</v>
      </c>
      <c r="AI235" s="112">
        <v>260.3</v>
      </c>
      <c r="AJ235" s="112">
        <v>312.5</v>
      </c>
      <c r="AK235" s="112">
        <v>269</v>
      </c>
      <c r="AL235" s="112">
        <v>250.5</v>
      </c>
      <c r="AM235" s="112">
        <v>211.1</v>
      </c>
      <c r="AN235" s="112">
        <v>315.2</v>
      </c>
      <c r="AO235" s="112">
        <v>261.5</v>
      </c>
      <c r="AP235" s="112"/>
      <c r="BO235" s="69"/>
      <c r="BP235" s="69"/>
      <c r="BQ235" s="69"/>
      <c r="BR235" s="69"/>
      <c r="BS235" s="69"/>
    </row>
    <row r="236" spans="2:71" ht="15.75">
      <c r="B236" s="66" t="s">
        <v>548</v>
      </c>
      <c r="C236" s="116">
        <f>C235/C218</f>
        <v>0.3973991624421423</v>
      </c>
      <c r="D236" s="116">
        <f t="shared" ref="D236:L236" si="118">D235/D218</f>
        <v>0.42513285401688028</v>
      </c>
      <c r="E236" s="116">
        <f t="shared" si="118"/>
        <v>0.40295652173913044</v>
      </c>
      <c r="F236" s="116">
        <f t="shared" si="118"/>
        <v>0.44980058956129698</v>
      </c>
      <c r="G236" s="116">
        <f t="shared" si="118"/>
        <v>0.35076795350767953</v>
      </c>
      <c r="H236" s="116">
        <f t="shared" si="118"/>
        <v>0.42852303523035223</v>
      </c>
      <c r="I236" s="116">
        <f t="shared" si="118"/>
        <v>0.40403694834074577</v>
      </c>
      <c r="J236" s="116">
        <f t="shared" si="118"/>
        <v>0.44705691584238694</v>
      </c>
      <c r="K236" s="116">
        <f t="shared" si="118"/>
        <v>0.34765329295987885</v>
      </c>
      <c r="L236" s="116">
        <f t="shared" si="118"/>
        <v>0.41386623164763447</v>
      </c>
      <c r="M236" s="116">
        <f t="shared" ref="M236:S236" si="119">M235/M218</f>
        <v>0.43965654317061537</v>
      </c>
      <c r="N236" s="116">
        <f t="shared" si="119"/>
        <v>0.43069822837576299</v>
      </c>
      <c r="O236" s="116">
        <f t="shared" si="119"/>
        <v>0.39893238434163703</v>
      </c>
      <c r="P236" s="116">
        <f t="shared" si="119"/>
        <v>0.44094604582409463</v>
      </c>
      <c r="Q236" s="116">
        <f t="shared" si="119"/>
        <v>0.43556068696781636</v>
      </c>
      <c r="R236" s="116">
        <f t="shared" si="119"/>
        <v>0.42530881930479747</v>
      </c>
      <c r="S236" s="116">
        <f t="shared" si="119"/>
        <v>0.40476573820640799</v>
      </c>
      <c r="T236" s="116">
        <f t="shared" ref="T236:AG236" si="120">T235/T218</f>
        <v>0.40554156171284633</v>
      </c>
      <c r="U236" s="116">
        <f t="shared" si="120"/>
        <v>0.43229523940183845</v>
      </c>
      <c r="V236" s="116">
        <f t="shared" si="120"/>
        <v>0.46200357290092064</v>
      </c>
      <c r="W236" s="116">
        <f t="shared" si="120"/>
        <v>0.43893068672963015</v>
      </c>
      <c r="X236" s="116">
        <f t="shared" si="120"/>
        <v>0.48053999712767492</v>
      </c>
      <c r="Y236" s="116">
        <f t="shared" si="120"/>
        <v>0.48833437305053023</v>
      </c>
      <c r="Z236" s="116">
        <f t="shared" si="120"/>
        <v>0.47234678624813159</v>
      </c>
      <c r="AA236" s="116">
        <f t="shared" si="120"/>
        <v>0.46744397334948518</v>
      </c>
      <c r="AB236" s="116">
        <f t="shared" si="120"/>
        <v>0.421966762464076</v>
      </c>
      <c r="AC236" s="116">
        <f t="shared" si="120"/>
        <v>0.44515514425694075</v>
      </c>
      <c r="AD236" s="116">
        <f t="shared" si="120"/>
        <v>0.46922622563496752</v>
      </c>
      <c r="AE236" s="116">
        <f t="shared" si="120"/>
        <v>0.4260756569448455</v>
      </c>
      <c r="AF236" s="116">
        <f t="shared" si="120"/>
        <v>0.44044973199110993</v>
      </c>
      <c r="AG236" s="116">
        <f t="shared" si="120"/>
        <v>0.46786937055570188</v>
      </c>
      <c r="AH236" s="66"/>
      <c r="AI236" s="69"/>
      <c r="AJ236" s="69"/>
      <c r="AK236" s="69"/>
      <c r="AL236" s="69"/>
      <c r="AM236" s="69"/>
      <c r="AN236" s="69"/>
      <c r="AO236" s="69"/>
      <c r="AP236" s="69"/>
      <c r="AQ236" s="69"/>
      <c r="AR236" s="69"/>
      <c r="AS236" s="69"/>
      <c r="AT236" s="69"/>
      <c r="AU236" s="69"/>
    </row>
    <row r="237" spans="2:71" ht="15.75">
      <c r="B237" s="66" t="s">
        <v>7921</v>
      </c>
      <c r="C237" s="116"/>
      <c r="D237" s="116"/>
      <c r="E237" s="116"/>
      <c r="F237" s="116"/>
      <c r="G237" s="116"/>
      <c r="H237" s="116"/>
      <c r="I237" s="116"/>
      <c r="J237" s="116"/>
      <c r="K237" s="116"/>
      <c r="L237" s="116"/>
      <c r="M237" s="116"/>
      <c r="N237" s="116"/>
      <c r="O237" s="116"/>
      <c r="P237" s="116"/>
      <c r="Q237" s="116"/>
      <c r="R237" s="116"/>
      <c r="S237" s="116"/>
      <c r="T237" s="116"/>
      <c r="U237" s="116"/>
      <c r="V237" s="112">
        <v>326.3</v>
      </c>
      <c r="W237" s="112">
        <v>266.5</v>
      </c>
      <c r="X237" s="112">
        <v>325.7</v>
      </c>
      <c r="Y237" s="112">
        <v>384.4</v>
      </c>
      <c r="Z237" s="112">
        <v>335.2</v>
      </c>
      <c r="AA237" s="112">
        <v>296.2</v>
      </c>
      <c r="AB237" s="112">
        <v>328.9</v>
      </c>
      <c r="AC237" s="112">
        <v>317.89999999999998</v>
      </c>
      <c r="AD237" s="112">
        <v>390.1</v>
      </c>
      <c r="AE237" s="112">
        <v>284.3</v>
      </c>
      <c r="AF237" s="112">
        <v>328.7</v>
      </c>
      <c r="AG237" s="112">
        <v>348.4</v>
      </c>
      <c r="AH237" s="112">
        <v>346.8</v>
      </c>
      <c r="AI237" s="112">
        <v>254</v>
      </c>
      <c r="AJ237" s="112">
        <v>304.10000000000002</v>
      </c>
      <c r="AK237" s="112">
        <v>231</v>
      </c>
      <c r="AL237" s="112">
        <v>229</v>
      </c>
      <c r="AM237" s="112">
        <v>204.3</v>
      </c>
      <c r="AN237" s="112">
        <v>308.8</v>
      </c>
      <c r="AO237" s="112">
        <v>257</v>
      </c>
      <c r="AP237" s="112">
        <f>Univision!L14-AM237-AN237-AO237</f>
        <v>207.69849999999991</v>
      </c>
      <c r="AQ237" s="69"/>
      <c r="AR237" s="66" t="s">
        <v>7922</v>
      </c>
      <c r="AS237" s="69">
        <f t="shared" ref="AS237:BJ237" si="121">G235/C235-1</f>
        <v>-6.2673322240709872E-2</v>
      </c>
      <c r="AT237" s="69">
        <f t="shared" si="121"/>
        <v>-6.9852941176470562E-2</v>
      </c>
      <c r="AU237" s="69">
        <f t="shared" si="121"/>
        <v>1.9421665947345623E-2</v>
      </c>
      <c r="AV237" s="69">
        <f t="shared" si="121"/>
        <v>6.283731688511951E-2</v>
      </c>
      <c r="AW237" s="69">
        <f t="shared" si="121"/>
        <v>8.6982248520709904E-2</v>
      </c>
      <c r="AX237" s="69">
        <f t="shared" si="121"/>
        <v>2.766798418972316E-3</v>
      </c>
      <c r="AY237" s="69">
        <f t="shared" si="121"/>
        <v>0.17061812023708733</v>
      </c>
      <c r="AZ237" s="69">
        <f t="shared" si="121"/>
        <v>4.9328980776206066E-2</v>
      </c>
      <c r="BA237" s="69">
        <f t="shared" si="121"/>
        <v>0.22046815459989122</v>
      </c>
      <c r="BB237" s="69">
        <f t="shared" si="121"/>
        <v>0.17579818683484438</v>
      </c>
      <c r="BC237" s="69">
        <f t="shared" si="121"/>
        <v>9.1500904159132146E-2</v>
      </c>
      <c r="BD237" s="69">
        <f t="shared" si="121"/>
        <v>2.350501209816791E-2</v>
      </c>
      <c r="BE237" s="69">
        <f t="shared" si="121"/>
        <v>0.12132024977698475</v>
      </c>
      <c r="BF237" s="69">
        <f t="shared" si="121"/>
        <v>0.13342272879651351</v>
      </c>
      <c r="BG237" s="69">
        <f t="shared" si="121"/>
        <v>4.4068919814446605E-2</v>
      </c>
      <c r="BH237" s="69">
        <f t="shared" si="121"/>
        <v>0.13542722053360357</v>
      </c>
      <c r="BI237" s="69">
        <f t="shared" si="121"/>
        <v>9.069212410501204E-2</v>
      </c>
      <c r="BJ237" s="69">
        <f t="shared" si="121"/>
        <v>-1.0351966873705987E-2</v>
      </c>
      <c r="BK237" s="117">
        <v>0.14000000000000001</v>
      </c>
      <c r="BL237" s="117">
        <v>8.6999999999999994E-2</v>
      </c>
      <c r="BM237" s="69">
        <f t="shared" ref="BM237:BS237" si="122">AA244/W248-1</f>
        <v>0.16498993963782693</v>
      </c>
      <c r="BN237" s="69">
        <f t="shared" si="122"/>
        <v>6.3137755102040671E-2</v>
      </c>
      <c r="BO237" s="69">
        <f t="shared" si="122"/>
        <v>-0.13787878787878793</v>
      </c>
      <c r="BP237" s="69">
        <f t="shared" si="122"/>
        <v>3.1948881789137351E-2</v>
      </c>
      <c r="BQ237" s="69">
        <f t="shared" si="122"/>
        <v>-6.0042887776983633E-2</v>
      </c>
      <c r="BR237" s="69">
        <f t="shared" si="122"/>
        <v>-0.10923076923076924</v>
      </c>
      <c r="BS237" s="69">
        <f t="shared" si="122"/>
        <v>7.7368040491684553E-2</v>
      </c>
    </row>
    <row r="238" spans="2:71" ht="15.75">
      <c r="B238" s="66" t="s">
        <v>548</v>
      </c>
      <c r="C238" s="116"/>
      <c r="D238" s="116"/>
      <c r="E238" s="116"/>
      <c r="F238" s="116"/>
      <c r="G238" s="116"/>
      <c r="H238" s="116"/>
      <c r="I238" s="116"/>
      <c r="J238" s="116"/>
      <c r="K238" s="116"/>
      <c r="L238" s="116"/>
      <c r="M238" s="116"/>
      <c r="N238" s="116"/>
      <c r="O238" s="116"/>
      <c r="P238" s="116"/>
      <c r="Q238" s="116"/>
      <c r="R238" s="116"/>
      <c r="S238" s="116"/>
      <c r="T238" s="116"/>
      <c r="U238" s="116"/>
      <c r="V238" s="116">
        <f>V237/V218</f>
        <v>0.44839906554898995</v>
      </c>
      <c r="W238" s="116">
        <f t="shared" ref="W238:AO238" si="123">W237/W218</f>
        <v>0.42660477028973903</v>
      </c>
      <c r="X238" s="116">
        <f t="shared" si="123"/>
        <v>0.4677581502226052</v>
      </c>
      <c r="Y238" s="116">
        <f t="shared" si="123"/>
        <v>0.47960074859638174</v>
      </c>
      <c r="Z238" s="116">
        <f t="shared" si="123"/>
        <v>0.45549667074330752</v>
      </c>
      <c r="AA238" s="116">
        <f t="shared" si="123"/>
        <v>0.44851605087825558</v>
      </c>
      <c r="AB238" s="116">
        <f t="shared" si="123"/>
        <v>0.4109708859177808</v>
      </c>
      <c r="AC238" s="116">
        <f t="shared" si="123"/>
        <v>0.43263473053892215</v>
      </c>
      <c r="AD238" s="116">
        <f t="shared" si="123"/>
        <v>0.46083874778499706</v>
      </c>
      <c r="AE238" s="116">
        <f t="shared" si="123"/>
        <v>0.41048224083164886</v>
      </c>
      <c r="AF238" s="116">
        <f t="shared" si="123"/>
        <v>0.42972937638907044</v>
      </c>
      <c r="AG238" s="116">
        <f t="shared" si="123"/>
        <v>0.45878324993415853</v>
      </c>
      <c r="AH238" s="116">
        <f t="shared" si="123"/>
        <v>0.45903375248180017</v>
      </c>
      <c r="AI238" s="116">
        <f t="shared" si="123"/>
        <v>0.38126688682077453</v>
      </c>
      <c r="AJ238" s="116">
        <f t="shared" si="123"/>
        <v>0.40557481995198724</v>
      </c>
      <c r="AK238" s="116">
        <f t="shared" si="123"/>
        <v>0.3677172874880611</v>
      </c>
      <c r="AL238" s="116">
        <f t="shared" si="123"/>
        <v>0.33260711692084244</v>
      </c>
      <c r="AM238" s="116">
        <f t="shared" si="123"/>
        <v>0.33387808465435531</v>
      </c>
      <c r="AN238" s="116">
        <f t="shared" si="123"/>
        <v>0.42249281707483927</v>
      </c>
      <c r="AO238" s="116">
        <f t="shared" si="123"/>
        <v>0.37716466099207513</v>
      </c>
      <c r="AP238" s="116">
        <f>AP237/AP218</f>
        <v>0.31724224835802645</v>
      </c>
      <c r="AQ238" s="69"/>
      <c r="AR238" s="69"/>
      <c r="AS238" s="69"/>
      <c r="AT238" s="69"/>
      <c r="AU238" s="69"/>
    </row>
    <row r="239" spans="2:71" ht="15.75">
      <c r="B239" s="66"/>
      <c r="C239" s="66"/>
      <c r="D239" s="66"/>
      <c r="E239" s="66"/>
      <c r="F239" s="66"/>
      <c r="G239" s="66"/>
      <c r="H239" s="66"/>
      <c r="I239" s="66"/>
      <c r="J239" s="66"/>
      <c r="K239" s="66"/>
      <c r="L239" s="66"/>
      <c r="O239" s="116"/>
      <c r="P239" s="116"/>
      <c r="Q239" s="66"/>
      <c r="V239" s="8"/>
      <c r="W239" s="8"/>
      <c r="X239" s="8"/>
      <c r="Y239" s="8"/>
      <c r="Z239" s="8"/>
      <c r="AA239" s="8"/>
      <c r="AB239" s="8"/>
      <c r="AC239" s="8"/>
      <c r="AD239" s="8"/>
      <c r="AE239" s="8"/>
      <c r="AF239" s="8"/>
      <c r="AG239" s="8"/>
      <c r="AI239" s="66"/>
      <c r="AJ239" s="66"/>
      <c r="AK239" s="66"/>
      <c r="AL239" s="66"/>
      <c r="AM239" s="66"/>
      <c r="AN239" s="66"/>
      <c r="AO239" s="66"/>
      <c r="AP239" s="66"/>
      <c r="AQ239" s="66"/>
      <c r="AR239" s="66" t="s">
        <v>548</v>
      </c>
      <c r="AS239" s="116">
        <f t="shared" ref="AS239:BI239" si="124">G236</f>
        <v>0.35076795350767953</v>
      </c>
      <c r="AT239" s="116">
        <f t="shared" si="124"/>
        <v>0.42852303523035223</v>
      </c>
      <c r="AU239" s="116">
        <f t="shared" si="124"/>
        <v>0.40403694834074577</v>
      </c>
      <c r="AV239" s="116">
        <f t="shared" si="124"/>
        <v>0.44705691584238694</v>
      </c>
      <c r="AW239" s="116">
        <f t="shared" si="124"/>
        <v>0.34765329295987885</v>
      </c>
      <c r="AX239" s="116">
        <f t="shared" si="124"/>
        <v>0.41386623164763447</v>
      </c>
      <c r="AY239" s="116">
        <f t="shared" si="124"/>
        <v>0.43965654317061537</v>
      </c>
      <c r="AZ239" s="116">
        <f t="shared" si="124"/>
        <v>0.43069822837576299</v>
      </c>
      <c r="BA239" s="116">
        <f t="shared" si="124"/>
        <v>0.39893238434163703</v>
      </c>
      <c r="BB239" s="116">
        <f t="shared" si="124"/>
        <v>0.44094604582409463</v>
      </c>
      <c r="BC239" s="116">
        <f t="shared" si="124"/>
        <v>0.43556068696781636</v>
      </c>
      <c r="BD239" s="116">
        <f t="shared" si="124"/>
        <v>0.42530881930479747</v>
      </c>
      <c r="BE239" s="116">
        <f t="shared" si="124"/>
        <v>0.40476573820640799</v>
      </c>
      <c r="BF239" s="116">
        <f t="shared" si="124"/>
        <v>0.40554156171284633</v>
      </c>
      <c r="BG239" s="116">
        <f t="shared" si="124"/>
        <v>0.43229523940183845</v>
      </c>
      <c r="BH239" s="116">
        <f t="shared" si="124"/>
        <v>0.46200357290092064</v>
      </c>
      <c r="BI239" s="116">
        <f t="shared" si="124"/>
        <v>0.43893068672963015</v>
      </c>
    </row>
    <row r="240" spans="2:71" ht="15.75">
      <c r="B240" s="66" t="str">
        <f>B220</f>
        <v>political advertising</v>
      </c>
      <c r="C240" s="66"/>
      <c r="D240" s="66"/>
      <c r="E240" s="66"/>
      <c r="F240" s="66"/>
      <c r="G240" s="66"/>
      <c r="H240" s="66"/>
      <c r="I240" s="66"/>
      <c r="J240" s="66"/>
      <c r="K240" s="231">
        <f>29-L240-M240-N240</f>
        <v>0.5</v>
      </c>
      <c r="L240" s="231">
        <v>2</v>
      </c>
      <c r="M240" s="231">
        <v>8</v>
      </c>
      <c r="N240" s="66">
        <v>18.5</v>
      </c>
      <c r="O240" s="231">
        <v>2</v>
      </c>
      <c r="P240" s="231">
        <v>1</v>
      </c>
      <c r="Q240" s="231">
        <f>5.8-R240-O240-P240</f>
        <v>2.7</v>
      </c>
      <c r="R240" s="66">
        <v>0.1</v>
      </c>
      <c r="S240" s="66">
        <v>1.9</v>
      </c>
      <c r="T240" s="66"/>
      <c r="U240" s="66">
        <f t="shared" ref="U240:V243" si="125">U220</f>
        <v>16.100000000000001</v>
      </c>
      <c r="V240" s="66">
        <f t="shared" si="125"/>
        <v>28.4</v>
      </c>
      <c r="W240" s="66"/>
      <c r="X240" s="66"/>
      <c r="Y240" s="66">
        <f t="shared" ref="Y240:Z243" si="126">Y220</f>
        <v>7.4</v>
      </c>
      <c r="Z240" s="66">
        <f t="shared" si="126"/>
        <v>9.8000000000000007</v>
      </c>
      <c r="AA240" s="66"/>
      <c r="AB240" s="66"/>
      <c r="AC240" s="66"/>
      <c r="AD240" s="66"/>
      <c r="AE240" s="66"/>
      <c r="AF240" s="66"/>
      <c r="AG240" s="66"/>
      <c r="AI240" s="66"/>
      <c r="AJ240" s="66"/>
      <c r="AK240" s="66"/>
      <c r="AL240" s="66"/>
      <c r="AM240" s="66"/>
      <c r="AN240" s="66"/>
      <c r="AO240" s="66"/>
      <c r="AP240" s="66"/>
      <c r="AQ240" s="66"/>
      <c r="AR240" s="66"/>
      <c r="AS240" s="116"/>
      <c r="AT240" s="116"/>
      <c r="AU240" s="116"/>
      <c r="AV240" s="116"/>
      <c r="AW240" s="116"/>
      <c r="AX240" s="116"/>
      <c r="AY240" s="116"/>
      <c r="AZ240" s="116"/>
      <c r="BA240" s="116"/>
      <c r="BB240" s="116"/>
      <c r="BC240" s="116"/>
      <c r="BD240" s="116"/>
    </row>
    <row r="241" spans="2:82" ht="15.75">
      <c r="B241" s="66" t="str">
        <f>B221</f>
        <v>timing of revs recognition</v>
      </c>
      <c r="C241" s="66"/>
      <c r="D241" s="66"/>
      <c r="E241" s="66"/>
      <c r="F241" s="66"/>
      <c r="G241" s="66"/>
      <c r="H241" s="66"/>
      <c r="I241" s="66"/>
      <c r="J241" s="66"/>
      <c r="K241" s="231">
        <f>30.9-N241-M241-L241</f>
        <v>3.8999999999999986</v>
      </c>
      <c r="L241" s="231">
        <v>5</v>
      </c>
      <c r="M241" s="231">
        <v>5</v>
      </c>
      <c r="N241" s="66">
        <v>17</v>
      </c>
      <c r="O241" s="231">
        <v>2.5</v>
      </c>
      <c r="P241" s="231">
        <v>3</v>
      </c>
      <c r="Q241" s="231">
        <f>10.7-R241-O241-P241</f>
        <v>4</v>
      </c>
      <c r="R241" s="66">
        <v>1.2</v>
      </c>
      <c r="S241" s="66">
        <v>0.8</v>
      </c>
      <c r="T241" s="231"/>
      <c r="U241" s="66">
        <f t="shared" si="125"/>
        <v>0</v>
      </c>
      <c r="V241" s="66">
        <f t="shared" si="125"/>
        <v>0</v>
      </c>
      <c r="W241" s="66">
        <v>6.4</v>
      </c>
      <c r="X241" s="66"/>
      <c r="Y241" s="66">
        <f t="shared" si="126"/>
        <v>0</v>
      </c>
      <c r="Z241" s="66">
        <f t="shared" si="126"/>
        <v>0</v>
      </c>
      <c r="AA241" s="66"/>
      <c r="AB241" s="66"/>
      <c r="AC241" s="66"/>
      <c r="AD241" s="66"/>
      <c r="AE241" s="66"/>
      <c r="AF241" s="66"/>
      <c r="AG241" s="66"/>
      <c r="AI241" s="66"/>
      <c r="AJ241" s="66"/>
      <c r="AK241" s="66"/>
      <c r="AL241" s="66"/>
      <c r="AM241" s="66"/>
      <c r="AN241" s="66"/>
      <c r="AO241" s="66"/>
      <c r="AP241" s="66"/>
      <c r="AQ241" s="66"/>
      <c r="AR241" s="66"/>
      <c r="AS241" s="116"/>
      <c r="AT241" s="116"/>
      <c r="AU241" s="116"/>
      <c r="AV241" s="116"/>
      <c r="AW241" s="116"/>
      <c r="AX241" s="116"/>
      <c r="AY241" s="116"/>
      <c r="AZ241" s="116"/>
      <c r="BA241" s="111" t="str">
        <f t="shared" ref="BA241:BF241" si="127">BA214</f>
        <v>Q1 13</v>
      </c>
      <c r="BB241" s="111" t="str">
        <f t="shared" si="127"/>
        <v>Q2 13</v>
      </c>
      <c r="BC241" s="111" t="str">
        <f t="shared" si="127"/>
        <v>Q3 13</v>
      </c>
      <c r="BD241" s="111" t="str">
        <f t="shared" si="127"/>
        <v>Q4 13</v>
      </c>
      <c r="BE241" s="111" t="str">
        <f t="shared" si="127"/>
        <v>Q1 14</v>
      </c>
      <c r="BF241" s="111" t="str">
        <f t="shared" si="127"/>
        <v>Q2 14</v>
      </c>
      <c r="BG241" s="111" t="str">
        <f>BG214</f>
        <v>Q3 14</v>
      </c>
      <c r="BH241" s="111" t="str">
        <f>BH214</f>
        <v>Q4 14</v>
      </c>
      <c r="BI241" s="111" t="str">
        <f t="shared" ref="BI241:CB241" si="128">BI214</f>
        <v>Q1 15</v>
      </c>
      <c r="BJ241" s="111" t="str">
        <f t="shared" si="128"/>
        <v>Q2 15</v>
      </c>
      <c r="BK241" s="111" t="str">
        <f t="shared" si="128"/>
        <v>Q3 15</v>
      </c>
      <c r="BL241" s="111" t="str">
        <f t="shared" si="128"/>
        <v>Q4 15</v>
      </c>
      <c r="BM241" s="111" t="str">
        <f t="shared" si="128"/>
        <v>Q1 16</v>
      </c>
      <c r="BN241" s="111" t="str">
        <f t="shared" si="128"/>
        <v>Q2 16</v>
      </c>
      <c r="BO241" s="111" t="str">
        <f t="shared" si="128"/>
        <v>Q3 16</v>
      </c>
      <c r="BP241" s="111" t="str">
        <f t="shared" si="128"/>
        <v>Q4 16</v>
      </c>
      <c r="BQ241" s="111" t="str">
        <f t="shared" si="128"/>
        <v>Q1 17</v>
      </c>
      <c r="BR241" s="111" t="str">
        <f t="shared" si="128"/>
        <v>Q2 17</v>
      </c>
      <c r="BS241" s="111" t="str">
        <f t="shared" si="128"/>
        <v>Q3 17</v>
      </c>
      <c r="BT241" s="111" t="str">
        <f t="shared" si="128"/>
        <v>Q4 17</v>
      </c>
      <c r="BU241" s="111" t="str">
        <f t="shared" si="128"/>
        <v>Q1 18</v>
      </c>
      <c r="BV241" s="111" t="str">
        <f t="shared" si="128"/>
        <v>Q2 18</v>
      </c>
      <c r="BW241" s="111" t="str">
        <f t="shared" si="128"/>
        <v>Q3 18</v>
      </c>
      <c r="BX241" s="111" t="str">
        <f t="shared" si="128"/>
        <v>Q4 18</v>
      </c>
      <c r="BY241" s="111" t="str">
        <f t="shared" si="128"/>
        <v>Q1 19</v>
      </c>
      <c r="BZ241" s="111" t="str">
        <f t="shared" si="128"/>
        <v>Q2 19</v>
      </c>
      <c r="CA241" s="111" t="str">
        <f t="shared" si="128"/>
        <v>Q3 19</v>
      </c>
      <c r="CB241" s="111" t="str">
        <f t="shared" si="128"/>
        <v>Q4 19e</v>
      </c>
    </row>
    <row r="242" spans="2:82" ht="15.75">
      <c r="B242" s="66" t="str">
        <f>B222</f>
        <v>non-cash contractual revs</v>
      </c>
      <c r="C242" s="66"/>
      <c r="D242" s="66"/>
      <c r="E242" s="66"/>
      <c r="F242" s="66"/>
      <c r="G242" s="66"/>
      <c r="H242" s="66"/>
      <c r="I242" s="66"/>
      <c r="J242" s="66"/>
      <c r="K242" s="231">
        <f>19.2-N242-M242-L242</f>
        <v>5.3999999999999986</v>
      </c>
      <c r="L242" s="231">
        <v>4</v>
      </c>
      <c r="M242" s="231">
        <v>4</v>
      </c>
      <c r="N242" s="66">
        <v>5.8</v>
      </c>
      <c r="O242" s="231">
        <f>8.9-O241-O240</f>
        <v>4.4000000000000004</v>
      </c>
      <c r="P242" s="231">
        <v>2.5</v>
      </c>
      <c r="Q242" s="231">
        <f>6.3-R242-O242-P242</f>
        <v>-0.90000000000000036</v>
      </c>
      <c r="R242" s="66">
        <v>0.3</v>
      </c>
      <c r="S242" s="231">
        <v>0</v>
      </c>
      <c r="T242" s="231"/>
      <c r="U242" s="66">
        <f t="shared" si="125"/>
        <v>0</v>
      </c>
      <c r="V242" s="66">
        <f t="shared" si="125"/>
        <v>0</v>
      </c>
      <c r="W242" s="231"/>
      <c r="X242" s="231"/>
      <c r="Y242" s="66">
        <f t="shared" si="126"/>
        <v>0</v>
      </c>
      <c r="Z242" s="66">
        <f t="shared" si="126"/>
        <v>0</v>
      </c>
      <c r="AA242" s="66"/>
      <c r="AB242" s="66"/>
      <c r="AC242" s="66"/>
      <c r="AD242" s="66"/>
      <c r="AE242" s="66"/>
      <c r="AF242" s="66"/>
      <c r="AG242" s="66"/>
      <c r="AI242" s="66"/>
      <c r="AJ242" s="66"/>
      <c r="AK242" s="66"/>
      <c r="AL242" s="66"/>
      <c r="AM242" s="66"/>
      <c r="AN242" s="66"/>
      <c r="AO242" s="66"/>
      <c r="AP242" s="66"/>
      <c r="AQ242" s="66"/>
      <c r="AR242" s="66"/>
      <c r="AS242" s="116"/>
      <c r="AT242" s="116"/>
      <c r="AU242" s="116"/>
      <c r="AV242" s="116"/>
      <c r="AW242" s="116"/>
      <c r="AX242" s="116"/>
      <c r="AY242" s="116"/>
      <c r="AZ242" s="116" t="s">
        <v>7916</v>
      </c>
      <c r="BA242" s="69">
        <f t="shared" ref="BA242:BJ242" si="129">O224/K224-1</f>
        <v>6.3115228720324268E-2</v>
      </c>
      <c r="BB242" s="69">
        <f t="shared" si="129"/>
        <v>7.6421404682274208E-2</v>
      </c>
      <c r="BC242" s="69">
        <f t="shared" si="129"/>
        <v>5.0090624485088275E-2</v>
      </c>
      <c r="BD242" s="69">
        <f t="shared" si="129"/>
        <v>0.11248593925759254</v>
      </c>
      <c r="BE242" s="69">
        <f t="shared" si="129"/>
        <v>0.114560639070443</v>
      </c>
      <c r="BF242" s="69">
        <f t="shared" si="129"/>
        <v>0.11573714463259277</v>
      </c>
      <c r="BG242" s="69">
        <f t="shared" si="129"/>
        <v>2.8871802918562395E-2</v>
      </c>
      <c r="BH242" s="69">
        <f t="shared" si="129"/>
        <v>-1.1989022100245328E-2</v>
      </c>
      <c r="BI242" s="69">
        <f t="shared" si="129"/>
        <v>5.5383612966282136E-3</v>
      </c>
      <c r="BJ242" s="69">
        <f t="shared" si="129"/>
        <v>-3.0492898913951683E-2</v>
      </c>
      <c r="BK242" s="69">
        <f t="shared" ref="BK242:BR242" si="130">BK218</f>
        <v>8.3422296782064809E-2</v>
      </c>
      <c r="BL242" s="69">
        <f t="shared" si="130"/>
        <v>3.5964912280701755E-2</v>
      </c>
      <c r="BM242" s="69">
        <f t="shared" si="130"/>
        <v>7.5762599469495928E-2</v>
      </c>
      <c r="BN242" s="69">
        <f t="shared" si="130"/>
        <v>4.9706744868035058E-2</v>
      </c>
      <c r="BO242" s="69">
        <f t="shared" si="130"/>
        <v>-1.6751126126126059E-2</v>
      </c>
      <c r="BP242" s="69">
        <f t="shared" si="130"/>
        <v>8.5097375105842366E-2</v>
      </c>
      <c r="BQ242" s="69">
        <f t="shared" si="130"/>
        <v>8.0000000000000002E-3</v>
      </c>
      <c r="BR242" s="69">
        <f t="shared" si="130"/>
        <v>7.0000000000000001E-3</v>
      </c>
      <c r="BS242" s="69">
        <f>BS218</f>
        <v>0.01</v>
      </c>
      <c r="BT242" s="69">
        <f t="shared" ref="BT242:BY242" si="131">BT218</f>
        <v>-2.9000000000000001E-2</v>
      </c>
      <c r="BU242" s="69">
        <f t="shared" si="131"/>
        <v>-1.2E-2</v>
      </c>
      <c r="BV242" s="69">
        <f t="shared" si="131"/>
        <v>-3.0789648307896544E-2</v>
      </c>
      <c r="BW242" s="69">
        <f t="shared" si="131"/>
        <v>-8.1788594877600151E-2</v>
      </c>
      <c r="BX242" s="69">
        <f t="shared" si="131"/>
        <v>-8.6625086625086611E-2</v>
      </c>
      <c r="BY242" s="69">
        <f t="shared" si="131"/>
        <v>-7.9981787828198425E-2</v>
      </c>
    </row>
    <row r="243" spans="2:82" ht="15.75">
      <c r="B243" s="66" t="str">
        <f>B223</f>
        <v>other (soccer inc. world cup)</v>
      </c>
      <c r="C243" s="66"/>
      <c r="D243" s="66"/>
      <c r="E243" s="66"/>
      <c r="F243" s="66"/>
      <c r="G243" s="66"/>
      <c r="H243" s="66"/>
      <c r="I243" s="66"/>
      <c r="J243" s="66"/>
      <c r="K243" s="231"/>
      <c r="L243" s="231"/>
      <c r="M243" s="231"/>
      <c r="N243" s="66"/>
      <c r="O243" s="231"/>
      <c r="P243" s="389">
        <f>(65.3-29.4)-Q243</f>
        <v>9.2999999999999972</v>
      </c>
      <c r="Q243" s="231">
        <f>Q223-18.5</f>
        <v>26.6</v>
      </c>
      <c r="R243" s="66"/>
      <c r="S243" s="231">
        <f>18.8-T243</f>
        <v>1.5</v>
      </c>
      <c r="T243" s="231">
        <v>17.3</v>
      </c>
      <c r="U243" s="48">
        <f t="shared" si="125"/>
        <v>57.1</v>
      </c>
      <c r="V243" s="48">
        <f t="shared" si="125"/>
        <v>15.3</v>
      </c>
      <c r="W243" s="48">
        <v>1.5</v>
      </c>
      <c r="X243" s="406">
        <v>0</v>
      </c>
      <c r="Y243" s="48">
        <f t="shared" si="126"/>
        <v>83.7</v>
      </c>
      <c r="Z243" s="48">
        <f t="shared" si="126"/>
        <v>17.5</v>
      </c>
      <c r="AA243" s="48"/>
      <c r="AB243" s="48"/>
      <c r="AC243" s="48"/>
      <c r="AD243" s="48"/>
      <c r="AE243" s="48"/>
      <c r="AF243" s="48"/>
      <c r="AG243" s="48"/>
      <c r="AI243" s="66"/>
      <c r="AJ243" s="66"/>
      <c r="AK243" s="66"/>
      <c r="AL243" s="66"/>
      <c r="AM243" s="66"/>
      <c r="AN243" s="66"/>
      <c r="AO243" s="66"/>
      <c r="AP243" s="66"/>
      <c r="AQ243" s="66"/>
      <c r="AR243" s="66"/>
      <c r="AS243" s="116"/>
      <c r="AT243" s="116"/>
      <c r="AU243" s="116"/>
      <c r="AV243" s="116"/>
      <c r="AW243" s="116"/>
      <c r="AX243" s="116"/>
      <c r="AY243" s="116"/>
      <c r="AZ243" s="116"/>
      <c r="BA243" s="69"/>
      <c r="BB243" s="69"/>
      <c r="BC243" s="69"/>
      <c r="BD243" s="69"/>
      <c r="BE243" s="69"/>
      <c r="BF243" s="69"/>
      <c r="BG243" s="69"/>
      <c r="BH243" s="69"/>
      <c r="BI243" s="69"/>
    </row>
    <row r="244" spans="2:82" ht="15.75">
      <c r="B244" s="67" t="s">
        <v>211</v>
      </c>
      <c r="C244" s="67"/>
      <c r="D244" s="67"/>
      <c r="E244" s="67"/>
      <c r="F244" s="67"/>
      <c r="G244" s="67"/>
      <c r="H244" s="67"/>
      <c r="I244" s="67"/>
      <c r="J244" s="67"/>
      <c r="K244" s="67">
        <f t="shared" ref="K244:R244" si="132">K235-K240-K241-K242-K243</f>
        <v>173.89999999999998</v>
      </c>
      <c r="L244" s="67">
        <f t="shared" si="132"/>
        <v>242.7</v>
      </c>
      <c r="M244" s="67">
        <f t="shared" si="132"/>
        <v>259.5</v>
      </c>
      <c r="N244" s="67">
        <f t="shared" si="132"/>
        <v>248</v>
      </c>
      <c r="O244" s="67">
        <f t="shared" si="132"/>
        <v>215.3</v>
      </c>
      <c r="P244" s="67">
        <f t="shared" si="132"/>
        <v>282.5</v>
      </c>
      <c r="Q244" s="67">
        <f t="shared" si="132"/>
        <v>269.39999999999998</v>
      </c>
      <c r="R244" s="67">
        <f t="shared" si="132"/>
        <v>294.49999999999994</v>
      </c>
      <c r="S244" s="67">
        <f t="shared" ref="S244:X244" si="133">S235-S240-S241-S242-S243</f>
        <v>247.19999999999996</v>
      </c>
      <c r="T244" s="67">
        <f t="shared" si="133"/>
        <v>320.8</v>
      </c>
      <c r="U244" s="76">
        <f>U235-U240-U241-U242-U243</f>
        <v>241.9</v>
      </c>
      <c r="V244" s="76">
        <f>V235-V240-V241-V242-V243</f>
        <v>292.5</v>
      </c>
      <c r="W244" s="67">
        <f t="shared" si="133"/>
        <v>266.3</v>
      </c>
      <c r="X244" s="67">
        <f t="shared" si="133"/>
        <v>334.6</v>
      </c>
      <c r="Y244" s="76">
        <f>Y235-Y240-Y241-Y242-Y243</f>
        <v>300.3</v>
      </c>
      <c r="Z244" s="76">
        <f>Z235-Z240-Z241-Z242-Z243</f>
        <v>320.3</v>
      </c>
      <c r="AA244" s="76">
        <v>289.5</v>
      </c>
      <c r="AB244" s="76">
        <v>333.4</v>
      </c>
      <c r="AC244" s="76">
        <v>284.5</v>
      </c>
      <c r="AD244" s="76">
        <v>323</v>
      </c>
      <c r="AE244" s="76">
        <v>263</v>
      </c>
      <c r="AF244" s="76">
        <v>289.5</v>
      </c>
      <c r="AG244" s="76">
        <v>298</v>
      </c>
      <c r="AH244" s="76">
        <v>286.60000000000002</v>
      </c>
      <c r="AI244" s="76">
        <v>248.4</v>
      </c>
      <c r="AJ244" s="76">
        <v>287.5</v>
      </c>
      <c r="AK244" s="76">
        <v>247.3</v>
      </c>
      <c r="AL244" s="76">
        <v>205.8</v>
      </c>
      <c r="AM244" s="76">
        <v>200.2</v>
      </c>
      <c r="AN244" s="76">
        <v>299.39999999999998</v>
      </c>
      <c r="AO244" s="76">
        <v>251.8</v>
      </c>
      <c r="AP244" s="76">
        <f>AL244/AL237*AP237</f>
        <v>186.65655589519642</v>
      </c>
      <c r="AQ244" s="66"/>
      <c r="AR244" s="66"/>
      <c r="AS244" s="116"/>
      <c r="AT244" s="116"/>
      <c r="AU244" s="116"/>
      <c r="AV244" s="116"/>
      <c r="AW244" s="116"/>
      <c r="AX244" s="116"/>
      <c r="AY244" s="116"/>
      <c r="AZ244" s="116" t="s">
        <v>34</v>
      </c>
      <c r="BA244" s="69">
        <f t="shared" ref="BA244:BL244" si="134">O244/K244-1</f>
        <v>0.23806785508913197</v>
      </c>
      <c r="BB244" s="69">
        <f t="shared" si="134"/>
        <v>0.16398846312319737</v>
      </c>
      <c r="BC244" s="69">
        <f t="shared" si="134"/>
        <v>3.8150289017340855E-2</v>
      </c>
      <c r="BD244" s="69">
        <f t="shared" si="134"/>
        <v>0.18749999999999978</v>
      </c>
      <c r="BE244" s="69">
        <f t="shared" si="134"/>
        <v>0.14816535067347858</v>
      </c>
      <c r="BF244" s="69">
        <f t="shared" si="134"/>
        <v>0.13557522123893806</v>
      </c>
      <c r="BG244" s="69">
        <f t="shared" si="134"/>
        <v>-0.10207869339272446</v>
      </c>
      <c r="BH244" s="69">
        <f t="shared" si="134"/>
        <v>-6.7911714770796383E-3</v>
      </c>
      <c r="BI244" s="69">
        <f t="shared" si="134"/>
        <v>7.7265372168284996E-2</v>
      </c>
      <c r="BJ244" s="69">
        <f t="shared" si="134"/>
        <v>4.3017456359102368E-2</v>
      </c>
      <c r="BK244" s="69">
        <f t="shared" si="134"/>
        <v>0.24142207523770165</v>
      </c>
      <c r="BL244" s="69">
        <f t="shared" si="134"/>
        <v>9.5042735042734972E-2</v>
      </c>
      <c r="BM244" s="69">
        <f>AA244/W244-1</f>
        <v>8.7119789710852436E-2</v>
      </c>
      <c r="BN244" s="69">
        <f>AB244/X244-1</f>
        <v>-3.5863717872087753E-3</v>
      </c>
      <c r="BO244" s="69">
        <f>AC244/Y244-1</f>
        <v>-5.2614052614052609E-2</v>
      </c>
      <c r="BP244" s="69">
        <f>AD244/Z244-1</f>
        <v>8.429597252575638E-3</v>
      </c>
      <c r="BQ244" s="117">
        <v>-5.1999999999999998E-2</v>
      </c>
      <c r="BR244" s="117">
        <v>-1.7999999999999999E-2</v>
      </c>
      <c r="BS244" s="117">
        <v>0.16400000000000001</v>
      </c>
      <c r="BT244" s="117">
        <v>-2E-3</v>
      </c>
      <c r="BU244" s="117">
        <v>-1E-3</v>
      </c>
      <c r="BV244" s="116">
        <f t="shared" ref="BV244:CB244" si="135">AJ244/AF244-1</f>
        <v>-6.9084628670120773E-3</v>
      </c>
      <c r="BW244" s="69">
        <f t="shared" si="135"/>
        <v>-0.17013422818791946</v>
      </c>
      <c r="BX244" s="69">
        <f t="shared" si="135"/>
        <v>-0.28192602930914168</v>
      </c>
      <c r="BY244" s="69">
        <f t="shared" si="135"/>
        <v>-0.19404186795491152</v>
      </c>
      <c r="BZ244" s="69">
        <f t="shared" si="135"/>
        <v>4.1391304347826008E-2</v>
      </c>
      <c r="CA244" s="69">
        <f t="shared" si="135"/>
        <v>1.8196522442377683E-2</v>
      </c>
      <c r="CB244" s="69">
        <f t="shared" si="135"/>
        <v>-9.3019650655022268E-2</v>
      </c>
      <c r="CD244" t="s">
        <v>7923</v>
      </c>
    </row>
    <row r="245" spans="2:82" ht="15.75">
      <c r="B245" s="66" t="s">
        <v>548</v>
      </c>
      <c r="C245" s="66"/>
      <c r="D245" s="66"/>
      <c r="E245" s="66"/>
      <c r="F245" s="66"/>
      <c r="G245" s="66"/>
      <c r="H245" s="66"/>
      <c r="I245" s="66"/>
      <c r="J245" s="66"/>
      <c r="K245" s="116">
        <f t="shared" ref="K245:Q245" si="136">K244/K224</f>
        <v>0.33564948851573057</v>
      </c>
      <c r="L245" s="116">
        <f t="shared" si="136"/>
        <v>0.40585284280936446</v>
      </c>
      <c r="M245" s="116">
        <f t="shared" si="136"/>
        <v>0.42758279782501235</v>
      </c>
      <c r="N245" s="116">
        <f t="shared" si="136"/>
        <v>0.39852161336975733</v>
      </c>
      <c r="O245" s="116">
        <f t="shared" si="136"/>
        <v>0.39088598402323899</v>
      </c>
      <c r="P245" s="116">
        <f t="shared" si="136"/>
        <v>0.43886903837191232</v>
      </c>
      <c r="Q245" s="116">
        <f t="shared" si="136"/>
        <v>0.42272085360112971</v>
      </c>
      <c r="R245" s="116">
        <f t="shared" ref="R245:Z245" si="137">R244/R224</f>
        <v>0.42539361548461646</v>
      </c>
      <c r="S245" s="116">
        <f t="shared" si="137"/>
        <v>0.40267144486072648</v>
      </c>
      <c r="T245" s="116">
        <f t="shared" si="137"/>
        <v>0.44667223614592033</v>
      </c>
      <c r="U245" s="116">
        <f t="shared" si="137"/>
        <v>0.36891871282598754</v>
      </c>
      <c r="V245" s="116">
        <f t="shared" si="137"/>
        <v>0.42763157894736836</v>
      </c>
      <c r="W245" s="116">
        <f t="shared" si="137"/>
        <v>0.43139478373562284</v>
      </c>
      <c r="X245" s="116">
        <f t="shared" si="137"/>
        <v>0.48053999712767492</v>
      </c>
      <c r="Y245" s="116">
        <f t="shared" si="137"/>
        <v>0.42271959459459463</v>
      </c>
      <c r="Z245" s="116">
        <f t="shared" si="137"/>
        <v>0.4520180637877505</v>
      </c>
      <c r="AA245" s="116"/>
      <c r="AB245" s="116"/>
      <c r="AC245" s="116"/>
      <c r="AD245" s="116"/>
      <c r="AE245" s="116"/>
      <c r="AF245" s="116"/>
      <c r="AG245" s="116"/>
      <c r="AI245" s="66"/>
      <c r="AJ245" s="66"/>
      <c r="AK245" s="66"/>
      <c r="AL245" s="66"/>
      <c r="AM245" s="66"/>
      <c r="AN245" s="66"/>
      <c r="AO245" s="66"/>
      <c r="AP245" s="66"/>
      <c r="AQ245" s="66"/>
      <c r="AR245" s="66"/>
      <c r="AS245" s="116"/>
      <c r="AT245" s="116"/>
      <c r="AU245" s="116"/>
      <c r="AV245" s="116"/>
      <c r="AW245" s="116"/>
      <c r="AX245" s="116"/>
      <c r="AY245" s="116"/>
      <c r="AZ245" s="116"/>
      <c r="BA245" s="116"/>
      <c r="BB245" s="116"/>
      <c r="BC245" s="116"/>
      <c r="BD245" s="69"/>
      <c r="BQ245" s="117">
        <v>-4.9000000000000002E-2</v>
      </c>
      <c r="BR245" s="117">
        <v>2.3E-2</v>
      </c>
      <c r="BS245" s="117">
        <v>0.10199999999999999</v>
      </c>
      <c r="BT245" s="117">
        <v>-0.11600000000000001</v>
      </c>
      <c r="BU245" s="117">
        <v>-0.107</v>
      </c>
      <c r="BV245" s="116">
        <f>AJ235/AF235-1</f>
        <v>-7.2425051944197016E-2</v>
      </c>
      <c r="BW245" s="69">
        <f>AK235/AG235-1</f>
        <v>-0.24289332958063614</v>
      </c>
      <c r="BX245" s="69">
        <f>AL235/AH235-1</f>
        <v>-0.28835227272727271</v>
      </c>
      <c r="BY245" s="69">
        <f>AM235/AI235-1</f>
        <v>-0.1890126776796005</v>
      </c>
      <c r="BZ245" s="69">
        <f>BZ244</f>
        <v>4.1391304347826008E-2</v>
      </c>
      <c r="CA245" s="69">
        <f>CA244</f>
        <v>1.8196522442377683E-2</v>
      </c>
      <c r="CB245" s="69">
        <f>CB244</f>
        <v>-9.3019650655022268E-2</v>
      </c>
      <c r="CD245" t="s">
        <v>7924</v>
      </c>
    </row>
    <row r="246" spans="2:82" ht="15.75">
      <c r="B246" s="66"/>
      <c r="C246" s="66"/>
      <c r="D246" s="66"/>
      <c r="E246" s="66"/>
      <c r="F246" s="66"/>
      <c r="G246" s="66"/>
      <c r="H246" s="66"/>
      <c r="I246" s="66"/>
      <c r="J246" s="66"/>
      <c r="K246" s="66"/>
      <c r="L246" s="66"/>
      <c r="M246" s="66"/>
      <c r="N246" s="66"/>
      <c r="O246" s="66"/>
      <c r="P246" s="66"/>
      <c r="R246" s="66"/>
      <c r="AI246" s="66"/>
      <c r="AJ246" s="66"/>
      <c r="AK246" s="66"/>
      <c r="AL246" s="66"/>
      <c r="AM246" s="66"/>
      <c r="AN246" s="66"/>
      <c r="AO246" s="66"/>
      <c r="AP246" s="66"/>
      <c r="AQ246" s="66"/>
      <c r="AR246" s="66"/>
      <c r="AS246" s="116"/>
      <c r="AT246" s="116"/>
      <c r="AU246" s="116"/>
      <c r="AV246" s="116"/>
      <c r="AW246" s="116"/>
      <c r="AX246" s="116"/>
      <c r="AY246" s="116"/>
      <c r="AZ246" s="116"/>
      <c r="BA246" s="116"/>
      <c r="BB246" s="116"/>
      <c r="BC246" s="116"/>
      <c r="BD246" s="116"/>
    </row>
    <row r="247" spans="2:82" ht="15.75">
      <c r="B247" s="66" t="s">
        <v>7918</v>
      </c>
      <c r="C247" s="66"/>
      <c r="D247" s="66"/>
      <c r="E247" s="66"/>
      <c r="F247" s="66"/>
      <c r="G247" s="66"/>
      <c r="H247" s="66"/>
      <c r="I247" s="66"/>
      <c r="J247" s="66"/>
      <c r="K247" s="66"/>
      <c r="L247" s="66"/>
      <c r="M247" s="66"/>
      <c r="N247" s="66"/>
      <c r="O247" s="66"/>
      <c r="P247" s="66"/>
      <c r="R247" s="66"/>
      <c r="AA247" s="48">
        <v>9.6999999999999993</v>
      </c>
      <c r="AB247" s="48">
        <v>8.4</v>
      </c>
      <c r="AC247" s="48">
        <f>AC244-AC248</f>
        <v>7.8999999999999773</v>
      </c>
      <c r="AI247" s="66"/>
      <c r="AJ247" s="66"/>
      <c r="AK247" s="66"/>
      <c r="AL247" s="66"/>
      <c r="AM247" s="66"/>
      <c r="AN247" s="66"/>
      <c r="AO247" s="66"/>
      <c r="AP247" s="66"/>
      <c r="AQ247" s="66"/>
      <c r="AR247" s="66"/>
      <c r="AS247" s="116"/>
      <c r="AT247" s="116"/>
      <c r="AU247" s="116"/>
      <c r="AV247" s="116"/>
      <c r="AW247" s="116"/>
      <c r="AX247" s="116"/>
      <c r="AY247" s="116"/>
      <c r="AZ247" s="116"/>
      <c r="BA247" s="116"/>
      <c r="BB247" s="116"/>
      <c r="BC247" s="116"/>
      <c r="BD247" s="116"/>
    </row>
    <row r="248" spans="2:82" ht="15.75">
      <c r="B248" s="66" t="s">
        <v>7925</v>
      </c>
      <c r="C248" s="66"/>
      <c r="D248" s="66"/>
      <c r="E248" s="66"/>
      <c r="F248" s="66"/>
      <c r="G248" s="66"/>
      <c r="H248" s="66"/>
      <c r="I248" s="66"/>
      <c r="J248" s="66"/>
      <c r="K248" s="66"/>
      <c r="L248" s="66"/>
      <c r="M248" s="66"/>
      <c r="N248" s="66"/>
      <c r="O248" s="66"/>
      <c r="P248" s="66"/>
      <c r="R248" s="66"/>
      <c r="W248" s="524">
        <v>248.5</v>
      </c>
      <c r="X248" s="524">
        <v>313.60000000000002</v>
      </c>
      <c r="Y248" s="48">
        <v>330</v>
      </c>
      <c r="Z248" s="48">
        <v>313</v>
      </c>
      <c r="AA248" s="524">
        <f>AA244-AA247</f>
        <v>279.8</v>
      </c>
      <c r="AB248" s="524">
        <f>AB244-AB247</f>
        <v>325</v>
      </c>
      <c r="AC248" s="524">
        <v>276.60000000000002</v>
      </c>
      <c r="AI248" s="66"/>
      <c r="AJ248" s="66"/>
      <c r="AK248" s="66"/>
      <c r="AL248" s="66"/>
      <c r="AM248" s="66"/>
      <c r="AN248" s="66"/>
      <c r="AO248" s="66"/>
      <c r="AP248" s="66"/>
      <c r="AQ248" s="66"/>
      <c r="AR248" s="66"/>
      <c r="AS248" s="116"/>
      <c r="AT248" s="116"/>
      <c r="AU248" s="116"/>
      <c r="AV248" s="116"/>
      <c r="AW248" s="116"/>
      <c r="AX248" s="116"/>
      <c r="AY248" s="116"/>
      <c r="AZ248" s="116"/>
      <c r="BA248" s="116"/>
      <c r="BB248" s="116"/>
      <c r="BC248" s="116"/>
      <c r="BD248" s="116"/>
    </row>
    <row r="249" spans="2:82" ht="15.75">
      <c r="B249" s="66"/>
      <c r="C249" s="66"/>
      <c r="D249" s="66"/>
      <c r="E249" s="66"/>
      <c r="F249" s="66"/>
      <c r="G249" s="66"/>
      <c r="H249" s="66"/>
      <c r="I249" s="66"/>
      <c r="J249" s="66"/>
      <c r="K249" s="66"/>
      <c r="L249" s="66"/>
      <c r="M249" s="66"/>
      <c r="N249" s="66"/>
      <c r="O249" s="66"/>
      <c r="P249" s="66"/>
      <c r="R249" s="66"/>
      <c r="AI249" s="66"/>
      <c r="AJ249" s="66"/>
      <c r="AK249" s="66"/>
      <c r="AL249" s="66"/>
      <c r="AM249" s="66"/>
      <c r="AN249" s="66"/>
      <c r="AO249" s="66"/>
      <c r="AP249" s="66"/>
      <c r="AQ249" s="66"/>
      <c r="AR249" s="66"/>
      <c r="AS249" s="116"/>
      <c r="AT249" s="116"/>
      <c r="AU249" s="116"/>
      <c r="AV249" s="116"/>
      <c r="AW249" s="116"/>
      <c r="AX249" s="116"/>
      <c r="AY249" s="116"/>
      <c r="AZ249" s="116"/>
      <c r="BA249" s="116"/>
      <c r="BB249" s="116"/>
      <c r="BC249" s="116"/>
      <c r="BD249" s="116"/>
    </row>
    <row r="250" spans="2:82" ht="15.75">
      <c r="B250" s="66" t="s">
        <v>318</v>
      </c>
      <c r="C250" s="66"/>
      <c r="D250" s="66"/>
      <c r="E250" s="66"/>
      <c r="F250" s="66"/>
      <c r="G250" s="66"/>
      <c r="H250" s="66"/>
      <c r="I250" s="66"/>
      <c r="J250" s="66"/>
      <c r="K250" s="66"/>
      <c r="L250" s="66"/>
      <c r="O250" s="116"/>
      <c r="P250" s="116"/>
      <c r="Q250" s="66"/>
      <c r="R250" s="66"/>
      <c r="S250" s="66"/>
      <c r="T250" s="66"/>
      <c r="U250" s="66"/>
      <c r="V250" s="66"/>
      <c r="W250" s="66"/>
      <c r="X250" s="66"/>
      <c r="Y250" s="66"/>
      <c r="Z250" s="66"/>
      <c r="AA250" s="66"/>
      <c r="AB250" s="66"/>
      <c r="AC250" s="66"/>
      <c r="AD250" s="66"/>
      <c r="AE250" s="66"/>
      <c r="AF250" s="66"/>
      <c r="AG250" s="66"/>
      <c r="AH250" s="66"/>
      <c r="AI250" s="66"/>
      <c r="AJ250" s="66"/>
      <c r="AK250" s="66"/>
      <c r="AL250" s="66"/>
      <c r="AM250" s="66"/>
      <c r="AN250" s="66"/>
      <c r="AO250" s="66"/>
      <c r="AP250" s="66"/>
      <c r="AQ250" s="66"/>
      <c r="AR250" s="66"/>
      <c r="AS250" s="66"/>
    </row>
    <row r="251" spans="2:82" ht="15.75">
      <c r="B251" s="66"/>
      <c r="C251" s="66"/>
      <c r="D251" s="66"/>
      <c r="E251" s="66"/>
      <c r="F251" s="66"/>
      <c r="G251" s="66"/>
      <c r="H251" s="66"/>
      <c r="I251" s="66"/>
      <c r="J251" s="66"/>
      <c r="K251" s="66"/>
      <c r="L251" s="66"/>
      <c r="O251" s="116"/>
      <c r="P251" s="116"/>
      <c r="Q251" s="66"/>
      <c r="R251" s="66"/>
      <c r="S251" s="66"/>
      <c r="T251" s="66"/>
      <c r="U251" s="66"/>
      <c r="V251" s="66"/>
      <c r="W251" s="66"/>
      <c r="X251" s="66"/>
      <c r="Y251" s="66"/>
      <c r="Z251" s="66"/>
      <c r="AA251" s="66"/>
      <c r="AB251" s="66"/>
      <c r="AC251" s="66"/>
      <c r="AD251" s="66"/>
      <c r="AE251" s="66"/>
      <c r="AF251" s="66"/>
      <c r="AG251" s="66"/>
      <c r="AH251" s="66"/>
      <c r="AI251" s="66"/>
      <c r="AJ251" s="66"/>
      <c r="AK251" s="66"/>
      <c r="AL251" s="66"/>
      <c r="AM251" s="66"/>
      <c r="AN251" s="66"/>
      <c r="AO251" s="66"/>
      <c r="AP251" s="66"/>
      <c r="AQ251" s="66"/>
      <c r="AR251" s="66"/>
      <c r="AS251" s="66"/>
    </row>
    <row r="252" spans="2:82" ht="15.75">
      <c r="B252" s="66"/>
      <c r="C252" s="66"/>
      <c r="D252" s="66"/>
      <c r="E252" s="66"/>
      <c r="F252" s="66"/>
      <c r="G252" s="66"/>
      <c r="H252" s="66"/>
      <c r="I252" s="66"/>
      <c r="J252" s="66"/>
      <c r="K252" s="66"/>
      <c r="L252" s="66"/>
      <c r="O252" s="116"/>
      <c r="P252" s="116"/>
      <c r="Q252" s="66"/>
      <c r="R252" s="66"/>
      <c r="S252" s="66"/>
      <c r="T252" s="66"/>
      <c r="U252" s="66"/>
      <c r="V252" s="66"/>
      <c r="W252" s="66"/>
      <c r="X252" s="66"/>
      <c r="Y252" s="66"/>
      <c r="Z252" s="66"/>
      <c r="AA252" s="66"/>
      <c r="AB252" s="66"/>
      <c r="AC252" s="66"/>
      <c r="AD252" s="66"/>
      <c r="AE252" s="66"/>
      <c r="AF252" s="66"/>
      <c r="AG252" s="66"/>
      <c r="AH252" s="66"/>
      <c r="AI252" s="66"/>
      <c r="AJ252" s="66"/>
      <c r="AK252" s="66"/>
      <c r="AL252" s="66"/>
      <c r="AM252" s="66"/>
      <c r="AN252" s="66"/>
      <c r="AO252" s="66"/>
      <c r="AP252" s="66"/>
      <c r="AQ252" s="66"/>
      <c r="AR252" s="66"/>
      <c r="AS252" s="66"/>
    </row>
    <row r="253" spans="2:82" ht="15.75">
      <c r="B253" s="66" t="s">
        <v>7926</v>
      </c>
      <c r="C253" s="66"/>
      <c r="D253" s="66"/>
      <c r="E253" s="66"/>
      <c r="F253" s="66">
        <v>1394.9</v>
      </c>
      <c r="G253" s="66">
        <v>339.1</v>
      </c>
      <c r="H253" s="66">
        <v>404</v>
      </c>
      <c r="I253" s="66">
        <v>351.6</v>
      </c>
      <c r="J253" s="66">
        <v>342.4</v>
      </c>
      <c r="K253" s="66">
        <v>276</v>
      </c>
      <c r="L253" s="66">
        <v>319.60000000000002</v>
      </c>
      <c r="M253" s="66">
        <v>258.7</v>
      </c>
      <c r="N253" s="66">
        <v>267.7</v>
      </c>
      <c r="O253" s="66">
        <v>423.5</v>
      </c>
      <c r="P253" s="66">
        <v>231.1</v>
      </c>
      <c r="Q253" s="66">
        <v>241.4</v>
      </c>
      <c r="R253" s="66">
        <v>214</v>
      </c>
      <c r="S253" s="66">
        <v>218.3</v>
      </c>
      <c r="T253" s="66">
        <v>221.5</v>
      </c>
      <c r="U253" s="66">
        <v>151.6</v>
      </c>
      <c r="V253" s="66">
        <v>151.4</v>
      </c>
      <c r="W253" s="66">
        <v>249.4</v>
      </c>
      <c r="X253" s="66">
        <v>240.9</v>
      </c>
      <c r="Y253" s="66">
        <v>170.6</v>
      </c>
      <c r="Z253" s="66">
        <v>150.19999999999999</v>
      </c>
      <c r="AA253" s="66">
        <v>152.30000000000001</v>
      </c>
      <c r="AB253" s="66">
        <v>287.5</v>
      </c>
      <c r="AC253" s="66">
        <v>354.4</v>
      </c>
      <c r="AD253" s="66">
        <v>574</v>
      </c>
      <c r="AE253" s="66">
        <v>516.4</v>
      </c>
      <c r="AF253" s="66">
        <v>393.7</v>
      </c>
      <c r="AG253" s="66">
        <v>37.9</v>
      </c>
      <c r="AH253" s="66">
        <v>37</v>
      </c>
      <c r="AI253" s="66">
        <v>36.299999999999997</v>
      </c>
      <c r="AJ253" s="66">
        <v>35.4</v>
      </c>
      <c r="AK253" s="66">
        <v>34.6</v>
      </c>
      <c r="AL253" s="66">
        <v>117.7</v>
      </c>
      <c r="AM253" s="66">
        <v>6.6</v>
      </c>
      <c r="AN253" s="66">
        <v>6.4</v>
      </c>
      <c r="AO253" s="66">
        <v>6.4</v>
      </c>
      <c r="AP253" s="66"/>
      <c r="AQ253" s="66"/>
      <c r="AR253" s="66"/>
      <c r="AS253" s="66"/>
    </row>
    <row r="254" spans="2:82" ht="15.75">
      <c r="B254" s="66" t="s">
        <v>7927</v>
      </c>
      <c r="C254" s="66"/>
      <c r="D254" s="66"/>
      <c r="E254" s="66"/>
      <c r="F254" s="66">
        <v>8833.9</v>
      </c>
      <c r="G254" s="66">
        <v>8821.9</v>
      </c>
      <c r="H254" s="66">
        <v>8903.2000000000007</v>
      </c>
      <c r="I254" s="66">
        <v>8901.4</v>
      </c>
      <c r="J254" s="66">
        <v>8908.9</v>
      </c>
      <c r="K254" s="66">
        <v>8912.1</v>
      </c>
      <c r="L254" s="66">
        <v>8911.4</v>
      </c>
      <c r="M254" s="66">
        <v>8929.2000000000007</v>
      </c>
      <c r="N254" s="66">
        <v>8928.2000000000007</v>
      </c>
      <c r="O254" s="66">
        <v>8963.5</v>
      </c>
      <c r="P254" s="66">
        <v>9356.7000000000007</v>
      </c>
      <c r="Q254" s="66">
        <v>9351.2999999999993</v>
      </c>
      <c r="R254" s="66">
        <v>9338.5</v>
      </c>
      <c r="S254" s="66">
        <v>9207.7000000000007</v>
      </c>
      <c r="T254" s="66">
        <v>9195.2000000000007</v>
      </c>
      <c r="U254" s="66">
        <v>9182.5</v>
      </c>
      <c r="V254" s="66">
        <v>9170</v>
      </c>
      <c r="W254" s="66">
        <v>9225</v>
      </c>
      <c r="X254" s="66">
        <v>9290.6</v>
      </c>
      <c r="Y254" s="66">
        <v>9276.7999999999993</v>
      </c>
      <c r="Z254" s="66">
        <v>9263</v>
      </c>
      <c r="AA254" s="66">
        <v>9193.4</v>
      </c>
      <c r="AB254" s="66">
        <f>8765.4</f>
        <v>8765.4</v>
      </c>
      <c r="AC254" s="66">
        <f>8759.5</f>
        <v>8759.5</v>
      </c>
      <c r="AD254" s="66">
        <v>8346.5</v>
      </c>
      <c r="AE254" s="66">
        <v>8332.5</v>
      </c>
      <c r="AF254" s="66">
        <v>8321.1</v>
      </c>
      <c r="AG254" s="66">
        <v>8327</v>
      </c>
      <c r="AH254" s="66">
        <v>7999.9</v>
      </c>
      <c r="AI254" s="66">
        <v>7926.9</v>
      </c>
      <c r="AJ254" s="66">
        <v>7767.2</v>
      </c>
      <c r="AK254" s="66">
        <v>7686.5</v>
      </c>
      <c r="AL254" s="66">
        <v>7440.9</v>
      </c>
      <c r="AM254" s="66">
        <v>7501</v>
      </c>
      <c r="AN254" s="66">
        <v>7430.8</v>
      </c>
      <c r="AO254" s="66">
        <v>7430.4</v>
      </c>
      <c r="AP254" s="66"/>
      <c r="AQ254" s="66"/>
      <c r="AR254" s="66"/>
      <c r="AS254" s="66"/>
    </row>
    <row r="255" spans="2:82" ht="15.75">
      <c r="B255" s="66" t="s">
        <v>7928</v>
      </c>
      <c r="C255" s="66"/>
      <c r="D255" s="66"/>
      <c r="E255" s="66"/>
      <c r="F255" s="66"/>
      <c r="G255" s="66"/>
      <c r="H255" s="66"/>
      <c r="I255" s="66"/>
      <c r="J255" s="66"/>
      <c r="K255" s="66"/>
      <c r="L255" s="66"/>
      <c r="O255" s="66"/>
      <c r="P255" s="66"/>
      <c r="Q255" s="66"/>
      <c r="R255" s="66"/>
      <c r="S255" s="66"/>
      <c r="T255" s="66"/>
      <c r="U255" s="66"/>
      <c r="V255" s="66"/>
      <c r="W255" s="66"/>
      <c r="X255" s="66"/>
      <c r="Y255" s="66"/>
      <c r="Z255" s="66"/>
      <c r="AA255" s="66"/>
      <c r="AB255" s="66"/>
      <c r="AC255" s="66"/>
      <c r="AD255" s="66"/>
      <c r="AE255" s="66"/>
      <c r="AF255" s="66"/>
      <c r="AG255" s="66"/>
      <c r="AH255" s="66"/>
      <c r="AI255" s="66"/>
      <c r="AJ255" s="66"/>
      <c r="AK255" s="66"/>
      <c r="AL255" s="66"/>
      <c r="AM255" s="66"/>
      <c r="AN255" s="66"/>
      <c r="AO255" s="66"/>
      <c r="AP255" s="66"/>
      <c r="AQ255" s="66"/>
      <c r="AR255" s="66"/>
      <c r="AS255" s="66"/>
    </row>
    <row r="256" spans="2:82" ht="15.75">
      <c r="B256" s="66" t="s">
        <v>549</v>
      </c>
      <c r="C256" s="66"/>
      <c r="D256" s="66"/>
      <c r="E256" s="66"/>
      <c r="F256" s="66">
        <v>1293.8</v>
      </c>
      <c r="G256" s="66">
        <v>74.3</v>
      </c>
      <c r="H256" s="66">
        <v>58.9</v>
      </c>
      <c r="I256" s="66">
        <v>73.7</v>
      </c>
      <c r="J256" s="66">
        <v>58.1</v>
      </c>
      <c r="K256" s="66">
        <v>57.3</v>
      </c>
      <c r="L256" s="66">
        <v>69.8</v>
      </c>
      <c r="M256" s="66">
        <v>73.400000000000006</v>
      </c>
      <c r="N256" s="66">
        <v>35.5</v>
      </c>
      <c r="O256" s="66">
        <v>46.4</v>
      </c>
      <c r="P256" s="66">
        <v>111.9</v>
      </c>
      <c r="Q256" s="66">
        <v>103.4</v>
      </c>
      <c r="R256" s="66">
        <v>43.3</v>
      </c>
      <c r="S256" s="66">
        <v>78.3</v>
      </c>
      <c r="T256" s="66">
        <v>68</v>
      </c>
      <c r="U256" s="66">
        <v>196.5</v>
      </c>
      <c r="V256" s="66">
        <v>56.2</v>
      </c>
      <c r="W256" s="66">
        <v>331</v>
      </c>
      <c r="X256" s="66">
        <v>67.7</v>
      </c>
      <c r="Y256" s="66">
        <v>102.8</v>
      </c>
      <c r="Z256" s="66">
        <v>101.3</v>
      </c>
      <c r="AA256" s="66">
        <v>251.4</v>
      </c>
      <c r="AB256" s="66">
        <v>33.1</v>
      </c>
      <c r="AC256" s="66">
        <v>73.599999999999994</v>
      </c>
      <c r="AD256" s="66">
        <v>66.5</v>
      </c>
      <c r="AE256" s="66">
        <v>41</v>
      </c>
      <c r="AF256" s="66">
        <v>75.099999999999994</v>
      </c>
      <c r="AG256" s="66">
        <v>232</v>
      </c>
      <c r="AH256" s="66">
        <v>59.6</v>
      </c>
      <c r="AI256" s="66">
        <v>62.1</v>
      </c>
      <c r="AJ256" s="66">
        <v>81.400000000000006</v>
      </c>
      <c r="AK256" s="66">
        <v>80.3</v>
      </c>
      <c r="AL256" s="66">
        <v>128.30000000000001</v>
      </c>
      <c r="AM256" s="66">
        <v>61.2</v>
      </c>
      <c r="AN256" s="66">
        <v>75.400000000000006</v>
      </c>
      <c r="AO256" s="66">
        <v>167.5</v>
      </c>
      <c r="AP256" s="66"/>
      <c r="AQ256" s="66"/>
      <c r="AR256" s="66"/>
      <c r="AS256" s="66"/>
    </row>
    <row r="257" spans="2:45" ht="15.75">
      <c r="B257" s="66" t="s">
        <v>271</v>
      </c>
      <c r="C257" s="66"/>
      <c r="D257" s="66"/>
      <c r="E257" s="66"/>
      <c r="F257" s="66">
        <f t="shared" ref="F257:X257" si="138">F253+F254-F256</f>
        <v>8935</v>
      </c>
      <c r="G257" s="66">
        <f t="shared" si="138"/>
        <v>9086.7000000000007</v>
      </c>
      <c r="H257" s="66">
        <f t="shared" si="138"/>
        <v>9248.3000000000011</v>
      </c>
      <c r="I257" s="66">
        <f t="shared" si="138"/>
        <v>9179.2999999999993</v>
      </c>
      <c r="J257" s="66">
        <f>J253+J254-J256</f>
        <v>9193.1999999999989</v>
      </c>
      <c r="K257" s="66">
        <f t="shared" si="138"/>
        <v>9130.8000000000011</v>
      </c>
      <c r="L257" s="66">
        <f t="shared" si="138"/>
        <v>9161.2000000000007</v>
      </c>
      <c r="M257" s="66">
        <f t="shared" si="138"/>
        <v>9114.5000000000018</v>
      </c>
      <c r="N257" s="66">
        <f t="shared" si="138"/>
        <v>9160.4000000000015</v>
      </c>
      <c r="O257" s="66">
        <f t="shared" si="138"/>
        <v>9340.6</v>
      </c>
      <c r="P257" s="66">
        <f t="shared" si="138"/>
        <v>9475.9000000000015</v>
      </c>
      <c r="Q257" s="66">
        <f t="shared" si="138"/>
        <v>9489.2999999999993</v>
      </c>
      <c r="R257" s="66">
        <f>R253+R254-R256</f>
        <v>9509.2000000000007</v>
      </c>
      <c r="S257" s="66">
        <f t="shared" si="138"/>
        <v>9347.7000000000007</v>
      </c>
      <c r="T257" s="66">
        <f t="shared" si="138"/>
        <v>9348.7000000000007</v>
      </c>
      <c r="U257" s="66">
        <f t="shared" si="138"/>
        <v>9137.6</v>
      </c>
      <c r="V257" s="66">
        <f t="shared" si="138"/>
        <v>9265.1999999999989</v>
      </c>
      <c r="W257" s="66">
        <f t="shared" si="138"/>
        <v>9143.4</v>
      </c>
      <c r="X257" s="66">
        <f t="shared" si="138"/>
        <v>9463.7999999999993</v>
      </c>
      <c r="Y257" s="66">
        <v>9276.7999999999993</v>
      </c>
      <c r="Z257" s="66">
        <f t="shared" ref="Z257:AO257" si="139">Z253+Z254-Z256</f>
        <v>9311.9000000000015</v>
      </c>
      <c r="AA257" s="66">
        <f t="shared" si="139"/>
        <v>9094.2999999999993</v>
      </c>
      <c r="AB257" s="66">
        <f t="shared" si="139"/>
        <v>9019.7999999999993</v>
      </c>
      <c r="AC257" s="66">
        <f t="shared" si="139"/>
        <v>9040.2999999999993</v>
      </c>
      <c r="AD257" s="66">
        <f t="shared" si="139"/>
        <v>8854</v>
      </c>
      <c r="AE257" s="66">
        <f t="shared" si="139"/>
        <v>8807.9</v>
      </c>
      <c r="AF257" s="66">
        <f t="shared" si="139"/>
        <v>8639.7000000000007</v>
      </c>
      <c r="AG257" s="66">
        <f t="shared" si="139"/>
        <v>8132.9</v>
      </c>
      <c r="AH257" s="66">
        <f t="shared" si="139"/>
        <v>7977.2999999999993</v>
      </c>
      <c r="AI257" s="66">
        <f t="shared" si="139"/>
        <v>7901.0999999999995</v>
      </c>
      <c r="AJ257" s="66">
        <f t="shared" si="139"/>
        <v>7721.2</v>
      </c>
      <c r="AK257" s="66">
        <f t="shared" si="139"/>
        <v>7640.8</v>
      </c>
      <c r="AL257" s="66">
        <f t="shared" si="139"/>
        <v>7430.2999999999993</v>
      </c>
      <c r="AM257" s="66">
        <f t="shared" si="139"/>
        <v>7446.4000000000005</v>
      </c>
      <c r="AN257" s="66">
        <f t="shared" si="139"/>
        <v>7361.8</v>
      </c>
      <c r="AO257" s="66">
        <f t="shared" si="139"/>
        <v>7269.2999999999993</v>
      </c>
      <c r="AP257" s="66"/>
      <c r="AQ257" s="66"/>
      <c r="AR257" s="66"/>
      <c r="AS257" s="66"/>
    </row>
    <row r="258" spans="2:45" ht="15.75">
      <c r="B258" s="66" t="s">
        <v>7929</v>
      </c>
      <c r="C258" s="66"/>
      <c r="D258" s="66"/>
      <c r="E258" s="66"/>
      <c r="F258" s="112">
        <f>SUM(C235:F235)</f>
        <v>943.4</v>
      </c>
      <c r="G258" s="112">
        <f t="shared" ref="G258:AM258" si="140">SUM(D235:G235)</f>
        <v>932.09999999999991</v>
      </c>
      <c r="H258" s="112">
        <f t="shared" si="140"/>
        <v>913.09999999999991</v>
      </c>
      <c r="I258" s="112">
        <f t="shared" si="140"/>
        <v>917.59999999999991</v>
      </c>
      <c r="J258" s="112">
        <f t="shared" si="140"/>
        <v>933.90000000000009</v>
      </c>
      <c r="K258" s="112">
        <f t="shared" si="140"/>
        <v>948.59999999999991</v>
      </c>
      <c r="L258" s="112">
        <f t="shared" si="140"/>
        <v>949.3</v>
      </c>
      <c r="M258" s="112">
        <f t="shared" si="140"/>
        <v>989.59999999999991</v>
      </c>
      <c r="N258" s="112">
        <f t="shared" si="140"/>
        <v>1003.2</v>
      </c>
      <c r="O258" s="112">
        <f t="shared" si="140"/>
        <v>1043.7</v>
      </c>
      <c r="P258" s="112">
        <f t="shared" si="140"/>
        <v>1088.3</v>
      </c>
      <c r="Q258" s="112">
        <f t="shared" si="140"/>
        <v>1113.5999999999999</v>
      </c>
      <c r="R258" s="112">
        <f t="shared" si="140"/>
        <v>1120.3999999999999</v>
      </c>
      <c r="S258" s="112">
        <f t="shared" si="140"/>
        <v>1147.5999999999999</v>
      </c>
      <c r="T258" s="112">
        <f t="shared" si="140"/>
        <v>1187.4000000000001</v>
      </c>
      <c r="U258" s="112">
        <f t="shared" si="140"/>
        <v>1200.7</v>
      </c>
      <c r="V258" s="112">
        <f t="shared" si="140"/>
        <v>1240.8</v>
      </c>
      <c r="W258" s="112">
        <f t="shared" si="140"/>
        <v>1263.6000000000001</v>
      </c>
      <c r="X258" s="112">
        <f t="shared" si="140"/>
        <v>1260.0999999999999</v>
      </c>
      <c r="Y258" s="112">
        <f t="shared" si="140"/>
        <v>1336.4</v>
      </c>
      <c r="Z258" s="112">
        <f t="shared" si="140"/>
        <v>1347.8</v>
      </c>
      <c r="AA258" s="112">
        <f t="shared" si="140"/>
        <v>1382.3</v>
      </c>
      <c r="AB258" s="112">
        <f t="shared" si="140"/>
        <v>1385.4</v>
      </c>
      <c r="AC258" s="112">
        <f t="shared" si="140"/>
        <v>1321.1</v>
      </c>
      <c r="AD258" s="112">
        <f t="shared" si="140"/>
        <v>1370.7</v>
      </c>
      <c r="AE258" s="112">
        <f t="shared" si="140"/>
        <v>1357.1</v>
      </c>
      <c r="AF258" s="112">
        <f t="shared" si="140"/>
        <v>1356.3</v>
      </c>
      <c r="AG258" s="112">
        <f t="shared" si="140"/>
        <v>1384.4999999999998</v>
      </c>
      <c r="AH258" s="112">
        <f t="shared" si="140"/>
        <v>1339.3</v>
      </c>
      <c r="AI258" s="112">
        <f t="shared" si="140"/>
        <v>1304.5</v>
      </c>
      <c r="AJ258" s="112">
        <f t="shared" si="140"/>
        <v>1280.0999999999999</v>
      </c>
      <c r="AK258" s="112">
        <f t="shared" si="140"/>
        <v>1193.8</v>
      </c>
      <c r="AL258" s="112">
        <f t="shared" si="140"/>
        <v>1092.3</v>
      </c>
      <c r="AM258" s="112">
        <f t="shared" si="140"/>
        <v>1043.0999999999999</v>
      </c>
      <c r="AN258" s="112">
        <f>SUM(AK235:AN235)</f>
        <v>1045.8</v>
      </c>
      <c r="AO258" s="112">
        <f>SUM(AL235:AO235)</f>
        <v>1038.3</v>
      </c>
      <c r="AP258" s="66"/>
      <c r="AQ258" s="66"/>
      <c r="AR258" s="66"/>
      <c r="AS258" s="66"/>
    </row>
    <row r="259" spans="2:45" ht="15.75">
      <c r="B259" s="66" t="s">
        <v>7930</v>
      </c>
      <c r="C259" s="112"/>
      <c r="D259" s="112"/>
      <c r="E259" s="112"/>
      <c r="F259" s="112">
        <f>F257/SUM(C235:F235)</f>
        <v>9.471062115751538</v>
      </c>
      <c r="G259" s="112">
        <f>G257/SUM(D235:G235)</f>
        <v>9.7486321210170601</v>
      </c>
      <c r="H259" s="112">
        <f>H257/SUM(E235:H235)</f>
        <v>10.128463476070531</v>
      </c>
      <c r="I259" s="112">
        <f>I257/SUM(F235:I235)</f>
        <v>10.003596338273757</v>
      </c>
      <c r="J259" s="112">
        <f t="shared" ref="J259:S259" si="141">J257/SUM(G235:J235)</f>
        <v>9.8438805011243158</v>
      </c>
      <c r="K259" s="112">
        <f t="shared" si="141"/>
        <v>9.625553447185327</v>
      </c>
      <c r="L259" s="112">
        <f t="shared" si="141"/>
        <v>9.6504793005372385</v>
      </c>
      <c r="M259" s="112">
        <f t="shared" si="141"/>
        <v>9.2102869846402609</v>
      </c>
      <c r="N259" s="112">
        <f t="shared" si="141"/>
        <v>9.1311802232854866</v>
      </c>
      <c r="O259" s="112">
        <f t="shared" si="141"/>
        <v>8.9495065631886561</v>
      </c>
      <c r="P259" s="112">
        <f t="shared" si="141"/>
        <v>8.7070660663420032</v>
      </c>
      <c r="Q259" s="112">
        <f t="shared" si="141"/>
        <v>8.5212823275862064</v>
      </c>
      <c r="R259" s="112">
        <f t="shared" si="141"/>
        <v>8.4873259550160682</v>
      </c>
      <c r="S259" s="112">
        <f t="shared" si="141"/>
        <v>8.1454339491111902</v>
      </c>
      <c r="T259" s="112">
        <f t="shared" ref="T259:AH259" si="142">T257/SUM(Q235:T235)</f>
        <v>7.8732524844197407</v>
      </c>
      <c r="U259" s="112">
        <f t="shared" si="142"/>
        <v>7.6102273673690348</v>
      </c>
      <c r="V259" s="112">
        <f t="shared" si="142"/>
        <v>7.467117988394584</v>
      </c>
      <c r="W259" s="112">
        <f t="shared" si="142"/>
        <v>7.2359924026590683</v>
      </c>
      <c r="X259" s="112">
        <f t="shared" si="142"/>
        <v>7.5103563209269106</v>
      </c>
      <c r="Y259" s="112">
        <f t="shared" si="142"/>
        <v>6.9416342412451355</v>
      </c>
      <c r="Z259" s="112">
        <f t="shared" si="142"/>
        <v>6.9089627541178231</v>
      </c>
      <c r="AA259" s="112">
        <f t="shared" si="142"/>
        <v>6.5791072849598491</v>
      </c>
      <c r="AB259" s="112">
        <f t="shared" si="142"/>
        <v>6.5106106539627531</v>
      </c>
      <c r="AC259" s="112">
        <f t="shared" si="142"/>
        <v>6.8430096132011204</v>
      </c>
      <c r="AD259" s="112">
        <f t="shared" si="142"/>
        <v>6.459473261837017</v>
      </c>
      <c r="AE259" s="112">
        <f t="shared" si="142"/>
        <v>6.4902365337852777</v>
      </c>
      <c r="AF259" s="112">
        <f t="shared" si="142"/>
        <v>6.3700508737005093</v>
      </c>
      <c r="AG259" s="112">
        <f t="shared" si="142"/>
        <v>5.8742506319971115</v>
      </c>
      <c r="AH259" s="112">
        <f t="shared" si="142"/>
        <v>5.9563204659150299</v>
      </c>
      <c r="AI259" s="112">
        <f t="shared" ref="AI259:AO259" si="143">AI257/SUM(AF235:AI235)</f>
        <v>6.0568033729398234</v>
      </c>
      <c r="AJ259" s="112">
        <f t="shared" si="143"/>
        <v>6.0317162721662374</v>
      </c>
      <c r="AK259" s="112">
        <f t="shared" si="143"/>
        <v>6.4004020773998995</v>
      </c>
      <c r="AL259" s="112">
        <f t="shared" si="143"/>
        <v>6.8024352284171012</v>
      </c>
      <c r="AM259" s="112">
        <f t="shared" si="143"/>
        <v>7.1387211197392402</v>
      </c>
      <c r="AN259" s="112">
        <f t="shared" si="143"/>
        <v>7.0393956779498952</v>
      </c>
      <c r="AO259" s="112">
        <f t="shared" si="143"/>
        <v>7.0011557353366074</v>
      </c>
      <c r="AP259" s="112"/>
      <c r="AQ259" s="66"/>
      <c r="AR259" s="66"/>
      <c r="AS259" s="66"/>
    </row>
    <row r="260" spans="2:45" ht="15.75">
      <c r="B260" s="66"/>
      <c r="C260" s="66"/>
      <c r="D260" s="66"/>
      <c r="E260" s="66"/>
      <c r="F260" s="66"/>
      <c r="G260" s="66"/>
      <c r="H260" s="66"/>
      <c r="I260" s="66"/>
      <c r="J260" s="66"/>
      <c r="K260" s="66"/>
      <c r="L260" s="66"/>
      <c r="O260" s="66"/>
      <c r="P260" s="66"/>
      <c r="Q260" s="66"/>
      <c r="R260" s="66"/>
      <c r="S260" s="66"/>
      <c r="T260" s="66"/>
      <c r="U260" s="66"/>
      <c r="V260" s="66"/>
      <c r="W260" s="66"/>
      <c r="X260" s="66"/>
      <c r="Y260" s="66"/>
      <c r="Z260" s="66"/>
      <c r="AA260" s="66"/>
      <c r="AB260" s="66"/>
      <c r="AC260" s="66"/>
      <c r="AD260" s="66"/>
      <c r="AE260" s="66">
        <f>AE257-AD257</f>
        <v>-46.100000000000364</v>
      </c>
      <c r="AF260" s="66">
        <f>AF257-AD257</f>
        <v>-214.29999999999927</v>
      </c>
      <c r="AG260" s="66">
        <f>AG257-AD257</f>
        <v>-721.10000000000036</v>
      </c>
      <c r="AH260" s="66"/>
      <c r="AI260" s="66"/>
      <c r="AJ260" s="66"/>
      <c r="AK260" s="66"/>
      <c r="AL260" s="66"/>
      <c r="AM260" s="66"/>
      <c r="AN260" s="66"/>
      <c r="AO260" s="66"/>
      <c r="AP260" s="66"/>
      <c r="AQ260" s="66"/>
      <c r="AR260" s="66"/>
      <c r="AS260" s="66"/>
    </row>
    <row r="261" spans="2:45" ht="15.75">
      <c r="B261" s="66" t="s">
        <v>7931</v>
      </c>
      <c r="C261" s="66"/>
      <c r="D261" s="66"/>
      <c r="E261" s="66"/>
      <c r="F261" s="66"/>
      <c r="G261" s="66"/>
      <c r="H261" s="66"/>
      <c r="I261" s="66"/>
      <c r="J261" s="66"/>
      <c r="K261" s="66"/>
      <c r="L261" s="66"/>
      <c r="O261" s="66"/>
      <c r="P261" s="66"/>
      <c r="Q261" s="66"/>
      <c r="R261" s="66"/>
      <c r="S261" s="66"/>
      <c r="T261" s="66"/>
      <c r="U261" s="66"/>
      <c r="V261" s="66"/>
      <c r="W261" s="66"/>
      <c r="X261" s="66"/>
      <c r="Y261" s="66"/>
      <c r="Z261" s="66"/>
      <c r="AA261" s="66"/>
      <c r="AB261" s="66"/>
      <c r="AC261" s="66"/>
      <c r="AD261" s="66"/>
      <c r="AE261" s="66"/>
      <c r="AF261" s="66"/>
      <c r="AG261" s="66"/>
      <c r="AH261" s="66"/>
      <c r="AI261" s="66"/>
      <c r="AJ261" s="66"/>
      <c r="AK261" s="66"/>
      <c r="AL261" s="66"/>
      <c r="AM261" s="66"/>
      <c r="AN261" s="66"/>
      <c r="AO261" s="66"/>
      <c r="AP261" s="66"/>
      <c r="AQ261" s="66"/>
      <c r="AR261" s="66"/>
      <c r="AS261" s="66"/>
    </row>
    <row r="262" spans="2:45" ht="15.75">
      <c r="B262" s="66"/>
      <c r="C262" s="66"/>
      <c r="D262" s="66"/>
      <c r="E262" s="66"/>
      <c r="F262" s="66"/>
      <c r="G262" s="66"/>
      <c r="H262" s="66"/>
      <c r="I262" s="66"/>
      <c r="J262" s="66"/>
      <c r="K262" s="66"/>
      <c r="L262" s="66"/>
      <c r="O262" s="66"/>
      <c r="P262" s="66"/>
      <c r="Q262" s="66"/>
      <c r="R262" s="66"/>
      <c r="S262" s="66"/>
      <c r="T262" s="66"/>
      <c r="U262" s="66"/>
      <c r="V262" s="66"/>
      <c r="W262" s="66"/>
      <c r="X262" s="66"/>
      <c r="Y262" s="66"/>
      <c r="Z262" s="66"/>
      <c r="AA262" s="66"/>
      <c r="AB262" s="66"/>
      <c r="AC262" s="66"/>
      <c r="AD262" s="66"/>
      <c r="AE262" s="66"/>
      <c r="AF262" s="66"/>
      <c r="AG262" s="66"/>
      <c r="AH262" s="66"/>
      <c r="AI262" s="66"/>
      <c r="AJ262" s="66"/>
      <c r="AK262" s="66"/>
      <c r="AL262" s="66"/>
      <c r="AM262" s="66"/>
      <c r="AN262" s="66"/>
      <c r="AO262" s="66"/>
      <c r="AP262" s="66"/>
      <c r="AQ262" s="66"/>
      <c r="AR262" s="66"/>
      <c r="AS262" s="66"/>
    </row>
    <row r="263" spans="2:45" ht="15.75">
      <c r="B263" s="66"/>
      <c r="C263" s="66"/>
      <c r="D263" s="66"/>
      <c r="E263" s="66"/>
      <c r="F263" s="66"/>
      <c r="G263" s="66"/>
      <c r="H263" s="66"/>
      <c r="I263" s="66"/>
      <c r="J263" s="66"/>
      <c r="K263" s="66"/>
      <c r="L263" s="66"/>
      <c r="O263" s="66"/>
      <c r="P263" s="66"/>
      <c r="Q263" s="66"/>
      <c r="R263" s="66"/>
      <c r="S263" s="66"/>
      <c r="T263" s="66"/>
      <c r="U263" s="66"/>
      <c r="V263" s="66"/>
      <c r="W263" s="66"/>
      <c r="X263" s="66"/>
      <c r="Y263" s="66"/>
      <c r="Z263" s="66"/>
      <c r="AA263" s="66"/>
      <c r="AB263" s="66"/>
      <c r="AC263" s="66"/>
      <c r="AD263" s="66"/>
      <c r="AE263" s="66"/>
      <c r="AF263" s="66"/>
      <c r="AG263" s="66"/>
      <c r="AH263" s="66"/>
      <c r="AI263" s="66"/>
      <c r="AJ263" s="66"/>
      <c r="AK263" s="66"/>
      <c r="AL263" s="66"/>
      <c r="AM263" s="66"/>
      <c r="AN263" s="66"/>
      <c r="AO263" s="66"/>
      <c r="AP263" s="66"/>
      <c r="AQ263" s="66"/>
      <c r="AR263" s="66"/>
      <c r="AS263" s="66"/>
    </row>
    <row r="264" spans="2:45" ht="15.75">
      <c r="B264" s="66"/>
      <c r="C264" s="66"/>
      <c r="D264" s="66"/>
      <c r="E264" s="66"/>
      <c r="F264" s="66"/>
      <c r="G264" s="66"/>
      <c r="H264" s="66"/>
      <c r="I264" s="66"/>
      <c r="J264" s="66"/>
      <c r="K264" s="66"/>
      <c r="L264" s="66"/>
      <c r="O264" s="66"/>
      <c r="P264" s="66"/>
      <c r="Q264" s="66"/>
      <c r="R264" s="66"/>
      <c r="S264" s="66"/>
      <c r="T264" s="66"/>
      <c r="U264" s="66"/>
      <c r="V264" s="66"/>
      <c r="W264" s="66"/>
      <c r="X264" s="66"/>
      <c r="Y264" s="66"/>
      <c r="Z264" s="66"/>
      <c r="AA264" s="66"/>
      <c r="AB264" s="66"/>
      <c r="AC264" s="66"/>
      <c r="AD264" s="66"/>
      <c r="AE264" s="66"/>
      <c r="AF264" s="66"/>
      <c r="AG264" s="66"/>
      <c r="AH264" s="66"/>
      <c r="AI264" s="66"/>
      <c r="AJ264" s="66"/>
      <c r="AK264" s="66"/>
      <c r="AL264" s="66"/>
      <c r="AM264" s="66"/>
      <c r="AN264" s="66"/>
      <c r="AO264" s="66"/>
      <c r="AP264" s="66"/>
      <c r="AQ264" s="66"/>
      <c r="AR264" s="66"/>
      <c r="AS264" s="66"/>
    </row>
    <row r="265" spans="2:45" ht="15.75">
      <c r="B265" s="74" t="s">
        <v>100</v>
      </c>
      <c r="C265" s="66"/>
      <c r="D265" s="66"/>
      <c r="E265" s="66"/>
      <c r="F265" s="66"/>
      <c r="G265" s="388" t="str">
        <f>G214</f>
        <v>Q1 11</v>
      </c>
      <c r="H265" s="388" t="str">
        <f t="shared" ref="H265:W265" si="144">H214</f>
        <v>Q2 11</v>
      </c>
      <c r="I265" s="388" t="str">
        <f t="shared" si="144"/>
        <v>Q3 11</v>
      </c>
      <c r="J265" s="388" t="str">
        <f t="shared" si="144"/>
        <v>Q4 11</v>
      </c>
      <c r="K265" s="388" t="str">
        <f t="shared" si="144"/>
        <v>Q1 12</v>
      </c>
      <c r="L265" s="388" t="str">
        <f t="shared" si="144"/>
        <v>Q2 12</v>
      </c>
      <c r="M265" s="388" t="str">
        <f t="shared" si="144"/>
        <v>Q3 12</v>
      </c>
      <c r="N265" s="388" t="str">
        <f t="shared" si="144"/>
        <v>Q4 12</v>
      </c>
      <c r="O265" s="388" t="str">
        <f t="shared" si="144"/>
        <v>Q1 13</v>
      </c>
      <c r="P265" s="388" t="str">
        <f t="shared" si="144"/>
        <v>Q2 13</v>
      </c>
      <c r="Q265" s="388" t="str">
        <f t="shared" si="144"/>
        <v>Q3 13</v>
      </c>
      <c r="R265" s="388" t="str">
        <f t="shared" si="144"/>
        <v>Q4 13</v>
      </c>
      <c r="S265" s="388" t="str">
        <f t="shared" si="144"/>
        <v>Q1 14</v>
      </c>
      <c r="T265" s="388" t="str">
        <f t="shared" si="144"/>
        <v>Q2 14</v>
      </c>
      <c r="U265" s="388" t="str">
        <f t="shared" si="144"/>
        <v>Q3 14</v>
      </c>
      <c r="V265" s="388" t="str">
        <f t="shared" si="144"/>
        <v>Q4 14</v>
      </c>
      <c r="W265" s="388" t="str">
        <f t="shared" si="144"/>
        <v>Q1 15</v>
      </c>
      <c r="X265" s="66"/>
      <c r="Y265" s="66"/>
      <c r="Z265" s="66"/>
      <c r="AA265" s="66"/>
      <c r="AB265" s="66"/>
      <c r="AC265" s="66"/>
      <c r="AD265" s="66"/>
      <c r="AE265" s="66"/>
      <c r="AF265" s="66"/>
      <c r="AG265" s="66"/>
      <c r="AH265" s="66"/>
      <c r="AI265" s="66"/>
      <c r="AJ265" s="66"/>
      <c r="AK265" s="66"/>
      <c r="AL265" s="66"/>
      <c r="AM265" s="66"/>
      <c r="AN265" s="66"/>
      <c r="AO265" s="66"/>
      <c r="AP265" s="66"/>
      <c r="AQ265" s="66"/>
      <c r="AR265" s="66"/>
      <c r="AS265" s="66"/>
    </row>
    <row r="266" spans="2:45" ht="15.75">
      <c r="B266" s="66" t="s">
        <v>7932</v>
      </c>
      <c r="C266" s="66"/>
      <c r="D266" s="66"/>
      <c r="E266" s="66"/>
      <c r="F266" s="66"/>
      <c r="G266" s="66"/>
      <c r="H266" s="66"/>
      <c r="I266" s="66"/>
      <c r="J266" s="66"/>
      <c r="K266" s="66"/>
      <c r="L266" s="66"/>
      <c r="O266" s="66"/>
      <c r="P266" s="66"/>
      <c r="Q266" s="66"/>
      <c r="R266" s="66"/>
      <c r="S266" s="66"/>
      <c r="T266" s="66"/>
      <c r="U266" s="66"/>
      <c r="V266" s="66"/>
      <c r="W266" s="66"/>
      <c r="X266" s="66"/>
      <c r="Y266" s="66"/>
      <c r="Z266" s="66"/>
      <c r="AA266" s="66"/>
      <c r="AB266" s="66"/>
      <c r="AC266" s="66"/>
      <c r="AD266" s="66"/>
      <c r="AE266" s="66"/>
      <c r="AF266" s="66"/>
      <c r="AG266" s="66"/>
      <c r="AH266" s="66"/>
      <c r="AI266" s="66"/>
      <c r="AJ266" s="66"/>
      <c r="AK266" s="66"/>
      <c r="AL266" s="66"/>
      <c r="AM266" s="66"/>
      <c r="AN266" s="66"/>
      <c r="AO266" s="66"/>
      <c r="AP266" s="66"/>
      <c r="AQ266" s="66"/>
      <c r="AR266" s="66"/>
      <c r="AS266" s="66"/>
    </row>
    <row r="267" spans="2:45" ht="15.75">
      <c r="B267" s="66" t="s">
        <v>7933</v>
      </c>
      <c r="C267" s="66"/>
      <c r="D267" s="66"/>
      <c r="E267" s="66"/>
      <c r="F267" s="66"/>
      <c r="G267" s="66">
        <v>1003</v>
      </c>
      <c r="H267" s="66">
        <v>1053</v>
      </c>
      <c r="I267" s="66">
        <v>1028</v>
      </c>
      <c r="J267" s="66">
        <v>1056</v>
      </c>
      <c r="K267" s="66">
        <v>1045</v>
      </c>
      <c r="L267" s="66">
        <v>1000</v>
      </c>
      <c r="M267" s="66">
        <v>919</v>
      </c>
      <c r="N267" s="66">
        <v>908</v>
      </c>
      <c r="O267" s="66">
        <v>901</v>
      </c>
      <c r="P267" s="66">
        <v>824</v>
      </c>
      <c r="Q267" s="66">
        <v>784</v>
      </c>
      <c r="R267" s="66">
        <v>679</v>
      </c>
      <c r="S267" s="66">
        <v>654</v>
      </c>
      <c r="T267" s="66">
        <v>682</v>
      </c>
      <c r="U267" s="66">
        <v>716</v>
      </c>
      <c r="V267" s="66">
        <v>641</v>
      </c>
      <c r="W267" s="66">
        <v>682</v>
      </c>
      <c r="X267" s="66"/>
      <c r="Y267" s="66"/>
      <c r="Z267" s="66"/>
      <c r="AA267" s="66"/>
      <c r="AB267" s="66"/>
      <c r="AC267" s="66"/>
      <c r="AD267" s="66"/>
      <c r="AE267" s="66"/>
      <c r="AF267" s="66"/>
      <c r="AG267" s="66"/>
      <c r="AH267" s="66"/>
      <c r="AI267" s="66"/>
      <c r="AJ267" s="66"/>
      <c r="AK267" s="66"/>
      <c r="AL267" s="66"/>
      <c r="AM267" s="66"/>
      <c r="AN267" s="66"/>
      <c r="AO267" s="66"/>
      <c r="AP267" s="66"/>
      <c r="AQ267" s="66"/>
      <c r="AR267" s="66"/>
      <c r="AS267" s="66"/>
    </row>
    <row r="268" spans="2:45" ht="15.75">
      <c r="B268" s="66" t="s">
        <v>7934</v>
      </c>
      <c r="C268" s="66"/>
      <c r="D268" s="66"/>
      <c r="E268" s="66"/>
      <c r="F268" s="66"/>
      <c r="G268" s="66"/>
      <c r="H268" s="66">
        <v>3</v>
      </c>
      <c r="I268" s="66">
        <v>1</v>
      </c>
      <c r="J268" s="66">
        <v>5</v>
      </c>
      <c r="K268" s="66">
        <v>5</v>
      </c>
      <c r="L268" s="66">
        <v>3</v>
      </c>
      <c r="M268" s="66">
        <v>3</v>
      </c>
      <c r="N268" s="66">
        <v>5</v>
      </c>
      <c r="O268" s="66">
        <v>5</v>
      </c>
      <c r="P268" s="66">
        <v>4</v>
      </c>
      <c r="Q268" s="66">
        <v>3</v>
      </c>
      <c r="R268" s="66">
        <v>5</v>
      </c>
      <c r="S268" s="66">
        <v>5</v>
      </c>
      <c r="T268" s="66">
        <v>4</v>
      </c>
      <c r="U268" s="66">
        <v>3</v>
      </c>
      <c r="V268" s="66">
        <v>5</v>
      </c>
      <c r="W268" s="66">
        <v>5</v>
      </c>
      <c r="X268" s="66"/>
      <c r="Y268" s="66"/>
      <c r="Z268" s="66"/>
      <c r="AA268" s="66"/>
      <c r="AB268" s="66"/>
      <c r="AC268" s="66"/>
      <c r="AD268" s="66"/>
      <c r="AE268" s="66"/>
      <c r="AF268" s="66"/>
      <c r="AG268" s="66"/>
      <c r="AH268" s="66"/>
      <c r="AI268" s="66"/>
      <c r="AJ268" s="66"/>
      <c r="AK268" s="66"/>
      <c r="AL268" s="66"/>
      <c r="AM268" s="66"/>
      <c r="AN268" s="66"/>
      <c r="AO268" s="66"/>
      <c r="AP268" s="66"/>
      <c r="AQ268" s="66"/>
      <c r="AR268" s="66"/>
      <c r="AS268" s="66"/>
    </row>
    <row r="269" spans="2:45" ht="15.75">
      <c r="B269" s="66" t="s">
        <v>7935</v>
      </c>
      <c r="C269" s="66"/>
      <c r="D269" s="66"/>
      <c r="E269" s="66"/>
      <c r="F269" s="66"/>
      <c r="G269" s="66">
        <v>1814</v>
      </c>
      <c r="H269" s="66">
        <v>1921</v>
      </c>
      <c r="I269" s="66">
        <v>1866</v>
      </c>
      <c r="J269" s="66">
        <v>1900</v>
      </c>
      <c r="K269" s="66">
        <v>1874</v>
      </c>
      <c r="L269" s="66">
        <v>1844</v>
      </c>
      <c r="M269" s="66">
        <v>1760</v>
      </c>
      <c r="N269" s="66">
        <v>1886</v>
      </c>
      <c r="O269" s="66">
        <v>1950</v>
      </c>
      <c r="P269" s="66">
        <v>1764</v>
      </c>
      <c r="Q269" s="66">
        <v>1655</v>
      </c>
      <c r="R269" s="66">
        <v>1485</v>
      </c>
      <c r="S269" s="66">
        <v>1431</v>
      </c>
      <c r="T269" s="66">
        <v>1463</v>
      </c>
      <c r="U269" s="66">
        <v>1533</v>
      </c>
      <c r="V269" s="66">
        <v>1391</v>
      </c>
      <c r="W269" s="66">
        <v>1472</v>
      </c>
      <c r="X269" s="66"/>
      <c r="Y269" s="66"/>
      <c r="Z269" s="66"/>
      <c r="AA269" s="66"/>
      <c r="AB269" s="66"/>
      <c r="AC269" s="66"/>
      <c r="AD269" s="66"/>
      <c r="AE269" s="66"/>
      <c r="AF269" s="66"/>
      <c r="AG269" s="66"/>
      <c r="AH269" s="66"/>
      <c r="AI269" s="66"/>
      <c r="AJ269" s="66"/>
      <c r="AK269" s="66"/>
      <c r="AL269" s="66"/>
      <c r="AM269" s="66"/>
      <c r="AN269" s="66"/>
      <c r="AO269" s="66"/>
      <c r="AP269" s="66"/>
      <c r="AQ269" s="66"/>
      <c r="AR269" s="66"/>
      <c r="AS269" s="66"/>
    </row>
    <row r="270" spans="2:45" ht="15.75">
      <c r="B270" s="66"/>
      <c r="C270" s="66"/>
      <c r="D270" s="66"/>
      <c r="E270" s="66"/>
      <c r="F270" s="66"/>
      <c r="G270" s="66"/>
      <c r="H270" s="66"/>
      <c r="I270" s="66"/>
      <c r="J270" s="66"/>
      <c r="K270" s="66"/>
      <c r="L270" s="66"/>
      <c r="M270" s="66"/>
      <c r="N270" s="66"/>
      <c r="O270" s="66"/>
      <c r="P270" s="66"/>
      <c r="Q270" s="66"/>
      <c r="R270" s="66"/>
      <c r="S270" s="66"/>
      <c r="T270" s="66"/>
      <c r="U270" s="66"/>
      <c r="V270" s="66"/>
      <c r="W270" s="66"/>
      <c r="X270" s="66"/>
      <c r="Y270" s="66"/>
      <c r="Z270" s="66"/>
      <c r="AA270" s="66"/>
      <c r="AB270" s="66"/>
      <c r="AC270" s="66"/>
      <c r="AD270" s="66"/>
      <c r="AE270" s="66"/>
      <c r="AF270" s="66"/>
      <c r="AG270" s="66"/>
      <c r="AH270" s="66"/>
      <c r="AI270" s="66"/>
      <c r="AJ270" s="66"/>
      <c r="AK270" s="66"/>
      <c r="AL270" s="66"/>
      <c r="AM270" s="66"/>
      <c r="AN270" s="66"/>
      <c r="AO270" s="66"/>
      <c r="AP270" s="66"/>
      <c r="AQ270" s="66"/>
    </row>
    <row r="271" spans="2:45" ht="15.75">
      <c r="B271" s="74" t="s">
        <v>2948</v>
      </c>
      <c r="C271" s="66"/>
      <c r="D271" s="66"/>
      <c r="E271" s="66"/>
      <c r="F271" s="66"/>
      <c r="G271" s="66"/>
      <c r="H271" s="66"/>
      <c r="I271" s="66"/>
      <c r="J271" s="66"/>
      <c r="K271" s="66"/>
      <c r="L271" s="66"/>
      <c r="M271" s="66"/>
      <c r="N271" s="66"/>
      <c r="O271" s="66"/>
      <c r="P271" s="66"/>
      <c r="Q271" s="66"/>
      <c r="R271" s="66"/>
      <c r="S271" s="66"/>
      <c r="T271" s="66"/>
      <c r="U271" s="66"/>
      <c r="V271" s="66"/>
      <c r="W271" s="66"/>
      <c r="X271" s="66"/>
      <c r="Y271" s="66"/>
      <c r="Z271" s="66"/>
      <c r="AA271" s="66"/>
      <c r="AB271" s="66"/>
      <c r="AC271" s="66"/>
      <c r="AD271" s="66"/>
      <c r="AE271" s="66"/>
      <c r="AF271" s="66"/>
      <c r="AG271" s="66"/>
      <c r="AH271" s="66"/>
      <c r="AI271" s="66"/>
      <c r="AJ271" s="66"/>
      <c r="AK271" s="66"/>
      <c r="AL271" s="66"/>
      <c r="AM271" s="66"/>
      <c r="AN271" s="66"/>
      <c r="AO271" s="66"/>
      <c r="AP271" s="66"/>
      <c r="AQ271" s="66"/>
    </row>
    <row r="272" spans="2:45" ht="15.75">
      <c r="B272" s="66" t="str">
        <f>B267</f>
        <v>18-34</v>
      </c>
      <c r="C272" s="66"/>
      <c r="D272" s="66"/>
      <c r="E272" s="66"/>
      <c r="F272" s="66"/>
      <c r="G272" s="66"/>
      <c r="H272" s="66"/>
      <c r="I272" s="66"/>
      <c r="J272" s="66"/>
      <c r="K272" s="66"/>
      <c r="L272" s="66"/>
      <c r="M272" s="66"/>
      <c r="N272" s="66"/>
      <c r="O272" s="66"/>
      <c r="P272" s="66"/>
      <c r="Q272" s="66"/>
      <c r="R272" s="66"/>
      <c r="S272" s="66"/>
      <c r="T272" s="66"/>
      <c r="U272" s="66"/>
      <c r="V272" s="66">
        <v>158</v>
      </c>
      <c r="W272" s="66"/>
      <c r="X272" s="66"/>
      <c r="Y272" s="66"/>
      <c r="Z272" s="66"/>
      <c r="AA272" s="66"/>
      <c r="AB272" s="66"/>
      <c r="AC272" s="66"/>
      <c r="AD272" s="66"/>
      <c r="AE272" s="66"/>
      <c r="AF272" s="66"/>
      <c r="AG272" s="66"/>
      <c r="AH272" s="66"/>
      <c r="AI272" s="66"/>
      <c r="AJ272" s="66"/>
      <c r="AK272" s="66"/>
      <c r="AL272" s="66"/>
      <c r="AM272" s="66"/>
      <c r="AN272" s="66"/>
      <c r="AO272" s="66"/>
      <c r="AP272" s="66"/>
      <c r="AQ272" s="66"/>
    </row>
    <row r="273" spans="1:43" ht="15.75">
      <c r="B273" s="66" t="str">
        <f>B268</f>
        <v>Rank (LHS)</v>
      </c>
      <c r="C273" s="66"/>
      <c r="D273" s="66"/>
      <c r="E273" s="66"/>
      <c r="F273" s="66"/>
      <c r="G273" s="66"/>
      <c r="H273" s="66"/>
      <c r="I273" s="66"/>
      <c r="J273" s="66"/>
      <c r="K273" s="66"/>
      <c r="L273" s="66"/>
      <c r="M273" s="66"/>
      <c r="N273" s="66"/>
      <c r="O273" s="66"/>
      <c r="P273" s="66"/>
      <c r="Q273" s="66"/>
      <c r="R273" s="66"/>
      <c r="S273" s="66"/>
      <c r="T273" s="66"/>
      <c r="U273" s="111" t="s">
        <v>7936</v>
      </c>
      <c r="V273" s="66">
        <v>9</v>
      </c>
      <c r="W273" s="66"/>
      <c r="X273" s="66"/>
      <c r="Y273" s="66"/>
      <c r="Z273" s="66"/>
      <c r="AA273" s="66"/>
      <c r="AB273" s="66"/>
      <c r="AC273" s="66"/>
      <c r="AD273" s="66"/>
      <c r="AE273" s="66"/>
      <c r="AF273" s="66"/>
      <c r="AG273" s="66"/>
      <c r="AH273" s="66"/>
      <c r="AI273" s="66"/>
      <c r="AJ273" s="66"/>
      <c r="AK273" s="66"/>
      <c r="AL273" s="66"/>
      <c r="AM273" s="66"/>
      <c r="AN273" s="66"/>
      <c r="AO273" s="66"/>
      <c r="AP273" s="66"/>
      <c r="AQ273" s="66"/>
    </row>
    <row r="274" spans="1:43" ht="15.75">
      <c r="B274" s="66" t="str">
        <f>B269</f>
        <v>18-49</v>
      </c>
      <c r="C274" s="66"/>
      <c r="D274" s="66"/>
      <c r="E274" s="66"/>
      <c r="F274" s="66"/>
      <c r="G274" s="66"/>
      <c r="H274" s="66"/>
      <c r="I274" s="66"/>
      <c r="J274" s="66"/>
      <c r="K274" s="66"/>
      <c r="L274" s="66"/>
      <c r="M274" s="66"/>
      <c r="N274" s="66"/>
      <c r="O274" s="66"/>
      <c r="P274" s="66"/>
      <c r="Q274" s="66"/>
      <c r="R274" s="66"/>
      <c r="S274" s="66"/>
      <c r="T274" s="66"/>
      <c r="U274" s="66"/>
      <c r="V274" s="66">
        <v>323</v>
      </c>
      <c r="W274" s="66"/>
      <c r="X274" s="66"/>
      <c r="Y274" s="66"/>
      <c r="Z274" s="66"/>
      <c r="AA274" s="66"/>
      <c r="AB274" s="66"/>
      <c r="AC274" s="66"/>
      <c r="AD274" s="66"/>
      <c r="AE274" s="66"/>
      <c r="AF274" s="66"/>
      <c r="AG274" s="66"/>
      <c r="AH274" s="66"/>
      <c r="AI274" s="66"/>
      <c r="AJ274" s="66"/>
      <c r="AK274" s="66"/>
      <c r="AL274" s="66"/>
      <c r="AM274" s="66"/>
      <c r="AN274" s="66"/>
      <c r="AO274" s="66"/>
      <c r="AP274" s="66"/>
      <c r="AQ274" s="66"/>
    </row>
    <row r="275" spans="1:43" ht="15.75">
      <c r="B275" s="66"/>
      <c r="C275" s="66"/>
      <c r="D275" s="66"/>
      <c r="E275" s="66"/>
      <c r="F275" s="66"/>
      <c r="G275" s="66"/>
      <c r="H275" s="66"/>
      <c r="I275" s="66"/>
      <c r="J275" s="66"/>
      <c r="K275" s="66"/>
      <c r="L275" s="66"/>
      <c r="M275" s="66"/>
      <c r="N275" s="66"/>
      <c r="O275" s="66"/>
      <c r="P275" s="66"/>
      <c r="Q275" s="66"/>
      <c r="R275" s="66"/>
      <c r="S275" s="66"/>
      <c r="T275" s="66"/>
      <c r="U275" s="66"/>
      <c r="V275" s="66"/>
      <c r="W275" s="66"/>
      <c r="X275" s="66"/>
      <c r="Y275" s="66"/>
      <c r="Z275" s="66"/>
      <c r="AA275" s="66"/>
      <c r="AB275" s="66"/>
      <c r="AC275" s="66"/>
      <c r="AD275" s="66"/>
      <c r="AE275" s="66"/>
      <c r="AF275" s="66"/>
      <c r="AG275" s="66"/>
      <c r="AH275" s="66"/>
      <c r="AI275" s="66"/>
      <c r="AJ275" s="66"/>
      <c r="AK275" s="66"/>
      <c r="AL275" s="66"/>
      <c r="AM275" s="66"/>
      <c r="AN275" s="66"/>
      <c r="AO275" s="66"/>
      <c r="AP275" s="66"/>
      <c r="AQ275" s="66"/>
    </row>
    <row r="276" spans="1:43" ht="15.75">
      <c r="B276" s="74" t="s">
        <v>85</v>
      </c>
      <c r="C276" s="66"/>
      <c r="D276" s="66"/>
      <c r="E276" s="66"/>
      <c r="F276" s="66"/>
      <c r="G276" s="66"/>
      <c r="H276" s="66"/>
      <c r="I276" s="66"/>
      <c r="J276" s="66"/>
      <c r="K276" s="66"/>
      <c r="L276" s="66"/>
      <c r="M276" s="66"/>
      <c r="N276" s="66"/>
      <c r="O276" s="66"/>
      <c r="P276" s="66"/>
      <c r="Q276" s="66"/>
      <c r="R276" s="66"/>
      <c r="S276" s="66"/>
      <c r="T276" s="66"/>
      <c r="U276" s="66"/>
      <c r="V276" s="66"/>
      <c r="W276" s="66"/>
      <c r="X276" s="66"/>
      <c r="Y276" s="66"/>
      <c r="Z276" s="66"/>
      <c r="AA276" s="66"/>
      <c r="AB276" s="66"/>
      <c r="AC276" s="66"/>
      <c r="AD276" s="66"/>
      <c r="AE276" s="66"/>
      <c r="AF276" s="66"/>
      <c r="AG276" s="66"/>
      <c r="AH276" s="66"/>
      <c r="AI276" s="66"/>
      <c r="AJ276" s="66"/>
      <c r="AK276" s="66"/>
      <c r="AL276" s="66"/>
      <c r="AM276" s="66"/>
      <c r="AN276" s="66"/>
      <c r="AO276" s="66"/>
      <c r="AP276" s="66"/>
      <c r="AQ276" s="66"/>
    </row>
    <row r="277" spans="1:43" ht="15.75">
      <c r="B277" s="66" t="str">
        <f>B272</f>
        <v>18-34</v>
      </c>
      <c r="C277" s="66"/>
      <c r="D277" s="66"/>
      <c r="E277" s="66"/>
      <c r="F277" s="66"/>
      <c r="G277" s="66"/>
      <c r="H277" s="66"/>
      <c r="I277" s="66"/>
      <c r="J277" s="66"/>
      <c r="K277" s="66"/>
      <c r="L277" s="66"/>
      <c r="M277" s="66"/>
      <c r="N277" s="66"/>
      <c r="O277" s="66"/>
      <c r="P277" s="66"/>
      <c r="Q277" s="66"/>
      <c r="R277" s="66"/>
      <c r="S277" s="66"/>
      <c r="T277" s="66"/>
      <c r="U277" s="66"/>
      <c r="V277" s="66">
        <f>V267+V272</f>
        <v>799</v>
      </c>
      <c r="W277" s="66"/>
      <c r="X277" s="66"/>
      <c r="Y277" s="66"/>
      <c r="Z277" s="66"/>
      <c r="AA277" s="66"/>
      <c r="AB277" s="66"/>
      <c r="AC277" s="66"/>
      <c r="AD277" s="66"/>
      <c r="AE277" s="66"/>
      <c r="AF277" s="66"/>
      <c r="AG277" s="66"/>
      <c r="AH277" s="66"/>
      <c r="AI277" s="66"/>
      <c r="AJ277" s="66"/>
      <c r="AK277" s="66"/>
      <c r="AL277" s="66"/>
      <c r="AM277" s="66"/>
      <c r="AN277" s="66"/>
      <c r="AO277" s="66"/>
      <c r="AP277" s="66"/>
      <c r="AQ277" s="66"/>
    </row>
    <row r="278" spans="1:43" ht="15.75">
      <c r="B278" s="66" t="str">
        <f>B274</f>
        <v>18-49</v>
      </c>
      <c r="C278" s="66"/>
      <c r="D278" s="66"/>
      <c r="E278" s="66"/>
      <c r="F278" s="66"/>
      <c r="G278" s="66"/>
      <c r="H278" s="66"/>
      <c r="I278" s="66"/>
      <c r="J278" s="66"/>
      <c r="K278" s="66"/>
      <c r="L278" s="66"/>
      <c r="M278" s="66"/>
      <c r="N278" s="66"/>
      <c r="O278" s="66"/>
      <c r="P278" s="66"/>
      <c r="Q278" s="66"/>
      <c r="R278" s="66"/>
      <c r="S278" s="66"/>
      <c r="T278" s="66"/>
      <c r="U278" s="66"/>
      <c r="V278" s="66">
        <f>V269+V274</f>
        <v>1714</v>
      </c>
      <c r="W278" s="66"/>
      <c r="X278" s="66"/>
      <c r="Y278" s="66"/>
      <c r="Z278" s="66"/>
      <c r="AA278" s="66"/>
      <c r="AB278" s="66"/>
      <c r="AC278" s="66"/>
      <c r="AD278" s="66"/>
      <c r="AE278" s="66"/>
      <c r="AF278" s="66"/>
      <c r="AG278" s="66"/>
      <c r="AH278" s="66"/>
      <c r="AI278" s="66"/>
      <c r="AJ278" s="66"/>
      <c r="AK278" s="66"/>
      <c r="AL278" s="66"/>
      <c r="AM278" s="66"/>
      <c r="AN278" s="66"/>
      <c r="AO278" s="66"/>
      <c r="AP278" s="66"/>
      <c r="AQ278" s="66"/>
    </row>
    <row r="279" spans="1:43" ht="15.75">
      <c r="B279" s="66"/>
      <c r="C279" s="66"/>
      <c r="D279" s="66"/>
      <c r="E279" s="66"/>
      <c r="F279" s="66"/>
      <c r="G279" s="66"/>
      <c r="H279" s="66"/>
      <c r="I279" s="66"/>
      <c r="J279" s="66"/>
      <c r="K279" s="66"/>
      <c r="L279" s="66"/>
      <c r="M279" s="66"/>
      <c r="N279" s="66"/>
      <c r="O279" s="66"/>
      <c r="P279" s="66"/>
      <c r="Q279" s="66"/>
      <c r="R279" s="66"/>
      <c r="S279" s="66"/>
      <c r="T279" s="66"/>
      <c r="U279" s="66"/>
      <c r="V279" s="66"/>
      <c r="W279" s="66"/>
      <c r="X279" s="66"/>
      <c r="Y279" s="66"/>
      <c r="Z279" s="66"/>
      <c r="AA279" s="66"/>
      <c r="AB279" s="66"/>
      <c r="AC279" s="66"/>
      <c r="AD279" s="66"/>
      <c r="AE279" s="66"/>
      <c r="AF279" s="66"/>
      <c r="AG279" s="66"/>
      <c r="AH279" s="66"/>
      <c r="AI279" s="66"/>
      <c r="AJ279" s="66"/>
      <c r="AK279" s="66"/>
      <c r="AL279" s="66"/>
      <c r="AM279" s="66"/>
      <c r="AN279" s="66"/>
      <c r="AO279" s="66"/>
      <c r="AP279" s="66"/>
      <c r="AQ279" s="66"/>
    </row>
    <row r="280" spans="1:43" ht="15.75">
      <c r="B280" s="66" t="s">
        <v>7937</v>
      </c>
      <c r="C280" s="66"/>
      <c r="D280" s="66"/>
      <c r="E280" s="66"/>
      <c r="F280" s="66"/>
      <c r="G280" s="66">
        <v>9282</v>
      </c>
      <c r="H280" s="66">
        <v>7698</v>
      </c>
      <c r="I280" s="66">
        <v>6704</v>
      </c>
      <c r="J280" s="66">
        <v>10049</v>
      </c>
      <c r="K280" s="66">
        <v>9722</v>
      </c>
      <c r="L280" s="66">
        <v>7911</v>
      </c>
      <c r="M280" s="66">
        <v>7381</v>
      </c>
      <c r="N280" s="66">
        <v>9227</v>
      </c>
      <c r="O280" s="66">
        <v>8799</v>
      </c>
      <c r="P280" s="66">
        <v>7349</v>
      </c>
      <c r="Q280" s="66">
        <v>6424</v>
      </c>
      <c r="R280" s="66">
        <v>8787</v>
      </c>
      <c r="S280" s="66">
        <v>8288</v>
      </c>
      <c r="T280" s="66">
        <v>6206</v>
      </c>
      <c r="U280" s="66">
        <v>5691</v>
      </c>
      <c r="V280" s="66">
        <v>6503</v>
      </c>
      <c r="W280" s="66">
        <v>7237</v>
      </c>
      <c r="X280" s="66"/>
      <c r="Y280" s="66"/>
      <c r="Z280" s="66"/>
      <c r="AA280" s="66"/>
      <c r="AB280" s="66"/>
      <c r="AC280" s="66"/>
      <c r="AD280" s="66"/>
      <c r="AE280" s="66"/>
      <c r="AF280" s="66"/>
      <c r="AG280" s="66"/>
      <c r="AH280" s="66"/>
      <c r="AI280" s="66"/>
      <c r="AJ280" s="66"/>
      <c r="AK280" s="66"/>
      <c r="AL280" s="66"/>
      <c r="AM280" s="66"/>
      <c r="AN280" s="66"/>
      <c r="AO280" s="66"/>
      <c r="AP280" s="66"/>
      <c r="AQ280" s="66"/>
    </row>
    <row r="281" spans="1:43" ht="15.75">
      <c r="B281" s="66" t="s">
        <v>7938</v>
      </c>
      <c r="C281" s="66"/>
      <c r="D281" s="66"/>
      <c r="E281" s="66"/>
      <c r="F281" s="66"/>
      <c r="G281" s="116">
        <f t="shared" ref="G281:M281" si="145">G267/G280</f>
        <v>0.10805860805860806</v>
      </c>
      <c r="H281" s="116">
        <f t="shared" si="145"/>
        <v>0.1367887763055339</v>
      </c>
      <c r="I281" s="116">
        <f t="shared" si="145"/>
        <v>0.15334128878281622</v>
      </c>
      <c r="J281" s="116">
        <f t="shared" si="145"/>
        <v>0.10508508309284506</v>
      </c>
      <c r="K281" s="116">
        <f t="shared" si="145"/>
        <v>0.10748817115819791</v>
      </c>
      <c r="L281" s="116">
        <f t="shared" si="145"/>
        <v>0.12640626975097966</v>
      </c>
      <c r="M281" s="116">
        <f t="shared" si="145"/>
        <v>0.1245088741362959</v>
      </c>
      <c r="N281" s="116">
        <f t="shared" ref="N281:W281" si="146">N267/N280</f>
        <v>9.840684946353094E-2</v>
      </c>
      <c r="O281" s="116">
        <f t="shared" si="146"/>
        <v>0.10239799977270145</v>
      </c>
      <c r="P281" s="116">
        <f t="shared" si="146"/>
        <v>0.11212409851680501</v>
      </c>
      <c r="Q281" s="116">
        <f t="shared" si="146"/>
        <v>0.12204234122042341</v>
      </c>
      <c r="R281" s="116">
        <f t="shared" si="146"/>
        <v>7.7273244565835897E-2</v>
      </c>
      <c r="S281" s="116">
        <f t="shared" si="146"/>
        <v>7.8909266409266404E-2</v>
      </c>
      <c r="T281" s="116">
        <f t="shared" si="146"/>
        <v>0.10989365130518852</v>
      </c>
      <c r="U281" s="116">
        <f>U267/U280</f>
        <v>0.12581268669829557</v>
      </c>
      <c r="V281" s="116">
        <f t="shared" si="146"/>
        <v>9.8569890819621711E-2</v>
      </c>
      <c r="W281" s="116">
        <f t="shared" si="146"/>
        <v>9.4237943899405832E-2</v>
      </c>
      <c r="X281" s="116"/>
      <c r="Y281" s="116"/>
      <c r="Z281" s="116"/>
      <c r="AA281" s="116"/>
      <c r="AB281" s="116"/>
      <c r="AC281" s="116"/>
      <c r="AD281" s="116"/>
      <c r="AE281" s="116"/>
      <c r="AF281" s="116"/>
      <c r="AG281" s="116"/>
      <c r="AH281" s="66"/>
      <c r="AI281" s="66"/>
      <c r="AJ281" s="66"/>
      <c r="AK281" s="66"/>
      <c r="AL281" s="66"/>
      <c r="AM281" s="66"/>
      <c r="AN281" s="66"/>
      <c r="AO281" s="66"/>
      <c r="AP281" s="66"/>
      <c r="AQ281" s="66"/>
    </row>
    <row r="282" spans="1:43" ht="15.75">
      <c r="A282" t="s">
        <v>57</v>
      </c>
      <c r="B282" s="66"/>
      <c r="C282" s="66"/>
      <c r="D282" s="66"/>
      <c r="E282" s="66"/>
      <c r="F282" s="66"/>
      <c r="G282" s="66"/>
      <c r="H282" s="66"/>
      <c r="I282" s="66"/>
      <c r="J282" s="66"/>
      <c r="K282" s="66"/>
      <c r="L282" s="66"/>
      <c r="M282" s="66"/>
      <c r="N282" s="66"/>
      <c r="O282" s="66"/>
      <c r="P282" s="66"/>
      <c r="Q282" s="66"/>
      <c r="R282" s="66"/>
      <c r="S282" s="66"/>
      <c r="T282" s="66"/>
      <c r="U282" s="66"/>
      <c r="V282" s="66"/>
      <c r="W282" s="66"/>
      <c r="X282" s="66"/>
      <c r="Y282" s="66"/>
      <c r="Z282" s="66"/>
      <c r="AA282" s="66"/>
      <c r="AB282" s="66"/>
      <c r="AC282" s="66"/>
      <c r="AD282" s="66"/>
      <c r="AE282" s="66"/>
      <c r="AF282" s="66"/>
      <c r="AG282" s="66"/>
      <c r="AH282" s="66"/>
      <c r="AI282" s="66"/>
      <c r="AJ282" s="66"/>
      <c r="AK282" s="66"/>
      <c r="AL282" s="66"/>
      <c r="AM282" s="66"/>
      <c r="AN282" s="66"/>
      <c r="AO282" s="66"/>
      <c r="AP282" s="66"/>
      <c r="AQ282" s="66"/>
    </row>
    <row r="283" spans="1:43" ht="15.75">
      <c r="B283" s="113">
        <v>40452</v>
      </c>
      <c r="C283" s="66"/>
      <c r="D283" s="66"/>
      <c r="E283" s="66"/>
      <c r="F283" s="66"/>
      <c r="G283" s="66"/>
      <c r="H283" s="66"/>
      <c r="I283" s="66"/>
      <c r="J283" s="66"/>
      <c r="K283" s="66"/>
      <c r="L283" s="66"/>
      <c r="M283" s="66"/>
      <c r="N283" s="66"/>
      <c r="O283" s="66"/>
      <c r="P283" s="66"/>
      <c r="Q283" s="66"/>
      <c r="R283" s="66"/>
      <c r="S283" s="66"/>
      <c r="T283" s="66"/>
      <c r="U283" s="66"/>
      <c r="V283" s="66"/>
      <c r="W283" s="66"/>
      <c r="X283" s="66"/>
      <c r="Y283" s="66"/>
      <c r="Z283" s="66"/>
      <c r="AA283" s="66"/>
      <c r="AB283" s="66"/>
      <c r="AC283" s="66"/>
      <c r="AD283" s="66"/>
      <c r="AE283" s="66"/>
      <c r="AF283" s="66"/>
      <c r="AG283" s="66"/>
      <c r="AH283" s="66"/>
      <c r="AI283" s="66"/>
      <c r="AJ283" s="66"/>
      <c r="AK283" s="66"/>
      <c r="AL283" s="66"/>
      <c r="AM283" s="66"/>
      <c r="AN283" s="66"/>
      <c r="AO283" s="66"/>
      <c r="AP283" s="66"/>
      <c r="AQ283" s="66"/>
    </row>
    <row r="284" spans="1:43" ht="15.75">
      <c r="B284" s="66" t="s">
        <v>7939</v>
      </c>
      <c r="C284" s="66"/>
      <c r="D284" s="66"/>
      <c r="E284" s="66"/>
      <c r="F284" s="66"/>
      <c r="G284" s="66"/>
      <c r="H284" s="66"/>
      <c r="I284" s="66"/>
      <c r="J284" s="66"/>
      <c r="K284" s="66"/>
      <c r="L284" s="66"/>
      <c r="M284" s="66"/>
      <c r="N284" s="66"/>
      <c r="O284" s="66"/>
      <c r="P284" s="66"/>
      <c r="Q284" s="66"/>
      <c r="R284" s="66"/>
      <c r="S284" s="66" t="s">
        <v>57</v>
      </c>
      <c r="T284" s="66"/>
      <c r="U284" s="66"/>
      <c r="V284" s="66"/>
      <c r="W284" s="66"/>
      <c r="X284" s="66"/>
      <c r="Y284" s="66"/>
      <c r="Z284" s="66"/>
      <c r="AA284" s="66"/>
      <c r="AB284" s="66"/>
      <c r="AC284" s="66"/>
      <c r="AD284" s="66"/>
      <c r="AE284" s="66"/>
      <c r="AF284" s="66"/>
      <c r="AG284" s="66"/>
      <c r="AH284" s="66"/>
      <c r="AI284" s="66"/>
      <c r="AJ284" s="66"/>
      <c r="AK284" s="66"/>
      <c r="AL284" s="66"/>
      <c r="AM284" s="66"/>
      <c r="AN284" s="66"/>
      <c r="AO284" s="66"/>
      <c r="AP284" s="66"/>
      <c r="AQ284" s="66"/>
    </row>
    <row r="285" spans="1:43" ht="15.75">
      <c r="B285" s="66" t="s">
        <v>7940</v>
      </c>
      <c r="C285" s="66"/>
      <c r="D285" s="66"/>
      <c r="E285" s="66"/>
      <c r="F285" s="66"/>
      <c r="G285" s="66"/>
      <c r="H285" s="66"/>
      <c r="I285" s="66"/>
      <c r="J285" s="66"/>
      <c r="K285" s="66"/>
      <c r="L285" s="66"/>
      <c r="M285" s="66"/>
      <c r="N285" s="66"/>
      <c r="O285" s="66"/>
      <c r="P285" s="66"/>
      <c r="Q285" s="66"/>
      <c r="R285" s="66"/>
      <c r="S285" s="66"/>
      <c r="T285" s="66"/>
      <c r="U285" s="66"/>
      <c r="V285" s="66"/>
      <c r="W285" s="66"/>
      <c r="X285" s="66"/>
      <c r="Y285" s="66"/>
      <c r="Z285" s="66"/>
      <c r="AA285" s="66"/>
      <c r="AB285" s="66"/>
      <c r="AC285" s="66"/>
      <c r="AD285" s="66"/>
      <c r="AE285" s="66"/>
      <c r="AF285" s="66"/>
      <c r="AG285" s="66"/>
      <c r="AH285" s="66"/>
      <c r="AI285" s="66"/>
      <c r="AJ285" s="66"/>
      <c r="AK285" s="66"/>
      <c r="AL285" s="66"/>
      <c r="AM285" s="66"/>
      <c r="AN285" s="66"/>
      <c r="AO285" s="66"/>
      <c r="AP285" s="66"/>
      <c r="AQ285" s="66"/>
    </row>
    <row r="286" spans="1:43" ht="15.75">
      <c r="B286" s="66" t="s">
        <v>7941</v>
      </c>
      <c r="C286" s="66"/>
      <c r="D286" s="66"/>
      <c r="E286" s="66"/>
      <c r="F286" s="66"/>
      <c r="G286" s="66"/>
      <c r="H286" s="66"/>
      <c r="I286" s="66"/>
      <c r="J286" s="66"/>
      <c r="K286" s="66"/>
      <c r="L286" s="66"/>
      <c r="M286" s="66"/>
      <c r="N286" s="66"/>
      <c r="O286" s="66"/>
      <c r="P286" s="66"/>
      <c r="Q286" s="66"/>
      <c r="R286" s="66"/>
      <c r="S286" s="66"/>
      <c r="T286" s="66"/>
      <c r="U286" s="66"/>
      <c r="V286" s="66"/>
      <c r="W286" s="66"/>
      <c r="X286" s="66"/>
      <c r="Y286" s="66"/>
      <c r="Z286" s="66"/>
      <c r="AA286" s="66"/>
      <c r="AB286" s="66"/>
      <c r="AC286" s="66"/>
      <c r="AD286" s="66"/>
      <c r="AE286" s="66"/>
      <c r="AF286" s="66"/>
      <c r="AG286" s="66"/>
      <c r="AH286" s="66"/>
      <c r="AI286" s="66"/>
      <c r="AJ286" s="66"/>
      <c r="AK286" s="66"/>
      <c r="AL286" s="66"/>
      <c r="AM286" s="66"/>
      <c r="AN286" s="66"/>
      <c r="AO286" s="66"/>
      <c r="AP286" s="66"/>
      <c r="AQ286" s="66"/>
    </row>
    <row r="287" spans="1:43" ht="15.75">
      <c r="B287" s="66" t="s">
        <v>7942</v>
      </c>
      <c r="C287" s="66"/>
      <c r="D287" s="66"/>
      <c r="E287" s="66"/>
      <c r="F287" s="66"/>
      <c r="G287" s="66"/>
      <c r="H287" s="66"/>
      <c r="I287" s="66"/>
      <c r="J287" s="66"/>
      <c r="K287" s="66"/>
      <c r="L287" s="66"/>
      <c r="M287" s="66"/>
      <c r="N287" s="66"/>
      <c r="O287" s="66"/>
      <c r="P287" s="66"/>
      <c r="Q287" s="66"/>
      <c r="R287" s="66"/>
      <c r="S287" s="66"/>
      <c r="T287" s="66"/>
      <c r="U287" s="66"/>
      <c r="V287" s="66"/>
      <c r="W287" s="66"/>
      <c r="X287" s="66"/>
      <c r="Y287" s="66"/>
      <c r="Z287" s="66"/>
      <c r="AA287" s="66"/>
      <c r="AB287" s="66"/>
      <c r="AC287" s="66"/>
      <c r="AD287" s="66"/>
      <c r="AE287" s="66"/>
      <c r="AF287" s="66"/>
      <c r="AG287" s="66"/>
      <c r="AH287" s="66"/>
      <c r="AI287" s="66"/>
      <c r="AJ287" s="66"/>
      <c r="AK287" s="66"/>
      <c r="AL287" s="66"/>
      <c r="AM287" s="66"/>
      <c r="AN287" s="66"/>
      <c r="AO287" s="66"/>
      <c r="AP287" s="66"/>
      <c r="AQ287" s="66"/>
    </row>
    <row r="288" spans="1:43" ht="15.75">
      <c r="B288" s="66" t="s">
        <v>7943</v>
      </c>
      <c r="C288" s="66"/>
      <c r="D288" s="66"/>
      <c r="E288" s="66"/>
      <c r="F288" s="66"/>
      <c r="G288" s="66"/>
      <c r="H288" s="66"/>
      <c r="I288" s="66"/>
      <c r="J288" s="66"/>
      <c r="K288" s="66"/>
      <c r="L288" s="66"/>
      <c r="M288" s="66"/>
      <c r="N288" s="66"/>
      <c r="O288" s="66"/>
      <c r="P288" s="66"/>
      <c r="Q288" s="66"/>
      <c r="R288" s="66"/>
      <c r="S288" s="66"/>
      <c r="T288" s="66"/>
      <c r="U288" s="66"/>
      <c r="V288" s="66"/>
      <c r="W288" s="66"/>
      <c r="X288" s="66"/>
      <c r="Y288" s="66"/>
      <c r="Z288" s="66"/>
      <c r="AA288" s="66"/>
      <c r="AB288" s="66"/>
      <c r="AC288" s="66"/>
      <c r="AD288" s="66"/>
      <c r="AE288" s="66"/>
      <c r="AF288" s="66"/>
      <c r="AG288" s="66"/>
      <c r="AH288" s="66"/>
      <c r="AI288" s="66"/>
      <c r="AJ288" s="66"/>
      <c r="AK288" s="66"/>
      <c r="AL288" s="66"/>
      <c r="AM288" s="66"/>
      <c r="AN288" s="66"/>
      <c r="AO288" s="66"/>
      <c r="AP288" s="66"/>
      <c r="AQ288" s="66"/>
    </row>
    <row r="289" spans="2:43" ht="15.75">
      <c r="B289" s="66"/>
      <c r="C289" s="66"/>
      <c r="D289" s="66"/>
      <c r="E289" s="66"/>
      <c r="F289" s="66"/>
      <c r="G289" s="66"/>
      <c r="H289" s="66"/>
      <c r="I289" s="66"/>
      <c r="J289" s="66"/>
      <c r="K289" s="66"/>
      <c r="L289" s="66"/>
      <c r="M289" s="66"/>
      <c r="N289" s="66"/>
      <c r="O289" s="66"/>
      <c r="P289" s="66"/>
      <c r="Q289" s="66"/>
      <c r="R289" s="66"/>
      <c r="S289" s="66"/>
      <c r="T289" s="66"/>
      <c r="U289" s="66"/>
      <c r="V289" s="66"/>
      <c r="W289" s="66"/>
      <c r="X289" s="66"/>
      <c r="Y289" s="66"/>
      <c r="Z289" s="66"/>
      <c r="AA289" s="66"/>
      <c r="AB289" s="66"/>
      <c r="AC289" s="66"/>
      <c r="AD289" s="66"/>
      <c r="AE289" s="66"/>
      <c r="AF289" s="66"/>
      <c r="AG289" s="66"/>
      <c r="AH289" s="66"/>
      <c r="AI289" s="66"/>
      <c r="AJ289" s="66"/>
      <c r="AK289" s="66"/>
      <c r="AL289" s="66"/>
      <c r="AM289" s="66"/>
      <c r="AN289" s="66"/>
      <c r="AO289" s="66"/>
      <c r="AP289" s="66"/>
      <c r="AQ289" s="66"/>
    </row>
    <row r="290" spans="2:43" ht="15.75">
      <c r="B290" s="66" t="s">
        <v>7944</v>
      </c>
      <c r="C290" s="66" t="s">
        <v>7945</v>
      </c>
      <c r="D290" s="66"/>
      <c r="E290" s="66"/>
      <c r="F290" s="66"/>
      <c r="G290" s="66"/>
      <c r="H290" s="66"/>
      <c r="I290" s="66"/>
      <c r="J290" s="66"/>
      <c r="K290" s="66"/>
      <c r="L290" s="66"/>
      <c r="M290" s="66"/>
      <c r="N290" s="66"/>
      <c r="O290" s="66"/>
      <c r="P290" s="66"/>
      <c r="Q290" s="66"/>
      <c r="R290" s="66"/>
      <c r="S290" s="66"/>
      <c r="T290" s="66"/>
      <c r="U290" s="66"/>
      <c r="V290" s="66"/>
      <c r="W290" s="66"/>
      <c r="X290" s="66"/>
      <c r="Y290" s="66"/>
      <c r="Z290" s="66"/>
      <c r="AA290" s="66"/>
      <c r="AB290" s="66"/>
      <c r="AC290" s="66"/>
      <c r="AD290" s="66"/>
      <c r="AE290" s="66"/>
      <c r="AF290" s="66"/>
      <c r="AG290" s="66"/>
      <c r="AH290" s="66"/>
      <c r="AI290" s="66"/>
      <c r="AJ290" s="66"/>
      <c r="AK290" s="66"/>
      <c r="AL290" s="66"/>
      <c r="AM290" s="66"/>
      <c r="AN290" s="66"/>
      <c r="AO290" s="66"/>
      <c r="AP290" s="66"/>
      <c r="AQ290" s="66"/>
    </row>
    <row r="291" spans="2:43" ht="15.75">
      <c r="B291" s="66"/>
      <c r="C291" s="66" t="s">
        <v>7946</v>
      </c>
      <c r="D291" s="66"/>
      <c r="E291" s="66"/>
      <c r="F291" s="66"/>
      <c r="G291" s="66"/>
      <c r="H291" s="66"/>
      <c r="I291" s="66"/>
      <c r="J291" s="66"/>
      <c r="K291" s="66"/>
      <c r="L291" s="66"/>
      <c r="M291" s="66"/>
      <c r="N291" s="66"/>
      <c r="O291" s="66"/>
      <c r="P291" s="66"/>
      <c r="Q291" s="66"/>
      <c r="R291" s="66"/>
      <c r="S291" s="66"/>
      <c r="T291" s="66"/>
      <c r="U291" s="66"/>
      <c r="V291" s="66"/>
      <c r="W291" s="66"/>
      <c r="X291" s="66"/>
      <c r="Y291" s="66"/>
      <c r="Z291" s="66"/>
      <c r="AA291" s="66"/>
      <c r="AB291" s="66"/>
      <c r="AC291" s="66"/>
      <c r="AD291" s="66"/>
      <c r="AE291" s="66"/>
      <c r="AF291" s="66"/>
      <c r="AG291" s="66"/>
      <c r="AH291" s="66"/>
      <c r="AI291" s="66"/>
      <c r="AJ291" s="66"/>
      <c r="AK291" s="66"/>
      <c r="AL291" s="66"/>
      <c r="AM291" s="66"/>
      <c r="AN291" s="66"/>
      <c r="AO291" s="66"/>
      <c r="AP291" s="66"/>
      <c r="AQ291" s="66"/>
    </row>
    <row r="292" spans="2:43" ht="15.75">
      <c r="B292" s="66"/>
      <c r="C292" s="66"/>
      <c r="D292" s="66"/>
      <c r="E292" s="66"/>
      <c r="F292" s="66"/>
      <c r="G292" s="66"/>
      <c r="H292" s="66"/>
      <c r="I292" s="66"/>
      <c r="J292" s="66"/>
      <c r="K292" s="66"/>
      <c r="L292" s="66"/>
      <c r="M292" s="66"/>
      <c r="N292" s="66"/>
      <c r="O292" s="66"/>
      <c r="P292" s="66"/>
      <c r="Q292" s="66"/>
      <c r="R292" s="66"/>
      <c r="S292" s="66"/>
      <c r="T292" s="66"/>
      <c r="U292" s="66"/>
      <c r="V292" s="66"/>
      <c r="W292" s="66"/>
      <c r="X292" s="66"/>
      <c r="Y292" s="66"/>
      <c r="Z292" s="66"/>
      <c r="AA292" s="66"/>
      <c r="AB292" s="66"/>
      <c r="AC292" s="66"/>
      <c r="AD292" s="66"/>
      <c r="AE292" s="66"/>
      <c r="AF292" s="66"/>
      <c r="AG292" s="66"/>
      <c r="AH292" s="66"/>
      <c r="AI292" s="66"/>
      <c r="AJ292" s="66"/>
      <c r="AK292" s="66"/>
      <c r="AL292" s="66"/>
      <c r="AM292" s="66"/>
      <c r="AN292" s="66"/>
      <c r="AO292" s="66"/>
      <c r="AP292" s="66"/>
      <c r="AQ292" s="66"/>
    </row>
    <row r="293" spans="2:43">
      <c r="B293" t="s">
        <v>7947</v>
      </c>
    </row>
  </sheetData>
  <pageMargins left="0.70866141732283472" right="0.70866141732283472" top="0.74803149606299213" bottom="0.74803149606299213" header="0.31496062992125984" footer="0.31496062992125984"/>
  <pageSetup paperSize="9" scale="12" orientation="landscape" r:id="rId1"/>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K43"/>
  <sheetViews>
    <sheetView zoomScale="85" zoomScaleNormal="85" workbookViewId="0"/>
  </sheetViews>
  <sheetFormatPr defaultRowHeight="15"/>
  <sheetData>
    <row r="6" spans="2:11">
      <c r="B6" s="265" t="s">
        <v>7948</v>
      </c>
      <c r="C6" s="266"/>
      <c r="D6" s="266"/>
      <c r="E6" s="266"/>
      <c r="F6" s="266"/>
      <c r="G6" s="266"/>
      <c r="H6" s="267"/>
      <c r="I6" s="267"/>
      <c r="J6" s="267"/>
      <c r="K6" s="268"/>
    </row>
    <row r="7" spans="2:11">
      <c r="B7" s="2208" t="s">
        <v>7949</v>
      </c>
      <c r="C7" s="2209"/>
      <c r="D7" s="2209"/>
      <c r="E7" s="2209"/>
      <c r="F7" s="269" t="s">
        <v>7950</v>
      </c>
      <c r="G7" s="269"/>
      <c r="H7" s="270"/>
      <c r="I7" s="271"/>
      <c r="J7" s="271"/>
      <c r="K7" s="271" t="s">
        <v>7951</v>
      </c>
    </row>
    <row r="8" spans="2:11">
      <c r="B8" s="272" t="s">
        <v>2273</v>
      </c>
      <c r="C8" s="273"/>
      <c r="D8" s="273"/>
      <c r="E8" s="274"/>
      <c r="F8" s="380" t="e">
        <f>Interims!#REF!</f>
        <v>#REF!</v>
      </c>
      <c r="G8" s="275"/>
      <c r="H8" s="276"/>
      <c r="I8" s="277"/>
      <c r="J8" s="277"/>
      <c r="K8" s="278">
        <v>16924</v>
      </c>
    </row>
    <row r="9" spans="2:11">
      <c r="B9" s="279"/>
      <c r="C9" s="280" t="s">
        <v>94</v>
      </c>
      <c r="D9" s="281"/>
      <c r="E9" s="281"/>
      <c r="F9" s="282" t="e">
        <f>Interims!#REF!</f>
        <v>#REF!</v>
      </c>
      <c r="G9" s="283"/>
      <c r="H9" s="284"/>
      <c r="I9" s="285"/>
      <c r="J9" s="285"/>
      <c r="K9" s="286">
        <v>6641.8</v>
      </c>
    </row>
    <row r="10" spans="2:11">
      <c r="B10" s="287"/>
      <c r="C10" s="288"/>
      <c r="D10" s="289" t="s">
        <v>189</v>
      </c>
      <c r="E10" s="289"/>
      <c r="F10" s="282" t="e">
        <f>Interims!#REF!</f>
        <v>#REF!</v>
      </c>
      <c r="G10" s="291"/>
      <c r="H10" s="292"/>
      <c r="I10" s="293"/>
      <c r="J10" s="293"/>
      <c r="K10" s="294">
        <v>4552.6000000000004</v>
      </c>
    </row>
    <row r="11" spans="2:11">
      <c r="B11" s="287"/>
      <c r="C11" s="288"/>
      <c r="D11" s="289" t="s">
        <v>7952</v>
      </c>
      <c r="E11" s="289"/>
      <c r="F11" s="282" t="e">
        <f>Interims!#REF!</f>
        <v>#REF!</v>
      </c>
      <c r="G11" s="291"/>
      <c r="H11" s="292"/>
      <c r="I11" s="293"/>
      <c r="J11" s="293"/>
      <c r="K11" s="294">
        <v>688.1</v>
      </c>
    </row>
    <row r="12" spans="2:11">
      <c r="B12" s="295"/>
      <c r="C12" s="296"/>
      <c r="D12" s="297" t="s">
        <v>7953</v>
      </c>
      <c r="E12" s="297"/>
      <c r="F12" s="282" t="e">
        <f>Interims!#REF!</f>
        <v>#REF!</v>
      </c>
      <c r="G12" s="298"/>
      <c r="H12" s="299"/>
      <c r="I12" s="300"/>
      <c r="J12" s="299"/>
      <c r="K12" s="301">
        <v>1401.1</v>
      </c>
    </row>
    <row r="13" spans="2:11">
      <c r="B13" s="287"/>
      <c r="C13" s="302" t="s">
        <v>70</v>
      </c>
      <c r="D13" s="289"/>
      <c r="E13" s="289"/>
      <c r="F13" s="290" t="e">
        <f>Interims!#REF!</f>
        <v>#REF!</v>
      </c>
      <c r="G13" s="303"/>
      <c r="H13" s="304"/>
      <c r="I13" s="305"/>
      <c r="J13" s="306"/>
      <c r="K13" s="307">
        <v>4199.2</v>
      </c>
    </row>
    <row r="14" spans="2:11">
      <c r="B14" s="279"/>
      <c r="C14" s="308" t="s">
        <v>194</v>
      </c>
      <c r="D14" s="281"/>
      <c r="E14" s="281"/>
      <c r="F14" s="290" t="e">
        <f>Interims!#REF!</f>
        <v>#REF!</v>
      </c>
      <c r="G14" s="283"/>
      <c r="H14" s="284"/>
      <c r="I14" s="285"/>
      <c r="J14" s="309"/>
      <c r="K14" s="310">
        <v>4600.6000000000004</v>
      </c>
    </row>
    <row r="15" spans="2:11">
      <c r="B15" s="287"/>
      <c r="C15" s="302" t="s">
        <v>1536</v>
      </c>
      <c r="D15" s="289"/>
      <c r="E15" s="289"/>
      <c r="F15" s="290" t="e">
        <f>Interims!#REF!</f>
        <v>#REF!</v>
      </c>
      <c r="G15" s="303"/>
      <c r="H15" s="304"/>
      <c r="I15" s="305"/>
      <c r="J15" s="305"/>
      <c r="K15" s="294">
        <v>1787.5</v>
      </c>
    </row>
    <row r="16" spans="2:11">
      <c r="B16" s="311"/>
      <c r="C16" s="302" t="s">
        <v>7954</v>
      </c>
      <c r="D16" s="289"/>
      <c r="E16" s="289"/>
      <c r="F16" s="290" t="e">
        <f>Interims!#REF!</f>
        <v>#REF!</v>
      </c>
      <c r="G16" s="291"/>
      <c r="H16" s="304"/>
      <c r="I16" s="305"/>
      <c r="J16" s="305"/>
      <c r="K16" s="294">
        <v>-305.10000000000002</v>
      </c>
    </row>
    <row r="17" spans="2:11">
      <c r="B17" s="272" t="s">
        <v>207</v>
      </c>
      <c r="C17" s="273"/>
      <c r="D17" s="273"/>
      <c r="E17" s="274"/>
      <c r="F17" s="380" t="e">
        <f>Interims!#REF!</f>
        <v>#REF!</v>
      </c>
      <c r="G17" s="275"/>
      <c r="H17" s="276"/>
      <c r="I17" s="277"/>
      <c r="J17" s="277"/>
      <c r="K17" s="278">
        <v>6079.7</v>
      </c>
    </row>
    <row r="18" spans="2:11">
      <c r="B18" s="312"/>
      <c r="C18" s="288" t="s">
        <v>94</v>
      </c>
      <c r="D18" s="313"/>
      <c r="E18" s="314"/>
      <c r="F18" s="315" t="e">
        <f>Interims!#REF!</f>
        <v>#REF!</v>
      </c>
      <c r="G18" s="303"/>
      <c r="H18" s="304"/>
      <c r="I18" s="306"/>
      <c r="J18" s="306"/>
      <c r="K18" s="307">
        <v>2400</v>
      </c>
    </row>
    <row r="19" spans="2:11">
      <c r="B19" s="312"/>
      <c r="C19" s="302" t="s">
        <v>70</v>
      </c>
      <c r="D19" s="289"/>
      <c r="E19" s="314"/>
      <c r="F19" s="315" t="e">
        <f>Interims!#REF!</f>
        <v>#REF!</v>
      </c>
      <c r="G19" s="303"/>
      <c r="H19" s="304"/>
      <c r="I19" s="306"/>
      <c r="J19" s="306"/>
      <c r="K19" s="307">
        <v>1947</v>
      </c>
    </row>
    <row r="20" spans="2:11">
      <c r="B20" s="316"/>
      <c r="C20" s="308" t="s">
        <v>194</v>
      </c>
      <c r="D20" s="281"/>
      <c r="E20" s="317"/>
      <c r="F20" s="315" t="e">
        <f>Interims!#REF!</f>
        <v>#REF!</v>
      </c>
      <c r="G20" s="283"/>
      <c r="H20" s="284"/>
      <c r="I20" s="309"/>
      <c r="J20" s="309"/>
      <c r="K20" s="286">
        <v>1627</v>
      </c>
    </row>
    <row r="21" spans="2:11">
      <c r="B21" s="312"/>
      <c r="C21" s="302" t="s">
        <v>1536</v>
      </c>
      <c r="D21" s="289"/>
      <c r="E21" s="314"/>
      <c r="F21" s="315" t="e">
        <f>Interims!#REF!</f>
        <v>#REF!</v>
      </c>
      <c r="G21" s="303"/>
      <c r="H21" s="304"/>
      <c r="I21" s="306"/>
      <c r="J21" s="306"/>
      <c r="K21" s="307">
        <v>104.7</v>
      </c>
    </row>
    <row r="22" spans="2:11">
      <c r="B22" s="316" t="s">
        <v>34</v>
      </c>
      <c r="C22" s="308"/>
      <c r="D22" s="308"/>
      <c r="E22" s="308"/>
      <c r="F22" s="383" t="e">
        <f>Interims!#REF!</f>
        <v>#REF!</v>
      </c>
      <c r="G22" s="384"/>
      <c r="H22" s="385"/>
      <c r="I22" s="385"/>
      <c r="J22" s="385"/>
      <c r="K22" s="386">
        <v>5610.4</v>
      </c>
    </row>
    <row r="23" spans="2:11">
      <c r="B23" s="311" t="s">
        <v>7955</v>
      </c>
      <c r="C23" s="302"/>
      <c r="D23" s="302"/>
      <c r="E23" s="302"/>
      <c r="F23" s="319" t="e">
        <f>F22/F8</f>
        <v>#REF!</v>
      </c>
      <c r="G23" s="320"/>
      <c r="H23" s="321"/>
      <c r="I23" s="321"/>
      <c r="J23" s="321"/>
      <c r="K23" s="322">
        <v>0.33150555424249584</v>
      </c>
    </row>
    <row r="24" spans="2:11">
      <c r="B24" s="272" t="s">
        <v>2120</v>
      </c>
      <c r="C24" s="273"/>
      <c r="D24" s="273"/>
      <c r="E24" s="274"/>
      <c r="F24" s="325" t="e">
        <f>Interims!#REF!</f>
        <v>#REF!</v>
      </c>
      <c r="G24" s="323"/>
      <c r="H24" s="277"/>
      <c r="I24" s="277"/>
      <c r="J24" s="277"/>
      <c r="K24" s="324">
        <v>2472.4</v>
      </c>
    </row>
    <row r="25" spans="2:11">
      <c r="B25" s="312"/>
      <c r="C25" s="288" t="s">
        <v>94</v>
      </c>
      <c r="D25" s="313"/>
      <c r="E25" s="314"/>
      <c r="F25" s="325" t="e">
        <f>Interims!#REF!</f>
        <v>#REF!</v>
      </c>
      <c r="G25" s="326"/>
      <c r="H25" s="306"/>
      <c r="I25" s="306"/>
      <c r="J25" s="306"/>
      <c r="K25" s="327">
        <v>302.23987408184684</v>
      </c>
    </row>
    <row r="26" spans="2:11">
      <c r="B26" s="312"/>
      <c r="C26" s="288" t="s">
        <v>70</v>
      </c>
      <c r="D26" s="313"/>
      <c r="E26" s="314"/>
      <c r="F26" s="325" t="e">
        <f>Interims!#REF!</f>
        <v>#REF!</v>
      </c>
      <c r="G26" s="326"/>
      <c r="H26" s="306"/>
      <c r="I26" s="306"/>
      <c r="J26" s="306"/>
      <c r="K26" s="327">
        <v>952.12046169989526</v>
      </c>
    </row>
    <row r="27" spans="2:11">
      <c r="B27" s="312"/>
      <c r="C27" s="288" t="s">
        <v>7956</v>
      </c>
      <c r="D27" s="313"/>
      <c r="E27" s="314"/>
      <c r="F27" s="325" t="e">
        <f>Interims!#REF!</f>
        <v>#REF!</v>
      </c>
      <c r="G27" s="326"/>
      <c r="H27" s="306"/>
      <c r="I27" s="306"/>
      <c r="J27" s="306"/>
      <c r="K27" s="327">
        <v>1218.0396642182584</v>
      </c>
    </row>
    <row r="28" spans="2:11">
      <c r="B28" s="328" t="s">
        <v>7957</v>
      </c>
      <c r="C28" s="280"/>
      <c r="D28" s="329"/>
      <c r="E28" s="317"/>
      <c r="F28" s="318"/>
      <c r="G28" s="330"/>
      <c r="H28" s="331"/>
      <c r="I28" s="332"/>
      <c r="J28" s="330"/>
      <c r="K28" s="333">
        <v>0.14608839517844482</v>
      </c>
    </row>
    <row r="29" spans="2:11">
      <c r="B29" s="312"/>
      <c r="C29" s="288" t="s">
        <v>94</v>
      </c>
      <c r="D29" s="313"/>
      <c r="E29" s="314"/>
      <c r="F29" s="381" t="e">
        <f>F25/F14</f>
        <v>#REF!</v>
      </c>
      <c r="G29" s="334"/>
      <c r="H29" s="335"/>
      <c r="I29" s="306"/>
      <c r="J29" s="335"/>
      <c r="K29" s="336">
        <v>4.5505717438321963E-2</v>
      </c>
    </row>
    <row r="30" spans="2:11">
      <c r="B30" s="312"/>
      <c r="C30" s="288" t="s">
        <v>70</v>
      </c>
      <c r="D30" s="313"/>
      <c r="E30" s="314"/>
      <c r="F30" s="381" t="e">
        <f>F26/F13</f>
        <v>#REF!</v>
      </c>
      <c r="G30" s="334"/>
      <c r="H30" s="335"/>
      <c r="I30" s="306"/>
      <c r="J30" s="335"/>
      <c r="K30" s="336">
        <v>0.2267385363164163</v>
      </c>
    </row>
    <row r="31" spans="2:11">
      <c r="B31" s="337"/>
      <c r="C31" s="338" t="s">
        <v>7956</v>
      </c>
      <c r="D31" s="339"/>
      <c r="E31" s="340"/>
      <c r="F31" s="382" t="e">
        <f>F27/F14</f>
        <v>#REF!</v>
      </c>
      <c r="G31" s="341"/>
      <c r="H31" s="342"/>
      <c r="I31" s="343"/>
      <c r="J31" s="344"/>
      <c r="K31" s="344">
        <v>0.26475669786946449</v>
      </c>
    </row>
    <row r="32" spans="2:11">
      <c r="B32" s="312" t="s">
        <v>7958</v>
      </c>
      <c r="C32" s="313"/>
      <c r="D32" s="313"/>
      <c r="E32" s="302"/>
      <c r="F32" s="325" t="e">
        <f>Interims!#REF!</f>
        <v>#REF!</v>
      </c>
      <c r="G32" s="326"/>
      <c r="H32" s="306"/>
      <c r="I32" s="306"/>
      <c r="J32" s="306"/>
      <c r="K32" s="327">
        <v>853</v>
      </c>
    </row>
    <row r="33" spans="2:11">
      <c r="B33" s="345" t="s">
        <v>7959</v>
      </c>
      <c r="C33" s="346"/>
      <c r="D33" s="346"/>
      <c r="E33" s="302"/>
      <c r="F33" s="347"/>
      <c r="G33" s="348"/>
      <c r="H33" s="349"/>
      <c r="I33" s="349"/>
      <c r="J33" s="306"/>
      <c r="K33" s="350">
        <v>3058.3</v>
      </c>
    </row>
    <row r="34" spans="2:11">
      <c r="B34" s="351" t="s">
        <v>7960</v>
      </c>
      <c r="C34" s="352"/>
      <c r="D34" s="352"/>
      <c r="E34" s="352"/>
      <c r="F34" s="353"/>
      <c r="G34" s="353"/>
      <c r="H34" s="353"/>
      <c r="I34" s="353"/>
      <c r="J34" s="353"/>
      <c r="K34" s="354"/>
    </row>
    <row r="35" spans="2:11">
      <c r="B35" s="355" t="s">
        <v>7961</v>
      </c>
      <c r="C35" s="356"/>
      <c r="D35" s="356"/>
      <c r="E35" s="356"/>
      <c r="F35" s="357"/>
      <c r="G35" s="358"/>
      <c r="H35" s="358"/>
      <c r="I35" s="359"/>
      <c r="J35" s="360"/>
      <c r="K35" s="360"/>
    </row>
    <row r="36" spans="2:11">
      <c r="B36" s="355"/>
      <c r="C36" s="356" t="s">
        <v>45</v>
      </c>
      <c r="D36" s="356"/>
      <c r="E36" s="356"/>
      <c r="F36" s="357"/>
      <c r="G36" s="358"/>
      <c r="H36" s="361"/>
      <c r="I36" s="359"/>
      <c r="J36" s="360"/>
      <c r="K36" s="362">
        <v>2.5179999999999998</v>
      </c>
    </row>
    <row r="37" spans="2:11">
      <c r="B37" s="345"/>
      <c r="C37" s="346"/>
      <c r="D37" s="346"/>
      <c r="E37" s="346"/>
      <c r="F37" s="363"/>
      <c r="G37" s="364"/>
      <c r="H37" s="365"/>
      <c r="I37" s="366"/>
      <c r="J37" s="367"/>
      <c r="K37" s="368">
        <v>2.2999999999999687E-2</v>
      </c>
    </row>
    <row r="38" spans="2:11">
      <c r="B38" s="345"/>
      <c r="C38" s="346" t="s">
        <v>1984</v>
      </c>
      <c r="D38" s="346"/>
      <c r="E38" s="346"/>
      <c r="F38" s="363"/>
      <c r="G38" s="364"/>
      <c r="H38" s="365"/>
      <c r="I38" s="366"/>
      <c r="J38" s="367"/>
      <c r="K38" s="369">
        <v>1.75</v>
      </c>
    </row>
    <row r="39" spans="2:11">
      <c r="B39" s="345"/>
      <c r="C39" s="346"/>
      <c r="D39" s="346"/>
      <c r="E39" s="346"/>
      <c r="F39" s="363"/>
      <c r="G39" s="364"/>
      <c r="H39" s="365"/>
      <c r="I39" s="366"/>
      <c r="J39" s="367"/>
      <c r="K39" s="368">
        <v>8.4000000000000075E-2</v>
      </c>
    </row>
    <row r="40" spans="2:11">
      <c r="B40" s="345"/>
      <c r="C40" s="346" t="s">
        <v>7962</v>
      </c>
      <c r="D40" s="346"/>
      <c r="E40" s="346"/>
      <c r="F40" s="363"/>
      <c r="G40" s="364"/>
      <c r="H40" s="365"/>
      <c r="I40" s="366"/>
      <c r="J40" s="367"/>
      <c r="K40" s="369">
        <v>0.94199999999999995</v>
      </c>
    </row>
    <row r="41" spans="2:11">
      <c r="B41" s="345"/>
      <c r="C41" s="346"/>
      <c r="D41" s="346"/>
      <c r="E41" s="346"/>
      <c r="F41" s="363"/>
      <c r="G41" s="364"/>
      <c r="H41" s="365"/>
      <c r="I41" s="366"/>
      <c r="J41" s="367"/>
      <c r="K41" s="368">
        <v>2.6999999999999913E-2</v>
      </c>
    </row>
    <row r="42" spans="2:11">
      <c r="B42" s="345"/>
      <c r="C42" s="346" t="s">
        <v>85</v>
      </c>
      <c r="D42" s="346"/>
      <c r="E42" s="346"/>
      <c r="F42" s="363"/>
      <c r="G42" s="364"/>
      <c r="H42" s="370"/>
      <c r="I42" s="366"/>
      <c r="J42" s="367"/>
      <c r="K42" s="371">
        <v>5.21</v>
      </c>
    </row>
    <row r="43" spans="2:11">
      <c r="B43" s="372"/>
      <c r="C43" s="373"/>
      <c r="D43" s="373"/>
      <c r="E43" s="373"/>
      <c r="F43" s="374"/>
      <c r="G43" s="375"/>
      <c r="H43" s="376"/>
      <c r="I43" s="377"/>
      <c r="J43" s="378"/>
      <c r="K43" s="379">
        <v>0.13399999999999967</v>
      </c>
    </row>
  </sheetData>
  <mergeCells count="1">
    <mergeCell ref="B7:E7"/>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K40"/>
  <sheetViews>
    <sheetView zoomScale="85" zoomScaleNormal="85" workbookViewId="0">
      <pane xSplit="1" ySplit="4" topLeftCell="J5" activePane="bottomRight" state="frozen"/>
      <selection pane="topRight" activeCell="V23" sqref="V23"/>
      <selection pane="bottomLeft" activeCell="V23" sqref="V23"/>
      <selection pane="bottomRight" activeCell="AB11" sqref="AB11"/>
    </sheetView>
  </sheetViews>
  <sheetFormatPr defaultRowHeight="12.75"/>
  <cols>
    <col min="1" max="1" width="36.140625" style="13" customWidth="1"/>
    <col min="2" max="2" width="9.85546875" style="13" bestFit="1" customWidth="1"/>
    <col min="3" max="3" width="8.7109375" style="13" bestFit="1" customWidth="1"/>
    <col min="4" max="5" width="9.5703125" style="13" bestFit="1" customWidth="1"/>
    <col min="6" max="6" width="9.28515625" style="13" bestFit="1" customWidth="1"/>
    <col min="7" max="7" width="9.85546875" style="13" bestFit="1" customWidth="1"/>
    <col min="8" max="8" width="8.7109375" style="13" bestFit="1" customWidth="1"/>
    <col min="9" max="11" width="9.5703125" style="13" bestFit="1" customWidth="1"/>
    <col min="12" max="12" width="9.85546875" style="13" bestFit="1" customWidth="1"/>
    <col min="13" max="13" width="8.7109375" style="13" bestFit="1" customWidth="1"/>
    <col min="14" max="14" width="9.28515625" style="13" bestFit="1" customWidth="1"/>
    <col min="15" max="15" width="9.5703125" style="13" bestFit="1" customWidth="1"/>
    <col min="16" max="16" width="9.28515625" style="13" bestFit="1" customWidth="1"/>
    <col min="17" max="17" width="9.85546875" style="13" bestFit="1" customWidth="1"/>
    <col min="18" max="18" width="9.28515625" style="13" bestFit="1" customWidth="1"/>
    <col min="19" max="20" width="9.5703125" style="13" bestFit="1" customWidth="1"/>
    <col min="21" max="21" width="9.28515625" style="13" bestFit="1" customWidth="1"/>
    <col min="22" max="22" width="9.85546875" style="13" bestFit="1" customWidth="1"/>
    <col min="23" max="23" width="9.28515625" style="13" bestFit="1" customWidth="1"/>
    <col min="24" max="24" width="9.5703125" style="13" bestFit="1" customWidth="1"/>
    <col min="25" max="25" width="9.28515625" style="13" bestFit="1" customWidth="1"/>
    <col min="26" max="26" width="9.5703125" style="13" bestFit="1" customWidth="1"/>
    <col min="27" max="27" width="9.85546875" style="13" bestFit="1" customWidth="1"/>
    <col min="28" max="28" width="9.5703125" style="13" bestFit="1" customWidth="1"/>
    <col min="29" max="29" width="9.28515625" style="13" bestFit="1" customWidth="1"/>
    <col min="30" max="31" width="9.5703125" style="13" bestFit="1" customWidth="1"/>
    <col min="32" max="32" width="9.85546875" style="13" bestFit="1" customWidth="1"/>
    <col min="33" max="33" width="11.42578125" style="13" customWidth="1"/>
    <col min="34" max="63" width="7.85546875" style="13" customWidth="1"/>
    <col min="64" max="256" width="11.42578125" style="13" customWidth="1"/>
    <col min="257" max="257" width="36.140625" style="13" customWidth="1"/>
    <col min="258" max="258" width="8.42578125" style="13" customWidth="1"/>
    <col min="259" max="259" width="6.5703125" style="13" customWidth="1"/>
    <col min="260" max="262" width="7.85546875" style="13" customWidth="1"/>
    <col min="263" max="263" width="8.42578125" style="13" customWidth="1"/>
    <col min="264" max="264" width="6.5703125" style="13" customWidth="1"/>
    <col min="265" max="267" width="7.85546875" style="13" customWidth="1"/>
    <col min="268" max="268" width="8.42578125" style="13" customWidth="1"/>
    <col min="269" max="269" width="6.5703125" style="13" customWidth="1"/>
    <col min="270" max="272" width="7.85546875" style="13" customWidth="1"/>
    <col min="273" max="273" width="8.42578125" style="13" customWidth="1"/>
    <col min="274" max="277" width="7.85546875" style="13" customWidth="1"/>
    <col min="278" max="278" width="8.42578125" style="13" customWidth="1"/>
    <col min="279" max="288" width="7.85546875" style="13" customWidth="1"/>
    <col min="289" max="512" width="11.42578125" style="13" customWidth="1"/>
    <col min="513" max="513" width="36.140625" style="13" customWidth="1"/>
    <col min="514" max="514" width="8.42578125" style="13" customWidth="1"/>
    <col min="515" max="515" width="6.5703125" style="13" customWidth="1"/>
    <col min="516" max="518" width="7.85546875" style="13" customWidth="1"/>
    <col min="519" max="519" width="8.42578125" style="13" customWidth="1"/>
    <col min="520" max="520" width="6.5703125" style="13" customWidth="1"/>
    <col min="521" max="523" width="7.85546875" style="13" customWidth="1"/>
    <col min="524" max="524" width="8.42578125" style="13" customWidth="1"/>
    <col min="525" max="525" width="6.5703125" style="13" customWidth="1"/>
    <col min="526" max="528" width="7.85546875" style="13" customWidth="1"/>
    <col min="529" max="529" width="8.42578125" style="13" customWidth="1"/>
    <col min="530" max="533" width="7.85546875" style="13" customWidth="1"/>
    <col min="534" max="534" width="8.42578125" style="13" customWidth="1"/>
    <col min="535" max="544" width="7.85546875" style="13" customWidth="1"/>
    <col min="545" max="768" width="11.42578125" style="13" customWidth="1"/>
    <col min="769" max="769" width="36.140625" style="13" customWidth="1"/>
    <col min="770" max="770" width="8.42578125" style="13" customWidth="1"/>
    <col min="771" max="771" width="6.5703125" style="13" customWidth="1"/>
    <col min="772" max="774" width="7.85546875" style="13" customWidth="1"/>
    <col min="775" max="775" width="8.42578125" style="13" customWidth="1"/>
    <col min="776" max="776" width="6.5703125" style="13" customWidth="1"/>
    <col min="777" max="779" width="7.85546875" style="13" customWidth="1"/>
    <col min="780" max="780" width="8.42578125" style="13" customWidth="1"/>
    <col min="781" max="781" width="6.5703125" style="13" customWidth="1"/>
    <col min="782" max="784" width="7.85546875" style="13" customWidth="1"/>
    <col min="785" max="785" width="8.42578125" style="13" customWidth="1"/>
    <col min="786" max="789" width="7.85546875" style="13" customWidth="1"/>
    <col min="790" max="790" width="8.42578125" style="13" customWidth="1"/>
    <col min="791" max="800" width="7.85546875" style="13" customWidth="1"/>
    <col min="801" max="1024" width="11.42578125" style="13" customWidth="1"/>
    <col min="1025" max="1025" width="36.140625" style="13" customWidth="1"/>
    <col min="1026" max="1026" width="8.42578125" style="13" customWidth="1"/>
    <col min="1027" max="1027" width="6.5703125" style="13" customWidth="1"/>
    <col min="1028" max="1030" width="7.85546875" style="13" customWidth="1"/>
    <col min="1031" max="1031" width="8.42578125" style="13" customWidth="1"/>
    <col min="1032" max="1032" width="6.5703125" style="13" customWidth="1"/>
    <col min="1033" max="1035" width="7.85546875" style="13" customWidth="1"/>
    <col min="1036" max="1036" width="8.42578125" style="13" customWidth="1"/>
    <col min="1037" max="1037" width="6.5703125" style="13" customWidth="1"/>
    <col min="1038" max="1040" width="7.85546875" style="13" customWidth="1"/>
    <col min="1041" max="1041" width="8.42578125" style="13" customWidth="1"/>
    <col min="1042" max="1045" width="7.85546875" style="13" customWidth="1"/>
    <col min="1046" max="1046" width="8.42578125" style="13" customWidth="1"/>
    <col min="1047" max="1056" width="7.85546875" style="13" customWidth="1"/>
    <col min="1057" max="1280" width="11.42578125" style="13" customWidth="1"/>
    <col min="1281" max="1281" width="36.140625" style="13" customWidth="1"/>
    <col min="1282" max="1282" width="8.42578125" style="13" customWidth="1"/>
    <col min="1283" max="1283" width="6.5703125" style="13" customWidth="1"/>
    <col min="1284" max="1286" width="7.85546875" style="13" customWidth="1"/>
    <col min="1287" max="1287" width="8.42578125" style="13" customWidth="1"/>
    <col min="1288" max="1288" width="6.5703125" style="13" customWidth="1"/>
    <col min="1289" max="1291" width="7.85546875" style="13" customWidth="1"/>
    <col min="1292" max="1292" width="8.42578125" style="13" customWidth="1"/>
    <col min="1293" max="1293" width="6.5703125" style="13" customWidth="1"/>
    <col min="1294" max="1296" width="7.85546875" style="13" customWidth="1"/>
    <col min="1297" max="1297" width="8.42578125" style="13" customWidth="1"/>
    <col min="1298" max="1301" width="7.85546875" style="13" customWidth="1"/>
    <col min="1302" max="1302" width="8.42578125" style="13" customWidth="1"/>
    <col min="1303" max="1312" width="7.85546875" style="13" customWidth="1"/>
    <col min="1313" max="1536" width="11.42578125" style="13" customWidth="1"/>
    <col min="1537" max="1537" width="36.140625" style="13" customWidth="1"/>
    <col min="1538" max="1538" width="8.42578125" style="13" customWidth="1"/>
    <col min="1539" max="1539" width="6.5703125" style="13" customWidth="1"/>
    <col min="1540" max="1542" width="7.85546875" style="13" customWidth="1"/>
    <col min="1543" max="1543" width="8.42578125" style="13" customWidth="1"/>
    <col min="1544" max="1544" width="6.5703125" style="13" customWidth="1"/>
    <col min="1545" max="1547" width="7.85546875" style="13" customWidth="1"/>
    <col min="1548" max="1548" width="8.42578125" style="13" customWidth="1"/>
    <col min="1549" max="1549" width="6.5703125" style="13" customWidth="1"/>
    <col min="1550" max="1552" width="7.85546875" style="13" customWidth="1"/>
    <col min="1553" max="1553" width="8.42578125" style="13" customWidth="1"/>
    <col min="1554" max="1557" width="7.85546875" style="13" customWidth="1"/>
    <col min="1558" max="1558" width="8.42578125" style="13" customWidth="1"/>
    <col min="1559" max="1568" width="7.85546875" style="13" customWidth="1"/>
    <col min="1569" max="1792" width="11.42578125" style="13" customWidth="1"/>
    <col min="1793" max="1793" width="36.140625" style="13" customWidth="1"/>
    <col min="1794" max="1794" width="8.42578125" style="13" customWidth="1"/>
    <col min="1795" max="1795" width="6.5703125" style="13" customWidth="1"/>
    <col min="1796" max="1798" width="7.85546875" style="13" customWidth="1"/>
    <col min="1799" max="1799" width="8.42578125" style="13" customWidth="1"/>
    <col min="1800" max="1800" width="6.5703125" style="13" customWidth="1"/>
    <col min="1801" max="1803" width="7.85546875" style="13" customWidth="1"/>
    <col min="1804" max="1804" width="8.42578125" style="13" customWidth="1"/>
    <col min="1805" max="1805" width="6.5703125" style="13" customWidth="1"/>
    <col min="1806" max="1808" width="7.85546875" style="13" customWidth="1"/>
    <col min="1809" max="1809" width="8.42578125" style="13" customWidth="1"/>
    <col min="1810" max="1813" width="7.85546875" style="13" customWidth="1"/>
    <col min="1814" max="1814" width="8.42578125" style="13" customWidth="1"/>
    <col min="1815" max="1824" width="7.85546875" style="13" customWidth="1"/>
    <col min="1825" max="2048" width="11.42578125" style="13" customWidth="1"/>
    <col min="2049" max="2049" width="36.140625" style="13" customWidth="1"/>
    <col min="2050" max="2050" width="8.42578125" style="13" customWidth="1"/>
    <col min="2051" max="2051" width="6.5703125" style="13" customWidth="1"/>
    <col min="2052" max="2054" width="7.85546875" style="13" customWidth="1"/>
    <col min="2055" max="2055" width="8.42578125" style="13" customWidth="1"/>
    <col min="2056" max="2056" width="6.5703125" style="13" customWidth="1"/>
    <col min="2057" max="2059" width="7.85546875" style="13" customWidth="1"/>
    <col min="2060" max="2060" width="8.42578125" style="13" customWidth="1"/>
    <col min="2061" max="2061" width="6.5703125" style="13" customWidth="1"/>
    <col min="2062" max="2064" width="7.85546875" style="13" customWidth="1"/>
    <col min="2065" max="2065" width="8.42578125" style="13" customWidth="1"/>
    <col min="2066" max="2069" width="7.85546875" style="13" customWidth="1"/>
    <col min="2070" max="2070" width="8.42578125" style="13" customWidth="1"/>
    <col min="2071" max="2080" width="7.85546875" style="13" customWidth="1"/>
    <col min="2081" max="2304" width="11.42578125" style="13" customWidth="1"/>
    <col min="2305" max="2305" width="36.140625" style="13" customWidth="1"/>
    <col min="2306" max="2306" width="8.42578125" style="13" customWidth="1"/>
    <col min="2307" max="2307" width="6.5703125" style="13" customWidth="1"/>
    <col min="2308" max="2310" width="7.85546875" style="13" customWidth="1"/>
    <col min="2311" max="2311" width="8.42578125" style="13" customWidth="1"/>
    <col min="2312" max="2312" width="6.5703125" style="13" customWidth="1"/>
    <col min="2313" max="2315" width="7.85546875" style="13" customWidth="1"/>
    <col min="2316" max="2316" width="8.42578125" style="13" customWidth="1"/>
    <col min="2317" max="2317" width="6.5703125" style="13" customWidth="1"/>
    <col min="2318" max="2320" width="7.85546875" style="13" customWidth="1"/>
    <col min="2321" max="2321" width="8.42578125" style="13" customWidth="1"/>
    <col min="2322" max="2325" width="7.85546875" style="13" customWidth="1"/>
    <col min="2326" max="2326" width="8.42578125" style="13" customWidth="1"/>
    <col min="2327" max="2336" width="7.85546875" style="13" customWidth="1"/>
    <col min="2337" max="2560" width="11.42578125" style="13" customWidth="1"/>
    <col min="2561" max="2561" width="36.140625" style="13" customWidth="1"/>
    <col min="2562" max="2562" width="8.42578125" style="13" customWidth="1"/>
    <col min="2563" max="2563" width="6.5703125" style="13" customWidth="1"/>
    <col min="2564" max="2566" width="7.85546875" style="13" customWidth="1"/>
    <col min="2567" max="2567" width="8.42578125" style="13" customWidth="1"/>
    <col min="2568" max="2568" width="6.5703125" style="13" customWidth="1"/>
    <col min="2569" max="2571" width="7.85546875" style="13" customWidth="1"/>
    <col min="2572" max="2572" width="8.42578125" style="13" customWidth="1"/>
    <col min="2573" max="2573" width="6.5703125" style="13" customWidth="1"/>
    <col min="2574" max="2576" width="7.85546875" style="13" customWidth="1"/>
    <col min="2577" max="2577" width="8.42578125" style="13" customWidth="1"/>
    <col min="2578" max="2581" width="7.85546875" style="13" customWidth="1"/>
    <col min="2582" max="2582" width="8.42578125" style="13" customWidth="1"/>
    <col min="2583" max="2592" width="7.85546875" style="13" customWidth="1"/>
    <col min="2593" max="2816" width="11.42578125" style="13" customWidth="1"/>
    <col min="2817" max="2817" width="36.140625" style="13" customWidth="1"/>
    <col min="2818" max="2818" width="8.42578125" style="13" customWidth="1"/>
    <col min="2819" max="2819" width="6.5703125" style="13" customWidth="1"/>
    <col min="2820" max="2822" width="7.85546875" style="13" customWidth="1"/>
    <col min="2823" max="2823" width="8.42578125" style="13" customWidth="1"/>
    <col min="2824" max="2824" width="6.5703125" style="13" customWidth="1"/>
    <col min="2825" max="2827" width="7.85546875" style="13" customWidth="1"/>
    <col min="2828" max="2828" width="8.42578125" style="13" customWidth="1"/>
    <col min="2829" max="2829" width="6.5703125" style="13" customWidth="1"/>
    <col min="2830" max="2832" width="7.85546875" style="13" customWidth="1"/>
    <col min="2833" max="2833" width="8.42578125" style="13" customWidth="1"/>
    <col min="2834" max="2837" width="7.85546875" style="13" customWidth="1"/>
    <col min="2838" max="2838" width="8.42578125" style="13" customWidth="1"/>
    <col min="2839" max="2848" width="7.85546875" style="13" customWidth="1"/>
    <col min="2849" max="3072" width="11.42578125" style="13" customWidth="1"/>
    <col min="3073" max="3073" width="36.140625" style="13" customWidth="1"/>
    <col min="3074" max="3074" width="8.42578125" style="13" customWidth="1"/>
    <col min="3075" max="3075" width="6.5703125" style="13" customWidth="1"/>
    <col min="3076" max="3078" width="7.85546875" style="13" customWidth="1"/>
    <col min="3079" max="3079" width="8.42578125" style="13" customWidth="1"/>
    <col min="3080" max="3080" width="6.5703125" style="13" customWidth="1"/>
    <col min="3081" max="3083" width="7.85546875" style="13" customWidth="1"/>
    <col min="3084" max="3084" width="8.42578125" style="13" customWidth="1"/>
    <col min="3085" max="3085" width="6.5703125" style="13" customWidth="1"/>
    <col min="3086" max="3088" width="7.85546875" style="13" customWidth="1"/>
    <col min="3089" max="3089" width="8.42578125" style="13" customWidth="1"/>
    <col min="3090" max="3093" width="7.85546875" style="13" customWidth="1"/>
    <col min="3094" max="3094" width="8.42578125" style="13" customWidth="1"/>
    <col min="3095" max="3104" width="7.85546875" style="13" customWidth="1"/>
    <col min="3105" max="3328" width="11.42578125" style="13" customWidth="1"/>
    <col min="3329" max="3329" width="36.140625" style="13" customWidth="1"/>
    <col min="3330" max="3330" width="8.42578125" style="13" customWidth="1"/>
    <col min="3331" max="3331" width="6.5703125" style="13" customWidth="1"/>
    <col min="3332" max="3334" width="7.85546875" style="13" customWidth="1"/>
    <col min="3335" max="3335" width="8.42578125" style="13" customWidth="1"/>
    <col min="3336" max="3336" width="6.5703125" style="13" customWidth="1"/>
    <col min="3337" max="3339" width="7.85546875" style="13" customWidth="1"/>
    <col min="3340" max="3340" width="8.42578125" style="13" customWidth="1"/>
    <col min="3341" max="3341" width="6.5703125" style="13" customWidth="1"/>
    <col min="3342" max="3344" width="7.85546875" style="13" customWidth="1"/>
    <col min="3345" max="3345" width="8.42578125" style="13" customWidth="1"/>
    <col min="3346" max="3349" width="7.85546875" style="13" customWidth="1"/>
    <col min="3350" max="3350" width="8.42578125" style="13" customWidth="1"/>
    <col min="3351" max="3360" width="7.85546875" style="13" customWidth="1"/>
    <col min="3361" max="3584" width="11.42578125" style="13" customWidth="1"/>
    <col min="3585" max="3585" width="36.140625" style="13" customWidth="1"/>
    <col min="3586" max="3586" width="8.42578125" style="13" customWidth="1"/>
    <col min="3587" max="3587" width="6.5703125" style="13" customWidth="1"/>
    <col min="3588" max="3590" width="7.85546875" style="13" customWidth="1"/>
    <col min="3591" max="3591" width="8.42578125" style="13" customWidth="1"/>
    <col min="3592" max="3592" width="6.5703125" style="13" customWidth="1"/>
    <col min="3593" max="3595" width="7.85546875" style="13" customWidth="1"/>
    <col min="3596" max="3596" width="8.42578125" style="13" customWidth="1"/>
    <col min="3597" max="3597" width="6.5703125" style="13" customWidth="1"/>
    <col min="3598" max="3600" width="7.85546875" style="13" customWidth="1"/>
    <col min="3601" max="3601" width="8.42578125" style="13" customWidth="1"/>
    <col min="3602" max="3605" width="7.85546875" style="13" customWidth="1"/>
    <col min="3606" max="3606" width="8.42578125" style="13" customWidth="1"/>
    <col min="3607" max="3616" width="7.85546875" style="13" customWidth="1"/>
    <col min="3617" max="3840" width="11.42578125" style="13" customWidth="1"/>
    <col min="3841" max="3841" width="36.140625" style="13" customWidth="1"/>
    <col min="3842" max="3842" width="8.42578125" style="13" customWidth="1"/>
    <col min="3843" max="3843" width="6.5703125" style="13" customWidth="1"/>
    <col min="3844" max="3846" width="7.85546875" style="13" customWidth="1"/>
    <col min="3847" max="3847" width="8.42578125" style="13" customWidth="1"/>
    <col min="3848" max="3848" width="6.5703125" style="13" customWidth="1"/>
    <col min="3849" max="3851" width="7.85546875" style="13" customWidth="1"/>
    <col min="3852" max="3852" width="8.42578125" style="13" customWidth="1"/>
    <col min="3853" max="3853" width="6.5703125" style="13" customWidth="1"/>
    <col min="3854" max="3856" width="7.85546875" style="13" customWidth="1"/>
    <col min="3857" max="3857" width="8.42578125" style="13" customWidth="1"/>
    <col min="3858" max="3861" width="7.85546875" style="13" customWidth="1"/>
    <col min="3862" max="3862" width="8.42578125" style="13" customWidth="1"/>
    <col min="3863" max="3872" width="7.85546875" style="13" customWidth="1"/>
    <col min="3873" max="4096" width="11.42578125" style="13" customWidth="1"/>
    <col min="4097" max="4097" width="36.140625" style="13" customWidth="1"/>
    <col min="4098" max="4098" width="8.42578125" style="13" customWidth="1"/>
    <col min="4099" max="4099" width="6.5703125" style="13" customWidth="1"/>
    <col min="4100" max="4102" width="7.85546875" style="13" customWidth="1"/>
    <col min="4103" max="4103" width="8.42578125" style="13" customWidth="1"/>
    <col min="4104" max="4104" width="6.5703125" style="13" customWidth="1"/>
    <col min="4105" max="4107" width="7.85546875" style="13" customWidth="1"/>
    <col min="4108" max="4108" width="8.42578125" style="13" customWidth="1"/>
    <col min="4109" max="4109" width="6.5703125" style="13" customWidth="1"/>
    <col min="4110" max="4112" width="7.85546875" style="13" customWidth="1"/>
    <col min="4113" max="4113" width="8.42578125" style="13" customWidth="1"/>
    <col min="4114" max="4117" width="7.85546875" style="13" customWidth="1"/>
    <col min="4118" max="4118" width="8.42578125" style="13" customWidth="1"/>
    <col min="4119" max="4128" width="7.85546875" style="13" customWidth="1"/>
    <col min="4129" max="4352" width="11.42578125" style="13" customWidth="1"/>
    <col min="4353" max="4353" width="36.140625" style="13" customWidth="1"/>
    <col min="4354" max="4354" width="8.42578125" style="13" customWidth="1"/>
    <col min="4355" max="4355" width="6.5703125" style="13" customWidth="1"/>
    <col min="4356" max="4358" width="7.85546875" style="13" customWidth="1"/>
    <col min="4359" max="4359" width="8.42578125" style="13" customWidth="1"/>
    <col min="4360" max="4360" width="6.5703125" style="13" customWidth="1"/>
    <col min="4361" max="4363" width="7.85546875" style="13" customWidth="1"/>
    <col min="4364" max="4364" width="8.42578125" style="13" customWidth="1"/>
    <col min="4365" max="4365" width="6.5703125" style="13" customWidth="1"/>
    <col min="4366" max="4368" width="7.85546875" style="13" customWidth="1"/>
    <col min="4369" max="4369" width="8.42578125" style="13" customWidth="1"/>
    <col min="4370" max="4373" width="7.85546875" style="13" customWidth="1"/>
    <col min="4374" max="4374" width="8.42578125" style="13" customWidth="1"/>
    <col min="4375" max="4384" width="7.85546875" style="13" customWidth="1"/>
    <col min="4385" max="4608" width="11.42578125" style="13" customWidth="1"/>
    <col min="4609" max="4609" width="36.140625" style="13" customWidth="1"/>
    <col min="4610" max="4610" width="8.42578125" style="13" customWidth="1"/>
    <col min="4611" max="4611" width="6.5703125" style="13" customWidth="1"/>
    <col min="4612" max="4614" width="7.85546875" style="13" customWidth="1"/>
    <col min="4615" max="4615" width="8.42578125" style="13" customWidth="1"/>
    <col min="4616" max="4616" width="6.5703125" style="13" customWidth="1"/>
    <col min="4617" max="4619" width="7.85546875" style="13" customWidth="1"/>
    <col min="4620" max="4620" width="8.42578125" style="13" customWidth="1"/>
    <col min="4621" max="4621" width="6.5703125" style="13" customWidth="1"/>
    <col min="4622" max="4624" width="7.85546875" style="13" customWidth="1"/>
    <col min="4625" max="4625" width="8.42578125" style="13" customWidth="1"/>
    <col min="4626" max="4629" width="7.85546875" style="13" customWidth="1"/>
    <col min="4630" max="4630" width="8.42578125" style="13" customWidth="1"/>
    <col min="4631" max="4640" width="7.85546875" style="13" customWidth="1"/>
    <col min="4641" max="4864" width="11.42578125" style="13" customWidth="1"/>
    <col min="4865" max="4865" width="36.140625" style="13" customWidth="1"/>
    <col min="4866" max="4866" width="8.42578125" style="13" customWidth="1"/>
    <col min="4867" max="4867" width="6.5703125" style="13" customWidth="1"/>
    <col min="4868" max="4870" width="7.85546875" style="13" customWidth="1"/>
    <col min="4871" max="4871" width="8.42578125" style="13" customWidth="1"/>
    <col min="4872" max="4872" width="6.5703125" style="13" customWidth="1"/>
    <col min="4873" max="4875" width="7.85546875" style="13" customWidth="1"/>
    <col min="4876" max="4876" width="8.42578125" style="13" customWidth="1"/>
    <col min="4877" max="4877" width="6.5703125" style="13" customWidth="1"/>
    <col min="4878" max="4880" width="7.85546875" style="13" customWidth="1"/>
    <col min="4881" max="4881" width="8.42578125" style="13" customWidth="1"/>
    <col min="4882" max="4885" width="7.85546875" style="13" customWidth="1"/>
    <col min="4886" max="4886" width="8.42578125" style="13" customWidth="1"/>
    <col min="4887" max="4896" width="7.85546875" style="13" customWidth="1"/>
    <col min="4897" max="5120" width="11.42578125" style="13" customWidth="1"/>
    <col min="5121" max="5121" width="36.140625" style="13" customWidth="1"/>
    <col min="5122" max="5122" width="8.42578125" style="13" customWidth="1"/>
    <col min="5123" max="5123" width="6.5703125" style="13" customWidth="1"/>
    <col min="5124" max="5126" width="7.85546875" style="13" customWidth="1"/>
    <col min="5127" max="5127" width="8.42578125" style="13" customWidth="1"/>
    <col min="5128" max="5128" width="6.5703125" style="13" customWidth="1"/>
    <col min="5129" max="5131" width="7.85546875" style="13" customWidth="1"/>
    <col min="5132" max="5132" width="8.42578125" style="13" customWidth="1"/>
    <col min="5133" max="5133" width="6.5703125" style="13" customWidth="1"/>
    <col min="5134" max="5136" width="7.85546875" style="13" customWidth="1"/>
    <col min="5137" max="5137" width="8.42578125" style="13" customWidth="1"/>
    <col min="5138" max="5141" width="7.85546875" style="13" customWidth="1"/>
    <col min="5142" max="5142" width="8.42578125" style="13" customWidth="1"/>
    <col min="5143" max="5152" width="7.85546875" style="13" customWidth="1"/>
    <col min="5153" max="5376" width="11.42578125" style="13" customWidth="1"/>
    <col min="5377" max="5377" width="36.140625" style="13" customWidth="1"/>
    <col min="5378" max="5378" width="8.42578125" style="13" customWidth="1"/>
    <col min="5379" max="5379" width="6.5703125" style="13" customWidth="1"/>
    <col min="5380" max="5382" width="7.85546875" style="13" customWidth="1"/>
    <col min="5383" max="5383" width="8.42578125" style="13" customWidth="1"/>
    <col min="5384" max="5384" width="6.5703125" style="13" customWidth="1"/>
    <col min="5385" max="5387" width="7.85546875" style="13" customWidth="1"/>
    <col min="5388" max="5388" width="8.42578125" style="13" customWidth="1"/>
    <col min="5389" max="5389" width="6.5703125" style="13" customWidth="1"/>
    <col min="5390" max="5392" width="7.85546875" style="13" customWidth="1"/>
    <col min="5393" max="5393" width="8.42578125" style="13" customWidth="1"/>
    <col min="5394" max="5397" width="7.85546875" style="13" customWidth="1"/>
    <col min="5398" max="5398" width="8.42578125" style="13" customWidth="1"/>
    <col min="5399" max="5408" width="7.85546875" style="13" customWidth="1"/>
    <col min="5409" max="5632" width="11.42578125" style="13" customWidth="1"/>
    <col min="5633" max="5633" width="36.140625" style="13" customWidth="1"/>
    <col min="5634" max="5634" width="8.42578125" style="13" customWidth="1"/>
    <col min="5635" max="5635" width="6.5703125" style="13" customWidth="1"/>
    <col min="5636" max="5638" width="7.85546875" style="13" customWidth="1"/>
    <col min="5639" max="5639" width="8.42578125" style="13" customWidth="1"/>
    <col min="5640" max="5640" width="6.5703125" style="13" customWidth="1"/>
    <col min="5641" max="5643" width="7.85546875" style="13" customWidth="1"/>
    <col min="5644" max="5644" width="8.42578125" style="13" customWidth="1"/>
    <col min="5645" max="5645" width="6.5703125" style="13" customWidth="1"/>
    <col min="5646" max="5648" width="7.85546875" style="13" customWidth="1"/>
    <col min="5649" max="5649" width="8.42578125" style="13" customWidth="1"/>
    <col min="5650" max="5653" width="7.85546875" style="13" customWidth="1"/>
    <col min="5654" max="5654" width="8.42578125" style="13" customWidth="1"/>
    <col min="5655" max="5664" width="7.85546875" style="13" customWidth="1"/>
    <col min="5665" max="5888" width="11.42578125" style="13" customWidth="1"/>
    <col min="5889" max="5889" width="36.140625" style="13" customWidth="1"/>
    <col min="5890" max="5890" width="8.42578125" style="13" customWidth="1"/>
    <col min="5891" max="5891" width="6.5703125" style="13" customWidth="1"/>
    <col min="5892" max="5894" width="7.85546875" style="13" customWidth="1"/>
    <col min="5895" max="5895" width="8.42578125" style="13" customWidth="1"/>
    <col min="5896" max="5896" width="6.5703125" style="13" customWidth="1"/>
    <col min="5897" max="5899" width="7.85546875" style="13" customWidth="1"/>
    <col min="5900" max="5900" width="8.42578125" style="13" customWidth="1"/>
    <col min="5901" max="5901" width="6.5703125" style="13" customWidth="1"/>
    <col min="5902" max="5904" width="7.85546875" style="13" customWidth="1"/>
    <col min="5905" max="5905" width="8.42578125" style="13" customWidth="1"/>
    <col min="5906" max="5909" width="7.85546875" style="13" customWidth="1"/>
    <col min="5910" max="5910" width="8.42578125" style="13" customWidth="1"/>
    <col min="5911" max="5920" width="7.85546875" style="13" customWidth="1"/>
    <col min="5921" max="6144" width="11.42578125" style="13" customWidth="1"/>
    <col min="6145" max="6145" width="36.140625" style="13" customWidth="1"/>
    <col min="6146" max="6146" width="8.42578125" style="13" customWidth="1"/>
    <col min="6147" max="6147" width="6.5703125" style="13" customWidth="1"/>
    <col min="6148" max="6150" width="7.85546875" style="13" customWidth="1"/>
    <col min="6151" max="6151" width="8.42578125" style="13" customWidth="1"/>
    <col min="6152" max="6152" width="6.5703125" style="13" customWidth="1"/>
    <col min="6153" max="6155" width="7.85546875" style="13" customWidth="1"/>
    <col min="6156" max="6156" width="8.42578125" style="13" customWidth="1"/>
    <col min="6157" max="6157" width="6.5703125" style="13" customWidth="1"/>
    <col min="6158" max="6160" width="7.85546875" style="13" customWidth="1"/>
    <col min="6161" max="6161" width="8.42578125" style="13" customWidth="1"/>
    <col min="6162" max="6165" width="7.85546875" style="13" customWidth="1"/>
    <col min="6166" max="6166" width="8.42578125" style="13" customWidth="1"/>
    <col min="6167" max="6176" width="7.85546875" style="13" customWidth="1"/>
    <col min="6177" max="6400" width="11.42578125" style="13" customWidth="1"/>
    <col min="6401" max="6401" width="36.140625" style="13" customWidth="1"/>
    <col min="6402" max="6402" width="8.42578125" style="13" customWidth="1"/>
    <col min="6403" max="6403" width="6.5703125" style="13" customWidth="1"/>
    <col min="6404" max="6406" width="7.85546875" style="13" customWidth="1"/>
    <col min="6407" max="6407" width="8.42578125" style="13" customWidth="1"/>
    <col min="6408" max="6408" width="6.5703125" style="13" customWidth="1"/>
    <col min="6409" max="6411" width="7.85546875" style="13" customWidth="1"/>
    <col min="6412" max="6412" width="8.42578125" style="13" customWidth="1"/>
    <col min="6413" max="6413" width="6.5703125" style="13" customWidth="1"/>
    <col min="6414" max="6416" width="7.85546875" style="13" customWidth="1"/>
    <col min="6417" max="6417" width="8.42578125" style="13" customWidth="1"/>
    <col min="6418" max="6421" width="7.85546875" style="13" customWidth="1"/>
    <col min="6422" max="6422" width="8.42578125" style="13" customWidth="1"/>
    <col min="6423" max="6432" width="7.85546875" style="13" customWidth="1"/>
    <col min="6433" max="6656" width="11.42578125" style="13" customWidth="1"/>
    <col min="6657" max="6657" width="36.140625" style="13" customWidth="1"/>
    <col min="6658" max="6658" width="8.42578125" style="13" customWidth="1"/>
    <col min="6659" max="6659" width="6.5703125" style="13" customWidth="1"/>
    <col min="6660" max="6662" width="7.85546875" style="13" customWidth="1"/>
    <col min="6663" max="6663" width="8.42578125" style="13" customWidth="1"/>
    <col min="6664" max="6664" width="6.5703125" style="13" customWidth="1"/>
    <col min="6665" max="6667" width="7.85546875" style="13" customWidth="1"/>
    <col min="6668" max="6668" width="8.42578125" style="13" customWidth="1"/>
    <col min="6669" max="6669" width="6.5703125" style="13" customWidth="1"/>
    <col min="6670" max="6672" width="7.85546875" style="13" customWidth="1"/>
    <col min="6673" max="6673" width="8.42578125" style="13" customWidth="1"/>
    <col min="6674" max="6677" width="7.85546875" style="13" customWidth="1"/>
    <col min="6678" max="6678" width="8.42578125" style="13" customWidth="1"/>
    <col min="6679" max="6688" width="7.85546875" style="13" customWidth="1"/>
    <col min="6689" max="6912" width="11.42578125" style="13" customWidth="1"/>
    <col min="6913" max="6913" width="36.140625" style="13" customWidth="1"/>
    <col min="6914" max="6914" width="8.42578125" style="13" customWidth="1"/>
    <col min="6915" max="6915" width="6.5703125" style="13" customWidth="1"/>
    <col min="6916" max="6918" width="7.85546875" style="13" customWidth="1"/>
    <col min="6919" max="6919" width="8.42578125" style="13" customWidth="1"/>
    <col min="6920" max="6920" width="6.5703125" style="13" customWidth="1"/>
    <col min="6921" max="6923" width="7.85546875" style="13" customWidth="1"/>
    <col min="6924" max="6924" width="8.42578125" style="13" customWidth="1"/>
    <col min="6925" max="6925" width="6.5703125" style="13" customWidth="1"/>
    <col min="6926" max="6928" width="7.85546875" style="13" customWidth="1"/>
    <col min="6929" max="6929" width="8.42578125" style="13" customWidth="1"/>
    <col min="6930" max="6933" width="7.85546875" style="13" customWidth="1"/>
    <col min="6934" max="6934" width="8.42578125" style="13" customWidth="1"/>
    <col min="6935" max="6944" width="7.85546875" style="13" customWidth="1"/>
    <col min="6945" max="7168" width="11.42578125" style="13" customWidth="1"/>
    <col min="7169" max="7169" width="36.140625" style="13" customWidth="1"/>
    <col min="7170" max="7170" width="8.42578125" style="13" customWidth="1"/>
    <col min="7171" max="7171" width="6.5703125" style="13" customWidth="1"/>
    <col min="7172" max="7174" width="7.85546875" style="13" customWidth="1"/>
    <col min="7175" max="7175" width="8.42578125" style="13" customWidth="1"/>
    <col min="7176" max="7176" width="6.5703125" style="13" customWidth="1"/>
    <col min="7177" max="7179" width="7.85546875" style="13" customWidth="1"/>
    <col min="7180" max="7180" width="8.42578125" style="13" customWidth="1"/>
    <col min="7181" max="7181" width="6.5703125" style="13" customWidth="1"/>
    <col min="7182" max="7184" width="7.85546875" style="13" customWidth="1"/>
    <col min="7185" max="7185" width="8.42578125" style="13" customWidth="1"/>
    <col min="7186" max="7189" width="7.85546875" style="13" customWidth="1"/>
    <col min="7190" max="7190" width="8.42578125" style="13" customWidth="1"/>
    <col min="7191" max="7200" width="7.85546875" style="13" customWidth="1"/>
    <col min="7201" max="7424" width="11.42578125" style="13" customWidth="1"/>
    <col min="7425" max="7425" width="36.140625" style="13" customWidth="1"/>
    <col min="7426" max="7426" width="8.42578125" style="13" customWidth="1"/>
    <col min="7427" max="7427" width="6.5703125" style="13" customWidth="1"/>
    <col min="7428" max="7430" width="7.85546875" style="13" customWidth="1"/>
    <col min="7431" max="7431" width="8.42578125" style="13" customWidth="1"/>
    <col min="7432" max="7432" width="6.5703125" style="13" customWidth="1"/>
    <col min="7433" max="7435" width="7.85546875" style="13" customWidth="1"/>
    <col min="7436" max="7436" width="8.42578125" style="13" customWidth="1"/>
    <col min="7437" max="7437" width="6.5703125" style="13" customWidth="1"/>
    <col min="7438" max="7440" width="7.85546875" style="13" customWidth="1"/>
    <col min="7441" max="7441" width="8.42578125" style="13" customWidth="1"/>
    <col min="7442" max="7445" width="7.85546875" style="13" customWidth="1"/>
    <col min="7446" max="7446" width="8.42578125" style="13" customWidth="1"/>
    <col min="7447" max="7456" width="7.85546875" style="13" customWidth="1"/>
    <col min="7457" max="7680" width="11.42578125" style="13" customWidth="1"/>
    <col min="7681" max="7681" width="36.140625" style="13" customWidth="1"/>
    <col min="7682" max="7682" width="8.42578125" style="13" customWidth="1"/>
    <col min="7683" max="7683" width="6.5703125" style="13" customWidth="1"/>
    <col min="7684" max="7686" width="7.85546875" style="13" customWidth="1"/>
    <col min="7687" max="7687" width="8.42578125" style="13" customWidth="1"/>
    <col min="7688" max="7688" width="6.5703125" style="13" customWidth="1"/>
    <col min="7689" max="7691" width="7.85546875" style="13" customWidth="1"/>
    <col min="7692" max="7692" width="8.42578125" style="13" customWidth="1"/>
    <col min="7693" max="7693" width="6.5703125" style="13" customWidth="1"/>
    <col min="7694" max="7696" width="7.85546875" style="13" customWidth="1"/>
    <col min="7697" max="7697" width="8.42578125" style="13" customWidth="1"/>
    <col min="7698" max="7701" width="7.85546875" style="13" customWidth="1"/>
    <col min="7702" max="7702" width="8.42578125" style="13" customWidth="1"/>
    <col min="7703" max="7712" width="7.85546875" style="13" customWidth="1"/>
    <col min="7713" max="7936" width="11.42578125" style="13" customWidth="1"/>
    <col min="7937" max="7937" width="36.140625" style="13" customWidth="1"/>
    <col min="7938" max="7938" width="8.42578125" style="13" customWidth="1"/>
    <col min="7939" max="7939" width="6.5703125" style="13" customWidth="1"/>
    <col min="7940" max="7942" width="7.85546875" style="13" customWidth="1"/>
    <col min="7943" max="7943" width="8.42578125" style="13" customWidth="1"/>
    <col min="7944" max="7944" width="6.5703125" style="13" customWidth="1"/>
    <col min="7945" max="7947" width="7.85546875" style="13" customWidth="1"/>
    <col min="7948" max="7948" width="8.42578125" style="13" customWidth="1"/>
    <col min="7949" max="7949" width="6.5703125" style="13" customWidth="1"/>
    <col min="7950" max="7952" width="7.85546875" style="13" customWidth="1"/>
    <col min="7953" max="7953" width="8.42578125" style="13" customWidth="1"/>
    <col min="7954" max="7957" width="7.85546875" style="13" customWidth="1"/>
    <col min="7958" max="7958" width="8.42578125" style="13" customWidth="1"/>
    <col min="7959" max="7968" width="7.85546875" style="13" customWidth="1"/>
    <col min="7969" max="8192" width="11.42578125" style="13" customWidth="1"/>
    <col min="8193" max="8193" width="36.140625" style="13" customWidth="1"/>
    <col min="8194" max="8194" width="8.42578125" style="13" customWidth="1"/>
    <col min="8195" max="8195" width="6.5703125" style="13" customWidth="1"/>
    <col min="8196" max="8198" width="7.85546875" style="13" customWidth="1"/>
    <col min="8199" max="8199" width="8.42578125" style="13" customWidth="1"/>
    <col min="8200" max="8200" width="6.5703125" style="13" customWidth="1"/>
    <col min="8201" max="8203" width="7.85546875" style="13" customWidth="1"/>
    <col min="8204" max="8204" width="8.42578125" style="13" customWidth="1"/>
    <col min="8205" max="8205" width="6.5703125" style="13" customWidth="1"/>
    <col min="8206" max="8208" width="7.85546875" style="13" customWidth="1"/>
    <col min="8209" max="8209" width="8.42578125" style="13" customWidth="1"/>
    <col min="8210" max="8213" width="7.85546875" style="13" customWidth="1"/>
    <col min="8214" max="8214" width="8.42578125" style="13" customWidth="1"/>
    <col min="8215" max="8224" width="7.85546875" style="13" customWidth="1"/>
    <col min="8225" max="8448" width="11.42578125" style="13" customWidth="1"/>
    <col min="8449" max="8449" width="36.140625" style="13" customWidth="1"/>
    <col min="8450" max="8450" width="8.42578125" style="13" customWidth="1"/>
    <col min="8451" max="8451" width="6.5703125" style="13" customWidth="1"/>
    <col min="8452" max="8454" width="7.85546875" style="13" customWidth="1"/>
    <col min="8455" max="8455" width="8.42578125" style="13" customWidth="1"/>
    <col min="8456" max="8456" width="6.5703125" style="13" customWidth="1"/>
    <col min="8457" max="8459" width="7.85546875" style="13" customWidth="1"/>
    <col min="8460" max="8460" width="8.42578125" style="13" customWidth="1"/>
    <col min="8461" max="8461" width="6.5703125" style="13" customWidth="1"/>
    <col min="8462" max="8464" width="7.85546875" style="13" customWidth="1"/>
    <col min="8465" max="8465" width="8.42578125" style="13" customWidth="1"/>
    <col min="8466" max="8469" width="7.85546875" style="13" customWidth="1"/>
    <col min="8470" max="8470" width="8.42578125" style="13" customWidth="1"/>
    <col min="8471" max="8480" width="7.85546875" style="13" customWidth="1"/>
    <col min="8481" max="8704" width="11.42578125" style="13" customWidth="1"/>
    <col min="8705" max="8705" width="36.140625" style="13" customWidth="1"/>
    <col min="8706" max="8706" width="8.42578125" style="13" customWidth="1"/>
    <col min="8707" max="8707" width="6.5703125" style="13" customWidth="1"/>
    <col min="8708" max="8710" width="7.85546875" style="13" customWidth="1"/>
    <col min="8711" max="8711" width="8.42578125" style="13" customWidth="1"/>
    <col min="8712" max="8712" width="6.5703125" style="13" customWidth="1"/>
    <col min="8713" max="8715" width="7.85546875" style="13" customWidth="1"/>
    <col min="8716" max="8716" width="8.42578125" style="13" customWidth="1"/>
    <col min="8717" max="8717" width="6.5703125" style="13" customWidth="1"/>
    <col min="8718" max="8720" width="7.85546875" style="13" customWidth="1"/>
    <col min="8721" max="8721" width="8.42578125" style="13" customWidth="1"/>
    <col min="8722" max="8725" width="7.85546875" style="13" customWidth="1"/>
    <col min="8726" max="8726" width="8.42578125" style="13" customWidth="1"/>
    <col min="8727" max="8736" width="7.85546875" style="13" customWidth="1"/>
    <col min="8737" max="8960" width="11.42578125" style="13" customWidth="1"/>
    <col min="8961" max="8961" width="36.140625" style="13" customWidth="1"/>
    <col min="8962" max="8962" width="8.42578125" style="13" customWidth="1"/>
    <col min="8963" max="8963" width="6.5703125" style="13" customWidth="1"/>
    <col min="8964" max="8966" width="7.85546875" style="13" customWidth="1"/>
    <col min="8967" max="8967" width="8.42578125" style="13" customWidth="1"/>
    <col min="8968" max="8968" width="6.5703125" style="13" customWidth="1"/>
    <col min="8969" max="8971" width="7.85546875" style="13" customWidth="1"/>
    <col min="8972" max="8972" width="8.42578125" style="13" customWidth="1"/>
    <col min="8973" max="8973" width="6.5703125" style="13" customWidth="1"/>
    <col min="8974" max="8976" width="7.85546875" style="13" customWidth="1"/>
    <col min="8977" max="8977" width="8.42578125" style="13" customWidth="1"/>
    <col min="8978" max="8981" width="7.85546875" style="13" customWidth="1"/>
    <col min="8982" max="8982" width="8.42578125" style="13" customWidth="1"/>
    <col min="8983" max="8992" width="7.85546875" style="13" customWidth="1"/>
    <col min="8993" max="9216" width="11.42578125" style="13" customWidth="1"/>
    <col min="9217" max="9217" width="36.140625" style="13" customWidth="1"/>
    <col min="9218" max="9218" width="8.42578125" style="13" customWidth="1"/>
    <col min="9219" max="9219" width="6.5703125" style="13" customWidth="1"/>
    <col min="9220" max="9222" width="7.85546875" style="13" customWidth="1"/>
    <col min="9223" max="9223" width="8.42578125" style="13" customWidth="1"/>
    <col min="9224" max="9224" width="6.5703125" style="13" customWidth="1"/>
    <col min="9225" max="9227" width="7.85546875" style="13" customWidth="1"/>
    <col min="9228" max="9228" width="8.42578125" style="13" customWidth="1"/>
    <col min="9229" max="9229" width="6.5703125" style="13" customWidth="1"/>
    <col min="9230" max="9232" width="7.85546875" style="13" customWidth="1"/>
    <col min="9233" max="9233" width="8.42578125" style="13" customWidth="1"/>
    <col min="9234" max="9237" width="7.85546875" style="13" customWidth="1"/>
    <col min="9238" max="9238" width="8.42578125" style="13" customWidth="1"/>
    <col min="9239" max="9248" width="7.85546875" style="13" customWidth="1"/>
    <col min="9249" max="9472" width="11.42578125" style="13" customWidth="1"/>
    <col min="9473" max="9473" width="36.140625" style="13" customWidth="1"/>
    <col min="9474" max="9474" width="8.42578125" style="13" customWidth="1"/>
    <col min="9475" max="9475" width="6.5703125" style="13" customWidth="1"/>
    <col min="9476" max="9478" width="7.85546875" style="13" customWidth="1"/>
    <col min="9479" max="9479" width="8.42578125" style="13" customWidth="1"/>
    <col min="9480" max="9480" width="6.5703125" style="13" customWidth="1"/>
    <col min="9481" max="9483" width="7.85546875" style="13" customWidth="1"/>
    <col min="9484" max="9484" width="8.42578125" style="13" customWidth="1"/>
    <col min="9485" max="9485" width="6.5703125" style="13" customWidth="1"/>
    <col min="9486" max="9488" width="7.85546875" style="13" customWidth="1"/>
    <col min="9489" max="9489" width="8.42578125" style="13" customWidth="1"/>
    <col min="9490" max="9493" width="7.85546875" style="13" customWidth="1"/>
    <col min="9494" max="9494" width="8.42578125" style="13" customWidth="1"/>
    <col min="9495" max="9504" width="7.85546875" style="13" customWidth="1"/>
    <col min="9505" max="9728" width="11.42578125" style="13" customWidth="1"/>
    <col min="9729" max="9729" width="36.140625" style="13" customWidth="1"/>
    <col min="9730" max="9730" width="8.42578125" style="13" customWidth="1"/>
    <col min="9731" max="9731" width="6.5703125" style="13" customWidth="1"/>
    <col min="9732" max="9734" width="7.85546875" style="13" customWidth="1"/>
    <col min="9735" max="9735" width="8.42578125" style="13" customWidth="1"/>
    <col min="9736" max="9736" width="6.5703125" style="13" customWidth="1"/>
    <col min="9737" max="9739" width="7.85546875" style="13" customWidth="1"/>
    <col min="9740" max="9740" width="8.42578125" style="13" customWidth="1"/>
    <col min="9741" max="9741" width="6.5703125" style="13" customWidth="1"/>
    <col min="9742" max="9744" width="7.85546875" style="13" customWidth="1"/>
    <col min="9745" max="9745" width="8.42578125" style="13" customWidth="1"/>
    <col min="9746" max="9749" width="7.85546875" style="13" customWidth="1"/>
    <col min="9750" max="9750" width="8.42578125" style="13" customWidth="1"/>
    <col min="9751" max="9760" width="7.85546875" style="13" customWidth="1"/>
    <col min="9761" max="9984" width="11.42578125" style="13" customWidth="1"/>
    <col min="9985" max="9985" width="36.140625" style="13" customWidth="1"/>
    <col min="9986" max="9986" width="8.42578125" style="13" customWidth="1"/>
    <col min="9987" max="9987" width="6.5703125" style="13" customWidth="1"/>
    <col min="9988" max="9990" width="7.85546875" style="13" customWidth="1"/>
    <col min="9991" max="9991" width="8.42578125" style="13" customWidth="1"/>
    <col min="9992" max="9992" width="6.5703125" style="13" customWidth="1"/>
    <col min="9993" max="9995" width="7.85546875" style="13" customWidth="1"/>
    <col min="9996" max="9996" width="8.42578125" style="13" customWidth="1"/>
    <col min="9997" max="9997" width="6.5703125" style="13" customWidth="1"/>
    <col min="9998" max="10000" width="7.85546875" style="13" customWidth="1"/>
    <col min="10001" max="10001" width="8.42578125" style="13" customWidth="1"/>
    <col min="10002" max="10005" width="7.85546875" style="13" customWidth="1"/>
    <col min="10006" max="10006" width="8.42578125" style="13" customWidth="1"/>
    <col min="10007" max="10016" width="7.85546875" style="13" customWidth="1"/>
    <col min="10017" max="10240" width="11.42578125" style="13" customWidth="1"/>
    <col min="10241" max="10241" width="36.140625" style="13" customWidth="1"/>
    <col min="10242" max="10242" width="8.42578125" style="13" customWidth="1"/>
    <col min="10243" max="10243" width="6.5703125" style="13" customWidth="1"/>
    <col min="10244" max="10246" width="7.85546875" style="13" customWidth="1"/>
    <col min="10247" max="10247" width="8.42578125" style="13" customWidth="1"/>
    <col min="10248" max="10248" width="6.5703125" style="13" customWidth="1"/>
    <col min="10249" max="10251" width="7.85546875" style="13" customWidth="1"/>
    <col min="10252" max="10252" width="8.42578125" style="13" customWidth="1"/>
    <col min="10253" max="10253" width="6.5703125" style="13" customWidth="1"/>
    <col min="10254" max="10256" width="7.85546875" style="13" customWidth="1"/>
    <col min="10257" max="10257" width="8.42578125" style="13" customWidth="1"/>
    <col min="10258" max="10261" width="7.85546875" style="13" customWidth="1"/>
    <col min="10262" max="10262" width="8.42578125" style="13" customWidth="1"/>
    <col min="10263" max="10272" width="7.85546875" style="13" customWidth="1"/>
    <col min="10273" max="10496" width="11.42578125" style="13" customWidth="1"/>
    <col min="10497" max="10497" width="36.140625" style="13" customWidth="1"/>
    <col min="10498" max="10498" width="8.42578125" style="13" customWidth="1"/>
    <col min="10499" max="10499" width="6.5703125" style="13" customWidth="1"/>
    <col min="10500" max="10502" width="7.85546875" style="13" customWidth="1"/>
    <col min="10503" max="10503" width="8.42578125" style="13" customWidth="1"/>
    <col min="10504" max="10504" width="6.5703125" style="13" customWidth="1"/>
    <col min="10505" max="10507" width="7.85546875" style="13" customWidth="1"/>
    <col min="10508" max="10508" width="8.42578125" style="13" customWidth="1"/>
    <col min="10509" max="10509" width="6.5703125" style="13" customWidth="1"/>
    <col min="10510" max="10512" width="7.85546875" style="13" customWidth="1"/>
    <col min="10513" max="10513" width="8.42578125" style="13" customWidth="1"/>
    <col min="10514" max="10517" width="7.85546875" style="13" customWidth="1"/>
    <col min="10518" max="10518" width="8.42578125" style="13" customWidth="1"/>
    <col min="10519" max="10528" width="7.85546875" style="13" customWidth="1"/>
    <col min="10529" max="10752" width="11.42578125" style="13" customWidth="1"/>
    <col min="10753" max="10753" width="36.140625" style="13" customWidth="1"/>
    <col min="10754" max="10754" width="8.42578125" style="13" customWidth="1"/>
    <col min="10755" max="10755" width="6.5703125" style="13" customWidth="1"/>
    <col min="10756" max="10758" width="7.85546875" style="13" customWidth="1"/>
    <col min="10759" max="10759" width="8.42578125" style="13" customWidth="1"/>
    <col min="10760" max="10760" width="6.5703125" style="13" customWidth="1"/>
    <col min="10761" max="10763" width="7.85546875" style="13" customWidth="1"/>
    <col min="10764" max="10764" width="8.42578125" style="13" customWidth="1"/>
    <col min="10765" max="10765" width="6.5703125" style="13" customWidth="1"/>
    <col min="10766" max="10768" width="7.85546875" style="13" customWidth="1"/>
    <col min="10769" max="10769" width="8.42578125" style="13" customWidth="1"/>
    <col min="10770" max="10773" width="7.85546875" style="13" customWidth="1"/>
    <col min="10774" max="10774" width="8.42578125" style="13" customWidth="1"/>
    <col min="10775" max="10784" width="7.85546875" style="13" customWidth="1"/>
    <col min="10785" max="11008" width="11.42578125" style="13" customWidth="1"/>
    <col min="11009" max="11009" width="36.140625" style="13" customWidth="1"/>
    <col min="11010" max="11010" width="8.42578125" style="13" customWidth="1"/>
    <col min="11011" max="11011" width="6.5703125" style="13" customWidth="1"/>
    <col min="11012" max="11014" width="7.85546875" style="13" customWidth="1"/>
    <col min="11015" max="11015" width="8.42578125" style="13" customWidth="1"/>
    <col min="11016" max="11016" width="6.5703125" style="13" customWidth="1"/>
    <col min="11017" max="11019" width="7.85546875" style="13" customWidth="1"/>
    <col min="11020" max="11020" width="8.42578125" style="13" customWidth="1"/>
    <col min="11021" max="11021" width="6.5703125" style="13" customWidth="1"/>
    <col min="11022" max="11024" width="7.85546875" style="13" customWidth="1"/>
    <col min="11025" max="11025" width="8.42578125" style="13" customWidth="1"/>
    <col min="11026" max="11029" width="7.85546875" style="13" customWidth="1"/>
    <col min="11030" max="11030" width="8.42578125" style="13" customWidth="1"/>
    <col min="11031" max="11040" width="7.85546875" style="13" customWidth="1"/>
    <col min="11041" max="11264" width="11.42578125" style="13" customWidth="1"/>
    <col min="11265" max="11265" width="36.140625" style="13" customWidth="1"/>
    <col min="11266" max="11266" width="8.42578125" style="13" customWidth="1"/>
    <col min="11267" max="11267" width="6.5703125" style="13" customWidth="1"/>
    <col min="11268" max="11270" width="7.85546875" style="13" customWidth="1"/>
    <col min="11271" max="11271" width="8.42578125" style="13" customWidth="1"/>
    <col min="11272" max="11272" width="6.5703125" style="13" customWidth="1"/>
    <col min="11273" max="11275" width="7.85546875" style="13" customWidth="1"/>
    <col min="11276" max="11276" width="8.42578125" style="13" customWidth="1"/>
    <col min="11277" max="11277" width="6.5703125" style="13" customWidth="1"/>
    <col min="11278" max="11280" width="7.85546875" style="13" customWidth="1"/>
    <col min="11281" max="11281" width="8.42578125" style="13" customWidth="1"/>
    <col min="11282" max="11285" width="7.85546875" style="13" customWidth="1"/>
    <col min="11286" max="11286" width="8.42578125" style="13" customWidth="1"/>
    <col min="11287" max="11296" width="7.85546875" style="13" customWidth="1"/>
    <col min="11297" max="11520" width="11.42578125" style="13" customWidth="1"/>
    <col min="11521" max="11521" width="36.140625" style="13" customWidth="1"/>
    <col min="11522" max="11522" width="8.42578125" style="13" customWidth="1"/>
    <col min="11523" max="11523" width="6.5703125" style="13" customWidth="1"/>
    <col min="11524" max="11526" width="7.85546875" style="13" customWidth="1"/>
    <col min="11527" max="11527" width="8.42578125" style="13" customWidth="1"/>
    <col min="11528" max="11528" width="6.5703125" style="13" customWidth="1"/>
    <col min="11529" max="11531" width="7.85546875" style="13" customWidth="1"/>
    <col min="11532" max="11532" width="8.42578125" style="13" customWidth="1"/>
    <col min="11533" max="11533" width="6.5703125" style="13" customWidth="1"/>
    <col min="11534" max="11536" width="7.85546875" style="13" customWidth="1"/>
    <col min="11537" max="11537" width="8.42578125" style="13" customWidth="1"/>
    <col min="11538" max="11541" width="7.85546875" style="13" customWidth="1"/>
    <col min="11542" max="11542" width="8.42578125" style="13" customWidth="1"/>
    <col min="11543" max="11552" width="7.85546875" style="13" customWidth="1"/>
    <col min="11553" max="11776" width="11.42578125" style="13" customWidth="1"/>
    <col min="11777" max="11777" width="36.140625" style="13" customWidth="1"/>
    <col min="11778" max="11778" width="8.42578125" style="13" customWidth="1"/>
    <col min="11779" max="11779" width="6.5703125" style="13" customWidth="1"/>
    <col min="11780" max="11782" width="7.85546875" style="13" customWidth="1"/>
    <col min="11783" max="11783" width="8.42578125" style="13" customWidth="1"/>
    <col min="11784" max="11784" width="6.5703125" style="13" customWidth="1"/>
    <col min="11785" max="11787" width="7.85546875" style="13" customWidth="1"/>
    <col min="11788" max="11788" width="8.42578125" style="13" customWidth="1"/>
    <col min="11789" max="11789" width="6.5703125" style="13" customWidth="1"/>
    <col min="11790" max="11792" width="7.85546875" style="13" customWidth="1"/>
    <col min="11793" max="11793" width="8.42578125" style="13" customWidth="1"/>
    <col min="11794" max="11797" width="7.85546875" style="13" customWidth="1"/>
    <col min="11798" max="11798" width="8.42578125" style="13" customWidth="1"/>
    <col min="11799" max="11808" width="7.85546875" style="13" customWidth="1"/>
    <col min="11809" max="12032" width="11.42578125" style="13" customWidth="1"/>
    <col min="12033" max="12033" width="36.140625" style="13" customWidth="1"/>
    <col min="12034" max="12034" width="8.42578125" style="13" customWidth="1"/>
    <col min="12035" max="12035" width="6.5703125" style="13" customWidth="1"/>
    <col min="12036" max="12038" width="7.85546875" style="13" customWidth="1"/>
    <col min="12039" max="12039" width="8.42578125" style="13" customWidth="1"/>
    <col min="12040" max="12040" width="6.5703125" style="13" customWidth="1"/>
    <col min="12041" max="12043" width="7.85546875" style="13" customWidth="1"/>
    <col min="12044" max="12044" width="8.42578125" style="13" customWidth="1"/>
    <col min="12045" max="12045" width="6.5703125" style="13" customWidth="1"/>
    <col min="12046" max="12048" width="7.85546875" style="13" customWidth="1"/>
    <col min="12049" max="12049" width="8.42578125" style="13" customWidth="1"/>
    <col min="12050" max="12053" width="7.85546875" style="13" customWidth="1"/>
    <col min="12054" max="12054" width="8.42578125" style="13" customWidth="1"/>
    <col min="12055" max="12064" width="7.85546875" style="13" customWidth="1"/>
    <col min="12065" max="12288" width="11.42578125" style="13" customWidth="1"/>
    <col min="12289" max="12289" width="36.140625" style="13" customWidth="1"/>
    <col min="12290" max="12290" width="8.42578125" style="13" customWidth="1"/>
    <col min="12291" max="12291" width="6.5703125" style="13" customWidth="1"/>
    <col min="12292" max="12294" width="7.85546875" style="13" customWidth="1"/>
    <col min="12295" max="12295" width="8.42578125" style="13" customWidth="1"/>
    <col min="12296" max="12296" width="6.5703125" style="13" customWidth="1"/>
    <col min="12297" max="12299" width="7.85546875" style="13" customWidth="1"/>
    <col min="12300" max="12300" width="8.42578125" style="13" customWidth="1"/>
    <col min="12301" max="12301" width="6.5703125" style="13" customWidth="1"/>
    <col min="12302" max="12304" width="7.85546875" style="13" customWidth="1"/>
    <col min="12305" max="12305" width="8.42578125" style="13" customWidth="1"/>
    <col min="12306" max="12309" width="7.85546875" style="13" customWidth="1"/>
    <col min="12310" max="12310" width="8.42578125" style="13" customWidth="1"/>
    <col min="12311" max="12320" width="7.85546875" style="13" customWidth="1"/>
    <col min="12321" max="12544" width="11.42578125" style="13" customWidth="1"/>
    <col min="12545" max="12545" width="36.140625" style="13" customWidth="1"/>
    <col min="12546" max="12546" width="8.42578125" style="13" customWidth="1"/>
    <col min="12547" max="12547" width="6.5703125" style="13" customWidth="1"/>
    <col min="12548" max="12550" width="7.85546875" style="13" customWidth="1"/>
    <col min="12551" max="12551" width="8.42578125" style="13" customWidth="1"/>
    <col min="12552" max="12552" width="6.5703125" style="13" customWidth="1"/>
    <col min="12553" max="12555" width="7.85546875" style="13" customWidth="1"/>
    <col min="12556" max="12556" width="8.42578125" style="13" customWidth="1"/>
    <col min="12557" max="12557" width="6.5703125" style="13" customWidth="1"/>
    <col min="12558" max="12560" width="7.85546875" style="13" customWidth="1"/>
    <col min="12561" max="12561" width="8.42578125" style="13" customWidth="1"/>
    <col min="12562" max="12565" width="7.85546875" style="13" customWidth="1"/>
    <col min="12566" max="12566" width="8.42578125" style="13" customWidth="1"/>
    <col min="12567" max="12576" width="7.85546875" style="13" customWidth="1"/>
    <col min="12577" max="12800" width="11.42578125" style="13" customWidth="1"/>
    <col min="12801" max="12801" width="36.140625" style="13" customWidth="1"/>
    <col min="12802" max="12802" width="8.42578125" style="13" customWidth="1"/>
    <col min="12803" max="12803" width="6.5703125" style="13" customWidth="1"/>
    <col min="12804" max="12806" width="7.85546875" style="13" customWidth="1"/>
    <col min="12807" max="12807" width="8.42578125" style="13" customWidth="1"/>
    <col min="12808" max="12808" width="6.5703125" style="13" customWidth="1"/>
    <col min="12809" max="12811" width="7.85546875" style="13" customWidth="1"/>
    <col min="12812" max="12812" width="8.42578125" style="13" customWidth="1"/>
    <col min="12813" max="12813" width="6.5703125" style="13" customWidth="1"/>
    <col min="12814" max="12816" width="7.85546875" style="13" customWidth="1"/>
    <col min="12817" max="12817" width="8.42578125" style="13" customWidth="1"/>
    <col min="12818" max="12821" width="7.85546875" style="13" customWidth="1"/>
    <col min="12822" max="12822" width="8.42578125" style="13" customWidth="1"/>
    <col min="12823" max="12832" width="7.85546875" style="13" customWidth="1"/>
    <col min="12833" max="13056" width="11.42578125" style="13" customWidth="1"/>
    <col min="13057" max="13057" width="36.140625" style="13" customWidth="1"/>
    <col min="13058" max="13058" width="8.42578125" style="13" customWidth="1"/>
    <col min="13059" max="13059" width="6.5703125" style="13" customWidth="1"/>
    <col min="13060" max="13062" width="7.85546875" style="13" customWidth="1"/>
    <col min="13063" max="13063" width="8.42578125" style="13" customWidth="1"/>
    <col min="13064" max="13064" width="6.5703125" style="13" customWidth="1"/>
    <col min="13065" max="13067" width="7.85546875" style="13" customWidth="1"/>
    <col min="13068" max="13068" width="8.42578125" style="13" customWidth="1"/>
    <col min="13069" max="13069" width="6.5703125" style="13" customWidth="1"/>
    <col min="13070" max="13072" width="7.85546875" style="13" customWidth="1"/>
    <col min="13073" max="13073" width="8.42578125" style="13" customWidth="1"/>
    <col min="13074" max="13077" width="7.85546875" style="13" customWidth="1"/>
    <col min="13078" max="13078" width="8.42578125" style="13" customWidth="1"/>
    <col min="13079" max="13088" width="7.85546875" style="13" customWidth="1"/>
    <col min="13089" max="13312" width="11.42578125" style="13" customWidth="1"/>
    <col min="13313" max="13313" width="36.140625" style="13" customWidth="1"/>
    <col min="13314" max="13314" width="8.42578125" style="13" customWidth="1"/>
    <col min="13315" max="13315" width="6.5703125" style="13" customWidth="1"/>
    <col min="13316" max="13318" width="7.85546875" style="13" customWidth="1"/>
    <col min="13319" max="13319" width="8.42578125" style="13" customWidth="1"/>
    <col min="13320" max="13320" width="6.5703125" style="13" customWidth="1"/>
    <col min="13321" max="13323" width="7.85546875" style="13" customWidth="1"/>
    <col min="13324" max="13324" width="8.42578125" style="13" customWidth="1"/>
    <col min="13325" max="13325" width="6.5703125" style="13" customWidth="1"/>
    <col min="13326" max="13328" width="7.85546875" style="13" customWidth="1"/>
    <col min="13329" max="13329" width="8.42578125" style="13" customWidth="1"/>
    <col min="13330" max="13333" width="7.85546875" style="13" customWidth="1"/>
    <col min="13334" max="13334" width="8.42578125" style="13" customWidth="1"/>
    <col min="13335" max="13344" width="7.85546875" style="13" customWidth="1"/>
    <col min="13345" max="13568" width="11.42578125" style="13" customWidth="1"/>
    <col min="13569" max="13569" width="36.140625" style="13" customWidth="1"/>
    <col min="13570" max="13570" width="8.42578125" style="13" customWidth="1"/>
    <col min="13571" max="13571" width="6.5703125" style="13" customWidth="1"/>
    <col min="13572" max="13574" width="7.85546875" style="13" customWidth="1"/>
    <col min="13575" max="13575" width="8.42578125" style="13" customWidth="1"/>
    <col min="13576" max="13576" width="6.5703125" style="13" customWidth="1"/>
    <col min="13577" max="13579" width="7.85546875" style="13" customWidth="1"/>
    <col min="13580" max="13580" width="8.42578125" style="13" customWidth="1"/>
    <col min="13581" max="13581" width="6.5703125" style="13" customWidth="1"/>
    <col min="13582" max="13584" width="7.85546875" style="13" customWidth="1"/>
    <col min="13585" max="13585" width="8.42578125" style="13" customWidth="1"/>
    <col min="13586" max="13589" width="7.85546875" style="13" customWidth="1"/>
    <col min="13590" max="13590" width="8.42578125" style="13" customWidth="1"/>
    <col min="13591" max="13600" width="7.85546875" style="13" customWidth="1"/>
    <col min="13601" max="13824" width="11.42578125" style="13" customWidth="1"/>
    <col min="13825" max="13825" width="36.140625" style="13" customWidth="1"/>
    <col min="13826" max="13826" width="8.42578125" style="13" customWidth="1"/>
    <col min="13827" max="13827" width="6.5703125" style="13" customWidth="1"/>
    <col min="13828" max="13830" width="7.85546875" style="13" customWidth="1"/>
    <col min="13831" max="13831" width="8.42578125" style="13" customWidth="1"/>
    <col min="13832" max="13832" width="6.5703125" style="13" customWidth="1"/>
    <col min="13833" max="13835" width="7.85546875" style="13" customWidth="1"/>
    <col min="13836" max="13836" width="8.42578125" style="13" customWidth="1"/>
    <col min="13837" max="13837" width="6.5703125" style="13" customWidth="1"/>
    <col min="13838" max="13840" width="7.85546875" style="13" customWidth="1"/>
    <col min="13841" max="13841" width="8.42578125" style="13" customWidth="1"/>
    <col min="13842" max="13845" width="7.85546875" style="13" customWidth="1"/>
    <col min="13846" max="13846" width="8.42578125" style="13" customWidth="1"/>
    <col min="13847" max="13856" width="7.85546875" style="13" customWidth="1"/>
    <col min="13857" max="14080" width="11.42578125" style="13" customWidth="1"/>
    <col min="14081" max="14081" width="36.140625" style="13" customWidth="1"/>
    <col min="14082" max="14082" width="8.42578125" style="13" customWidth="1"/>
    <col min="14083" max="14083" width="6.5703125" style="13" customWidth="1"/>
    <col min="14084" max="14086" width="7.85546875" style="13" customWidth="1"/>
    <col min="14087" max="14087" width="8.42578125" style="13" customWidth="1"/>
    <col min="14088" max="14088" width="6.5703125" style="13" customWidth="1"/>
    <col min="14089" max="14091" width="7.85546875" style="13" customWidth="1"/>
    <col min="14092" max="14092" width="8.42578125" style="13" customWidth="1"/>
    <col min="14093" max="14093" width="6.5703125" style="13" customWidth="1"/>
    <col min="14094" max="14096" width="7.85546875" style="13" customWidth="1"/>
    <col min="14097" max="14097" width="8.42578125" style="13" customWidth="1"/>
    <col min="14098" max="14101" width="7.85546875" style="13" customWidth="1"/>
    <col min="14102" max="14102" width="8.42578125" style="13" customWidth="1"/>
    <col min="14103" max="14112" width="7.85546875" style="13" customWidth="1"/>
    <col min="14113" max="14336" width="11.42578125" style="13" customWidth="1"/>
    <col min="14337" max="14337" width="36.140625" style="13" customWidth="1"/>
    <col min="14338" max="14338" width="8.42578125" style="13" customWidth="1"/>
    <col min="14339" max="14339" width="6.5703125" style="13" customWidth="1"/>
    <col min="14340" max="14342" width="7.85546875" style="13" customWidth="1"/>
    <col min="14343" max="14343" width="8.42578125" style="13" customWidth="1"/>
    <col min="14344" max="14344" width="6.5703125" style="13" customWidth="1"/>
    <col min="14345" max="14347" width="7.85546875" style="13" customWidth="1"/>
    <col min="14348" max="14348" width="8.42578125" style="13" customWidth="1"/>
    <col min="14349" max="14349" width="6.5703125" style="13" customWidth="1"/>
    <col min="14350" max="14352" width="7.85546875" style="13" customWidth="1"/>
    <col min="14353" max="14353" width="8.42578125" style="13" customWidth="1"/>
    <col min="14354" max="14357" width="7.85546875" style="13" customWidth="1"/>
    <col min="14358" max="14358" width="8.42578125" style="13" customWidth="1"/>
    <col min="14359" max="14368" width="7.85546875" style="13" customWidth="1"/>
    <col min="14369" max="14592" width="11.42578125" style="13" customWidth="1"/>
    <col min="14593" max="14593" width="36.140625" style="13" customWidth="1"/>
    <col min="14594" max="14594" width="8.42578125" style="13" customWidth="1"/>
    <col min="14595" max="14595" width="6.5703125" style="13" customWidth="1"/>
    <col min="14596" max="14598" width="7.85546875" style="13" customWidth="1"/>
    <col min="14599" max="14599" width="8.42578125" style="13" customWidth="1"/>
    <col min="14600" max="14600" width="6.5703125" style="13" customWidth="1"/>
    <col min="14601" max="14603" width="7.85546875" style="13" customWidth="1"/>
    <col min="14604" max="14604" width="8.42578125" style="13" customWidth="1"/>
    <col min="14605" max="14605" width="6.5703125" style="13" customWidth="1"/>
    <col min="14606" max="14608" width="7.85546875" style="13" customWidth="1"/>
    <col min="14609" max="14609" width="8.42578125" style="13" customWidth="1"/>
    <col min="14610" max="14613" width="7.85546875" style="13" customWidth="1"/>
    <col min="14614" max="14614" width="8.42578125" style="13" customWidth="1"/>
    <col min="14615" max="14624" width="7.85546875" style="13" customWidth="1"/>
    <col min="14625" max="14848" width="11.42578125" style="13" customWidth="1"/>
    <col min="14849" max="14849" width="36.140625" style="13" customWidth="1"/>
    <col min="14850" max="14850" width="8.42578125" style="13" customWidth="1"/>
    <col min="14851" max="14851" width="6.5703125" style="13" customWidth="1"/>
    <col min="14852" max="14854" width="7.85546875" style="13" customWidth="1"/>
    <col min="14855" max="14855" width="8.42578125" style="13" customWidth="1"/>
    <col min="14856" max="14856" width="6.5703125" style="13" customWidth="1"/>
    <col min="14857" max="14859" width="7.85546875" style="13" customWidth="1"/>
    <col min="14860" max="14860" width="8.42578125" style="13" customWidth="1"/>
    <col min="14861" max="14861" width="6.5703125" style="13" customWidth="1"/>
    <col min="14862" max="14864" width="7.85546875" style="13" customWidth="1"/>
    <col min="14865" max="14865" width="8.42578125" style="13" customWidth="1"/>
    <col min="14866" max="14869" width="7.85546875" style="13" customWidth="1"/>
    <col min="14870" max="14870" width="8.42578125" style="13" customWidth="1"/>
    <col min="14871" max="14880" width="7.85546875" style="13" customWidth="1"/>
    <col min="14881" max="15104" width="11.42578125" style="13" customWidth="1"/>
    <col min="15105" max="15105" width="36.140625" style="13" customWidth="1"/>
    <col min="15106" max="15106" width="8.42578125" style="13" customWidth="1"/>
    <col min="15107" max="15107" width="6.5703125" style="13" customWidth="1"/>
    <col min="15108" max="15110" width="7.85546875" style="13" customWidth="1"/>
    <col min="15111" max="15111" width="8.42578125" style="13" customWidth="1"/>
    <col min="15112" max="15112" width="6.5703125" style="13" customWidth="1"/>
    <col min="15113" max="15115" width="7.85546875" style="13" customWidth="1"/>
    <col min="15116" max="15116" width="8.42578125" style="13" customWidth="1"/>
    <col min="15117" max="15117" width="6.5703125" style="13" customWidth="1"/>
    <col min="15118" max="15120" width="7.85546875" style="13" customWidth="1"/>
    <col min="15121" max="15121" width="8.42578125" style="13" customWidth="1"/>
    <col min="15122" max="15125" width="7.85546875" style="13" customWidth="1"/>
    <col min="15126" max="15126" width="8.42578125" style="13" customWidth="1"/>
    <col min="15127" max="15136" width="7.85546875" style="13" customWidth="1"/>
    <col min="15137" max="15360" width="11.42578125" style="13" customWidth="1"/>
    <col min="15361" max="15361" width="36.140625" style="13" customWidth="1"/>
    <col min="15362" max="15362" width="8.42578125" style="13" customWidth="1"/>
    <col min="15363" max="15363" width="6.5703125" style="13" customWidth="1"/>
    <col min="15364" max="15366" width="7.85546875" style="13" customWidth="1"/>
    <col min="15367" max="15367" width="8.42578125" style="13" customWidth="1"/>
    <col min="15368" max="15368" width="6.5703125" style="13" customWidth="1"/>
    <col min="15369" max="15371" width="7.85546875" style="13" customWidth="1"/>
    <col min="15372" max="15372" width="8.42578125" style="13" customWidth="1"/>
    <col min="15373" max="15373" width="6.5703125" style="13" customWidth="1"/>
    <col min="15374" max="15376" width="7.85546875" style="13" customWidth="1"/>
    <col min="15377" max="15377" width="8.42578125" style="13" customWidth="1"/>
    <col min="15378" max="15381" width="7.85546875" style="13" customWidth="1"/>
    <col min="15382" max="15382" width="8.42578125" style="13" customWidth="1"/>
    <col min="15383" max="15392" width="7.85546875" style="13" customWidth="1"/>
    <col min="15393" max="15616" width="11.42578125" style="13" customWidth="1"/>
    <col min="15617" max="15617" width="36.140625" style="13" customWidth="1"/>
    <col min="15618" max="15618" width="8.42578125" style="13" customWidth="1"/>
    <col min="15619" max="15619" width="6.5703125" style="13" customWidth="1"/>
    <col min="15620" max="15622" width="7.85546875" style="13" customWidth="1"/>
    <col min="15623" max="15623" width="8.42578125" style="13" customWidth="1"/>
    <col min="15624" max="15624" width="6.5703125" style="13" customWidth="1"/>
    <col min="15625" max="15627" width="7.85546875" style="13" customWidth="1"/>
    <col min="15628" max="15628" width="8.42578125" style="13" customWidth="1"/>
    <col min="15629" max="15629" width="6.5703125" style="13" customWidth="1"/>
    <col min="15630" max="15632" width="7.85546875" style="13" customWidth="1"/>
    <col min="15633" max="15633" width="8.42578125" style="13" customWidth="1"/>
    <col min="15634" max="15637" width="7.85546875" style="13" customWidth="1"/>
    <col min="15638" max="15638" width="8.42578125" style="13" customWidth="1"/>
    <col min="15639" max="15648" width="7.85546875" style="13" customWidth="1"/>
    <col min="15649" max="15872" width="11.42578125" style="13" customWidth="1"/>
    <col min="15873" max="15873" width="36.140625" style="13" customWidth="1"/>
    <col min="15874" max="15874" width="8.42578125" style="13" customWidth="1"/>
    <col min="15875" max="15875" width="6.5703125" style="13" customWidth="1"/>
    <col min="15876" max="15878" width="7.85546875" style="13" customWidth="1"/>
    <col min="15879" max="15879" width="8.42578125" style="13" customWidth="1"/>
    <col min="15880" max="15880" width="6.5703125" style="13" customWidth="1"/>
    <col min="15881" max="15883" width="7.85546875" style="13" customWidth="1"/>
    <col min="15884" max="15884" width="8.42578125" style="13" customWidth="1"/>
    <col min="15885" max="15885" width="6.5703125" style="13" customWidth="1"/>
    <col min="15886" max="15888" width="7.85546875" style="13" customWidth="1"/>
    <col min="15889" max="15889" width="8.42578125" style="13" customWidth="1"/>
    <col min="15890" max="15893" width="7.85546875" style="13" customWidth="1"/>
    <col min="15894" max="15894" width="8.42578125" style="13" customWidth="1"/>
    <col min="15895" max="15904" width="7.85546875" style="13" customWidth="1"/>
    <col min="15905" max="16128" width="11.42578125" style="13" customWidth="1"/>
    <col min="16129" max="16129" width="36.140625" style="13" customWidth="1"/>
    <col min="16130" max="16130" width="8.42578125" style="13" customWidth="1"/>
    <col min="16131" max="16131" width="6.5703125" style="13" customWidth="1"/>
    <col min="16132" max="16134" width="7.85546875" style="13" customWidth="1"/>
    <col min="16135" max="16135" width="8.42578125" style="13" customWidth="1"/>
    <col min="16136" max="16136" width="6.5703125" style="13" customWidth="1"/>
    <col min="16137" max="16139" width="7.85546875" style="13" customWidth="1"/>
    <col min="16140" max="16140" width="8.42578125" style="13" customWidth="1"/>
    <col min="16141" max="16141" width="6.5703125" style="13" customWidth="1"/>
    <col min="16142" max="16144" width="7.85546875" style="13" customWidth="1"/>
    <col min="16145" max="16145" width="8.42578125" style="13" customWidth="1"/>
    <col min="16146" max="16149" width="7.85546875" style="13" customWidth="1"/>
    <col min="16150" max="16150" width="8.42578125" style="13" customWidth="1"/>
    <col min="16151" max="16160" width="7.85546875" style="13" customWidth="1"/>
    <col min="16161" max="16384" width="11.42578125" style="13" customWidth="1"/>
  </cols>
  <sheetData>
    <row r="2" spans="1:63">
      <c r="AH2" s="13" t="s">
        <v>7963</v>
      </c>
    </row>
    <row r="3" spans="1:63" ht="18.75" customHeight="1">
      <c r="A3" s="11" t="s">
        <v>687</v>
      </c>
      <c r="B3" s="12" t="s">
        <v>7964</v>
      </c>
      <c r="C3" s="2213" t="s">
        <v>7965</v>
      </c>
      <c r="D3" s="2214"/>
      <c r="E3" s="2214"/>
      <c r="F3" s="2214"/>
      <c r="G3" s="2215"/>
      <c r="H3" s="2213" t="s">
        <v>7966</v>
      </c>
      <c r="I3" s="2214"/>
      <c r="J3" s="2214"/>
      <c r="K3" s="2214"/>
      <c r="L3" s="2215"/>
      <c r="M3" s="2213" t="s">
        <v>7967</v>
      </c>
      <c r="N3" s="2214"/>
      <c r="O3" s="2214"/>
      <c r="P3" s="2214"/>
      <c r="Q3" s="2215"/>
      <c r="R3" s="2213" t="s">
        <v>7968</v>
      </c>
      <c r="S3" s="2214"/>
      <c r="T3" s="2214"/>
      <c r="U3" s="2214"/>
      <c r="V3" s="2215"/>
      <c r="W3" s="2213" t="s">
        <v>7969</v>
      </c>
      <c r="X3" s="2214"/>
      <c r="Y3" s="2214"/>
      <c r="Z3" s="2214"/>
      <c r="AA3" s="2215"/>
      <c r="AB3" s="2210">
        <v>2011</v>
      </c>
      <c r="AC3" s="2211"/>
      <c r="AD3" s="2211"/>
      <c r="AE3" s="2211"/>
      <c r="AF3" s="2212"/>
      <c r="AH3" s="2213" t="s">
        <v>7965</v>
      </c>
      <c r="AI3" s="2214"/>
      <c r="AJ3" s="2214"/>
      <c r="AK3" s="2214"/>
      <c r="AL3" s="2215"/>
      <c r="AM3" s="2213" t="s">
        <v>7966</v>
      </c>
      <c r="AN3" s="2214"/>
      <c r="AO3" s="2214"/>
      <c r="AP3" s="2214"/>
      <c r="AQ3" s="2215"/>
      <c r="AR3" s="2213" t="s">
        <v>7967</v>
      </c>
      <c r="AS3" s="2214"/>
      <c r="AT3" s="2214"/>
      <c r="AU3" s="2214"/>
      <c r="AV3" s="2215"/>
      <c r="AW3" s="2213" t="s">
        <v>7968</v>
      </c>
      <c r="AX3" s="2214"/>
      <c r="AY3" s="2214"/>
      <c r="AZ3" s="2214"/>
      <c r="BA3" s="2215"/>
      <c r="BB3" s="2213" t="s">
        <v>7969</v>
      </c>
      <c r="BC3" s="2214"/>
      <c r="BD3" s="2214"/>
      <c r="BE3" s="2214"/>
      <c r="BF3" s="2215"/>
      <c r="BG3" s="2210">
        <v>2011</v>
      </c>
      <c r="BH3" s="2211"/>
      <c r="BI3" s="2211"/>
      <c r="BJ3" s="2211"/>
      <c r="BK3" s="2212"/>
    </row>
    <row r="4" spans="1:63" ht="14.25" customHeight="1">
      <c r="A4" s="14"/>
      <c r="B4" s="15" t="s">
        <v>692</v>
      </c>
      <c r="C4" s="16" t="s">
        <v>688</v>
      </c>
      <c r="D4" s="17" t="s">
        <v>689</v>
      </c>
      <c r="E4" s="17" t="s">
        <v>690</v>
      </c>
      <c r="F4" s="17" t="s">
        <v>691</v>
      </c>
      <c r="G4" s="15" t="s">
        <v>692</v>
      </c>
      <c r="H4" s="16" t="s">
        <v>688</v>
      </c>
      <c r="I4" s="17" t="s">
        <v>689</v>
      </c>
      <c r="J4" s="17" t="s">
        <v>690</v>
      </c>
      <c r="K4" s="17" t="s">
        <v>691</v>
      </c>
      <c r="L4" s="15" t="s">
        <v>692</v>
      </c>
      <c r="M4" s="16" t="s">
        <v>688</v>
      </c>
      <c r="N4" s="17" t="s">
        <v>689</v>
      </c>
      <c r="O4" s="17" t="s">
        <v>690</v>
      </c>
      <c r="P4" s="17" t="s">
        <v>691</v>
      </c>
      <c r="Q4" s="15" t="s">
        <v>692</v>
      </c>
      <c r="R4" s="16" t="s">
        <v>688</v>
      </c>
      <c r="S4" s="17" t="s">
        <v>689</v>
      </c>
      <c r="T4" s="17" t="s">
        <v>690</v>
      </c>
      <c r="U4" s="17" t="s">
        <v>691</v>
      </c>
      <c r="V4" s="15" t="s">
        <v>692</v>
      </c>
      <c r="W4" s="16" t="s">
        <v>688</v>
      </c>
      <c r="X4" s="17" t="s">
        <v>689</v>
      </c>
      <c r="Y4" s="17" t="s">
        <v>690</v>
      </c>
      <c r="Z4" s="17" t="s">
        <v>691</v>
      </c>
      <c r="AA4" s="15" t="s">
        <v>692</v>
      </c>
      <c r="AB4" s="16" t="s">
        <v>688</v>
      </c>
      <c r="AC4" s="17" t="s">
        <v>689</v>
      </c>
      <c r="AD4" s="17" t="s">
        <v>690</v>
      </c>
      <c r="AE4" s="17" t="s">
        <v>691</v>
      </c>
      <c r="AF4" s="15" t="s">
        <v>692</v>
      </c>
      <c r="AH4" s="16" t="s">
        <v>688</v>
      </c>
      <c r="AI4" s="17" t="s">
        <v>689</v>
      </c>
      <c r="AJ4" s="17" t="s">
        <v>690</v>
      </c>
      <c r="AK4" s="17" t="s">
        <v>691</v>
      </c>
      <c r="AL4" s="15" t="s">
        <v>692</v>
      </c>
      <c r="AM4" s="16" t="s">
        <v>688</v>
      </c>
      <c r="AN4" s="17" t="s">
        <v>689</v>
      </c>
      <c r="AO4" s="17" t="s">
        <v>690</v>
      </c>
      <c r="AP4" s="17" t="s">
        <v>691</v>
      </c>
      <c r="AQ4" s="15" t="s">
        <v>692</v>
      </c>
      <c r="AR4" s="16" t="s">
        <v>688</v>
      </c>
      <c r="AS4" s="17" t="s">
        <v>689</v>
      </c>
      <c r="AT4" s="17" t="s">
        <v>690</v>
      </c>
      <c r="AU4" s="17" t="s">
        <v>691</v>
      </c>
      <c r="AV4" s="15" t="s">
        <v>692</v>
      </c>
      <c r="AW4" s="16" t="s">
        <v>688</v>
      </c>
      <c r="AX4" s="17" t="s">
        <v>689</v>
      </c>
      <c r="AY4" s="17" t="s">
        <v>690</v>
      </c>
      <c r="AZ4" s="17" t="s">
        <v>691</v>
      </c>
      <c r="BA4" s="15" t="s">
        <v>692</v>
      </c>
      <c r="BB4" s="16" t="s">
        <v>688</v>
      </c>
      <c r="BC4" s="17" t="s">
        <v>689</v>
      </c>
      <c r="BD4" s="17" t="s">
        <v>690</v>
      </c>
      <c r="BE4" s="17" t="s">
        <v>691</v>
      </c>
      <c r="BF4" s="15" t="s">
        <v>692</v>
      </c>
      <c r="BG4" s="16" t="s">
        <v>688</v>
      </c>
      <c r="BH4" s="17" t="s">
        <v>689</v>
      </c>
      <c r="BI4" s="17" t="s">
        <v>690</v>
      </c>
      <c r="BJ4" s="17" t="s">
        <v>691</v>
      </c>
      <c r="BK4" s="15" t="s">
        <v>692</v>
      </c>
    </row>
    <row r="5" spans="1:63" ht="14.25" customHeight="1">
      <c r="A5" s="14"/>
      <c r="B5" s="18"/>
      <c r="C5" s="19"/>
      <c r="D5" s="20"/>
      <c r="E5" s="20"/>
      <c r="F5" s="20"/>
      <c r="G5" s="18"/>
      <c r="H5" s="19"/>
      <c r="I5" s="20"/>
      <c r="J5" s="20"/>
      <c r="K5" s="20"/>
      <c r="L5" s="18"/>
      <c r="M5" s="19"/>
      <c r="N5" s="20"/>
      <c r="O5" s="20"/>
      <c r="P5" s="20"/>
      <c r="Q5" s="18"/>
      <c r="R5" s="19"/>
      <c r="S5" s="20"/>
      <c r="T5" s="20"/>
      <c r="U5" s="20"/>
      <c r="V5" s="18"/>
      <c r="W5" s="20"/>
      <c r="AA5" s="18"/>
      <c r="AB5" s="20"/>
    </row>
    <row r="6" spans="1:63">
      <c r="A6" s="21" t="s">
        <v>695</v>
      </c>
      <c r="B6" s="18"/>
      <c r="C6" s="19"/>
      <c r="D6" s="20"/>
      <c r="E6" s="20"/>
      <c r="F6" s="20"/>
      <c r="G6" s="18"/>
      <c r="H6" s="19"/>
      <c r="I6" s="20"/>
      <c r="J6" s="20"/>
      <c r="K6" s="20"/>
      <c r="L6" s="18"/>
      <c r="M6" s="19"/>
      <c r="N6" s="20"/>
      <c r="O6" s="20"/>
      <c r="P6" s="20"/>
      <c r="Q6" s="18"/>
      <c r="R6" s="19"/>
      <c r="S6" s="20"/>
      <c r="T6" s="20"/>
      <c r="U6" s="20"/>
      <c r="V6" s="18"/>
      <c r="W6" s="20"/>
      <c r="AA6" s="18"/>
      <c r="AB6" s="20"/>
    </row>
    <row r="7" spans="1:63" ht="14.25" customHeight="1">
      <c r="A7" s="22" t="s">
        <v>7970</v>
      </c>
      <c r="B7" s="23">
        <v>20049.898998278739</v>
      </c>
      <c r="C7" s="24">
        <v>4081.4138862835712</v>
      </c>
      <c r="D7" s="25">
        <v>6023.4058376359344</v>
      </c>
      <c r="E7" s="25">
        <v>5260.1214825096476</v>
      </c>
      <c r="F7" s="25">
        <v>6395.4924664435412</v>
      </c>
      <c r="G7" s="23">
        <v>21760.433672872699</v>
      </c>
      <c r="H7" s="24">
        <v>3926.3453168238079</v>
      </c>
      <c r="I7" s="25">
        <v>5091.8909766717297</v>
      </c>
      <c r="J7" s="25">
        <v>5438.4418460367706</v>
      </c>
      <c r="K7" s="25">
        <v>6756.4968608676927</v>
      </c>
      <c r="L7" s="23">
        <v>21213.175000399999</v>
      </c>
      <c r="M7" s="24">
        <v>3882.476000000001</v>
      </c>
      <c r="N7" s="25">
        <v>5290.8962109399999</v>
      </c>
      <c r="O7" s="25">
        <v>5576.8927890599998</v>
      </c>
      <c r="P7" s="25">
        <v>6710.3430319000008</v>
      </c>
      <c r="Q7" s="23">
        <v>21460.608031899999</v>
      </c>
      <c r="R7" s="24">
        <v>4041.7190163599998</v>
      </c>
      <c r="S7" s="25">
        <v>5301.4783482399998</v>
      </c>
      <c r="T7" s="25">
        <v>5471.9499508499994</v>
      </c>
      <c r="U7" s="25">
        <v>6746.4885044500006</v>
      </c>
      <c r="V7" s="23">
        <v>21561.635819899999</v>
      </c>
      <c r="W7" s="25">
        <v>4179.2</v>
      </c>
      <c r="X7" s="25">
        <v>5821</v>
      </c>
      <c r="Y7" s="25">
        <v>5860.5</v>
      </c>
      <c r="Z7" s="25">
        <v>6889.3999999999978</v>
      </c>
      <c r="AA7" s="23">
        <v>22750.1</v>
      </c>
      <c r="AB7" s="25">
        <v>4105.6000000000004</v>
      </c>
      <c r="AC7" s="25">
        <v>5478.7</v>
      </c>
      <c r="AD7" s="25">
        <v>6001.2</v>
      </c>
      <c r="AE7" s="25">
        <v>7243.7</v>
      </c>
      <c r="AF7" s="25">
        <f t="shared" ref="AF7:AF12" si="0">+SUM(AB7:AE7)</f>
        <v>22829.200000000001</v>
      </c>
      <c r="AG7" s="40"/>
      <c r="AH7" s="40"/>
      <c r="AI7" s="40"/>
      <c r="AJ7" s="40"/>
      <c r="AK7" s="40"/>
      <c r="AL7" s="40">
        <f t="shared" ref="AL7:AL31" si="1">G7/B7-1</f>
        <v>8.5313879872452647E-2</v>
      </c>
      <c r="AM7" s="40">
        <f t="shared" ref="AM7:AM31" si="2">H7/C7-1</f>
        <v>-3.7993835905959727E-2</v>
      </c>
      <c r="AN7" s="40">
        <f t="shared" ref="AN7:AN31" si="3">I7/D7-1</f>
        <v>-0.15464919450451731</v>
      </c>
      <c r="AO7" s="40">
        <f t="shared" ref="AO7:AO31" si="4">J7/E7-1</f>
        <v>3.3900426847564891E-2</v>
      </c>
      <c r="AP7" s="40">
        <f t="shared" ref="AP7:AP31" si="5">K7/F7-1</f>
        <v>5.6446692153622635E-2</v>
      </c>
      <c r="AQ7" s="40">
        <f t="shared" ref="AQ7:AQ31" si="6">L7/G7-1</f>
        <v>-2.5149253948690053E-2</v>
      </c>
      <c r="AR7" s="40">
        <f t="shared" ref="AR7:AR31" si="7">M7/H7-1</f>
        <v>-1.1173066371883644E-2</v>
      </c>
      <c r="AS7" s="40">
        <f t="shared" ref="AS7:AS31" si="8">N7/I7-1</f>
        <v>3.9082775962801186E-2</v>
      </c>
      <c r="AT7" s="40">
        <f t="shared" ref="AT7:AT31" si="9">O7/J7-1</f>
        <v>2.545783276585456E-2</v>
      </c>
      <c r="AU7" s="40">
        <f t="shared" ref="AU7:AU31" si="10">P7/K7-1</f>
        <v>-6.831029439975933E-3</v>
      </c>
      <c r="AV7" s="40">
        <f t="shared" ref="AV7:AV31" si="11">Q7/L7-1</f>
        <v>1.1664120599360395E-2</v>
      </c>
      <c r="AW7" s="40">
        <f t="shared" ref="AW7:AW31" si="12">R7/M7-1</f>
        <v>4.1015840499722067E-2</v>
      </c>
      <c r="AX7" s="40">
        <f t="shared" ref="AX7:AX31" si="13">S7/N7-1</f>
        <v>2.0000651833085303E-3</v>
      </c>
      <c r="AY7" s="40">
        <f t="shared" ref="AY7:AY31" si="14">T7/O7-1</f>
        <v>-1.8817438702759981E-2</v>
      </c>
      <c r="AZ7" s="40">
        <f t="shared" ref="AZ7:AZ31" si="15">U7/P7-1</f>
        <v>5.3865312664598264E-3</v>
      </c>
      <c r="BA7" s="40">
        <f t="shared" ref="BA7:BA31" si="16">V7/Q7-1</f>
        <v>4.7075920612233979E-3</v>
      </c>
      <c r="BB7" s="40">
        <f t="shared" ref="BB7:BB31" si="17">W7/R7-1</f>
        <v>3.4015472892476417E-2</v>
      </c>
      <c r="BC7" s="40">
        <f t="shared" ref="BC7:BC31" si="18">X7/S7-1</f>
        <v>9.7995618888544911E-2</v>
      </c>
      <c r="BD7" s="40">
        <f t="shared" ref="BD7:BD31" si="19">Y7/T7-1</f>
        <v>7.1007602891112631E-2</v>
      </c>
      <c r="BE7" s="40">
        <f t="shared" ref="BE7:BE31" si="20">Z7/U7-1</f>
        <v>2.1183093316728074E-2</v>
      </c>
      <c r="BF7" s="40">
        <f t="shared" ref="BF7:BF31" si="21">AA7/V7-1</f>
        <v>5.5119388437268935E-2</v>
      </c>
      <c r="BG7" s="40">
        <f t="shared" ref="BG7:BG31" si="22">AB7/W7-1</f>
        <v>-1.761102603369058E-2</v>
      </c>
      <c r="BH7" s="40">
        <f t="shared" ref="BH7:BH31" si="23">AC7/X7-1</f>
        <v>-5.8804329153066548E-2</v>
      </c>
      <c r="BI7" s="40">
        <f t="shared" ref="BI7:BI31" si="24">AD7/Y7-1</f>
        <v>2.4008190427437848E-2</v>
      </c>
      <c r="BJ7" s="40">
        <f t="shared" ref="BJ7:BJ31" si="25">AE7/Z7-1</f>
        <v>5.1426829622318593E-2</v>
      </c>
      <c r="BK7" s="40">
        <f>AF7/AA7-1</f>
        <v>3.4769077938119342E-3</v>
      </c>
    </row>
    <row r="8" spans="1:63" ht="14.25" customHeight="1">
      <c r="A8" s="22" t="s">
        <v>7971</v>
      </c>
      <c r="B8" s="23">
        <v>1199.6775888</v>
      </c>
      <c r="C8" s="24">
        <v>307.94964629999998</v>
      </c>
      <c r="D8" s="25">
        <v>352.18410569999998</v>
      </c>
      <c r="E8" s="25">
        <v>356.58588830000008</v>
      </c>
      <c r="F8" s="25">
        <v>362.28363039999988</v>
      </c>
      <c r="G8" s="23">
        <v>1379.0032707</v>
      </c>
      <c r="H8" s="24">
        <v>408.79584820000002</v>
      </c>
      <c r="I8" s="25">
        <v>450.73177349999992</v>
      </c>
      <c r="J8" s="25">
        <v>477.50985630000002</v>
      </c>
      <c r="K8" s="25">
        <v>514.93152199999997</v>
      </c>
      <c r="L8" s="23">
        <v>1851.9690000000001</v>
      </c>
      <c r="M8" s="24">
        <v>463.61700000000008</v>
      </c>
      <c r="N8" s="25">
        <v>514.66807343560026</v>
      </c>
      <c r="O8" s="25">
        <v>534.88788975632383</v>
      </c>
      <c r="P8" s="25">
        <v>699.32785617833167</v>
      </c>
      <c r="Q8" s="23">
        <v>2212.5008193702561</v>
      </c>
      <c r="R8" s="24">
        <v>608.35778853759984</v>
      </c>
      <c r="S8" s="25">
        <v>698.59634391229997</v>
      </c>
      <c r="T8" s="25">
        <v>687.85370051120015</v>
      </c>
      <c r="U8" s="25">
        <v>741.76875751680063</v>
      </c>
      <c r="V8" s="23">
        <v>2736.5765904779</v>
      </c>
      <c r="W8" s="25">
        <v>701.5</v>
      </c>
      <c r="X8" s="25">
        <v>777.1</v>
      </c>
      <c r="Y8" s="25">
        <v>809.6</v>
      </c>
      <c r="Z8" s="25">
        <v>858</v>
      </c>
      <c r="AA8" s="23">
        <v>3146.2</v>
      </c>
      <c r="AB8" s="25">
        <v>768.4</v>
      </c>
      <c r="AC8" s="25">
        <v>826.9</v>
      </c>
      <c r="AD8" s="25">
        <v>931.3</v>
      </c>
      <c r="AE8" s="25">
        <v>1058.3</v>
      </c>
      <c r="AF8" s="25">
        <f t="shared" si="0"/>
        <v>3584.8999999999996</v>
      </c>
      <c r="AG8" s="26"/>
      <c r="AH8" s="40"/>
      <c r="AI8" s="40"/>
      <c r="AJ8" s="40"/>
      <c r="AK8" s="40"/>
      <c r="AL8" s="40">
        <f t="shared" si="1"/>
        <v>0.14947822946277922</v>
      </c>
      <c r="AM8" s="40">
        <f t="shared" si="2"/>
        <v>0.32747627123999745</v>
      </c>
      <c r="AN8" s="40">
        <f t="shared" si="3"/>
        <v>0.27981861249566298</v>
      </c>
      <c r="AO8" s="40">
        <f t="shared" si="4"/>
        <v>0.3391159660762153</v>
      </c>
      <c r="AP8" s="40">
        <f t="shared" si="5"/>
        <v>0.42134912756466658</v>
      </c>
      <c r="AQ8" s="40">
        <f t="shared" si="6"/>
        <v>0.34297651017166664</v>
      </c>
      <c r="AR8" s="40">
        <f t="shared" si="7"/>
        <v>0.13410398378894306</v>
      </c>
      <c r="AS8" s="40">
        <f t="shared" si="8"/>
        <v>0.14184999526242703</v>
      </c>
      <c r="AT8" s="40">
        <f t="shared" si="9"/>
        <v>0.12016094055297466</v>
      </c>
      <c r="AU8" s="40">
        <f t="shared" si="10"/>
        <v>0.35809874963982447</v>
      </c>
      <c r="AV8" s="40">
        <f t="shared" si="11"/>
        <v>0.19467486732783112</v>
      </c>
      <c r="AW8" s="40">
        <f t="shared" si="12"/>
        <v>0.31219905339450404</v>
      </c>
      <c r="AX8" s="40">
        <f t="shared" si="13"/>
        <v>0.35737260570470264</v>
      </c>
      <c r="AY8" s="40">
        <f t="shared" si="14"/>
        <v>0.28597733036087658</v>
      </c>
      <c r="AZ8" s="40">
        <f t="shared" si="15"/>
        <v>6.0688132130755967E-2</v>
      </c>
      <c r="BA8" s="40">
        <f t="shared" si="16"/>
        <v>0.23687031729859953</v>
      </c>
      <c r="BB8" s="40">
        <f t="shared" si="17"/>
        <v>0.15310432975026078</v>
      </c>
      <c r="BC8" s="40">
        <f t="shared" si="18"/>
        <v>0.11237341387740662</v>
      </c>
      <c r="BD8" s="40">
        <f t="shared" si="19"/>
        <v>0.17699446757111326</v>
      </c>
      <c r="BE8" s="40">
        <f t="shared" si="20"/>
        <v>0.156694712881011</v>
      </c>
      <c r="BF8" s="40">
        <f t="shared" si="21"/>
        <v>0.14968461359620333</v>
      </c>
      <c r="BG8" s="40">
        <f t="shared" si="22"/>
        <v>9.5367070563079137E-2</v>
      </c>
      <c r="BH8" s="40">
        <f t="shared" si="23"/>
        <v>6.408441642002316E-2</v>
      </c>
      <c r="BI8" s="40">
        <f t="shared" si="24"/>
        <v>0.1503211462450591</v>
      </c>
      <c r="BJ8" s="40">
        <f t="shared" si="25"/>
        <v>0.23344988344988349</v>
      </c>
      <c r="BK8" s="40">
        <f t="shared" ref="BK8:BK31" si="26">AF8/AA8-1</f>
        <v>0.13943805225351213</v>
      </c>
    </row>
    <row r="9" spans="1:63" ht="14.25" customHeight="1">
      <c r="A9" s="22" t="s">
        <v>7972</v>
      </c>
      <c r="B9" s="23">
        <v>2025.3266662999999</v>
      </c>
      <c r="C9" s="24">
        <v>455.58038829999992</v>
      </c>
      <c r="D9" s="25">
        <v>551.11553879999997</v>
      </c>
      <c r="E9" s="25">
        <v>606.28360189999989</v>
      </c>
      <c r="F9" s="25">
        <v>577.29387180000003</v>
      </c>
      <c r="G9" s="23">
        <v>2190.2734008000002</v>
      </c>
      <c r="H9" s="24">
        <v>538.84622264939628</v>
      </c>
      <c r="I9" s="25">
        <v>598.96751466391277</v>
      </c>
      <c r="J9" s="25">
        <v>594.37325919999989</v>
      </c>
      <c r="K9" s="25">
        <v>529.94888619999983</v>
      </c>
      <c r="L9" s="23">
        <v>2262.135882713309</v>
      </c>
      <c r="M9" s="24">
        <v>578.29888144100005</v>
      </c>
      <c r="N9" s="25">
        <v>571.23716096199996</v>
      </c>
      <c r="O9" s="25">
        <v>551.92380884999989</v>
      </c>
      <c r="P9" s="25">
        <v>735.77725987100007</v>
      </c>
      <c r="Q9" s="23">
        <v>2437.237111124</v>
      </c>
      <c r="R9" s="24">
        <v>686.29931108799997</v>
      </c>
      <c r="S9" s="25">
        <v>638.4522480789999</v>
      </c>
      <c r="T9" s="25">
        <v>755.81540129799998</v>
      </c>
      <c r="U9" s="25">
        <v>765.35054988699994</v>
      </c>
      <c r="V9" s="23">
        <v>2845.9175103520001</v>
      </c>
      <c r="W9" s="25">
        <v>660.1</v>
      </c>
      <c r="X9" s="25">
        <v>633.4</v>
      </c>
      <c r="Y9" s="25">
        <v>771.1</v>
      </c>
      <c r="Z9" s="25">
        <v>1010.2000000000003</v>
      </c>
      <c r="AA9" s="23">
        <v>3074.8</v>
      </c>
      <c r="AB9" s="25">
        <v>790.2</v>
      </c>
      <c r="AC9" s="25">
        <v>890</v>
      </c>
      <c r="AD9" s="25">
        <v>999.7</v>
      </c>
      <c r="AE9" s="25">
        <v>1358.8</v>
      </c>
      <c r="AF9" s="25">
        <f t="shared" si="0"/>
        <v>4038.7</v>
      </c>
      <c r="AG9" s="26"/>
      <c r="AH9" s="40"/>
      <c r="AI9" s="40"/>
      <c r="AJ9" s="40"/>
      <c r="AK9" s="40"/>
      <c r="AL9" s="40">
        <f t="shared" si="1"/>
        <v>8.1442039570503333E-2</v>
      </c>
      <c r="AM9" s="40">
        <f t="shared" si="2"/>
        <v>0.18276869788030847</v>
      </c>
      <c r="AN9" s="40">
        <f t="shared" si="3"/>
        <v>8.6827484429319091E-2</v>
      </c>
      <c r="AO9" s="40">
        <f t="shared" si="4"/>
        <v>-1.9644837271987625E-2</v>
      </c>
      <c r="AP9" s="40">
        <f t="shared" si="5"/>
        <v>-8.2011931726173937E-2</v>
      </c>
      <c r="AQ9" s="40">
        <f t="shared" si="6"/>
        <v>3.2809822685634149E-2</v>
      </c>
      <c r="AR9" s="40">
        <f t="shared" si="7"/>
        <v>7.3216916317280889E-2</v>
      </c>
      <c r="AS9" s="40">
        <f t="shared" si="8"/>
        <v>-4.6296924328980693E-2</v>
      </c>
      <c r="AT9" s="40">
        <f t="shared" si="9"/>
        <v>-7.1418842777575597E-2</v>
      </c>
      <c r="AU9" s="40">
        <f t="shared" si="10"/>
        <v>0.38839287906970288</v>
      </c>
      <c r="AV9" s="40">
        <f t="shared" si="11"/>
        <v>7.7405265416976787E-2</v>
      </c>
      <c r="AW9" s="40">
        <f t="shared" si="12"/>
        <v>0.18675538395973623</v>
      </c>
      <c r="AX9" s="40">
        <f t="shared" si="13"/>
        <v>0.11766581677530463</v>
      </c>
      <c r="AY9" s="40">
        <f t="shared" si="14"/>
        <v>0.36941981697226089</v>
      </c>
      <c r="AZ9" s="40">
        <f t="shared" si="15"/>
        <v>4.0193264495813397E-2</v>
      </c>
      <c r="BA9" s="40">
        <f t="shared" si="16"/>
        <v>0.16768183832533468</v>
      </c>
      <c r="BB9" s="40">
        <f t="shared" si="17"/>
        <v>-3.8174759415779969E-2</v>
      </c>
      <c r="BC9" s="40">
        <f t="shared" si="18"/>
        <v>-7.9132747894635758E-3</v>
      </c>
      <c r="BD9" s="40">
        <f t="shared" si="19"/>
        <v>2.0222661083316051E-2</v>
      </c>
      <c r="BE9" s="40">
        <f t="shared" si="20"/>
        <v>0.31991804297932647</v>
      </c>
      <c r="BF9" s="40">
        <f t="shared" si="21"/>
        <v>8.0424850269005255E-2</v>
      </c>
      <c r="BG9" s="40">
        <f t="shared" si="22"/>
        <v>0.19709134979548559</v>
      </c>
      <c r="BH9" s="40">
        <f t="shared" si="23"/>
        <v>0.40511525102620771</v>
      </c>
      <c r="BI9" s="40">
        <f t="shared" si="24"/>
        <v>0.29645960316431075</v>
      </c>
      <c r="BJ9" s="40">
        <f t="shared" si="25"/>
        <v>0.34508018214214964</v>
      </c>
      <c r="BK9" s="40">
        <f t="shared" si="26"/>
        <v>0.31348380382463881</v>
      </c>
    </row>
    <row r="10" spans="1:63" ht="14.25" customHeight="1">
      <c r="A10" s="22" t="s">
        <v>193</v>
      </c>
      <c r="B10" s="23">
        <v>2705.0565012963611</v>
      </c>
      <c r="C10" s="24">
        <v>571.63094221244739</v>
      </c>
      <c r="D10" s="25">
        <v>793.9702084209938</v>
      </c>
      <c r="E10" s="25">
        <v>714.50237810701378</v>
      </c>
      <c r="F10" s="25">
        <v>913.8102239499716</v>
      </c>
      <c r="G10" s="23">
        <v>2993.913752690426</v>
      </c>
      <c r="H10" s="24">
        <v>609.32640131327503</v>
      </c>
      <c r="I10" s="25">
        <v>815.13328310453267</v>
      </c>
      <c r="J10" s="25">
        <v>824.12965166954041</v>
      </c>
      <c r="K10" s="25">
        <v>1063.2774209126519</v>
      </c>
      <c r="L10" s="23">
        <v>3311.8667569999998</v>
      </c>
      <c r="M10" s="24">
        <v>727.32445600000005</v>
      </c>
      <c r="N10" s="25">
        <v>927.32655599999998</v>
      </c>
      <c r="O10" s="25">
        <v>901.58107300000006</v>
      </c>
      <c r="P10" s="25">
        <v>1144.1308770000001</v>
      </c>
      <c r="Q10" s="23">
        <v>3700.3629620000002</v>
      </c>
      <c r="R10" s="24">
        <v>766.72429499999998</v>
      </c>
      <c r="S10" s="25">
        <v>849.00900000000001</v>
      </c>
      <c r="T10" s="25">
        <v>795.00453600000003</v>
      </c>
      <c r="U10" s="25">
        <v>945.31618199999991</v>
      </c>
      <c r="V10" s="23">
        <v>3356.0540129999999</v>
      </c>
      <c r="W10" s="25">
        <v>685.5</v>
      </c>
      <c r="X10" s="25">
        <v>812</v>
      </c>
      <c r="Y10" s="25">
        <v>787.7</v>
      </c>
      <c r="Z10" s="25">
        <v>944.40000000000009</v>
      </c>
      <c r="AA10" s="23">
        <v>3229.6</v>
      </c>
      <c r="AB10" s="25">
        <v>609.70000000000005</v>
      </c>
      <c r="AC10" s="25">
        <v>795.8</v>
      </c>
      <c r="AD10" s="25">
        <v>810.9</v>
      </c>
      <c r="AE10" s="25">
        <v>975.4</v>
      </c>
      <c r="AF10" s="25">
        <f t="shared" si="0"/>
        <v>3191.8</v>
      </c>
      <c r="AG10" s="26"/>
      <c r="AH10" s="40"/>
      <c r="AI10" s="40"/>
      <c r="AJ10" s="40"/>
      <c r="AK10" s="40"/>
      <c r="AL10" s="40">
        <f t="shared" si="1"/>
        <v>0.10678418408474433</v>
      </c>
      <c r="AM10" s="40">
        <f t="shared" si="2"/>
        <v>6.5943699539655176E-2</v>
      </c>
      <c r="AN10" s="40">
        <f t="shared" si="3"/>
        <v>2.6654746562376541E-2</v>
      </c>
      <c r="AO10" s="40">
        <f t="shared" si="4"/>
        <v>0.15343164266712539</v>
      </c>
      <c r="AP10" s="40">
        <f t="shared" si="5"/>
        <v>0.16356481142944967</v>
      </c>
      <c r="AQ10" s="40">
        <f t="shared" si="6"/>
        <v>0.10619978749349457</v>
      </c>
      <c r="AR10" s="40">
        <f t="shared" si="7"/>
        <v>0.19365327750841743</v>
      </c>
      <c r="AS10" s="40">
        <f t="shared" si="8"/>
        <v>0.13763794856733824</v>
      </c>
      <c r="AT10" s="40">
        <f t="shared" si="9"/>
        <v>9.3979656202827888E-2</v>
      </c>
      <c r="AU10" s="40">
        <f t="shared" si="10"/>
        <v>7.6041731440086968E-2</v>
      </c>
      <c r="AV10" s="40">
        <f t="shared" si="11"/>
        <v>0.11730429800017483</v>
      </c>
      <c r="AW10" s="40">
        <f t="shared" si="12"/>
        <v>5.417092560957415E-2</v>
      </c>
      <c r="AX10" s="40">
        <f t="shared" si="13"/>
        <v>-8.4455206737334088E-2</v>
      </c>
      <c r="AY10" s="40">
        <f t="shared" si="14"/>
        <v>-0.11821070804577549</v>
      </c>
      <c r="AZ10" s="40">
        <f t="shared" si="15"/>
        <v>-0.17376918934423635</v>
      </c>
      <c r="BA10" s="40">
        <f t="shared" si="16"/>
        <v>-9.3047344959345746E-2</v>
      </c>
      <c r="BB10" s="40">
        <f t="shared" si="17"/>
        <v>-0.10593676961808018</v>
      </c>
      <c r="BC10" s="40">
        <f t="shared" si="18"/>
        <v>-4.359082176985174E-2</v>
      </c>
      <c r="BD10" s="40">
        <f t="shared" si="19"/>
        <v>-9.1880431736304224E-3</v>
      </c>
      <c r="BE10" s="40">
        <f t="shared" si="20"/>
        <v>-9.6918048949656832E-4</v>
      </c>
      <c r="BF10" s="40">
        <f t="shared" si="21"/>
        <v>-3.7679373606672617E-2</v>
      </c>
      <c r="BG10" s="40">
        <f t="shared" si="22"/>
        <v>-0.11057622173595905</v>
      </c>
      <c r="BH10" s="40">
        <f t="shared" si="23"/>
        <v>-1.9950738916256205E-2</v>
      </c>
      <c r="BI10" s="40">
        <f t="shared" si="24"/>
        <v>2.9452837374634999E-2</v>
      </c>
      <c r="BJ10" s="40">
        <f t="shared" si="25"/>
        <v>3.282507412113489E-2</v>
      </c>
      <c r="BK10" s="40">
        <f t="shared" si="26"/>
        <v>-1.1704235818677189E-2</v>
      </c>
    </row>
    <row r="11" spans="1:63" ht="14.25" customHeight="1">
      <c r="A11" s="22" t="s">
        <v>70</v>
      </c>
      <c r="B11" s="23">
        <v>6463.3</v>
      </c>
      <c r="C11" s="24">
        <v>1836.5</v>
      </c>
      <c r="D11" s="25">
        <v>1948.9</v>
      </c>
      <c r="E11" s="25">
        <v>1981.7</v>
      </c>
      <c r="F11" s="25">
        <v>1965.8</v>
      </c>
      <c r="G11" s="23">
        <v>7732.9</v>
      </c>
      <c r="H11" s="24">
        <v>2037.4</v>
      </c>
      <c r="I11" s="25">
        <v>2094.5</v>
      </c>
      <c r="J11" s="25">
        <v>2090.9</v>
      </c>
      <c r="K11" s="25">
        <v>2179.5</v>
      </c>
      <c r="L11" s="23">
        <v>8402.2999999999993</v>
      </c>
      <c r="M11" s="24">
        <v>2180.6999999999998</v>
      </c>
      <c r="N11" s="25">
        <v>2272.4</v>
      </c>
      <c r="O11" s="25">
        <v>2296.6</v>
      </c>
      <c r="P11" s="25">
        <v>2412.5</v>
      </c>
      <c r="Q11" s="23">
        <v>9162.2000000000007</v>
      </c>
      <c r="R11" s="24">
        <v>2416.6999999999998</v>
      </c>
      <c r="S11" s="25">
        <v>2443.5</v>
      </c>
      <c r="T11" s="25">
        <v>2507.4</v>
      </c>
      <c r="U11" s="25">
        <v>2637.5</v>
      </c>
      <c r="V11" s="23">
        <v>10005.1</v>
      </c>
      <c r="W11" s="25">
        <v>2645.9</v>
      </c>
      <c r="X11" s="25">
        <v>2832.6</v>
      </c>
      <c r="Y11" s="25">
        <v>2894.9</v>
      </c>
      <c r="Z11" s="25">
        <v>2874.8000000000011</v>
      </c>
      <c r="AA11" s="23">
        <v>11248.2</v>
      </c>
      <c r="AB11" s="25">
        <v>3028.9</v>
      </c>
      <c r="AC11" s="25">
        <v>3122.4</v>
      </c>
      <c r="AD11" s="25">
        <v>3131.7</v>
      </c>
      <c r="AE11" s="25">
        <v>3196.1</v>
      </c>
      <c r="AF11" s="25">
        <f t="shared" si="0"/>
        <v>12479.1</v>
      </c>
      <c r="AG11" s="26"/>
      <c r="AH11" s="40"/>
      <c r="AI11" s="40"/>
      <c r="AJ11" s="40"/>
      <c r="AK11" s="40"/>
      <c r="AL11" s="40">
        <f t="shared" si="1"/>
        <v>0.19643216313647827</v>
      </c>
      <c r="AM11" s="40">
        <f t="shared" si="2"/>
        <v>0.10939286686632177</v>
      </c>
      <c r="AN11" s="40">
        <f t="shared" si="3"/>
        <v>7.4708810098004008E-2</v>
      </c>
      <c r="AO11" s="40">
        <f t="shared" si="4"/>
        <v>5.5104203461674439E-2</v>
      </c>
      <c r="AP11" s="40">
        <f t="shared" si="5"/>
        <v>0.10870892257605047</v>
      </c>
      <c r="AQ11" s="40">
        <f t="shared" si="6"/>
        <v>8.6565195463538913E-2</v>
      </c>
      <c r="AR11" s="40">
        <f t="shared" si="7"/>
        <v>7.0334740355354697E-2</v>
      </c>
      <c r="AS11" s="40">
        <f t="shared" si="8"/>
        <v>8.4936739078539158E-2</v>
      </c>
      <c r="AT11" s="40">
        <f t="shared" si="9"/>
        <v>9.8378688602993813E-2</v>
      </c>
      <c r="AU11" s="40">
        <f t="shared" si="10"/>
        <v>0.10690525349850888</v>
      </c>
      <c r="AV11" s="40">
        <f t="shared" si="11"/>
        <v>9.0439522511693404E-2</v>
      </c>
      <c r="AW11" s="40">
        <f t="shared" si="12"/>
        <v>0.10822213050855223</v>
      </c>
      <c r="AX11" s="40">
        <f t="shared" si="13"/>
        <v>7.5294842457313882E-2</v>
      </c>
      <c r="AY11" s="40">
        <f t="shared" si="14"/>
        <v>9.1787860315248659E-2</v>
      </c>
      <c r="AZ11" s="40">
        <f t="shared" si="15"/>
        <v>9.3264248704663322E-2</v>
      </c>
      <c r="BA11" s="40">
        <f t="shared" si="16"/>
        <v>9.199755517233843E-2</v>
      </c>
      <c r="BB11" s="40">
        <f t="shared" si="17"/>
        <v>9.4840071171432339E-2</v>
      </c>
      <c r="BC11" s="40">
        <f t="shared" si="18"/>
        <v>0.15923879680785746</v>
      </c>
      <c r="BD11" s="40">
        <f t="shared" si="19"/>
        <v>0.15454255404004158</v>
      </c>
      <c r="BE11" s="40">
        <f t="shared" si="20"/>
        <v>8.9971563981043001E-2</v>
      </c>
      <c r="BF11" s="40">
        <f t="shared" si="21"/>
        <v>0.12424663421654958</v>
      </c>
      <c r="BG11" s="40">
        <f t="shared" si="22"/>
        <v>0.14475225821081672</v>
      </c>
      <c r="BH11" s="40">
        <f t="shared" si="23"/>
        <v>0.10230883287439108</v>
      </c>
      <c r="BI11" s="40">
        <f t="shared" si="24"/>
        <v>8.1799025873086961E-2</v>
      </c>
      <c r="BJ11" s="40">
        <f t="shared" si="25"/>
        <v>0.11176429664672272</v>
      </c>
      <c r="BK11" s="40">
        <f t="shared" si="26"/>
        <v>0.1094308422680963</v>
      </c>
    </row>
    <row r="12" spans="1:63" ht="14.25" customHeight="1">
      <c r="A12" s="22" t="s">
        <v>194</v>
      </c>
      <c r="B12" s="23">
        <v>1517.1</v>
      </c>
      <c r="C12" s="24">
        <v>442.3</v>
      </c>
      <c r="D12" s="25">
        <v>516.29999999999995</v>
      </c>
      <c r="E12" s="25">
        <v>524.20000000000005</v>
      </c>
      <c r="F12" s="25">
        <v>576.5</v>
      </c>
      <c r="G12" s="23">
        <v>2059.3000000000002</v>
      </c>
      <c r="H12" s="24">
        <v>567.9</v>
      </c>
      <c r="I12" s="25">
        <v>603.79999999999995</v>
      </c>
      <c r="J12" s="25">
        <v>614.20000000000005</v>
      </c>
      <c r="K12" s="25">
        <v>825.6</v>
      </c>
      <c r="L12" s="23">
        <v>2611.5</v>
      </c>
      <c r="M12" s="24">
        <v>1052.9000000000001</v>
      </c>
      <c r="N12" s="25">
        <v>1407.9</v>
      </c>
      <c r="O12" s="25">
        <v>1980.9</v>
      </c>
      <c r="P12" s="25">
        <v>2181.6</v>
      </c>
      <c r="Q12" s="23">
        <v>6623.3</v>
      </c>
      <c r="R12" s="24">
        <v>2214</v>
      </c>
      <c r="S12" s="25">
        <v>2182.5</v>
      </c>
      <c r="T12" s="25">
        <v>2190.1999999999998</v>
      </c>
      <c r="U12" s="25">
        <v>2655</v>
      </c>
      <c r="V12" s="23">
        <v>9241.7000000000007</v>
      </c>
      <c r="W12" s="25">
        <v>2740.3030899999999</v>
      </c>
      <c r="X12" s="25">
        <v>2900.1</v>
      </c>
      <c r="Y12" s="25">
        <v>3002.5</v>
      </c>
      <c r="Z12" s="25">
        <v>3171.2969100000009</v>
      </c>
      <c r="AA12" s="23">
        <v>11814.2</v>
      </c>
      <c r="AB12" s="25">
        <v>3229.7</v>
      </c>
      <c r="AC12" s="25">
        <v>3332.7</v>
      </c>
      <c r="AD12" s="25">
        <v>3394.8</v>
      </c>
      <c r="AE12" s="25">
        <v>3678.1</v>
      </c>
      <c r="AF12" s="25">
        <f t="shared" si="0"/>
        <v>13635.300000000001</v>
      </c>
      <c r="AG12" s="26"/>
      <c r="AH12" s="40"/>
      <c r="AI12" s="40"/>
      <c r="AJ12" s="40"/>
      <c r="AK12" s="40"/>
      <c r="AL12" s="40">
        <f t="shared" si="1"/>
        <v>0.35739239338211082</v>
      </c>
      <c r="AM12" s="40">
        <f t="shared" si="2"/>
        <v>0.28397015600271303</v>
      </c>
      <c r="AN12" s="40">
        <f t="shared" si="3"/>
        <v>0.16947511136935889</v>
      </c>
      <c r="AO12" s="40">
        <f t="shared" si="4"/>
        <v>0.17169019458222046</v>
      </c>
      <c r="AP12" s="40">
        <f t="shared" si="5"/>
        <v>0.43209019947961846</v>
      </c>
      <c r="AQ12" s="40">
        <f t="shared" si="6"/>
        <v>0.26814937114553472</v>
      </c>
      <c r="AR12" s="40">
        <f t="shared" si="7"/>
        <v>0.8540235957034692</v>
      </c>
      <c r="AS12" s="40">
        <f t="shared" si="8"/>
        <v>1.3317323617091756</v>
      </c>
      <c r="AT12" s="40">
        <f t="shared" si="9"/>
        <v>2.2251709540866167</v>
      </c>
      <c r="AU12" s="40">
        <f t="shared" si="10"/>
        <v>1.6424418604651163</v>
      </c>
      <c r="AV12" s="40">
        <f t="shared" si="11"/>
        <v>1.5362052460271873</v>
      </c>
      <c r="AW12" s="40">
        <f t="shared" si="12"/>
        <v>1.1027637952322156</v>
      </c>
      <c r="AX12" s="40">
        <f t="shared" si="13"/>
        <v>0.55018112081823989</v>
      </c>
      <c r="AY12" s="40">
        <f t="shared" si="14"/>
        <v>0.10565904386894842</v>
      </c>
      <c r="AZ12" s="40">
        <f t="shared" si="15"/>
        <v>0.21699669966996704</v>
      </c>
      <c r="BA12" s="40">
        <f t="shared" si="16"/>
        <v>0.3953316322679028</v>
      </c>
      <c r="BB12" s="40">
        <f t="shared" si="17"/>
        <v>0.23771593947606129</v>
      </c>
      <c r="BC12" s="40">
        <f t="shared" si="18"/>
        <v>0.32879725085910638</v>
      </c>
      <c r="BD12" s="40">
        <f t="shared" si="19"/>
        <v>0.37087937174687258</v>
      </c>
      <c r="BE12" s="40">
        <f t="shared" si="20"/>
        <v>0.19446211299435068</v>
      </c>
      <c r="BF12" s="40">
        <f t="shared" si="21"/>
        <v>0.27835787787961097</v>
      </c>
      <c r="BG12" s="40">
        <f t="shared" si="22"/>
        <v>0.17859225564716641</v>
      </c>
      <c r="BH12" s="40">
        <f t="shared" si="23"/>
        <v>0.14916727009413466</v>
      </c>
      <c r="BI12" s="40">
        <f t="shared" si="24"/>
        <v>0.1306577851790176</v>
      </c>
      <c r="BJ12" s="40">
        <f t="shared" si="25"/>
        <v>0.15980941059221054</v>
      </c>
      <c r="BK12" s="40">
        <f t="shared" si="26"/>
        <v>0.15414501193479047</v>
      </c>
    </row>
    <row r="13" spans="1:63" ht="14.25" customHeight="1">
      <c r="A13" s="22" t="s">
        <v>195</v>
      </c>
      <c r="B13" s="23">
        <v>2235.9730232609058</v>
      </c>
      <c r="C13" s="24">
        <v>494.83461197261778</v>
      </c>
      <c r="D13" s="25">
        <v>557.70489882018785</v>
      </c>
      <c r="E13" s="25">
        <v>597.53194818756526</v>
      </c>
      <c r="F13" s="25">
        <v>631.53269933425236</v>
      </c>
      <c r="G13" s="23">
        <v>2281.604158314623</v>
      </c>
      <c r="H13" s="24">
        <v>612.12539767267003</v>
      </c>
      <c r="I13" s="25">
        <v>742.9559229966394</v>
      </c>
      <c r="J13" s="25">
        <v>869.15007740749365</v>
      </c>
      <c r="K13" s="25">
        <v>815.43376886723195</v>
      </c>
      <c r="L13" s="23">
        <v>3039.6651669440348</v>
      </c>
      <c r="M13" s="24">
        <v>901.10291400000006</v>
      </c>
      <c r="N13" s="25">
        <v>810.2683531429999</v>
      </c>
      <c r="O13" s="25">
        <v>929.59070769000004</v>
      </c>
      <c r="P13" s="25">
        <v>857.64635051000005</v>
      </c>
      <c r="Q13" s="23">
        <v>3498.6083253430002</v>
      </c>
      <c r="R13" s="24">
        <v>884.12150181000004</v>
      </c>
      <c r="S13" s="25">
        <v>862.3477701999999</v>
      </c>
      <c r="T13" s="25">
        <v>1065.3949861999999</v>
      </c>
      <c r="U13" s="25">
        <v>959.62410670499992</v>
      </c>
      <c r="V13" s="23">
        <v>3771.4883649150001</v>
      </c>
      <c r="W13" s="25">
        <v>803.8</v>
      </c>
      <c r="X13" s="25">
        <v>983.7</v>
      </c>
      <c r="Y13" s="25">
        <v>981.1</v>
      </c>
      <c r="Z13" s="25">
        <v>1043.7000000000003</v>
      </c>
      <c r="AA13" s="23">
        <v>3812.3</v>
      </c>
      <c r="AB13" s="25">
        <v>949.5</v>
      </c>
      <c r="AC13" s="25">
        <v>1005.3</v>
      </c>
      <c r="AD13" s="25">
        <v>1046.5</v>
      </c>
      <c r="AE13" s="25">
        <v>1125.5000000000002</v>
      </c>
      <c r="AF13" s="25">
        <f>+SUM(AB13:AE13)</f>
        <v>4126.8</v>
      </c>
      <c r="AG13" s="26"/>
      <c r="AH13" s="40"/>
      <c r="AI13" s="40"/>
      <c r="AJ13" s="40"/>
      <c r="AK13" s="40"/>
      <c r="AL13" s="40">
        <f t="shared" si="1"/>
        <v>2.040773058485712E-2</v>
      </c>
      <c r="AM13" s="40">
        <f t="shared" si="2"/>
        <v>0.23703027812157695</v>
      </c>
      <c r="AN13" s="40">
        <f t="shared" si="3"/>
        <v>0.33216675085398384</v>
      </c>
      <c r="AO13" s="40">
        <f t="shared" si="4"/>
        <v>0.45456670566954771</v>
      </c>
      <c r="AP13" s="40">
        <f t="shared" si="5"/>
        <v>0.29119801670894319</v>
      </c>
      <c r="AQ13" s="40">
        <f t="shared" si="6"/>
        <v>0.33224913527041289</v>
      </c>
      <c r="AR13" s="40">
        <f t="shared" si="7"/>
        <v>0.47208875407888051</v>
      </c>
      <c r="AS13" s="40">
        <f t="shared" si="8"/>
        <v>9.0600839246105513E-2</v>
      </c>
      <c r="AT13" s="40">
        <f t="shared" si="9"/>
        <v>6.9539923948219728E-2</v>
      </c>
      <c r="AU13" s="40">
        <f t="shared" si="10"/>
        <v>5.1767026648170456E-2</v>
      </c>
      <c r="AV13" s="40">
        <f t="shared" si="11"/>
        <v>0.15098477404350752</v>
      </c>
      <c r="AW13" s="40">
        <f t="shared" si="12"/>
        <v>-1.8845141799197385E-2</v>
      </c>
      <c r="AX13" s="40">
        <f t="shared" si="13"/>
        <v>6.427428253243006E-2</v>
      </c>
      <c r="AY13" s="40">
        <f t="shared" si="14"/>
        <v>0.14609040020147002</v>
      </c>
      <c r="AZ13" s="40">
        <f t="shared" si="15"/>
        <v>0.11890420350341224</v>
      </c>
      <c r="BA13" s="40">
        <f t="shared" si="16"/>
        <v>7.799673875904567E-2</v>
      </c>
      <c r="BB13" s="40">
        <f t="shared" si="17"/>
        <v>-9.084894061004456E-2</v>
      </c>
      <c r="BC13" s="40">
        <f t="shared" si="18"/>
        <v>0.14072307483540603</v>
      </c>
      <c r="BD13" s="40">
        <f t="shared" si="19"/>
        <v>-7.9120877507279475E-2</v>
      </c>
      <c r="BE13" s="40">
        <f t="shared" si="20"/>
        <v>8.7613361010371538E-2</v>
      </c>
      <c r="BF13" s="40">
        <f t="shared" si="21"/>
        <v>1.0821095317344209E-2</v>
      </c>
      <c r="BG13" s="40">
        <f t="shared" si="22"/>
        <v>0.18126399601891019</v>
      </c>
      <c r="BH13" s="40">
        <f t="shared" si="23"/>
        <v>2.1957913998170042E-2</v>
      </c>
      <c r="BI13" s="40">
        <f t="shared" si="24"/>
        <v>6.6659871572724461E-2</v>
      </c>
      <c r="BJ13" s="40">
        <f t="shared" si="25"/>
        <v>7.8375011976621556E-2</v>
      </c>
      <c r="BK13" s="40">
        <f t="shared" si="26"/>
        <v>8.2496130944574197E-2</v>
      </c>
    </row>
    <row r="14" spans="1:63" ht="14.25" customHeight="1">
      <c r="A14" s="27" t="s">
        <v>196</v>
      </c>
      <c r="B14" s="28">
        <v>36196.332777936012</v>
      </c>
      <c r="C14" s="29">
        <v>8190.2094750686356</v>
      </c>
      <c r="D14" s="30">
        <v>10743.580589377119</v>
      </c>
      <c r="E14" s="30">
        <v>10040.92529900423</v>
      </c>
      <c r="F14" s="30">
        <v>11422.71289192776</v>
      </c>
      <c r="G14" s="28">
        <v>40397.428255377738</v>
      </c>
      <c r="H14" s="29">
        <v>8700.7391866591497</v>
      </c>
      <c r="I14" s="30">
        <v>10397.979470936811</v>
      </c>
      <c r="J14" s="30">
        <v>10908.7046906138</v>
      </c>
      <c r="K14" s="30">
        <v>12685.18845884757</v>
      </c>
      <c r="L14" s="28">
        <v>42692.611807057343</v>
      </c>
      <c r="M14" s="29">
        <v>9786.4192514410006</v>
      </c>
      <c r="N14" s="30">
        <v>11794.6963544806</v>
      </c>
      <c r="O14" s="30">
        <v>12772.37626835632</v>
      </c>
      <c r="P14" s="30">
        <v>14741.32537545933</v>
      </c>
      <c r="Q14" s="28">
        <v>49094.817249737258</v>
      </c>
      <c r="R14" s="29">
        <v>11617.9219127956</v>
      </c>
      <c r="S14" s="30">
        <v>12975.883710431301</v>
      </c>
      <c r="T14" s="30">
        <v>13473.6185748592</v>
      </c>
      <c r="U14" s="30">
        <v>15451.048100558801</v>
      </c>
      <c r="V14" s="28">
        <v>53518.472298644898</v>
      </c>
      <c r="W14" s="30">
        <v>12416.303089999999</v>
      </c>
      <c r="X14" s="30">
        <v>14759.900000000001</v>
      </c>
      <c r="Y14" s="30">
        <f>+SUM(Y7:Y13)</f>
        <v>15107.400000000001</v>
      </c>
      <c r="Z14" s="30">
        <v>16791.79690999999</v>
      </c>
      <c r="AA14" s="28">
        <v>59075.399999999994</v>
      </c>
      <c r="AB14" s="30">
        <v>13482</v>
      </c>
      <c r="AC14" s="30">
        <f>+SUM(AC7:AC13)</f>
        <v>15451.8</v>
      </c>
      <c r="AD14" s="30">
        <f>+SUM(AD7:AD13)</f>
        <v>16316.099999999999</v>
      </c>
      <c r="AE14" s="30">
        <f>+SUM(AE7:AE13)</f>
        <v>18635.899999999998</v>
      </c>
      <c r="AF14" s="30">
        <f>+SUM(AF7:AF13)</f>
        <v>63885.8</v>
      </c>
      <c r="AH14" s="40"/>
      <c r="AI14" s="40"/>
      <c r="AJ14" s="40"/>
      <c r="AK14" s="40"/>
      <c r="AL14" s="41">
        <f t="shared" si="1"/>
        <v>0.11606411907016634</v>
      </c>
      <c r="AM14" s="41">
        <f t="shared" si="2"/>
        <v>6.233414580476726E-2</v>
      </c>
      <c r="AN14" s="41">
        <f t="shared" si="3"/>
        <v>-3.2168150605397572E-2</v>
      </c>
      <c r="AO14" s="41">
        <f t="shared" si="4"/>
        <v>8.6424245352729523E-2</v>
      </c>
      <c r="AP14" s="41">
        <f t="shared" si="5"/>
        <v>0.11052326875973395</v>
      </c>
      <c r="AQ14" s="41">
        <f t="shared" si="6"/>
        <v>5.6815090732268869E-2</v>
      </c>
      <c r="AR14" s="41">
        <f t="shared" si="7"/>
        <v>0.12478021022012986</v>
      </c>
      <c r="AS14" s="41">
        <f t="shared" si="8"/>
        <v>0.13432579737705064</v>
      </c>
      <c r="AT14" s="41">
        <f t="shared" si="9"/>
        <v>0.17084260969554732</v>
      </c>
      <c r="AU14" s="41">
        <f t="shared" si="10"/>
        <v>0.16208958371270077</v>
      </c>
      <c r="AV14" s="41">
        <f t="shared" si="11"/>
        <v>0.14996050069772471</v>
      </c>
      <c r="AW14" s="41">
        <f t="shared" si="12"/>
        <v>0.18714737375316526</v>
      </c>
      <c r="AX14" s="41">
        <f t="shared" si="13"/>
        <v>0.10014563499144158</v>
      </c>
      <c r="AY14" s="41">
        <f t="shared" si="14"/>
        <v>5.4903041671283459E-2</v>
      </c>
      <c r="AZ14" s="41">
        <f t="shared" si="15"/>
        <v>4.8145109549035725E-2</v>
      </c>
      <c r="BA14" s="41">
        <f t="shared" si="16"/>
        <v>9.010431847429512E-2</v>
      </c>
      <c r="BB14" s="41">
        <f t="shared" si="17"/>
        <v>6.8719791990087931E-2</v>
      </c>
      <c r="BC14" s="41">
        <f t="shared" si="18"/>
        <v>0.13748707443598085</v>
      </c>
      <c r="BD14" s="41">
        <f t="shared" si="19"/>
        <v>0.121257805842101</v>
      </c>
      <c r="BE14" s="41">
        <f t="shared" si="20"/>
        <v>8.677397162414513E-2</v>
      </c>
      <c r="BF14" s="41">
        <f t="shared" si="21"/>
        <v>0.10383195675590695</v>
      </c>
      <c r="BG14" s="41">
        <f t="shared" si="22"/>
        <v>8.5830452291254522E-2</v>
      </c>
      <c r="BH14" s="41">
        <f t="shared" si="23"/>
        <v>4.6877011361865506E-2</v>
      </c>
      <c r="BI14" s="41">
        <f t="shared" si="24"/>
        <v>8.0007148814488005E-2</v>
      </c>
      <c r="BJ14" s="41">
        <f t="shared" si="25"/>
        <v>0.109821664702352</v>
      </c>
      <c r="BK14" s="41">
        <f t="shared" si="26"/>
        <v>8.1428140985926545E-2</v>
      </c>
    </row>
    <row r="15" spans="1:63" ht="14.25" customHeight="1">
      <c r="A15" s="22" t="s">
        <v>197</v>
      </c>
      <c r="B15" s="31">
        <v>-1128.3949901000001</v>
      </c>
      <c r="C15" s="32">
        <v>-245.75367374999999</v>
      </c>
      <c r="D15" s="33">
        <v>-279.43892247000002</v>
      </c>
      <c r="E15" s="33">
        <v>-326.68702116999998</v>
      </c>
      <c r="F15" s="33">
        <v>-278.38833691000002</v>
      </c>
      <c r="G15" s="31">
        <v>-1130.2679542999999</v>
      </c>
      <c r="H15" s="32">
        <v>-245.33174295000001</v>
      </c>
      <c r="I15" s="33">
        <v>-279.69415031000011</v>
      </c>
      <c r="J15" s="33">
        <v>-328.36141863</v>
      </c>
      <c r="K15" s="33">
        <v>-277.66568813999999</v>
      </c>
      <c r="L15" s="31">
        <v>-1131.05300003</v>
      </c>
      <c r="M15" s="32">
        <v>-248.24600000000001</v>
      </c>
      <c r="N15" s="33">
        <v>-291.322</v>
      </c>
      <c r="O15" s="33">
        <v>-313.33600000000001</v>
      </c>
      <c r="P15" s="33">
        <v>-269.72500000000002</v>
      </c>
      <c r="Q15" s="31">
        <v>-1122.6289999999999</v>
      </c>
      <c r="R15" s="32">
        <v>-255.57199999999989</v>
      </c>
      <c r="S15" s="33">
        <v>-299.137</v>
      </c>
      <c r="T15" s="33">
        <v>-323.91500000000002</v>
      </c>
      <c r="U15" s="33">
        <v>-287.47500000000002</v>
      </c>
      <c r="V15" s="31">
        <v>-1166.0989999999999</v>
      </c>
      <c r="W15" s="33">
        <v>-269.3</v>
      </c>
      <c r="X15" s="33">
        <v>-312.2</v>
      </c>
      <c r="Y15" s="33">
        <v>-336.4</v>
      </c>
      <c r="Z15" s="33">
        <v>-300.69999999999993</v>
      </c>
      <c r="AA15" s="31">
        <v>-1218.5999999999999</v>
      </c>
      <c r="AB15" s="33">
        <v>-282.39999999999998</v>
      </c>
      <c r="AC15" s="33">
        <v>-326.10000000000002</v>
      </c>
      <c r="AD15" s="33">
        <v>-352.6</v>
      </c>
      <c r="AE15" s="33">
        <v>-343.1</v>
      </c>
      <c r="AF15" s="33">
        <f>+SUM(AB15:AE15)</f>
        <v>-1304.2</v>
      </c>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row>
    <row r="16" spans="1:63" ht="14.25" customHeight="1">
      <c r="A16" s="22" t="s">
        <v>7973</v>
      </c>
      <c r="B16" s="23">
        <v>0</v>
      </c>
      <c r="C16" s="24">
        <v>42.891854909000003</v>
      </c>
      <c r="D16" s="25">
        <v>46.937694121</v>
      </c>
      <c r="E16" s="25">
        <v>0.50551466</v>
      </c>
      <c r="F16" s="25">
        <v>0.18743395099999999</v>
      </c>
      <c r="G16" s="23">
        <v>90.522497641000001</v>
      </c>
      <c r="H16" s="24">
        <v>0</v>
      </c>
      <c r="I16" s="25">
        <v>0</v>
      </c>
      <c r="J16" s="25">
        <v>0</v>
      </c>
      <c r="K16" s="25">
        <v>0</v>
      </c>
      <c r="L16" s="23">
        <v>0</v>
      </c>
      <c r="M16" s="24">
        <v>0</v>
      </c>
      <c r="N16" s="25">
        <v>0</v>
      </c>
      <c r="O16" s="25">
        <v>0</v>
      </c>
      <c r="P16" s="25">
        <v>0</v>
      </c>
      <c r="Q16" s="23">
        <v>0</v>
      </c>
      <c r="R16" s="24">
        <v>0</v>
      </c>
      <c r="S16" s="25">
        <v>0</v>
      </c>
      <c r="T16" s="25">
        <v>0</v>
      </c>
      <c r="U16" s="25">
        <v>0</v>
      </c>
      <c r="V16" s="23">
        <v>0</v>
      </c>
      <c r="W16" s="25">
        <v>0</v>
      </c>
      <c r="X16" s="25">
        <v>0</v>
      </c>
      <c r="Y16" s="25">
        <v>0</v>
      </c>
      <c r="Z16" s="25">
        <v>0</v>
      </c>
      <c r="AA16" s="23">
        <v>0</v>
      </c>
      <c r="AB16" s="25">
        <v>0</v>
      </c>
      <c r="AC16" s="25">
        <v>0</v>
      </c>
      <c r="AD16" s="25">
        <v>0</v>
      </c>
      <c r="AE16" s="25">
        <v>0</v>
      </c>
      <c r="AF16" s="25">
        <v>0</v>
      </c>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row>
    <row r="17" spans="1:63" ht="14.25" customHeight="1">
      <c r="A17" s="27" t="s">
        <v>198</v>
      </c>
      <c r="B17" s="28">
        <v>35067.93778783601</v>
      </c>
      <c r="C17" s="29">
        <v>7987.3476562276355</v>
      </c>
      <c r="D17" s="30">
        <v>10511.079361028118</v>
      </c>
      <c r="E17" s="30">
        <v>9714.7437924942296</v>
      </c>
      <c r="F17" s="30">
        <v>11144.511988968759</v>
      </c>
      <c r="G17" s="28">
        <v>39357.682798718743</v>
      </c>
      <c r="H17" s="29">
        <v>8455.4074437091494</v>
      </c>
      <c r="I17" s="30">
        <v>10118.28532062681</v>
      </c>
      <c r="J17" s="30">
        <v>10580.3432719838</v>
      </c>
      <c r="K17" s="30">
        <v>12407.52277070757</v>
      </c>
      <c r="L17" s="28">
        <v>41561.558807027344</v>
      </c>
      <c r="M17" s="29">
        <v>9538.1732514410014</v>
      </c>
      <c r="N17" s="30">
        <v>11503.3743544806</v>
      </c>
      <c r="O17" s="30">
        <v>12459.040268356321</v>
      </c>
      <c r="P17" s="30">
        <v>14471.600375459329</v>
      </c>
      <c r="Q17" s="28">
        <v>47972.188249737257</v>
      </c>
      <c r="R17" s="29">
        <v>11362.3499127956</v>
      </c>
      <c r="S17" s="30">
        <v>12676.7467104313</v>
      </c>
      <c r="T17" s="30">
        <v>13149.703574859199</v>
      </c>
      <c r="U17" s="30">
        <v>15163.5731005588</v>
      </c>
      <c r="V17" s="28">
        <v>52352.373298644896</v>
      </c>
      <c r="W17" s="30">
        <v>12147.00309</v>
      </c>
      <c r="X17" s="30">
        <v>14447.7</v>
      </c>
      <c r="Y17" s="30">
        <f>+Y14+Y15</f>
        <v>14771.000000000002</v>
      </c>
      <c r="Z17" s="30">
        <v>16491.096909999993</v>
      </c>
      <c r="AA17" s="28">
        <v>57856.799999999996</v>
      </c>
      <c r="AB17" s="30">
        <v>13199.6</v>
      </c>
      <c r="AC17" s="30">
        <f>+AC14+AC15</f>
        <v>15125.699999999999</v>
      </c>
      <c r="AD17" s="30">
        <f>+AD14+AD15</f>
        <v>15963.499999999998</v>
      </c>
      <c r="AE17" s="30">
        <f>+AE14+AE15</f>
        <v>18292.8</v>
      </c>
      <c r="AF17" s="30">
        <f>+AF14+AF15</f>
        <v>62581.600000000006</v>
      </c>
      <c r="AH17" s="40"/>
      <c r="AI17" s="40"/>
      <c r="AJ17" s="40"/>
      <c r="AK17" s="40"/>
      <c r="AL17" s="41">
        <f t="shared" si="1"/>
        <v>0.12232669730498702</v>
      </c>
      <c r="AM17" s="41">
        <f t="shared" si="2"/>
        <v>5.8600152093864821E-2</v>
      </c>
      <c r="AN17" s="41">
        <f t="shared" si="3"/>
        <v>-3.7369524756674211E-2</v>
      </c>
      <c r="AO17" s="41">
        <f t="shared" si="4"/>
        <v>8.910162717398129E-2</v>
      </c>
      <c r="AP17" s="41">
        <f t="shared" si="5"/>
        <v>0.11333029054919441</v>
      </c>
      <c r="AQ17" s="41">
        <f t="shared" si="6"/>
        <v>5.5996081364331429E-2</v>
      </c>
      <c r="AR17" s="41">
        <f t="shared" si="7"/>
        <v>0.1280560179908814</v>
      </c>
      <c r="AS17" s="41">
        <f t="shared" si="8"/>
        <v>0.1368896991894657</v>
      </c>
      <c r="AT17" s="41">
        <f t="shared" si="9"/>
        <v>0.17756484341554524</v>
      </c>
      <c r="AU17" s="41">
        <f t="shared" si="10"/>
        <v>0.16635694674079171</v>
      </c>
      <c r="AV17" s="41">
        <f t="shared" si="11"/>
        <v>0.154244201293672</v>
      </c>
      <c r="AW17" s="41">
        <f t="shared" si="12"/>
        <v>0.19125010767433981</v>
      </c>
      <c r="AX17" s="41">
        <f t="shared" si="13"/>
        <v>0.10200244900259792</v>
      </c>
      <c r="AY17" s="41">
        <f t="shared" si="14"/>
        <v>5.5434711793735492E-2</v>
      </c>
      <c r="AZ17" s="41">
        <f t="shared" si="15"/>
        <v>4.7815908893732662E-2</v>
      </c>
      <c r="BA17" s="41">
        <f t="shared" si="16"/>
        <v>9.1306759368677159E-2</v>
      </c>
      <c r="BB17" s="41">
        <f t="shared" si="17"/>
        <v>6.9057297409998775E-2</v>
      </c>
      <c r="BC17" s="41">
        <f t="shared" si="18"/>
        <v>0.13970092879677387</v>
      </c>
      <c r="BD17" s="41">
        <f t="shared" si="19"/>
        <v>0.12329528311501603</v>
      </c>
      <c r="BE17" s="41">
        <f t="shared" si="20"/>
        <v>8.754689944365901E-2</v>
      </c>
      <c r="BF17" s="41">
        <f t="shared" si="21"/>
        <v>0.10514187522989671</v>
      </c>
      <c r="BG17" s="41">
        <f t="shared" si="22"/>
        <v>8.6654864759732275E-2</v>
      </c>
      <c r="BH17" s="41">
        <f t="shared" si="23"/>
        <v>4.6927884715214141E-2</v>
      </c>
      <c r="BI17" s="41">
        <f t="shared" si="24"/>
        <v>8.0732516417303835E-2</v>
      </c>
      <c r="BJ17" s="41">
        <f t="shared" si="25"/>
        <v>0.10925307757469271</v>
      </c>
      <c r="BK17" s="41">
        <f t="shared" si="26"/>
        <v>8.1663693809543636E-2</v>
      </c>
    </row>
    <row r="18" spans="1:63" ht="14.25" customHeight="1">
      <c r="A18" s="34"/>
      <c r="B18" s="35"/>
      <c r="C18" s="36"/>
      <c r="D18" s="37"/>
      <c r="E18" s="37"/>
      <c r="F18" s="37"/>
      <c r="G18" s="35"/>
      <c r="H18" s="36"/>
      <c r="I18" s="37"/>
      <c r="J18" s="37"/>
      <c r="K18" s="37"/>
      <c r="L18" s="35"/>
      <c r="M18" s="36"/>
      <c r="N18" s="37"/>
      <c r="O18" s="37"/>
      <c r="P18" s="37"/>
      <c r="Q18" s="35"/>
      <c r="R18" s="36"/>
      <c r="S18" s="37"/>
      <c r="T18" s="37"/>
      <c r="U18" s="37"/>
      <c r="V18" s="35"/>
      <c r="W18" s="37"/>
      <c r="AA18" s="35"/>
      <c r="AB18" s="37"/>
      <c r="AC18" s="37"/>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row>
    <row r="19" spans="1:63">
      <c r="A19" s="21" t="s">
        <v>7974</v>
      </c>
      <c r="B19" s="35"/>
      <c r="C19" s="36"/>
      <c r="D19" s="37"/>
      <c r="E19" s="37"/>
      <c r="F19" s="37"/>
      <c r="G19" s="35"/>
      <c r="H19" s="36"/>
      <c r="I19" s="37"/>
      <c r="J19" s="37"/>
      <c r="K19" s="37"/>
      <c r="L19" s="35"/>
      <c r="M19" s="36"/>
      <c r="N19" s="37"/>
      <c r="O19" s="37"/>
      <c r="P19" s="37"/>
      <c r="Q19" s="35"/>
      <c r="R19" s="36"/>
      <c r="S19" s="37"/>
      <c r="T19" s="37"/>
      <c r="U19" s="37"/>
      <c r="V19" s="35"/>
      <c r="W19" s="37"/>
      <c r="AA19" s="35"/>
      <c r="AB19" s="37"/>
      <c r="AC19" s="37"/>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row>
    <row r="20" spans="1:63" ht="14.25" customHeight="1">
      <c r="A20" s="22" t="s">
        <v>7970</v>
      </c>
      <c r="B20" s="23">
        <v>9557.6983461275304</v>
      </c>
      <c r="C20" s="24">
        <v>1787.201651796511</v>
      </c>
      <c r="D20" s="25">
        <v>3236.1542586656828</v>
      </c>
      <c r="E20" s="25">
        <v>2666.085670630704</v>
      </c>
      <c r="F20" s="25">
        <v>3306.9049646922422</v>
      </c>
      <c r="G20" s="23">
        <v>10996.34654578514</v>
      </c>
      <c r="H20" s="24">
        <v>1581.885149854138</v>
      </c>
      <c r="I20" s="25">
        <v>2554.9948097912038</v>
      </c>
      <c r="J20" s="25">
        <v>2824.2093705676589</v>
      </c>
      <c r="K20" s="25">
        <v>3556.973670117</v>
      </c>
      <c r="L20" s="23">
        <v>10518.063000329999</v>
      </c>
      <c r="M20" s="24">
        <v>1514.171</v>
      </c>
      <c r="N20" s="25">
        <v>2707.1047059399998</v>
      </c>
      <c r="O20" s="25">
        <v>2803.849294059999</v>
      </c>
      <c r="P20" s="25">
        <v>3479.700996900001</v>
      </c>
      <c r="Q20" s="23">
        <v>10504.825996899999</v>
      </c>
      <c r="R20" s="24">
        <v>1584.2619713600011</v>
      </c>
      <c r="S20" s="25">
        <v>2698.1080562400002</v>
      </c>
      <c r="T20" s="25">
        <v>2696.4982948500001</v>
      </c>
      <c r="U20" s="25">
        <v>3345.03008469</v>
      </c>
      <c r="V20" s="23">
        <v>10323.898407139999</v>
      </c>
      <c r="W20" s="25">
        <v>1604.2</v>
      </c>
      <c r="X20" s="25">
        <v>2866.7</v>
      </c>
      <c r="Y20" s="25">
        <v>2805.2</v>
      </c>
      <c r="Z20" s="25">
        <v>3438.2</v>
      </c>
      <c r="AA20" s="23">
        <v>10714.3</v>
      </c>
      <c r="AB20" s="25">
        <v>1427.9</v>
      </c>
      <c r="AC20" s="25">
        <v>2618.6999999999994</v>
      </c>
      <c r="AD20" s="25">
        <v>2917.5</v>
      </c>
      <c r="AE20" s="25">
        <v>3560.2000000000003</v>
      </c>
      <c r="AF20" s="25">
        <f>+SUM(AB20:AE20)</f>
        <v>10524.3</v>
      </c>
      <c r="AH20" s="40"/>
      <c r="AI20" s="40"/>
      <c r="AJ20" s="40"/>
      <c r="AK20" s="40"/>
      <c r="AL20" s="40">
        <f t="shared" si="1"/>
        <v>0.15052245295442956</v>
      </c>
      <c r="AM20" s="40">
        <f t="shared" si="2"/>
        <v>-0.11488155336919426</v>
      </c>
      <c r="AN20" s="40">
        <f t="shared" si="3"/>
        <v>-0.21048423357770707</v>
      </c>
      <c r="AO20" s="40">
        <f t="shared" si="4"/>
        <v>5.930930940398027E-2</v>
      </c>
      <c r="AP20" s="40">
        <f t="shared" si="5"/>
        <v>7.5620166921860799E-2</v>
      </c>
      <c r="AQ20" s="40">
        <f t="shared" si="6"/>
        <v>-4.3494768327255406E-2</v>
      </c>
      <c r="AR20" s="40">
        <f t="shared" si="7"/>
        <v>-4.2805983645767043E-2</v>
      </c>
      <c r="AS20" s="40">
        <f t="shared" si="8"/>
        <v>5.9534326866686138E-2</v>
      </c>
      <c r="AT20" s="40">
        <f t="shared" si="9"/>
        <v>-7.2091243375371761E-3</v>
      </c>
      <c r="AU20" s="40">
        <f t="shared" si="10"/>
        <v>-2.172427473000027E-2</v>
      </c>
      <c r="AV20" s="40">
        <f t="shared" si="11"/>
        <v>-1.2585020102641176E-3</v>
      </c>
      <c r="AW20" s="40">
        <f t="shared" si="12"/>
        <v>4.6289997206392819E-2</v>
      </c>
      <c r="AX20" s="40">
        <f t="shared" si="13"/>
        <v>-3.3233475159859527E-3</v>
      </c>
      <c r="AY20" s="40">
        <f t="shared" si="14"/>
        <v>-3.8287007592534894E-2</v>
      </c>
      <c r="AZ20" s="40">
        <f t="shared" si="15"/>
        <v>-3.8701863272153747E-2</v>
      </c>
      <c r="BA20" s="40">
        <f t="shared" si="16"/>
        <v>-1.7223282880972302E-2</v>
      </c>
      <c r="BB20" s="40">
        <f t="shared" si="17"/>
        <v>1.2585057901051133E-2</v>
      </c>
      <c r="BC20" s="40">
        <f t="shared" si="18"/>
        <v>6.2485245307389192E-2</v>
      </c>
      <c r="BD20" s="40">
        <f t="shared" si="19"/>
        <v>4.0312172775190502E-2</v>
      </c>
      <c r="BE20" s="40">
        <f t="shared" si="20"/>
        <v>2.7853236877130927E-2</v>
      </c>
      <c r="BF20" s="40">
        <f t="shared" si="21"/>
        <v>3.7815326872066013E-2</v>
      </c>
      <c r="BG20" s="40">
        <f t="shared" si="22"/>
        <v>-0.10989901508540079</v>
      </c>
      <c r="BH20" s="40">
        <f t="shared" si="23"/>
        <v>-8.6510621969512091E-2</v>
      </c>
      <c r="BI20" s="40">
        <f t="shared" si="24"/>
        <v>4.0032796235562662E-2</v>
      </c>
      <c r="BJ20" s="40">
        <f t="shared" si="25"/>
        <v>3.5483683322669046E-2</v>
      </c>
      <c r="BK20" s="40">
        <f t="shared" si="26"/>
        <v>-1.7733309688920396E-2</v>
      </c>
    </row>
    <row r="21" spans="1:63" ht="14.25" customHeight="1">
      <c r="A21" s="22" t="s">
        <v>7971</v>
      </c>
      <c r="B21" s="23">
        <v>559.33692508000013</v>
      </c>
      <c r="C21" s="24">
        <v>147.38669761</v>
      </c>
      <c r="D21" s="25">
        <v>174.53979450099999</v>
      </c>
      <c r="E21" s="25">
        <v>189.34352157800009</v>
      </c>
      <c r="F21" s="25">
        <v>196.62706148799981</v>
      </c>
      <c r="G21" s="23">
        <v>707.89707517699992</v>
      </c>
      <c r="H21" s="24">
        <v>244.35183340699999</v>
      </c>
      <c r="I21" s="25">
        <v>271.12273276399992</v>
      </c>
      <c r="J21" s="25">
        <v>306.28749781800002</v>
      </c>
      <c r="K21" s="25">
        <v>328.46393600699997</v>
      </c>
      <c r="L21" s="23">
        <v>1150.2259999959999</v>
      </c>
      <c r="M21" s="24">
        <v>283.3</v>
      </c>
      <c r="N21" s="25">
        <v>329.89902735760029</v>
      </c>
      <c r="O21" s="25">
        <v>335.1851250813238</v>
      </c>
      <c r="P21" s="25">
        <v>429.76352753833169</v>
      </c>
      <c r="Q21" s="23">
        <v>1378.1476799772561</v>
      </c>
      <c r="R21" s="24">
        <v>396.82120354459988</v>
      </c>
      <c r="S21" s="25">
        <v>462.50568056930001</v>
      </c>
      <c r="T21" s="25">
        <v>398.03464178120021</v>
      </c>
      <c r="U21" s="25">
        <v>403.00249478960052</v>
      </c>
      <c r="V21" s="23">
        <v>1660.364020684701</v>
      </c>
      <c r="W21" s="25">
        <v>329.5</v>
      </c>
      <c r="X21" s="25">
        <v>365.4</v>
      </c>
      <c r="Y21" s="25">
        <v>412.9</v>
      </c>
      <c r="Z21" s="25">
        <v>514.20000000000005</v>
      </c>
      <c r="AA21" s="23">
        <v>1622</v>
      </c>
      <c r="AB21" s="25">
        <v>361.3</v>
      </c>
      <c r="AC21" s="25">
        <v>413.79999999999995</v>
      </c>
      <c r="AD21" s="25">
        <v>498.8</v>
      </c>
      <c r="AE21" s="25">
        <v>529.99999999999989</v>
      </c>
      <c r="AF21" s="25">
        <f t="shared" ref="AF21:AF30" si="27">+SUM(AB21:AE21)</f>
        <v>1803.8999999999996</v>
      </c>
      <c r="AH21" s="40"/>
      <c r="AI21" s="40"/>
      <c r="AJ21" s="40"/>
      <c r="AK21" s="40"/>
      <c r="AL21" s="40">
        <f t="shared" si="1"/>
        <v>0.26560046983444141</v>
      </c>
      <c r="AM21" s="40">
        <f t="shared" si="2"/>
        <v>0.65789611524901304</v>
      </c>
      <c r="AN21" s="40">
        <f t="shared" si="3"/>
        <v>0.55335769438210591</v>
      </c>
      <c r="AO21" s="40">
        <f t="shared" si="4"/>
        <v>0.61762861103132516</v>
      </c>
      <c r="AP21" s="40">
        <f t="shared" si="5"/>
        <v>0.67049201427976479</v>
      </c>
      <c r="AQ21" s="40">
        <f t="shared" si="6"/>
        <v>0.62484920524414056</v>
      </c>
      <c r="AR21" s="40">
        <f t="shared" si="7"/>
        <v>0.15939379725515201</v>
      </c>
      <c r="AS21" s="40">
        <f t="shared" si="8"/>
        <v>0.21678851490761009</v>
      </c>
      <c r="AT21" s="40">
        <f t="shared" si="9"/>
        <v>9.4348047077308816E-2</v>
      </c>
      <c r="AU21" s="40">
        <f t="shared" si="10"/>
        <v>0.30840399942468233</v>
      </c>
      <c r="AV21" s="40">
        <f t="shared" si="11"/>
        <v>0.19815382366773893</v>
      </c>
      <c r="AW21" s="40">
        <f t="shared" si="12"/>
        <v>0.40071021371196558</v>
      </c>
      <c r="AX21" s="40">
        <f t="shared" si="13"/>
        <v>0.40196133427201119</v>
      </c>
      <c r="AY21" s="40">
        <f t="shared" si="14"/>
        <v>0.18750687902581475</v>
      </c>
      <c r="AZ21" s="40">
        <f t="shared" si="15"/>
        <v>-6.2269203955061747E-2</v>
      </c>
      <c r="BA21" s="40">
        <f t="shared" si="16"/>
        <v>0.2047794621778869</v>
      </c>
      <c r="BB21" s="40">
        <f t="shared" si="17"/>
        <v>-0.16965122564836299</v>
      </c>
      <c r="BC21" s="40">
        <f t="shared" si="18"/>
        <v>-0.20995564951715251</v>
      </c>
      <c r="BD21" s="40">
        <f t="shared" si="19"/>
        <v>3.7346895617621279E-2</v>
      </c>
      <c r="BE21" s="40">
        <f t="shared" si="20"/>
        <v>0.27592262243551002</v>
      </c>
      <c r="BF21" s="40">
        <f t="shared" si="21"/>
        <v>-2.3105788975649078E-2</v>
      </c>
      <c r="BG21" s="40">
        <f t="shared" si="22"/>
        <v>9.6509863429438569E-2</v>
      </c>
      <c r="BH21" s="40">
        <f t="shared" si="23"/>
        <v>0.13245758073344271</v>
      </c>
      <c r="BI21" s="40">
        <f t="shared" si="24"/>
        <v>0.20804068781787377</v>
      </c>
      <c r="BJ21" s="40">
        <f t="shared" si="25"/>
        <v>3.0727343446129707E-2</v>
      </c>
      <c r="BK21" s="40">
        <f t="shared" si="26"/>
        <v>0.11214549938347695</v>
      </c>
    </row>
    <row r="22" spans="1:63" ht="14.25" customHeight="1">
      <c r="A22" s="22" t="s">
        <v>7972</v>
      </c>
      <c r="B22" s="23">
        <v>721.94036718999996</v>
      </c>
      <c r="C22" s="24">
        <v>138.43412548799989</v>
      </c>
      <c r="D22" s="25">
        <v>227.47446721300011</v>
      </c>
      <c r="E22" s="25">
        <v>293.35772429999992</v>
      </c>
      <c r="F22" s="25">
        <v>242.69958820700009</v>
      </c>
      <c r="G22" s="23">
        <v>901.96590520799987</v>
      </c>
      <c r="H22" s="24">
        <v>243.1302864243963</v>
      </c>
      <c r="I22" s="25">
        <v>291.4901740669128</v>
      </c>
      <c r="J22" s="25">
        <v>287.71405096799998</v>
      </c>
      <c r="K22" s="25">
        <v>209.68637124599991</v>
      </c>
      <c r="L22" s="23">
        <v>1032.0208827053091</v>
      </c>
      <c r="M22" s="24">
        <v>245.335587441</v>
      </c>
      <c r="N22" s="25">
        <v>264.98463096199998</v>
      </c>
      <c r="O22" s="25">
        <v>238.25424184999989</v>
      </c>
      <c r="P22" s="25">
        <v>328.19437787099997</v>
      </c>
      <c r="Q22" s="23">
        <v>1076.768838124</v>
      </c>
      <c r="R22" s="24">
        <v>340.46265808800001</v>
      </c>
      <c r="S22" s="25">
        <v>294.31073846899977</v>
      </c>
      <c r="T22" s="25">
        <v>423.33908121799999</v>
      </c>
      <c r="U22" s="25">
        <v>379.10340263100898</v>
      </c>
      <c r="V22" s="23">
        <v>1437.2158804060091</v>
      </c>
      <c r="W22" s="25">
        <v>294.89999999999998</v>
      </c>
      <c r="X22" s="25">
        <v>293.60000000000002</v>
      </c>
      <c r="Y22" s="25">
        <v>371.2</v>
      </c>
      <c r="Z22" s="25">
        <v>543.89999999999986</v>
      </c>
      <c r="AA22" s="23">
        <v>1503.6</v>
      </c>
      <c r="AB22" s="25">
        <v>367.4</v>
      </c>
      <c r="AC22" s="25">
        <v>466</v>
      </c>
      <c r="AD22" s="25">
        <v>548</v>
      </c>
      <c r="AE22" s="25">
        <v>734.9</v>
      </c>
      <c r="AF22" s="25">
        <f t="shared" si="27"/>
        <v>2116.3000000000002</v>
      </c>
      <c r="AH22" s="40"/>
      <c r="AI22" s="40"/>
      <c r="AJ22" s="40"/>
      <c r="AK22" s="40"/>
      <c r="AL22" s="40">
        <f t="shared" si="1"/>
        <v>0.2493634463448986</v>
      </c>
      <c r="AM22" s="40">
        <f t="shared" si="2"/>
        <v>0.75628867208376271</v>
      </c>
      <c r="AN22" s="40">
        <f t="shared" si="3"/>
        <v>0.28141930669506898</v>
      </c>
      <c r="AO22" s="40">
        <f t="shared" si="4"/>
        <v>-1.9238195774345712E-2</v>
      </c>
      <c r="AP22" s="40">
        <f t="shared" si="5"/>
        <v>-0.1360250225593419</v>
      </c>
      <c r="AQ22" s="40">
        <f t="shared" si="6"/>
        <v>0.14419056945097886</v>
      </c>
      <c r="AR22" s="40">
        <f t="shared" si="7"/>
        <v>9.0704496302622672E-3</v>
      </c>
      <c r="AS22" s="40">
        <f t="shared" si="8"/>
        <v>-9.0931171830266777E-2</v>
      </c>
      <c r="AT22" s="40">
        <f t="shared" si="9"/>
        <v>-0.17190613024144963</v>
      </c>
      <c r="AU22" s="40">
        <f t="shared" si="10"/>
        <v>0.56516790252414073</v>
      </c>
      <c r="AV22" s="40">
        <f t="shared" si="11"/>
        <v>4.3359544529166794E-2</v>
      </c>
      <c r="AW22" s="40">
        <f t="shared" si="12"/>
        <v>0.38774264932060376</v>
      </c>
      <c r="AX22" s="40">
        <f t="shared" si="13"/>
        <v>0.11067097514498969</v>
      </c>
      <c r="AY22" s="40">
        <f t="shared" si="14"/>
        <v>0.77683754098500302</v>
      </c>
      <c r="AZ22" s="40">
        <f t="shared" si="15"/>
        <v>0.15511851571089164</v>
      </c>
      <c r="BA22" s="40">
        <f t="shared" si="16"/>
        <v>0.33474876827787647</v>
      </c>
      <c r="BB22" s="40">
        <f t="shared" si="17"/>
        <v>-0.1338257133509877</v>
      </c>
      <c r="BC22" s="40">
        <f t="shared" si="18"/>
        <v>-2.4149253700255224E-3</v>
      </c>
      <c r="BD22" s="40">
        <f t="shared" si="19"/>
        <v>-0.12316151173189416</v>
      </c>
      <c r="BE22" s="40">
        <f t="shared" si="20"/>
        <v>0.43470091860238891</v>
      </c>
      <c r="BF22" s="40">
        <f t="shared" si="21"/>
        <v>4.6189386367786023E-2</v>
      </c>
      <c r="BG22" s="40">
        <f t="shared" si="22"/>
        <v>0.24584604950830791</v>
      </c>
      <c r="BH22" s="40">
        <f t="shared" si="23"/>
        <v>0.58719346049046317</v>
      </c>
      <c r="BI22" s="40">
        <f t="shared" si="24"/>
        <v>0.4762931034482758</v>
      </c>
      <c r="BJ22" s="40">
        <f t="shared" si="25"/>
        <v>0.35116749402463721</v>
      </c>
      <c r="BK22" s="40">
        <f t="shared" si="26"/>
        <v>0.40748869380154318</v>
      </c>
    </row>
    <row r="23" spans="1:63" ht="14.25" customHeight="1">
      <c r="A23" s="22" t="s">
        <v>193</v>
      </c>
      <c r="B23" s="23">
        <v>518.30862772072487</v>
      </c>
      <c r="C23" s="24">
        <v>47.669942082357842</v>
      </c>
      <c r="D23" s="25">
        <v>158.77676407115439</v>
      </c>
      <c r="E23" s="25">
        <v>148.39577966647599</v>
      </c>
      <c r="F23" s="25">
        <v>221.8362987735251</v>
      </c>
      <c r="G23" s="23">
        <v>576.67878459351334</v>
      </c>
      <c r="H23" s="24">
        <v>55.278122222113119</v>
      </c>
      <c r="I23" s="25">
        <v>159.67111186364019</v>
      </c>
      <c r="J23" s="25">
        <v>157.8430296184402</v>
      </c>
      <c r="K23" s="25">
        <v>251.57012029580619</v>
      </c>
      <c r="L23" s="23">
        <v>624.36238399999979</v>
      </c>
      <c r="M23" s="24">
        <v>49.064933999999987</v>
      </c>
      <c r="N23" s="25">
        <v>173.65027099999989</v>
      </c>
      <c r="O23" s="25">
        <v>160.086119</v>
      </c>
      <c r="P23" s="25">
        <v>265.82688000000002</v>
      </c>
      <c r="Q23" s="23">
        <v>648.62820399999987</v>
      </c>
      <c r="R23" s="24">
        <v>22.534839000000051</v>
      </c>
      <c r="S23" s="25">
        <v>131.94676899999999</v>
      </c>
      <c r="T23" s="25">
        <v>35.136932000000002</v>
      </c>
      <c r="U23" s="25">
        <v>1.1000000000000001</v>
      </c>
      <c r="V23" s="23">
        <v>190.7</v>
      </c>
      <c r="W23" s="25">
        <v>24.7</v>
      </c>
      <c r="X23" s="25">
        <v>132.80000000000001</v>
      </c>
      <c r="Y23" s="25">
        <v>91.5</v>
      </c>
      <c r="Z23" s="25">
        <v>176.3</v>
      </c>
      <c r="AA23" s="23">
        <v>425.3</v>
      </c>
      <c r="AB23" s="25">
        <v>19.899999999999999</v>
      </c>
      <c r="AC23" s="25">
        <v>151.7999999999999</v>
      </c>
      <c r="AD23" s="25">
        <v>121.9</v>
      </c>
      <c r="AE23" s="25">
        <v>158.99999999999994</v>
      </c>
      <c r="AF23" s="25">
        <f t="shared" si="27"/>
        <v>452.59999999999985</v>
      </c>
      <c r="AH23" s="40"/>
      <c r="AI23" s="40"/>
      <c r="AJ23" s="40"/>
      <c r="AK23" s="40"/>
      <c r="AL23" s="40">
        <f t="shared" si="1"/>
        <v>0.11261660283270358</v>
      </c>
      <c r="AM23" s="40">
        <f t="shared" si="2"/>
        <v>0.15960120376506581</v>
      </c>
      <c r="AN23" s="40">
        <f t="shared" si="3"/>
        <v>5.632737244128494E-3</v>
      </c>
      <c r="AO23" s="40">
        <f t="shared" si="4"/>
        <v>6.3662524454517477E-2</v>
      </c>
      <c r="AP23" s="40">
        <f t="shared" si="5"/>
        <v>0.13403496941966497</v>
      </c>
      <c r="AQ23" s="40">
        <f t="shared" si="6"/>
        <v>8.2686585115312461E-2</v>
      </c>
      <c r="AR23" s="40">
        <f t="shared" si="7"/>
        <v>-0.11239868454915869</v>
      </c>
      <c r="AS23" s="40">
        <f t="shared" si="8"/>
        <v>8.7549707478068894E-2</v>
      </c>
      <c r="AT23" s="40">
        <f t="shared" si="9"/>
        <v>1.4210886517967314E-2</v>
      </c>
      <c r="AU23" s="40">
        <f t="shared" si="10"/>
        <v>5.667111693324367E-2</v>
      </c>
      <c r="AV23" s="40">
        <f t="shared" si="11"/>
        <v>3.8864961474040616E-2</v>
      </c>
      <c r="AW23" s="40">
        <f t="shared" si="12"/>
        <v>-0.54071396488579693</v>
      </c>
      <c r="AX23" s="40">
        <f t="shared" si="13"/>
        <v>-0.24015800125068576</v>
      </c>
      <c r="AY23" s="40">
        <f t="shared" si="14"/>
        <v>-0.78051231287579648</v>
      </c>
      <c r="AZ23" s="40">
        <f t="shared" si="15"/>
        <v>-0.99586196851123554</v>
      </c>
      <c r="BA23" s="40">
        <f t="shared" si="16"/>
        <v>-0.70599489996891962</v>
      </c>
      <c r="BB23" s="40">
        <f t="shared" si="17"/>
        <v>9.6080606566567583E-2</v>
      </c>
      <c r="BC23" s="40">
        <f t="shared" si="18"/>
        <v>6.4664789177220072E-3</v>
      </c>
      <c r="BD23" s="40">
        <f t="shared" si="19"/>
        <v>1.6040975916736269</v>
      </c>
      <c r="BE23" s="40">
        <f t="shared" si="20"/>
        <v>159.27272727272728</v>
      </c>
      <c r="BF23" s="40">
        <f t="shared" si="21"/>
        <v>1.2302045097011014</v>
      </c>
      <c r="BG23" s="40">
        <f t="shared" si="22"/>
        <v>-0.19433198380566807</v>
      </c>
      <c r="BH23" s="40">
        <f t="shared" si="23"/>
        <v>0.14307228915662562</v>
      </c>
      <c r="BI23" s="40">
        <f t="shared" si="24"/>
        <v>0.33224043715846996</v>
      </c>
      <c r="BJ23" s="40">
        <f t="shared" si="25"/>
        <v>-9.8128190584231834E-2</v>
      </c>
      <c r="BK23" s="40">
        <f t="shared" si="26"/>
        <v>6.418998354102956E-2</v>
      </c>
    </row>
    <row r="24" spans="1:63" ht="14.25" customHeight="1">
      <c r="A24" s="22" t="s">
        <v>70</v>
      </c>
      <c r="B24" s="23">
        <v>2717.2501114000002</v>
      </c>
      <c r="C24" s="24">
        <v>837</v>
      </c>
      <c r="D24" s="25">
        <v>904.5</v>
      </c>
      <c r="E24" s="25">
        <v>990.3</v>
      </c>
      <c r="F24" s="25">
        <v>957.6</v>
      </c>
      <c r="G24" s="23">
        <v>3689.4</v>
      </c>
      <c r="H24" s="24">
        <v>991.7</v>
      </c>
      <c r="I24" s="25">
        <v>1023.5</v>
      </c>
      <c r="J24" s="25">
        <v>1003.7</v>
      </c>
      <c r="K24" s="25">
        <v>1019.3</v>
      </c>
      <c r="L24" s="23">
        <v>4038.2</v>
      </c>
      <c r="M24" s="24">
        <v>1080.4000000000001</v>
      </c>
      <c r="N24" s="25">
        <v>1130.4000000000001</v>
      </c>
      <c r="O24" s="25">
        <v>1120.2</v>
      </c>
      <c r="P24" s="25">
        <v>1085.7</v>
      </c>
      <c r="Q24" s="23">
        <v>4416.7</v>
      </c>
      <c r="R24" s="24">
        <v>1110.5999999999999</v>
      </c>
      <c r="S24" s="25">
        <v>1142.2</v>
      </c>
      <c r="T24" s="25">
        <v>1081.5999999999999</v>
      </c>
      <c r="U24" s="25">
        <v>1144.3</v>
      </c>
      <c r="V24" s="23">
        <v>4478.8</v>
      </c>
      <c r="W24" s="25">
        <v>1116.8</v>
      </c>
      <c r="X24" s="25">
        <v>1285.4000000000001</v>
      </c>
      <c r="Y24" s="25">
        <v>1398.3</v>
      </c>
      <c r="Z24" s="25">
        <v>1274</v>
      </c>
      <c r="AA24" s="23">
        <v>5074.5</v>
      </c>
      <c r="AB24" s="25">
        <v>1425.5</v>
      </c>
      <c r="AC24" s="25">
        <v>1496.4</v>
      </c>
      <c r="AD24" s="25">
        <v>1457.4</v>
      </c>
      <c r="AE24" s="25">
        <v>1410.8999999999999</v>
      </c>
      <c r="AF24" s="25">
        <f t="shared" si="27"/>
        <v>5790.2</v>
      </c>
      <c r="AH24" s="40"/>
      <c r="AI24" s="40"/>
      <c r="AJ24" s="40"/>
      <c r="AK24" s="40"/>
      <c r="AL24" s="40">
        <f t="shared" si="1"/>
        <v>0.35776974836487252</v>
      </c>
      <c r="AM24" s="40">
        <f t="shared" si="2"/>
        <v>0.18482676224611705</v>
      </c>
      <c r="AN24" s="40">
        <f t="shared" si="3"/>
        <v>0.13156440022111671</v>
      </c>
      <c r="AO24" s="40">
        <f t="shared" si="4"/>
        <v>1.3531253155609546E-2</v>
      </c>
      <c r="AP24" s="40">
        <f t="shared" si="5"/>
        <v>6.4431913116123507E-2</v>
      </c>
      <c r="AQ24" s="40">
        <f t="shared" si="6"/>
        <v>9.4541117796931751E-2</v>
      </c>
      <c r="AR24" s="40">
        <f t="shared" si="7"/>
        <v>8.9442371684985478E-2</v>
      </c>
      <c r="AS24" s="40">
        <f t="shared" si="8"/>
        <v>0.10444553004396684</v>
      </c>
      <c r="AT24" s="40">
        <f t="shared" si="9"/>
        <v>0.11607053900567887</v>
      </c>
      <c r="AU24" s="40">
        <f t="shared" si="10"/>
        <v>6.5142745021093074E-2</v>
      </c>
      <c r="AV24" s="40">
        <f t="shared" si="11"/>
        <v>9.3729879649348646E-2</v>
      </c>
      <c r="AW24" s="40">
        <f t="shared" si="12"/>
        <v>2.7952610144390766E-2</v>
      </c>
      <c r="AX24" s="40">
        <f t="shared" si="13"/>
        <v>1.0438782731776231E-2</v>
      </c>
      <c r="AY24" s="40">
        <f t="shared" si="14"/>
        <v>-3.4458132476343661E-2</v>
      </c>
      <c r="AZ24" s="40">
        <f t="shared" si="15"/>
        <v>5.397439439992624E-2</v>
      </c>
      <c r="BA24" s="40">
        <f t="shared" si="16"/>
        <v>1.4060271243236055E-2</v>
      </c>
      <c r="BB24" s="40">
        <f t="shared" si="17"/>
        <v>5.5825679812713247E-3</v>
      </c>
      <c r="BC24" s="40">
        <f t="shared" si="18"/>
        <v>0.12537208895114693</v>
      </c>
      <c r="BD24" s="40">
        <f t="shared" si="19"/>
        <v>0.29280695266272194</v>
      </c>
      <c r="BE24" s="40">
        <f t="shared" si="20"/>
        <v>0.11334440269160195</v>
      </c>
      <c r="BF24" s="40">
        <f t="shared" si="21"/>
        <v>0.13300437617218885</v>
      </c>
      <c r="BG24" s="40">
        <f t="shared" si="22"/>
        <v>0.27641475644699143</v>
      </c>
      <c r="BH24" s="40">
        <f t="shared" si="23"/>
        <v>0.16415123696903677</v>
      </c>
      <c r="BI24" s="40">
        <f t="shared" si="24"/>
        <v>4.2265608238575503E-2</v>
      </c>
      <c r="BJ24" s="40">
        <f t="shared" si="25"/>
        <v>0.10745682888540031</v>
      </c>
      <c r="BK24" s="40">
        <f t="shared" si="26"/>
        <v>0.14103852596314903</v>
      </c>
    </row>
    <row r="25" spans="1:63" ht="14.25" customHeight="1">
      <c r="A25" s="22" t="s">
        <v>194</v>
      </c>
      <c r="B25" s="23">
        <v>528.70000000000005</v>
      </c>
      <c r="C25" s="24">
        <v>167.2</v>
      </c>
      <c r="D25" s="25">
        <v>223.6</v>
      </c>
      <c r="E25" s="25">
        <v>219.7</v>
      </c>
      <c r="F25" s="25">
        <v>237.2</v>
      </c>
      <c r="G25" s="23">
        <v>847.7</v>
      </c>
      <c r="H25" s="24">
        <v>207.4</v>
      </c>
      <c r="I25" s="25">
        <v>233.4</v>
      </c>
      <c r="J25" s="25">
        <v>223.3</v>
      </c>
      <c r="K25" s="25">
        <v>283.10000000000002</v>
      </c>
      <c r="L25" s="23">
        <v>947.2</v>
      </c>
      <c r="M25" s="24">
        <v>327.7</v>
      </c>
      <c r="N25" s="25">
        <v>449.9</v>
      </c>
      <c r="O25" s="25">
        <v>674.6</v>
      </c>
      <c r="P25" s="25">
        <v>682.2</v>
      </c>
      <c r="Q25" s="23">
        <v>2134.4</v>
      </c>
      <c r="R25" s="24">
        <v>679.64</v>
      </c>
      <c r="S25" s="25">
        <v>753.7</v>
      </c>
      <c r="T25" s="25">
        <v>751.8</v>
      </c>
      <c r="U25" s="25">
        <v>786.9</v>
      </c>
      <c r="V25" s="23">
        <v>2972.04</v>
      </c>
      <c r="W25" s="25">
        <v>907.10308999999972</v>
      </c>
      <c r="X25" s="25">
        <v>959.6</v>
      </c>
      <c r="Y25" s="25">
        <v>946.5</v>
      </c>
      <c r="Z25" s="25">
        <v>1093.9969099999998</v>
      </c>
      <c r="AA25" s="23">
        <v>3907.2</v>
      </c>
      <c r="AB25" s="25">
        <v>1068.0999999999999</v>
      </c>
      <c r="AC25" s="25">
        <v>1104.4999999999995</v>
      </c>
      <c r="AD25" s="25">
        <v>1197.5</v>
      </c>
      <c r="AE25" s="25">
        <v>1398.1</v>
      </c>
      <c r="AF25" s="25">
        <f t="shared" si="27"/>
        <v>4768.1999999999989</v>
      </c>
      <c r="AH25" s="40"/>
      <c r="AI25" s="40"/>
      <c r="AJ25" s="40"/>
      <c r="AK25" s="40"/>
      <c r="AL25" s="40">
        <f t="shared" si="1"/>
        <v>0.60336674862871198</v>
      </c>
      <c r="AM25" s="40">
        <f t="shared" si="2"/>
        <v>0.24043062200956955</v>
      </c>
      <c r="AN25" s="40">
        <f t="shared" si="3"/>
        <v>4.3828264758497326E-2</v>
      </c>
      <c r="AO25" s="40">
        <f t="shared" si="4"/>
        <v>1.6385980883022455E-2</v>
      </c>
      <c r="AP25" s="40">
        <f t="shared" si="5"/>
        <v>0.19350758853288386</v>
      </c>
      <c r="AQ25" s="40">
        <f t="shared" si="6"/>
        <v>0.1173764303409226</v>
      </c>
      <c r="AR25" s="40">
        <f t="shared" si="7"/>
        <v>0.58003857280617166</v>
      </c>
      <c r="AS25" s="40">
        <f t="shared" si="8"/>
        <v>0.92759211653813178</v>
      </c>
      <c r="AT25" s="40">
        <f t="shared" si="9"/>
        <v>2.0210479175996419</v>
      </c>
      <c r="AU25" s="40">
        <f t="shared" si="10"/>
        <v>1.4097492052278349</v>
      </c>
      <c r="AV25" s="40">
        <f t="shared" si="11"/>
        <v>1.2533783783783785</v>
      </c>
      <c r="AW25" s="40">
        <f t="shared" si="12"/>
        <v>1.0739700945987183</v>
      </c>
      <c r="AX25" s="40">
        <f t="shared" si="13"/>
        <v>0.67526116914869982</v>
      </c>
      <c r="AY25" s="40">
        <f t="shared" si="14"/>
        <v>0.11443818559146157</v>
      </c>
      <c r="AZ25" s="40">
        <f t="shared" si="15"/>
        <v>0.1534740545294635</v>
      </c>
      <c r="BA25" s="40">
        <f t="shared" si="16"/>
        <v>0.39244752623688139</v>
      </c>
      <c r="BB25" s="40">
        <f t="shared" si="17"/>
        <v>0.3346817285621797</v>
      </c>
      <c r="BC25" s="40">
        <f t="shared" si="18"/>
        <v>0.27318561761974247</v>
      </c>
      <c r="BD25" s="40">
        <f t="shared" si="19"/>
        <v>0.25897845171588196</v>
      </c>
      <c r="BE25" s="40">
        <f t="shared" si="20"/>
        <v>0.39026167238530918</v>
      </c>
      <c r="BF25" s="40">
        <f t="shared" si="21"/>
        <v>0.31465256187669066</v>
      </c>
      <c r="BG25" s="40">
        <f t="shared" si="22"/>
        <v>0.17748468919888727</v>
      </c>
      <c r="BH25" s="40">
        <f t="shared" si="23"/>
        <v>0.15100041684034959</v>
      </c>
      <c r="BI25" s="40">
        <f t="shared" si="24"/>
        <v>0.26518753301637621</v>
      </c>
      <c r="BJ25" s="40">
        <f t="shared" si="25"/>
        <v>0.27797435917803481</v>
      </c>
      <c r="BK25" s="40">
        <f t="shared" si="26"/>
        <v>0.22036240786240757</v>
      </c>
    </row>
    <row r="26" spans="1:63" ht="14.25" customHeight="1">
      <c r="A26" s="22" t="s">
        <v>195</v>
      </c>
      <c r="B26" s="31">
        <v>-131.3955416133081</v>
      </c>
      <c r="C26" s="32">
        <v>-9.762411792390715</v>
      </c>
      <c r="D26" s="33">
        <v>-35.654835380196182</v>
      </c>
      <c r="E26" s="33">
        <v>-12.943581885275391</v>
      </c>
      <c r="F26" s="33">
        <v>-102.6891074761041</v>
      </c>
      <c r="G26" s="31">
        <v>-161.04993653396639</v>
      </c>
      <c r="H26" s="32">
        <v>-82.303218855261932</v>
      </c>
      <c r="I26" s="33">
        <v>-84.747738521559228</v>
      </c>
      <c r="J26" s="33">
        <v>-11.6395419496207</v>
      </c>
      <c r="K26" s="33">
        <v>-58.707746726523169</v>
      </c>
      <c r="L26" s="31">
        <v>-237.39824605296499</v>
      </c>
      <c r="M26" s="32">
        <v>-22.61623299999999</v>
      </c>
      <c r="N26" s="33">
        <v>-1.876758907000017</v>
      </c>
      <c r="O26" s="33">
        <v>-55.294587319999998</v>
      </c>
      <c r="P26" s="33">
        <v>-162.95519730999999</v>
      </c>
      <c r="Q26" s="31">
        <v>-242.742776537</v>
      </c>
      <c r="R26" s="32">
        <v>-39.586630639999967</v>
      </c>
      <c r="S26" s="33">
        <v>-29.21436991000013</v>
      </c>
      <c r="T26" s="33">
        <v>-30.900702840000111</v>
      </c>
      <c r="U26" s="33">
        <v>-218.08146127500009</v>
      </c>
      <c r="V26" s="31">
        <v>-317.7831646650003</v>
      </c>
      <c r="W26" s="33">
        <v>-92.699592420000016</v>
      </c>
      <c r="X26" s="25">
        <v>48.1</v>
      </c>
      <c r="Y26" s="25">
        <v>-32.200000000000003</v>
      </c>
      <c r="Z26" s="25">
        <v>-107.20040757999999</v>
      </c>
      <c r="AA26" s="31">
        <v>-184</v>
      </c>
      <c r="AB26" s="33">
        <v>-65.5</v>
      </c>
      <c r="AC26" s="33">
        <v>11.500000000000032</v>
      </c>
      <c r="AD26" s="33">
        <v>2</v>
      </c>
      <c r="AE26" s="33">
        <v>-66.499999999999972</v>
      </c>
      <c r="AF26" s="33">
        <f t="shared" si="27"/>
        <v>-118.49999999999994</v>
      </c>
      <c r="AH26" s="40"/>
      <c r="AI26" s="40"/>
      <c r="AJ26" s="40"/>
      <c r="AK26" s="40"/>
      <c r="AL26" s="40">
        <f t="shared" si="1"/>
        <v>0.22568798420824665</v>
      </c>
      <c r="AM26" s="40">
        <f t="shared" si="2"/>
        <v>7.430623559581143</v>
      </c>
      <c r="AN26" s="40">
        <f t="shared" si="3"/>
        <v>1.3768932773878628</v>
      </c>
      <c r="AO26" s="40">
        <f t="shared" si="4"/>
        <v>-0.1007479959730595</v>
      </c>
      <c r="AP26" s="40">
        <f t="shared" si="5"/>
        <v>-0.4282962607286801</v>
      </c>
      <c r="AQ26" s="40">
        <f t="shared" si="6"/>
        <v>0.47406606399311624</v>
      </c>
      <c r="AR26" s="40">
        <f t="shared" si="7"/>
        <v>-0.72520840236184692</v>
      </c>
      <c r="AS26" s="40">
        <f t="shared" si="8"/>
        <v>-0.97785476120377435</v>
      </c>
      <c r="AT26" s="40">
        <f t="shared" si="9"/>
        <v>3.7505810417051588</v>
      </c>
      <c r="AU26" s="40">
        <f t="shared" si="10"/>
        <v>1.7757017837712308</v>
      </c>
      <c r="AV26" s="40">
        <f t="shared" si="11"/>
        <v>2.2512931636582634E-2</v>
      </c>
      <c r="AW26" s="40">
        <f t="shared" si="12"/>
        <v>0.75036358353754062</v>
      </c>
      <c r="AX26" s="40">
        <f t="shared" si="13"/>
        <v>14.566394703675098</v>
      </c>
      <c r="AY26" s="40">
        <f t="shared" si="14"/>
        <v>-0.44116224864520592</v>
      </c>
      <c r="AZ26" s="40">
        <f t="shared" si="15"/>
        <v>0.33829092213689838</v>
      </c>
      <c r="BA26" s="40">
        <f t="shared" si="16"/>
        <v>0.30913541156007285</v>
      </c>
      <c r="BB26" s="40">
        <f t="shared" si="17"/>
        <v>1.3416893764717757</v>
      </c>
      <c r="BC26" s="40">
        <f t="shared" si="18"/>
        <v>-2.6464500226491374</v>
      </c>
      <c r="BD26" s="40">
        <f t="shared" si="19"/>
        <v>4.2047495383114253E-2</v>
      </c>
      <c r="BE26" s="40">
        <f t="shared" si="20"/>
        <v>-0.50843869555321541</v>
      </c>
      <c r="BF26" s="40">
        <f t="shared" si="21"/>
        <v>-0.42098883622746797</v>
      </c>
      <c r="BG26" s="40">
        <f t="shared" si="22"/>
        <v>-0.29341652654485328</v>
      </c>
      <c r="BH26" s="40">
        <f t="shared" si="23"/>
        <v>-0.76091476091476029</v>
      </c>
      <c r="BI26" s="40">
        <f t="shared" si="24"/>
        <v>-1.0621118012422359</v>
      </c>
      <c r="BJ26" s="40">
        <f t="shared" si="25"/>
        <v>-0.37966653764470715</v>
      </c>
      <c r="BK26" s="40">
        <f t="shared" si="26"/>
        <v>-0.35597826086956552</v>
      </c>
    </row>
    <row r="27" spans="1:63" ht="14.25" customHeight="1">
      <c r="A27" s="27" t="s">
        <v>207</v>
      </c>
      <c r="B27" s="28">
        <v>14471.838835904948</v>
      </c>
      <c r="C27" s="29">
        <v>3115.1300051844783</v>
      </c>
      <c r="D27" s="30">
        <v>4889.3904490706418</v>
      </c>
      <c r="E27" s="30">
        <v>4494.2391142899041</v>
      </c>
      <c r="F27" s="30">
        <v>5060.1788056846626</v>
      </c>
      <c r="G27" s="28">
        <v>17558.938374229689</v>
      </c>
      <c r="H27" s="29">
        <v>3241.4421730523854</v>
      </c>
      <c r="I27" s="30">
        <v>4449.4310899641978</v>
      </c>
      <c r="J27" s="30">
        <v>4791.4144070224784</v>
      </c>
      <c r="K27" s="30">
        <v>5590.3863509392831</v>
      </c>
      <c r="L27" s="28">
        <v>18072.674020978342</v>
      </c>
      <c r="M27" s="29">
        <v>3477.3552884409996</v>
      </c>
      <c r="N27" s="30">
        <v>5054.061876352599</v>
      </c>
      <c r="O27" s="30">
        <v>5276.8801926713231</v>
      </c>
      <c r="P27" s="30">
        <v>6108.4305849993325</v>
      </c>
      <c r="Q27" s="28">
        <v>19916.727942464255</v>
      </c>
      <c r="R27" s="29">
        <v>4094.7340413526013</v>
      </c>
      <c r="S27" s="30">
        <v>5453.5568743683007</v>
      </c>
      <c r="T27" s="30">
        <v>5355.5082470092002</v>
      </c>
      <c r="U27" s="30">
        <v>5841.354520835609</v>
      </c>
      <c r="V27" s="28">
        <v>20745.235143565711</v>
      </c>
      <c r="W27" s="30">
        <v>4184.503497579999</v>
      </c>
      <c r="X27" s="30">
        <v>5951.6</v>
      </c>
      <c r="Y27" s="30">
        <f>+SUM(Y20:Y26)</f>
        <v>5993.4</v>
      </c>
      <c r="Z27" s="30">
        <v>6933.3965024199988</v>
      </c>
      <c r="AA27" s="28">
        <v>23062.899999999998</v>
      </c>
      <c r="AB27" s="30">
        <v>4604.6000000000004</v>
      </c>
      <c r="AC27" s="30">
        <f>+SUM(AC20:AC26)</f>
        <v>6262.6999999999989</v>
      </c>
      <c r="AD27" s="30">
        <f>+SUM(AD20:AD26)</f>
        <v>6743.1</v>
      </c>
      <c r="AE27" s="30">
        <f>+SUM(AE20:AE26)</f>
        <v>7726.6</v>
      </c>
      <c r="AF27" s="30">
        <f>+SUM(AF20:AF26)</f>
        <v>25337</v>
      </c>
      <c r="AH27" s="40"/>
      <c r="AI27" s="40"/>
      <c r="AJ27" s="40"/>
      <c r="AK27" s="40"/>
      <c r="AL27" s="41">
        <f t="shared" si="1"/>
        <v>0.21331771126870058</v>
      </c>
      <c r="AM27" s="41">
        <f t="shared" si="2"/>
        <v>4.0547960328360944E-2</v>
      </c>
      <c r="AN27" s="41">
        <f t="shared" si="3"/>
        <v>-8.9982455622882429E-2</v>
      </c>
      <c r="AO27" s="41">
        <f t="shared" si="4"/>
        <v>6.6123605169932764E-2</v>
      </c>
      <c r="AP27" s="41">
        <f t="shared" si="5"/>
        <v>0.10478039721817334</v>
      </c>
      <c r="AQ27" s="41">
        <f t="shared" si="6"/>
        <v>2.9257785168984585E-2</v>
      </c>
      <c r="AR27" s="41">
        <f t="shared" si="7"/>
        <v>7.2780294323887551E-2</v>
      </c>
      <c r="AS27" s="41">
        <f t="shared" si="8"/>
        <v>0.1358894596102771</v>
      </c>
      <c r="AT27" s="41">
        <f t="shared" si="9"/>
        <v>0.10131993278171225</v>
      </c>
      <c r="AU27" s="41">
        <f t="shared" si="10"/>
        <v>9.2666982483779359E-2</v>
      </c>
      <c r="AV27" s="41">
        <f t="shared" si="11"/>
        <v>0.10203547739229823</v>
      </c>
      <c r="AW27" s="41">
        <f t="shared" si="12"/>
        <v>0.17754261549396944</v>
      </c>
      <c r="AX27" s="41">
        <f t="shared" si="13"/>
        <v>7.9044342508922449E-2</v>
      </c>
      <c r="AY27" s="41">
        <f t="shared" si="14"/>
        <v>1.4900481244026986E-2</v>
      </c>
      <c r="AZ27" s="41">
        <f t="shared" si="15"/>
        <v>-4.3722534036744309E-2</v>
      </c>
      <c r="BA27" s="41">
        <f t="shared" si="16"/>
        <v>4.15985599389046E-2</v>
      </c>
      <c r="BB27" s="41">
        <f t="shared" si="17"/>
        <v>2.1923146978733765E-2</v>
      </c>
      <c r="BC27" s="41">
        <f t="shared" si="18"/>
        <v>9.132445798310096E-2</v>
      </c>
      <c r="BD27" s="41">
        <f t="shared" si="19"/>
        <v>0.11910947076722955</v>
      </c>
      <c r="BE27" s="41">
        <f t="shared" si="20"/>
        <v>0.18695012906495734</v>
      </c>
      <c r="BF27" s="41">
        <f t="shared" si="21"/>
        <v>0.11172034640220163</v>
      </c>
      <c r="BG27" s="41">
        <f t="shared" si="22"/>
        <v>0.10039339258838087</v>
      </c>
      <c r="BH27" s="41">
        <f t="shared" si="23"/>
        <v>5.2271658041534774E-2</v>
      </c>
      <c r="BI27" s="41">
        <f t="shared" si="24"/>
        <v>0.12508759635599165</v>
      </c>
      <c r="BJ27" s="41">
        <f t="shared" si="25"/>
        <v>0.11440330829242873</v>
      </c>
      <c r="BK27" s="41">
        <f t="shared" si="26"/>
        <v>9.8604251850374469E-2</v>
      </c>
    </row>
    <row r="28" spans="1:63" ht="14.25" customHeight="1">
      <c r="A28" s="22" t="s">
        <v>209</v>
      </c>
      <c r="B28" s="31">
        <v>-197.00422734</v>
      </c>
      <c r="C28" s="32">
        <v>-108.85231776000001</v>
      </c>
      <c r="D28" s="33">
        <v>-99.591495199999997</v>
      </c>
      <c r="E28" s="33">
        <v>-87.108365689999999</v>
      </c>
      <c r="F28" s="33">
        <v>-172.27553491</v>
      </c>
      <c r="G28" s="31">
        <v>-467.82771356000001</v>
      </c>
      <c r="H28" s="32">
        <v>-90.84295118</v>
      </c>
      <c r="I28" s="33">
        <v>-98.33191708999999</v>
      </c>
      <c r="J28" s="33">
        <v>-87.286424260000004</v>
      </c>
      <c r="K28" s="33">
        <v>-91.882707470000014</v>
      </c>
      <c r="L28" s="31">
        <v>-368.34399999999999</v>
      </c>
      <c r="M28" s="32">
        <v>-99.495000000000005</v>
      </c>
      <c r="N28" s="33">
        <v>-83.385000000000005</v>
      </c>
      <c r="O28" s="33">
        <v>-151.208</v>
      </c>
      <c r="P28" s="33">
        <v>-144.197</v>
      </c>
      <c r="Q28" s="31">
        <v>-478.28500000000003</v>
      </c>
      <c r="R28" s="32">
        <v>-157.833</v>
      </c>
      <c r="S28" s="33">
        <v>-161.71299999999999</v>
      </c>
      <c r="T28" s="33">
        <v>-164.911</v>
      </c>
      <c r="U28" s="33">
        <v>-173.792</v>
      </c>
      <c r="V28" s="31">
        <v>-658.24900000000002</v>
      </c>
      <c r="W28" s="33">
        <v>-175</v>
      </c>
      <c r="X28" s="33">
        <v>-197.3</v>
      </c>
      <c r="Y28" s="33">
        <v>-205.2</v>
      </c>
      <c r="Z28" s="33">
        <v>-323.5</v>
      </c>
      <c r="AA28" s="31">
        <v>-901</v>
      </c>
      <c r="AB28" s="33">
        <v>-281.7</v>
      </c>
      <c r="AC28" s="33">
        <v>-241.1</v>
      </c>
      <c r="AD28" s="33">
        <v>-263.8</v>
      </c>
      <c r="AE28" s="33">
        <v>-298.60000000000002</v>
      </c>
      <c r="AF28" s="33">
        <f t="shared" si="27"/>
        <v>-1085.1999999999998</v>
      </c>
      <c r="AH28" s="40"/>
      <c r="AI28" s="40"/>
      <c r="AJ28" s="40"/>
      <c r="AK28" s="40"/>
      <c r="AL28" s="40">
        <f t="shared" si="1"/>
        <v>1.3747090094295231</v>
      </c>
      <c r="AM28" s="40">
        <f t="shared" si="2"/>
        <v>-0.16544770888303417</v>
      </c>
      <c r="AN28" s="40">
        <f t="shared" si="3"/>
        <v>-1.2647446526136807E-2</v>
      </c>
      <c r="AO28" s="40">
        <f t="shared" si="4"/>
        <v>2.0441041292598161E-3</v>
      </c>
      <c r="AP28" s="40">
        <f t="shared" si="5"/>
        <v>-0.46665260672096431</v>
      </c>
      <c r="AQ28" s="40">
        <f t="shared" si="6"/>
        <v>-0.21265032121112459</v>
      </c>
      <c r="AR28" s="40">
        <f t="shared" si="7"/>
        <v>9.5241828976432963E-2</v>
      </c>
      <c r="AS28" s="40">
        <f t="shared" si="8"/>
        <v>-0.15200473592231056</v>
      </c>
      <c r="AT28" s="40">
        <f t="shared" si="9"/>
        <v>0.73231978835101375</v>
      </c>
      <c r="AU28" s="40">
        <f t="shared" si="10"/>
        <v>0.5693595015915347</v>
      </c>
      <c r="AV28" s="40">
        <f t="shared" si="11"/>
        <v>0.29847370935864315</v>
      </c>
      <c r="AW28" s="40">
        <f t="shared" si="12"/>
        <v>0.58634102216191764</v>
      </c>
      <c r="AX28" s="40">
        <f t="shared" si="13"/>
        <v>0.93935360076752383</v>
      </c>
      <c r="AY28" s="40">
        <f t="shared" si="14"/>
        <v>9.0623511983493055E-2</v>
      </c>
      <c r="AZ28" s="40">
        <f t="shared" si="15"/>
        <v>0.20524005353786823</v>
      </c>
      <c r="BA28" s="40">
        <f t="shared" si="16"/>
        <v>0.37626937913587089</v>
      </c>
      <c r="BB28" s="40">
        <f t="shared" si="17"/>
        <v>0.10876686117605328</v>
      </c>
      <c r="BC28" s="40">
        <f t="shared" si="18"/>
        <v>0.2200627036787397</v>
      </c>
      <c r="BD28" s="40">
        <f t="shared" si="19"/>
        <v>0.24430753557979745</v>
      </c>
      <c r="BE28" s="40">
        <f t="shared" si="20"/>
        <v>0.86142054870189644</v>
      </c>
      <c r="BF28" s="40">
        <f t="shared" si="21"/>
        <v>0.36878293776367288</v>
      </c>
      <c r="BG28" s="40">
        <f t="shared" si="22"/>
        <v>0.60971428571428565</v>
      </c>
      <c r="BH28" s="40">
        <f t="shared" si="23"/>
        <v>0.22199695894576776</v>
      </c>
      <c r="BI28" s="40">
        <f t="shared" si="24"/>
        <v>0.28557504873294359</v>
      </c>
      <c r="BJ28" s="40">
        <f t="shared" si="25"/>
        <v>-7.6970633693972057E-2</v>
      </c>
      <c r="BK28" s="40">
        <f t="shared" si="26"/>
        <v>0.20443951165371788</v>
      </c>
    </row>
    <row r="29" spans="1:63" ht="14.25" customHeight="1">
      <c r="A29" s="22" t="s">
        <v>7973</v>
      </c>
      <c r="B29" s="23">
        <v>0</v>
      </c>
      <c r="C29" s="32">
        <v>-3.3566794109999996</v>
      </c>
      <c r="D29" s="33">
        <v>-16.941183816000002</v>
      </c>
      <c r="E29" s="33">
        <v>-24.720576506</v>
      </c>
      <c r="F29" s="33">
        <v>-0.15617028100000002</v>
      </c>
      <c r="G29" s="31">
        <v>-45.174610014000002</v>
      </c>
      <c r="H29" s="24">
        <v>0</v>
      </c>
      <c r="I29" s="25">
        <v>0</v>
      </c>
      <c r="J29" s="25">
        <v>0</v>
      </c>
      <c r="K29" s="25">
        <v>0</v>
      </c>
      <c r="L29" s="23">
        <v>0</v>
      </c>
      <c r="M29" s="24">
        <v>0</v>
      </c>
      <c r="N29" s="25">
        <v>0</v>
      </c>
      <c r="O29" s="25">
        <v>0</v>
      </c>
      <c r="P29" s="25">
        <v>0</v>
      </c>
      <c r="Q29" s="23">
        <v>0</v>
      </c>
      <c r="R29" s="24">
        <v>0</v>
      </c>
      <c r="S29" s="25">
        <v>0</v>
      </c>
      <c r="T29" s="25">
        <v>0</v>
      </c>
      <c r="U29" s="25">
        <v>0</v>
      </c>
      <c r="V29" s="23">
        <v>0</v>
      </c>
      <c r="W29" s="25">
        <v>0</v>
      </c>
      <c r="X29" s="25">
        <v>0</v>
      </c>
      <c r="Y29" s="25">
        <v>0</v>
      </c>
      <c r="Z29" s="25">
        <v>0</v>
      </c>
      <c r="AA29" s="23">
        <v>0</v>
      </c>
      <c r="AB29" s="25">
        <v>0</v>
      </c>
      <c r="AC29" s="25">
        <v>0</v>
      </c>
      <c r="AD29" s="25">
        <v>0</v>
      </c>
      <c r="AE29" s="25">
        <v>0</v>
      </c>
      <c r="AF29" s="25">
        <v>0</v>
      </c>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row>
    <row r="30" spans="1:63" ht="14.25" customHeight="1">
      <c r="A30" s="22" t="s">
        <v>700</v>
      </c>
      <c r="B30" s="31">
        <v>-2611.6320884257229</v>
      </c>
      <c r="C30" s="32">
        <v>-673.47769023689568</v>
      </c>
      <c r="D30" s="33">
        <v>-704.20156323357651</v>
      </c>
      <c r="E30" s="33">
        <v>-677.17871481013549</v>
      </c>
      <c r="F30" s="33">
        <v>-724.91514434179408</v>
      </c>
      <c r="G30" s="31">
        <v>-2779.7731126224021</v>
      </c>
      <c r="H30" s="32">
        <v>-718.59618585779253</v>
      </c>
      <c r="I30" s="33">
        <v>-764.72727270728637</v>
      </c>
      <c r="J30" s="33">
        <v>-844.93555790364553</v>
      </c>
      <c r="K30" s="33">
        <v>-894.81098353127572</v>
      </c>
      <c r="L30" s="31">
        <v>-3223.07</v>
      </c>
      <c r="M30" s="32">
        <v>-993.26800000000003</v>
      </c>
      <c r="N30" s="33">
        <v>-962.80799999999999</v>
      </c>
      <c r="O30" s="33">
        <v>-1149.7080000000001</v>
      </c>
      <c r="P30" s="33">
        <v>-1205.3309999999999</v>
      </c>
      <c r="Q30" s="31">
        <v>-4311.1149999999998</v>
      </c>
      <c r="R30" s="32">
        <v>-1207.1500000000001</v>
      </c>
      <c r="S30" s="33">
        <v>-1155.0840000000001</v>
      </c>
      <c r="T30" s="33">
        <v>-1195.021</v>
      </c>
      <c r="U30" s="33">
        <v>-1372.3340000000001</v>
      </c>
      <c r="V30" s="31">
        <v>-4929.5889999999999</v>
      </c>
      <c r="W30" s="33">
        <v>-1481.2</v>
      </c>
      <c r="X30" s="33">
        <v>-1522.3</v>
      </c>
      <c r="Y30" s="33">
        <v>-1636.7</v>
      </c>
      <c r="Z30" s="33">
        <v>-1939.1000000000001</v>
      </c>
      <c r="AA30" s="31">
        <v>-6579.3</v>
      </c>
      <c r="AB30" s="33">
        <v>-1775.5</v>
      </c>
      <c r="AC30" s="33">
        <v>-1813.2</v>
      </c>
      <c r="AD30" s="33">
        <v>-1841.2</v>
      </c>
      <c r="AE30" s="33">
        <v>-1999.9</v>
      </c>
      <c r="AF30" s="33">
        <f t="shared" si="27"/>
        <v>-7429.7999999999993</v>
      </c>
      <c r="AH30" s="40"/>
      <c r="AI30" s="40"/>
      <c r="AJ30" s="40"/>
      <c r="AK30" s="40"/>
      <c r="AL30" s="40">
        <f t="shared" si="1"/>
        <v>6.4381589176304654E-2</v>
      </c>
      <c r="AM30" s="40">
        <f t="shared" si="2"/>
        <v>6.6993303972736618E-2</v>
      </c>
      <c r="AN30" s="40">
        <f t="shared" si="3"/>
        <v>8.5949410841671403E-2</v>
      </c>
      <c r="AO30" s="40">
        <f t="shared" si="4"/>
        <v>0.24772905501104692</v>
      </c>
      <c r="AP30" s="40">
        <f t="shared" si="5"/>
        <v>0.23436651933067698</v>
      </c>
      <c r="AQ30" s="40">
        <f t="shared" si="6"/>
        <v>0.15947232720709259</v>
      </c>
      <c r="AR30" s="40">
        <f t="shared" si="7"/>
        <v>0.38223388816673176</v>
      </c>
      <c r="AS30" s="40">
        <f t="shared" si="8"/>
        <v>0.25902139803575785</v>
      </c>
      <c r="AT30" s="40">
        <f t="shared" si="9"/>
        <v>0.36070495465064822</v>
      </c>
      <c r="AU30" s="40">
        <f t="shared" si="10"/>
        <v>0.34702302741444924</v>
      </c>
      <c r="AV30" s="40">
        <f t="shared" si="11"/>
        <v>0.33758031938493405</v>
      </c>
      <c r="AW30" s="40">
        <f t="shared" si="12"/>
        <v>0.21533161241477639</v>
      </c>
      <c r="AX30" s="40">
        <f t="shared" si="13"/>
        <v>0.19970336764962493</v>
      </c>
      <c r="AY30" s="40">
        <f t="shared" si="14"/>
        <v>3.9412616072950657E-2</v>
      </c>
      <c r="AZ30" s="40">
        <f t="shared" si="15"/>
        <v>0.13855364211158605</v>
      </c>
      <c r="BA30" s="40">
        <f t="shared" si="16"/>
        <v>0.14346033450743034</v>
      </c>
      <c r="BB30" s="40">
        <f t="shared" si="17"/>
        <v>0.22702232531168454</v>
      </c>
      <c r="BC30" s="40">
        <f t="shared" si="18"/>
        <v>0.31791280980430847</v>
      </c>
      <c r="BD30" s="40">
        <f t="shared" si="19"/>
        <v>0.36959936268902394</v>
      </c>
      <c r="BE30" s="40">
        <f t="shared" si="20"/>
        <v>0.41299421277910486</v>
      </c>
      <c r="BF30" s="40">
        <f t="shared" si="21"/>
        <v>0.33465487690758811</v>
      </c>
      <c r="BG30" s="40">
        <f t="shared" si="22"/>
        <v>0.19869025114771799</v>
      </c>
      <c r="BH30" s="40">
        <f t="shared" si="23"/>
        <v>0.19109242593444131</v>
      </c>
      <c r="BI30" s="40">
        <f t="shared" si="24"/>
        <v>0.12494653876703121</v>
      </c>
      <c r="BJ30" s="40">
        <f t="shared" si="25"/>
        <v>3.1354752204630909E-2</v>
      </c>
      <c r="BK30" s="40">
        <f t="shared" si="26"/>
        <v>0.12926907117778463</v>
      </c>
    </row>
    <row r="31" spans="1:63" ht="14.25" customHeight="1">
      <c r="A31" s="27" t="s">
        <v>7975</v>
      </c>
      <c r="B31" s="28">
        <v>11663.202520139224</v>
      </c>
      <c r="C31" s="29">
        <v>2329.4433177765823</v>
      </c>
      <c r="D31" s="30">
        <v>4068.6562068210646</v>
      </c>
      <c r="E31" s="30">
        <v>3705.2314572837686</v>
      </c>
      <c r="F31" s="30">
        <v>4162.8319561518683</v>
      </c>
      <c r="G31" s="28">
        <v>14266.162938033285</v>
      </c>
      <c r="H31" s="29">
        <v>2432.0030360145929</v>
      </c>
      <c r="I31" s="30">
        <v>3586.371900166911</v>
      </c>
      <c r="J31" s="30">
        <v>3859.192424858833</v>
      </c>
      <c r="K31" s="30">
        <v>4603.6926599380076</v>
      </c>
      <c r="L31" s="28">
        <v>14481.260020978341</v>
      </c>
      <c r="M31" s="29">
        <v>2384.5922884409997</v>
      </c>
      <c r="N31" s="30">
        <v>4007.8688763525988</v>
      </c>
      <c r="O31" s="30">
        <v>3975.9641926713234</v>
      </c>
      <c r="P31" s="30">
        <v>4758.9025849993322</v>
      </c>
      <c r="Q31" s="28">
        <v>15127.327942464255</v>
      </c>
      <c r="R31" s="29">
        <v>2729.7510413526011</v>
      </c>
      <c r="S31" s="30">
        <v>4136.7598743683011</v>
      </c>
      <c r="T31" s="30">
        <v>3995.5762470092004</v>
      </c>
      <c r="U31" s="30">
        <v>4295.2285208356088</v>
      </c>
      <c r="V31" s="28">
        <v>15157.397143565711</v>
      </c>
      <c r="W31" s="30">
        <v>2528.3034975799992</v>
      </c>
      <c r="X31" s="30">
        <v>4232</v>
      </c>
      <c r="Y31" s="30">
        <f>+Y27+Y28+Y30</f>
        <v>4151.5</v>
      </c>
      <c r="Z31" s="30">
        <v>17829.396502419997</v>
      </c>
      <c r="AA31" s="28">
        <v>28741.199999999997</v>
      </c>
      <c r="AB31" s="30">
        <v>2547.4</v>
      </c>
      <c r="AC31" s="30">
        <f>+AC27+AC28+AC30</f>
        <v>4208.3999999999987</v>
      </c>
      <c r="AD31" s="30">
        <f>+AD27+AD28+AD30</f>
        <v>4638.1000000000004</v>
      </c>
      <c r="AE31" s="30">
        <f>+AE27+AE28+AE30</f>
        <v>5428.1</v>
      </c>
      <c r="AF31" s="30">
        <f>+AF27+AF28+AF30</f>
        <v>16822</v>
      </c>
      <c r="AH31" s="40"/>
      <c r="AI31" s="40"/>
      <c r="AJ31" s="40"/>
      <c r="AK31" s="40"/>
      <c r="AL31" s="41">
        <f t="shared" si="1"/>
        <v>0.22317716025246459</v>
      </c>
      <c r="AM31" s="41">
        <f t="shared" si="2"/>
        <v>4.4027565494017873E-2</v>
      </c>
      <c r="AN31" s="41">
        <f t="shared" si="3"/>
        <v>-0.11853650987901321</v>
      </c>
      <c r="AO31" s="41">
        <f t="shared" si="4"/>
        <v>4.1552321184256114E-2</v>
      </c>
      <c r="AP31" s="41">
        <f t="shared" si="5"/>
        <v>0.10590403562522654</v>
      </c>
      <c r="AQ31" s="41">
        <f t="shared" si="6"/>
        <v>1.5077430692426175E-2</v>
      </c>
      <c r="AR31" s="41">
        <f t="shared" si="7"/>
        <v>-1.9494526475298701E-2</v>
      </c>
      <c r="AS31" s="41">
        <f t="shared" si="8"/>
        <v>0.11752740315806931</v>
      </c>
      <c r="AT31" s="41">
        <f t="shared" si="9"/>
        <v>3.0258083805386304E-2</v>
      </c>
      <c r="AU31" s="41">
        <f t="shared" si="10"/>
        <v>3.3714223890743966E-2</v>
      </c>
      <c r="AV31" s="41">
        <f t="shared" si="11"/>
        <v>4.4614068150836683E-2</v>
      </c>
      <c r="AW31" s="41">
        <f t="shared" si="12"/>
        <v>0.1447453950869142</v>
      </c>
      <c r="AX31" s="41">
        <f t="shared" si="13"/>
        <v>3.2159484751657086E-2</v>
      </c>
      <c r="AY31" s="41">
        <f t="shared" si="14"/>
        <v>4.9326536627334328E-3</v>
      </c>
      <c r="AZ31" s="41">
        <f t="shared" si="15"/>
        <v>-9.743298079378282E-2</v>
      </c>
      <c r="BA31" s="41">
        <f t="shared" si="16"/>
        <v>1.9877404136290355E-3</v>
      </c>
      <c r="BB31" s="41">
        <f t="shared" si="17"/>
        <v>-7.379703889508693E-2</v>
      </c>
      <c r="BC31" s="41">
        <f t="shared" si="18"/>
        <v>2.3022879868327406E-2</v>
      </c>
      <c r="BD31" s="41">
        <f t="shared" si="19"/>
        <v>3.9024096488588622E-2</v>
      </c>
      <c r="BE31" s="41">
        <f t="shared" si="20"/>
        <v>3.1509773964136842</v>
      </c>
      <c r="BF31" s="41">
        <f t="shared" si="21"/>
        <v>0.89618307996901603</v>
      </c>
      <c r="BG31" s="41">
        <f t="shared" si="22"/>
        <v>7.5530894286541805E-3</v>
      </c>
      <c r="BH31" s="41">
        <f t="shared" si="23"/>
        <v>-5.576559546314086E-3</v>
      </c>
      <c r="BI31" s="41">
        <f t="shared" si="24"/>
        <v>0.11721064675418535</v>
      </c>
      <c r="BJ31" s="41">
        <f t="shared" si="25"/>
        <v>-0.69555335205747204</v>
      </c>
      <c r="BK31" s="41">
        <f t="shared" si="26"/>
        <v>-0.41470780621546766</v>
      </c>
    </row>
    <row r="33" spans="1:32" ht="15">
      <c r="A33" s="38" t="s">
        <v>7976</v>
      </c>
      <c r="AA33" s="39"/>
      <c r="AF33" s="39"/>
    </row>
    <row r="34" spans="1:32">
      <c r="A34" s="38" t="s">
        <v>7977</v>
      </c>
    </row>
    <row r="35" spans="1:32" ht="15">
      <c r="A35" s="38" t="s">
        <v>7978</v>
      </c>
      <c r="M35" s="39">
        <f t="shared" ref="M35:P40" si="28">M22/$Q22</f>
        <v>0.22784424915976934</v>
      </c>
      <c r="N35" s="39">
        <f t="shared" si="28"/>
        <v>0.24609240310452271</v>
      </c>
      <c r="O35" s="39">
        <f t="shared" si="28"/>
        <v>0.22126777207362189</v>
      </c>
      <c r="P35" s="39">
        <f t="shared" si="28"/>
        <v>0.30479557566208593</v>
      </c>
      <c r="R35" s="39">
        <f t="shared" ref="R35:U40" si="29">R22/$V22</f>
        <v>0.23689040924862334</v>
      </c>
      <c r="S35" s="39">
        <f t="shared" si="29"/>
        <v>0.20477837914361055</v>
      </c>
      <c r="T35" s="39">
        <f t="shared" si="29"/>
        <v>0.29455497047416984</v>
      </c>
      <c r="U35" s="39">
        <f t="shared" si="29"/>
        <v>0.26377624113359605</v>
      </c>
      <c r="W35" s="39">
        <f t="shared" ref="W35:Z40" si="30">W22/$AA22</f>
        <v>0.19612928970470869</v>
      </c>
      <c r="X35" s="39">
        <f t="shared" si="30"/>
        <v>0.19526469805799418</v>
      </c>
      <c r="Y35" s="39">
        <f t="shared" si="30"/>
        <v>0.24687416866187817</v>
      </c>
      <c r="Z35" s="39">
        <f t="shared" si="30"/>
        <v>0.36173184357541893</v>
      </c>
      <c r="AB35" s="39">
        <f t="shared" ref="AB35:AE40" si="31">AB22/$AF22</f>
        <v>0.17360487643528796</v>
      </c>
      <c r="AC35" s="39">
        <f t="shared" si="31"/>
        <v>0.22019562443887916</v>
      </c>
      <c r="AD35" s="39">
        <f t="shared" si="31"/>
        <v>0.25894249397533431</v>
      </c>
      <c r="AE35" s="39">
        <f t="shared" si="31"/>
        <v>0.34725700515049845</v>
      </c>
    </row>
    <row r="36" spans="1:32" ht="15">
      <c r="A36" s="38" t="s">
        <v>7979</v>
      </c>
      <c r="M36" s="39">
        <f t="shared" si="28"/>
        <v>7.5644157465591791E-2</v>
      </c>
      <c r="N36" s="39">
        <f t="shared" si="28"/>
        <v>0.26771927265746825</v>
      </c>
      <c r="O36" s="39">
        <f t="shared" si="28"/>
        <v>0.2468072125337307</v>
      </c>
      <c r="P36" s="39">
        <f t="shared" si="28"/>
        <v>0.4098293573432093</v>
      </c>
      <c r="R36" s="39">
        <f t="shared" si="29"/>
        <v>0.11816905610907212</v>
      </c>
      <c r="S36" s="39">
        <f t="shared" si="29"/>
        <v>0.69190754588358672</v>
      </c>
      <c r="T36" s="39">
        <f t="shared" si="29"/>
        <v>0.18425239643418984</v>
      </c>
      <c r="U36" s="39">
        <f t="shared" si="29"/>
        <v>5.7682223387519674E-3</v>
      </c>
      <c r="W36" s="39">
        <f t="shared" si="30"/>
        <v>5.8076651775217487E-2</v>
      </c>
      <c r="X36" s="39">
        <f t="shared" si="30"/>
        <v>0.31225017634610863</v>
      </c>
      <c r="Y36" s="39">
        <f t="shared" si="30"/>
        <v>0.21514225252762756</v>
      </c>
      <c r="Z36" s="39">
        <f t="shared" si="30"/>
        <v>0.41453091935104636</v>
      </c>
      <c r="AB36" s="39">
        <f t="shared" si="31"/>
        <v>4.3968183826778626E-2</v>
      </c>
      <c r="AC36" s="39">
        <f t="shared" si="31"/>
        <v>0.33539549270879354</v>
      </c>
      <c r="AD36" s="39">
        <f t="shared" si="31"/>
        <v>0.26933274414494046</v>
      </c>
      <c r="AE36" s="39">
        <f t="shared" si="31"/>
        <v>0.35130357931948741</v>
      </c>
    </row>
    <row r="37" spans="1:32" ht="15">
      <c r="A37" s="38" t="s">
        <v>7980</v>
      </c>
      <c r="M37" s="39">
        <f t="shared" si="28"/>
        <v>0.24461702175832639</v>
      </c>
      <c r="N37" s="39">
        <f t="shared" si="28"/>
        <v>0.2559376910362941</v>
      </c>
      <c r="O37" s="39">
        <f t="shared" si="28"/>
        <v>0.25362827450358866</v>
      </c>
      <c r="P37" s="39">
        <f t="shared" si="28"/>
        <v>0.24581701270179096</v>
      </c>
      <c r="R37" s="39">
        <f t="shared" si="29"/>
        <v>0.24796820576940248</v>
      </c>
      <c r="S37" s="39">
        <f t="shared" si="29"/>
        <v>0.25502366705367507</v>
      </c>
      <c r="T37" s="39">
        <f t="shared" si="29"/>
        <v>0.24149325712244349</v>
      </c>
      <c r="U37" s="39">
        <f t="shared" si="29"/>
        <v>0.25549254264535143</v>
      </c>
      <c r="W37" s="39">
        <f t="shared" si="30"/>
        <v>0.22008079613755049</v>
      </c>
      <c r="X37" s="39">
        <f t="shared" si="30"/>
        <v>0.2533057444083161</v>
      </c>
      <c r="Y37" s="39">
        <f t="shared" si="30"/>
        <v>0.27555424179722138</v>
      </c>
      <c r="Z37" s="39">
        <f t="shared" si="30"/>
        <v>0.25105921765691203</v>
      </c>
      <c r="AB37" s="39">
        <f t="shared" si="31"/>
        <v>0.24619184138717143</v>
      </c>
      <c r="AC37" s="39">
        <f t="shared" si="31"/>
        <v>0.25843666885427102</v>
      </c>
      <c r="AD37" s="39">
        <f t="shared" si="31"/>
        <v>0.25170115021933614</v>
      </c>
      <c r="AE37" s="39">
        <f t="shared" si="31"/>
        <v>0.24367033953922143</v>
      </c>
    </row>
    <row r="38" spans="1:32" ht="15">
      <c r="M38" s="39">
        <f t="shared" si="28"/>
        <v>0.15353260869565216</v>
      </c>
      <c r="N38" s="39">
        <f t="shared" si="28"/>
        <v>0.21078523238380809</v>
      </c>
      <c r="O38" s="39">
        <f t="shared" si="28"/>
        <v>0.3160607196401799</v>
      </c>
      <c r="P38" s="39">
        <f t="shared" si="28"/>
        <v>0.31962143928035985</v>
      </c>
      <c r="R38" s="39">
        <f t="shared" si="29"/>
        <v>0.22867794511513978</v>
      </c>
      <c r="S38" s="39">
        <f t="shared" si="29"/>
        <v>0.25359685603154736</v>
      </c>
      <c r="T38" s="39">
        <f t="shared" si="29"/>
        <v>0.2529575645011507</v>
      </c>
      <c r="U38" s="39">
        <f t="shared" si="29"/>
        <v>0.26476763435216216</v>
      </c>
      <c r="W38" s="39">
        <f t="shared" si="30"/>
        <v>0.23216192925880419</v>
      </c>
      <c r="X38" s="39">
        <f t="shared" si="30"/>
        <v>0.24559787059787061</v>
      </c>
      <c r="Y38" s="39">
        <f t="shared" si="30"/>
        <v>0.24224508599508601</v>
      </c>
      <c r="Z38" s="39">
        <f t="shared" si="30"/>
        <v>0.27999511414823913</v>
      </c>
      <c r="AB38" s="39">
        <f t="shared" si="31"/>
        <v>0.22400486556771951</v>
      </c>
      <c r="AC38" s="39">
        <f t="shared" si="31"/>
        <v>0.23163877354137827</v>
      </c>
      <c r="AD38" s="39">
        <f t="shared" si="31"/>
        <v>0.25114298896858361</v>
      </c>
      <c r="AE38" s="39">
        <f t="shared" si="31"/>
        <v>0.29321337192231872</v>
      </c>
    </row>
    <row r="39" spans="1:32" ht="15">
      <c r="M39" s="39">
        <f t="shared" si="28"/>
        <v>9.3169540707435702E-2</v>
      </c>
      <c r="N39" s="39">
        <f t="shared" si="28"/>
        <v>7.7314716992781555E-3</v>
      </c>
      <c r="O39" s="39">
        <f t="shared" si="28"/>
        <v>0.22779086615404079</v>
      </c>
      <c r="P39" s="39">
        <f t="shared" si="28"/>
        <v>0.67130812143924534</v>
      </c>
      <c r="R39" s="39">
        <f t="shared" si="29"/>
        <v>0.12457120150380302</v>
      </c>
      <c r="S39" s="39">
        <f t="shared" si="29"/>
        <v>9.1931773480817477E-2</v>
      </c>
      <c r="T39" s="39">
        <f t="shared" si="29"/>
        <v>9.7238325612922005E-2</v>
      </c>
      <c r="U39" s="39">
        <f t="shared" si="29"/>
        <v>0.68625869940245754</v>
      </c>
      <c r="W39" s="39">
        <f t="shared" si="30"/>
        <v>0.50380213271739138</v>
      </c>
      <c r="X39" s="39">
        <f t="shared" si="30"/>
        <v>-0.26141304347826089</v>
      </c>
      <c r="Y39" s="39">
        <f t="shared" si="30"/>
        <v>0.17500000000000002</v>
      </c>
      <c r="Z39" s="39">
        <f t="shared" si="30"/>
        <v>0.58261091076086946</v>
      </c>
      <c r="AB39" s="39">
        <f t="shared" si="31"/>
        <v>0.55274261603375552</v>
      </c>
      <c r="AC39" s="39">
        <f t="shared" si="31"/>
        <v>-9.7046413502110018E-2</v>
      </c>
      <c r="AD39" s="39">
        <f t="shared" si="31"/>
        <v>-1.6877637130801697E-2</v>
      </c>
      <c r="AE39" s="39">
        <f t="shared" si="31"/>
        <v>0.56118143459915615</v>
      </c>
    </row>
    <row r="40" spans="1:32" ht="15">
      <c r="M40" s="39">
        <f t="shared" si="28"/>
        <v>0.17459470744825337</v>
      </c>
      <c r="N40" s="39">
        <f t="shared" si="28"/>
        <v>0.25375964821896696</v>
      </c>
      <c r="O40" s="39">
        <f t="shared" si="28"/>
        <v>0.26494714432587796</v>
      </c>
      <c r="P40" s="39">
        <f t="shared" si="28"/>
        <v>0.30669850000690169</v>
      </c>
      <c r="R40" s="39">
        <f t="shared" si="29"/>
        <v>0.1973819054358906</v>
      </c>
      <c r="S40" s="39">
        <f t="shared" si="29"/>
        <v>0.26288238415363357</v>
      </c>
      <c r="T40" s="39">
        <f t="shared" si="29"/>
        <v>0.25815606378750788</v>
      </c>
      <c r="U40" s="39">
        <f t="shared" si="29"/>
        <v>0.2815757199381444</v>
      </c>
      <c r="W40" s="39">
        <f t="shared" si="30"/>
        <v>0.18143873916896833</v>
      </c>
      <c r="X40" s="39">
        <f t="shared" si="30"/>
        <v>0.25805948081117297</v>
      </c>
      <c r="Y40" s="39">
        <f t="shared" si="30"/>
        <v>0.25987191550065258</v>
      </c>
      <c r="Z40" s="39">
        <f t="shared" si="30"/>
        <v>0.30062986451920615</v>
      </c>
      <c r="AB40" s="39">
        <f t="shared" si="31"/>
        <v>0.18173422267829659</v>
      </c>
      <c r="AC40" s="39">
        <f t="shared" si="31"/>
        <v>0.24717606662193625</v>
      </c>
      <c r="AD40" s="39">
        <f t="shared" si="31"/>
        <v>0.26613648024628017</v>
      </c>
      <c r="AE40" s="39">
        <f t="shared" si="31"/>
        <v>0.30495323045348699</v>
      </c>
    </row>
  </sheetData>
  <mergeCells count="12">
    <mergeCell ref="BG3:BK3"/>
    <mergeCell ref="C3:G3"/>
    <mergeCell ref="H3:L3"/>
    <mergeCell ref="M3:Q3"/>
    <mergeCell ref="R3:V3"/>
    <mergeCell ref="W3:AA3"/>
    <mergeCell ref="AB3:AF3"/>
    <mergeCell ref="AH3:AL3"/>
    <mergeCell ref="AM3:AQ3"/>
    <mergeCell ref="AR3:AV3"/>
    <mergeCell ref="AW3:BA3"/>
    <mergeCell ref="BB3:BF3"/>
  </mergeCells>
  <pageMargins left="0.75" right="0.75" top="1" bottom="1" header="0" footer="0"/>
  <pageSetup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L11"/>
  <sheetViews>
    <sheetView workbookViewId="0">
      <selection activeCell="L3" sqref="L3"/>
    </sheetView>
  </sheetViews>
  <sheetFormatPr defaultRowHeight="15"/>
  <cols>
    <col min="3" max="3" width="12" bestFit="1" customWidth="1"/>
  </cols>
  <sheetData>
    <row r="2" spans="1:12">
      <c r="C2" t="s">
        <v>436</v>
      </c>
      <c r="E2" t="s">
        <v>437</v>
      </c>
      <c r="G2" t="s">
        <v>438</v>
      </c>
      <c r="I2" t="s">
        <v>439</v>
      </c>
      <c r="K2" t="s">
        <v>85</v>
      </c>
    </row>
    <row r="3" spans="1:12">
      <c r="B3" t="s">
        <v>433</v>
      </c>
      <c r="C3">
        <v>52.991825693000003</v>
      </c>
      <c r="D3" s="9">
        <v>0.43</v>
      </c>
      <c r="E3">
        <v>6.7814604000000001E-2</v>
      </c>
      <c r="F3" s="9">
        <v>1E-3</v>
      </c>
      <c r="G3">
        <v>0.10788687</v>
      </c>
      <c r="H3" s="9">
        <v>1E-3</v>
      </c>
      <c r="I3">
        <v>0.10788687</v>
      </c>
      <c r="J3" s="9">
        <v>1E-3</v>
      </c>
      <c r="K3">
        <f>C3+E3+G3+I3</f>
        <v>53.275414037000004</v>
      </c>
      <c r="L3" s="10">
        <f>K3/K5</f>
        <v>0.13095408262525282</v>
      </c>
    </row>
    <row r="5" spans="1:12">
      <c r="B5" t="s">
        <v>85</v>
      </c>
      <c r="C5">
        <f>C3/D3</f>
        <v>123.23680393720932</v>
      </c>
      <c r="E5">
        <f>E3/F3</f>
        <v>67.814604000000003</v>
      </c>
      <c r="G5">
        <f>G3/H3</f>
        <v>107.88686999999999</v>
      </c>
      <c r="I5">
        <f>I3/J3</f>
        <v>107.88686999999999</v>
      </c>
      <c r="K5">
        <f>C5+E5+G5+I5</f>
        <v>406.82514793720929</v>
      </c>
    </row>
    <row r="7" spans="1:12">
      <c r="B7" t="s">
        <v>7981</v>
      </c>
    </row>
    <row r="8" spans="1:12">
      <c r="B8" t="s">
        <v>7982</v>
      </c>
    </row>
    <row r="9" spans="1:12">
      <c r="B9" t="s">
        <v>7983</v>
      </c>
    </row>
    <row r="11" spans="1:12">
      <c r="A11" t="s">
        <v>7984</v>
      </c>
      <c r="B11">
        <v>571.20000000000005</v>
      </c>
      <c r="C11">
        <f>B11*5</f>
        <v>2856</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U25"/>
  <sheetViews>
    <sheetView zoomScale="70" zoomScaleNormal="70" workbookViewId="0">
      <selection activeCell="M31" sqref="M31"/>
    </sheetView>
  </sheetViews>
  <sheetFormatPr defaultColWidth="9.140625" defaultRowHeight="15"/>
  <cols>
    <col min="1" max="1" width="4" style="193" customWidth="1"/>
    <col min="2" max="2" width="36.5703125" style="193" bestFit="1" customWidth="1"/>
    <col min="3" max="3" width="6.42578125" style="193" bestFit="1" customWidth="1"/>
    <col min="4" max="4" width="7.140625" style="193" bestFit="1" customWidth="1"/>
    <col min="5" max="5" width="7.42578125" style="193" bestFit="1" customWidth="1"/>
    <col min="6" max="6" width="7.42578125" style="193" customWidth="1"/>
    <col min="7" max="7" width="7.42578125" style="193" bestFit="1" customWidth="1"/>
    <col min="8" max="9" width="7.140625" style="193" bestFit="1" customWidth="1"/>
    <col min="10" max="10" width="7.42578125" style="193" bestFit="1" customWidth="1"/>
    <col min="11" max="11" width="7.5703125" style="193" bestFit="1" customWidth="1"/>
    <col min="12" max="12" width="7.85546875" style="193" bestFit="1" customWidth="1"/>
    <col min="13" max="14" width="5.42578125" style="193" bestFit="1" customWidth="1"/>
    <col min="15" max="16384" width="9.140625" style="193"/>
  </cols>
  <sheetData>
    <row r="2" spans="2:21">
      <c r="B2" s="192" t="s">
        <v>7985</v>
      </c>
      <c r="F2" s="193" t="s">
        <v>7986</v>
      </c>
    </row>
    <row r="3" spans="2:21">
      <c r="C3" s="199">
        <v>2009</v>
      </c>
      <c r="D3" s="199">
        <f>C3+1</f>
        <v>2010</v>
      </c>
      <c r="E3" s="199">
        <f t="shared" ref="E3:L3" si="0">D3+1</f>
        <v>2011</v>
      </c>
      <c r="F3" s="199">
        <f t="shared" si="0"/>
        <v>2012</v>
      </c>
      <c r="G3" s="199">
        <f t="shared" si="0"/>
        <v>2013</v>
      </c>
      <c r="H3" s="199">
        <f t="shared" si="0"/>
        <v>2014</v>
      </c>
      <c r="I3" s="199">
        <f t="shared" si="0"/>
        <v>2015</v>
      </c>
      <c r="J3" s="199">
        <f t="shared" si="0"/>
        <v>2016</v>
      </c>
      <c r="K3" s="199">
        <f t="shared" si="0"/>
        <v>2017</v>
      </c>
      <c r="L3" s="199">
        <f t="shared" si="0"/>
        <v>2018</v>
      </c>
      <c r="M3" s="199">
        <f>L3+1</f>
        <v>2019</v>
      </c>
      <c r="N3" s="199">
        <f>M3+1</f>
        <v>2020</v>
      </c>
    </row>
    <row r="4" spans="2:21">
      <c r="B4" s="194" t="s">
        <v>7987</v>
      </c>
      <c r="D4" s="195"/>
      <c r="E4" s="195"/>
      <c r="F4" s="200"/>
      <c r="G4" s="200"/>
      <c r="H4" s="200"/>
      <c r="I4" s="200"/>
      <c r="J4" s="200"/>
      <c r="K4" s="200"/>
      <c r="L4" s="200"/>
      <c r="M4" s="195"/>
      <c r="N4" s="195"/>
      <c r="O4" s="195"/>
      <c r="P4" s="195"/>
      <c r="Q4" s="195"/>
      <c r="R4" s="195"/>
      <c r="S4" s="195"/>
      <c r="T4" s="195"/>
      <c r="U4" s="195"/>
    </row>
    <row r="5" spans="2:21">
      <c r="B5" s="194" t="s">
        <v>7988</v>
      </c>
      <c r="C5" s="207">
        <f>'SKY Mex'!F102</f>
        <v>1823</v>
      </c>
      <c r="D5" s="195">
        <f>'SKY Mex'!G102</f>
        <v>2899</v>
      </c>
      <c r="E5" s="195">
        <f>'SKY Mex'!H102</f>
        <v>3849</v>
      </c>
      <c r="F5" s="200">
        <f>'SKY Mex'!I102</f>
        <v>4971</v>
      </c>
      <c r="G5" s="200">
        <f>'SKY Mex'!J102</f>
        <v>5812</v>
      </c>
      <c r="H5" s="200">
        <f>'SKY Mex'!K102</f>
        <v>6446</v>
      </c>
      <c r="I5" s="200">
        <f>'SKY Mex'!L102</f>
        <v>7092.1379999999999</v>
      </c>
      <c r="J5" s="200">
        <f>'SKY Mex'!M102</f>
        <v>7819.7049999999999</v>
      </c>
      <c r="K5" s="200">
        <f>'SKY Mex'!N102</f>
        <v>7827.7169999999996</v>
      </c>
      <c r="L5" s="200">
        <f>'SKY Mex'!O102</f>
        <v>7478.0129999999999</v>
      </c>
      <c r="M5" s="195">
        <f>'SKY Mex'!W102</f>
        <v>4217.4389465394606</v>
      </c>
      <c r="N5" s="195">
        <f>'SKY Mex'!X102</f>
        <v>4101.2751622110773</v>
      </c>
      <c r="O5" s="195"/>
      <c r="P5" s="195"/>
      <c r="Q5" s="195"/>
      <c r="R5" s="195"/>
      <c r="S5" s="195"/>
      <c r="T5" s="195"/>
      <c r="U5" s="195"/>
    </row>
    <row r="6" spans="2:21">
      <c r="B6" s="194" t="s">
        <v>7989</v>
      </c>
      <c r="C6" s="207"/>
      <c r="D6" s="195"/>
      <c r="E6" s="195"/>
      <c r="F6" s="200"/>
      <c r="G6" s="200"/>
      <c r="H6" s="200"/>
      <c r="I6" s="200"/>
      <c r="J6" s="200"/>
      <c r="K6" s="200"/>
      <c r="L6" s="200"/>
      <c r="M6" s="195"/>
      <c r="N6" s="195"/>
      <c r="O6" s="213" t="s">
        <v>7990</v>
      </c>
      <c r="P6" s="195"/>
      <c r="Q6" s="195"/>
      <c r="R6" s="195"/>
      <c r="S6" s="195"/>
      <c r="T6" s="195"/>
      <c r="U6" s="195"/>
    </row>
    <row r="7" spans="2:21">
      <c r="B7" s="194" t="s">
        <v>7991</v>
      </c>
      <c r="C7" s="207">
        <f>'SKY Mex'!F105</f>
        <v>10005.1</v>
      </c>
      <c r="D7" s="195">
        <f>'SKY Mex'!G105</f>
        <v>11248.2</v>
      </c>
      <c r="E7" s="195">
        <f>'SKY Mex'!H105</f>
        <v>12479.2</v>
      </c>
      <c r="F7" s="200">
        <f>'SKY Mex'!I105</f>
        <v>14465.4</v>
      </c>
      <c r="G7" s="200">
        <f>'SKY Mex'!J105</f>
        <v>16098.3</v>
      </c>
      <c r="H7" s="200">
        <f>'SKY Mex'!K105</f>
        <v>17498.5</v>
      </c>
      <c r="I7" s="200">
        <f>'SKY Mex'!L105</f>
        <v>19253.5</v>
      </c>
      <c r="J7" s="200">
        <f>'SKY Mex'!M105</f>
        <v>21941.200000000001</v>
      </c>
      <c r="K7" s="200">
        <f>'SKY Mex'!N105</f>
        <v>22197</v>
      </c>
      <c r="L7" s="200">
        <f>'SKY Mex'!O105</f>
        <v>22002</v>
      </c>
      <c r="M7" s="195">
        <f>'SKY Mex'!W105</f>
        <v>10036.497800716799</v>
      </c>
      <c r="N7" s="195">
        <f>'SKY Mex'!X105</f>
        <v>8932.4830426379522</v>
      </c>
      <c r="O7" s="195"/>
      <c r="P7" s="195"/>
      <c r="Q7" s="195"/>
      <c r="R7" s="195"/>
      <c r="S7" s="195"/>
      <c r="T7" s="195"/>
      <c r="U7" s="195"/>
    </row>
    <row r="8" spans="2:21">
      <c r="B8" s="194" t="s">
        <v>7992</v>
      </c>
      <c r="C8" s="207"/>
      <c r="D8" s="195"/>
      <c r="E8" s="195"/>
      <c r="F8" s="200"/>
      <c r="G8" s="200"/>
      <c r="H8" s="200"/>
      <c r="I8" s="200"/>
      <c r="J8" s="200"/>
      <c r="K8" s="200"/>
      <c r="L8" s="200"/>
      <c r="M8" s="195"/>
      <c r="N8" s="195"/>
      <c r="O8" s="195"/>
      <c r="P8" s="195"/>
      <c r="Q8" s="195"/>
      <c r="R8" s="195"/>
      <c r="S8" s="195"/>
      <c r="T8" s="195"/>
      <c r="U8" s="195"/>
    </row>
    <row r="9" spans="2:21">
      <c r="B9" s="194" t="s">
        <v>7993</v>
      </c>
      <c r="C9" s="207">
        <f>'SKY Mex'!F140</f>
        <v>4479</v>
      </c>
      <c r="D9" s="195">
        <f>'SKY Mex'!G140</f>
        <v>5075</v>
      </c>
      <c r="E9" s="195">
        <f>'SKY Mex'!H140</f>
        <v>5789.8</v>
      </c>
      <c r="F9" s="200">
        <f>'SKY Mex'!I140</f>
        <v>6558</v>
      </c>
      <c r="G9" s="200">
        <f>'SKY Mex'!J140</f>
        <v>7340.5</v>
      </c>
      <c r="H9" s="200">
        <f>'SKY Mex'!K140</f>
        <v>8211.2999999999993</v>
      </c>
      <c r="I9" s="200">
        <f>'SKY Mex'!L140</f>
        <v>8972.2999999999993</v>
      </c>
      <c r="J9" s="200">
        <f>'SKY Mex'!M140</f>
        <v>9898.5</v>
      </c>
      <c r="K9" s="200">
        <f>'SKY Mex'!N140</f>
        <v>10107</v>
      </c>
      <c r="L9" s="200">
        <f>'SKY Mex'!O140</f>
        <v>9767</v>
      </c>
      <c r="M9" s="195">
        <f>'SKY Mex'!W140</f>
        <v>3613.1392082580478</v>
      </c>
      <c r="N9" s="195">
        <f>'SKY Mex'!X140</f>
        <v>3215.6938953496629</v>
      </c>
      <c r="O9" s="195"/>
      <c r="P9" s="195"/>
      <c r="Q9" s="195"/>
      <c r="R9" s="195"/>
      <c r="S9" s="195"/>
      <c r="T9" s="195"/>
      <c r="U9" s="195"/>
    </row>
    <row r="10" spans="2:21">
      <c r="B10" s="194" t="s">
        <v>7994</v>
      </c>
      <c r="C10" s="207">
        <f>'SKY Mex'!F181</f>
        <v>1738.8000000000002</v>
      </c>
      <c r="D10" s="195">
        <f>'SKY Mex'!G181</f>
        <v>5519.31</v>
      </c>
      <c r="E10" s="195">
        <f>'SKY Mex'!H181</f>
        <v>3005.5039999999999</v>
      </c>
      <c r="F10" s="200">
        <f>'SKY Mex'!I181</f>
        <v>9764.7200000000012</v>
      </c>
      <c r="G10" s="200">
        <f>'SKY Mex'!J181</f>
        <v>5967.8519999999999</v>
      </c>
      <c r="H10" s="200">
        <f>'SKY Mex'!K181</f>
        <v>6505.9280000000008</v>
      </c>
      <c r="I10" s="200">
        <f>'SKY Mex'!L181</f>
        <v>7325.5919999999996</v>
      </c>
      <c r="J10" s="200">
        <f>'SKY Mex'!M181</f>
        <v>6533.4100000000008</v>
      </c>
      <c r="K10" s="200">
        <f>'SKY Mex'!N181</f>
        <v>3995.4599999999996</v>
      </c>
      <c r="L10" s="200">
        <f>'SKY Mex'!O181</f>
        <v>4034.7999999999997</v>
      </c>
      <c r="M10" s="195">
        <f>'SKY Mex'!W181</f>
        <v>1373.4746701075198</v>
      </c>
      <c r="N10" s="195">
        <f>'SKY Mex'!X181</f>
        <v>1163.2100411825029</v>
      </c>
      <c r="O10" s="195"/>
      <c r="P10" s="195"/>
      <c r="Q10" s="195"/>
      <c r="R10" s="195"/>
      <c r="S10" s="195"/>
      <c r="T10" s="195"/>
      <c r="U10" s="195"/>
    </row>
    <row r="11" spans="2:21">
      <c r="B11" s="194" t="s">
        <v>7995</v>
      </c>
      <c r="C11" s="207">
        <f>'SKY Mex'!F212</f>
        <v>1043.28</v>
      </c>
      <c r="D11" s="195">
        <f>'SKY Mex'!G212</f>
        <v>3587.5515000000005</v>
      </c>
      <c r="E11" s="195">
        <f>'SKY Mex'!H212</f>
        <v>2103.8527999999997</v>
      </c>
      <c r="F11" s="200">
        <f>'SKY Mex'!I212</f>
        <v>2882.04</v>
      </c>
      <c r="G11" s="200">
        <f>'SKY Mex'!J212</f>
        <v>3044.7912000000001</v>
      </c>
      <c r="H11" s="200">
        <f>'SKY Mex'!K212</f>
        <v>3622.4496000000004</v>
      </c>
      <c r="I11" s="200">
        <f>'SKY Mex'!L212</f>
        <v>4590.8735999999999</v>
      </c>
      <c r="J11" s="200">
        <f>'SKY Mex'!M212</f>
        <v>5880.0690000000004</v>
      </c>
      <c r="K11" s="200">
        <f>'SKY Mex'!N212</f>
        <v>4794.5519999999997</v>
      </c>
      <c r="L11" s="200">
        <f>'SKY Mex'!O212</f>
        <v>4841.7599999999993</v>
      </c>
      <c r="M11" s="195">
        <f>'SKY Mex'!W212</f>
        <v>1373.4746701075198</v>
      </c>
      <c r="N11" s="195">
        <f>'SKY Mex'!X212</f>
        <v>1163.2100411825029</v>
      </c>
      <c r="O11" s="195"/>
      <c r="P11" s="195"/>
      <c r="Q11" s="195"/>
      <c r="R11" s="195"/>
      <c r="S11" s="195"/>
      <c r="T11" s="195"/>
      <c r="U11" s="195"/>
    </row>
    <row r="12" spans="2:21">
      <c r="B12" s="194" t="s">
        <v>238</v>
      </c>
      <c r="C12" s="207">
        <f>'SKY Mex'!F213</f>
        <v>3435.7200000000003</v>
      </c>
      <c r="D12" s="195">
        <f>'SKY Mex'!G213</f>
        <v>1487.4484999999995</v>
      </c>
      <c r="E12" s="195">
        <f>'SKY Mex'!H213</f>
        <v>3685.9472000000005</v>
      </c>
      <c r="F12" s="200">
        <f>'SKY Mex'!I213</f>
        <v>3675.96</v>
      </c>
      <c r="G12" s="200">
        <f>'SKY Mex'!J213</f>
        <v>4295.7088000000003</v>
      </c>
      <c r="H12" s="200">
        <f>'SKY Mex'!K213</f>
        <v>4588.8503999999994</v>
      </c>
      <c r="I12" s="200">
        <f>'SKY Mex'!L213</f>
        <v>4381.4263999999994</v>
      </c>
      <c r="J12" s="200">
        <f>'SKY Mex'!M213</f>
        <v>4018.4309999999996</v>
      </c>
      <c r="K12" s="200">
        <f>'SKY Mex'!N213</f>
        <v>5312.4480000000003</v>
      </c>
      <c r="L12" s="200">
        <f>'SKY Mex'!O213</f>
        <v>4925.2400000000007</v>
      </c>
      <c r="M12" s="195">
        <f>'SKY Mex'!W213</f>
        <v>2239.6645381505277</v>
      </c>
      <c r="N12" s="195">
        <f>'SKY Mex'!X213</f>
        <v>2052.4838541671597</v>
      </c>
      <c r="O12" s="195"/>
      <c r="P12" s="195"/>
      <c r="Q12" s="195"/>
      <c r="R12" s="195"/>
      <c r="S12" s="195"/>
      <c r="T12" s="195"/>
      <c r="U12" s="195"/>
    </row>
    <row r="13" spans="2:21">
      <c r="B13" s="194"/>
      <c r="D13" s="194"/>
      <c r="E13" s="194"/>
      <c r="F13" s="204"/>
      <c r="G13" s="204"/>
      <c r="H13" s="204"/>
      <c r="I13" s="204"/>
      <c r="J13" s="204"/>
      <c r="K13" s="204"/>
      <c r="L13" s="204"/>
      <c r="M13" s="194"/>
      <c r="N13" s="194"/>
      <c r="O13" s="194"/>
      <c r="P13" s="194"/>
      <c r="Q13" s="194"/>
      <c r="R13" s="194"/>
      <c r="S13" s="194"/>
      <c r="T13" s="194"/>
      <c r="U13" s="194"/>
    </row>
    <row r="14" spans="2:21">
      <c r="B14" s="194" t="s">
        <v>7996</v>
      </c>
      <c r="C14" s="208">
        <f>Valuation!E19</f>
        <v>13.5</v>
      </c>
      <c r="D14" s="209">
        <f>Valuation!F19</f>
        <v>12.63</v>
      </c>
      <c r="E14" s="209">
        <f>Valuation!G19</f>
        <v>12.44</v>
      </c>
      <c r="F14" s="210">
        <f>Valuation!H19</f>
        <v>13.16</v>
      </c>
      <c r="G14" s="210">
        <f>Valuation!I19</f>
        <v>12.76</v>
      </c>
      <c r="H14" s="210">
        <f>Valuation!J19</f>
        <v>13.31</v>
      </c>
      <c r="I14" s="210">
        <f>Valuation!K19</f>
        <v>15.87</v>
      </c>
      <c r="J14" s="210">
        <f>Valuation!L19</f>
        <v>18.850000000000001</v>
      </c>
      <c r="K14" s="210">
        <f>Valuation!M19</f>
        <v>18.899999999999999</v>
      </c>
      <c r="L14" s="210">
        <f>Valuation!N19</f>
        <v>19.25</v>
      </c>
      <c r="M14" s="209">
        <f>Valuation!O19</f>
        <v>19.25</v>
      </c>
      <c r="N14" s="209">
        <f>Valuation!P19</f>
        <v>21.48</v>
      </c>
      <c r="O14" s="197"/>
      <c r="P14" s="197"/>
      <c r="Q14" s="197"/>
      <c r="R14" s="197"/>
      <c r="S14" s="197"/>
      <c r="T14" s="197"/>
      <c r="U14" s="197"/>
    </row>
    <row r="15" spans="2:21">
      <c r="B15" s="194" t="s">
        <v>7997</v>
      </c>
      <c r="C15" s="206">
        <f>Master!H388</f>
        <v>0.28000000000000003</v>
      </c>
      <c r="D15" s="198">
        <f>Master!I388</f>
        <v>0.28000000000000003</v>
      </c>
      <c r="E15" s="198">
        <f>Master!J388</f>
        <v>0.28000000000000003</v>
      </c>
      <c r="F15" s="201">
        <f>Master!K388</f>
        <v>0.25</v>
      </c>
      <c r="G15" s="201">
        <f>Master!L388</f>
        <v>0.25</v>
      </c>
      <c r="H15" s="201">
        <f>Master!M388</f>
        <v>0.25</v>
      </c>
      <c r="I15" s="201">
        <f>Master!N388</f>
        <v>0.25</v>
      </c>
      <c r="J15" s="201">
        <f>Master!O388</f>
        <v>0.25</v>
      </c>
      <c r="K15" s="201">
        <f>Master!P388</f>
        <v>0.30843616944504582</v>
      </c>
      <c r="L15" s="201">
        <f>Master!Q388</f>
        <v>0.33169913656999978</v>
      </c>
      <c r="M15" s="198">
        <f>Master!R388</f>
        <v>0.23575012948638485</v>
      </c>
      <c r="N15" s="198">
        <f>Master!S388</f>
        <v>0.82718468240299936</v>
      </c>
      <c r="O15" s="198"/>
      <c r="P15" s="198"/>
      <c r="Q15" s="198"/>
      <c r="R15" s="198"/>
      <c r="S15" s="198"/>
      <c r="T15" s="198"/>
      <c r="U15" s="198"/>
    </row>
    <row r="16" spans="2:21">
      <c r="B16" s="194"/>
      <c r="D16" s="195"/>
      <c r="E16" s="195"/>
      <c r="F16" s="203"/>
      <c r="G16" s="203"/>
      <c r="H16" s="203"/>
      <c r="I16" s="203"/>
      <c r="J16" s="203"/>
      <c r="K16" s="203"/>
      <c r="L16" s="203"/>
      <c r="M16" s="195"/>
      <c r="N16" s="195"/>
      <c r="O16" s="195"/>
      <c r="P16" s="195"/>
      <c r="Q16" s="195"/>
      <c r="R16" s="195"/>
      <c r="S16" s="195"/>
      <c r="T16" s="195"/>
      <c r="U16" s="195"/>
    </row>
    <row r="17" spans="2:21">
      <c r="B17" s="194" t="s">
        <v>7998</v>
      </c>
      <c r="C17" s="207">
        <f>'SKY Mex'!F72</f>
        <v>27925</v>
      </c>
      <c r="D17" s="211">
        <f>'SKY Mex'!G72</f>
        <v>28625</v>
      </c>
      <c r="E17" s="211">
        <f>'SKY Mex'!H72</f>
        <v>29325</v>
      </c>
      <c r="F17" s="212">
        <f>'SKY Mex'!I72</f>
        <v>30025</v>
      </c>
      <c r="G17" s="212">
        <f>'SKY Mex'!J72</f>
        <v>30725</v>
      </c>
      <c r="H17" s="212">
        <f>'SKY Mex'!K72</f>
        <v>31425</v>
      </c>
      <c r="I17" s="212">
        <f>'SKY Mex'!L72</f>
        <v>32215</v>
      </c>
      <c r="J17" s="212">
        <f>'SKY Mex'!M72</f>
        <v>32365</v>
      </c>
      <c r="K17" s="212">
        <f>'SKY Mex'!N72</f>
        <v>32515</v>
      </c>
      <c r="L17" s="212">
        <f>'SKY Mex'!O72</f>
        <v>32665</v>
      </c>
      <c r="M17" s="209">
        <f>'SKY Mex'!W72</f>
        <v>33715</v>
      </c>
      <c r="N17" s="209">
        <f>'SKY Mex'!X72</f>
        <v>33715</v>
      </c>
      <c r="O17" s="196"/>
      <c r="P17" s="196"/>
      <c r="Q17" s="196"/>
      <c r="R17" s="196"/>
      <c r="S17" s="196"/>
      <c r="T17" s="196"/>
      <c r="U17" s="196"/>
    </row>
    <row r="18" spans="2:21">
      <c r="B18" s="194" t="s">
        <v>7999</v>
      </c>
      <c r="C18" s="207">
        <f>'SKY Mex'!F67</f>
        <v>8050</v>
      </c>
      <c r="D18" s="211">
        <f>'SKY Mex'!G67</f>
        <v>10073</v>
      </c>
      <c r="E18" s="211">
        <f>'SKY Mex'!H67</f>
        <v>11498</v>
      </c>
      <c r="F18" s="212">
        <f>'SKY Mex'!I67</f>
        <v>13019</v>
      </c>
      <c r="G18" s="212">
        <f>'SKY Mex'!J67</f>
        <v>14733</v>
      </c>
      <c r="H18" s="212">
        <f>'SKY Mex'!K67</f>
        <v>16095</v>
      </c>
      <c r="I18" s="212">
        <f>'SKY Mex'!L67</f>
        <v>17215</v>
      </c>
      <c r="J18" s="212">
        <f>'SKY Mex'!M67</f>
        <v>20500</v>
      </c>
      <c r="K18" s="212">
        <f>'SKY Mex'!N67</f>
        <v>22342</v>
      </c>
      <c r="L18" s="212">
        <f>'SKY Mex'!O67</f>
        <v>23000</v>
      </c>
      <c r="M18" s="209"/>
      <c r="N18" s="209"/>
      <c r="O18" s="196"/>
      <c r="P18" s="196"/>
      <c r="Q18" s="196"/>
      <c r="R18" s="196"/>
      <c r="S18" s="196"/>
      <c r="T18" s="196"/>
      <c r="U18" s="196"/>
    </row>
    <row r="19" spans="2:21">
      <c r="B19" s="194" t="s">
        <v>8000</v>
      </c>
      <c r="D19" s="196"/>
      <c r="E19" s="196"/>
      <c r="F19" s="202"/>
      <c r="G19" s="202"/>
      <c r="H19" s="202"/>
      <c r="I19" s="202"/>
      <c r="J19" s="202"/>
      <c r="K19" s="202"/>
      <c r="L19" s="202"/>
      <c r="M19" s="196"/>
      <c r="N19" s="196"/>
      <c r="O19" s="213" t="s">
        <v>7990</v>
      </c>
      <c r="P19" s="196"/>
      <c r="Q19" s="196"/>
      <c r="R19" s="196"/>
      <c r="S19" s="196"/>
      <c r="T19" s="196"/>
      <c r="U19" s="196"/>
    </row>
    <row r="20" spans="2:21">
      <c r="B20" s="194" t="s">
        <v>8001</v>
      </c>
      <c r="D20" s="196"/>
      <c r="E20" s="196"/>
      <c r="F20" s="202"/>
      <c r="G20" s="202"/>
      <c r="H20" s="202"/>
      <c r="I20" s="202"/>
      <c r="J20" s="202"/>
      <c r="K20" s="202"/>
      <c r="L20" s="202"/>
      <c r="M20" s="196"/>
      <c r="N20" s="196"/>
      <c r="O20" s="213" t="s">
        <v>7990</v>
      </c>
      <c r="P20" s="196"/>
      <c r="Q20" s="196"/>
      <c r="R20" s="196"/>
      <c r="S20" s="196"/>
      <c r="T20" s="196"/>
      <c r="U20" s="196"/>
    </row>
    <row r="21" spans="2:21">
      <c r="F21" s="205"/>
      <c r="G21" s="205"/>
      <c r="H21" s="205"/>
      <c r="I21" s="205"/>
      <c r="J21" s="205"/>
      <c r="K21" s="205"/>
      <c r="L21" s="205"/>
    </row>
    <row r="22" spans="2:21">
      <c r="B22" s="193" t="s">
        <v>8002</v>
      </c>
      <c r="F22" s="201">
        <f>SOP!L68</f>
        <v>7.9139999999999988E-2</v>
      </c>
      <c r="G22" s="205"/>
      <c r="H22" s="205"/>
      <c r="I22" s="205"/>
      <c r="J22" s="205"/>
      <c r="K22" s="205"/>
      <c r="L22" s="205"/>
    </row>
    <row r="23" spans="2:21">
      <c r="B23" s="193" t="s">
        <v>8003</v>
      </c>
      <c r="F23" s="201">
        <f>SOP!D80</f>
        <v>-0.05</v>
      </c>
      <c r="G23" s="205"/>
      <c r="H23" s="205"/>
      <c r="I23" s="205"/>
      <c r="J23" s="205"/>
      <c r="K23" s="205"/>
      <c r="L23" s="205"/>
    </row>
    <row r="24" spans="2:21">
      <c r="B24" s="193" t="s">
        <v>8004</v>
      </c>
      <c r="F24" s="200">
        <f>SOP!G80</f>
        <v>79.649478842948312</v>
      </c>
      <c r="G24" s="205"/>
      <c r="H24" s="205"/>
      <c r="I24" s="205"/>
      <c r="J24" s="205"/>
      <c r="K24" s="205"/>
      <c r="L24" s="205"/>
    </row>
    <row r="25" spans="2:21">
      <c r="B25" s="193" t="s">
        <v>8005</v>
      </c>
      <c r="F25" s="200">
        <f>SOP!F6</f>
        <v>-7.4360462767908144</v>
      </c>
      <c r="G25" s="205"/>
      <c r="H25" s="205"/>
      <c r="I25" s="205"/>
      <c r="J25" s="205"/>
      <c r="K25" s="205"/>
      <c r="L25" s="20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L28"/>
  <sheetViews>
    <sheetView workbookViewId="0">
      <selection activeCell="M92" sqref="M92"/>
    </sheetView>
  </sheetViews>
  <sheetFormatPr defaultRowHeight="15"/>
  <cols>
    <col min="2" max="2" width="29.42578125" customWidth="1"/>
  </cols>
  <sheetData>
    <row r="1" spans="2:12">
      <c r="B1" t="s">
        <v>8006</v>
      </c>
    </row>
    <row r="3" spans="2:12" ht="15.75">
      <c r="B3" s="518"/>
      <c r="C3" s="519" t="s">
        <v>8007</v>
      </c>
      <c r="D3" s="519" t="s">
        <v>8008</v>
      </c>
      <c r="E3" s="519" t="s">
        <v>8009</v>
      </c>
      <c r="F3" s="519" t="s">
        <v>8010</v>
      </c>
      <c r="G3" s="519" t="s">
        <v>8011</v>
      </c>
      <c r="H3" s="519" t="s">
        <v>8012</v>
      </c>
      <c r="I3" s="519" t="s">
        <v>8013</v>
      </c>
      <c r="J3" s="519" t="s">
        <v>8014</v>
      </c>
      <c r="K3" s="519" t="s">
        <v>8015</v>
      </c>
      <c r="L3" s="519" t="s">
        <v>8016</v>
      </c>
    </row>
    <row r="4" spans="2:12" ht="15.75">
      <c r="B4" s="520" t="s">
        <v>8017</v>
      </c>
      <c r="C4" s="521">
        <v>12500</v>
      </c>
      <c r="D4" s="521">
        <v>12500</v>
      </c>
      <c r="E4" s="521">
        <v>12500</v>
      </c>
      <c r="F4" s="521">
        <v>12500</v>
      </c>
      <c r="G4" s="521">
        <v>12500</v>
      </c>
      <c r="H4" s="521">
        <v>12500</v>
      </c>
      <c r="I4" s="521">
        <v>12500</v>
      </c>
      <c r="J4" s="521">
        <v>12500</v>
      </c>
      <c r="K4" s="521">
        <v>12500</v>
      </c>
      <c r="L4" s="521">
        <v>12500</v>
      </c>
    </row>
    <row r="5" spans="2:12" ht="15.75">
      <c r="B5" s="520" t="s">
        <v>8018</v>
      </c>
      <c r="C5" s="521">
        <f>+(C6+C7+C8)/C28</f>
        <v>4769.9543062914154</v>
      </c>
      <c r="D5" s="521">
        <f t="shared" ref="D5:L5" si="0">+(D6+D7+D8)/D28</f>
        <v>4883.1284321453641</v>
      </c>
      <c r="E5" s="521">
        <f t="shared" si="0"/>
        <v>5474.8761721878518</v>
      </c>
      <c r="F5" s="521">
        <f t="shared" si="0"/>
        <v>5508.1602122348686</v>
      </c>
      <c r="G5" s="521">
        <f t="shared" si="0"/>
        <v>5984.9963548950027</v>
      </c>
      <c r="H5" s="521">
        <f t="shared" si="0"/>
        <v>6744.1113173274034</v>
      </c>
      <c r="I5" s="521">
        <f t="shared" si="0"/>
        <v>7157.8264455098169</v>
      </c>
      <c r="J5" s="521">
        <f t="shared" si="0"/>
        <v>6736.0007744363047</v>
      </c>
      <c r="K5" s="521">
        <f t="shared" si="0"/>
        <v>6487.0133471618492</v>
      </c>
      <c r="L5" s="521">
        <f t="shared" si="0"/>
        <v>6344.9425631013719</v>
      </c>
    </row>
    <row r="6" spans="2:12" ht="15.75">
      <c r="B6" s="520" t="s">
        <v>45</v>
      </c>
      <c r="C6" s="521">
        <f>+Cable!K206</f>
        <v>4206</v>
      </c>
      <c r="D6" s="521">
        <f>+Cable!L206</f>
        <v>4185</v>
      </c>
      <c r="E6" s="521">
        <f>+Cable!M206</f>
        <v>4384</v>
      </c>
      <c r="F6" s="521">
        <f>+Cable!N206</f>
        <v>4318.8630000000003</v>
      </c>
      <c r="G6" s="521">
        <f>+Cable!O206</f>
        <v>4284.7</v>
      </c>
      <c r="H6" s="521">
        <f>+Cable!P206</f>
        <v>4166.46</v>
      </c>
      <c r="I6" s="521">
        <f>+Cable!Q206</f>
        <v>4458.22</v>
      </c>
      <c r="J6" s="521">
        <f>+Cable!R206</f>
        <v>4059.4940000000001</v>
      </c>
      <c r="K6" s="521">
        <f>+Cable!S206</f>
        <v>3846.518</v>
      </c>
      <c r="L6" s="521">
        <f>+Cable!T206</f>
        <v>3646.569</v>
      </c>
    </row>
    <row r="7" spans="2:12" ht="15.75">
      <c r="B7" s="520" t="s">
        <v>44</v>
      </c>
      <c r="C7" s="521">
        <f>+Cable!K205</f>
        <v>3185.8150779920593</v>
      </c>
      <c r="D7" s="521">
        <f>+Cable!L205</f>
        <v>3564.0404736245036</v>
      </c>
      <c r="E7" s="521">
        <f>+Cable!M205</f>
        <v>4129.7346908678392</v>
      </c>
      <c r="F7" s="521">
        <f>+Cable!N205</f>
        <v>4326.8025833716611</v>
      </c>
      <c r="G7" s="521">
        <f>+Cable!O205</f>
        <v>5013.6048992099777</v>
      </c>
      <c r="H7" s="521">
        <f>+Cable!P205</f>
        <v>5649.1019999999999</v>
      </c>
      <c r="I7" s="521">
        <f>+Cable!Q205</f>
        <v>5984.1509999999998</v>
      </c>
      <c r="J7" s="521">
        <f>+Cable!R205</f>
        <v>5678.4309999999996</v>
      </c>
      <c r="K7" s="521">
        <f>+Cable!S205</f>
        <v>5626.2060000000001</v>
      </c>
      <c r="L7" s="521">
        <f>+Cable!T205</f>
        <v>5668</v>
      </c>
    </row>
    <row r="8" spans="2:12" ht="15.75">
      <c r="B8" s="520" t="s">
        <v>8019</v>
      </c>
      <c r="C8" s="521">
        <f>+Cable!K204</f>
        <v>1814.5000000000002</v>
      </c>
      <c r="D8" s="521">
        <f>+Cable!L204</f>
        <v>1871.0330000000001</v>
      </c>
      <c r="E8" s="521">
        <f>+Cable!M204</f>
        <v>2491.1144999999997</v>
      </c>
      <c r="F8" s="521">
        <f>+Cable!N204</f>
        <v>2646.4130526315789</v>
      </c>
      <c r="G8" s="521">
        <f>+Cable!O204</f>
        <v>3210.7179999999998</v>
      </c>
      <c r="H8" s="521">
        <f>+Cable!P204</f>
        <v>4617.2650000000003</v>
      </c>
      <c r="I8" s="521">
        <f>+Cable!Q204</f>
        <v>5233.7240000000002</v>
      </c>
      <c r="J8" s="521">
        <f>+Cable!R204</f>
        <v>5351.1450000000004</v>
      </c>
      <c r="K8" s="521">
        <f>+Cable!S204</f>
        <v>5382.9489999999996</v>
      </c>
      <c r="L8" s="521">
        <f>+Cable!T204</f>
        <v>5533</v>
      </c>
    </row>
    <row r="9" spans="2:12" ht="15.75">
      <c r="B9" s="520" t="s">
        <v>48</v>
      </c>
      <c r="C9" s="521"/>
      <c r="D9" s="521"/>
      <c r="E9" s="521"/>
      <c r="F9" s="521"/>
      <c r="G9" s="521"/>
      <c r="H9" s="521"/>
      <c r="I9" s="521"/>
      <c r="J9" s="521"/>
      <c r="K9" s="521"/>
      <c r="L9" s="521"/>
    </row>
    <row r="10" spans="2:12" ht="15.75">
      <c r="B10" s="520"/>
      <c r="C10" s="521"/>
      <c r="D10" s="521"/>
      <c r="E10" s="521"/>
      <c r="F10" s="521"/>
      <c r="G10" s="521"/>
      <c r="H10" s="521"/>
      <c r="I10" s="521"/>
      <c r="J10" s="521"/>
      <c r="K10" s="521"/>
      <c r="L10" s="521"/>
    </row>
    <row r="11" spans="2:12" ht="15.75">
      <c r="B11" s="520" t="s">
        <v>8020</v>
      </c>
      <c r="C11" s="521"/>
      <c r="D11" s="521"/>
      <c r="E11" s="521"/>
      <c r="F11" s="521"/>
      <c r="G11" s="521"/>
      <c r="H11" s="521"/>
      <c r="I11" s="521"/>
      <c r="J11" s="521"/>
      <c r="K11" s="521"/>
      <c r="L11" s="521"/>
    </row>
    <row r="12" spans="2:12" ht="15.75">
      <c r="B12" s="520" t="s">
        <v>45</v>
      </c>
      <c r="C12" s="521"/>
      <c r="D12" s="521"/>
      <c r="E12" s="521"/>
      <c r="F12" s="521"/>
      <c r="G12" s="521"/>
      <c r="H12" s="521"/>
      <c r="I12" s="521"/>
      <c r="J12" s="521"/>
      <c r="K12" s="521"/>
      <c r="L12" s="521"/>
    </row>
    <row r="13" spans="2:12" ht="15.75">
      <c r="B13" s="520" t="s">
        <v>44</v>
      </c>
      <c r="C13" s="521"/>
      <c r="D13" s="521"/>
      <c r="E13" s="521"/>
      <c r="F13" s="521"/>
      <c r="G13" s="521"/>
      <c r="H13" s="521"/>
      <c r="I13" s="521"/>
      <c r="J13" s="521"/>
      <c r="K13" s="521"/>
      <c r="L13" s="521"/>
    </row>
    <row r="14" spans="2:12" ht="15.75">
      <c r="B14" s="520" t="s">
        <v>46</v>
      </c>
      <c r="C14" s="521"/>
      <c r="D14" s="521"/>
      <c r="E14" s="521"/>
      <c r="F14" s="521"/>
      <c r="G14" s="521"/>
      <c r="H14" s="521"/>
      <c r="I14" s="521"/>
      <c r="J14" s="521"/>
      <c r="K14" s="521"/>
      <c r="L14" s="521"/>
    </row>
    <row r="15" spans="2:12" ht="15.75">
      <c r="B15" s="520" t="s">
        <v>8021</v>
      </c>
      <c r="C15" s="522">
        <f>+Cable!K244</f>
        <v>31891.599999999999</v>
      </c>
      <c r="D15" s="522">
        <f>+Cable!L244</f>
        <v>33048</v>
      </c>
      <c r="E15" s="522">
        <f>+Cable!M244</f>
        <v>36233</v>
      </c>
      <c r="F15" s="522">
        <f>+Cable!N244</f>
        <v>41702</v>
      </c>
      <c r="G15" s="522">
        <f>+Cable!O244</f>
        <v>45367.1</v>
      </c>
      <c r="H15" s="522">
        <f>+Cable!P244</f>
        <v>48020.9</v>
      </c>
      <c r="I15" s="522">
        <f>+Cable!Q244</f>
        <v>48411.8</v>
      </c>
      <c r="J15" s="522">
        <f>+Cable!R244</f>
        <v>48802.5</v>
      </c>
      <c r="K15" s="522">
        <f>+Cable!S244</f>
        <v>47393</v>
      </c>
      <c r="L15" s="522">
        <f>+Cable!T244</f>
        <v>46569.1</v>
      </c>
    </row>
    <row r="16" spans="2:12" ht="15.75">
      <c r="B16" s="520" t="s">
        <v>48</v>
      </c>
      <c r="C16" s="521"/>
      <c r="D16" s="521"/>
      <c r="E16" s="521"/>
      <c r="F16" s="521"/>
      <c r="G16" s="521"/>
      <c r="H16" s="521"/>
      <c r="I16" s="521"/>
      <c r="J16" s="521"/>
      <c r="K16" s="521"/>
      <c r="L16" s="521"/>
    </row>
    <row r="17" spans="2:12" ht="15.75">
      <c r="B17" s="520" t="s">
        <v>8022</v>
      </c>
      <c r="C17" s="522">
        <f>+C16+C15</f>
        <v>31891.599999999999</v>
      </c>
      <c r="D17" s="522">
        <f t="shared" ref="D17:L17" si="1">+D16+D15</f>
        <v>33048</v>
      </c>
      <c r="E17" s="522">
        <f t="shared" si="1"/>
        <v>36233</v>
      </c>
      <c r="F17" s="522">
        <f t="shared" si="1"/>
        <v>41702</v>
      </c>
      <c r="G17" s="522">
        <f t="shared" si="1"/>
        <v>45367.1</v>
      </c>
      <c r="H17" s="522">
        <f t="shared" si="1"/>
        <v>48020.9</v>
      </c>
      <c r="I17" s="522">
        <f t="shared" si="1"/>
        <v>48411.8</v>
      </c>
      <c r="J17" s="522">
        <f t="shared" si="1"/>
        <v>48802.5</v>
      </c>
      <c r="K17" s="522">
        <f t="shared" si="1"/>
        <v>47393</v>
      </c>
      <c r="L17" s="522">
        <f t="shared" si="1"/>
        <v>46569.1</v>
      </c>
    </row>
    <row r="18" spans="2:12" ht="15.75">
      <c r="B18" s="520" t="s">
        <v>8023</v>
      </c>
      <c r="C18" s="521"/>
      <c r="D18" s="521"/>
      <c r="E18" s="521"/>
      <c r="F18" s="521"/>
      <c r="G18" s="521"/>
      <c r="H18" s="521"/>
      <c r="I18" s="521"/>
      <c r="J18" s="521"/>
      <c r="K18" s="521"/>
      <c r="L18" s="521"/>
    </row>
    <row r="19" spans="2:12" ht="15.75">
      <c r="B19" s="520" t="s">
        <v>107</v>
      </c>
      <c r="C19" s="521">
        <f>+C20-C18-C17</f>
        <v>0</v>
      </c>
      <c r="D19" s="521">
        <f>+D20-D18-D17</f>
        <v>0</v>
      </c>
      <c r="E19" s="521">
        <f t="shared" ref="E19:L19" si="2">+E20-E18-E17</f>
        <v>0</v>
      </c>
      <c r="F19" s="521">
        <f t="shared" si="2"/>
        <v>0</v>
      </c>
      <c r="G19" s="521">
        <f t="shared" si="2"/>
        <v>0</v>
      </c>
      <c r="H19" s="521">
        <f t="shared" si="2"/>
        <v>0</v>
      </c>
      <c r="I19" s="521">
        <f t="shared" si="2"/>
        <v>0</v>
      </c>
      <c r="J19" s="521">
        <f t="shared" si="2"/>
        <v>0</v>
      </c>
      <c r="K19" s="521">
        <f t="shared" si="2"/>
        <v>0</v>
      </c>
      <c r="L19" s="521">
        <f t="shared" si="2"/>
        <v>0</v>
      </c>
    </row>
    <row r="20" spans="2:12" ht="15.75">
      <c r="B20" s="520" t="s">
        <v>8024</v>
      </c>
      <c r="C20" s="521">
        <f>+Cable!K244</f>
        <v>31891.599999999999</v>
      </c>
      <c r="D20" s="521">
        <f>+Cable!L244</f>
        <v>33048</v>
      </c>
      <c r="E20" s="521">
        <f>+Cable!M244</f>
        <v>36233</v>
      </c>
      <c r="F20" s="521">
        <f>+Cable!N244</f>
        <v>41702</v>
      </c>
      <c r="G20" s="521">
        <f>+Cable!O244</f>
        <v>45367.1</v>
      </c>
      <c r="H20" s="521">
        <f>+Cable!P244</f>
        <v>48020.9</v>
      </c>
      <c r="I20" s="521">
        <f>+Cable!Q244</f>
        <v>48411.8</v>
      </c>
      <c r="J20" s="521">
        <f>+Cable!R244</f>
        <v>48802.5</v>
      </c>
      <c r="K20" s="521">
        <f>+Cable!S244</f>
        <v>47393</v>
      </c>
      <c r="L20" s="521">
        <f>+Cable!T244</f>
        <v>46569.1</v>
      </c>
    </row>
    <row r="21" spans="2:12" ht="15.75">
      <c r="B21" s="520"/>
      <c r="C21" s="521"/>
      <c r="D21" s="521"/>
      <c r="E21" s="521"/>
      <c r="F21" s="521"/>
      <c r="G21" s="521"/>
      <c r="H21" s="521"/>
      <c r="I21" s="521"/>
      <c r="J21" s="521"/>
      <c r="K21" s="521"/>
      <c r="L21" s="521"/>
    </row>
    <row r="22" spans="2:12" ht="15.75">
      <c r="B22" s="520" t="s">
        <v>34</v>
      </c>
      <c r="C22" s="521">
        <f>+Cable!K271</f>
        <v>13236.1</v>
      </c>
      <c r="D22" s="521">
        <f>+Cable!L271</f>
        <v>14035</v>
      </c>
      <c r="E22" s="521">
        <f>+Cable!M271</f>
        <v>15303</v>
      </c>
      <c r="F22" s="521">
        <f>+Cable!N271</f>
        <v>17798</v>
      </c>
      <c r="G22" s="521">
        <f>+Cable!O271</f>
        <v>18898.3</v>
      </c>
      <c r="H22" s="521">
        <f>+Cable!P271</f>
        <v>20285</v>
      </c>
      <c r="I22" s="521">
        <f>+Cable!Q271</f>
        <v>19902.8</v>
      </c>
      <c r="J22" s="521">
        <f>+Cable!R271</f>
        <v>18727.5</v>
      </c>
      <c r="K22" s="521">
        <f>+Cable!S271</f>
        <v>18485.599999999999</v>
      </c>
      <c r="L22" s="521">
        <f>+Cable!T271</f>
        <v>18697.49365</v>
      </c>
    </row>
    <row r="23" spans="2:12" ht="15.75">
      <c r="B23" s="520" t="s">
        <v>35</v>
      </c>
      <c r="C23" s="521">
        <f>+Cable!K291</f>
        <v>18552.170000000002</v>
      </c>
      <c r="D23" s="521">
        <f>+Cable!L291</f>
        <v>10578.33</v>
      </c>
      <c r="E23" s="521">
        <f>+Cable!M291</f>
        <v>12801.25</v>
      </c>
      <c r="F23" s="521">
        <f>+Cable!N291</f>
        <v>12966.800000000001</v>
      </c>
      <c r="G23" s="521">
        <f>+Cable!O291</f>
        <v>14230.5</v>
      </c>
      <c r="H23" s="521">
        <f>+Cable!P291</f>
        <v>17333.977760915466</v>
      </c>
      <c r="I23" s="521">
        <f>+Cable!Q291</f>
        <v>12989.048999999999</v>
      </c>
      <c r="J23" s="521">
        <f>+Cable!R291</f>
        <v>11204.1</v>
      </c>
      <c r="K23" s="521">
        <f>+Cable!S291</f>
        <v>7305.36</v>
      </c>
      <c r="L23" s="521">
        <f>+Cable!T291</f>
        <v>9686.3727999999992</v>
      </c>
    </row>
    <row r="24" spans="2:12" ht="15.75">
      <c r="B24" s="520" t="s">
        <v>8025</v>
      </c>
      <c r="C24" s="523"/>
      <c r="D24" s="523"/>
      <c r="E24" s="523"/>
      <c r="F24" s="523"/>
      <c r="G24" s="523"/>
      <c r="H24" s="523"/>
      <c r="I24" s="523"/>
      <c r="J24" s="523"/>
      <c r="K24" s="523"/>
      <c r="L24" s="523"/>
    </row>
    <row r="25" spans="2:12" ht="15.75">
      <c r="B25" s="520" t="s">
        <v>8026</v>
      </c>
      <c r="C25" s="523"/>
      <c r="D25" s="523"/>
      <c r="E25" s="523"/>
      <c r="F25" s="523"/>
      <c r="G25" s="523"/>
      <c r="H25" s="523"/>
      <c r="I25" s="523"/>
      <c r="J25" s="523"/>
      <c r="K25" s="523"/>
      <c r="L25" s="523"/>
    </row>
    <row r="27" spans="2:12" ht="15.75">
      <c r="B27" s="520" t="s">
        <v>8027</v>
      </c>
      <c r="C27" s="520"/>
      <c r="D27" s="520"/>
      <c r="E27" s="520"/>
      <c r="F27" s="520"/>
      <c r="G27" s="520"/>
      <c r="H27" s="520"/>
      <c r="I27" s="520"/>
      <c r="J27" s="520"/>
      <c r="K27" s="520"/>
      <c r="L27" s="520"/>
    </row>
    <row r="28" spans="2:12" ht="15.75">
      <c r="B28" s="520" t="s">
        <v>8028</v>
      </c>
      <c r="C28" s="521">
        <v>1.9300635785649409</v>
      </c>
      <c r="D28" s="521">
        <v>1.9700635785649405</v>
      </c>
      <c r="E28" s="521">
        <v>2.010063578564941</v>
      </c>
      <c r="F28" s="521">
        <v>2.050063578564941</v>
      </c>
      <c r="G28" s="521">
        <v>2.0900635785649411</v>
      </c>
      <c r="H28" s="521">
        <v>2.1400635785649409</v>
      </c>
      <c r="I28" s="521">
        <v>2.1900635785649407</v>
      </c>
      <c r="J28" s="521">
        <v>2.2400635785649405</v>
      </c>
      <c r="K28" s="521">
        <v>2.2900635785649408</v>
      </c>
      <c r="L28" s="521">
        <v>2.3400635785649402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AQ110"/>
  <sheetViews>
    <sheetView showGridLines="0" zoomScale="72" zoomScaleNormal="72" workbookViewId="0"/>
  </sheetViews>
  <sheetFormatPr defaultColWidth="9.140625" defaultRowHeight="15" outlineLevelRow="1" outlineLevelCol="1"/>
  <cols>
    <col min="1" max="1" width="3.140625" style="685" customWidth="1"/>
    <col min="2" max="2" width="30.85546875" style="685" customWidth="1"/>
    <col min="3" max="3" width="18.5703125" style="685" customWidth="1"/>
    <col min="4" max="4" width="17.42578125" style="685" customWidth="1"/>
    <col min="5" max="5" width="16.42578125" style="685" customWidth="1"/>
    <col min="6" max="6" width="14.5703125" style="685" customWidth="1"/>
    <col min="7" max="7" width="12.5703125" style="685" customWidth="1"/>
    <col min="8" max="8" width="13.5703125" style="685" customWidth="1"/>
    <col min="9" max="9" width="15" style="685" customWidth="1"/>
    <col min="10" max="21" width="12.42578125" style="685" customWidth="1"/>
    <col min="22" max="24" width="10" style="685" bestFit="1" customWidth="1"/>
    <col min="25" max="26" width="11" style="685" bestFit="1" customWidth="1"/>
    <col min="27" max="27" width="9.140625" style="685"/>
    <col min="28" max="28" width="29.5703125" style="685" hidden="1" customWidth="1" outlineLevel="1"/>
    <col min="29" max="32" width="9.140625" style="685" hidden="1" customWidth="1" outlineLevel="1"/>
    <col min="33" max="33" width="12" style="685" hidden="1" customWidth="1" outlineLevel="1"/>
    <col min="34" max="42" width="9.140625" style="685" hidden="1" customWidth="1" outlineLevel="1"/>
    <col min="43" max="43" width="9.140625" style="685" collapsed="1"/>
    <col min="44" max="16384" width="9.140625" style="685"/>
  </cols>
  <sheetData>
    <row r="1" spans="2:42">
      <c r="E1" s="836"/>
      <c r="G1" s="685" t="s">
        <v>57</v>
      </c>
    </row>
    <row r="2" spans="2:42">
      <c r="E2" s="836"/>
    </row>
    <row r="3" spans="2:42">
      <c r="B3" s="804" t="s">
        <v>10</v>
      </c>
      <c r="C3" s="805" t="s">
        <v>58</v>
      </c>
      <c r="D3" s="805" t="s">
        <v>8078</v>
      </c>
      <c r="E3" s="805" t="s">
        <v>59</v>
      </c>
      <c r="F3" s="805" t="s">
        <v>8080</v>
      </c>
      <c r="G3" s="805" t="s">
        <v>60</v>
      </c>
      <c r="H3" s="805" t="s">
        <v>61</v>
      </c>
      <c r="I3" s="857" t="s">
        <v>62</v>
      </c>
      <c r="AB3" s="905" t="s">
        <v>10</v>
      </c>
      <c r="AC3" s="840" t="s">
        <v>58</v>
      </c>
      <c r="AD3" s="840" t="s">
        <v>63</v>
      </c>
      <c r="AE3" s="840" t="s">
        <v>59</v>
      </c>
      <c r="AF3" s="840" t="s">
        <v>64</v>
      </c>
      <c r="AG3" s="840" t="s">
        <v>60</v>
      </c>
      <c r="AJ3" s="685" t="s">
        <v>65</v>
      </c>
      <c r="AK3" s="685" t="s">
        <v>66</v>
      </c>
      <c r="AL3" s="685" t="s">
        <v>67</v>
      </c>
    </row>
    <row r="4" spans="2:42">
      <c r="B4" s="806"/>
      <c r="C4" s="815"/>
      <c r="D4" s="815"/>
      <c r="E4" s="815"/>
      <c r="F4" s="815"/>
      <c r="G4" s="815"/>
      <c r="H4" s="815"/>
      <c r="I4" s="891"/>
      <c r="AB4" s="806"/>
      <c r="AC4" s="815"/>
      <c r="AD4" s="815"/>
      <c r="AE4" s="815"/>
      <c r="AF4" s="815"/>
      <c r="AG4" s="815"/>
    </row>
    <row r="5" spans="2:42" hidden="1" outlineLevel="1">
      <c r="B5" s="685" t="s">
        <v>68</v>
      </c>
      <c r="C5" s="888">
        <v>1</v>
      </c>
      <c r="D5" s="889">
        <f>G5/(Content!O27/Valuation!Q19)</f>
        <v>0</v>
      </c>
      <c r="E5" s="890">
        <f>G5-F5</f>
        <v>0</v>
      </c>
      <c r="F5" s="891"/>
      <c r="G5" s="890">
        <f>G79</f>
        <v>0</v>
      </c>
      <c r="H5" s="888">
        <f>G5/G$27</f>
        <v>0</v>
      </c>
      <c r="I5" s="891" t="s">
        <v>69</v>
      </c>
      <c r="J5" s="837"/>
      <c r="AB5" s="793" t="s">
        <v>68</v>
      </c>
      <c r="AC5" s="892">
        <v>1</v>
      </c>
      <c r="AD5" s="893">
        <v>-1.6698293684270428E-2</v>
      </c>
      <c r="AE5" s="894">
        <v>-11.34236521674667</v>
      </c>
      <c r="AF5" s="898"/>
      <c r="AG5" s="894">
        <v>-11.34236521674667</v>
      </c>
      <c r="AJ5" s="837">
        <v>15000</v>
      </c>
      <c r="AK5" s="837">
        <f>F17</f>
        <v>8197.0260628000015</v>
      </c>
      <c r="AL5" s="837">
        <f>AJ5-AK5</f>
        <v>6802.9739371999985</v>
      </c>
      <c r="AM5" s="789">
        <f>1000/AL5</f>
        <v>0.14699453639412075</v>
      </c>
      <c r="AN5" s="789">
        <f>C17/(1+AM5)</f>
        <v>0.39232968050108891</v>
      </c>
    </row>
    <row r="6" spans="2:42" hidden="1" outlineLevel="1">
      <c r="B6" s="793" t="str">
        <f>Master!B73</f>
        <v>Satellite (Sky)</v>
      </c>
      <c r="C6" s="892">
        <v>1</v>
      </c>
      <c r="D6" s="893">
        <f>G6/(Master!Y55/Valuation!V$19)</f>
        <v>0.48297999764214611</v>
      </c>
      <c r="E6" s="1025">
        <f>G6-F6</f>
        <v>87.085525119739131</v>
      </c>
      <c r="F6" s="1025">
        <f>'SKY Mex'!W206/Valuation!$U$19</f>
        <v>-7.4360462767908144</v>
      </c>
      <c r="G6" s="1025">
        <f>G80</f>
        <v>79.649478842948312</v>
      </c>
      <c r="H6" s="892">
        <f ca="1">E6/G31*C6</f>
        <v>6.4897413523977751E-2</v>
      </c>
      <c r="I6" s="891" t="s">
        <v>69</v>
      </c>
      <c r="AB6" s="793" t="s">
        <v>70</v>
      </c>
      <c r="AC6" s="892">
        <v>0.58699999999999997</v>
      </c>
      <c r="AD6" s="893">
        <v>3.5115594730161677</v>
      </c>
      <c r="AE6" s="894">
        <v>1170.6022154910552</v>
      </c>
      <c r="AF6" s="894">
        <v>78.05796745756146</v>
      </c>
      <c r="AG6" s="894">
        <v>1248.6601829486167</v>
      </c>
      <c r="AH6" s="789">
        <f>G6/AG6-1</f>
        <v>-0.93621204557443161</v>
      </c>
      <c r="AL6" s="837">
        <f>0.45*AL5</f>
        <v>3061.3382717399995</v>
      </c>
    </row>
    <row r="7" spans="2:42" hidden="1" outlineLevel="1">
      <c r="B7" s="685" t="s">
        <v>8176</v>
      </c>
      <c r="C7" s="888">
        <f>((100%*Cable!J263)+(51%*Cable!J262)+(100%*Cable!J264)+((69.2%*0.5+30.2%)*Cable!J265)+(100%*Cable!J266)+(100%*Cable!J267)+(100%*Cable!J268))/Cable!J269</f>
        <v>0.83798318232933966</v>
      </c>
      <c r="D7" s="889">
        <f>G7/(Cable!U271/Valuation!V$19)</f>
        <v>4.0477934163275453</v>
      </c>
      <c r="E7" s="1524">
        <f>G7-F7</f>
        <v>4278.5152878535564</v>
      </c>
      <c r="F7" s="1524">
        <f>0.3*Cable!T271/Master!X7</f>
        <v>292.30057816571127</v>
      </c>
      <c r="G7" s="1524">
        <f>H85</f>
        <v>4570.8158660192676</v>
      </c>
      <c r="H7" s="888">
        <f ca="1">E7/G31*C7</f>
        <v>2.6718360441261639</v>
      </c>
      <c r="I7" s="891" t="s">
        <v>69</v>
      </c>
      <c r="AB7" s="793" t="s">
        <v>71</v>
      </c>
      <c r="AC7" s="892">
        <v>0.83798318232933966</v>
      </c>
      <c r="AD7" s="893">
        <v>3.2621701492660526</v>
      </c>
      <c r="AE7" s="894">
        <v>3580.568175760337</v>
      </c>
      <c r="AF7" s="894">
        <v>293.11587534808558</v>
      </c>
      <c r="AG7" s="894">
        <v>3873.6840511084224</v>
      </c>
      <c r="AH7" s="789">
        <f>G7/AG7-1</f>
        <v>0.17996610092951859</v>
      </c>
      <c r="AJ7" s="837"/>
      <c r="AK7" s="837">
        <f>AK5-1000</f>
        <v>7197.0260628000015</v>
      </c>
    </row>
    <row r="8" spans="2:42" hidden="1" outlineLevel="1">
      <c r="B8" s="793" t="s">
        <v>72</v>
      </c>
      <c r="C8" s="892"/>
      <c r="D8" s="893"/>
      <c r="E8" s="1025"/>
      <c r="F8" s="1025"/>
      <c r="G8" s="1025"/>
      <c r="H8" s="892"/>
      <c r="I8" s="891"/>
      <c r="AB8" s="793"/>
      <c r="AC8" s="892"/>
      <c r="AD8" s="893"/>
      <c r="AE8" s="894"/>
      <c r="AF8" s="894"/>
      <c r="AG8" s="894"/>
      <c r="AH8" s="789"/>
      <c r="AJ8" s="837"/>
      <c r="AK8" s="837"/>
    </row>
    <row r="9" spans="2:42" hidden="1" outlineLevel="1">
      <c r="B9" s="685" t="s">
        <v>73</v>
      </c>
      <c r="C9" s="888">
        <f>(C7*Master!W56+C6*Master!W55)/Master!W58</f>
        <v>0.87067151963359934</v>
      </c>
      <c r="D9" s="889">
        <f>G9/(Master!X58/Valuation!U$19)</f>
        <v>3.8764146298917952</v>
      </c>
      <c r="E9" s="1524">
        <f>G9-F9</f>
        <v>4365.6008129732954</v>
      </c>
      <c r="F9" s="1524">
        <f>F6+F7</f>
        <v>284.86453188892045</v>
      </c>
      <c r="G9" s="1524">
        <f>G6+G7</f>
        <v>4650.4653448622157</v>
      </c>
      <c r="H9" s="888">
        <f ca="1">E9/G31*C9</f>
        <v>2.8325642766855204</v>
      </c>
      <c r="I9" s="891" t="s">
        <v>69</v>
      </c>
      <c r="AB9" s="793"/>
      <c r="AC9" s="892"/>
      <c r="AD9" s="893"/>
      <c r="AE9" s="894"/>
      <c r="AF9" s="894"/>
      <c r="AG9" s="894"/>
      <c r="AH9" s="789"/>
      <c r="AJ9" s="837"/>
      <c r="AK9" s="837"/>
    </row>
    <row r="10" spans="2:42" hidden="1" outlineLevel="1">
      <c r="B10" s="793" t="s">
        <v>74</v>
      </c>
      <c r="C10" s="892">
        <v>1</v>
      </c>
      <c r="D10" s="1610">
        <f>G10/((Master!Y61+Master!Y62)/Valuation!V$19)</f>
        <v>10.534985929460747</v>
      </c>
      <c r="E10" s="1025">
        <f>G10-F10</f>
        <v>-870.70977192211467</v>
      </c>
      <c r="F10" s="1025">
        <v>0</v>
      </c>
      <c r="G10" s="1025">
        <f>G82</f>
        <v>-870.70977192211467</v>
      </c>
      <c r="H10" s="892">
        <f ca="1">E10/G31*C10</f>
        <v>-0.64886572194521663</v>
      </c>
      <c r="I10" s="891" t="s">
        <v>69</v>
      </c>
      <c r="AB10" s="793" t="s">
        <v>74</v>
      </c>
      <c r="AC10" s="892">
        <v>1</v>
      </c>
      <c r="AD10" s="893">
        <v>11.386236610835054</v>
      </c>
      <c r="AE10" s="894">
        <v>-460.99820231436598</v>
      </c>
      <c r="AF10" s="894">
        <v>0</v>
      </c>
      <c r="AG10" s="894">
        <v>-460.99820231436598</v>
      </c>
      <c r="AH10" s="789">
        <f>G10/AG10-1</f>
        <v>0.88874873600560456</v>
      </c>
      <c r="AJ10" s="837"/>
      <c r="AK10" s="836">
        <f>AK7/SUM('VOD-quarts'!I133:L133)</f>
        <v>4.3613053343837125</v>
      </c>
      <c r="AL10" s="685" t="s">
        <v>75</v>
      </c>
    </row>
    <row r="11" spans="2:42" collapsed="1">
      <c r="B11" s="817" t="s">
        <v>7956</v>
      </c>
      <c r="C11" s="2088">
        <f>(C7*Master!W56+C6*Master!W55)/Master!W58</f>
        <v>0.87067151963359934</v>
      </c>
      <c r="D11" s="2089">
        <f>G11/(Master!Y58/Valuation!V$19)</f>
        <v>2.9990737176023141</v>
      </c>
      <c r="E11" s="2090">
        <f>G11-F11</f>
        <v>3707.8401232809083</v>
      </c>
      <c r="F11" s="2090">
        <f>F6+F7</f>
        <v>284.86453188892045</v>
      </c>
      <c r="G11" s="2090">
        <f>H89</f>
        <v>3992.7046551698286</v>
      </c>
      <c r="H11" s="2088">
        <f ca="1">E11/G31*C11</f>
        <v>2.4057846621376329</v>
      </c>
      <c r="I11" s="903" t="s">
        <v>69</v>
      </c>
      <c r="AB11" s="793"/>
      <c r="AC11" s="892"/>
      <c r="AD11" s="893"/>
      <c r="AE11" s="894"/>
      <c r="AF11" s="894"/>
      <c r="AG11" s="894"/>
      <c r="AH11" s="789"/>
      <c r="AJ11" s="837"/>
      <c r="AK11" s="836"/>
    </row>
    <row r="12" spans="2:42">
      <c r="B12" s="793"/>
      <c r="C12" s="892"/>
      <c r="D12" s="1610"/>
      <c r="E12" s="1025"/>
      <c r="F12" s="1025"/>
      <c r="G12" s="1025"/>
      <c r="H12" s="892"/>
      <c r="I12" s="891"/>
      <c r="AB12" s="793"/>
      <c r="AC12" s="892"/>
      <c r="AD12" s="893"/>
      <c r="AE12" s="894"/>
      <c r="AF12" s="894"/>
      <c r="AG12" s="894"/>
      <c r="AH12" s="789"/>
      <c r="AJ12" s="837"/>
      <c r="AK12" s="836"/>
    </row>
    <row r="13" spans="2:42">
      <c r="B13" s="839"/>
      <c r="C13" s="888"/>
      <c r="D13" s="891"/>
      <c r="E13" s="891"/>
      <c r="F13" s="890"/>
      <c r="G13" s="890"/>
      <c r="H13" s="891"/>
      <c r="I13" s="1024"/>
      <c r="AB13" s="906"/>
      <c r="AC13" s="892"/>
      <c r="AD13" s="898"/>
      <c r="AE13" s="898"/>
      <c r="AF13" s="894">
        <v>6439.5698404559953</v>
      </c>
      <c r="AG13" s="894"/>
      <c r="AH13" s="789"/>
    </row>
    <row r="14" spans="2:42">
      <c r="B14" s="905" t="s">
        <v>76</v>
      </c>
      <c r="C14" s="840"/>
      <c r="D14" s="840" t="str">
        <f>D3</f>
        <v>x 26 EBITDA</v>
      </c>
      <c r="E14" s="840" t="s">
        <v>77</v>
      </c>
      <c r="F14" s="840" t="s">
        <v>78</v>
      </c>
      <c r="G14" s="840" t="s">
        <v>79</v>
      </c>
      <c r="H14" s="840" t="str">
        <f>H3</f>
        <v>% of Eq</v>
      </c>
      <c r="I14" s="1023"/>
      <c r="AB14" s="802" t="s">
        <v>76</v>
      </c>
      <c r="AC14" s="840"/>
      <c r="AD14" s="840" t="s">
        <v>63</v>
      </c>
      <c r="AE14" s="840" t="s">
        <v>77</v>
      </c>
      <c r="AF14" s="840" t="s">
        <v>78</v>
      </c>
      <c r="AG14" s="840" t="s">
        <v>79</v>
      </c>
      <c r="AH14" s="789"/>
    </row>
    <row r="15" spans="2:42" hidden="1" outlineLevel="1">
      <c r="B15" s="793" t="s">
        <v>80</v>
      </c>
      <c r="C15" s="892">
        <v>0.1</v>
      </c>
      <c r="D15" s="893">
        <f>Univision!C110/Univision!K14</f>
        <v>9.7893309334999614</v>
      </c>
      <c r="E15" s="894">
        <f>Univision!C110</f>
        <v>10012.527678783759</v>
      </c>
      <c r="F15" s="894">
        <f>Univision!C111</f>
        <v>6705.5679315555062</v>
      </c>
      <c r="G15" s="894">
        <f>(E15-F15)*C15</f>
        <v>330.69597472282533</v>
      </c>
      <c r="H15" s="892">
        <f>G15/G$27</f>
        <v>6.8555003248295637E-2</v>
      </c>
      <c r="I15" s="891" t="s">
        <v>69</v>
      </c>
      <c r="J15" s="685" t="s">
        <v>81</v>
      </c>
      <c r="AB15" s="793" t="s">
        <v>80</v>
      </c>
      <c r="AC15" s="892">
        <v>0.1</v>
      </c>
      <c r="AD15" s="893">
        <v>9.7611533543358053</v>
      </c>
      <c r="AE15" s="894">
        <v>9983.707650814662</v>
      </c>
      <c r="AF15" s="894">
        <v>6704.4884065512269</v>
      </c>
      <c r="AG15" s="894">
        <v>327.92192442634354</v>
      </c>
      <c r="AH15" s="789">
        <f>G15/AG15-1</f>
        <v>8.4594840718095199E-3</v>
      </c>
      <c r="AP15" s="836">
        <f ca="1">G42+AK29</f>
        <v>20.440609505909546</v>
      </c>
    </row>
    <row r="16" spans="2:42" hidden="1" outlineLevel="1">
      <c r="B16" s="793" t="s">
        <v>82</v>
      </c>
      <c r="C16" s="892">
        <v>0.26</v>
      </c>
      <c r="D16" s="893">
        <f>Univision!C110/Univision!K14</f>
        <v>9.7893309334999614</v>
      </c>
      <c r="E16" s="894">
        <f>E15</f>
        <v>10012.527678783759</v>
      </c>
      <c r="F16" s="894">
        <f>Univision!C111</f>
        <v>6705.5679315555062</v>
      </c>
      <c r="G16" s="894">
        <f>(E16-F16)*C16</f>
        <v>859.80953427934583</v>
      </c>
      <c r="H16" s="892">
        <f>G16/G$27</f>
        <v>0.17824300844556865</v>
      </c>
      <c r="I16" s="891" t="s">
        <v>69</v>
      </c>
      <c r="J16" s="837"/>
      <c r="AB16" s="793" t="s">
        <v>82</v>
      </c>
      <c r="AC16" s="892">
        <v>0.26</v>
      </c>
      <c r="AD16" s="893">
        <v>9.7611533543358053</v>
      </c>
      <c r="AE16" s="894">
        <v>9983.707650814662</v>
      </c>
      <c r="AF16" s="894">
        <v>6704.4884065512269</v>
      </c>
      <c r="AG16" s="894">
        <v>852.59700350849312</v>
      </c>
      <c r="AH16" s="789">
        <f>G16/AG16-1</f>
        <v>8.4594840718095199E-3</v>
      </c>
    </row>
    <row r="17" spans="2:37" collapsed="1">
      <c r="B17" s="685" t="s">
        <v>54</v>
      </c>
      <c r="C17" s="888">
        <v>0.45</v>
      </c>
      <c r="D17" s="889">
        <f>E17/VOD!J165</f>
        <v>7.0483565708069724</v>
      </c>
      <c r="E17" s="890">
        <f>VOD!F226</f>
        <v>11473.230245680737</v>
      </c>
      <c r="F17" s="890">
        <f>VOD!J215</f>
        <v>8197.0260628000015</v>
      </c>
      <c r="G17" s="890">
        <f>(E17-F17)*C17</f>
        <v>1474.2918822963313</v>
      </c>
      <c r="H17" s="888">
        <f ca="1">G17/G31</f>
        <v>1.098663983582524</v>
      </c>
      <c r="I17" s="890">
        <f>G17/C17</f>
        <v>3276.204182880736</v>
      </c>
      <c r="K17" s="789"/>
      <c r="AB17" s="793" t="s">
        <v>54</v>
      </c>
      <c r="AC17" s="892">
        <v>0.45</v>
      </c>
      <c r="AD17" s="893">
        <v>9.2176536360931323</v>
      </c>
      <c r="AE17" s="894">
        <v>15439.569840455995</v>
      </c>
      <c r="AF17" s="894">
        <v>9000</v>
      </c>
      <c r="AG17" s="894">
        <v>2897.8064282051978</v>
      </c>
      <c r="AH17" s="789">
        <f>G17/AG17-1</f>
        <v>-0.49123865971632297</v>
      </c>
    </row>
    <row r="18" spans="2:37">
      <c r="B18" s="802" t="s">
        <v>83</v>
      </c>
      <c r="C18" s="895">
        <v>0.33</v>
      </c>
      <c r="D18" s="896"/>
      <c r="E18" s="896"/>
      <c r="F18" s="897"/>
      <c r="G18" s="897">
        <v>50</v>
      </c>
      <c r="H18" s="895">
        <f ca="1">G18/G$31</f>
        <v>3.7260735027288633E-2</v>
      </c>
      <c r="I18" s="891" t="s">
        <v>84</v>
      </c>
      <c r="AB18" s="802" t="s">
        <v>83</v>
      </c>
      <c r="AC18" s="895">
        <v>0.33</v>
      </c>
      <c r="AD18" s="896"/>
      <c r="AE18" s="896"/>
      <c r="AF18" s="897"/>
      <c r="AG18" s="897">
        <v>50</v>
      </c>
      <c r="AH18" s="789">
        <f>G18/AG18-1</f>
        <v>0</v>
      </c>
    </row>
    <row r="19" spans="2:37">
      <c r="B19" s="685" t="s">
        <v>85</v>
      </c>
      <c r="C19" s="891"/>
      <c r="D19" s="891"/>
      <c r="E19" s="891"/>
      <c r="F19" s="891"/>
      <c r="G19" s="890">
        <f>SUM(G17:G18)</f>
        <v>1524.2918822963313</v>
      </c>
      <c r="H19" s="888"/>
      <c r="I19" s="790"/>
      <c r="AB19" s="793" t="s">
        <v>85</v>
      </c>
      <c r="AC19" s="898"/>
      <c r="AD19" s="898"/>
      <c r="AE19" s="898"/>
      <c r="AF19" s="898"/>
      <c r="AG19" s="894">
        <v>2947.8064282051978</v>
      </c>
      <c r="AH19" s="789">
        <f>G19/AG19-1</f>
        <v>-0.4829063849947528</v>
      </c>
    </row>
    <row r="20" spans="2:37">
      <c r="B20" s="793"/>
      <c r="C20" s="898"/>
      <c r="D20" s="898"/>
      <c r="E20" s="898"/>
      <c r="F20" s="898"/>
      <c r="G20" s="898"/>
      <c r="H20" s="898"/>
      <c r="AB20" s="793"/>
      <c r="AC20" s="898"/>
      <c r="AD20" s="898"/>
      <c r="AE20" s="898"/>
      <c r="AF20" s="898"/>
      <c r="AG20" s="898"/>
      <c r="AH20" s="789"/>
    </row>
    <row r="21" spans="2:37">
      <c r="B21" s="685" t="s">
        <v>86</v>
      </c>
      <c r="C21" s="891"/>
      <c r="D21" s="891"/>
      <c r="E21" s="891"/>
      <c r="F21" s="891"/>
      <c r="G21" s="891"/>
      <c r="H21" s="891"/>
      <c r="AB21" s="793" t="s">
        <v>87</v>
      </c>
      <c r="AC21" s="898"/>
      <c r="AD21" s="898"/>
      <c r="AE21" s="898"/>
      <c r="AF21" s="898"/>
      <c r="AG21" s="898"/>
      <c r="AH21" s="789"/>
      <c r="AJ21" s="837">
        <f>G6*C6</f>
        <v>79.649478842948312</v>
      </c>
      <c r="AK21" s="837">
        <f>G6/D6</f>
        <v>164.91258278145696</v>
      </c>
    </row>
    <row r="22" spans="2:37" hidden="1" outlineLevel="1">
      <c r="B22" s="793" t="str">
        <f>B6</f>
        <v>Satellite (Sky)</v>
      </c>
      <c r="C22" s="898"/>
      <c r="D22" s="898"/>
      <c r="E22" s="898"/>
      <c r="F22" s="898"/>
      <c r="G22" s="894">
        <f>(1-C6)*E6</f>
        <v>0</v>
      </c>
      <c r="H22" s="892"/>
      <c r="AB22" s="793" t="s">
        <v>70</v>
      </c>
      <c r="AC22" s="898"/>
      <c r="AD22" s="898"/>
      <c r="AE22" s="898"/>
      <c r="AF22" s="898"/>
      <c r="AG22" s="894">
        <v>483.45871499780583</v>
      </c>
      <c r="AH22" s="789">
        <f>G22/AG22-1</f>
        <v>-1</v>
      </c>
      <c r="AJ22" s="837">
        <f>G7*C7</f>
        <v>3830.2668252482626</v>
      </c>
      <c r="AK22" s="837">
        <f>G7/D7</f>
        <v>1129.2117447451769</v>
      </c>
    </row>
    <row r="23" spans="2:37" collapsed="1">
      <c r="B23" s="793" t="str">
        <f>B7</f>
        <v>Cable Cos</v>
      </c>
      <c r="C23" s="898"/>
      <c r="D23" s="898"/>
      <c r="E23" s="898"/>
      <c r="F23" s="898"/>
      <c r="G23" s="894">
        <f>(1-C7)*E7</f>
        <v>693.19143129330246</v>
      </c>
      <c r="H23" s="892"/>
      <c r="AB23" s="802" t="s">
        <v>71</v>
      </c>
      <c r="AC23" s="896"/>
      <c r="AD23" s="896"/>
      <c r="AE23" s="896"/>
      <c r="AF23" s="896"/>
      <c r="AG23" s="897">
        <v>323.21137687858425</v>
      </c>
      <c r="AH23" s="789">
        <f>G23/AG23-1</f>
        <v>1.1446999730882084</v>
      </c>
    </row>
    <row r="24" spans="2:37">
      <c r="B24" s="1395" t="s">
        <v>85</v>
      </c>
      <c r="C24" s="1408"/>
      <c r="D24" s="1408"/>
      <c r="E24" s="1408"/>
      <c r="F24" s="1408"/>
      <c r="G24" s="1409">
        <f>SUM(G22:G23)</f>
        <v>693.19143129330246</v>
      </c>
      <c r="H24" s="1410"/>
      <c r="K24" s="789"/>
      <c r="AB24" s="793" t="s">
        <v>85</v>
      </c>
      <c r="AC24" s="898"/>
      <c r="AD24" s="898"/>
      <c r="AE24" s="898"/>
      <c r="AF24" s="898"/>
      <c r="AG24" s="894">
        <v>806.67009187639007</v>
      </c>
      <c r="AH24" s="789">
        <f>G24/AG24-1</f>
        <v>-0.14067542819038403</v>
      </c>
    </row>
    <row r="25" spans="2:37">
      <c r="B25" s="793"/>
      <c r="C25" s="898"/>
      <c r="D25" s="898"/>
      <c r="E25" s="898"/>
      <c r="F25" s="898"/>
      <c r="G25" s="894"/>
      <c r="H25" s="892"/>
      <c r="AB25" s="793"/>
      <c r="AC25" s="898"/>
      <c r="AD25" s="898"/>
      <c r="AE25" s="898"/>
      <c r="AF25" s="898"/>
      <c r="AG25" s="898"/>
      <c r="AH25" s="789"/>
      <c r="AJ25" s="837">
        <f>E7*C7</f>
        <v>3585.3238565602537</v>
      </c>
    </row>
    <row r="26" spans="2:37">
      <c r="C26" s="891"/>
      <c r="D26" s="891"/>
      <c r="E26" s="891"/>
      <c r="F26" s="891"/>
      <c r="G26" s="891"/>
      <c r="H26" s="891"/>
      <c r="K26" s="891"/>
      <c r="L26" s="891"/>
      <c r="AB26" s="793"/>
      <c r="AC26" s="898"/>
      <c r="AD26" s="898"/>
      <c r="AE26" s="898"/>
      <c r="AF26" s="898"/>
      <c r="AG26" s="898"/>
      <c r="AH26" s="789"/>
      <c r="AJ26" s="837"/>
    </row>
    <row r="27" spans="2:37">
      <c r="B27" s="806" t="s">
        <v>88</v>
      </c>
      <c r="C27" s="815"/>
      <c r="D27" s="815"/>
      <c r="E27" s="815"/>
      <c r="F27" s="815"/>
      <c r="G27" s="900">
        <f>G11+G19-G24</f>
        <v>4823.8051061728574</v>
      </c>
      <c r="H27" s="898"/>
      <c r="K27" s="795"/>
      <c r="L27" s="796"/>
      <c r="AB27" s="806" t="s">
        <v>88</v>
      </c>
      <c r="AC27" s="815"/>
      <c r="AD27" s="815"/>
      <c r="AE27" s="815"/>
      <c r="AF27" s="815"/>
      <c r="AG27" s="900">
        <v>6802.4823680714808</v>
      </c>
      <c r="AH27" s="789">
        <f>G27/AG27-1</f>
        <v>-0.2908757648804583</v>
      </c>
    </row>
    <row r="28" spans="2:37">
      <c r="B28" s="685" t="s">
        <v>8077</v>
      </c>
      <c r="C28" s="891"/>
      <c r="D28" s="891"/>
      <c r="E28" s="891"/>
      <c r="F28" s="891"/>
      <c r="G28" s="890">
        <f ca="1">Valuation!V15</f>
        <v>3147.336304565541</v>
      </c>
      <c r="H28" s="891"/>
      <c r="K28" s="795"/>
      <c r="L28" s="796"/>
      <c r="AB28" s="793" t="s">
        <v>89</v>
      </c>
      <c r="AC28" s="898"/>
      <c r="AD28" s="898"/>
      <c r="AE28" s="898"/>
      <c r="AF28" s="898"/>
      <c r="AG28" s="894">
        <v>3365.4355788123644</v>
      </c>
      <c r="AH28" s="789">
        <f ca="1">G28/AG28-1</f>
        <v>-6.480566011125044E-2</v>
      </c>
      <c r="AJ28" s="685">
        <f>15-8.3</f>
        <v>6.6999999999999993</v>
      </c>
      <c r="AK28" s="685">
        <f>AJ28*1800</f>
        <v>12059.999999999998</v>
      </c>
    </row>
    <row r="29" spans="2:37">
      <c r="B29" s="793" t="s">
        <v>90</v>
      </c>
      <c r="C29" s="898"/>
      <c r="D29" s="898"/>
      <c r="E29" s="898"/>
      <c r="F29" s="898"/>
      <c r="G29" s="894">
        <f>NPV(8%,Master!Z407:AH407)/Master!X7</f>
        <v>0</v>
      </c>
      <c r="H29" s="898"/>
      <c r="AB29" s="793" t="s">
        <v>90</v>
      </c>
      <c r="AC29" s="898"/>
      <c r="AD29" s="898"/>
      <c r="AE29" s="898"/>
      <c r="AF29" s="898"/>
      <c r="AG29" s="894">
        <v>5.6530214424951266</v>
      </c>
      <c r="AH29" s="789">
        <f>G29/AG29-1</f>
        <v>-1</v>
      </c>
      <c r="AK29" s="836">
        <f>AK28/G33</f>
        <v>18.259825743427072</v>
      </c>
    </row>
    <row r="30" spans="2:37">
      <c r="B30" s="743" t="s">
        <v>91</v>
      </c>
      <c r="C30" s="857"/>
      <c r="D30" s="857"/>
      <c r="E30" s="857"/>
      <c r="F30" s="857"/>
      <c r="G30" s="1411">
        <f>Master!Y265/Master!Y7</f>
        <v>334.57364137009824</v>
      </c>
      <c r="H30" s="891"/>
      <c r="AB30" s="802" t="s">
        <v>91</v>
      </c>
      <c r="AC30" s="896"/>
      <c r="AD30" s="896"/>
      <c r="AE30" s="896"/>
      <c r="AF30" s="896"/>
      <c r="AG30" s="897">
        <v>469.85169676411397</v>
      </c>
      <c r="AH30" s="789">
        <f>G30/AG30-1</f>
        <v>-0.28791649860090041</v>
      </c>
    </row>
    <row r="31" spans="2:37">
      <c r="B31" s="806" t="s">
        <v>92</v>
      </c>
      <c r="C31" s="815"/>
      <c r="D31" s="815"/>
      <c r="E31" s="815"/>
      <c r="F31" s="815"/>
      <c r="G31" s="900">
        <f ca="1">G27-G28-G29-G30</f>
        <v>1341.8951602372181</v>
      </c>
      <c r="H31" s="2121"/>
      <c r="J31" s="789"/>
      <c r="AB31" s="806" t="s">
        <v>92</v>
      </c>
      <c r="AC31" s="815"/>
      <c r="AD31" s="815"/>
      <c r="AE31" s="815"/>
      <c r="AF31" s="815"/>
      <c r="AG31" s="900">
        <v>2961.5420710525073</v>
      </c>
      <c r="AH31" s="789">
        <f ca="1">G31/AG31-1</f>
        <v>-0.54689309554183718</v>
      </c>
    </row>
    <row r="32" spans="2:37">
      <c r="C32" s="891"/>
      <c r="D32" s="891"/>
      <c r="E32" s="891"/>
      <c r="F32" s="891"/>
      <c r="G32" s="890"/>
      <c r="H32" s="891"/>
      <c r="AB32" s="793"/>
      <c r="AC32" s="898"/>
      <c r="AD32" s="898"/>
      <c r="AE32" s="898"/>
      <c r="AF32" s="898"/>
      <c r="AG32" s="894"/>
      <c r="AH32" s="789"/>
    </row>
    <row r="33" spans="2:40">
      <c r="B33" s="793" t="s">
        <v>93</v>
      </c>
      <c r="C33" s="898"/>
      <c r="D33" s="898"/>
      <c r="E33" s="898"/>
      <c r="F33" s="898"/>
      <c r="G33" s="894">
        <f>Master!Z573</f>
        <v>660.46632478632478</v>
      </c>
      <c r="H33" s="898"/>
      <c r="I33" s="685" t="s">
        <v>8125</v>
      </c>
      <c r="J33" s="838"/>
      <c r="AB33" s="793" t="s">
        <v>93</v>
      </c>
      <c r="AC33" s="898"/>
      <c r="AD33" s="898"/>
      <c r="AE33" s="898"/>
      <c r="AF33" s="898"/>
      <c r="AG33" s="894">
        <v>573.38307692307694</v>
      </c>
      <c r="AH33" s="789">
        <f>G33/AG33-1</f>
        <v>0.15187620871295904</v>
      </c>
    </row>
    <row r="34" spans="2:40">
      <c r="C34" s="891"/>
      <c r="D34" s="891"/>
      <c r="E34" s="891"/>
      <c r="F34" s="891"/>
      <c r="G34" s="890"/>
      <c r="H34" s="891"/>
      <c r="I34" s="836"/>
      <c r="AB34" s="793"/>
      <c r="AC34" s="898"/>
      <c r="AD34" s="898"/>
      <c r="AE34" s="898"/>
      <c r="AF34" s="898"/>
      <c r="AG34" s="894"/>
      <c r="AH34" s="789"/>
      <c r="AM34" s="685" t="s">
        <v>94</v>
      </c>
      <c r="AN34" s="789">
        <f>H5</f>
        <v>0</v>
      </c>
    </row>
    <row r="35" spans="2:40">
      <c r="B35" s="806" t="s">
        <v>95</v>
      </c>
      <c r="C35" s="815"/>
      <c r="D35" s="815"/>
      <c r="E35" s="815"/>
      <c r="F35" s="815"/>
      <c r="G35" s="901">
        <f ca="1">G31/G33</f>
        <v>2.0317389545505598</v>
      </c>
      <c r="H35" s="902"/>
      <c r="I35" s="789"/>
      <c r="AB35" s="806" t="s">
        <v>95</v>
      </c>
      <c r="AC35" s="815"/>
      <c r="AD35" s="815"/>
      <c r="AE35" s="815"/>
      <c r="AF35" s="815"/>
      <c r="AG35" s="901">
        <v>5.1650322275727323</v>
      </c>
      <c r="AH35" s="789">
        <f ca="1">G35/AG35-1</f>
        <v>-0.60663576430279886</v>
      </c>
      <c r="AM35" s="685" t="s">
        <v>52</v>
      </c>
      <c r="AN35" s="789">
        <f ca="1">H9-H23</f>
        <v>2.8325642766855204</v>
      </c>
    </row>
    <row r="36" spans="2:40" hidden="1">
      <c r="C36" s="903"/>
      <c r="D36" s="903"/>
      <c r="E36" s="903"/>
      <c r="F36" s="903"/>
      <c r="G36" s="889"/>
      <c r="H36" s="1023"/>
      <c r="I36" s="789"/>
      <c r="AB36" s="793" t="s">
        <v>96</v>
      </c>
      <c r="AC36" s="815"/>
      <c r="AD36" s="815"/>
      <c r="AE36" s="815"/>
      <c r="AF36" s="815"/>
      <c r="AG36" s="893">
        <v>0</v>
      </c>
      <c r="AH36" s="789"/>
      <c r="AM36" s="685" t="s">
        <v>97</v>
      </c>
      <c r="AN36" s="789">
        <f ca="1">H6-H22</f>
        <v>6.4897413523977751E-2</v>
      </c>
    </row>
    <row r="37" spans="2:40" hidden="1">
      <c r="B37" s="793" t="s">
        <v>98</v>
      </c>
      <c r="C37" s="815"/>
      <c r="D37" s="815"/>
      <c r="E37" s="815"/>
      <c r="F37" s="815"/>
      <c r="G37" s="893"/>
      <c r="H37" s="902"/>
      <c r="I37" s="789"/>
      <c r="AB37" s="793"/>
      <c r="AC37" s="815"/>
      <c r="AD37" s="815"/>
      <c r="AE37" s="815"/>
      <c r="AF37" s="815"/>
      <c r="AG37" s="893"/>
      <c r="AH37" s="789"/>
      <c r="AN37" s="789"/>
    </row>
    <row r="38" spans="2:40">
      <c r="B38" s="685" t="s">
        <v>8076</v>
      </c>
      <c r="C38" s="903"/>
      <c r="D38" s="903"/>
      <c r="E38" s="903"/>
      <c r="F38" s="903"/>
      <c r="G38" s="889">
        <f>Master!Y579</f>
        <v>0</v>
      </c>
      <c r="H38" s="1024"/>
      <c r="AB38" s="793" t="s">
        <v>99</v>
      </c>
      <c r="AC38" s="815"/>
      <c r="AD38" s="815"/>
      <c r="AE38" s="815"/>
      <c r="AF38" s="815"/>
      <c r="AG38" s="893">
        <v>0</v>
      </c>
      <c r="AH38" s="789" t="e">
        <f>G38/AG38-1</f>
        <v>#DIV/0!</v>
      </c>
      <c r="AM38" s="685" t="s">
        <v>100</v>
      </c>
      <c r="AN38" s="789">
        <f>H15+H16</f>
        <v>0.24679801169386428</v>
      </c>
    </row>
    <row r="39" spans="2:40" hidden="1">
      <c r="C39" s="903"/>
      <c r="D39" s="903"/>
      <c r="E39" s="903"/>
      <c r="F39" s="903"/>
      <c r="G39" s="889"/>
      <c r="H39" s="1024"/>
      <c r="AB39" s="793"/>
      <c r="AC39" s="815"/>
      <c r="AD39" s="815"/>
      <c r="AE39" s="815"/>
      <c r="AF39" s="815"/>
      <c r="AG39" s="893"/>
      <c r="AH39" s="789"/>
      <c r="AN39" s="789"/>
    </row>
    <row r="40" spans="2:40">
      <c r="B40" s="793" t="s">
        <v>8123</v>
      </c>
      <c r="C40" s="898"/>
      <c r="D40" s="898"/>
      <c r="E40" s="898"/>
      <c r="F40" s="898"/>
      <c r="G40" s="902">
        <f>Analysis!C3469*0.75</f>
        <v>0.14904480793191485</v>
      </c>
      <c r="H40" s="898"/>
      <c r="AB40" s="793"/>
      <c r="AC40" s="815"/>
      <c r="AD40" s="815"/>
      <c r="AE40" s="815"/>
      <c r="AF40" s="815"/>
      <c r="AG40" s="893"/>
      <c r="AH40" s="789"/>
      <c r="AN40" s="789"/>
    </row>
    <row r="41" spans="2:40" ht="15.75" thickBot="1">
      <c r="C41" s="903"/>
      <c r="D41" s="903"/>
      <c r="E41" s="903"/>
      <c r="F41" s="903"/>
      <c r="G41" s="889"/>
      <c r="H41" s="1024"/>
      <c r="AB41" s="793"/>
      <c r="AC41" s="815"/>
      <c r="AD41" s="815"/>
      <c r="AE41" s="815"/>
      <c r="AF41" s="815"/>
      <c r="AG41" s="893"/>
      <c r="AH41" s="789"/>
      <c r="AN41" s="789"/>
    </row>
    <row r="42" spans="2:40" ht="15.75" thickBot="1">
      <c r="B42" s="907" t="s">
        <v>101</v>
      </c>
      <c r="C42" s="908"/>
      <c r="D42" s="908"/>
      <c r="E42" s="908"/>
      <c r="F42" s="908"/>
      <c r="G42" s="909">
        <f ca="1">G35+G38+G40</f>
        <v>2.1807837624824744</v>
      </c>
      <c r="H42" s="1022"/>
      <c r="AB42" s="907" t="s">
        <v>101</v>
      </c>
      <c r="AC42" s="908"/>
      <c r="AD42" s="908"/>
      <c r="AE42" s="908"/>
      <c r="AF42" s="908"/>
      <c r="AG42" s="909">
        <v>5.1650322275727323</v>
      </c>
      <c r="AH42" s="789">
        <f ca="1">G42/AG42-1</f>
        <v>-0.57777925356579685</v>
      </c>
      <c r="AM42" s="685" t="str">
        <f>B10</f>
        <v>HQ/other central</v>
      </c>
      <c r="AN42" s="789" t="e">
        <f ca="1">H10+#REF!+H18</f>
        <v>#REF!</v>
      </c>
    </row>
    <row r="43" spans="2:40">
      <c r="B43" s="685" t="s">
        <v>102</v>
      </c>
      <c r="C43" s="891"/>
      <c r="D43" s="891"/>
      <c r="E43" s="891"/>
      <c r="F43" s="891"/>
      <c r="G43" s="889">
        <f>Valuation!B2</f>
        <v>2.93</v>
      </c>
      <c r="H43" s="891"/>
      <c r="AB43" s="793" t="s">
        <v>102</v>
      </c>
      <c r="AC43" s="898"/>
      <c r="AD43" s="898"/>
      <c r="AE43" s="898"/>
      <c r="AF43" s="898"/>
      <c r="AG43" s="893">
        <v>5</v>
      </c>
      <c r="AH43" s="789"/>
    </row>
    <row r="44" spans="2:40">
      <c r="B44" s="802" t="s">
        <v>103</v>
      </c>
      <c r="C44" s="896"/>
      <c r="D44" s="896"/>
      <c r="E44" s="896"/>
      <c r="F44" s="896"/>
      <c r="G44" s="895">
        <f ca="1">G42/G43-1</f>
        <v>-0.25570520051792689</v>
      </c>
      <c r="H44" s="896"/>
      <c r="AB44" s="802" t="s">
        <v>103</v>
      </c>
      <c r="AC44" s="896"/>
      <c r="AD44" s="896"/>
      <c r="AE44" s="896"/>
      <c r="AF44" s="896"/>
      <c r="AG44" s="895">
        <v>3.3006445514546456E-2</v>
      </c>
      <c r="AH44" s="789"/>
    </row>
    <row r="45" spans="2:40">
      <c r="B45" s="685" t="s">
        <v>104</v>
      </c>
    </row>
    <row r="49" spans="2:26">
      <c r="B49" s="844" t="s">
        <v>105</v>
      </c>
      <c r="C49" s="845">
        <v>2012</v>
      </c>
      <c r="D49" s="845">
        <f t="shared" ref="D49:J49" si="0">C49+1</f>
        <v>2013</v>
      </c>
      <c r="E49" s="845">
        <f t="shared" si="0"/>
        <v>2014</v>
      </c>
      <c r="F49" s="845">
        <f t="shared" si="0"/>
        <v>2015</v>
      </c>
      <c r="G49" s="845">
        <f t="shared" si="0"/>
        <v>2016</v>
      </c>
      <c r="H49" s="845">
        <f t="shared" si="0"/>
        <v>2017</v>
      </c>
      <c r="I49" s="845">
        <f t="shared" si="0"/>
        <v>2018</v>
      </c>
      <c r="J49" s="845">
        <f t="shared" si="0"/>
        <v>2019</v>
      </c>
      <c r="K49" s="845">
        <f t="shared" ref="K49:P49" si="1">J49+1</f>
        <v>2020</v>
      </c>
      <c r="L49" s="845">
        <f t="shared" si="1"/>
        <v>2021</v>
      </c>
      <c r="M49" s="845">
        <f t="shared" si="1"/>
        <v>2022</v>
      </c>
      <c r="N49" s="845">
        <f t="shared" si="1"/>
        <v>2023</v>
      </c>
      <c r="O49" s="845">
        <f t="shared" si="1"/>
        <v>2024</v>
      </c>
      <c r="P49" s="845">
        <f t="shared" si="1"/>
        <v>2025</v>
      </c>
      <c r="Q49" s="845">
        <f t="shared" ref="Q49:Z49" si="2">P49+1</f>
        <v>2026</v>
      </c>
      <c r="R49" s="845">
        <f t="shared" si="2"/>
        <v>2027</v>
      </c>
      <c r="S49" s="845">
        <f t="shared" si="2"/>
        <v>2028</v>
      </c>
      <c r="T49" s="845">
        <f t="shared" si="2"/>
        <v>2029</v>
      </c>
      <c r="U49" s="845">
        <f t="shared" si="2"/>
        <v>2030</v>
      </c>
      <c r="V49" s="845">
        <f t="shared" si="2"/>
        <v>2031</v>
      </c>
      <c r="W49" s="845">
        <f t="shared" si="2"/>
        <v>2032</v>
      </c>
      <c r="X49" s="845">
        <f t="shared" si="2"/>
        <v>2033</v>
      </c>
      <c r="Y49" s="845">
        <f t="shared" si="2"/>
        <v>2034</v>
      </c>
      <c r="Z49" s="845">
        <f t="shared" si="2"/>
        <v>2035</v>
      </c>
    </row>
    <row r="50" spans="2:26">
      <c r="B50" s="685" t="s">
        <v>94</v>
      </c>
      <c r="C50" s="846">
        <f>(1-0.28)*(Master!K53-Master!K82)/Valuation!H$19</f>
        <v>746.6859574468084</v>
      </c>
      <c r="D50" s="846">
        <f>(1-0.28)*(Master!L53-Master!L82)/Valuation!I$19</f>
        <v>762.98828840125384</v>
      </c>
      <c r="E50" s="846">
        <f>(1-0.28)*(Master!M53-Master!M82)/Valuation!J$19</f>
        <v>709.7147648384672</v>
      </c>
      <c r="F50" s="846">
        <f>(1-0.28)*(Master!N53-Master!N82)/Valuation!K$19</f>
        <v>540.80565595463156</v>
      </c>
      <c r="G50" s="846">
        <f>(1-0.28)*(Master!O53-Master!O82)/Valuation!L$19</f>
        <v>455.31883289124664</v>
      </c>
      <c r="H50" s="846">
        <f>(1-0.28)*(Master!P53-Master!P82)/Valuation!M$19</f>
        <v>406.77942857142864</v>
      </c>
      <c r="I50" s="846">
        <f>(1-0.28)*(Master!Q53-Master!Q82)/Valuation!N$19</f>
        <v>487.35958441558444</v>
      </c>
      <c r="J50" s="846">
        <f>(1-0.28)*(Master!R53-Master!R82)/Valuation!O$19</f>
        <v>394.85361038961037</v>
      </c>
      <c r="K50" s="846">
        <f>(1-0.28)*(Master!S53-Master!S82)/Valuation!P$19</f>
        <v>395.10449162011173</v>
      </c>
      <c r="L50" s="846">
        <f>(1-0.28)*(Master!T53-Master!T82)/Valuation!Q$19</f>
        <v>452.70212278146357</v>
      </c>
      <c r="M50" s="846">
        <f>(1-0.28)*(Master!U53-Master!U82)/Valuation!R$19</f>
        <v>-12.24</v>
      </c>
      <c r="N50" s="846">
        <f>(1-0.28)*(Master!V53-Master!V82)/Valuation!S$19</f>
        <v>-26.784000000000002</v>
      </c>
      <c r="O50" s="846">
        <f>(1-0.28)*(Master!W53-Master!W82)/Valuation!T$19</f>
        <v>0</v>
      </c>
      <c r="P50" s="846">
        <f>(1-0.28)*(Master!X53-Master!X82)/Valuation!U$19</f>
        <v>0</v>
      </c>
      <c r="Q50" s="846">
        <f>(1-0.28)*(Master!Y53-Master!Y82)/Valuation!V$19</f>
        <v>0</v>
      </c>
      <c r="R50" s="846">
        <f>(1-0.28)*(Master!Z53-Master!Z82)/Valuation!W$19</f>
        <v>0</v>
      </c>
      <c r="S50" s="846">
        <f>(1-0.28)*(Master!AA53-Master!AA82)/Valuation!X$19</f>
        <v>0</v>
      </c>
      <c r="T50" s="846">
        <f>(1-0.28)*(Master!AB53-Master!AB82)/Valuation!Y$19</f>
        <v>0</v>
      </c>
      <c r="U50" s="846">
        <f>(1-0.28)*(Master!AC53-Master!AC82)/Valuation!Z$19</f>
        <v>0</v>
      </c>
      <c r="V50" s="846">
        <f>(1-0.28)*(Master!AD53-Master!AD82)/Valuation!AA$19</f>
        <v>0</v>
      </c>
      <c r="W50" s="846">
        <f>(1-0.28)*(Master!AE53-Master!AE82)/Valuation!AB$19</f>
        <v>0</v>
      </c>
      <c r="X50" s="846">
        <f>(1-0.28)*(Master!AF53-Master!AF82)/Valuation!AC$19</f>
        <v>0</v>
      </c>
      <c r="Y50" s="846">
        <f>(1-0.28)*(Master!AG53-Master!AG82)/Valuation!AD$19</f>
        <v>0</v>
      </c>
      <c r="Z50" s="846">
        <f>(1-0.28)*(Master!AH53-Master!AH82)/Valuation!AE$19</f>
        <v>0</v>
      </c>
    </row>
    <row r="51" spans="2:26">
      <c r="B51" s="685" t="str">
        <f>B68</f>
        <v>Satellite (Sky)</v>
      </c>
      <c r="C51" s="846">
        <f>(1-0.28)*Master!K114/Valuation!H$19</f>
        <v>148.5563525835866</v>
      </c>
      <c r="D51" s="846">
        <f>(1-0.28)*Master!L114/Valuation!I$19</f>
        <v>127.85349216300939</v>
      </c>
      <c r="E51" s="846">
        <f>(1-0.28)*Master!M114/Valuation!J$19</f>
        <v>164.25152817430492</v>
      </c>
      <c r="F51" s="846">
        <f>(1-0.28)*Master!N114/Valuation!K$19</f>
        <v>146.70886956521738</v>
      </c>
      <c r="G51" s="846">
        <f>(1-0.28)*Master!O114/Valuation!L$19</f>
        <v>128.5339416445623</v>
      </c>
      <c r="H51" s="846">
        <f>(1-0.28)*Master!P114/Valuation!M$19</f>
        <v>232.82057142857147</v>
      </c>
      <c r="I51" s="846">
        <f>(1-0.28)*Master!Q114/Valuation!N$19</f>
        <v>214.39916883116885</v>
      </c>
      <c r="J51" s="846">
        <f>(1-0.28)*Master!R114/Valuation!O$19</f>
        <v>190.59709090909095</v>
      </c>
      <c r="K51" s="846">
        <f>(1-0.28)*Master!S114/Valuation!P$19</f>
        <v>126.08393296089382</v>
      </c>
      <c r="L51" s="846">
        <f>(1-0.28)*Master!T114/Valuation!Q$19</f>
        <v>126.09008611351503</v>
      </c>
      <c r="M51" s="846">
        <f>(1-0.28)*Master!U114/Valuation!R$19</f>
        <v>90.692395822973637</v>
      </c>
      <c r="N51" s="846">
        <f>(1-0.28)*Master!V114/Valuation!S$19</f>
        <v>125.71769491525424</v>
      </c>
      <c r="O51" s="846">
        <f>(1-0.28)*Master!W114/Valuation!T$19</f>
        <v>123.85282622950815</v>
      </c>
      <c r="P51" s="846">
        <f>(1-0.28)*Master!X114/Valuation!U$19</f>
        <v>80.389283206496728</v>
      </c>
      <c r="Q51" s="846">
        <f>(1-0.28)*Master!Y114/Valuation!V$19</f>
        <v>67.284333774834437</v>
      </c>
      <c r="R51" s="846">
        <f>(1-0.28)*Master!Z114/Valuation!W$19</f>
        <v>44.817419555901814</v>
      </c>
      <c r="S51" s="846">
        <f>(1-0.28)*Master!AA114/Valuation!X$19</f>
        <v>20.637849171612544</v>
      </c>
      <c r="T51" s="846">
        <f>(1-0.28)*Master!AB114/Valuation!Y$19</f>
        <v>10.410300262087924</v>
      </c>
      <c r="U51" s="846">
        <f>(1-0.28)*Master!AC114/Valuation!Z$19</f>
        <v>5.7013814822793893</v>
      </c>
      <c r="V51" s="846">
        <f>(1-0.28)*Master!AD114/Valuation!AA$19</f>
        <v>4.8132577873273705</v>
      </c>
      <c r="W51" s="846">
        <f>(1-0.28)*Master!AE114/Valuation!AB$19</f>
        <v>4.080887582824225</v>
      </c>
      <c r="X51" s="846">
        <f>(1-0.28)*Master!AF114/Valuation!AC$19</f>
        <v>3.4703200032968144</v>
      </c>
      <c r="Y51" s="846">
        <f>(1-0.28)*Master!AG114/Valuation!AD$19</f>
        <v>0</v>
      </c>
      <c r="Z51" s="846">
        <f>(1-0.28)*Master!AH114/Valuation!AE$19</f>
        <v>0</v>
      </c>
    </row>
    <row r="52" spans="2:26">
      <c r="B52" s="685" t="str">
        <f>B69</f>
        <v>Cable</v>
      </c>
      <c r="C52" s="846">
        <f>(1-0.28)*Master!K115/Valuation!H$19</f>
        <v>-9.5744680851064334</v>
      </c>
      <c r="D52" s="846">
        <f>(1-0.28)*Master!L115/Valuation!I$19</f>
        <v>-85.933015673981146</v>
      </c>
      <c r="E52" s="846">
        <f>(1-0.28)*Master!M115/Valuation!J$19</f>
        <v>-79.665160030052604</v>
      </c>
      <c r="F52" s="846">
        <f>(1-0.28)*Master!N115/Valuation!K$19</f>
        <v>-258.1276672967864</v>
      </c>
      <c r="G52" s="846">
        <f>(1-0.28)*Master!O115/Valuation!L$19</f>
        <v>-203.05413262599473</v>
      </c>
      <c r="H52" s="846">
        <f>(1-0.28)*Master!P115/Valuation!M$19</f>
        <v>131.68266666666668</v>
      </c>
      <c r="I52" s="846">
        <f>(1-0.28)*Master!Q115/Valuation!N$19</f>
        <v>93.571948051948056</v>
      </c>
      <c r="J52" s="846">
        <f>(1-0.28)*Master!R115/Valuation!O$19</f>
        <v>180.69942857142851</v>
      </c>
      <c r="K52" s="846">
        <f>(1-0.28)*Master!S115/Valuation!P$19</f>
        <v>156.46256983240221</v>
      </c>
      <c r="L52" s="846">
        <f>(1-0.28)*Master!T115/Valuation!Q$19</f>
        <v>104.74150523419624</v>
      </c>
      <c r="M52" s="846">
        <f>(1-0.28)*Master!U115/Valuation!R$19</f>
        <v>247.53360119343608</v>
      </c>
      <c r="N52" s="846">
        <f>(1-0.28)*Master!V115/Valuation!S$19</f>
        <v>306.03661016949155</v>
      </c>
      <c r="O52" s="846">
        <f>(1-0.28)*Master!W115/Valuation!T$19</f>
        <v>439.87829508196711</v>
      </c>
      <c r="P52" s="846">
        <f>(1-0.28)*Master!X115/Valuation!U$19</f>
        <v>333.35558391179404</v>
      </c>
      <c r="Q52" s="846">
        <f>(1-0.28)*Master!Y115/Valuation!V$19</f>
        <v>307.21462800610152</v>
      </c>
      <c r="R52" s="846">
        <f>(1-0.28)*Master!Z115/Valuation!W$19</f>
        <v>428.5317522824925</v>
      </c>
      <c r="S52" s="846">
        <f>(1-0.28)*Master!AA115/Valuation!X$19</f>
        <v>455.1344228143397</v>
      </c>
      <c r="T52" s="846">
        <f>(1-0.28)*Master!AB115/Valuation!Y$19</f>
        <v>468.0861648657538</v>
      </c>
      <c r="U52" s="846">
        <f>(1-0.28)*Master!AC115/Valuation!Z$19</f>
        <v>483.20955225925303</v>
      </c>
      <c r="V52" s="846">
        <f>(1-0.28)*Master!AD115/Valuation!AA$19</f>
        <v>498.7457959759995</v>
      </c>
      <c r="W52" s="846">
        <f>(1-0.28)*Master!AE115/Valuation!AB$19</f>
        <v>507.79023603962696</v>
      </c>
      <c r="X52" s="846">
        <f>(1-0.28)*Master!AF115/Valuation!AC$19</f>
        <v>516.19252242243408</v>
      </c>
      <c r="Y52" s="846">
        <f>(1-0.28)*Master!AG115/Valuation!AD$19</f>
        <v>512.97662887578554</v>
      </c>
      <c r="Z52" s="846">
        <f>(1-0.28)*Master!AH115/Valuation!AE$19</f>
        <v>510.26776849200968</v>
      </c>
    </row>
    <row r="53" spans="2:26">
      <c r="B53" s="685" t="s">
        <v>106</v>
      </c>
      <c r="C53" s="846">
        <f>(1-Master!K$388)*Iusacell!R83/Valuation!H$19</f>
        <v>-418.59737974924013</v>
      </c>
      <c r="D53" s="846">
        <f>(1-Master!L$388)*Iusacell!S83/Valuation!I$19</f>
        <v>-117.49604094827588</v>
      </c>
      <c r="E53" s="846">
        <f>(1-Master!M$388)*Iusacell!T83/Valuation!J$19</f>
        <v>-42.272380852599078</v>
      </c>
      <c r="F53" s="846">
        <f>(1-Master!N$388)*Iusacell!U83/Valuation!K$19</f>
        <v>-120.38381176369639</v>
      </c>
      <c r="G53" s="846">
        <f>(1-Master!O$388)*Iusacell!V83/Valuation!L$19</f>
        <v>-152.51515584383844</v>
      </c>
      <c r="H53" s="846">
        <f>(1-Master!P$388)*Iusacell!W83/Valuation!M$19</f>
        <v>-102.1742057165109</v>
      </c>
      <c r="I53" s="846">
        <f>(1-Master!Q$388)*Iusacell!X83/Valuation!N$19</f>
        <v>-35.861022631969071</v>
      </c>
      <c r="J53" s="846">
        <f>(1-Master!R$388)*Iusacell!Y83/Valuation!O$19</f>
        <v>8.3238627364572508</v>
      </c>
      <c r="K53" s="846">
        <f>(1-Master!S$388)*Iusacell!Z83/Valuation!P$19</f>
        <v>21.149726439767541</v>
      </c>
      <c r="L53" s="846"/>
      <c r="M53" s="846"/>
      <c r="N53" s="846"/>
      <c r="O53" s="846"/>
      <c r="P53" s="846"/>
      <c r="Q53" s="846"/>
      <c r="R53" s="846"/>
      <c r="S53" s="846"/>
      <c r="T53" s="846"/>
      <c r="U53" s="846"/>
      <c r="V53" s="846"/>
      <c r="W53" s="846"/>
      <c r="X53" s="846"/>
      <c r="Y53" s="846"/>
      <c r="Z53" s="846"/>
    </row>
    <row r="54" spans="2:26">
      <c r="B54" s="685" t="s">
        <v>107</v>
      </c>
      <c r="C54" s="846">
        <f>(1-0.28)*(Master!K116)/Valuation!H$19</f>
        <v>-63.913677811550187</v>
      </c>
      <c r="D54" s="846">
        <f>(1-0.28)*(Master!L116)/Valuation!I$19</f>
        <v>-46.987510873824469</v>
      </c>
      <c r="E54" s="846">
        <f>(1-0.28)*(Master!M116)/Valuation!J$19</f>
        <v>-87.665815176558851</v>
      </c>
      <c r="F54" s="846">
        <f>(1-0.28)*(Master!N116)/Valuation!K$19</f>
        <v>-116.45217391304348</v>
      </c>
      <c r="G54" s="846">
        <f>(1-0.28)*(Master!O116)/Valuation!L$19</f>
        <v>-164.42355437665785</v>
      </c>
      <c r="H54" s="846">
        <f>(1-0.28)*(Master!P116)/Valuation!M$19</f>
        <v>-159.50476190476192</v>
      </c>
      <c r="I54" s="846">
        <f>(1-0.28)*(Master!Q116)/Valuation!N$19</f>
        <v>-125.39220779220778</v>
      </c>
      <c r="J54" s="846">
        <f>(1-0.28)*(Master!R116)/Valuation!O$19</f>
        <v>-49.853922077922078</v>
      </c>
      <c r="K54" s="846">
        <f>(1-0.28)*(Master!S116)/Valuation!P$19</f>
        <v>-53.115083798882679</v>
      </c>
      <c r="L54" s="846">
        <f>(1-0.28)*(Master!T116)/Valuation!Q$19</f>
        <v>36.678771876214853</v>
      </c>
      <c r="M54" s="846">
        <f>(1-0.28)*(Master!U113+Master!U116)/Valuation!R$19</f>
        <v>-40.277394331178513</v>
      </c>
      <c r="N54" s="846">
        <f>(1-0.28)*(Master!V113+Master!V116)/Valuation!S$19</f>
        <v>-40.382644067796612</v>
      </c>
      <c r="O54" s="846">
        <f>(1-0.28)*(Master!W113+Master!W116)/Valuation!T$19</f>
        <v>-222.61180327868851</v>
      </c>
      <c r="P54" s="846">
        <f>(1-0.28)*(Master!X116)/Valuation!U$19</f>
        <v>-68.610109431995824</v>
      </c>
      <c r="Q54" s="846">
        <f>(1-0.28)*(Master!Y116)/Valuation!V$19</f>
        <v>-67.474594406049079</v>
      </c>
      <c r="R54" s="846">
        <f>(1-0.28)*(Master!Z116)/Valuation!W$19</f>
        <v>-63.928487634158387</v>
      </c>
      <c r="S54" s="846">
        <f>(1-0.28)*(Master!AA116)/Valuation!X$19</f>
        <v>-60.244224421898821</v>
      </c>
      <c r="T54" s="846">
        <f>(1-0.28)*(Master!AB116)/Valuation!Y$19</f>
        <v>-58.502492694702021</v>
      </c>
      <c r="U54" s="846">
        <f>(1-0.28)*(Master!AC116)/Valuation!Z$19</f>
        <v>-57.563464633764092</v>
      </c>
      <c r="V54" s="846">
        <f>(1-0.28)*(Master!AD116)/Valuation!AA$19</f>
        <v>-57.060536228476529</v>
      </c>
      <c r="W54" s="846">
        <f>(1-0.28)*(Master!AE116)/Valuation!AB$19</f>
        <v>-56.363932188502673</v>
      </c>
      <c r="X54" s="846">
        <f>(1-0.28)*(Master!AF116)/Valuation!AC$19</f>
        <v>-55.582661831398681</v>
      </c>
      <c r="Y54" s="846">
        <f>(1-0.28)*(Master!AG116)/Valuation!AD$19</f>
        <v>-53.935830872437407</v>
      </c>
      <c r="Z54" s="846">
        <f>(1-0.28)*(Master!AH116)/Valuation!AE$19</f>
        <v>-53.132423378198176</v>
      </c>
    </row>
    <row r="55" spans="2:26">
      <c r="C55" s="846"/>
      <c r="D55" s="846"/>
      <c r="E55" s="846"/>
      <c r="F55" s="846"/>
      <c r="G55" s="846"/>
      <c r="H55" s="846"/>
      <c r="I55" s="846"/>
      <c r="J55" s="846"/>
      <c r="K55" s="846"/>
      <c r="L55" s="846"/>
      <c r="M55" s="846"/>
      <c r="N55" s="846"/>
      <c r="O55" s="846"/>
      <c r="P55" s="846"/>
      <c r="Q55" s="846"/>
      <c r="R55" s="846"/>
      <c r="S55" s="846"/>
      <c r="T55" s="846"/>
      <c r="U55" s="846"/>
      <c r="V55" s="846"/>
      <c r="W55" s="846"/>
      <c r="X55" s="846"/>
      <c r="Y55" s="846"/>
      <c r="Z55" s="846"/>
    </row>
    <row r="56" spans="2:26">
      <c r="C56" s="846"/>
      <c r="D56" s="846"/>
      <c r="E56" s="846"/>
      <c r="F56" s="846"/>
      <c r="G56" s="846"/>
      <c r="H56" s="846"/>
      <c r="I56" s="846"/>
      <c r="J56" s="846"/>
      <c r="K56" s="846"/>
      <c r="L56" s="846"/>
      <c r="M56" s="846"/>
      <c r="N56" s="846"/>
      <c r="O56" s="846"/>
      <c r="P56" s="846"/>
      <c r="Q56" s="846"/>
      <c r="R56" s="846"/>
      <c r="S56" s="846"/>
      <c r="T56" s="846"/>
      <c r="U56" s="846"/>
      <c r="V56" s="846"/>
      <c r="W56" s="846"/>
      <c r="X56" s="846"/>
      <c r="Y56" s="846"/>
      <c r="Z56" s="846"/>
    </row>
    <row r="57" spans="2:26">
      <c r="B57" s="804" t="s">
        <v>108</v>
      </c>
      <c r="C57" s="845">
        <v>2012</v>
      </c>
      <c r="D57" s="845">
        <f t="shared" ref="D57:Z57" si="3">C57+1</f>
        <v>2013</v>
      </c>
      <c r="E57" s="845">
        <f t="shared" si="3"/>
        <v>2014</v>
      </c>
      <c r="F57" s="845">
        <f t="shared" si="3"/>
        <v>2015</v>
      </c>
      <c r="G57" s="845">
        <f t="shared" si="3"/>
        <v>2016</v>
      </c>
      <c r="H57" s="845">
        <f t="shared" si="3"/>
        <v>2017</v>
      </c>
      <c r="I57" s="845">
        <f t="shared" si="3"/>
        <v>2018</v>
      </c>
      <c r="J57" s="845">
        <f t="shared" si="3"/>
        <v>2019</v>
      </c>
      <c r="K57" s="845">
        <f t="shared" si="3"/>
        <v>2020</v>
      </c>
      <c r="L57" s="845">
        <f t="shared" si="3"/>
        <v>2021</v>
      </c>
      <c r="M57" s="845">
        <f t="shared" si="3"/>
        <v>2022</v>
      </c>
      <c r="N57" s="845">
        <f t="shared" si="3"/>
        <v>2023</v>
      </c>
      <c r="O57" s="845">
        <f t="shared" si="3"/>
        <v>2024</v>
      </c>
      <c r="P57" s="845">
        <f t="shared" si="3"/>
        <v>2025</v>
      </c>
      <c r="Q57" s="845">
        <f t="shared" si="3"/>
        <v>2026</v>
      </c>
      <c r="R57" s="845">
        <f t="shared" si="3"/>
        <v>2027</v>
      </c>
      <c r="S57" s="845">
        <f t="shared" si="3"/>
        <v>2028</v>
      </c>
      <c r="T57" s="845">
        <f t="shared" si="3"/>
        <v>2029</v>
      </c>
      <c r="U57" s="845">
        <f t="shared" si="3"/>
        <v>2030</v>
      </c>
      <c r="V57" s="845">
        <f t="shared" si="3"/>
        <v>2031</v>
      </c>
      <c r="W57" s="845">
        <f t="shared" si="3"/>
        <v>2032</v>
      </c>
      <c r="X57" s="845">
        <f t="shared" si="3"/>
        <v>2033</v>
      </c>
      <c r="Y57" s="845">
        <f t="shared" si="3"/>
        <v>2034</v>
      </c>
      <c r="Z57" s="845">
        <f t="shared" si="3"/>
        <v>2035</v>
      </c>
    </row>
    <row r="58" spans="2:26">
      <c r="B58" s="685" t="s">
        <v>52</v>
      </c>
      <c r="C58" s="846">
        <f>(1-0.28)*Master!K115</f>
        <v>-126.00000000000065</v>
      </c>
      <c r="D58" s="846">
        <f>(1-0.28)*Master!L115</f>
        <v>-1096.5052799999994</v>
      </c>
      <c r="E58" s="846">
        <f>(1-0.28)*Master!M115</f>
        <v>-1060.3432800000003</v>
      </c>
      <c r="F58" s="846">
        <f>(1-0.28)*Master!N115</f>
        <v>-4096.4860799999997</v>
      </c>
      <c r="G58" s="846">
        <f>(1-0.28)*Master!O115</f>
        <v>-3827.570400000001</v>
      </c>
      <c r="H58" s="846">
        <f>(1-0.28)*Master!P115</f>
        <v>2488.8024</v>
      </c>
      <c r="I58" s="846">
        <f>(1-0.28)*Master!Q115</f>
        <v>1801.26</v>
      </c>
      <c r="J58" s="846">
        <f>(1-0.28)*Master!R115</f>
        <v>3478.463999999999</v>
      </c>
      <c r="K58" s="846">
        <f>(1-0.28)*Master!S115</f>
        <v>3360.8159999999993</v>
      </c>
      <c r="L58" s="846">
        <f>(1-0.28)*Master!T115</f>
        <v>2124.7360121408642</v>
      </c>
      <c r="M58" s="846">
        <f>(1-0.28)*Master!U115</f>
        <v>4977.9007199999996</v>
      </c>
      <c r="N58" s="846">
        <f>(1-0.28)*Master!V115</f>
        <v>5416.848</v>
      </c>
      <c r="O58" s="846">
        <f>(1-0.28)*Master!W115</f>
        <v>8049.7727999999979</v>
      </c>
      <c r="P58" s="846">
        <f>(1-0.28)*Master!X115</f>
        <v>6397.0936552673284</v>
      </c>
      <c r="Q58" s="846">
        <f>(1-0.28)*Master!Y115</f>
        <v>5334.7820153259527</v>
      </c>
      <c r="R58" s="846">
        <f>(1-0.28)*Master!Z115</f>
        <v>7590.282955953192</v>
      </c>
      <c r="S58" s="846">
        <f>(1-0.28)*Master!AA115</f>
        <v>8222.7069859587173</v>
      </c>
      <c r="T58" s="846">
        <f>(1-0.28)*Master!AB115</f>
        <v>8625.8342341009393</v>
      </c>
      <c r="U58" s="846">
        <f>(1-0.28)*Master!AC115</f>
        <v>9082.6166787138591</v>
      </c>
      <c r="V58" s="846">
        <f>(1-0.28)*Master!AD115</f>
        <v>9562.1355187747213</v>
      </c>
      <c r="W58" s="846">
        <f>(1-0.28)*Master!AE115</f>
        <v>9930.2495843038196</v>
      </c>
      <c r="X58" s="846">
        <f>(1-0.28)*Master!AF115</f>
        <v>10296.454365897303</v>
      </c>
      <c r="Y58" s="846">
        <f>(1-0.28)*Master!AG115</f>
        <v>10436.95331677483</v>
      </c>
      <c r="Z58" s="846">
        <f>(1-0.28)*Master!AH115</f>
        <v>10589.475992867225</v>
      </c>
    </row>
    <row r="59" spans="2:26">
      <c r="B59" s="685" t="s">
        <v>109</v>
      </c>
      <c r="C59" s="846">
        <f>(1-Master!K$388)*'SKY Mex'!I195/Valuation!H$19</f>
        <v>0</v>
      </c>
      <c r="D59" s="846">
        <f>(1-Master!L$388)*'SKY Mex'!J195/Valuation!I$19</f>
        <v>0</v>
      </c>
      <c r="E59" s="846">
        <f>(1-Master!M$388)*'SKY Mex'!K195/Valuation!J$19</f>
        <v>0</v>
      </c>
      <c r="F59" s="846">
        <f>(1-Master!N$388)*'SKY Mex'!L195/Valuation!K$19</f>
        <v>0</v>
      </c>
      <c r="G59" s="846">
        <f>(1-Master!O$388)*'SKY Mex'!M195/Valuation!L$19</f>
        <v>0</v>
      </c>
      <c r="H59" s="846">
        <f>(1-Master!P$388)*'SKY Mex'!N195/Valuation!M$19</f>
        <v>0</v>
      </c>
      <c r="I59" s="846">
        <f>(1-Master!Q$388)*'SKY Mex'!O195/Valuation!N$19</f>
        <v>0</v>
      </c>
      <c r="J59" s="846">
        <f>(1-Master!R$388)*'SKY Mex'!P195/Valuation!O$19</f>
        <v>-27.030316558971414</v>
      </c>
      <c r="K59" s="846">
        <f>(1-Master!S$388)*'SKY Mex'!Q195/Valuation!P$19</f>
        <v>-2.5728258020636856</v>
      </c>
      <c r="L59" s="846">
        <f>(1-Master!T$388)*'SKY Mex'!R195/Valuation!Q$19</f>
        <v>5.0089811285861074</v>
      </c>
      <c r="M59" s="846">
        <f>(1-Master!U$388)*'SKY Mex'!S195/Valuation!R$19</f>
        <v>24.269935038125475</v>
      </c>
      <c r="N59" s="846">
        <f>(1-Master!V$388)*'SKY Mex'!T195/Valuation!S$19</f>
        <v>39.19401995805493</v>
      </c>
      <c r="O59" s="846">
        <f>(1-Master!W$388)*'SKY Mex'!U195/Valuation!T$19</f>
        <v>30.134931363366587</v>
      </c>
      <c r="P59" s="846">
        <f>(1-Master!X$388)*'SKY Mex'!V195/Valuation!U$19</f>
        <v>10.89958841296508</v>
      </c>
      <c r="Q59" s="846">
        <f>(1-Master!Y$388)*'SKY Mex'!W195/Valuation!V$19</f>
        <v>7.9222810064382374</v>
      </c>
      <c r="R59" s="846">
        <f>(1-Master!Z$388)*'SKY Mex'!X195/Valuation!W$19</f>
        <v>4.3936816788333539</v>
      </c>
      <c r="S59" s="846">
        <f>(1-Master!AA$388)*'SKY Mex'!Y195/Valuation!X$19</f>
        <v>2.0116349854587594</v>
      </c>
      <c r="T59" s="846">
        <f>(1-Master!AB$388)*'SKY Mex'!Z195/Valuation!Y$19</f>
        <v>1.1098732691123272</v>
      </c>
      <c r="U59" s="846">
        <f>(1-Master!AC$388)*'SKY Mex'!AA195/Valuation!Z$19</f>
        <v>0.7325903447526585</v>
      </c>
      <c r="V59" s="846">
        <f>(1-Master!AD$388)*'SKY Mex'!AB195/Valuation!AA$19</f>
        <v>0.66212908144347848</v>
      </c>
      <c r="W59" s="846">
        <f>(1-Master!AE$388)*'SKY Mex'!AC195/Valuation!AB$19</f>
        <v>0.59414934774321237</v>
      </c>
      <c r="X59" s="846">
        <f>(1-Master!AF$388)*'SKY Mex'!AD195/Valuation!AC$19</f>
        <v>0.52858091883186731</v>
      </c>
      <c r="Y59" s="846">
        <f>(1-Master!AG$388)*'SKY Mex'!AE195/Valuation!AD$19</f>
        <v>0.46535536973644431</v>
      </c>
      <c r="Z59" s="846">
        <f>(1-Master!AH$388)*'SKY Mex'!AF195/Valuation!AE$19</f>
        <v>0.4044060317478656</v>
      </c>
    </row>
    <row r="60" spans="2:26">
      <c r="B60" s="817" t="s">
        <v>7956</v>
      </c>
      <c r="C60" s="2086"/>
      <c r="D60" s="2086"/>
      <c r="E60" s="2086"/>
      <c r="F60" s="2086"/>
      <c r="G60" s="2086"/>
      <c r="H60" s="2086"/>
      <c r="I60" s="2086"/>
      <c r="J60" s="2086"/>
      <c r="K60" s="2086"/>
      <c r="L60" s="2086"/>
      <c r="M60" s="2086"/>
      <c r="N60" s="2086"/>
      <c r="O60" s="2086"/>
      <c r="P60" s="2086"/>
      <c r="Q60" s="2086"/>
      <c r="R60" s="2086">
        <f>(1-0.28)*Master!Z117</f>
        <v>7251.7819848306899</v>
      </c>
      <c r="S60" s="2086">
        <f>(1-0.28)*Master!AA117</f>
        <v>7507.1565856061598</v>
      </c>
      <c r="T60" s="2086">
        <f>(1-0.28)*Master!AB117</f>
        <v>7739.5972311397727</v>
      </c>
      <c r="U60" s="2086">
        <f>(1-0.28)*Master!AC117</f>
        <v>8107.7944318808868</v>
      </c>
      <c r="V60" s="2086">
        <f>(1-0.28)*Master!AD117</f>
        <v>8560.4317230289107</v>
      </c>
      <c r="W60" s="2086">
        <f>(1-0.28)*Master!AE117</f>
        <v>8907.8122763104438</v>
      </c>
      <c r="X60" s="2086">
        <f>(1-0.28)*Master!AF117</f>
        <v>9256.9733075219938</v>
      </c>
      <c r="Y60" s="2086">
        <f>(1-0.28)*Master!AG117</f>
        <v>9339.5821750314499</v>
      </c>
      <c r="Z60" s="2086">
        <f>(1-0.28)*Master!AH117</f>
        <v>9486.8303692389363</v>
      </c>
    </row>
    <row r="61" spans="2:26">
      <c r="C61" s="846"/>
      <c r="D61" s="847"/>
      <c r="E61" s="846"/>
      <c r="F61" s="846"/>
      <c r="G61" s="848"/>
      <c r="H61" s="847"/>
      <c r="I61" s="847"/>
      <c r="J61" s="848"/>
      <c r="K61" s="849"/>
    </row>
    <row r="62" spans="2:26">
      <c r="C62" s="846"/>
      <c r="D62" s="847"/>
      <c r="E62" s="846"/>
      <c r="F62" s="846"/>
      <c r="G62" s="848"/>
      <c r="H62" s="847"/>
      <c r="I62" s="847"/>
      <c r="J62" s="848"/>
      <c r="K62" s="849"/>
    </row>
    <row r="63" spans="2:26">
      <c r="C63" s="846"/>
      <c r="D63" s="847"/>
      <c r="E63" s="846"/>
      <c r="F63" s="846"/>
      <c r="G63" s="848"/>
      <c r="H63" s="847"/>
      <c r="I63" s="847"/>
      <c r="J63" s="848"/>
      <c r="K63" s="849"/>
    </row>
    <row r="64" spans="2:26">
      <c r="C64" s="846"/>
      <c r="D64" s="847"/>
      <c r="E64" s="846"/>
      <c r="F64" s="846"/>
      <c r="G64" s="848"/>
      <c r="H64" s="847"/>
      <c r="I64" s="847"/>
      <c r="J64" s="848"/>
      <c r="K64" s="849"/>
    </row>
    <row r="65" spans="2:12">
      <c r="C65" s="846"/>
      <c r="D65" s="847"/>
      <c r="E65" s="846"/>
      <c r="F65" s="846"/>
      <c r="G65" s="848"/>
      <c r="H65" s="847"/>
      <c r="I65" s="847"/>
      <c r="J65" s="848"/>
      <c r="K65" s="849"/>
    </row>
    <row r="66" spans="2:12">
      <c r="B66" s="844" t="s">
        <v>110</v>
      </c>
      <c r="C66" s="845" t="s">
        <v>111</v>
      </c>
      <c r="D66" s="845" t="s">
        <v>112</v>
      </c>
      <c r="E66" s="845" t="s">
        <v>113</v>
      </c>
      <c r="F66" s="845" t="s">
        <v>114</v>
      </c>
      <c r="G66" s="845" t="s">
        <v>115</v>
      </c>
      <c r="H66" s="845" t="s">
        <v>116</v>
      </c>
      <c r="I66" s="845" t="s">
        <v>117</v>
      </c>
      <c r="J66" s="845" t="s">
        <v>118</v>
      </c>
      <c r="K66" s="845" t="s">
        <v>119</v>
      </c>
      <c r="L66" s="845" t="s">
        <v>110</v>
      </c>
    </row>
    <row r="67" spans="2:12">
      <c r="B67" s="685" t="s">
        <v>94</v>
      </c>
      <c r="C67" s="850">
        <v>4.4999999999999998E-2</v>
      </c>
      <c r="D67" s="850">
        <v>0.02</v>
      </c>
      <c r="E67" s="851">
        <f t="shared" ref="E67:E72" si="4">C67+D67</f>
        <v>6.5000000000000002E-2</v>
      </c>
      <c r="F67" s="850">
        <v>0.28000000000000003</v>
      </c>
      <c r="G67" s="852">
        <f t="shared" ref="G67:G72" si="5">E67*(1-F67)</f>
        <v>4.6800000000000001E-2</v>
      </c>
      <c r="H67" s="881">
        <v>0.04</v>
      </c>
      <c r="I67" s="884">
        <v>1.2</v>
      </c>
      <c r="J67" s="851">
        <f t="shared" ref="J67:J72" si="6">C67+H67*I67</f>
        <v>9.2999999999999999E-2</v>
      </c>
      <c r="K67" s="881">
        <v>0.3</v>
      </c>
      <c r="L67" s="885">
        <f t="shared" ref="L67:L72" si="7">G67*K67+J67*(1-K67)</f>
        <v>7.9139999999999988E-2</v>
      </c>
    </row>
    <row r="68" spans="2:12">
      <c r="B68" s="685" t="str">
        <f>SOP!B6</f>
        <v>Satellite (Sky)</v>
      </c>
      <c r="C68" s="850">
        <v>4.4999999999999998E-2</v>
      </c>
      <c r="D68" s="850">
        <v>0.02</v>
      </c>
      <c r="E68" s="851">
        <f t="shared" si="4"/>
        <v>6.5000000000000002E-2</v>
      </c>
      <c r="F68" s="850">
        <v>0.28000000000000003</v>
      </c>
      <c r="G68" s="852">
        <f t="shared" si="5"/>
        <v>4.6800000000000001E-2</v>
      </c>
      <c r="H68" s="881">
        <v>0.04</v>
      </c>
      <c r="I68" s="884">
        <v>1.2</v>
      </c>
      <c r="J68" s="851">
        <f t="shared" si="6"/>
        <v>9.2999999999999999E-2</v>
      </c>
      <c r="K68" s="881">
        <v>0.3</v>
      </c>
      <c r="L68" s="885">
        <f t="shared" si="7"/>
        <v>7.9139999999999988E-2</v>
      </c>
    </row>
    <row r="69" spans="2:12">
      <c r="B69" s="685" t="s">
        <v>52</v>
      </c>
      <c r="C69" s="850">
        <v>0.05</v>
      </c>
      <c r="D69" s="850">
        <v>0.02</v>
      </c>
      <c r="E69" s="851">
        <f t="shared" si="4"/>
        <v>7.0000000000000007E-2</v>
      </c>
      <c r="F69" s="850">
        <v>0.28000000000000003</v>
      </c>
      <c r="G69" s="852">
        <f t="shared" si="5"/>
        <v>5.04E-2</v>
      </c>
      <c r="H69" s="881">
        <v>0.04</v>
      </c>
      <c r="I69" s="884">
        <v>1.2</v>
      </c>
      <c r="J69" s="851">
        <f t="shared" si="6"/>
        <v>9.8000000000000004E-2</v>
      </c>
      <c r="K69" s="881">
        <v>0.3</v>
      </c>
      <c r="L69" s="885">
        <f t="shared" si="7"/>
        <v>8.3719999999999989E-2</v>
      </c>
    </row>
    <row r="70" spans="2:12">
      <c r="B70" s="685" t="s">
        <v>106</v>
      </c>
      <c r="C70" s="850">
        <v>4.7500000000000001E-2</v>
      </c>
      <c r="D70" s="850">
        <v>0.02</v>
      </c>
      <c r="E70" s="851">
        <f t="shared" si="4"/>
        <v>6.7500000000000004E-2</v>
      </c>
      <c r="F70" s="850">
        <v>0.28000000000000003</v>
      </c>
      <c r="G70" s="852">
        <f t="shared" si="5"/>
        <v>4.8600000000000004E-2</v>
      </c>
      <c r="H70" s="881">
        <v>0.04</v>
      </c>
      <c r="I70" s="884">
        <v>1.2</v>
      </c>
      <c r="J70" s="851">
        <f t="shared" si="6"/>
        <v>9.5500000000000002E-2</v>
      </c>
      <c r="K70" s="881">
        <v>0.3</v>
      </c>
      <c r="L70" s="885">
        <f t="shared" si="7"/>
        <v>8.1429999999999989E-2</v>
      </c>
    </row>
    <row r="71" spans="2:12">
      <c r="B71" s="685" t="s">
        <v>107</v>
      </c>
      <c r="C71" s="850">
        <v>0.05</v>
      </c>
      <c r="D71" s="850">
        <v>0.02</v>
      </c>
      <c r="E71" s="851">
        <f t="shared" si="4"/>
        <v>7.0000000000000007E-2</v>
      </c>
      <c r="F71" s="850">
        <v>0.28000000000000003</v>
      </c>
      <c r="G71" s="852">
        <f t="shared" si="5"/>
        <v>5.04E-2</v>
      </c>
      <c r="H71" s="881">
        <v>0.04</v>
      </c>
      <c r="I71" s="884">
        <v>1.2</v>
      </c>
      <c r="J71" s="851">
        <f t="shared" si="6"/>
        <v>9.8000000000000004E-2</v>
      </c>
      <c r="K71" s="881">
        <v>0.3</v>
      </c>
      <c r="L71" s="885">
        <f t="shared" si="7"/>
        <v>8.3719999999999989E-2</v>
      </c>
    </row>
    <row r="72" spans="2:12">
      <c r="B72" s="685" t="s">
        <v>120</v>
      </c>
      <c r="C72" s="850">
        <v>0.04</v>
      </c>
      <c r="D72" s="850">
        <v>0.05</v>
      </c>
      <c r="E72" s="851">
        <f t="shared" si="4"/>
        <v>0.09</v>
      </c>
      <c r="F72" s="850">
        <v>0.28000000000000003</v>
      </c>
      <c r="G72" s="852">
        <f t="shared" si="5"/>
        <v>6.4799999999999996E-2</v>
      </c>
      <c r="H72" s="881">
        <v>0.04</v>
      </c>
      <c r="I72" s="884">
        <v>1.2</v>
      </c>
      <c r="J72" s="851">
        <f t="shared" si="6"/>
        <v>8.7999999999999995E-2</v>
      </c>
      <c r="K72" s="881">
        <v>0.3</v>
      </c>
      <c r="L72" s="885">
        <f t="shared" si="7"/>
        <v>8.1040000000000001E-2</v>
      </c>
    </row>
    <row r="73" spans="2:12">
      <c r="C73" s="851"/>
      <c r="D73" s="851"/>
      <c r="E73" s="851"/>
      <c r="F73" s="851"/>
      <c r="G73" s="853"/>
      <c r="H73" s="847"/>
      <c r="I73" s="849"/>
      <c r="J73" s="851"/>
      <c r="K73" s="847"/>
      <c r="L73" s="885"/>
    </row>
    <row r="74" spans="2:12">
      <c r="B74" s="817" t="s">
        <v>121</v>
      </c>
      <c r="C74" s="851"/>
      <c r="D74" s="851"/>
      <c r="E74" s="851"/>
      <c r="F74" s="853"/>
      <c r="G74" s="847"/>
      <c r="H74" s="849"/>
      <c r="I74" s="851"/>
      <c r="J74" s="847"/>
      <c r="K74" s="851"/>
    </row>
    <row r="75" spans="2:12">
      <c r="B75" s="685" t="s">
        <v>52</v>
      </c>
      <c r="C75" s="882">
        <v>9.5000000000000001E-2</v>
      </c>
      <c r="D75" s="882">
        <v>0.02</v>
      </c>
      <c r="E75" s="851">
        <f>C75+D75</f>
        <v>0.115</v>
      </c>
      <c r="F75" s="883">
        <v>0.28000000000000003</v>
      </c>
      <c r="G75" s="852">
        <f>E75*(1-F75)</f>
        <v>8.2799999999999999E-2</v>
      </c>
      <c r="H75" s="881">
        <v>0.04</v>
      </c>
      <c r="I75" s="884">
        <v>1.2</v>
      </c>
      <c r="J75" s="851">
        <f>C75+H75*I75</f>
        <v>0.14300000000000002</v>
      </c>
      <c r="K75" s="881">
        <v>0.3</v>
      </c>
      <c r="L75" s="885">
        <f>G75*K75+J75*(1-K75)</f>
        <v>0.12494000000000001</v>
      </c>
    </row>
    <row r="76" spans="2:12">
      <c r="C76" s="851"/>
      <c r="D76" s="851"/>
      <c r="E76" s="851"/>
      <c r="F76" s="853"/>
      <c r="G76" s="847"/>
      <c r="H76" s="849"/>
      <c r="I76" s="851"/>
      <c r="J76" s="847"/>
      <c r="K76" s="851"/>
    </row>
    <row r="77" spans="2:12">
      <c r="C77" s="851"/>
      <c r="D77" s="851"/>
      <c r="E77" s="851"/>
      <c r="F77" s="853"/>
      <c r="G77" s="847"/>
      <c r="H77" s="849"/>
      <c r="I77" s="851"/>
      <c r="J77" s="847"/>
      <c r="K77" s="851"/>
    </row>
    <row r="78" spans="2:12">
      <c r="B78" s="844" t="s">
        <v>77</v>
      </c>
      <c r="C78" s="845" t="s">
        <v>122</v>
      </c>
      <c r="D78" s="845" t="s">
        <v>123</v>
      </c>
      <c r="E78" s="845" t="s">
        <v>6</v>
      </c>
      <c r="F78" s="845" t="s">
        <v>124</v>
      </c>
      <c r="G78" s="845" t="s">
        <v>77</v>
      </c>
      <c r="H78" s="854"/>
      <c r="I78" s="854"/>
      <c r="J78" s="854"/>
      <c r="K78" s="849"/>
    </row>
    <row r="79" spans="2:12">
      <c r="B79" s="685" t="s">
        <v>94</v>
      </c>
      <c r="C79" s="846">
        <f>NPV($L67,Q50:Z50)</f>
        <v>0</v>
      </c>
      <c r="D79" s="850">
        <v>0</v>
      </c>
      <c r="E79" s="846">
        <f>Z50/(L67-D79)</f>
        <v>0</v>
      </c>
      <c r="F79" s="846">
        <f>E79/((1+L67)^10)</f>
        <v>0</v>
      </c>
      <c r="G79" s="886">
        <f>F79+C79</f>
        <v>0</v>
      </c>
      <c r="H79" s="847"/>
      <c r="I79" s="847"/>
      <c r="J79" s="848"/>
      <c r="K79" s="849"/>
    </row>
    <row r="80" spans="2:12">
      <c r="B80" s="685" t="str">
        <f>B68</f>
        <v>Satellite (Sky)</v>
      </c>
      <c r="C80" s="846">
        <f>NPV($L68,R51:Z51)</f>
        <v>79.649478842948312</v>
      </c>
      <c r="D80" s="850">
        <v>-0.05</v>
      </c>
      <c r="E80" s="846">
        <f>Z51/(L68-D80)</f>
        <v>0</v>
      </c>
      <c r="F80" s="846">
        <f>E80/((1+L68)^9)</f>
        <v>0</v>
      </c>
      <c r="G80" s="886">
        <f>F80+C80</f>
        <v>79.649478842948312</v>
      </c>
      <c r="H80" s="847"/>
      <c r="I80" s="847"/>
      <c r="J80" s="848"/>
      <c r="K80" s="849"/>
    </row>
    <row r="81" spans="2:11">
      <c r="B81" s="685" t="str">
        <f>B69</f>
        <v>Cable</v>
      </c>
      <c r="C81" s="846">
        <f>NPV($L69,R52:Z52)</f>
        <v>2959.2970882102295</v>
      </c>
      <c r="D81" s="850">
        <v>0</v>
      </c>
      <c r="E81" s="846">
        <f>Z52/(L69-D81)</f>
        <v>6094.9327340182717</v>
      </c>
      <c r="F81" s="846">
        <f>E81/((1+L69)^9)</f>
        <v>2956.0727773587464</v>
      </c>
      <c r="G81" s="886">
        <f>F81+C81</f>
        <v>5915.3698655689759</v>
      </c>
      <c r="H81" s="847"/>
      <c r="I81" s="847"/>
      <c r="J81" s="848"/>
      <c r="K81" s="849"/>
    </row>
    <row r="82" spans="2:11">
      <c r="B82" s="685" t="s">
        <v>107</v>
      </c>
      <c r="C82" s="846">
        <f>NPV($L70,R54:Z54)</f>
        <v>-360.01973934671435</v>
      </c>
      <c r="D82" s="850">
        <v>0.03</v>
      </c>
      <c r="E82" s="846">
        <f>Z54/(L70-D82)</f>
        <v>-1033.1017573050397</v>
      </c>
      <c r="F82" s="846">
        <f>E82/((1+L70)^9)</f>
        <v>-510.69003257540027</v>
      </c>
      <c r="G82" s="886">
        <f>F82+C82</f>
        <v>-870.70977192211467</v>
      </c>
      <c r="H82" s="847"/>
      <c r="I82" s="847"/>
      <c r="J82" s="848"/>
      <c r="K82" s="849"/>
    </row>
    <row r="83" spans="2:11">
      <c r="C83" s="846"/>
      <c r="D83" s="847"/>
      <c r="E83" s="846"/>
      <c r="F83" s="846"/>
      <c r="G83" s="848"/>
      <c r="H83" s="847"/>
      <c r="I83" s="847"/>
      <c r="J83" s="848"/>
      <c r="K83" s="849"/>
    </row>
    <row r="84" spans="2:11">
      <c r="B84" s="817" t="s">
        <v>125</v>
      </c>
      <c r="C84" s="846"/>
      <c r="D84" s="847"/>
      <c r="E84" s="846"/>
      <c r="F84" s="846"/>
      <c r="G84" s="848"/>
      <c r="H84" s="847"/>
      <c r="I84" s="847"/>
      <c r="J84" s="848"/>
      <c r="K84" s="849"/>
    </row>
    <row r="85" spans="2:11">
      <c r="B85" s="685" t="s">
        <v>52</v>
      </c>
      <c r="C85" s="846">
        <f>NPV($L75,R58:Z58)</f>
        <v>47439.267423767196</v>
      </c>
      <c r="D85" s="881">
        <v>0.01</v>
      </c>
      <c r="E85" s="846">
        <f>Z58/(L75-D85)</f>
        <v>92130.46800824102</v>
      </c>
      <c r="F85" s="846">
        <f>E85/((1+L75)^9)</f>
        <v>31932.950089657385</v>
      </c>
      <c r="G85" s="886">
        <f>F85+C85</f>
        <v>79372.217513424577</v>
      </c>
      <c r="H85" s="886">
        <f>G85/Master!Y7</f>
        <v>4570.8158660192676</v>
      </c>
      <c r="I85" s="887" t="s">
        <v>126</v>
      </c>
      <c r="J85" s="848"/>
      <c r="K85" s="849"/>
    </row>
    <row r="86" spans="2:11">
      <c r="C86" s="846"/>
      <c r="D86" s="847"/>
      <c r="E86" s="846"/>
      <c r="F86" s="846"/>
      <c r="G86" s="848"/>
      <c r="H86" s="847"/>
      <c r="I86" s="847"/>
      <c r="J86" s="848"/>
      <c r="K86" s="849"/>
    </row>
    <row r="87" spans="2:11">
      <c r="B87" s="685" t="s">
        <v>127</v>
      </c>
      <c r="C87" s="846">
        <f>NPV($L68,P59:U59)</f>
        <v>23.104929424552477</v>
      </c>
      <c r="D87" s="847">
        <f>D80</f>
        <v>-0.05</v>
      </c>
      <c r="E87" s="846">
        <f>P59/(L68-D87)</f>
        <v>84.401335085682845</v>
      </c>
      <c r="F87" s="846">
        <f>E87/((1+L68)^6)</f>
        <v>53.441983998643849</v>
      </c>
      <c r="G87" s="886">
        <f>F87+C87</f>
        <v>76.54691342319633</v>
      </c>
      <c r="H87" s="855">
        <f>G87/G33</f>
        <v>0.11589828360736018</v>
      </c>
      <c r="I87" s="847"/>
      <c r="J87" s="848"/>
      <c r="K87" s="849"/>
    </row>
    <row r="88" spans="2:11">
      <c r="C88" s="846"/>
      <c r="D88" s="847"/>
      <c r="E88" s="846"/>
      <c r="F88" s="846"/>
      <c r="G88" s="848"/>
      <c r="H88" s="847"/>
      <c r="I88" s="847"/>
      <c r="J88" s="848"/>
      <c r="K88" s="849"/>
    </row>
    <row r="89" spans="2:11">
      <c r="B89" s="817" t="s">
        <v>7956</v>
      </c>
      <c r="C89" s="2086">
        <f>NPV($L75,R60:Z60)</f>
        <v>43015.163876533828</v>
      </c>
      <c r="D89" s="2087">
        <v>0</v>
      </c>
      <c r="E89" s="2086">
        <f>Z60/(L75-D89)</f>
        <v>75931.089877052465</v>
      </c>
      <c r="F89" s="2086">
        <f>E89/((1+L75)^9)</f>
        <v>26318.152460490237</v>
      </c>
      <c r="G89" s="886">
        <f>F89+C89</f>
        <v>69333.316337024065</v>
      </c>
      <c r="H89" s="886">
        <f>G89/Master!Y7</f>
        <v>3992.7046551698286</v>
      </c>
      <c r="I89" s="887" t="s">
        <v>126</v>
      </c>
      <c r="J89" s="848"/>
      <c r="K89" s="849"/>
    </row>
    <row r="90" spans="2:11">
      <c r="C90" s="846"/>
      <c r="D90" s="847"/>
      <c r="E90" s="846"/>
      <c r="F90" s="846"/>
      <c r="G90" s="848"/>
      <c r="H90" s="847"/>
      <c r="I90" s="847"/>
      <c r="J90" s="848"/>
      <c r="K90" s="849"/>
    </row>
    <row r="91" spans="2:11">
      <c r="C91" s="846"/>
      <c r="D91" s="847"/>
      <c r="E91" s="846"/>
      <c r="F91" s="846"/>
      <c r="G91" s="848"/>
      <c r="H91" s="847"/>
      <c r="I91" s="847"/>
      <c r="J91" s="848"/>
      <c r="K91" s="849"/>
    </row>
    <row r="92" spans="2:11" hidden="1" outlineLevel="1">
      <c r="B92" s="743" t="s">
        <v>128</v>
      </c>
      <c r="C92" s="842" t="str">
        <f>C3</f>
        <v>Ownership %</v>
      </c>
      <c r="D92" s="856" t="str">
        <f>D3</f>
        <v>x 26 EBITDA</v>
      </c>
      <c r="E92" s="841" t="str">
        <f>E3</f>
        <v>100% equity</v>
      </c>
      <c r="F92" s="841" t="str">
        <f>F3</f>
        <v>2026 debt</v>
      </c>
      <c r="G92" s="841" t="s">
        <v>129</v>
      </c>
      <c r="H92" s="842" t="s">
        <v>130</v>
      </c>
      <c r="I92" s="743" t="str">
        <f>I3</f>
        <v>Methodology</v>
      </c>
      <c r="J92" s="848"/>
      <c r="K92" s="849"/>
    </row>
    <row r="93" spans="2:11" hidden="1" outlineLevel="1">
      <c r="B93" s="685" t="str">
        <f t="shared" ref="B93:G94" si="8">B15</f>
        <v>Univision (equity)</v>
      </c>
      <c r="C93" s="789">
        <f t="shared" si="8"/>
        <v>0.1</v>
      </c>
      <c r="D93" s="838">
        <f t="shared" si="8"/>
        <v>9.7893309334999614</v>
      </c>
      <c r="E93" s="837">
        <f t="shared" si="8"/>
        <v>10012.527678783759</v>
      </c>
      <c r="F93" s="837">
        <f t="shared" si="8"/>
        <v>6705.5679315555062</v>
      </c>
      <c r="G93" s="837">
        <f t="shared" si="8"/>
        <v>330.69597472282533</v>
      </c>
      <c r="H93" s="789">
        <f>AJ15</f>
        <v>0</v>
      </c>
      <c r="I93" s="685" t="str">
        <f>I15</f>
        <v>DCF</v>
      </c>
      <c r="J93" s="848"/>
      <c r="K93" s="849"/>
    </row>
    <row r="94" spans="2:11" hidden="1" outlineLevel="1">
      <c r="B94" s="685" t="str">
        <f t="shared" si="8"/>
        <v>Univision  (warrants)</v>
      </c>
      <c r="C94" s="789">
        <f t="shared" si="8"/>
        <v>0.26</v>
      </c>
      <c r="D94" s="838">
        <f t="shared" si="8"/>
        <v>9.7893309334999614</v>
      </c>
      <c r="E94" s="837">
        <f t="shared" si="8"/>
        <v>10012.527678783759</v>
      </c>
      <c r="F94" s="837">
        <f t="shared" si="8"/>
        <v>6705.5679315555062</v>
      </c>
      <c r="G94" s="837">
        <f t="shared" si="8"/>
        <v>859.80953427934583</v>
      </c>
      <c r="H94" s="789">
        <f>J16</f>
        <v>0</v>
      </c>
      <c r="I94" s="685" t="str">
        <f>I16</f>
        <v>DCF</v>
      </c>
      <c r="J94" s="848"/>
      <c r="K94" s="849"/>
    </row>
    <row r="95" spans="2:11" hidden="1" outlineLevel="1">
      <c r="B95" s="743" t="e">
        <f>#REF!</f>
        <v>#REF!</v>
      </c>
      <c r="C95" s="842" t="e">
        <f>#REF!</f>
        <v>#REF!</v>
      </c>
      <c r="D95" s="856" t="e">
        <f>#REF!</f>
        <v>#REF!</v>
      </c>
      <c r="E95" s="841" t="e">
        <f>#REF!</f>
        <v>#REF!</v>
      </c>
      <c r="F95" s="841" t="e">
        <f>#REF!</f>
        <v>#REF!</v>
      </c>
      <c r="G95" s="841" t="e">
        <f>#REF!</f>
        <v>#REF!</v>
      </c>
      <c r="H95" s="842" t="e">
        <f>#REF!</f>
        <v>#REF!</v>
      </c>
      <c r="I95" s="743" t="e">
        <f>#REF!</f>
        <v>#REF!</v>
      </c>
      <c r="J95" s="848"/>
      <c r="K95" s="849"/>
    </row>
    <row r="96" spans="2:11" hidden="1" outlineLevel="1">
      <c r="B96" s="685" t="s">
        <v>131</v>
      </c>
      <c r="C96" s="789"/>
      <c r="D96" s="838"/>
      <c r="E96" s="837"/>
      <c r="F96" s="837"/>
      <c r="G96" s="837" t="e">
        <f>G93+G94+G95</f>
        <v>#REF!</v>
      </c>
      <c r="H96" s="789" t="e">
        <f>H93+H94+H95</f>
        <v>#REF!</v>
      </c>
      <c r="J96" s="848"/>
      <c r="K96" s="849"/>
    </row>
    <row r="97" spans="2:11" hidden="1" outlineLevel="1">
      <c r="C97" s="789"/>
      <c r="D97" s="838"/>
      <c r="E97" s="837"/>
      <c r="F97" s="837"/>
      <c r="G97" s="837"/>
      <c r="H97" s="789"/>
      <c r="J97" s="848"/>
      <c r="K97" s="849"/>
    </row>
    <row r="98" spans="2:11" hidden="1" outlineLevel="1">
      <c r="B98" s="685" t="s">
        <v>132</v>
      </c>
      <c r="C98" s="789" t="e">
        <f>#REF!</f>
        <v>#REF!</v>
      </c>
      <c r="D98" s="838" t="e">
        <f>#REF!</f>
        <v>#REF!</v>
      </c>
      <c r="E98" s="837" t="e">
        <f>#REF!</f>
        <v>#REF!</v>
      </c>
      <c r="F98" s="837" t="e">
        <f>#REF!</f>
        <v>#REF!</v>
      </c>
      <c r="G98" s="837" t="e">
        <f>#REF!</f>
        <v>#REF!</v>
      </c>
      <c r="H98" s="789" t="e">
        <f>#REF!</f>
        <v>#REF!</v>
      </c>
      <c r="I98" s="685" t="e">
        <f>#REF!</f>
        <v>#REF!</v>
      </c>
      <c r="J98" s="848"/>
      <c r="K98" s="849"/>
    </row>
    <row r="99" spans="2:11" hidden="1" outlineLevel="1">
      <c r="B99" s="849"/>
      <c r="C99" s="846"/>
      <c r="D99" s="847"/>
      <c r="E99" s="846"/>
      <c r="F99" s="846"/>
      <c r="G99" s="848"/>
      <c r="H99" s="847"/>
      <c r="I99" s="847"/>
      <c r="J99" s="848"/>
      <c r="K99" s="849"/>
    </row>
    <row r="100" spans="2:11" hidden="1" outlineLevel="1">
      <c r="B100" s="817" t="s">
        <v>133</v>
      </c>
    </row>
    <row r="101" spans="2:11" hidden="1" outlineLevel="1">
      <c r="B101" s="743"/>
      <c r="C101" s="857" t="s">
        <v>134</v>
      </c>
      <c r="D101" s="857" t="s">
        <v>135</v>
      </c>
      <c r="E101" s="857" t="s">
        <v>66</v>
      </c>
      <c r="F101" s="857" t="s">
        <v>136</v>
      </c>
      <c r="G101" s="857" t="s">
        <v>137</v>
      </c>
      <c r="H101" s="857" t="s">
        <v>138</v>
      </c>
      <c r="I101" s="857" t="s">
        <v>139</v>
      </c>
      <c r="J101" s="857" t="s">
        <v>140</v>
      </c>
    </row>
    <row r="102" spans="2:11" hidden="1" outlineLevel="1">
      <c r="B102" s="685" t="str">
        <f>Cable!B262</f>
        <v>Cablevision</v>
      </c>
      <c r="C102" s="795">
        <f>Cable!J262</f>
        <v>3016.7745299999997</v>
      </c>
      <c r="D102" s="790">
        <v>3</v>
      </c>
      <c r="E102" s="795">
        <f t="shared" ref="E102:E107" si="9">C102*D102</f>
        <v>9050.32359</v>
      </c>
      <c r="F102" s="795">
        <f>E102/Master!$O$7</f>
        <v>480.12326737400525</v>
      </c>
      <c r="G102" s="795">
        <f t="shared" ref="G102:G107" si="10">C102/C$108*G$108</f>
        <v>1172.8597476526284</v>
      </c>
      <c r="H102" s="795">
        <f t="shared" ref="H102:H108" si="11">G102-F102</f>
        <v>692.73648027862305</v>
      </c>
      <c r="I102" s="789">
        <v>0.51</v>
      </c>
      <c r="J102" s="795">
        <f t="shared" ref="J102:J107" si="12">H102*(1-I102)</f>
        <v>339.44087533652527</v>
      </c>
    </row>
    <row r="103" spans="2:11" hidden="1" outlineLevel="1">
      <c r="B103" s="685" t="str">
        <f>Cable!B263</f>
        <v>Cablemas</v>
      </c>
      <c r="C103" s="795">
        <f>Cable!J263</f>
        <v>3080.3099400000001</v>
      </c>
      <c r="D103" s="790">
        <v>3</v>
      </c>
      <c r="E103" s="795">
        <f t="shared" si="9"/>
        <v>9240.9298200000012</v>
      </c>
      <c r="F103" s="795">
        <f>E103/Master!$O$7</f>
        <v>490.23500371352787</v>
      </c>
      <c r="G103" s="795">
        <f t="shared" si="10"/>
        <v>1197.5610053033308</v>
      </c>
      <c r="H103" s="795">
        <f t="shared" si="11"/>
        <v>707.3260015898029</v>
      </c>
      <c r="I103" s="789">
        <v>1</v>
      </c>
      <c r="J103" s="795">
        <f t="shared" si="12"/>
        <v>0</v>
      </c>
    </row>
    <row r="104" spans="2:11" hidden="1" outlineLevel="1">
      <c r="B104" s="685" t="str">
        <f>Cable!B264</f>
        <v>TVI</v>
      </c>
      <c r="C104" s="795">
        <f>Cable!J264</f>
        <v>1586.7010655999995</v>
      </c>
      <c r="D104" s="790">
        <v>3</v>
      </c>
      <c r="E104" s="795">
        <f t="shared" si="9"/>
        <v>4760.1031967999988</v>
      </c>
      <c r="F104" s="795">
        <f>E104/Master!$O$7</f>
        <v>252.5253685305039</v>
      </c>
      <c r="G104" s="795">
        <f t="shared" si="10"/>
        <v>616.8766650916308</v>
      </c>
      <c r="H104" s="795">
        <f t="shared" si="11"/>
        <v>364.3512965611269</v>
      </c>
      <c r="I104" s="789">
        <v>1</v>
      </c>
      <c r="J104" s="795">
        <f t="shared" si="12"/>
        <v>0</v>
      </c>
    </row>
    <row r="105" spans="2:11" hidden="1" outlineLevel="1">
      <c r="B105" s="685" t="str">
        <f>Cable!B265</f>
        <v>Bestel</v>
      </c>
      <c r="C105" s="795">
        <f>Cable!J265</f>
        <v>1211.8914719999996</v>
      </c>
      <c r="D105" s="790">
        <v>3</v>
      </c>
      <c r="E105" s="795">
        <f t="shared" si="9"/>
        <v>3635.6744159999989</v>
      </c>
      <c r="F105" s="795">
        <f>E105/Master!$O$7</f>
        <v>192.87397432360734</v>
      </c>
      <c r="G105" s="795">
        <f t="shared" si="10"/>
        <v>471.1584216511838</v>
      </c>
      <c r="H105" s="795">
        <f t="shared" si="11"/>
        <v>278.28444732757646</v>
      </c>
      <c r="I105" s="789">
        <f>69.2%*0.5+30.8%</f>
        <v>0.65400000000000003</v>
      </c>
      <c r="J105" s="795">
        <f t="shared" si="12"/>
        <v>96.286418775341446</v>
      </c>
    </row>
    <row r="106" spans="2:11" hidden="1" outlineLevel="1">
      <c r="B106" s="685" t="str">
        <f>Cable!B266</f>
        <v>Cablecom</v>
      </c>
      <c r="C106" s="795">
        <f>Cable!J266</f>
        <v>1811.16</v>
      </c>
      <c r="D106" s="790">
        <v>3</v>
      </c>
      <c r="E106" s="795">
        <f t="shared" si="9"/>
        <v>5433.4800000000005</v>
      </c>
      <c r="F106" s="795">
        <f>E106/Master!$O$7</f>
        <v>288.24827586206897</v>
      </c>
      <c r="G106" s="795">
        <f t="shared" si="10"/>
        <v>704.14167165437266</v>
      </c>
      <c r="H106" s="795">
        <f t="shared" si="11"/>
        <v>415.89339579230369</v>
      </c>
      <c r="I106" s="789">
        <v>1</v>
      </c>
      <c r="J106" s="795">
        <f t="shared" si="12"/>
        <v>0</v>
      </c>
    </row>
    <row r="107" spans="2:11" hidden="1" outlineLevel="1">
      <c r="B107" s="743" t="str">
        <f>Cable!B267</f>
        <v>Cablevision Red</v>
      </c>
      <c r="C107" s="833">
        <f>Cable!J267</f>
        <v>1050</v>
      </c>
      <c r="D107" s="858">
        <v>3</v>
      </c>
      <c r="E107" s="833">
        <f t="shared" si="9"/>
        <v>3150</v>
      </c>
      <c r="F107" s="833">
        <f>E107/Master!$O$7</f>
        <v>167.10875331564986</v>
      </c>
      <c r="G107" s="833">
        <f t="shared" si="10"/>
        <v>408.21835466612083</v>
      </c>
      <c r="H107" s="833">
        <f t="shared" si="11"/>
        <v>241.10960135047097</v>
      </c>
      <c r="I107" s="842">
        <v>1</v>
      </c>
      <c r="J107" s="833">
        <f t="shared" si="12"/>
        <v>0</v>
      </c>
    </row>
    <row r="108" spans="2:11" hidden="1" outlineLevel="1">
      <c r="C108" s="795">
        <f>SUM(C102:C107)</f>
        <v>11756.837007599999</v>
      </c>
      <c r="D108" s="790">
        <v>3</v>
      </c>
      <c r="E108" s="795">
        <f>C108*D108</f>
        <v>35270.511022799998</v>
      </c>
      <c r="F108" s="795">
        <f>E108/Master!$O$7</f>
        <v>1871.1146431193631</v>
      </c>
      <c r="G108" s="795">
        <f>SOP!G7</f>
        <v>4570.8158660192676</v>
      </c>
      <c r="H108" s="795">
        <f t="shared" si="11"/>
        <v>2699.7012228999047</v>
      </c>
      <c r="J108" s="795">
        <f>SUM(J102:J107)</f>
        <v>435.72729411186674</v>
      </c>
    </row>
    <row r="109" spans="2:11" hidden="1" outlineLevel="1"/>
    <row r="110" spans="2:11" collapsed="1">
      <c r="J110" s="837"/>
    </row>
  </sheetData>
  <pageMargins left="0.70866141732283472" right="0.70866141732283472" top="0.74803149606299213" bottom="0.74803149606299213" header="0.31496062992125984" footer="0.31496062992125984"/>
  <pageSetup paperSize="9" scale="21"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N176"/>
  <sheetViews>
    <sheetView zoomScale="72" zoomScaleNormal="72" workbookViewId="0">
      <pane xSplit="1" topLeftCell="B1" activePane="topRight" state="frozen"/>
      <selection pane="topRight" activeCell="B2" sqref="B2"/>
    </sheetView>
  </sheetViews>
  <sheetFormatPr defaultRowHeight="12.75" outlineLevelCol="1"/>
  <cols>
    <col min="1" max="1" width="38" style="13" bestFit="1" customWidth="1"/>
    <col min="2" max="2" width="9.5703125" style="13" customWidth="1"/>
    <col min="3" max="3" width="9.140625" style="13"/>
    <col min="4" max="7" width="9.42578125" style="13" customWidth="1" outlineLevel="1"/>
    <col min="8" max="8" width="9.5703125" style="13" customWidth="1" outlineLevel="1"/>
    <col min="9" max="13" width="9.42578125" style="13" customWidth="1" outlineLevel="1"/>
    <col min="14" max="14" width="9.5703125" style="13" customWidth="1" outlineLevel="1"/>
    <col min="15" max="18" width="9.42578125" style="13" customWidth="1" outlineLevel="1"/>
    <col min="19" max="31" width="10.85546875" style="13" bestFit="1" customWidth="1"/>
    <col min="32" max="36" width="10.85546875" style="13" customWidth="1"/>
    <col min="37" max="39" width="9.140625" style="13"/>
    <col min="40" max="40" width="9.85546875" style="13" customWidth="1"/>
    <col min="41" max="41" width="9.5703125" style="13" customWidth="1"/>
    <col min="42" max="271" width="9.140625" style="13"/>
    <col min="272" max="272" width="29" style="13" customWidth="1"/>
    <col min="273" max="273" width="9.5703125" style="13" customWidth="1"/>
    <col min="274" max="278" width="9.140625" style="13"/>
    <col min="279" max="279" width="9" style="13" customWidth="1"/>
    <col min="280" max="527" width="9.140625" style="13"/>
    <col min="528" max="528" width="29" style="13" customWidth="1"/>
    <col min="529" max="529" width="9.5703125" style="13" customWidth="1"/>
    <col min="530" max="534" width="9.140625" style="13"/>
    <col min="535" max="535" width="9" style="13" customWidth="1"/>
    <col min="536" max="783" width="9.140625" style="13"/>
    <col min="784" max="784" width="29" style="13" customWidth="1"/>
    <col min="785" max="785" width="9.5703125" style="13" customWidth="1"/>
    <col min="786" max="790" width="9.140625" style="13"/>
    <col min="791" max="791" width="9" style="13" customWidth="1"/>
    <col min="792" max="1039" width="9.140625" style="13"/>
    <col min="1040" max="1040" width="29" style="13" customWidth="1"/>
    <col min="1041" max="1041" width="9.5703125" style="13" customWidth="1"/>
    <col min="1042" max="1046" width="9.140625" style="13"/>
    <col min="1047" max="1047" width="9" style="13" customWidth="1"/>
    <col min="1048" max="1295" width="9.140625" style="13"/>
    <col min="1296" max="1296" width="29" style="13" customWidth="1"/>
    <col min="1297" max="1297" width="9.5703125" style="13" customWidth="1"/>
    <col min="1298" max="1302" width="9.140625" style="13"/>
    <col min="1303" max="1303" width="9" style="13" customWidth="1"/>
    <col min="1304" max="1551" width="9.140625" style="13"/>
    <col min="1552" max="1552" width="29" style="13" customWidth="1"/>
    <col min="1553" max="1553" width="9.5703125" style="13" customWidth="1"/>
    <col min="1554" max="1558" width="9.140625" style="13"/>
    <col min="1559" max="1559" width="9" style="13" customWidth="1"/>
    <col min="1560" max="1807" width="9.140625" style="13"/>
    <col min="1808" max="1808" width="29" style="13" customWidth="1"/>
    <col min="1809" max="1809" width="9.5703125" style="13" customWidth="1"/>
    <col min="1810" max="1814" width="9.140625" style="13"/>
    <col min="1815" max="1815" width="9" style="13" customWidth="1"/>
    <col min="1816" max="2063" width="9.140625" style="13"/>
    <col min="2064" max="2064" width="29" style="13" customWidth="1"/>
    <col min="2065" max="2065" width="9.5703125" style="13" customWidth="1"/>
    <col min="2066" max="2070" width="9.140625" style="13"/>
    <col min="2071" max="2071" width="9" style="13" customWidth="1"/>
    <col min="2072" max="2319" width="9.140625" style="13"/>
    <col min="2320" max="2320" width="29" style="13" customWidth="1"/>
    <col min="2321" max="2321" width="9.5703125" style="13" customWidth="1"/>
    <col min="2322" max="2326" width="9.140625" style="13"/>
    <col min="2327" max="2327" width="9" style="13" customWidth="1"/>
    <col min="2328" max="2575" width="9.140625" style="13"/>
    <col min="2576" max="2576" width="29" style="13" customWidth="1"/>
    <col min="2577" max="2577" width="9.5703125" style="13" customWidth="1"/>
    <col min="2578" max="2582" width="9.140625" style="13"/>
    <col min="2583" max="2583" width="9" style="13" customWidth="1"/>
    <col min="2584" max="2831" width="9.140625" style="13"/>
    <col min="2832" max="2832" width="29" style="13" customWidth="1"/>
    <col min="2833" max="2833" width="9.5703125" style="13" customWidth="1"/>
    <col min="2834" max="2838" width="9.140625" style="13"/>
    <col min="2839" max="2839" width="9" style="13" customWidth="1"/>
    <col min="2840" max="3087" width="9.140625" style="13"/>
    <col min="3088" max="3088" width="29" style="13" customWidth="1"/>
    <col min="3089" max="3089" width="9.5703125" style="13" customWidth="1"/>
    <col min="3090" max="3094" width="9.140625" style="13"/>
    <col min="3095" max="3095" width="9" style="13" customWidth="1"/>
    <col min="3096" max="3343" width="9.140625" style="13"/>
    <col min="3344" max="3344" width="29" style="13" customWidth="1"/>
    <col min="3345" max="3345" width="9.5703125" style="13" customWidth="1"/>
    <col min="3346" max="3350" width="9.140625" style="13"/>
    <col min="3351" max="3351" width="9" style="13" customWidth="1"/>
    <col min="3352" max="3599" width="9.140625" style="13"/>
    <col min="3600" max="3600" width="29" style="13" customWidth="1"/>
    <col min="3601" max="3601" width="9.5703125" style="13" customWidth="1"/>
    <col min="3602" max="3606" width="9.140625" style="13"/>
    <col min="3607" max="3607" width="9" style="13" customWidth="1"/>
    <col min="3608" max="3855" width="9.140625" style="13"/>
    <col min="3856" max="3856" width="29" style="13" customWidth="1"/>
    <col min="3857" max="3857" width="9.5703125" style="13" customWidth="1"/>
    <col min="3858" max="3862" width="9.140625" style="13"/>
    <col min="3863" max="3863" width="9" style="13" customWidth="1"/>
    <col min="3864" max="4111" width="9.140625" style="13"/>
    <col min="4112" max="4112" width="29" style="13" customWidth="1"/>
    <col min="4113" max="4113" width="9.5703125" style="13" customWidth="1"/>
    <col min="4114" max="4118" width="9.140625" style="13"/>
    <col min="4119" max="4119" width="9" style="13" customWidth="1"/>
    <col min="4120" max="4367" width="9.140625" style="13"/>
    <col min="4368" max="4368" width="29" style="13" customWidth="1"/>
    <col min="4369" max="4369" width="9.5703125" style="13" customWidth="1"/>
    <col min="4370" max="4374" width="9.140625" style="13"/>
    <col min="4375" max="4375" width="9" style="13" customWidth="1"/>
    <col min="4376" max="4623" width="9.140625" style="13"/>
    <col min="4624" max="4624" width="29" style="13" customWidth="1"/>
    <col min="4625" max="4625" width="9.5703125" style="13" customWidth="1"/>
    <col min="4626" max="4630" width="9.140625" style="13"/>
    <col min="4631" max="4631" width="9" style="13" customWidth="1"/>
    <col min="4632" max="4879" width="9.140625" style="13"/>
    <col min="4880" max="4880" width="29" style="13" customWidth="1"/>
    <col min="4881" max="4881" width="9.5703125" style="13" customWidth="1"/>
    <col min="4882" max="4886" width="9.140625" style="13"/>
    <col min="4887" max="4887" width="9" style="13" customWidth="1"/>
    <col min="4888" max="5135" width="9.140625" style="13"/>
    <col min="5136" max="5136" width="29" style="13" customWidth="1"/>
    <col min="5137" max="5137" width="9.5703125" style="13" customWidth="1"/>
    <col min="5138" max="5142" width="9.140625" style="13"/>
    <col min="5143" max="5143" width="9" style="13" customWidth="1"/>
    <col min="5144" max="5391" width="9.140625" style="13"/>
    <col min="5392" max="5392" width="29" style="13" customWidth="1"/>
    <col min="5393" max="5393" width="9.5703125" style="13" customWidth="1"/>
    <col min="5394" max="5398" width="9.140625" style="13"/>
    <col min="5399" max="5399" width="9" style="13" customWidth="1"/>
    <col min="5400" max="5647" width="9.140625" style="13"/>
    <col min="5648" max="5648" width="29" style="13" customWidth="1"/>
    <col min="5649" max="5649" width="9.5703125" style="13" customWidth="1"/>
    <col min="5650" max="5654" width="9.140625" style="13"/>
    <col min="5655" max="5655" width="9" style="13" customWidth="1"/>
    <col min="5656" max="5903" width="9.140625" style="13"/>
    <col min="5904" max="5904" width="29" style="13" customWidth="1"/>
    <col min="5905" max="5905" width="9.5703125" style="13" customWidth="1"/>
    <col min="5906" max="5910" width="9.140625" style="13"/>
    <col min="5911" max="5911" width="9" style="13" customWidth="1"/>
    <col min="5912" max="6159" width="9.140625" style="13"/>
    <col min="6160" max="6160" width="29" style="13" customWidth="1"/>
    <col min="6161" max="6161" width="9.5703125" style="13" customWidth="1"/>
    <col min="6162" max="6166" width="9.140625" style="13"/>
    <col min="6167" max="6167" width="9" style="13" customWidth="1"/>
    <col min="6168" max="6415" width="9.140625" style="13"/>
    <col min="6416" max="6416" width="29" style="13" customWidth="1"/>
    <col min="6417" max="6417" width="9.5703125" style="13" customWidth="1"/>
    <col min="6418" max="6422" width="9.140625" style="13"/>
    <col min="6423" max="6423" width="9" style="13" customWidth="1"/>
    <col min="6424" max="6671" width="9.140625" style="13"/>
    <col min="6672" max="6672" width="29" style="13" customWidth="1"/>
    <col min="6673" max="6673" width="9.5703125" style="13" customWidth="1"/>
    <col min="6674" max="6678" width="9.140625" style="13"/>
    <col min="6679" max="6679" width="9" style="13" customWidth="1"/>
    <col min="6680" max="6927" width="9.140625" style="13"/>
    <col min="6928" max="6928" width="29" style="13" customWidth="1"/>
    <col min="6929" max="6929" width="9.5703125" style="13" customWidth="1"/>
    <col min="6930" max="6934" width="9.140625" style="13"/>
    <col min="6935" max="6935" width="9" style="13" customWidth="1"/>
    <col min="6936" max="7183" width="9.140625" style="13"/>
    <col min="7184" max="7184" width="29" style="13" customWidth="1"/>
    <col min="7185" max="7185" width="9.5703125" style="13" customWidth="1"/>
    <col min="7186" max="7190" width="9.140625" style="13"/>
    <col min="7191" max="7191" width="9" style="13" customWidth="1"/>
    <col min="7192" max="7439" width="9.140625" style="13"/>
    <col min="7440" max="7440" width="29" style="13" customWidth="1"/>
    <col min="7441" max="7441" width="9.5703125" style="13" customWidth="1"/>
    <col min="7442" max="7446" width="9.140625" style="13"/>
    <col min="7447" max="7447" width="9" style="13" customWidth="1"/>
    <col min="7448" max="7695" width="9.140625" style="13"/>
    <col min="7696" max="7696" width="29" style="13" customWidth="1"/>
    <col min="7697" max="7697" width="9.5703125" style="13" customWidth="1"/>
    <col min="7698" max="7702" width="9.140625" style="13"/>
    <col min="7703" max="7703" width="9" style="13" customWidth="1"/>
    <col min="7704" max="7951" width="9.140625" style="13"/>
    <col min="7952" max="7952" width="29" style="13" customWidth="1"/>
    <col min="7953" max="7953" width="9.5703125" style="13" customWidth="1"/>
    <col min="7954" max="7958" width="9.140625" style="13"/>
    <col min="7959" max="7959" width="9" style="13" customWidth="1"/>
    <col min="7960" max="8207" width="9.140625" style="13"/>
    <col min="8208" max="8208" width="29" style="13" customWidth="1"/>
    <col min="8209" max="8209" width="9.5703125" style="13" customWidth="1"/>
    <col min="8210" max="8214" width="9.140625" style="13"/>
    <col min="8215" max="8215" width="9" style="13" customWidth="1"/>
    <col min="8216" max="8463" width="9.140625" style="13"/>
    <col min="8464" max="8464" width="29" style="13" customWidth="1"/>
    <col min="8465" max="8465" width="9.5703125" style="13" customWidth="1"/>
    <col min="8466" max="8470" width="9.140625" style="13"/>
    <col min="8471" max="8471" width="9" style="13" customWidth="1"/>
    <col min="8472" max="8719" width="9.140625" style="13"/>
    <col min="8720" max="8720" width="29" style="13" customWidth="1"/>
    <col min="8721" max="8721" width="9.5703125" style="13" customWidth="1"/>
    <col min="8722" max="8726" width="9.140625" style="13"/>
    <col min="8727" max="8727" width="9" style="13" customWidth="1"/>
    <col min="8728" max="8975" width="9.140625" style="13"/>
    <col min="8976" max="8976" width="29" style="13" customWidth="1"/>
    <col min="8977" max="8977" width="9.5703125" style="13" customWidth="1"/>
    <col min="8978" max="8982" width="9.140625" style="13"/>
    <col min="8983" max="8983" width="9" style="13" customWidth="1"/>
    <col min="8984" max="9231" width="9.140625" style="13"/>
    <col min="9232" max="9232" width="29" style="13" customWidth="1"/>
    <col min="9233" max="9233" width="9.5703125" style="13" customWidth="1"/>
    <col min="9234" max="9238" width="9.140625" style="13"/>
    <col min="9239" max="9239" width="9" style="13" customWidth="1"/>
    <col min="9240" max="9487" width="9.140625" style="13"/>
    <col min="9488" max="9488" width="29" style="13" customWidth="1"/>
    <col min="9489" max="9489" width="9.5703125" style="13" customWidth="1"/>
    <col min="9490" max="9494" width="9.140625" style="13"/>
    <col min="9495" max="9495" width="9" style="13" customWidth="1"/>
    <col min="9496" max="9743" width="9.140625" style="13"/>
    <col min="9744" max="9744" width="29" style="13" customWidth="1"/>
    <col min="9745" max="9745" width="9.5703125" style="13" customWidth="1"/>
    <col min="9746" max="9750" width="9.140625" style="13"/>
    <col min="9751" max="9751" width="9" style="13" customWidth="1"/>
    <col min="9752" max="9999" width="9.140625" style="13"/>
    <col min="10000" max="10000" width="29" style="13" customWidth="1"/>
    <col min="10001" max="10001" width="9.5703125" style="13" customWidth="1"/>
    <col min="10002" max="10006" width="9.140625" style="13"/>
    <col min="10007" max="10007" width="9" style="13" customWidth="1"/>
    <col min="10008" max="10255" width="9.140625" style="13"/>
    <col min="10256" max="10256" width="29" style="13" customWidth="1"/>
    <col min="10257" max="10257" width="9.5703125" style="13" customWidth="1"/>
    <col min="10258" max="10262" width="9.140625" style="13"/>
    <col min="10263" max="10263" width="9" style="13" customWidth="1"/>
    <col min="10264" max="10511" width="9.140625" style="13"/>
    <col min="10512" max="10512" width="29" style="13" customWidth="1"/>
    <col min="10513" max="10513" width="9.5703125" style="13" customWidth="1"/>
    <col min="10514" max="10518" width="9.140625" style="13"/>
    <col min="10519" max="10519" width="9" style="13" customWidth="1"/>
    <col min="10520" max="10767" width="9.140625" style="13"/>
    <col min="10768" max="10768" width="29" style="13" customWidth="1"/>
    <col min="10769" max="10769" width="9.5703125" style="13" customWidth="1"/>
    <col min="10770" max="10774" width="9.140625" style="13"/>
    <col min="10775" max="10775" width="9" style="13" customWidth="1"/>
    <col min="10776" max="11023" width="9.140625" style="13"/>
    <col min="11024" max="11024" width="29" style="13" customWidth="1"/>
    <col min="11025" max="11025" width="9.5703125" style="13" customWidth="1"/>
    <col min="11026" max="11030" width="9.140625" style="13"/>
    <col min="11031" max="11031" width="9" style="13" customWidth="1"/>
    <col min="11032" max="11279" width="9.140625" style="13"/>
    <col min="11280" max="11280" width="29" style="13" customWidth="1"/>
    <col min="11281" max="11281" width="9.5703125" style="13" customWidth="1"/>
    <col min="11282" max="11286" width="9.140625" style="13"/>
    <col min="11287" max="11287" width="9" style="13" customWidth="1"/>
    <col min="11288" max="11535" width="9.140625" style="13"/>
    <col min="11536" max="11536" width="29" style="13" customWidth="1"/>
    <col min="11537" max="11537" width="9.5703125" style="13" customWidth="1"/>
    <col min="11538" max="11542" width="9.140625" style="13"/>
    <col min="11543" max="11543" width="9" style="13" customWidth="1"/>
    <col min="11544" max="11791" width="9.140625" style="13"/>
    <col min="11792" max="11792" width="29" style="13" customWidth="1"/>
    <col min="11793" max="11793" width="9.5703125" style="13" customWidth="1"/>
    <col min="11794" max="11798" width="9.140625" style="13"/>
    <col min="11799" max="11799" width="9" style="13" customWidth="1"/>
    <col min="11800" max="12047" width="9.140625" style="13"/>
    <col min="12048" max="12048" width="29" style="13" customWidth="1"/>
    <col min="12049" max="12049" width="9.5703125" style="13" customWidth="1"/>
    <col min="12050" max="12054" width="9.140625" style="13"/>
    <col min="12055" max="12055" width="9" style="13" customWidth="1"/>
    <col min="12056" max="12303" width="9.140625" style="13"/>
    <col min="12304" max="12304" width="29" style="13" customWidth="1"/>
    <col min="12305" max="12305" width="9.5703125" style="13" customWidth="1"/>
    <col min="12306" max="12310" width="9.140625" style="13"/>
    <col min="12311" max="12311" width="9" style="13" customWidth="1"/>
    <col min="12312" max="12559" width="9.140625" style="13"/>
    <col min="12560" max="12560" width="29" style="13" customWidth="1"/>
    <col min="12561" max="12561" width="9.5703125" style="13" customWidth="1"/>
    <col min="12562" max="12566" width="9.140625" style="13"/>
    <col min="12567" max="12567" width="9" style="13" customWidth="1"/>
    <col min="12568" max="12815" width="9.140625" style="13"/>
    <col min="12816" max="12816" width="29" style="13" customWidth="1"/>
    <col min="12817" max="12817" width="9.5703125" style="13" customWidth="1"/>
    <col min="12818" max="12822" width="9.140625" style="13"/>
    <col min="12823" max="12823" width="9" style="13" customWidth="1"/>
    <col min="12824" max="13071" width="9.140625" style="13"/>
    <col min="13072" max="13072" width="29" style="13" customWidth="1"/>
    <col min="13073" max="13073" width="9.5703125" style="13" customWidth="1"/>
    <col min="13074" max="13078" width="9.140625" style="13"/>
    <col min="13079" max="13079" width="9" style="13" customWidth="1"/>
    <col min="13080" max="13327" width="9.140625" style="13"/>
    <col min="13328" max="13328" width="29" style="13" customWidth="1"/>
    <col min="13329" max="13329" width="9.5703125" style="13" customWidth="1"/>
    <col min="13330" max="13334" width="9.140625" style="13"/>
    <col min="13335" max="13335" width="9" style="13" customWidth="1"/>
    <col min="13336" max="13583" width="9.140625" style="13"/>
    <col min="13584" max="13584" width="29" style="13" customWidth="1"/>
    <col min="13585" max="13585" width="9.5703125" style="13" customWidth="1"/>
    <col min="13586" max="13590" width="9.140625" style="13"/>
    <col min="13591" max="13591" width="9" style="13" customWidth="1"/>
    <col min="13592" max="13839" width="9.140625" style="13"/>
    <col min="13840" max="13840" width="29" style="13" customWidth="1"/>
    <col min="13841" max="13841" width="9.5703125" style="13" customWidth="1"/>
    <col min="13842" max="13846" width="9.140625" style="13"/>
    <col min="13847" max="13847" width="9" style="13" customWidth="1"/>
    <col min="13848" max="14095" width="9.140625" style="13"/>
    <col min="14096" max="14096" width="29" style="13" customWidth="1"/>
    <col min="14097" max="14097" width="9.5703125" style="13" customWidth="1"/>
    <col min="14098" max="14102" width="9.140625" style="13"/>
    <col min="14103" max="14103" width="9" style="13" customWidth="1"/>
    <col min="14104" max="14351" width="9.140625" style="13"/>
    <col min="14352" max="14352" width="29" style="13" customWidth="1"/>
    <col min="14353" max="14353" width="9.5703125" style="13" customWidth="1"/>
    <col min="14354" max="14358" width="9.140625" style="13"/>
    <col min="14359" max="14359" width="9" style="13" customWidth="1"/>
    <col min="14360" max="14607" width="9.140625" style="13"/>
    <col min="14608" max="14608" width="29" style="13" customWidth="1"/>
    <col min="14609" max="14609" width="9.5703125" style="13" customWidth="1"/>
    <col min="14610" max="14614" width="9.140625" style="13"/>
    <col min="14615" max="14615" width="9" style="13" customWidth="1"/>
    <col min="14616" max="14863" width="9.140625" style="13"/>
    <col min="14864" max="14864" width="29" style="13" customWidth="1"/>
    <col min="14865" max="14865" width="9.5703125" style="13" customWidth="1"/>
    <col min="14866" max="14870" width="9.140625" style="13"/>
    <col min="14871" max="14871" width="9" style="13" customWidth="1"/>
    <col min="14872" max="15119" width="9.140625" style="13"/>
    <col min="15120" max="15120" width="29" style="13" customWidth="1"/>
    <col min="15121" max="15121" width="9.5703125" style="13" customWidth="1"/>
    <col min="15122" max="15126" width="9.140625" style="13"/>
    <col min="15127" max="15127" width="9" style="13" customWidth="1"/>
    <col min="15128" max="15375" width="9.140625" style="13"/>
    <col min="15376" max="15376" width="29" style="13" customWidth="1"/>
    <col min="15377" max="15377" width="9.5703125" style="13" customWidth="1"/>
    <col min="15378" max="15382" width="9.140625" style="13"/>
    <col min="15383" max="15383" width="9" style="13" customWidth="1"/>
    <col min="15384" max="15631" width="9.140625" style="13"/>
    <col min="15632" max="15632" width="29" style="13" customWidth="1"/>
    <col min="15633" max="15633" width="9.5703125" style="13" customWidth="1"/>
    <col min="15634" max="15638" width="9.140625" style="13"/>
    <col min="15639" max="15639" width="9" style="13" customWidth="1"/>
    <col min="15640" max="15887" width="9.140625" style="13"/>
    <col min="15888" max="15888" width="29" style="13" customWidth="1"/>
    <col min="15889" max="15889" width="9.5703125" style="13" customWidth="1"/>
    <col min="15890" max="15894" width="9.140625" style="13"/>
    <col min="15895" max="15895" width="9" style="13" customWidth="1"/>
    <col min="15896" max="16143" width="9.140625" style="13"/>
    <col min="16144" max="16144" width="29" style="13" customWidth="1"/>
    <col min="16145" max="16145" width="9.5703125" style="13" customWidth="1"/>
    <col min="16146" max="16150" width="9.140625" style="13"/>
    <col min="16151" max="16151" width="9" style="13" customWidth="1"/>
    <col min="16152" max="16384" width="9.140625" style="13"/>
  </cols>
  <sheetData>
    <row r="1" spans="1:40" ht="15">
      <c r="A1" s="859"/>
      <c r="B1" s="859"/>
      <c r="C1" s="859"/>
      <c r="D1" s="859"/>
      <c r="E1" s="859"/>
      <c r="F1" s="859"/>
      <c r="G1" s="859"/>
      <c r="H1" s="859"/>
      <c r="I1" s="859"/>
      <c r="J1" s="859"/>
      <c r="K1" s="859"/>
      <c r="L1" s="859"/>
      <c r="M1" s="859"/>
      <c r="N1" s="859"/>
      <c r="O1" s="859"/>
      <c r="P1" s="860"/>
      <c r="Q1" s="860"/>
      <c r="R1" s="860"/>
      <c r="S1" s="860"/>
      <c r="T1" s="860"/>
      <c r="U1" s="860"/>
      <c r="V1" s="860"/>
      <c r="W1" s="860"/>
      <c r="X1" s="860"/>
      <c r="Y1" s="860"/>
      <c r="Z1" s="860"/>
      <c r="AA1" s="860"/>
      <c r="AB1" s="860"/>
      <c r="AC1" s="860"/>
      <c r="AD1" s="860"/>
      <c r="AE1" s="860"/>
      <c r="AF1" s="860"/>
      <c r="AG1" s="860"/>
      <c r="AH1" s="860"/>
      <c r="AI1" s="860"/>
      <c r="AJ1" s="860"/>
      <c r="AK1" s="860"/>
      <c r="AL1" s="860"/>
      <c r="AM1" s="860"/>
      <c r="AN1" s="860"/>
    </row>
    <row r="2" spans="1:40" ht="15">
      <c r="A2" s="849" t="s">
        <v>141</v>
      </c>
      <c r="B2" s="1611">
        <v>2.93</v>
      </c>
      <c r="C2" s="862"/>
      <c r="D2" s="849"/>
      <c r="E2" s="849"/>
      <c r="F2" s="849"/>
      <c r="G2" s="849"/>
      <c r="H2" s="849"/>
      <c r="I2" s="849"/>
      <c r="J2" s="849"/>
      <c r="K2" s="849"/>
      <c r="L2" s="849"/>
      <c r="M2" s="849"/>
      <c r="N2" s="849"/>
      <c r="O2" s="859"/>
      <c r="P2" s="860"/>
      <c r="Q2" s="860"/>
      <c r="R2" s="860"/>
      <c r="S2" s="860"/>
      <c r="T2" s="860"/>
      <c r="U2" s="860"/>
      <c r="V2" s="860"/>
      <c r="W2" s="860"/>
      <c r="X2" s="860"/>
      <c r="Y2" s="860"/>
      <c r="Z2" s="860"/>
      <c r="AA2" s="860"/>
      <c r="AB2" s="860"/>
      <c r="AC2" s="860"/>
      <c r="AD2" s="860"/>
      <c r="AE2" s="860"/>
      <c r="AF2" s="860"/>
      <c r="AG2" s="860"/>
      <c r="AH2" s="860"/>
      <c r="AI2" s="860"/>
      <c r="AJ2" s="860"/>
      <c r="AK2" s="860"/>
      <c r="AL2" s="860"/>
      <c r="AM2" s="860"/>
      <c r="AN2" s="860"/>
    </row>
    <row r="3" spans="1:40" ht="15" hidden="1">
      <c r="A3" s="849"/>
      <c r="B3" s="861"/>
      <c r="C3" s="862"/>
      <c r="D3" s="849"/>
      <c r="E3" s="849"/>
      <c r="F3" s="849"/>
      <c r="G3" s="849"/>
      <c r="H3" s="849"/>
      <c r="I3" s="849"/>
      <c r="J3" s="849"/>
      <c r="K3" s="849"/>
      <c r="L3" s="849"/>
      <c r="M3" s="849"/>
      <c r="N3" s="849"/>
      <c r="O3" s="859"/>
      <c r="P3" s="860"/>
      <c r="Q3" s="860"/>
      <c r="R3" s="860"/>
      <c r="S3" s="860"/>
      <c r="T3" s="860"/>
      <c r="U3" s="860"/>
      <c r="V3" s="860"/>
      <c r="W3" s="860"/>
      <c r="X3" s="860"/>
      <c r="Y3" s="860"/>
      <c r="Z3" s="860"/>
      <c r="AA3" s="860"/>
      <c r="AB3" s="860"/>
      <c r="AC3" s="860"/>
      <c r="AD3" s="860"/>
      <c r="AE3" s="860"/>
      <c r="AF3" s="860"/>
      <c r="AG3" s="860"/>
      <c r="AH3" s="860"/>
      <c r="AI3" s="860"/>
      <c r="AJ3" s="860"/>
      <c r="AK3" s="860"/>
      <c r="AL3" s="860"/>
      <c r="AM3" s="860"/>
      <c r="AN3" s="860"/>
    </row>
    <row r="4" spans="1:40" ht="15" hidden="1">
      <c r="A4" s="849"/>
      <c r="B4" s="863"/>
      <c r="C4" s="864"/>
      <c r="D4" s="849"/>
      <c r="E4" s="849"/>
      <c r="F4" s="849"/>
      <c r="G4" s="849"/>
      <c r="H4" s="849"/>
      <c r="I4" s="849"/>
      <c r="J4" s="849"/>
      <c r="K4" s="849"/>
      <c r="L4" s="849"/>
      <c r="M4" s="849"/>
      <c r="N4" s="849"/>
      <c r="O4" s="859"/>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row>
    <row r="5" spans="1:40" ht="15">
      <c r="A5" s="849" t="s">
        <v>142</v>
      </c>
      <c r="B5" s="865">
        <v>17.25</v>
      </c>
      <c r="C5" s="847"/>
      <c r="D5" s="849"/>
      <c r="E5" s="849"/>
      <c r="F5" s="849"/>
      <c r="G5" s="849"/>
      <c r="H5" s="849"/>
      <c r="I5" s="849"/>
      <c r="J5" s="849"/>
      <c r="K5" s="849"/>
      <c r="L5" s="849"/>
      <c r="M5" s="849"/>
      <c r="N5" s="849"/>
      <c r="O5" s="859"/>
      <c r="P5" s="860"/>
      <c r="Q5" s="860"/>
      <c r="R5" s="860"/>
      <c r="S5" s="860"/>
      <c r="T5" s="860"/>
      <c r="U5" s="860"/>
      <c r="V5" s="860"/>
      <c r="W5" s="860"/>
      <c r="X5" s="860"/>
      <c r="Y5" s="860"/>
      <c r="Z5" s="860"/>
      <c r="AA5" s="860"/>
      <c r="AB5" s="860"/>
      <c r="AC5" s="860"/>
      <c r="AD5" s="860"/>
      <c r="AE5" s="860"/>
      <c r="AF5" s="860"/>
      <c r="AG5" s="860"/>
      <c r="AH5" s="860"/>
      <c r="AI5" s="860"/>
      <c r="AJ5" s="860"/>
      <c r="AK5" s="860"/>
      <c r="AL5" s="860"/>
      <c r="AM5" s="860"/>
      <c r="AN5" s="860"/>
    </row>
    <row r="6" spans="1:40" ht="15">
      <c r="A6" s="844"/>
      <c r="B6" s="845"/>
      <c r="C6" s="866"/>
      <c r="D6" s="845">
        <v>2008</v>
      </c>
      <c r="E6" s="845">
        <v>2009</v>
      </c>
      <c r="F6" s="845">
        <f t="shared" ref="F6:K6" si="0">E6+1</f>
        <v>2010</v>
      </c>
      <c r="G6" s="845">
        <f t="shared" si="0"/>
        <v>2011</v>
      </c>
      <c r="H6" s="845">
        <f t="shared" si="0"/>
        <v>2012</v>
      </c>
      <c r="I6" s="845">
        <f t="shared" si="0"/>
        <v>2013</v>
      </c>
      <c r="J6" s="845">
        <f t="shared" si="0"/>
        <v>2014</v>
      </c>
      <c r="K6" s="845">
        <f t="shared" si="0"/>
        <v>2015</v>
      </c>
      <c r="L6" s="845">
        <f>K6+1</f>
        <v>2016</v>
      </c>
      <c r="M6" s="845">
        <f>L6+1</f>
        <v>2017</v>
      </c>
      <c r="N6" s="845">
        <f>M6+1</f>
        <v>2018</v>
      </c>
      <c r="O6" s="845">
        <f t="shared" ref="O6:AE6" si="1">N6+1</f>
        <v>2019</v>
      </c>
      <c r="P6" s="845">
        <f t="shared" si="1"/>
        <v>2020</v>
      </c>
      <c r="Q6" s="845">
        <f t="shared" si="1"/>
        <v>2021</v>
      </c>
      <c r="R6" s="845">
        <f t="shared" si="1"/>
        <v>2022</v>
      </c>
      <c r="S6" s="845">
        <f t="shared" si="1"/>
        <v>2023</v>
      </c>
      <c r="T6" s="845">
        <f t="shared" si="1"/>
        <v>2024</v>
      </c>
      <c r="U6" s="845">
        <f t="shared" si="1"/>
        <v>2025</v>
      </c>
      <c r="V6" s="845">
        <f t="shared" si="1"/>
        <v>2026</v>
      </c>
      <c r="W6" s="845">
        <f t="shared" si="1"/>
        <v>2027</v>
      </c>
      <c r="X6" s="845">
        <f t="shared" si="1"/>
        <v>2028</v>
      </c>
      <c r="Y6" s="845">
        <f t="shared" si="1"/>
        <v>2029</v>
      </c>
      <c r="Z6" s="845">
        <f t="shared" si="1"/>
        <v>2030</v>
      </c>
      <c r="AA6" s="845">
        <f t="shared" si="1"/>
        <v>2031</v>
      </c>
      <c r="AB6" s="845">
        <f t="shared" si="1"/>
        <v>2032</v>
      </c>
      <c r="AC6" s="845">
        <f t="shared" si="1"/>
        <v>2033</v>
      </c>
      <c r="AD6" s="845">
        <f t="shared" si="1"/>
        <v>2034</v>
      </c>
      <c r="AE6" s="845">
        <f t="shared" si="1"/>
        <v>2035</v>
      </c>
      <c r="AF6" s="1841"/>
      <c r="AG6" s="1841"/>
      <c r="AH6" s="1841"/>
      <c r="AI6" s="1841"/>
      <c r="AJ6" s="1841"/>
      <c r="AK6" s="1078"/>
      <c r="AL6" s="860"/>
      <c r="AM6" s="860"/>
      <c r="AN6" s="860"/>
    </row>
    <row r="7" spans="1:40" ht="15">
      <c r="A7" s="849" t="s">
        <v>143</v>
      </c>
      <c r="B7" s="867"/>
      <c r="C7" s="862"/>
      <c r="D7" s="862"/>
      <c r="E7" s="862">
        <f>Master!H573</f>
        <v>559.36923076923074</v>
      </c>
      <c r="F7" s="862">
        <f>Master!I573</f>
        <v>555.59487179487178</v>
      </c>
      <c r="G7" s="862">
        <f>Master!J573</f>
        <v>565.60119658119652</v>
      </c>
      <c r="H7" s="862">
        <f>Master!K573</f>
        <v>571.21572649572659</v>
      </c>
      <c r="I7" s="862">
        <f>Master!L573</f>
        <v>573.5094017094018</v>
      </c>
      <c r="J7" s="862">
        <f>Master!M573</f>
        <v>577.8735042735043</v>
      </c>
      <c r="K7" s="862">
        <f>Master!N573</f>
        <v>578.57948717948716</v>
      </c>
      <c r="L7" s="862">
        <f>Master!O573</f>
        <v>578.57948717948716</v>
      </c>
      <c r="M7" s="862">
        <f>Master!P573</f>
        <v>578.57948717948716</v>
      </c>
      <c r="N7" s="862">
        <f>Master!Q573</f>
        <v>578.34034188034184</v>
      </c>
      <c r="O7" s="862">
        <f>Master!R573</f>
        <v>571.50273504273503</v>
      </c>
      <c r="P7" s="862">
        <f>Master!S573</f>
        <v>573.38307692307694</v>
      </c>
      <c r="Q7" s="862">
        <f>Master!T573</f>
        <v>573.38307692307694</v>
      </c>
      <c r="R7" s="862">
        <f>Master!U573</f>
        <v>573.38307692307694</v>
      </c>
      <c r="S7" s="862">
        <f>Master!V573</f>
        <v>553.80598290598289</v>
      </c>
      <c r="T7" s="862">
        <f>Master!W573</f>
        <v>539.23384615384612</v>
      </c>
      <c r="U7" s="862">
        <f>Master!X573</f>
        <v>531.8201709401709</v>
      </c>
      <c r="V7" s="862">
        <f>Master!Y573</f>
        <v>531.8201709401709</v>
      </c>
      <c r="W7" s="862">
        <f>Master!Z573</f>
        <v>660.46632478632478</v>
      </c>
      <c r="X7" s="862">
        <f>Master!AA573</f>
        <v>660.46632478632478</v>
      </c>
      <c r="Y7" s="862">
        <f>Master!AB573</f>
        <v>660.46632478632478</v>
      </c>
      <c r="Z7" s="862">
        <f>Master!AC573</f>
        <v>660.46632478632478</v>
      </c>
      <c r="AA7" s="862">
        <f>Master!AD573</f>
        <v>660.46632478632478</v>
      </c>
      <c r="AB7" s="862">
        <f>Master!AE573</f>
        <v>660.46632478632478</v>
      </c>
      <c r="AC7" s="862">
        <f>Master!AF573</f>
        <v>660.46632478632478</v>
      </c>
      <c r="AD7" s="862">
        <f>Master!AG573</f>
        <v>660.46632478632478</v>
      </c>
      <c r="AE7" s="862">
        <f>Master!AH573</f>
        <v>660.46632478632478</v>
      </c>
      <c r="AF7" s="862"/>
      <c r="AG7" s="862"/>
      <c r="AH7" s="862"/>
      <c r="AI7" s="862"/>
      <c r="AJ7" s="862"/>
      <c r="AK7" s="860"/>
      <c r="AL7" s="860"/>
      <c r="AM7" s="860"/>
      <c r="AN7" s="860"/>
    </row>
    <row r="8" spans="1:40" ht="15">
      <c r="A8" s="849"/>
      <c r="B8" s="867"/>
      <c r="C8" s="862"/>
      <c r="D8" s="862"/>
      <c r="E8" s="862"/>
      <c r="F8" s="862"/>
      <c r="G8" s="862"/>
      <c r="H8" s="862"/>
      <c r="I8" s="862"/>
      <c r="J8" s="862"/>
      <c r="K8" s="862"/>
      <c r="L8" s="862"/>
      <c r="M8" s="862"/>
      <c r="N8" s="862"/>
      <c r="O8" s="862"/>
      <c r="P8" s="862"/>
      <c r="Q8" s="862"/>
      <c r="R8" s="851"/>
      <c r="S8" s="862"/>
      <c r="T8" s="862"/>
      <c r="U8" s="862"/>
      <c r="V8" s="862"/>
      <c r="W8" s="862"/>
      <c r="X8" s="862"/>
      <c r="Y8" s="862"/>
      <c r="Z8" s="862"/>
      <c r="AA8" s="862"/>
      <c r="AB8" s="862"/>
      <c r="AC8" s="862"/>
      <c r="AD8" s="862"/>
      <c r="AE8" s="862"/>
      <c r="AF8" s="862"/>
      <c r="AG8" s="862"/>
      <c r="AH8" s="862"/>
      <c r="AI8" s="862"/>
      <c r="AJ8" s="862"/>
      <c r="AK8" s="860"/>
      <c r="AL8" s="860"/>
      <c r="AM8" s="860"/>
      <c r="AN8" s="860"/>
    </row>
    <row r="9" spans="1:40" ht="15">
      <c r="A9" s="868" t="s">
        <v>144</v>
      </c>
      <c r="B9" s="867"/>
      <c r="C9" s="849"/>
      <c r="D9" s="847"/>
      <c r="E9" s="862"/>
      <c r="F9" s="849"/>
      <c r="G9" s="849"/>
      <c r="H9" s="849"/>
      <c r="I9" s="847"/>
      <c r="J9" s="849"/>
      <c r="K9" s="849"/>
      <c r="L9" s="849"/>
      <c r="M9" s="849"/>
      <c r="N9" s="849"/>
      <c r="O9" s="849"/>
      <c r="P9" s="849"/>
      <c r="Q9" s="849"/>
      <c r="R9" s="849"/>
      <c r="S9" s="849"/>
      <c r="T9" s="849"/>
      <c r="U9" s="849"/>
      <c r="V9" s="849"/>
      <c r="W9" s="849"/>
      <c r="X9" s="849"/>
      <c r="Y9" s="849"/>
      <c r="Z9" s="849"/>
      <c r="AA9" s="849"/>
      <c r="AB9" s="849"/>
      <c r="AC9" s="849"/>
      <c r="AD9" s="849"/>
      <c r="AE9" s="849"/>
      <c r="AF9" s="849"/>
      <c r="AG9" s="849"/>
      <c r="AH9" s="849"/>
      <c r="AI9" s="849"/>
      <c r="AJ9" s="849"/>
      <c r="AK9" s="860"/>
      <c r="AL9" s="860"/>
      <c r="AM9" s="860"/>
      <c r="AN9" s="860"/>
    </row>
    <row r="10" spans="1:40" ht="15">
      <c r="A10" s="849" t="s">
        <v>145</v>
      </c>
      <c r="B10" s="862"/>
      <c r="C10" s="862"/>
      <c r="D10" s="862"/>
      <c r="E10" s="862">
        <f t="shared" ref="E10:N10" si="2">($B$2*E7)</f>
        <v>1638.9518461538462</v>
      </c>
      <c r="F10" s="862">
        <f t="shared" si="2"/>
        <v>1627.8929743589745</v>
      </c>
      <c r="G10" s="862">
        <f t="shared" si="2"/>
        <v>1657.2115059829059</v>
      </c>
      <c r="H10" s="862">
        <f t="shared" si="2"/>
        <v>1673.6620786324791</v>
      </c>
      <c r="I10" s="862">
        <f t="shared" si="2"/>
        <v>1680.3825470085474</v>
      </c>
      <c r="J10" s="862">
        <f t="shared" si="2"/>
        <v>1693.1693675213676</v>
      </c>
      <c r="K10" s="862">
        <f t="shared" si="2"/>
        <v>1695.2378974358974</v>
      </c>
      <c r="L10" s="862">
        <f t="shared" si="2"/>
        <v>1695.2378974358974</v>
      </c>
      <c r="M10" s="862">
        <f t="shared" si="2"/>
        <v>1695.2378974358974</v>
      </c>
      <c r="N10" s="862">
        <f t="shared" si="2"/>
        <v>1694.5372017094016</v>
      </c>
      <c r="O10" s="862">
        <f t="shared" ref="O10:U10" si="3">($B$2*O7)</f>
        <v>1674.5030136752137</v>
      </c>
      <c r="P10" s="862">
        <f t="shared" si="3"/>
        <v>1680.0124153846155</v>
      </c>
      <c r="Q10" s="862">
        <f t="shared" si="3"/>
        <v>1680.0124153846155</v>
      </c>
      <c r="R10" s="862">
        <f t="shared" si="3"/>
        <v>1680.0124153846155</v>
      </c>
      <c r="S10" s="862">
        <f t="shared" si="3"/>
        <v>1622.6515299145299</v>
      </c>
      <c r="T10" s="862">
        <f t="shared" si="3"/>
        <v>1579.9551692307691</v>
      </c>
      <c r="U10" s="862">
        <f t="shared" si="3"/>
        <v>1558.2331008547008</v>
      </c>
      <c r="V10" s="862">
        <f t="shared" ref="V10:AE10" si="4">($B$2*V7)</f>
        <v>1558.2331008547008</v>
      </c>
      <c r="W10" s="862">
        <f t="shared" si="4"/>
        <v>1935.1663316239317</v>
      </c>
      <c r="X10" s="862">
        <f t="shared" si="4"/>
        <v>1935.1663316239317</v>
      </c>
      <c r="Y10" s="862">
        <f t="shared" si="4"/>
        <v>1935.1663316239317</v>
      </c>
      <c r="Z10" s="862">
        <f t="shared" si="4"/>
        <v>1935.1663316239317</v>
      </c>
      <c r="AA10" s="862">
        <f t="shared" si="4"/>
        <v>1935.1663316239317</v>
      </c>
      <c r="AB10" s="862">
        <f t="shared" si="4"/>
        <v>1935.1663316239317</v>
      </c>
      <c r="AC10" s="862">
        <f t="shared" si="4"/>
        <v>1935.1663316239317</v>
      </c>
      <c r="AD10" s="862">
        <f t="shared" si="4"/>
        <v>1935.1663316239317</v>
      </c>
      <c r="AE10" s="862">
        <f t="shared" si="4"/>
        <v>1935.1663316239317</v>
      </c>
      <c r="AF10" s="862"/>
      <c r="AG10" s="862"/>
      <c r="AH10" s="862"/>
      <c r="AI10" s="862"/>
      <c r="AJ10" s="862"/>
      <c r="AK10" s="860"/>
      <c r="AL10" s="860"/>
      <c r="AM10" s="860"/>
      <c r="AN10" s="860"/>
    </row>
    <row r="11" spans="1:40" ht="15">
      <c r="A11" s="849" t="s">
        <v>146</v>
      </c>
      <c r="B11" s="862"/>
      <c r="C11" s="862"/>
      <c r="D11" s="862"/>
      <c r="E11" s="862">
        <f>F11</f>
        <v>-1524.2918822963313</v>
      </c>
      <c r="F11" s="869">
        <f>-SOP!$G$19</f>
        <v>-1524.2918822963313</v>
      </c>
      <c r="G11" s="862">
        <f>F11</f>
        <v>-1524.2918822963313</v>
      </c>
      <c r="H11" s="862">
        <f t="shared" ref="H11:P14" si="5">G11</f>
        <v>-1524.2918822963313</v>
      </c>
      <c r="I11" s="862">
        <f t="shared" si="5"/>
        <v>-1524.2918822963313</v>
      </c>
      <c r="J11" s="862">
        <f t="shared" si="5"/>
        <v>-1524.2918822963313</v>
      </c>
      <c r="K11" s="862">
        <f t="shared" si="5"/>
        <v>-1524.2918822963313</v>
      </c>
      <c r="L11" s="862">
        <f t="shared" si="5"/>
        <v>-1524.2918822963313</v>
      </c>
      <c r="M11" s="862">
        <f t="shared" si="5"/>
        <v>-1524.2918822963313</v>
      </c>
      <c r="N11" s="862">
        <f t="shared" si="5"/>
        <v>-1524.2918822963313</v>
      </c>
      <c r="O11" s="862">
        <f>N11</f>
        <v>-1524.2918822963313</v>
      </c>
      <c r="P11" s="862">
        <f t="shared" si="5"/>
        <v>-1524.2918822963313</v>
      </c>
      <c r="Q11" s="862">
        <f t="shared" ref="Q11:AE14" si="6">P11</f>
        <v>-1524.2918822963313</v>
      </c>
      <c r="R11" s="862">
        <f t="shared" si="6"/>
        <v>-1524.2918822963313</v>
      </c>
      <c r="S11" s="862">
        <f t="shared" si="6"/>
        <v>-1524.2918822963313</v>
      </c>
      <c r="T11" s="862">
        <f t="shared" si="6"/>
        <v>-1524.2918822963313</v>
      </c>
      <c r="U11" s="862">
        <f t="shared" si="6"/>
        <v>-1524.2918822963313</v>
      </c>
      <c r="V11" s="862">
        <f t="shared" si="6"/>
        <v>-1524.2918822963313</v>
      </c>
      <c r="W11" s="862">
        <f t="shared" si="6"/>
        <v>-1524.2918822963313</v>
      </c>
      <c r="X11" s="862">
        <f t="shared" si="6"/>
        <v>-1524.2918822963313</v>
      </c>
      <c r="Y11" s="862">
        <f t="shared" si="6"/>
        <v>-1524.2918822963313</v>
      </c>
      <c r="Z11" s="862">
        <f t="shared" si="6"/>
        <v>-1524.2918822963313</v>
      </c>
      <c r="AA11" s="862">
        <f t="shared" si="6"/>
        <v>-1524.2918822963313</v>
      </c>
      <c r="AB11" s="862">
        <f t="shared" si="6"/>
        <v>-1524.2918822963313</v>
      </c>
      <c r="AC11" s="862">
        <f t="shared" si="6"/>
        <v>-1524.2918822963313</v>
      </c>
      <c r="AD11" s="862">
        <f t="shared" si="6"/>
        <v>-1524.2918822963313</v>
      </c>
      <c r="AE11" s="862">
        <f t="shared" si="6"/>
        <v>-1524.2918822963313</v>
      </c>
      <c r="AF11" s="862"/>
      <c r="AG11" s="862"/>
      <c r="AH11" s="862"/>
      <c r="AI11" s="862"/>
      <c r="AJ11" s="862"/>
      <c r="AK11" s="860"/>
      <c r="AL11" s="860"/>
      <c r="AM11" s="860"/>
      <c r="AN11" s="860"/>
    </row>
    <row r="12" spans="1:40" ht="15">
      <c r="A12" s="849" t="s">
        <v>147</v>
      </c>
      <c r="B12" s="867"/>
      <c r="C12" s="862"/>
      <c r="D12" s="862"/>
      <c r="E12" s="862">
        <f>F12</f>
        <v>0</v>
      </c>
      <c r="F12" s="869">
        <v>0</v>
      </c>
      <c r="G12" s="862">
        <f>F12</f>
        <v>0</v>
      </c>
      <c r="H12" s="862">
        <f t="shared" si="5"/>
        <v>0</v>
      </c>
      <c r="I12" s="862">
        <f t="shared" si="5"/>
        <v>0</v>
      </c>
      <c r="J12" s="862">
        <f t="shared" si="5"/>
        <v>0</v>
      </c>
      <c r="K12" s="862">
        <f t="shared" si="5"/>
        <v>0</v>
      </c>
      <c r="L12" s="862">
        <f t="shared" si="5"/>
        <v>0</v>
      </c>
      <c r="M12" s="862">
        <f t="shared" si="5"/>
        <v>0</v>
      </c>
      <c r="N12" s="862">
        <f t="shared" si="5"/>
        <v>0</v>
      </c>
      <c r="O12" s="862">
        <f>N12</f>
        <v>0</v>
      </c>
      <c r="P12" s="862">
        <f t="shared" si="5"/>
        <v>0</v>
      </c>
      <c r="Q12" s="862">
        <f t="shared" si="6"/>
        <v>0</v>
      </c>
      <c r="R12" s="862">
        <f t="shared" si="6"/>
        <v>0</v>
      </c>
      <c r="S12" s="862">
        <f t="shared" si="6"/>
        <v>0</v>
      </c>
      <c r="T12" s="862">
        <f t="shared" si="6"/>
        <v>0</v>
      </c>
      <c r="U12" s="862">
        <f t="shared" si="6"/>
        <v>0</v>
      </c>
      <c r="V12" s="862">
        <f t="shared" si="6"/>
        <v>0</v>
      </c>
      <c r="W12" s="862">
        <f t="shared" si="6"/>
        <v>0</v>
      </c>
      <c r="X12" s="862">
        <f t="shared" si="6"/>
        <v>0</v>
      </c>
      <c r="Y12" s="862">
        <f t="shared" si="6"/>
        <v>0</v>
      </c>
      <c r="Z12" s="862">
        <f t="shared" si="6"/>
        <v>0</v>
      </c>
      <c r="AA12" s="862">
        <f t="shared" si="6"/>
        <v>0</v>
      </c>
      <c r="AB12" s="862">
        <f t="shared" si="6"/>
        <v>0</v>
      </c>
      <c r="AC12" s="862">
        <f t="shared" si="6"/>
        <v>0</v>
      </c>
      <c r="AD12" s="862">
        <f t="shared" si="6"/>
        <v>0</v>
      </c>
      <c r="AE12" s="862">
        <f t="shared" si="6"/>
        <v>0</v>
      </c>
      <c r="AF12" s="862"/>
      <c r="AG12" s="862"/>
      <c r="AH12" s="862"/>
      <c r="AI12" s="862"/>
      <c r="AJ12" s="862"/>
      <c r="AK12" s="860"/>
      <c r="AL12" s="860"/>
      <c r="AM12" s="860"/>
      <c r="AN12" s="860"/>
    </row>
    <row r="13" spans="1:40" ht="15">
      <c r="A13" s="849" t="s">
        <v>148</v>
      </c>
      <c r="B13" s="862"/>
      <c r="C13" s="862"/>
      <c r="D13" s="862"/>
      <c r="E13" s="862">
        <f>F13</f>
        <v>693.19143129330246</v>
      </c>
      <c r="F13" s="869">
        <f>SOP!$G$24</f>
        <v>693.19143129330246</v>
      </c>
      <c r="G13" s="862">
        <f>F13</f>
        <v>693.19143129330246</v>
      </c>
      <c r="H13" s="862">
        <f t="shared" si="5"/>
        <v>693.19143129330246</v>
      </c>
      <c r="I13" s="862">
        <f t="shared" si="5"/>
        <v>693.19143129330246</v>
      </c>
      <c r="J13" s="862">
        <f t="shared" si="5"/>
        <v>693.19143129330246</v>
      </c>
      <c r="K13" s="862">
        <f t="shared" si="5"/>
        <v>693.19143129330246</v>
      </c>
      <c r="L13" s="862">
        <f t="shared" si="5"/>
        <v>693.19143129330246</v>
      </c>
      <c r="M13" s="862">
        <f t="shared" si="5"/>
        <v>693.19143129330246</v>
      </c>
      <c r="N13" s="862">
        <f t="shared" si="5"/>
        <v>693.19143129330246</v>
      </c>
      <c r="O13" s="862">
        <f>N13</f>
        <v>693.19143129330246</v>
      </c>
      <c r="P13" s="862">
        <f t="shared" si="5"/>
        <v>693.19143129330246</v>
      </c>
      <c r="Q13" s="862">
        <f t="shared" si="6"/>
        <v>693.19143129330246</v>
      </c>
      <c r="R13" s="862">
        <f t="shared" si="6"/>
        <v>693.19143129330246</v>
      </c>
      <c r="S13" s="862">
        <f t="shared" si="6"/>
        <v>693.19143129330246</v>
      </c>
      <c r="T13" s="862">
        <f t="shared" si="6"/>
        <v>693.19143129330246</v>
      </c>
      <c r="U13" s="862">
        <f t="shared" si="6"/>
        <v>693.19143129330246</v>
      </c>
      <c r="V13" s="862">
        <f t="shared" si="6"/>
        <v>693.19143129330246</v>
      </c>
      <c r="W13" s="862">
        <f t="shared" si="6"/>
        <v>693.19143129330246</v>
      </c>
      <c r="X13" s="862">
        <f t="shared" si="6"/>
        <v>693.19143129330246</v>
      </c>
      <c r="Y13" s="862">
        <f t="shared" si="6"/>
        <v>693.19143129330246</v>
      </c>
      <c r="Z13" s="862">
        <f t="shared" si="6"/>
        <v>693.19143129330246</v>
      </c>
      <c r="AA13" s="862">
        <f t="shared" si="6"/>
        <v>693.19143129330246</v>
      </c>
      <c r="AB13" s="862">
        <f t="shared" si="6"/>
        <v>693.19143129330246</v>
      </c>
      <c r="AC13" s="862">
        <f t="shared" si="6"/>
        <v>693.19143129330246</v>
      </c>
      <c r="AD13" s="862">
        <f t="shared" si="6"/>
        <v>693.19143129330246</v>
      </c>
      <c r="AE13" s="862">
        <f t="shared" si="6"/>
        <v>693.19143129330246</v>
      </c>
      <c r="AF13" s="862"/>
      <c r="AG13" s="862"/>
      <c r="AH13" s="862"/>
      <c r="AI13" s="862"/>
      <c r="AJ13" s="862"/>
      <c r="AK13" s="860"/>
      <c r="AL13" s="860"/>
      <c r="AM13" s="860"/>
      <c r="AN13" s="860"/>
    </row>
    <row r="14" spans="1:40" ht="15">
      <c r="A14" s="849" t="s">
        <v>149</v>
      </c>
      <c r="B14" s="862"/>
      <c r="C14" s="862"/>
      <c r="D14" s="862"/>
      <c r="E14" s="862">
        <f>F14</f>
        <v>0</v>
      </c>
      <c r="F14" s="869">
        <v>0</v>
      </c>
      <c r="G14" s="862">
        <f>F14</f>
        <v>0</v>
      </c>
      <c r="H14" s="862">
        <f t="shared" si="5"/>
        <v>0</v>
      </c>
      <c r="I14" s="862">
        <f t="shared" si="5"/>
        <v>0</v>
      </c>
      <c r="J14" s="862">
        <f t="shared" si="5"/>
        <v>0</v>
      </c>
      <c r="K14" s="862">
        <f t="shared" si="5"/>
        <v>0</v>
      </c>
      <c r="L14" s="862">
        <f t="shared" si="5"/>
        <v>0</v>
      </c>
      <c r="M14" s="862">
        <f t="shared" si="5"/>
        <v>0</v>
      </c>
      <c r="N14" s="862">
        <f t="shared" si="5"/>
        <v>0</v>
      </c>
      <c r="O14" s="862">
        <f>N14</f>
        <v>0</v>
      </c>
      <c r="P14" s="862">
        <f t="shared" si="5"/>
        <v>0</v>
      </c>
      <c r="Q14" s="862">
        <f t="shared" si="6"/>
        <v>0</v>
      </c>
      <c r="R14" s="862">
        <f t="shared" si="6"/>
        <v>0</v>
      </c>
      <c r="S14" s="862">
        <f t="shared" si="6"/>
        <v>0</v>
      </c>
      <c r="T14" s="862">
        <f t="shared" si="6"/>
        <v>0</v>
      </c>
      <c r="U14" s="862">
        <f t="shared" si="6"/>
        <v>0</v>
      </c>
      <c r="V14" s="862">
        <f t="shared" si="6"/>
        <v>0</v>
      </c>
      <c r="W14" s="862">
        <f t="shared" si="6"/>
        <v>0</v>
      </c>
      <c r="X14" s="862">
        <f t="shared" si="6"/>
        <v>0</v>
      </c>
      <c r="Y14" s="862">
        <f t="shared" si="6"/>
        <v>0</v>
      </c>
      <c r="Z14" s="862">
        <f t="shared" si="6"/>
        <v>0</v>
      </c>
      <c r="AA14" s="862">
        <f t="shared" si="6"/>
        <v>0</v>
      </c>
      <c r="AB14" s="862">
        <f t="shared" si="6"/>
        <v>0</v>
      </c>
      <c r="AC14" s="862">
        <f t="shared" si="6"/>
        <v>0</v>
      </c>
      <c r="AD14" s="862">
        <f t="shared" si="6"/>
        <v>0</v>
      </c>
      <c r="AE14" s="862">
        <f t="shared" si="6"/>
        <v>0</v>
      </c>
      <c r="AF14" s="862"/>
      <c r="AG14" s="862"/>
      <c r="AH14" s="862"/>
      <c r="AI14" s="862"/>
      <c r="AJ14" s="862"/>
      <c r="AK14" s="860"/>
      <c r="AL14" s="860"/>
      <c r="AM14" s="860"/>
      <c r="AN14" s="860"/>
    </row>
    <row r="15" spans="1:40" ht="15">
      <c r="A15" s="849" t="s">
        <v>150</v>
      </c>
      <c r="B15" s="862"/>
      <c r="C15" s="862"/>
      <c r="D15" s="862"/>
      <c r="E15" s="862">
        <f>Master!H308/Master!H$7</f>
        <v>42.733333333333441</v>
      </c>
      <c r="F15" s="862">
        <f>Master!I308/Master!I$7</f>
        <v>1006.9675376088677</v>
      </c>
      <c r="G15" s="862">
        <f>Master!J308/Master!J$7</f>
        <v>2554.0996784565918</v>
      </c>
      <c r="H15" s="862">
        <f>Master!K308/Master!K$7</f>
        <v>1946.0486322188449</v>
      </c>
      <c r="I15" s="862">
        <f>Master!L308/Master!L$7</f>
        <v>2742.398119122257</v>
      </c>
      <c r="J15" s="862">
        <f>Master!M308/Master!M$7</f>
        <v>3043.3508640120212</v>
      </c>
      <c r="K15" s="862">
        <f>Master!N308/Master!N$7</f>
        <v>3495.9672337744173</v>
      </c>
      <c r="L15" s="862">
        <f>Master!O308/Master!O$7</f>
        <v>4159.4641909814318</v>
      </c>
      <c r="M15" s="862">
        <f>Master!P308/Master!P$7</f>
        <v>4194.3386243386249</v>
      </c>
      <c r="N15" s="862">
        <f>Master!Q308/Master!Q$7</f>
        <v>4328.1922077922072</v>
      </c>
      <c r="O15" s="862">
        <f>Master!R308/Master!R$7</f>
        <v>5411.5532467532475</v>
      </c>
      <c r="P15" s="862">
        <f>Master!S308/Master!S$7</f>
        <v>4785.2513966480456</v>
      </c>
      <c r="Q15" s="862">
        <f>Master!T308/Master!T$7</f>
        <v>5405.0620430155577</v>
      </c>
      <c r="R15" s="862">
        <f>Master!U308/Master!U$7</f>
        <v>3106.8473396320237</v>
      </c>
      <c r="S15" s="862">
        <f>Master!V308/Master!V$7</f>
        <v>3572.9445197740106</v>
      </c>
      <c r="T15" s="862">
        <f>Master!W308/Master!W$7</f>
        <v>3395.7719672131147</v>
      </c>
      <c r="U15" s="862">
        <f>Master!X308/Master!X$7</f>
        <v>2868.9161021365294</v>
      </c>
      <c r="V15" s="862">
        <f ca="1">Master!Y308/Master!Y$7</f>
        <v>3147.336304565541</v>
      </c>
      <c r="W15" s="862">
        <f ca="1">Master!Z308/Master!Z$7</f>
        <v>3124.4977400608218</v>
      </c>
      <c r="X15" s="862">
        <f ca="1">Master!AA308/Master!AA$7</f>
        <v>3088.3537172014603</v>
      </c>
      <c r="Y15" s="862">
        <f ca="1">Master!AB308/Master!AB$7</f>
        <v>2945.998584219426</v>
      </c>
      <c r="Z15" s="862">
        <f ca="1">Master!AC308/Master!AC$7</f>
        <v>2785.9761840510296</v>
      </c>
      <c r="AA15" s="862">
        <f ca="1">Master!AD308/Master!AD$7</f>
        <v>2610.5273050309311</v>
      </c>
      <c r="AB15" s="862">
        <f ca="1">Master!AE308/Master!AE$7</f>
        <v>2426.0919206590634</v>
      </c>
      <c r="AC15" s="862">
        <f ca="1">Master!AF308/Master!AF$7</f>
        <v>2232.9995471201642</v>
      </c>
      <c r="AD15" s="862">
        <f ca="1">Master!AG308/Master!AG$7</f>
        <v>2045.0290510764646</v>
      </c>
      <c r="AE15" s="862">
        <f ca="1">Master!AH308/Master!AH$7</f>
        <v>1866.0825069339883</v>
      </c>
      <c r="AF15" s="862"/>
      <c r="AG15" s="862"/>
      <c r="AH15" s="862"/>
      <c r="AI15" s="862"/>
      <c r="AJ15" s="862"/>
      <c r="AK15" s="860"/>
      <c r="AL15" s="860"/>
      <c r="AM15" s="860"/>
      <c r="AN15" s="860"/>
    </row>
    <row r="16" spans="1:40" ht="15">
      <c r="A16" s="870" t="s">
        <v>151</v>
      </c>
      <c r="B16" s="871"/>
      <c r="C16" s="871"/>
      <c r="D16" s="871"/>
      <c r="E16" s="1806">
        <v>0</v>
      </c>
      <c r="F16" s="1806">
        <v>0</v>
      </c>
      <c r="G16" s="1806">
        <v>0</v>
      </c>
      <c r="H16" s="1806">
        <v>0</v>
      </c>
      <c r="I16" s="1806">
        <v>0</v>
      </c>
      <c r="J16" s="1806">
        <v>0</v>
      </c>
      <c r="K16" s="1806">
        <v>0</v>
      </c>
      <c r="L16" s="1806">
        <v>0</v>
      </c>
      <c r="M16" s="1806">
        <v>0</v>
      </c>
      <c r="N16" s="1806">
        <v>0</v>
      </c>
      <c r="O16" s="1806">
        <v>0</v>
      </c>
      <c r="P16" s="1806">
        <v>0</v>
      </c>
      <c r="Q16" s="1806">
        <v>0</v>
      </c>
      <c r="R16" s="1806">
        <v>0</v>
      </c>
      <c r="S16" s="1806">
        <v>0</v>
      </c>
      <c r="T16" s="1806">
        <v>0</v>
      </c>
      <c r="U16" s="1806">
        <v>0</v>
      </c>
      <c r="V16" s="871">
        <f>Master!Y212/Master!Y$7+U16</f>
        <v>0</v>
      </c>
      <c r="W16" s="871">
        <f>Master!Z212/Master!Z$7+V16</f>
        <v>-70.238471107358833</v>
      </c>
      <c r="X16" s="871">
        <f>Master!AA212/Master!AA$7+W16</f>
        <v>-139.09971729104396</v>
      </c>
      <c r="Y16" s="871">
        <f>Master!AB212/Master!AB$7+X16</f>
        <v>-206.6107429613235</v>
      </c>
      <c r="Z16" s="871">
        <f>Master!AC212/Master!AC$7+Y16</f>
        <v>-272.79802303022501</v>
      </c>
      <c r="AA16" s="871">
        <f>Master!AD212/Master!AD$7+Z16</f>
        <v>-337.68751329385395</v>
      </c>
      <c r="AB16" s="871">
        <f>Master!AE212/Master!AE$7+AA16</f>
        <v>-401.30466061113719</v>
      </c>
      <c r="AC16" s="871">
        <f>Master!AF212/Master!AF$7+AB16</f>
        <v>-463.67441288298352</v>
      </c>
      <c r="AD16" s="871">
        <f>Master!AG212/Master!AG$7+AC16</f>
        <v>-524.82122883577404</v>
      </c>
      <c r="AE16" s="871">
        <f>Master!AH212/Master!AH$7+AD16</f>
        <v>-584.76908761301968</v>
      </c>
      <c r="AF16" s="862"/>
      <c r="AG16" s="862"/>
      <c r="AH16" s="862"/>
      <c r="AI16" s="862"/>
      <c r="AJ16" s="862"/>
      <c r="AK16" s="860"/>
      <c r="AL16" s="860"/>
      <c r="AM16" s="860"/>
      <c r="AN16" s="860"/>
    </row>
    <row r="17" spans="1:40" ht="15">
      <c r="A17" s="849" t="s">
        <v>152</v>
      </c>
      <c r="B17" s="862"/>
      <c r="C17" s="862"/>
      <c r="D17" s="862"/>
      <c r="E17" s="862">
        <f t="shared" ref="E17:N17" si="7">SUM(E10:E16)</f>
        <v>850.58472848415079</v>
      </c>
      <c r="F17" s="862">
        <f t="shared" si="7"/>
        <v>1803.7600609648134</v>
      </c>
      <c r="G17" s="862">
        <f>SUM(G10:G16)</f>
        <v>3380.2107334364691</v>
      </c>
      <c r="H17" s="862">
        <f t="shared" si="7"/>
        <v>2788.6102598482948</v>
      </c>
      <c r="I17" s="862">
        <f t="shared" si="7"/>
        <v>3591.6802151277752</v>
      </c>
      <c r="J17" s="862">
        <f t="shared" si="7"/>
        <v>3905.4197805303602</v>
      </c>
      <c r="K17" s="862">
        <f t="shared" si="7"/>
        <v>4360.104680207286</v>
      </c>
      <c r="L17" s="862">
        <f t="shared" si="7"/>
        <v>5023.6016374143001</v>
      </c>
      <c r="M17" s="862">
        <f t="shared" si="7"/>
        <v>5058.4760707714931</v>
      </c>
      <c r="N17" s="862">
        <f t="shared" si="7"/>
        <v>5191.6289584985798</v>
      </c>
      <c r="O17" s="862">
        <f t="shared" ref="O17:U17" si="8">SUM(O10:O16)</f>
        <v>6254.9558094254326</v>
      </c>
      <c r="P17" s="862">
        <f t="shared" si="8"/>
        <v>5634.1633610296321</v>
      </c>
      <c r="Q17" s="862">
        <f t="shared" si="8"/>
        <v>6253.9740073971443</v>
      </c>
      <c r="R17" s="862">
        <f t="shared" si="8"/>
        <v>3955.7593040136103</v>
      </c>
      <c r="S17" s="862">
        <f t="shared" si="8"/>
        <v>4364.4955986855111</v>
      </c>
      <c r="T17" s="862">
        <f t="shared" si="8"/>
        <v>4144.626685440855</v>
      </c>
      <c r="U17" s="862">
        <f t="shared" si="8"/>
        <v>3596.0487519882013</v>
      </c>
      <c r="V17" s="862">
        <f t="shared" ref="V17:AE17" ca="1" si="9">SUM(V10:V16)</f>
        <v>3874.4689544172129</v>
      </c>
      <c r="W17" s="862">
        <f t="shared" ca="1" si="9"/>
        <v>4158.3251495743652</v>
      </c>
      <c r="X17" s="862">
        <f t="shared" ca="1" si="9"/>
        <v>4053.3198805313195</v>
      </c>
      <c r="Y17" s="862">
        <f t="shared" ca="1" si="9"/>
        <v>3843.4537218790051</v>
      </c>
      <c r="Z17" s="862">
        <f t="shared" ca="1" si="9"/>
        <v>3617.2440416417071</v>
      </c>
      <c r="AA17" s="862">
        <f t="shared" ca="1" si="9"/>
        <v>3376.9056723579797</v>
      </c>
      <c r="AB17" s="862">
        <f t="shared" ca="1" si="9"/>
        <v>3128.8531406688294</v>
      </c>
      <c r="AC17" s="862">
        <f t="shared" ca="1" si="9"/>
        <v>2873.3910148580831</v>
      </c>
      <c r="AD17" s="862">
        <f t="shared" ca="1" si="9"/>
        <v>2624.2737028615934</v>
      </c>
      <c r="AE17" s="862">
        <f t="shared" ca="1" si="9"/>
        <v>2385.3792999418715</v>
      </c>
      <c r="AF17" s="862"/>
      <c r="AG17" s="862"/>
      <c r="AH17" s="862"/>
      <c r="AI17" s="862"/>
      <c r="AJ17" s="862"/>
      <c r="AK17" s="860"/>
      <c r="AL17" s="860"/>
      <c r="AM17" s="860"/>
      <c r="AN17" s="860"/>
    </row>
    <row r="18" spans="1:40" ht="15">
      <c r="A18" s="849"/>
      <c r="B18" s="862" t="s">
        <v>57</v>
      </c>
      <c r="C18" s="862"/>
      <c r="D18" s="849"/>
      <c r="E18" s="849"/>
      <c r="F18" s="849"/>
      <c r="G18" s="849"/>
      <c r="H18" s="849"/>
      <c r="I18" s="847"/>
      <c r="J18" s="849"/>
      <c r="K18" s="849"/>
      <c r="L18" s="849"/>
      <c r="M18" s="849"/>
      <c r="N18" s="849"/>
      <c r="O18" s="859"/>
      <c r="P18" s="860"/>
      <c r="Q18" s="860"/>
      <c r="R18" s="860"/>
      <c r="S18" s="860"/>
      <c r="T18" s="860"/>
      <c r="U18" s="860"/>
      <c r="V18" s="860"/>
      <c r="W18" s="860"/>
      <c r="X18" s="860"/>
      <c r="Y18" s="860"/>
      <c r="Z18" s="860"/>
      <c r="AA18" s="860"/>
      <c r="AB18" s="860"/>
      <c r="AC18" s="860"/>
      <c r="AD18" s="860"/>
      <c r="AE18" s="860"/>
      <c r="AF18" s="860"/>
      <c r="AG18" s="860"/>
      <c r="AH18" s="860"/>
      <c r="AI18" s="860"/>
      <c r="AJ18" s="860"/>
      <c r="AK18" s="860"/>
      <c r="AL18" s="860"/>
      <c r="AM18" s="860"/>
      <c r="AN18" s="860"/>
    </row>
    <row r="19" spans="1:40" ht="15">
      <c r="A19" s="849" t="s">
        <v>142</v>
      </c>
      <c r="B19" s="862"/>
      <c r="C19" s="862"/>
      <c r="D19" s="872"/>
      <c r="E19" s="872">
        <f>Master!H7</f>
        <v>13.5</v>
      </c>
      <c r="F19" s="872">
        <f>Master!I7</f>
        <v>12.63</v>
      </c>
      <c r="G19" s="872">
        <f>Master!J7</f>
        <v>12.44</v>
      </c>
      <c r="H19" s="872">
        <f>Master!K7</f>
        <v>13.16</v>
      </c>
      <c r="I19" s="872">
        <f>Master!L7</f>
        <v>12.76</v>
      </c>
      <c r="J19" s="872">
        <f>Master!M7</f>
        <v>13.31</v>
      </c>
      <c r="K19" s="872">
        <f>Master!N7</f>
        <v>15.87</v>
      </c>
      <c r="L19" s="872">
        <f>Master!O7</f>
        <v>18.850000000000001</v>
      </c>
      <c r="M19" s="872">
        <f>Master!P7</f>
        <v>18.899999999999999</v>
      </c>
      <c r="N19" s="872">
        <f>Master!Q7</f>
        <v>19.25</v>
      </c>
      <c r="O19" s="872">
        <f>Master!R7</f>
        <v>19.25</v>
      </c>
      <c r="P19" s="872">
        <f>Master!S7</f>
        <v>21.48</v>
      </c>
      <c r="Q19" s="872">
        <f>Master!T7</f>
        <v>20.285521077724361</v>
      </c>
      <c r="R19" s="872">
        <f>Master!U7</f>
        <v>20.11</v>
      </c>
      <c r="S19" s="872">
        <f>Master!V7</f>
        <v>17.7</v>
      </c>
      <c r="T19" s="872">
        <f>Master!W7</f>
        <v>18.3</v>
      </c>
      <c r="U19" s="872">
        <f>Master!X7</f>
        <v>19.190000000000001</v>
      </c>
      <c r="V19" s="872">
        <f>Master!Y7</f>
        <v>17.364999999999998</v>
      </c>
      <c r="W19" s="872">
        <f>Master!Z7</f>
        <v>17.712299999999999</v>
      </c>
      <c r="X19" s="872">
        <f>Master!AA7</f>
        <v>18.066545999999999</v>
      </c>
      <c r="Y19" s="872">
        <f>Master!AB7</f>
        <v>18.427876919999999</v>
      </c>
      <c r="Z19" s="872">
        <f>Master!AC7</f>
        <v>18.7964344584</v>
      </c>
      <c r="AA19" s="872">
        <f>Master!AD7</f>
        <v>19.172363147567999</v>
      </c>
      <c r="AB19" s="872">
        <f>Master!AE7</f>
        <v>19.55581041051936</v>
      </c>
      <c r="AC19" s="872">
        <f>Master!AF7</f>
        <v>19.946926618729748</v>
      </c>
      <c r="AD19" s="872">
        <f>Master!AG7</f>
        <v>20.345865151104341</v>
      </c>
      <c r="AE19" s="872">
        <f>Master!AH7</f>
        <v>20.752782454126429</v>
      </c>
      <c r="AF19" s="872"/>
      <c r="AG19" s="872"/>
      <c r="AH19" s="872"/>
      <c r="AI19" s="872"/>
      <c r="AJ19" s="872"/>
      <c r="AK19" s="860"/>
      <c r="AL19" s="860"/>
      <c r="AM19" s="860"/>
      <c r="AN19" s="860"/>
    </row>
    <row r="20" spans="1:40" ht="15">
      <c r="A20" s="849" t="s">
        <v>153</v>
      </c>
      <c r="B20" s="862"/>
      <c r="C20" s="862"/>
      <c r="D20" s="848"/>
      <c r="E20" s="848">
        <f t="shared" ref="E20:N20" si="10">E19*E10</f>
        <v>22125.849923076923</v>
      </c>
      <c r="F20" s="848">
        <f t="shared" si="10"/>
        <v>20560.28826615385</v>
      </c>
      <c r="G20" s="848">
        <f t="shared" si="10"/>
        <v>20615.711134427347</v>
      </c>
      <c r="H20" s="848">
        <f t="shared" si="10"/>
        <v>22025.392954803425</v>
      </c>
      <c r="I20" s="848">
        <f t="shared" si="10"/>
        <v>21441.681299829062</v>
      </c>
      <c r="J20" s="848">
        <f t="shared" si="10"/>
        <v>22536.084281709402</v>
      </c>
      <c r="K20" s="848">
        <f t="shared" si="10"/>
        <v>26903.425432307689</v>
      </c>
      <c r="L20" s="848">
        <f t="shared" si="10"/>
        <v>31955.234366666667</v>
      </c>
      <c r="M20" s="848">
        <f t="shared" si="10"/>
        <v>32039.996261538457</v>
      </c>
      <c r="N20" s="848">
        <f t="shared" si="10"/>
        <v>32619.841132905982</v>
      </c>
      <c r="O20" s="848">
        <f t="shared" ref="O20:U20" si="11">O19*O10</f>
        <v>32234.183013247864</v>
      </c>
      <c r="P20" s="848">
        <f t="shared" si="11"/>
        <v>36086.666682461539</v>
      </c>
      <c r="Q20" s="848">
        <f t="shared" si="11"/>
        <v>34079.927263123231</v>
      </c>
      <c r="R20" s="848">
        <f t="shared" si="11"/>
        <v>33785.049673384616</v>
      </c>
      <c r="S20" s="848">
        <f t="shared" si="11"/>
        <v>28720.932079487178</v>
      </c>
      <c r="T20" s="848">
        <f t="shared" si="11"/>
        <v>28913.179596923077</v>
      </c>
      <c r="U20" s="848">
        <f t="shared" si="11"/>
        <v>29902.493205401708</v>
      </c>
      <c r="V20" s="848">
        <f t="shared" ref="V20:AE20" si="12">V19*V10</f>
        <v>27058.717796341876</v>
      </c>
      <c r="W20" s="848">
        <f t="shared" si="12"/>
        <v>34276.246615622564</v>
      </c>
      <c r="X20" s="848">
        <f t="shared" si="12"/>
        <v>34961.771547935015</v>
      </c>
      <c r="Y20" s="848">
        <f t="shared" si="12"/>
        <v>35661.006978893718</v>
      </c>
      <c r="Z20" s="848">
        <f t="shared" si="12"/>
        <v>36374.227118471594</v>
      </c>
      <c r="AA20" s="848">
        <f t="shared" si="12"/>
        <v>37101.711660841022</v>
      </c>
      <c r="AB20" s="848">
        <f t="shared" si="12"/>
        <v>37843.745894057844</v>
      </c>
      <c r="AC20" s="848">
        <f t="shared" si="12"/>
        <v>38600.620811938999</v>
      </c>
      <c r="AD20" s="848">
        <f t="shared" si="12"/>
        <v>39372.63322817778</v>
      </c>
      <c r="AE20" s="848">
        <f t="shared" si="12"/>
        <v>40160.085892741336</v>
      </c>
      <c r="AF20" s="848"/>
      <c r="AG20" s="848"/>
      <c r="AH20" s="848"/>
      <c r="AI20" s="848"/>
      <c r="AJ20" s="848"/>
      <c r="AK20" s="860"/>
      <c r="AL20" s="860"/>
      <c r="AM20" s="860"/>
      <c r="AN20" s="860"/>
    </row>
    <row r="21" spans="1:40" ht="15">
      <c r="A21" s="849"/>
      <c r="B21" s="862"/>
      <c r="C21" s="862"/>
      <c r="D21" s="848"/>
      <c r="E21" s="848"/>
      <c r="F21" s="848"/>
      <c r="G21" s="848"/>
      <c r="H21" s="848"/>
      <c r="I21" s="848"/>
      <c r="J21" s="848"/>
      <c r="K21" s="848"/>
      <c r="L21" s="848"/>
      <c r="M21" s="860"/>
      <c r="N21" s="860"/>
      <c r="O21" s="860"/>
      <c r="P21" s="848"/>
      <c r="Q21" s="848"/>
      <c r="R21" s="848"/>
      <c r="S21" s="848"/>
      <c r="T21" s="848"/>
      <c r="U21" s="848"/>
      <c r="V21" s="848"/>
      <c r="W21" s="848"/>
      <c r="X21" s="848"/>
      <c r="Y21" s="848"/>
      <c r="Z21" s="848"/>
      <c r="AA21" s="848"/>
      <c r="AB21" s="848"/>
      <c r="AC21" s="848"/>
      <c r="AD21" s="848"/>
      <c r="AE21" s="848"/>
      <c r="AF21" s="848"/>
      <c r="AG21" s="848"/>
      <c r="AH21" s="848"/>
      <c r="AI21" s="848"/>
      <c r="AJ21" s="848"/>
      <c r="AK21" s="860"/>
      <c r="AL21" s="860"/>
      <c r="AM21" s="860"/>
      <c r="AN21" s="860"/>
    </row>
    <row r="22" spans="1:40" ht="15">
      <c r="A22" s="849"/>
      <c r="B22" s="862"/>
      <c r="C22" s="862"/>
      <c r="D22" s="848"/>
      <c r="E22" s="848"/>
      <c r="F22" s="848"/>
      <c r="G22" s="848"/>
      <c r="H22" s="848"/>
      <c r="I22" s="848"/>
      <c r="J22" s="848"/>
      <c r="K22" s="848"/>
      <c r="L22" s="848"/>
      <c r="M22" s="860"/>
      <c r="N22" s="860"/>
      <c r="O22" s="860"/>
      <c r="P22" s="848"/>
      <c r="Q22" s="848"/>
      <c r="R22" s="848"/>
      <c r="S22" s="848"/>
      <c r="T22" s="848"/>
      <c r="U22" s="848"/>
      <c r="V22" s="848"/>
      <c r="W22" s="848"/>
      <c r="X22" s="848"/>
      <c r="Y22" s="848"/>
      <c r="Z22" s="848"/>
      <c r="AA22" s="848"/>
      <c r="AB22" s="848"/>
      <c r="AC22" s="848"/>
      <c r="AD22" s="848"/>
      <c r="AE22" s="848"/>
      <c r="AF22" s="848"/>
      <c r="AG22" s="848"/>
      <c r="AH22" s="848"/>
      <c r="AI22" s="848"/>
      <c r="AJ22" s="848"/>
      <c r="AK22" s="860"/>
      <c r="AL22" s="860"/>
      <c r="AM22" s="860"/>
      <c r="AN22" s="860"/>
    </row>
    <row r="23" spans="1:40" ht="15">
      <c r="A23" s="868" t="s">
        <v>154</v>
      </c>
      <c r="B23" s="862"/>
      <c r="C23" s="862"/>
      <c r="D23" s="849"/>
      <c r="E23" s="849"/>
      <c r="F23" s="847"/>
      <c r="G23" s="849"/>
      <c r="H23" s="847"/>
      <c r="I23" s="847"/>
      <c r="J23" s="849"/>
      <c r="K23" s="849"/>
      <c r="L23" s="849"/>
      <c r="M23" s="860"/>
      <c r="N23" s="860"/>
      <c r="O23" s="862"/>
      <c r="P23" s="862"/>
      <c r="Q23" s="862"/>
      <c r="R23" s="849"/>
      <c r="S23" s="862"/>
      <c r="T23" s="862"/>
      <c r="U23" s="862"/>
      <c r="V23" s="862"/>
      <c r="W23" s="849"/>
      <c r="X23" s="849"/>
      <c r="Y23" s="849"/>
      <c r="Z23" s="849"/>
      <c r="AA23" s="849"/>
      <c r="AB23" s="849"/>
      <c r="AC23" s="849"/>
      <c r="AD23" s="849"/>
      <c r="AE23" s="849"/>
      <c r="AF23" s="849"/>
      <c r="AG23" s="849"/>
      <c r="AH23" s="849"/>
      <c r="AI23" s="849"/>
      <c r="AJ23" s="849"/>
      <c r="AK23" s="860"/>
      <c r="AL23" s="860"/>
      <c r="AM23" s="860"/>
      <c r="AN23" s="860"/>
    </row>
    <row r="24" spans="1:40" ht="15">
      <c r="A24" s="849" t="s">
        <v>155</v>
      </c>
      <c r="B24" s="862"/>
      <c r="C24" s="862"/>
      <c r="D24" s="862"/>
      <c r="E24" s="862">
        <f>Master!H140/E$19</f>
        <v>1487.9259259259259</v>
      </c>
      <c r="F24" s="862">
        <f>Master!I140/F$19</f>
        <v>1707.6801266825019</v>
      </c>
      <c r="G24" s="862">
        <f>Master!J140/G$19</f>
        <v>1899.911575562701</v>
      </c>
      <c r="H24" s="862">
        <f>Master!K140/H$19</f>
        <v>2022.3252279635258</v>
      </c>
      <c r="I24" s="862">
        <f>Master!L140/I$19</f>
        <v>2210.468408356191</v>
      </c>
      <c r="J24" s="862">
        <f>Master!M140/J$19</f>
        <v>2254.5379413974456</v>
      </c>
      <c r="K24" s="862">
        <f>Master!N140/K$19</f>
        <v>2040.0315059861371</v>
      </c>
      <c r="L24" s="862">
        <f>Master!O140/L$19</f>
        <v>1781.3209549071614</v>
      </c>
      <c r="M24" s="862">
        <f>Master!P140/M$19</f>
        <v>1734.3915343915346</v>
      </c>
      <c r="N24" s="862">
        <f>Master!Q140/N$19</f>
        <v>1899.8701298701299</v>
      </c>
      <c r="O24" s="862">
        <f>Master!R140/O$19</f>
        <v>1985.3558441558441</v>
      </c>
      <c r="P24" s="862">
        <f>Master!S140/P$19</f>
        <v>1806.810986964618</v>
      </c>
      <c r="Q24" s="862">
        <f>Master!T140/Q$19</f>
        <v>2149.39511945193</v>
      </c>
      <c r="R24" s="862">
        <f>Master!U140/R$19</f>
        <v>1269.8175037294877</v>
      </c>
      <c r="S24" s="862">
        <f>Master!V140/S$19</f>
        <v>1362.9717514124295</v>
      </c>
      <c r="T24" s="862">
        <f>Master!W140/T$19</f>
        <v>966.77683060109268</v>
      </c>
      <c r="U24" s="862">
        <f>Master!X140/U$19</f>
        <v>1114.4033350703492</v>
      </c>
      <c r="V24" s="862">
        <f>Master!Y140/V$19</f>
        <v>1248.6632557746232</v>
      </c>
      <c r="W24" s="862">
        <f>Master!Z140/W$19</f>
        <v>1199.2317871252098</v>
      </c>
      <c r="X24" s="862">
        <f>Master!AA140/X$19</f>
        <v>1147.0111309830852</v>
      </c>
      <c r="Y24" s="862">
        <f>Master!AB140/Y$19</f>
        <v>1126.3805467189595</v>
      </c>
      <c r="Z24" s="862">
        <f>Master!AC140/Z$19</f>
        <v>1122.7568190019381</v>
      </c>
      <c r="AA24" s="862">
        <f>Master!AD140/AA$19</f>
        <v>1128.5038447081065</v>
      </c>
      <c r="AB24" s="862">
        <f>Master!AE140/AB$19</f>
        <v>1129.5495236935265</v>
      </c>
      <c r="AC24" s="862">
        <f>Master!AF140/AC$19</f>
        <v>1128.260558356197</v>
      </c>
      <c r="AD24" s="862">
        <f>Master!AG140/AD$19</f>
        <v>1106.2389043812489</v>
      </c>
      <c r="AE24" s="862">
        <f>Master!AH140/AE$19</f>
        <v>1096.92973267917</v>
      </c>
      <c r="AF24" s="862"/>
      <c r="AG24" s="862"/>
      <c r="AH24" s="862"/>
      <c r="AI24" s="862"/>
      <c r="AJ24" s="862"/>
      <c r="AK24" s="860"/>
      <c r="AL24" s="860">
        <f>(X24/U24)^(1/3)-1</f>
        <v>9.6598266077307926E-3</v>
      </c>
      <c r="AM24" s="860"/>
      <c r="AN24" s="860"/>
    </row>
    <row r="25" spans="1:40" ht="15">
      <c r="A25" s="849" t="s">
        <v>8190</v>
      </c>
      <c r="B25" s="862"/>
      <c r="C25" s="862"/>
      <c r="D25" s="862"/>
      <c r="E25" s="862"/>
      <c r="F25" s="862"/>
      <c r="G25" s="862"/>
      <c r="H25" s="862"/>
      <c r="I25" s="862"/>
      <c r="J25" s="862"/>
      <c r="K25" s="862"/>
      <c r="L25" s="862"/>
      <c r="M25" s="862"/>
      <c r="N25" s="862"/>
      <c r="O25" s="862"/>
      <c r="P25" s="862"/>
      <c r="Q25" s="862"/>
      <c r="R25" s="862"/>
      <c r="S25" s="862"/>
      <c r="T25" s="862"/>
      <c r="U25" s="862">
        <f>Master!X210/U19</f>
        <v>20.673110995310051</v>
      </c>
      <c r="V25" s="862">
        <f>Master!Y210/V19</f>
        <v>-1.7615185249224898</v>
      </c>
      <c r="W25" s="862">
        <f>Master!Z210/W19</f>
        <v>-3.3140151654343279</v>
      </c>
      <c r="X25" s="862">
        <f>Master!AA210/X19</f>
        <v>-4.3845519065913336</v>
      </c>
      <c r="Y25" s="862">
        <f>Master!AB210/Y19</f>
        <v>-3.4262423816427212</v>
      </c>
      <c r="Z25" s="862">
        <f>Master!AC210/Z19</f>
        <v>0.23555468981536876</v>
      </c>
      <c r="AA25" s="862">
        <f>Master!AD210/AA19</f>
        <v>-1.9797182968376823</v>
      </c>
      <c r="AB25" s="862">
        <f>Master!AE210/AB19</f>
        <v>-2.9467987596759513</v>
      </c>
      <c r="AC25" s="862">
        <f>Master!AF210/AC19</f>
        <v>-3.5255870115189554</v>
      </c>
      <c r="AD25" s="862">
        <f>Master!AG210/AD19</f>
        <v>-3.2325963114534462</v>
      </c>
      <c r="AE25" s="862">
        <f>Master!AH210/AE19</f>
        <v>-3.0723266699208516</v>
      </c>
      <c r="AF25" s="862"/>
      <c r="AG25" s="862"/>
      <c r="AH25" s="862"/>
      <c r="AI25" s="862"/>
      <c r="AJ25" s="862"/>
      <c r="AK25" s="860"/>
      <c r="AL25" s="860"/>
      <c r="AM25" s="860"/>
      <c r="AN25" s="860"/>
    </row>
    <row r="26" spans="1:40" ht="15">
      <c r="A26" s="849" t="s">
        <v>156</v>
      </c>
      <c r="B26" s="862"/>
      <c r="C26" s="862"/>
      <c r="D26" s="862"/>
      <c r="E26" s="862">
        <f>-Master!H87/Master!H$7</f>
        <v>-499.3</v>
      </c>
      <c r="F26" s="862">
        <f>-Master!I87/Master!I$7</f>
        <v>-1011</v>
      </c>
      <c r="G26" s="862">
        <f>-Master!J87/Master!J$7</f>
        <v>-791</v>
      </c>
      <c r="H26" s="862">
        <f>-Master!K87/Master!K$7</f>
        <v>-881.00000000000011</v>
      </c>
      <c r="I26" s="862">
        <f>-Master!L87/Master!L$7</f>
        <v>-1157.8</v>
      </c>
      <c r="J26" s="862">
        <f>-Master!M87/Master!M$7</f>
        <v>-1273.0999999999999</v>
      </c>
      <c r="K26" s="862">
        <f>-Master!N87/Master!N$7</f>
        <v>-1605.4</v>
      </c>
      <c r="L26" s="862">
        <f>-Master!O87/Master!O$7</f>
        <v>-1480.8</v>
      </c>
      <c r="M26" s="862">
        <f>-Master!P87/Master!P$7</f>
        <v>-884.69999999999993</v>
      </c>
      <c r="N26" s="862">
        <f>-Master!Q87/Master!Q$7</f>
        <v>-969.40000000000009</v>
      </c>
      <c r="O26" s="862">
        <f>-Master!R87/Master!R$7</f>
        <v>-990.5</v>
      </c>
      <c r="P26" s="862">
        <f>-Master!S87/Master!S$7</f>
        <v>-939.39999999999986</v>
      </c>
      <c r="Q26" s="862">
        <f>-Master!T87/Master!T$7</f>
        <v>-1149.1000000000001</v>
      </c>
      <c r="R26" s="862">
        <f>-Master!U87/Master!U$7</f>
        <v>-856</v>
      </c>
      <c r="S26" s="862">
        <f>-Master!V87/Master!V$7</f>
        <v>-819.40000000000009</v>
      </c>
      <c r="T26" s="862">
        <f>-Master!W87/Master!W$7</f>
        <v>-497.13114754098359</v>
      </c>
      <c r="U26" s="862">
        <f>-Master!X87/Master!X$7</f>
        <v>-635.04950495049502</v>
      </c>
      <c r="V26" s="862">
        <f>-Master!Y87/Master!Y$7</f>
        <v>-822.24052330950258</v>
      </c>
      <c r="W26" s="862">
        <f>-Master!Z87/Master!Z$7</f>
        <v>-630.59194795265967</v>
      </c>
      <c r="X26" s="862">
        <f>-Master!AA87/Master!AA$7</f>
        <v>-569.88884269967753</v>
      </c>
      <c r="Y26" s="862">
        <f>-Master!AB87/Master!AB$7</f>
        <v>-543.05558500626523</v>
      </c>
      <c r="Z26" s="862">
        <f>-Master!AC87/Master!AC$7</f>
        <v>-523.66311190781551</v>
      </c>
      <c r="AA26" s="862">
        <f>-Master!AD87/Master!AD$7</f>
        <v>-508.36701479859192</v>
      </c>
      <c r="AB26" s="862">
        <f>-Master!AE87/Master!AE$7</f>
        <v>-496.90064670193129</v>
      </c>
      <c r="AC26" s="862">
        <f>-Master!AF87/Master!AF$7</f>
        <v>-483.70475197517999</v>
      </c>
      <c r="AD26" s="862">
        <f>-Master!AG87/Master!AG$7</f>
        <v>-468.68224048770969</v>
      </c>
      <c r="AE26" s="862">
        <f>-Master!AH87/Master!AH$7</f>
        <v>-462.01953113220964</v>
      </c>
      <c r="AF26" s="862"/>
      <c r="AG26" s="862"/>
      <c r="AH26" s="862"/>
      <c r="AI26" s="862"/>
      <c r="AJ26" s="862"/>
      <c r="AK26" s="860"/>
      <c r="AL26" s="860"/>
      <c r="AM26" s="860"/>
      <c r="AN26" s="860"/>
    </row>
    <row r="27" spans="1:40" ht="15">
      <c r="A27" s="849" t="s">
        <v>8189</v>
      </c>
      <c r="B27" s="862"/>
      <c r="C27" s="862"/>
      <c r="D27" s="862"/>
      <c r="E27" s="862">
        <f>Master!H504/E$19</f>
        <v>-154.2962962962963</v>
      </c>
      <c r="F27" s="862">
        <f>Master!I504/F$19</f>
        <v>-203.24623911322249</v>
      </c>
      <c r="G27" s="862">
        <f>Master!J504/G$19</f>
        <v>-254.50160771704182</v>
      </c>
      <c r="H27" s="862">
        <f>Master!K504/H$19</f>
        <v>-252.65957446808511</v>
      </c>
      <c r="I27" s="862">
        <f>Master!L504/I$19</f>
        <v>-287.85266457680251</v>
      </c>
      <c r="J27" s="862">
        <f>Master!M504/J$19</f>
        <v>-317.35537190082641</v>
      </c>
      <c r="K27" s="862">
        <f>Master!N504/K$19</f>
        <v>-328.35538752362953</v>
      </c>
      <c r="L27" s="862">
        <f>Master!O504/L$19</f>
        <v>-371.26790450928377</v>
      </c>
      <c r="M27" s="862">
        <f>Master!P504/M$19</f>
        <v>-369.15343915343919</v>
      </c>
      <c r="N27" s="862">
        <f>Master!Q504/N$19</f>
        <v>-422.85714285714283</v>
      </c>
      <c r="O27" s="862">
        <f>Master!R504/O$19</f>
        <v>-457.70389610389617</v>
      </c>
      <c r="P27" s="862">
        <f>Master!S504/P$19</f>
        <v>-259.97206703910615</v>
      </c>
      <c r="Q27" s="862">
        <f>Master!T504/Q$19</f>
        <v>-587.51263792218867</v>
      </c>
      <c r="R27" s="862">
        <f>Master!U504/R$19</f>
        <v>-457.79214321233223</v>
      </c>
      <c r="S27" s="862">
        <f>Master!V504/S$19</f>
        <v>-268.44677966101693</v>
      </c>
      <c r="T27" s="862">
        <f>Master!W504/T$19</f>
        <v>-256.56672131147542</v>
      </c>
      <c r="U27" s="862">
        <f>Master!X504/U$19</f>
        <v>-215.75226680562793</v>
      </c>
      <c r="V27" s="862">
        <f ca="1">Master!Y504/V$19</f>
        <v>-283.60765510733631</v>
      </c>
      <c r="W27" s="862">
        <f ca="1">Master!Z504/W$19</f>
        <v>-260.59383469383926</v>
      </c>
      <c r="X27" s="862">
        <f ca="1">Master!AA504/X$19</f>
        <v>-255.37726004357498</v>
      </c>
      <c r="Y27" s="862">
        <f ca="1">Master!AB504/Y$19</f>
        <v>-249.37625369206037</v>
      </c>
      <c r="Z27" s="862">
        <f ca="1">Master!AC504/Z$19</f>
        <v>-235.62511579973585</v>
      </c>
      <c r="AA27" s="862">
        <f ca="1">Master!AD504/AA$19</f>
        <v>-226.93528099939712</v>
      </c>
      <c r="AB27" s="862">
        <f ca="1">Master!AE504/AB$19</f>
        <v>-219.21923611098262</v>
      </c>
      <c r="AC27" s="862">
        <f ca="1">Master!AF504/AC$19</f>
        <v>-212.79503434199188</v>
      </c>
      <c r="AD27" s="862">
        <f ca="1">Master!AG504/AD$19</f>
        <v>-208.04470901246151</v>
      </c>
      <c r="AE27" s="862">
        <f ca="1">Master!AH504/AE$19</f>
        <v>-198.47968684682388</v>
      </c>
      <c r="AF27" s="862"/>
      <c r="AG27" s="862"/>
      <c r="AH27" s="862"/>
      <c r="AI27" s="862"/>
      <c r="AJ27" s="862"/>
      <c r="AK27" s="860"/>
      <c r="AL27" s="860"/>
      <c r="AM27" s="860"/>
      <c r="AN27" s="860"/>
    </row>
    <row r="28" spans="1:40" ht="15">
      <c r="A28" s="849" t="s">
        <v>8188</v>
      </c>
      <c r="B28" s="862"/>
      <c r="C28" s="862"/>
      <c r="D28" s="862"/>
      <c r="E28" s="862"/>
      <c r="F28" s="862"/>
      <c r="G28" s="862"/>
      <c r="H28" s="862"/>
      <c r="I28" s="862"/>
      <c r="J28" s="862"/>
      <c r="K28" s="862"/>
      <c r="L28" s="862"/>
      <c r="M28" s="862"/>
      <c r="N28" s="862"/>
      <c r="O28" s="862">
        <f>-Master!R246/O$19</f>
        <v>-31.168831168831169</v>
      </c>
      <c r="P28" s="862">
        <f>-Master!S246/P$19</f>
        <v>-9.6834264432029791</v>
      </c>
      <c r="Q28" s="862">
        <f>-Master!T246/Q$19</f>
        <v>-10.647988738982443</v>
      </c>
      <c r="R28" s="862">
        <f>-Master!U246/R$19</f>
        <v>-12.381899552461462</v>
      </c>
      <c r="S28" s="862">
        <f>-Master!V246/S$19</f>
        <v>-75.98881355932204</v>
      </c>
      <c r="T28" s="862">
        <f>-Master!W246/T$19</f>
        <v>-69.235846994535521</v>
      </c>
      <c r="U28" s="862">
        <f>-Master!X246/U$19</f>
        <v>-78.213496612819185</v>
      </c>
      <c r="V28" s="862">
        <f>-Master!Y246/V$19</f>
        <v>-89.026461848545949</v>
      </c>
      <c r="W28" s="862">
        <f>-Master!Z246/W$19</f>
        <v>-89.8992702980415</v>
      </c>
      <c r="X28" s="862">
        <f>-Master!AA246/X$19</f>
        <v>-90.780635693120345</v>
      </c>
      <c r="Y28" s="862">
        <f>-Master!AB246/Y$19</f>
        <v>-91.670641925405846</v>
      </c>
      <c r="Z28" s="862">
        <f>-Master!AC246/Z$19</f>
        <v>-92.569373708988252</v>
      </c>
      <c r="AA28" s="862">
        <f>-Master!AD246/AA$19</f>
        <v>-93.476916588488137</v>
      </c>
      <c r="AB28" s="862">
        <f>-Master!AE246/AB$19</f>
        <v>-94.393356947198811</v>
      </c>
      <c r="AC28" s="862">
        <f>-Master!AF246/AC$19</f>
        <v>-95.318782015308599</v>
      </c>
      <c r="AD28" s="862">
        <f>-Master!AG246/AD$19</f>
        <v>-96.253279878203784</v>
      </c>
      <c r="AE28" s="862">
        <f>-Master!AH246/AE$19</f>
        <v>-97.196939484852834</v>
      </c>
      <c r="AF28" s="862"/>
      <c r="AG28" s="862"/>
      <c r="AH28" s="862"/>
      <c r="AI28" s="862"/>
      <c r="AJ28" s="862"/>
      <c r="AK28" s="860"/>
      <c r="AL28" s="860"/>
      <c r="AM28" s="860"/>
      <c r="AN28" s="860"/>
    </row>
    <row r="29" spans="1:40" ht="15">
      <c r="A29" s="849" t="s">
        <v>158</v>
      </c>
      <c r="B29" s="862"/>
      <c r="C29" s="862"/>
      <c r="D29" s="862"/>
      <c r="E29" s="862">
        <f>-Master!H405/E$19</f>
        <v>-231.18518518518519</v>
      </c>
      <c r="F29" s="862">
        <f>-Master!I405/F$19</f>
        <v>-258.03642121931904</v>
      </c>
      <c r="G29" s="862">
        <f>-Master!J405/G$19</f>
        <v>-274.11575562700966</v>
      </c>
      <c r="H29" s="862">
        <f>-Master!K405/H$19</f>
        <v>-307.97872340425533</v>
      </c>
      <c r="I29" s="862">
        <f>-Master!L405/I$19</f>
        <v>-292.24137931034477</v>
      </c>
      <c r="J29" s="862">
        <f>-Master!M405/J$19</f>
        <v>-224.11720510894062</v>
      </c>
      <c r="K29" s="862">
        <f>-Master!N405/K$19</f>
        <v>-277.03591682419659</v>
      </c>
      <c r="L29" s="862">
        <f>-Master!O405/L$19</f>
        <v>-385.62334217506628</v>
      </c>
      <c r="M29" s="862">
        <f>-Master!P405/M$19</f>
        <v>-339.6825396825397</v>
      </c>
      <c r="N29" s="862">
        <f>-Master!Q405/N$19</f>
        <v>-349.24675324675326</v>
      </c>
      <c r="O29" s="862">
        <f>-Master!R405/O$19</f>
        <v>-238.62337662337663</v>
      </c>
      <c r="P29" s="862">
        <f>-Master!S405/P$19</f>
        <v>-404.14338919925513</v>
      </c>
      <c r="Q29" s="862">
        <f>-Master!T405/Q$19</f>
        <v>-451.84937398848649</v>
      </c>
      <c r="R29" s="862">
        <f>-Master!U405/R$19</f>
        <v>-606.06663351566385</v>
      </c>
      <c r="S29" s="862">
        <f>-Master!V405/S$19</f>
        <v>-396.28864406779661</v>
      </c>
      <c r="T29" s="862">
        <f>-Master!W405/T$19</f>
        <v>-44.383333333333333</v>
      </c>
      <c r="U29" s="862">
        <f>-Master!X405/U$19</f>
        <v>1.2506513809275663</v>
      </c>
      <c r="V29" s="862">
        <f ca="1">-Master!Y405/V$19</f>
        <v>-21.838725918853196</v>
      </c>
      <c r="W29" s="862">
        <f ca="1">-Master!Z405/W$19</f>
        <v>-29.591177757488222</v>
      </c>
      <c r="X29" s="862">
        <f ca="1">-Master!AA405/X$19</f>
        <v>-38.216882294623858</v>
      </c>
      <c r="Y29" s="862">
        <f ca="1">-Master!AB405/Y$19</f>
        <v>-55.601035676322624</v>
      </c>
      <c r="Z29" s="862">
        <f ca="1">-Master!AC405/Z$19</f>
        <v>-78.209205294838412</v>
      </c>
      <c r="AA29" s="862">
        <f ca="1">-Master!AD405/AA$19</f>
        <v>-99.570457608375392</v>
      </c>
      <c r="AB29" s="862">
        <f ca="1">-Master!AE405/AB$19</f>
        <v>-117.0375622869422</v>
      </c>
      <c r="AC29" s="862">
        <f ca="1">-Master!AF405/AC$19</f>
        <v>-131.69326091974082</v>
      </c>
      <c r="AD29" s="862">
        <f ca="1">-Master!AG405/AD$19</f>
        <v>-137.94931387337382</v>
      </c>
      <c r="AE29" s="862">
        <f ca="1">-Master!AH405/AE$19</f>
        <v>-147.90048453190977</v>
      </c>
      <c r="AF29" s="862"/>
      <c r="AG29" s="862"/>
      <c r="AH29" s="862"/>
      <c r="AI29" s="862"/>
      <c r="AJ29" s="862"/>
      <c r="AK29" s="860"/>
      <c r="AL29" s="860"/>
      <c r="AM29" s="860"/>
      <c r="AN29" s="860"/>
    </row>
    <row r="30" spans="1:40" ht="15">
      <c r="A30" s="849" t="s">
        <v>159</v>
      </c>
      <c r="B30" s="862"/>
      <c r="C30" s="862"/>
      <c r="D30" s="862"/>
      <c r="E30" s="862"/>
      <c r="F30" s="862"/>
      <c r="G30" s="862"/>
      <c r="H30" s="862"/>
      <c r="I30" s="862"/>
      <c r="J30" s="862"/>
      <c r="K30" s="862">
        <f>-Master!N261/K$19</f>
        <v>-103.0119722747322</v>
      </c>
      <c r="L30" s="862">
        <f>-Master!O261/L$19</f>
        <v>-147.90450928381961</v>
      </c>
      <c r="M30" s="862">
        <f>-Master!P261/M$19</f>
        <v>-87.248677248677254</v>
      </c>
      <c r="N30" s="862">
        <f>-Master!Q261/N$19</f>
        <v>-404.10389610389609</v>
      </c>
      <c r="O30" s="862">
        <f>-Master!R261/O$19</f>
        <v>-109.45454545454545</v>
      </c>
      <c r="P30" s="862">
        <f>-Master!S261/P$19</f>
        <v>-57.495344506517689</v>
      </c>
      <c r="Q30" s="862">
        <f>-Master!T261/Q$19</f>
        <v>-93.633286161218763</v>
      </c>
      <c r="R30" s="862">
        <f>-Master!U261/R$19</f>
        <v>-89.855793137742424</v>
      </c>
      <c r="S30" s="862">
        <f>-Master!V261/S$19</f>
        <v>-105.63316384180791</v>
      </c>
      <c r="T30" s="862">
        <f>-Master!W261/T$19</f>
        <v>-75.347213114754098</v>
      </c>
      <c r="U30" s="862">
        <f>-Master!X261/U$19</f>
        <v>-67.071912454403332</v>
      </c>
      <c r="V30" s="862">
        <f>-Master!Y261/V$19</f>
        <v>-74.120932911027936</v>
      </c>
      <c r="W30" s="862">
        <f>-Master!Z261/W$19</f>
        <v>-72.667581285321504</v>
      </c>
      <c r="X30" s="862">
        <f>-Master!AA261/X$19</f>
        <v>-71.2427267503152</v>
      </c>
      <c r="Y30" s="862">
        <f>-Master!AB261/Y$19</f>
        <v>-69.845810539524706</v>
      </c>
      <c r="Z30" s="862">
        <f>-Master!AC261/Z$19</f>
        <v>-68.476284842671276</v>
      </c>
      <c r="AA30" s="862">
        <f>-Master!AD261/AA$19</f>
        <v>-67.133612590854185</v>
      </c>
      <c r="AB30" s="862">
        <f>-Master!AE261/AB$19</f>
        <v>-65.817267245935483</v>
      </c>
      <c r="AC30" s="862">
        <f>-Master!AF261/AC$19</f>
        <v>-64.526732594054394</v>
      </c>
      <c r="AD30" s="862">
        <f>-Master!AG261/AD$19</f>
        <v>-63.261502543190581</v>
      </c>
      <c r="AE30" s="862">
        <f>-Master!AH261/AE$19</f>
        <v>-62.021080924696648</v>
      </c>
      <c r="AF30" s="862"/>
      <c r="AG30" s="862"/>
      <c r="AH30" s="862"/>
      <c r="AI30" s="862"/>
      <c r="AJ30" s="862"/>
      <c r="AK30" s="860"/>
      <c r="AL30" s="860"/>
      <c r="AM30" s="860"/>
      <c r="AN30" s="860"/>
    </row>
    <row r="31" spans="1:40" ht="15">
      <c r="A31" s="849" t="s">
        <v>160</v>
      </c>
      <c r="B31" s="862"/>
      <c r="C31" s="862"/>
      <c r="D31" s="862"/>
      <c r="E31" s="862">
        <f>-Master!H445/E$19</f>
        <v>-42.666666666666664</v>
      </c>
      <c r="F31" s="862">
        <f>-Master!I445/F$19</f>
        <v>-65.954077593032451</v>
      </c>
      <c r="G31" s="862">
        <f>-Master!J445/G$19</f>
        <v>-103.77813504823152</v>
      </c>
      <c r="H31" s="862">
        <f>-Master!K445/H$19</f>
        <v>-99.468085106382972</v>
      </c>
      <c r="I31" s="862">
        <f>-Master!L445/I$19</f>
        <v>-104.70219435736678</v>
      </c>
      <c r="J31" s="862">
        <f>-Master!M445/J$19</f>
        <v>-95.634861006761838</v>
      </c>
      <c r="K31" s="862">
        <f>-Master!N445/K$19</f>
        <v>-89.873976055450541</v>
      </c>
      <c r="L31" s="862">
        <f>-Master!O445/L$19</f>
        <v>-85.517241379310335</v>
      </c>
      <c r="M31" s="862">
        <f>-Master!P445/M$19</f>
        <v>-108.62433862433863</v>
      </c>
      <c r="N31" s="862">
        <f>-Master!Q445/N$19</f>
        <v>-83.428571428571431</v>
      </c>
      <c r="O31" s="862">
        <f>-Master!R445/O$19</f>
        <v>-76.919480519480516</v>
      </c>
      <c r="P31" s="862">
        <f>-Master!S445/P$19</f>
        <v>-72.918994413407816</v>
      </c>
      <c r="Q31" s="862">
        <f>-Master!T456/Q$19</f>
        <v>-16.207323378102842</v>
      </c>
      <c r="R31" s="862">
        <f>-Master!U456/R$19</f>
        <v>0</v>
      </c>
      <c r="S31" s="862">
        <f>-Master!V456/S$19</f>
        <v>0</v>
      </c>
      <c r="T31" s="862">
        <f>-Master!W456/T$19</f>
        <v>0</v>
      </c>
      <c r="U31" s="862">
        <f>-Master!X456/U$19</f>
        <v>-6.0771756122980713</v>
      </c>
      <c r="V31" s="862">
        <f>-Master!Y456/V$19</f>
        <v>-7.0516585084940981</v>
      </c>
      <c r="W31" s="862">
        <f>-Master!Z456/W$19</f>
        <v>-7.2590602293321602</v>
      </c>
      <c r="X31" s="862">
        <f>-Master!AA456/X$19</f>
        <v>-7.4725620007831068</v>
      </c>
      <c r="Y31" s="862">
        <f>-Master!AB456/Y$19</f>
        <v>-7.6923432361002577</v>
      </c>
      <c r="Z31" s="862">
        <f>-Master!AC456/Z$19</f>
        <v>-7.918588625397323</v>
      </c>
      <c r="AA31" s="862">
        <f>-Master!AD456/AA$19</f>
        <v>-8.1514882908501853</v>
      </c>
      <c r="AB31" s="862">
        <f>-Master!AE456/AB$19</f>
        <v>-8.391237946463427</v>
      </c>
      <c r="AC31" s="862">
        <f>-Master!AF456/AC$19</f>
        <v>-8.6380390625358814</v>
      </c>
      <c r="AD31" s="862">
        <f>-Master!AG456/AD$19</f>
        <v>-8.8920990349634064</v>
      </c>
      <c r="AE31" s="862">
        <f>-Master!AH456/AE$19</f>
        <v>-9.1536313595211549</v>
      </c>
      <c r="AF31" s="862"/>
      <c r="AG31" s="862"/>
      <c r="AH31" s="862"/>
      <c r="AI31" s="862"/>
      <c r="AJ31" s="862"/>
      <c r="AK31" s="860"/>
      <c r="AL31" s="860"/>
      <c r="AM31" s="860"/>
      <c r="AN31" s="860"/>
    </row>
    <row r="32" spans="1:40" ht="15">
      <c r="A32" s="870" t="s">
        <v>161</v>
      </c>
      <c r="B32" s="871"/>
      <c r="C32" s="871"/>
      <c r="D32" s="871"/>
      <c r="E32" s="871"/>
      <c r="F32" s="871"/>
      <c r="G32" s="871"/>
      <c r="H32" s="871"/>
      <c r="I32" s="871"/>
      <c r="J32" s="871"/>
      <c r="K32" s="871"/>
      <c r="L32" s="871"/>
      <c r="M32" s="871"/>
      <c r="N32" s="871"/>
      <c r="O32" s="871"/>
      <c r="P32" s="871"/>
      <c r="Q32" s="871"/>
      <c r="R32" s="871">
        <f>VOD!F170+VOD!F200+VOD!F203*SOP!$C$17</f>
        <v>59.25</v>
      </c>
      <c r="S32" s="871">
        <f>VOD!G170+VOD!G200+VOD!G203*SOP!$C$17</f>
        <v>60.33</v>
      </c>
      <c r="T32" s="871">
        <f>VOD!H170+VOD!H200+VOD!H203*SOP!$C$17</f>
        <v>59.835000000000001</v>
      </c>
      <c r="U32" s="871">
        <f>VOD!I170+VOD!I200+VOD!I203*SOP!$C$17</f>
        <v>60.284999999999997</v>
      </c>
      <c r="V32" s="871">
        <f>VOD!J170+VOD!J200+VOD!J203*SOP!$C$17</f>
        <v>46.560403739999956</v>
      </c>
      <c r="W32" s="871">
        <f>VOD!K170+VOD!K200+VOD!K203*SOP!$C$17</f>
        <v>61.09423556946598</v>
      </c>
      <c r="X32" s="871">
        <f>VOD!L170+VOD!L200+VOD!L203*SOP!$C$17</f>
        <v>71.035707051709693</v>
      </c>
      <c r="Y32" s="871">
        <f>VOD!M170+VOD!M200+VOD!M203*SOP!$C$17</f>
        <v>78.943221620044625</v>
      </c>
      <c r="Z32" s="871">
        <f>VOD!N170+VOD!N200+VOD!N203*SOP!$C$17</f>
        <v>86.427642577071396</v>
      </c>
      <c r="AA32" s="871">
        <f>VOD!O170+VOD!O200+VOD!O203*SOP!$C$17</f>
        <v>92.784835292735949</v>
      </c>
      <c r="AB32" s="871">
        <f>VOD!P170+VOD!P200+VOD!P203*SOP!$C$17</f>
        <v>98.29283905853724</v>
      </c>
      <c r="AC32" s="871">
        <f>VOD!Q170+VOD!Q200+VOD!Q203*SOP!$C$17</f>
        <v>103.3638812254199</v>
      </c>
      <c r="AD32" s="871">
        <f>VOD!R170+VOD!R200+VOD!R203*SOP!$C$17</f>
        <v>107.40711243770126</v>
      </c>
      <c r="AE32" s="871">
        <f>VOD!S170+VOD!S200+VOD!S203*SOP!$C$17</f>
        <v>110.31231961430599</v>
      </c>
      <c r="AF32" s="862"/>
      <c r="AG32" s="862"/>
      <c r="AH32" s="862"/>
      <c r="AI32" s="862"/>
      <c r="AJ32" s="862"/>
      <c r="AK32" s="860"/>
      <c r="AL32" s="860"/>
      <c r="AM32" s="860"/>
      <c r="AN32" s="860"/>
    </row>
    <row r="33" spans="1:40" ht="15">
      <c r="A33" s="854" t="s">
        <v>154</v>
      </c>
      <c r="B33" s="867"/>
      <c r="C33" s="867"/>
      <c r="D33" s="867"/>
      <c r="E33" s="867">
        <f>SUM(E24:E31)</f>
        <v>560.47777777777776</v>
      </c>
      <c r="F33" s="867">
        <f>SUM(F24:F31)</f>
        <v>169.44338875692787</v>
      </c>
      <c r="G33" s="867">
        <f>SUM(G24:G31)</f>
        <v>476.51607717041804</v>
      </c>
      <c r="H33" s="867">
        <f t="shared" ref="H33:N33" si="13">SUM(H24:H31)</f>
        <v>481.21884498480233</v>
      </c>
      <c r="I33" s="867">
        <f t="shared" si="13"/>
        <v>367.87217011167706</v>
      </c>
      <c r="J33" s="867">
        <f t="shared" si="13"/>
        <v>344.33050338091675</v>
      </c>
      <c r="K33" s="867">
        <f t="shared" si="13"/>
        <v>-363.64574669187192</v>
      </c>
      <c r="L33" s="867">
        <f t="shared" si="13"/>
        <v>-689.7920424403186</v>
      </c>
      <c r="M33" s="867">
        <f t="shared" si="13"/>
        <v>-55.017460317460106</v>
      </c>
      <c r="N33" s="867">
        <f t="shared" si="13"/>
        <v>-329.16623376623386</v>
      </c>
      <c r="O33" s="867">
        <f>SUM(O24:O31)</f>
        <v>80.985714285714238</v>
      </c>
      <c r="P33" s="867">
        <f>SUM(P24:P31)</f>
        <v>63.197765363128397</v>
      </c>
      <c r="Q33" s="867">
        <f>SUM(Q24:Q31)</f>
        <v>-159.55549073704938</v>
      </c>
      <c r="R33" s="867">
        <f t="shared" ref="R33:AE33" si="14">SUM(R24:R32)</f>
        <v>-693.02896568871233</v>
      </c>
      <c r="S33" s="867">
        <f t="shared" si="14"/>
        <v>-242.45564971751406</v>
      </c>
      <c r="T33" s="867">
        <f t="shared" si="14"/>
        <v>83.947568306010737</v>
      </c>
      <c r="U33" s="867">
        <f t="shared" si="14"/>
        <v>194.44774101094319</v>
      </c>
      <c r="V33" s="867">
        <f t="shared" ca="1" si="14"/>
        <v>-4.4238166140593478</v>
      </c>
      <c r="W33" s="867">
        <f t="shared" ca="1" si="14"/>
        <v>166.40913531255921</v>
      </c>
      <c r="X33" s="867">
        <f t="shared" ca="1" si="14"/>
        <v>180.68337664610857</v>
      </c>
      <c r="Y33" s="867">
        <f t="shared" ca="1" si="14"/>
        <v>184.6558558816825</v>
      </c>
      <c r="Z33" s="867">
        <f t="shared" ca="1" si="14"/>
        <v>202.95833608937829</v>
      </c>
      <c r="AA33" s="867">
        <f t="shared" ca="1" si="14"/>
        <v>215.67419082744763</v>
      </c>
      <c r="AB33" s="867">
        <f t="shared" ca="1" si="14"/>
        <v>223.13625675293406</v>
      </c>
      <c r="AC33" s="867">
        <f t="shared" ca="1" si="14"/>
        <v>231.42225166128623</v>
      </c>
      <c r="AD33" s="867">
        <f t="shared" ca="1" si="14"/>
        <v>227.33027567759399</v>
      </c>
      <c r="AE33" s="867">
        <f t="shared" ca="1" si="14"/>
        <v>227.39837134354121</v>
      </c>
      <c r="AF33" s="862"/>
      <c r="AG33" s="862"/>
      <c r="AH33" s="862"/>
      <c r="AI33" s="862"/>
      <c r="AJ33" s="862"/>
      <c r="AK33" s="860"/>
      <c r="AL33" s="860"/>
      <c r="AM33" s="860"/>
      <c r="AN33" s="860"/>
    </row>
    <row r="34" spans="1:40" ht="15">
      <c r="A34" s="849" t="s">
        <v>162</v>
      </c>
      <c r="B34" s="862"/>
      <c r="C34" s="862"/>
      <c r="D34" s="862"/>
      <c r="E34" s="862"/>
      <c r="F34" s="862"/>
      <c r="G34" s="862"/>
      <c r="H34" s="862"/>
      <c r="I34" s="862"/>
      <c r="J34" s="862"/>
      <c r="K34" s="862"/>
      <c r="L34" s="862"/>
      <c r="M34" s="862"/>
      <c r="N34" s="862"/>
      <c r="O34" s="862"/>
      <c r="P34" s="862"/>
      <c r="Q34" s="862"/>
      <c r="R34" s="862">
        <f>R33-R32</f>
        <v>-752.27896568871233</v>
      </c>
      <c r="S34" s="862">
        <f>S33-S32</f>
        <v>-302.78564971751405</v>
      </c>
      <c r="T34" s="862">
        <f t="shared" ref="T34:Z34" si="15">T33-T32</f>
        <v>24.112568306010736</v>
      </c>
      <c r="U34" s="862">
        <f t="shared" si="15"/>
        <v>134.16274101094319</v>
      </c>
      <c r="V34" s="862">
        <f t="shared" ca="1" si="15"/>
        <v>-50.984220354059303</v>
      </c>
      <c r="W34" s="862">
        <f t="shared" ca="1" si="15"/>
        <v>105.31489974309324</v>
      </c>
      <c r="X34" s="862">
        <f t="shared" ca="1" si="15"/>
        <v>109.64766959439888</v>
      </c>
      <c r="Y34" s="862">
        <f t="shared" ca="1" si="15"/>
        <v>105.71263426163787</v>
      </c>
      <c r="Z34" s="862">
        <f t="shared" ca="1" si="15"/>
        <v>116.5306935123069</v>
      </c>
      <c r="AA34" s="862">
        <f ca="1">AA33-AA32</f>
        <v>122.88935553471168</v>
      </c>
      <c r="AB34" s="862">
        <f ca="1">AB33-AB32</f>
        <v>124.84341769439682</v>
      </c>
      <c r="AC34" s="862">
        <f ca="1">AC33-AC32</f>
        <v>128.05837043586632</v>
      </c>
      <c r="AD34" s="862">
        <f ca="1">AD33-AD32</f>
        <v>119.92316323989273</v>
      </c>
      <c r="AE34" s="862">
        <f ca="1">AE33-AE32</f>
        <v>117.08605172923522</v>
      </c>
      <c r="AF34" s="862"/>
      <c r="AG34" s="862"/>
      <c r="AH34" s="862"/>
      <c r="AI34" s="862"/>
      <c r="AJ34" s="862"/>
      <c r="AK34" s="860"/>
      <c r="AL34" s="860"/>
      <c r="AM34" s="860"/>
      <c r="AN34" s="860"/>
    </row>
    <row r="35" spans="1:40" ht="15">
      <c r="A35" s="849"/>
      <c r="B35" s="862"/>
      <c r="C35" s="862"/>
      <c r="D35" s="862"/>
      <c r="E35" s="862"/>
      <c r="F35" s="849"/>
      <c r="G35" s="849"/>
      <c r="H35" s="872"/>
      <c r="I35" s="872"/>
      <c r="J35" s="849"/>
      <c r="K35" s="849"/>
      <c r="L35" s="849"/>
      <c r="M35" s="849"/>
      <c r="N35" s="849"/>
      <c r="O35" s="849"/>
      <c r="P35" s="873"/>
      <c r="Q35" s="873"/>
      <c r="R35" s="873"/>
      <c r="S35" s="873"/>
      <c r="T35" s="873"/>
      <c r="U35" s="873"/>
      <c r="V35" s="873"/>
      <c r="W35" s="873"/>
      <c r="X35" s="873"/>
      <c r="Y35" s="873"/>
      <c r="Z35" s="873"/>
      <c r="AA35" s="873"/>
      <c r="AB35" s="873"/>
      <c r="AC35" s="873"/>
      <c r="AD35" s="873"/>
      <c r="AE35" s="873"/>
      <c r="AF35" s="873"/>
      <c r="AG35" s="873"/>
      <c r="AH35" s="873"/>
      <c r="AI35" s="873"/>
      <c r="AJ35" s="873"/>
      <c r="AK35" s="860"/>
      <c r="AL35" s="860"/>
      <c r="AM35" s="860"/>
      <c r="AN35" s="860"/>
    </row>
    <row r="36" spans="1:40" ht="15">
      <c r="A36" s="849" t="s">
        <v>21</v>
      </c>
      <c r="B36" s="862"/>
      <c r="C36" s="862"/>
      <c r="D36" s="862"/>
      <c r="E36" s="862">
        <f t="shared" ref="E36:Z36" si="16">E10</f>
        <v>1638.9518461538462</v>
      </c>
      <c r="F36" s="862">
        <f t="shared" si="16"/>
        <v>1627.8929743589745</v>
      </c>
      <c r="G36" s="862">
        <f t="shared" si="16"/>
        <v>1657.2115059829059</v>
      </c>
      <c r="H36" s="862">
        <f t="shared" si="16"/>
        <v>1673.6620786324791</v>
      </c>
      <c r="I36" s="862">
        <f t="shared" si="16"/>
        <v>1680.3825470085474</v>
      </c>
      <c r="J36" s="862">
        <f t="shared" si="16"/>
        <v>1693.1693675213676</v>
      </c>
      <c r="K36" s="862">
        <f t="shared" si="16"/>
        <v>1695.2378974358974</v>
      </c>
      <c r="L36" s="862">
        <f t="shared" si="16"/>
        <v>1695.2378974358974</v>
      </c>
      <c r="M36" s="862">
        <f t="shared" si="16"/>
        <v>1695.2378974358974</v>
      </c>
      <c r="N36" s="862">
        <f t="shared" si="16"/>
        <v>1694.5372017094016</v>
      </c>
      <c r="O36" s="862">
        <f t="shared" si="16"/>
        <v>1674.5030136752137</v>
      </c>
      <c r="P36" s="862">
        <f t="shared" si="16"/>
        <v>1680.0124153846155</v>
      </c>
      <c r="Q36" s="862">
        <f t="shared" si="16"/>
        <v>1680.0124153846155</v>
      </c>
      <c r="R36" s="862">
        <f t="shared" si="16"/>
        <v>1680.0124153846155</v>
      </c>
      <c r="S36" s="862">
        <f t="shared" si="16"/>
        <v>1622.6515299145299</v>
      </c>
      <c r="T36" s="862">
        <f t="shared" si="16"/>
        <v>1579.9551692307691</v>
      </c>
      <c r="U36" s="862">
        <f t="shared" si="16"/>
        <v>1558.2331008547008</v>
      </c>
      <c r="V36" s="862">
        <f t="shared" si="16"/>
        <v>1558.2331008547008</v>
      </c>
      <c r="W36" s="862">
        <f t="shared" si="16"/>
        <v>1935.1663316239317</v>
      </c>
      <c r="X36" s="862">
        <f t="shared" si="16"/>
        <v>1935.1663316239317</v>
      </c>
      <c r="Y36" s="862">
        <f t="shared" si="16"/>
        <v>1935.1663316239317</v>
      </c>
      <c r="Z36" s="862">
        <f t="shared" si="16"/>
        <v>1935.1663316239317</v>
      </c>
      <c r="AA36" s="862">
        <f>AA10</f>
        <v>1935.1663316239317</v>
      </c>
      <c r="AB36" s="862">
        <f>AB10</f>
        <v>1935.1663316239317</v>
      </c>
      <c r="AC36" s="862">
        <f>AC10</f>
        <v>1935.1663316239317</v>
      </c>
      <c r="AD36" s="862">
        <f>AD10</f>
        <v>1935.1663316239317</v>
      </c>
      <c r="AE36" s="862">
        <f>AE10</f>
        <v>1935.1663316239317</v>
      </c>
      <c r="AF36" s="862"/>
      <c r="AG36" s="862"/>
      <c r="AH36" s="862"/>
      <c r="AI36" s="862"/>
      <c r="AJ36" s="862"/>
      <c r="AK36" s="860"/>
      <c r="AL36" s="860"/>
      <c r="AM36" s="860"/>
      <c r="AN36" s="860"/>
    </row>
    <row r="37" spans="1:40" ht="15">
      <c r="A37" s="849" t="s">
        <v>163</v>
      </c>
      <c r="B37" s="862"/>
      <c r="C37" s="862"/>
      <c r="D37" s="862"/>
      <c r="E37" s="874">
        <v>0</v>
      </c>
      <c r="F37" s="862">
        <f>E37</f>
        <v>0</v>
      </c>
      <c r="G37" s="862">
        <f t="shared" ref="G37:AE37" si="17">F37</f>
        <v>0</v>
      </c>
      <c r="H37" s="862">
        <f t="shared" si="17"/>
        <v>0</v>
      </c>
      <c r="I37" s="862">
        <f t="shared" si="17"/>
        <v>0</v>
      </c>
      <c r="J37" s="862">
        <f t="shared" si="17"/>
        <v>0</v>
      </c>
      <c r="K37" s="862">
        <f t="shared" si="17"/>
        <v>0</v>
      </c>
      <c r="L37" s="862">
        <f t="shared" si="17"/>
        <v>0</v>
      </c>
      <c r="M37" s="862">
        <f t="shared" si="17"/>
        <v>0</v>
      </c>
      <c r="N37" s="862">
        <f t="shared" si="17"/>
        <v>0</v>
      </c>
      <c r="O37" s="862">
        <f t="shared" si="17"/>
        <v>0</v>
      </c>
      <c r="P37" s="862">
        <f t="shared" si="17"/>
        <v>0</v>
      </c>
      <c r="Q37" s="862">
        <f t="shared" si="17"/>
        <v>0</v>
      </c>
      <c r="R37" s="862">
        <f t="shared" si="17"/>
        <v>0</v>
      </c>
      <c r="S37" s="862">
        <f t="shared" si="17"/>
        <v>0</v>
      </c>
      <c r="T37" s="862">
        <f t="shared" si="17"/>
        <v>0</v>
      </c>
      <c r="U37" s="862">
        <f t="shared" si="17"/>
        <v>0</v>
      </c>
      <c r="V37" s="862">
        <f t="shared" si="17"/>
        <v>0</v>
      </c>
      <c r="W37" s="862">
        <f t="shared" si="17"/>
        <v>0</v>
      </c>
      <c r="X37" s="862">
        <f t="shared" si="17"/>
        <v>0</v>
      </c>
      <c r="Y37" s="862">
        <f t="shared" si="17"/>
        <v>0</v>
      </c>
      <c r="Z37" s="862">
        <f t="shared" si="17"/>
        <v>0</v>
      </c>
      <c r="AA37" s="862">
        <f t="shared" si="17"/>
        <v>0</v>
      </c>
      <c r="AB37" s="862">
        <f t="shared" si="17"/>
        <v>0</v>
      </c>
      <c r="AC37" s="862">
        <f t="shared" si="17"/>
        <v>0</v>
      </c>
      <c r="AD37" s="862">
        <f t="shared" si="17"/>
        <v>0</v>
      </c>
      <c r="AE37" s="862">
        <f t="shared" si="17"/>
        <v>0</v>
      </c>
      <c r="AF37" s="862"/>
      <c r="AG37" s="862"/>
      <c r="AH37" s="862"/>
      <c r="AI37" s="862"/>
      <c r="AJ37" s="862"/>
      <c r="AK37" s="860"/>
      <c r="AL37" s="860"/>
      <c r="AM37" s="860"/>
      <c r="AN37" s="860"/>
    </row>
    <row r="38" spans="1:40" ht="15">
      <c r="A38" s="870" t="s">
        <v>164</v>
      </c>
      <c r="B38" s="871"/>
      <c r="C38" s="871"/>
      <c r="D38" s="871"/>
      <c r="E38" s="871">
        <f t="shared" ref="E38:Z38" si="18">E12+E14</f>
        <v>0</v>
      </c>
      <c r="F38" s="871">
        <f t="shared" si="18"/>
        <v>0</v>
      </c>
      <c r="G38" s="871">
        <f t="shared" si="18"/>
        <v>0</v>
      </c>
      <c r="H38" s="871">
        <f t="shared" si="18"/>
        <v>0</v>
      </c>
      <c r="I38" s="871">
        <f t="shared" si="18"/>
        <v>0</v>
      </c>
      <c r="J38" s="871">
        <f t="shared" si="18"/>
        <v>0</v>
      </c>
      <c r="K38" s="871">
        <f t="shared" si="18"/>
        <v>0</v>
      </c>
      <c r="L38" s="871">
        <f t="shared" si="18"/>
        <v>0</v>
      </c>
      <c r="M38" s="871">
        <f t="shared" si="18"/>
        <v>0</v>
      </c>
      <c r="N38" s="871">
        <f t="shared" si="18"/>
        <v>0</v>
      </c>
      <c r="O38" s="871">
        <f t="shared" si="18"/>
        <v>0</v>
      </c>
      <c r="P38" s="871">
        <f t="shared" si="18"/>
        <v>0</v>
      </c>
      <c r="Q38" s="871">
        <f t="shared" si="18"/>
        <v>0</v>
      </c>
      <c r="R38" s="871">
        <f t="shared" si="18"/>
        <v>0</v>
      </c>
      <c r="S38" s="871">
        <f t="shared" si="18"/>
        <v>0</v>
      </c>
      <c r="T38" s="871">
        <f t="shared" si="18"/>
        <v>0</v>
      </c>
      <c r="U38" s="871">
        <f t="shared" si="18"/>
        <v>0</v>
      </c>
      <c r="V38" s="871">
        <f t="shared" si="18"/>
        <v>0</v>
      </c>
      <c r="W38" s="871">
        <f t="shared" si="18"/>
        <v>0</v>
      </c>
      <c r="X38" s="871">
        <f t="shared" si="18"/>
        <v>0</v>
      </c>
      <c r="Y38" s="871">
        <f t="shared" si="18"/>
        <v>0</v>
      </c>
      <c r="Z38" s="871">
        <f t="shared" si="18"/>
        <v>0</v>
      </c>
      <c r="AA38" s="871">
        <f>AA12+AA14</f>
        <v>0</v>
      </c>
      <c r="AB38" s="871">
        <f>AB12+AB14</f>
        <v>0</v>
      </c>
      <c r="AC38" s="871">
        <f>AC12+AC14</f>
        <v>0</v>
      </c>
      <c r="AD38" s="871">
        <f>AD12+AD14</f>
        <v>0</v>
      </c>
      <c r="AE38" s="871">
        <f>AE12+AE14</f>
        <v>0</v>
      </c>
      <c r="AF38" s="862"/>
      <c r="AG38" s="862"/>
      <c r="AH38" s="862"/>
      <c r="AI38" s="862"/>
      <c r="AJ38" s="862"/>
      <c r="AK38" s="860"/>
      <c r="AL38" s="860"/>
      <c r="AM38" s="860"/>
      <c r="AN38" s="860"/>
    </row>
    <row r="39" spans="1:40" ht="15">
      <c r="A39" s="849" t="s">
        <v>165</v>
      </c>
      <c r="B39" s="862"/>
      <c r="C39" s="862"/>
      <c r="D39" s="862"/>
      <c r="E39" s="862">
        <f>SUM(E36:E38)</f>
        <v>1638.9518461538462</v>
      </c>
      <c r="F39" s="862">
        <f>SUM(F36:F38)</f>
        <v>1627.8929743589745</v>
      </c>
      <c r="G39" s="862">
        <f>SUM(G36:G38)</f>
        <v>1657.2115059829059</v>
      </c>
      <c r="H39" s="862">
        <f t="shared" ref="H39:N39" si="19">SUM(H36:H38)</f>
        <v>1673.6620786324791</v>
      </c>
      <c r="I39" s="862">
        <f t="shared" si="19"/>
        <v>1680.3825470085474</v>
      </c>
      <c r="J39" s="862">
        <f t="shared" si="19"/>
        <v>1693.1693675213676</v>
      </c>
      <c r="K39" s="862">
        <f t="shared" si="19"/>
        <v>1695.2378974358974</v>
      </c>
      <c r="L39" s="862">
        <f t="shared" si="19"/>
        <v>1695.2378974358974</v>
      </c>
      <c r="M39" s="862">
        <f t="shared" si="19"/>
        <v>1695.2378974358974</v>
      </c>
      <c r="N39" s="862">
        <f t="shared" si="19"/>
        <v>1694.5372017094016</v>
      </c>
      <c r="O39" s="862">
        <f t="shared" ref="O39:U39" si="20">SUM(O36:O38)</f>
        <v>1674.5030136752137</v>
      </c>
      <c r="P39" s="862">
        <f t="shared" si="20"/>
        <v>1680.0124153846155</v>
      </c>
      <c r="Q39" s="862">
        <f t="shared" si="20"/>
        <v>1680.0124153846155</v>
      </c>
      <c r="R39" s="862">
        <f t="shared" si="20"/>
        <v>1680.0124153846155</v>
      </c>
      <c r="S39" s="862">
        <f t="shared" si="20"/>
        <v>1622.6515299145299</v>
      </c>
      <c r="T39" s="862">
        <f t="shared" si="20"/>
        <v>1579.9551692307691</v>
      </c>
      <c r="U39" s="862">
        <f t="shared" si="20"/>
        <v>1558.2331008547008</v>
      </c>
      <c r="V39" s="862">
        <f t="shared" ref="V39:AE39" si="21">SUM(V36:V38)</f>
        <v>1558.2331008547008</v>
      </c>
      <c r="W39" s="862">
        <f t="shared" si="21"/>
        <v>1935.1663316239317</v>
      </c>
      <c r="X39" s="862">
        <f t="shared" si="21"/>
        <v>1935.1663316239317</v>
      </c>
      <c r="Y39" s="862">
        <f t="shared" si="21"/>
        <v>1935.1663316239317</v>
      </c>
      <c r="Z39" s="862">
        <f t="shared" si="21"/>
        <v>1935.1663316239317</v>
      </c>
      <c r="AA39" s="862">
        <f t="shared" si="21"/>
        <v>1935.1663316239317</v>
      </c>
      <c r="AB39" s="862">
        <f t="shared" si="21"/>
        <v>1935.1663316239317</v>
      </c>
      <c r="AC39" s="862">
        <f t="shared" si="21"/>
        <v>1935.1663316239317</v>
      </c>
      <c r="AD39" s="862">
        <f t="shared" si="21"/>
        <v>1935.1663316239317</v>
      </c>
      <c r="AE39" s="862">
        <f t="shared" si="21"/>
        <v>1935.1663316239317</v>
      </c>
      <c r="AF39" s="862"/>
      <c r="AG39" s="862"/>
      <c r="AH39" s="862"/>
      <c r="AI39" s="862"/>
      <c r="AJ39" s="862"/>
      <c r="AK39" s="860"/>
      <c r="AL39" s="860"/>
      <c r="AM39" s="860"/>
      <c r="AN39" s="860"/>
    </row>
    <row r="40" spans="1:40" ht="15">
      <c r="A40" s="849"/>
      <c r="B40" s="862"/>
      <c r="C40" s="862"/>
      <c r="D40" s="862"/>
      <c r="E40" s="862"/>
      <c r="F40" s="849"/>
      <c r="G40" s="849"/>
      <c r="H40" s="849"/>
      <c r="I40" s="849"/>
      <c r="J40" s="849"/>
      <c r="K40" s="849"/>
      <c r="L40" s="849"/>
      <c r="M40" s="849"/>
      <c r="N40" s="849"/>
      <c r="O40" s="849"/>
      <c r="P40" s="849"/>
      <c r="Q40" s="849"/>
      <c r="R40" s="849"/>
      <c r="S40" s="849"/>
      <c r="T40" s="849"/>
      <c r="U40" s="849"/>
      <c r="V40" s="849"/>
      <c r="W40" s="849"/>
      <c r="X40" s="849"/>
      <c r="Y40" s="849"/>
      <c r="Z40" s="849"/>
      <c r="AA40" s="849"/>
      <c r="AB40" s="849"/>
      <c r="AC40" s="849"/>
      <c r="AD40" s="849"/>
      <c r="AE40" s="849"/>
      <c r="AF40" s="849"/>
      <c r="AG40" s="849"/>
      <c r="AH40" s="849"/>
      <c r="AI40" s="849"/>
      <c r="AJ40" s="849"/>
      <c r="AK40" s="860"/>
      <c r="AL40" s="860"/>
      <c r="AM40" s="860"/>
      <c r="AN40" s="860"/>
    </row>
    <row r="41" spans="1:40" ht="15">
      <c r="A41" s="849" t="s">
        <v>166</v>
      </c>
      <c r="B41" s="862"/>
      <c r="C41" s="875"/>
      <c r="D41" s="875"/>
      <c r="E41" s="875">
        <f>Master!H165</f>
        <v>15.485299375670399</v>
      </c>
      <c r="F41" s="875">
        <f>Master!I165</f>
        <v>14.611365964870179</v>
      </c>
      <c r="G41" s="875">
        <f>Master!J165</f>
        <v>13.948343899706449</v>
      </c>
      <c r="H41" s="875">
        <f>Master!K165</f>
        <v>15.381579309626613</v>
      </c>
      <c r="I41" s="875">
        <f>Master!L165</f>
        <v>14.754207804447718</v>
      </c>
      <c r="J41" s="875">
        <f>Master!M165</f>
        <v>17.266754620536243</v>
      </c>
      <c r="K41" s="875">
        <f>Master!N165</f>
        <v>8.2621318348209041</v>
      </c>
      <c r="L41" s="875">
        <f>Master!O165</f>
        <v>10.810787693998556</v>
      </c>
      <c r="M41" s="875">
        <f>Master!P165</f>
        <v>4.9310424292919031</v>
      </c>
      <c r="N41" s="875">
        <f>Master!Q165</f>
        <v>5.419646137444281</v>
      </c>
      <c r="O41" s="875">
        <f>Master!R165</f>
        <v>8.2645273773655923</v>
      </c>
      <c r="P41" s="875">
        <f>Master!S165</f>
        <v>8.8600452375777667</v>
      </c>
      <c r="Q41" s="875">
        <f>Master!T165</f>
        <v>8.9617224623623812</v>
      </c>
      <c r="R41" s="875">
        <f>Master!U165</f>
        <v>-22.238308930262765</v>
      </c>
      <c r="S41" s="875">
        <f>Master!V165</f>
        <v>-18.881356147745283</v>
      </c>
      <c r="T41" s="875">
        <f>Master!W165</f>
        <v>-15.433673274332255</v>
      </c>
      <c r="U41" s="875">
        <f>Master!X165</f>
        <v>-2.6587691051663231</v>
      </c>
      <c r="V41" s="875">
        <f ca="1">Master!Y165</f>
        <v>-1.3255394329832806</v>
      </c>
      <c r="W41" s="875">
        <f ca="1">Master!Z165</f>
        <v>-0.43894666697509555</v>
      </c>
      <c r="X41" s="875">
        <f ca="1">Master!AA165</f>
        <v>0.28147513650118816</v>
      </c>
      <c r="Y41" s="875">
        <f ca="1">Master!AB165</f>
        <v>1.5837644083264386</v>
      </c>
      <c r="Z41" s="875">
        <f ca="1">Master!AC165</f>
        <v>3.2883522908684735</v>
      </c>
      <c r="AA41" s="875">
        <f ca="1">Master!AD165</f>
        <v>4.949561959484658</v>
      </c>
      <c r="AB41" s="875">
        <f ca="1">Master!AE165</f>
        <v>6.3870887268040653</v>
      </c>
      <c r="AC41" s="875">
        <f ca="1">Master!AF165</f>
        <v>7.6650436230535224</v>
      </c>
      <c r="AD41" s="875">
        <f ca="1">Master!AG165</f>
        <v>8.3628976891132751</v>
      </c>
      <c r="AE41" s="875">
        <f ca="1">Master!AH165</f>
        <v>9.3469967583120273</v>
      </c>
      <c r="AF41" s="875"/>
      <c r="AG41" s="875"/>
      <c r="AH41" s="875"/>
      <c r="AI41" s="875"/>
      <c r="AJ41" s="875"/>
      <c r="AK41" s="860"/>
      <c r="AL41" s="860"/>
      <c r="AM41" s="860"/>
      <c r="AN41" s="860"/>
    </row>
    <row r="42" spans="1:40" ht="15">
      <c r="A42" s="849" t="s">
        <v>167</v>
      </c>
      <c r="B42" s="862"/>
      <c r="C42" s="875"/>
      <c r="D42" s="875"/>
      <c r="E42" s="864">
        <f>Master!H579</f>
        <v>0</v>
      </c>
      <c r="F42" s="864">
        <f>Master!I582</f>
        <v>0.13855898653998416</v>
      </c>
      <c r="G42" s="864">
        <f>Master!J582</f>
        <v>0.14067524115755628</v>
      </c>
      <c r="H42" s="864">
        <f>Master!K582</f>
        <v>0.13297872340425532</v>
      </c>
      <c r="I42" s="864">
        <f>Master!L582</f>
        <v>0.13714733542319749</v>
      </c>
      <c r="J42" s="864">
        <f>Master!M582</f>
        <v>0</v>
      </c>
      <c r="K42" s="864">
        <f>Master!N582</f>
        <v>0.11027095148078135</v>
      </c>
      <c r="L42" s="864">
        <f>Master!O582</f>
        <v>9.2838196286472136E-2</v>
      </c>
      <c r="M42" s="864">
        <f>Master!P582</f>
        <v>9.2592592592592601E-2</v>
      </c>
      <c r="N42" s="864">
        <f>Master!Q582</f>
        <v>9.0909090909090912E-2</v>
      </c>
      <c r="O42" s="864">
        <f>Master!R582</f>
        <v>0</v>
      </c>
      <c r="P42" s="864">
        <f>Master!S582</f>
        <v>8.1471135940409681E-2</v>
      </c>
      <c r="Q42" s="864">
        <f>Master!T582</f>
        <v>8.7005764268639318E-2</v>
      </c>
      <c r="R42" s="864">
        <f>Master!U582</f>
        <v>8.7765154895822983E-2</v>
      </c>
      <c r="S42" s="864">
        <f>Master!V582</f>
        <v>9.9715099714971764E-2</v>
      </c>
      <c r="T42" s="864">
        <f>Master!W582</f>
        <v>9.644575218333333E-2</v>
      </c>
      <c r="U42" s="864">
        <f>Master!X582</f>
        <v>9.197276002892131E-2</v>
      </c>
      <c r="V42" s="864">
        <f>Master!Y582</f>
        <v>0</v>
      </c>
      <c r="W42" s="864">
        <f>Master!Z582</f>
        <v>9.8801397898635415E-2</v>
      </c>
      <c r="X42" s="864">
        <f>Master!AA582</f>
        <v>9.6864115586897462E-2</v>
      </c>
      <c r="Y42" s="864">
        <f>Master!AB582</f>
        <v>9.4964819202840653E-2</v>
      </c>
      <c r="Z42" s="864">
        <f>Master!AC582</f>
        <v>9.3102763924353571E-2</v>
      </c>
      <c r="AA42" s="864">
        <f>Master!AD582</f>
        <v>9.1277219533679982E-2</v>
      </c>
      <c r="AB42" s="864">
        <f>Master!AE582</f>
        <v>8.9487470131058802E-2</v>
      </c>
      <c r="AC42" s="864">
        <f>Master!AF582</f>
        <v>8.7732813853979214E-2</v>
      </c>
      <c r="AD42" s="864">
        <f>Master!AG582</f>
        <v>8.6012562601940415E-2</v>
      </c>
      <c r="AE42" s="864">
        <f>Master!AH582</f>
        <v>8.432604176660824E-2</v>
      </c>
      <c r="AF42" s="864"/>
      <c r="AG42" s="864"/>
      <c r="AH42" s="864"/>
      <c r="AI42" s="864"/>
      <c r="AJ42" s="864"/>
      <c r="AK42" s="860"/>
      <c r="AL42" s="860"/>
      <c r="AM42" s="860"/>
      <c r="AN42" s="860"/>
    </row>
    <row r="43" spans="1:40" ht="15">
      <c r="A43" s="849"/>
      <c r="B43" s="862"/>
      <c r="C43" s="862"/>
      <c r="D43" s="851"/>
      <c r="E43" s="849"/>
      <c r="F43" s="851"/>
      <c r="G43" s="851" t="s">
        <v>57</v>
      </c>
      <c r="H43" s="851"/>
      <c r="I43" s="851"/>
      <c r="J43" s="851"/>
      <c r="K43" s="851"/>
      <c r="L43" s="851"/>
      <c r="M43" s="875"/>
      <c r="N43" s="851"/>
      <c r="O43" s="851"/>
      <c r="P43" s="851"/>
      <c r="Q43" s="851"/>
      <c r="R43" s="851"/>
      <c r="S43" s="851"/>
      <c r="T43" s="851"/>
      <c r="U43" s="851"/>
      <c r="V43" s="851"/>
      <c r="W43" s="851"/>
      <c r="X43" s="851"/>
      <c r="Y43" s="851"/>
      <c r="Z43" s="851"/>
      <c r="AA43" s="851"/>
      <c r="AB43" s="851"/>
      <c r="AC43" s="851"/>
      <c r="AD43" s="851"/>
      <c r="AE43" s="851"/>
      <c r="AF43" s="851"/>
      <c r="AG43" s="851"/>
      <c r="AH43" s="851"/>
      <c r="AI43" s="851"/>
      <c r="AJ43" s="851"/>
      <c r="AK43" s="860"/>
      <c r="AL43" s="860"/>
      <c r="AM43" s="860"/>
      <c r="AN43" s="860"/>
    </row>
    <row r="44" spans="1:40" ht="15">
      <c r="A44" s="849" t="s">
        <v>22</v>
      </c>
      <c r="B44" s="862"/>
      <c r="C44" s="875"/>
      <c r="D44" s="875"/>
      <c r="E44" s="875">
        <f t="shared" ref="E44:Z44" si="22">E17/E24</f>
        <v>0.57165797951590758</v>
      </c>
      <c r="F44" s="875">
        <f t="shared" si="22"/>
        <v>1.0562634259080859</v>
      </c>
      <c r="G44" s="875">
        <f t="shared" si="22"/>
        <v>1.7791410805186261</v>
      </c>
      <c r="H44" s="875">
        <f t="shared" si="22"/>
        <v>1.3789128579760712</v>
      </c>
      <c r="I44" s="875">
        <f t="shared" si="22"/>
        <v>1.6248502813024677</v>
      </c>
      <c r="J44" s="875">
        <f t="shared" si="22"/>
        <v>1.732248417212104</v>
      </c>
      <c r="K44" s="875">
        <f t="shared" si="22"/>
        <v>2.1372732075035485</v>
      </c>
      <c r="L44" s="875">
        <f t="shared" si="22"/>
        <v>2.8201552469111997</v>
      </c>
      <c r="M44" s="875">
        <f t="shared" si="22"/>
        <v>2.9165710109085174</v>
      </c>
      <c r="N44" s="875">
        <f t="shared" si="22"/>
        <v>2.7326230761117687</v>
      </c>
      <c r="O44" s="875">
        <f t="shared" si="22"/>
        <v>3.1505464513264547</v>
      </c>
      <c r="P44" s="875">
        <f t="shared" si="22"/>
        <v>3.118291510112432</v>
      </c>
      <c r="Q44" s="875">
        <f t="shared" si="22"/>
        <v>2.9096437182716937</v>
      </c>
      <c r="R44" s="875">
        <f t="shared" si="22"/>
        <v>3.1152187557624935</v>
      </c>
      <c r="S44" s="875">
        <f t="shared" si="22"/>
        <v>3.2021907968104566</v>
      </c>
      <c r="T44" s="875">
        <f t="shared" si="22"/>
        <v>4.2870562825382743</v>
      </c>
      <c r="U44" s="875">
        <f t="shared" si="22"/>
        <v>3.2268826185459978</v>
      </c>
      <c r="V44" s="875">
        <f t="shared" ca="1" si="22"/>
        <v>3.1028933833835288</v>
      </c>
      <c r="W44" s="875">
        <f t="shared" ca="1" si="22"/>
        <v>3.4674907671874453</v>
      </c>
      <c r="X44" s="875">
        <f t="shared" ca="1" si="22"/>
        <v>3.5338104147753846</v>
      </c>
      <c r="Y44" s="875">
        <f t="shared" ca="1" si="22"/>
        <v>3.4122159984692777</v>
      </c>
      <c r="Z44" s="875">
        <f t="shared" ca="1" si="22"/>
        <v>3.2217520129222774</v>
      </c>
      <c r="AA44" s="875">
        <f ca="1">AA17/AA24</f>
        <v>2.9923740961923211</v>
      </c>
      <c r="AB44" s="875">
        <f ca="1">AB17/AB24</f>
        <v>2.7700008499297648</v>
      </c>
      <c r="AC44" s="875">
        <f ca="1">AC17/AC24</f>
        <v>2.5467441838474163</v>
      </c>
      <c r="AD44" s="875">
        <f ca="1">AD17/AD24</f>
        <v>2.3722486096522024</v>
      </c>
      <c r="AE44" s="875">
        <f ca="1">AE17/AE24</f>
        <v>2.1745962652646478</v>
      </c>
      <c r="AF44" s="875"/>
      <c r="AG44" s="875"/>
      <c r="AH44" s="875"/>
      <c r="AI44" s="875"/>
      <c r="AJ44" s="875"/>
      <c r="AK44" s="860"/>
      <c r="AL44" s="860"/>
      <c r="AM44" s="860"/>
      <c r="AN44" s="860"/>
    </row>
    <row r="45" spans="1:40" ht="15">
      <c r="A45" s="849" t="s">
        <v>24</v>
      </c>
      <c r="B45" s="873"/>
      <c r="C45" s="875"/>
      <c r="D45" s="875"/>
      <c r="E45" s="875">
        <f>E17/(Master!H117/Valuation!E$19)</f>
        <v>0.86037064796526674</v>
      </c>
      <c r="F45" s="875">
        <f>F17/(Master!I117/Valuation!F$19)</f>
        <v>2.5890792515556305</v>
      </c>
      <c r="G45" s="875">
        <f>G17/(Master!J117/Valuation!G$19)</f>
        <v>3.0482238691766117</v>
      </c>
      <c r="H45" s="875">
        <f>H17/(Master!K117/Valuation!H$19)</f>
        <v>2.4433090512018478</v>
      </c>
      <c r="I45" s="875">
        <f>I17/(Master!L117/Valuation!I$19)</f>
        <v>3.4119768263364274</v>
      </c>
      <c r="J45" s="875">
        <f>J17/(Master!M117/Valuation!J$19)</f>
        <v>3.9792834735628104</v>
      </c>
      <c r="K45" s="875">
        <f>K17/(Master!N117/Valuation!K$19)</f>
        <v>10.031727153130847</v>
      </c>
      <c r="L45" s="875">
        <f>L17/(Master!O117/Valuation!L$19)</f>
        <v>16.716310644514671</v>
      </c>
      <c r="M45" s="875">
        <f>M17/(Master!P117/Valuation!M$19)</f>
        <v>5.9533087785720697</v>
      </c>
      <c r="N45" s="875">
        <f>N17/(Master!Q117/Valuation!N$19)</f>
        <v>5.5795761646031554</v>
      </c>
      <c r="O45" s="875">
        <f>O17/(Master!R117/Valuation!O$19)</f>
        <v>6.2872986535379836</v>
      </c>
      <c r="P45" s="875">
        <f>P17/(Master!S117/Valuation!P$19)</f>
        <v>6.4953792904394589</v>
      </c>
      <c r="Q45" s="875">
        <f>Q17/(Master!T117/Valuation!Q$19)</f>
        <v>6.252128882547928</v>
      </c>
      <c r="R45" s="875">
        <f>R17/(Master!U117/Valuation!R$19)</f>
        <v>9.5591879714191261</v>
      </c>
      <c r="S45" s="875">
        <f>S17/(Master!V117/Valuation!S$19)</f>
        <v>8.0292906821311174</v>
      </c>
      <c r="T45" s="875">
        <f>T17/(Master!W117/Valuation!T$19)</f>
        <v>8.7480569283695466</v>
      </c>
      <c r="U45" s="875">
        <f>U17/(Master!X117/Valuation!U$19)</f>
        <v>7.5018671512211998</v>
      </c>
      <c r="V45" s="875">
        <f ca="1">V17/(Master!Y117/Valuation!V$19)</f>
        <v>9.0859812562505109</v>
      </c>
      <c r="W45" s="875">
        <f ca="1">W17/(Master!Z117/Valuation!W$19)</f>
        <v>7.3127573256655847</v>
      </c>
      <c r="X45" s="875">
        <f ca="1">X17/(Master!AA117/Valuation!X$19)</f>
        <v>7.0233293061467315</v>
      </c>
      <c r="Y45" s="875">
        <f ca="1">Y17/(Master!AB117/Valuation!Y$19)</f>
        <v>6.5888723681467045</v>
      </c>
      <c r="Z45" s="875">
        <f ca="1">Z17/(Master!AC117/Valuation!Z$19)</f>
        <v>6.0378601858246652</v>
      </c>
      <c r="AA45" s="875">
        <f ca="1">AA17/(Master!AD117/Valuation!AA$19)</f>
        <v>5.4454202838601136</v>
      </c>
      <c r="AB45" s="875">
        <f ca="1">AB17/(Master!AE117/Valuation!AB$19)</f>
        <v>4.9456392865934022</v>
      </c>
      <c r="AC45" s="875">
        <f ca="1">AC17/(Master!AF117/Valuation!AC$19)</f>
        <v>4.4579398500671212</v>
      </c>
      <c r="AD45" s="875">
        <f ca="1">AD17/(Master!AG117/Valuation!AD$19)</f>
        <v>4.1161419078191939</v>
      </c>
      <c r="AE45" s="875">
        <f ca="1">AE17/(Master!AH117/Valuation!AE$19)</f>
        <v>3.7570341351105849</v>
      </c>
      <c r="AF45" s="875"/>
      <c r="AG45" s="875"/>
      <c r="AH45" s="875"/>
      <c r="AI45" s="875"/>
      <c r="AJ45" s="875"/>
      <c r="AK45" s="860"/>
      <c r="AL45" s="860"/>
      <c r="AM45" s="860"/>
      <c r="AN45" s="860"/>
    </row>
    <row r="46" spans="1:40" ht="15">
      <c r="A46" s="849" t="s">
        <v>26</v>
      </c>
      <c r="B46" s="876"/>
      <c r="C46" s="875"/>
      <c r="D46" s="875"/>
      <c r="E46" s="875">
        <f>E45/(1-Master!H388)</f>
        <v>1.1949592332850927</v>
      </c>
      <c r="F46" s="875">
        <f>F45/(1-Master!I388)</f>
        <v>3.5959434049383758</v>
      </c>
      <c r="G46" s="875">
        <f>G45/(1-Master!J388)</f>
        <v>4.2336442627452939</v>
      </c>
      <c r="H46" s="875">
        <f>H45/(1-Master!K388)</f>
        <v>3.2577454016024636</v>
      </c>
      <c r="I46" s="875">
        <f>I45/(1-Master!L388)</f>
        <v>4.5493024351152362</v>
      </c>
      <c r="J46" s="875">
        <f>J45/(1-Master!M388)</f>
        <v>5.3057112980837475</v>
      </c>
      <c r="K46" s="875">
        <f>K45/(1-Master!N388)</f>
        <v>13.375636204174462</v>
      </c>
      <c r="L46" s="875">
        <f>L45/(1-Master!O388)</f>
        <v>22.288414192686229</v>
      </c>
      <c r="M46" s="875">
        <f>M45/(1-Master!P388)</f>
        <v>8.6084733115593419</v>
      </c>
      <c r="N46" s="875">
        <f>N45/(1-Master!Q388)</f>
        <v>8.3488986322214682</v>
      </c>
      <c r="O46" s="875">
        <f>O45/(1-Master!R388)</f>
        <v>8.2267578917777193</v>
      </c>
      <c r="P46" s="875">
        <f>P45/(1-Master!S388)</f>
        <v>37.585668798100755</v>
      </c>
      <c r="Q46" s="875">
        <f>Q45/(1-Master!T388)</f>
        <v>13.804042719031212</v>
      </c>
      <c r="R46" s="875">
        <f>R45/(1-Master!U388)</f>
        <v>10.50287704975282</v>
      </c>
      <c r="S46" s="875">
        <f>S45/(1-Master!V388)</f>
        <v>5.7358674843886224</v>
      </c>
      <c r="T46" s="875">
        <f>T45/(1-Master!W388)</f>
        <v>6.6846310827750122</v>
      </c>
      <c r="U46" s="875">
        <f>U45/(1-Master!X388)</f>
        <v>10.419259932251666</v>
      </c>
      <c r="V46" s="875">
        <f ca="1">V45/(1-Master!Y388)</f>
        <v>12.619418411459044</v>
      </c>
      <c r="W46" s="875">
        <f ca="1">W45/(1-Master!Z388)</f>
        <v>10.156607396757757</v>
      </c>
      <c r="X46" s="875">
        <f ca="1">X45/(1-Master!AA388)</f>
        <v>9.7546240363149046</v>
      </c>
      <c r="Y46" s="875">
        <f ca="1">Y45/(1-Master!AB388)</f>
        <v>9.1512116224259792</v>
      </c>
      <c r="Z46" s="875">
        <f ca="1">Z45/(1-Master!AC388)</f>
        <v>8.3859169247564793</v>
      </c>
      <c r="AA46" s="875">
        <f ca="1">AA45/(1-Master!AD388)</f>
        <v>7.563083727583491</v>
      </c>
      <c r="AB46" s="875">
        <f ca="1">AB45/(1-Master!AE388)</f>
        <v>6.8689434536019478</v>
      </c>
      <c r="AC46" s="875">
        <f ca="1">AC45/(1-Master!AF388)</f>
        <v>6.1915831250932243</v>
      </c>
      <c r="AD46" s="875">
        <f ca="1">AD45/(1-Master!AG388)</f>
        <v>5.7168637608599919</v>
      </c>
      <c r="AE46" s="875">
        <f ca="1">AE45/(1-Master!AH388)</f>
        <v>5.2181029654313678</v>
      </c>
      <c r="AF46" s="875"/>
      <c r="AG46" s="875"/>
      <c r="AH46" s="875"/>
      <c r="AI46" s="875"/>
      <c r="AJ46" s="875"/>
      <c r="AK46" s="860"/>
      <c r="AL46" s="860"/>
      <c r="AM46" s="860"/>
      <c r="AN46" s="860"/>
    </row>
    <row r="47" spans="1:40" ht="15">
      <c r="A47" s="849"/>
      <c r="B47" s="876"/>
      <c r="C47" s="876"/>
      <c r="D47" s="876"/>
      <c r="E47" s="876"/>
      <c r="F47" s="875"/>
      <c r="G47" s="849"/>
      <c r="H47" s="849"/>
      <c r="I47" s="849"/>
      <c r="J47" s="849"/>
      <c r="K47" s="849"/>
      <c r="L47" s="849"/>
      <c r="M47" s="847"/>
      <c r="N47" s="849"/>
      <c r="O47" s="849"/>
      <c r="P47" s="849"/>
      <c r="Q47" s="849"/>
      <c r="R47" s="849"/>
      <c r="S47" s="849"/>
      <c r="T47" s="849"/>
      <c r="U47" s="849"/>
      <c r="V47" s="849"/>
      <c r="W47" s="849"/>
      <c r="X47" s="849"/>
      <c r="Y47" s="849"/>
      <c r="Z47" s="849"/>
      <c r="AA47" s="849"/>
      <c r="AB47" s="849"/>
      <c r="AC47" s="849"/>
      <c r="AD47" s="849"/>
      <c r="AE47" s="849"/>
      <c r="AF47" s="849"/>
      <c r="AG47" s="849"/>
      <c r="AH47" s="849"/>
      <c r="AI47" s="849"/>
      <c r="AJ47" s="849"/>
      <c r="AK47" s="860"/>
      <c r="AL47" s="860"/>
      <c r="AM47" s="860"/>
      <c r="AN47" s="860"/>
    </row>
    <row r="48" spans="1:40" ht="15">
      <c r="A48" s="849" t="s">
        <v>168</v>
      </c>
      <c r="B48" s="867"/>
      <c r="C48" s="875"/>
      <c r="D48" s="875"/>
      <c r="E48" s="875">
        <f t="shared" ref="E48:AE48" si="23">1/E49</f>
        <v>2.9242048679469139</v>
      </c>
      <c r="F48" s="875">
        <f>1/F49</f>
        <v>9.607297081943047</v>
      </c>
      <c r="G48" s="875">
        <f t="shared" si="23"/>
        <v>3.4777661979917456</v>
      </c>
      <c r="H48" s="875">
        <f t="shared" si="23"/>
        <v>3.4779645395752032</v>
      </c>
      <c r="I48" s="875">
        <f t="shared" si="23"/>
        <v>4.5678436248613856</v>
      </c>
      <c r="J48" s="875">
        <f t="shared" si="23"/>
        <v>4.9172796220388681</v>
      </c>
      <c r="K48" s="875">
        <f t="shared" si="23"/>
        <v>-4.6617839280609648</v>
      </c>
      <c r="L48" s="875">
        <f t="shared" si="23"/>
        <v>-2.4576072107740656</v>
      </c>
      <c r="M48" s="875">
        <f t="shared" si="23"/>
        <v>-30.812725408517338</v>
      </c>
      <c r="N48" s="875">
        <f t="shared" si="23"/>
        <v>-5.1479678894185188</v>
      </c>
      <c r="O48" s="862">
        <f t="shared" si="23"/>
        <v>20.676523365190516</v>
      </c>
      <c r="P48" s="862">
        <f t="shared" si="23"/>
        <v>26.583414868095776</v>
      </c>
      <c r="Q48" s="875">
        <f t="shared" si="23"/>
        <v>-10.529330000641027</v>
      </c>
      <c r="R48" s="875">
        <f t="shared" si="23"/>
        <v>-2.4241590157996749</v>
      </c>
      <c r="S48" s="875">
        <f t="shared" si="23"/>
        <v>-6.6925705043585779</v>
      </c>
      <c r="T48" s="875">
        <f t="shared" si="23"/>
        <v>18.820737766595229</v>
      </c>
      <c r="U48" s="875">
        <f t="shared" si="23"/>
        <v>8.0136343716485037</v>
      </c>
      <c r="V48" s="875">
        <f t="shared" ca="1" si="23"/>
        <v>-352.23727310541636</v>
      </c>
      <c r="W48" s="875">
        <f t="shared" ca="1" si="23"/>
        <v>11.628966931347795</v>
      </c>
      <c r="X48" s="875">
        <f t="shared" ca="1" si="23"/>
        <v>10.71026215883823</v>
      </c>
      <c r="Y48" s="875">
        <f t="shared" ca="1" si="23"/>
        <v>10.479853576178391</v>
      </c>
      <c r="Z48" s="875">
        <f t="shared" ca="1" si="23"/>
        <v>9.5347960025240255</v>
      </c>
      <c r="AA48" s="875">
        <f t="shared" ca="1" si="23"/>
        <v>8.9726374963992868</v>
      </c>
      <c r="AB48" s="875">
        <f t="shared" ca="1" si="23"/>
        <v>8.6725768361644171</v>
      </c>
      <c r="AC48" s="875">
        <f t="shared" ca="1" si="23"/>
        <v>8.3620581760490165</v>
      </c>
      <c r="AD48" s="875">
        <f t="shared" ca="1" si="23"/>
        <v>8.5125763643045822</v>
      </c>
      <c r="AE48" s="875">
        <f t="shared" ca="1" si="23"/>
        <v>8.5100272275054536</v>
      </c>
      <c r="AF48" s="875"/>
      <c r="AG48" s="875"/>
      <c r="AH48" s="875"/>
      <c r="AI48" s="875"/>
      <c r="AJ48" s="875"/>
      <c r="AK48" s="860"/>
      <c r="AL48" s="860"/>
      <c r="AM48" s="860"/>
      <c r="AN48" s="860"/>
    </row>
    <row r="49" spans="1:40" ht="15">
      <c r="A49" s="849" t="s">
        <v>169</v>
      </c>
      <c r="B49" s="867"/>
      <c r="C49" s="852"/>
      <c r="D49" s="853"/>
      <c r="E49" s="852">
        <f t="shared" ref="E49:Z49" si="24">E33/E39</f>
        <v>0.34197330390948316</v>
      </c>
      <c r="F49" s="852">
        <f t="shared" si="24"/>
        <v>0.10408754839896686</v>
      </c>
      <c r="G49" s="853">
        <f t="shared" si="24"/>
        <v>0.28754089351304157</v>
      </c>
      <c r="H49" s="852">
        <f t="shared" si="24"/>
        <v>0.28752449561263771</v>
      </c>
      <c r="I49" s="852">
        <f t="shared" si="24"/>
        <v>0.21892167992733019</v>
      </c>
      <c r="J49" s="852">
        <f t="shared" si="24"/>
        <v>0.20336447728497625</v>
      </c>
      <c r="K49" s="852">
        <f t="shared" si="24"/>
        <v>-0.21451015650481739</v>
      </c>
      <c r="L49" s="852">
        <f t="shared" si="24"/>
        <v>-0.40689984779342864</v>
      </c>
      <c r="M49" s="852">
        <f t="shared" si="24"/>
        <v>-3.2454123636969069E-2</v>
      </c>
      <c r="N49" s="852">
        <f t="shared" si="24"/>
        <v>-0.19425140589075304</v>
      </c>
      <c r="O49" s="852">
        <f t="shared" si="24"/>
        <v>4.8364030177506873E-2</v>
      </c>
      <c r="P49" s="852">
        <f t="shared" si="24"/>
        <v>3.7617439481041064E-2</v>
      </c>
      <c r="Q49" s="852">
        <f t="shared" si="24"/>
        <v>-9.4972804531638755E-2</v>
      </c>
      <c r="R49" s="852">
        <f t="shared" si="24"/>
        <v>-0.41251419295615921</v>
      </c>
      <c r="S49" s="852">
        <f t="shared" si="24"/>
        <v>-0.14941941954122767</v>
      </c>
      <c r="T49" s="852">
        <f t="shared" si="24"/>
        <v>5.3132879932841506E-2</v>
      </c>
      <c r="U49" s="852">
        <f t="shared" si="24"/>
        <v>0.12478732540355314</v>
      </c>
      <c r="V49" s="2126">
        <f t="shared" ca="1" si="24"/>
        <v>-2.8389954055223548E-3</v>
      </c>
      <c r="W49" s="2126">
        <f t="shared" ca="1" si="24"/>
        <v>8.599216129029788E-2</v>
      </c>
      <c r="X49" s="2126">
        <f t="shared" ca="1" si="24"/>
        <v>9.3368396139098114E-2</v>
      </c>
      <c r="Y49" s="2126">
        <f t="shared" ca="1" si="24"/>
        <v>9.5421180528045366E-2</v>
      </c>
      <c r="Z49" s="2126">
        <f t="shared" ca="1" si="24"/>
        <v>0.10487901363965026</v>
      </c>
      <c r="AA49" s="2126">
        <f ca="1">AA33/AA39</f>
        <v>0.11144994996190355</v>
      </c>
      <c r="AB49" s="2126">
        <f ca="1">AB33/AB39</f>
        <v>0.11530598331859412</v>
      </c>
      <c r="AC49" s="2126">
        <f ca="1">AC33/AC39</f>
        <v>0.119587783168532</v>
      </c>
      <c r="AD49" s="2126">
        <f ca="1">AD33/AD39</f>
        <v>0.11747324866220955</v>
      </c>
      <c r="AE49" s="2126">
        <f ca="1">AE33/AE39</f>
        <v>0.11750843719604999</v>
      </c>
      <c r="AF49" s="852"/>
      <c r="AG49" s="852"/>
      <c r="AH49" s="852"/>
      <c r="AI49" s="852"/>
      <c r="AJ49" s="852"/>
      <c r="AK49" s="860"/>
      <c r="AL49" s="860"/>
      <c r="AM49" s="860"/>
      <c r="AN49" s="860"/>
    </row>
    <row r="50" spans="1:40" ht="15">
      <c r="A50" s="849" t="s">
        <v>170</v>
      </c>
      <c r="B50" s="867"/>
      <c r="C50" s="852"/>
      <c r="D50" s="852"/>
      <c r="E50" s="852">
        <f t="shared" ref="E50:N50" si="25">E42/$B$2</f>
        <v>0</v>
      </c>
      <c r="F50" s="852">
        <f t="shared" si="25"/>
        <v>4.7289756498288107E-2</v>
      </c>
      <c r="G50" s="852">
        <f t="shared" si="25"/>
        <v>4.8012027698824664E-2</v>
      </c>
      <c r="H50" s="852">
        <f t="shared" si="25"/>
        <v>4.5385229830803862E-2</v>
      </c>
      <c r="I50" s="852">
        <f t="shared" si="25"/>
        <v>4.6807964308258523E-2</v>
      </c>
      <c r="J50" s="852">
        <f t="shared" si="25"/>
        <v>0</v>
      </c>
      <c r="K50" s="852">
        <f t="shared" si="25"/>
        <v>3.7635137024157453E-2</v>
      </c>
      <c r="L50" s="852">
        <f t="shared" si="25"/>
        <v>3.1685391224051923E-2</v>
      </c>
      <c r="M50" s="852">
        <f t="shared" si="25"/>
        <v>3.1601567437744914E-2</v>
      </c>
      <c r="N50" s="852">
        <f t="shared" si="25"/>
        <v>3.1026993484331366E-2</v>
      </c>
      <c r="O50" s="852">
        <f t="shared" ref="O50:U50" si="26">O42/$B$2</f>
        <v>0</v>
      </c>
      <c r="P50" s="852">
        <f t="shared" si="26"/>
        <v>2.7805848443825828E-2</v>
      </c>
      <c r="Q50" s="852">
        <f t="shared" si="26"/>
        <v>2.9694800091685774E-2</v>
      </c>
      <c r="R50" s="852">
        <f t="shared" si="26"/>
        <v>2.9953977780144362E-2</v>
      </c>
      <c r="S50" s="852">
        <f t="shared" si="26"/>
        <v>3.4032457240604698E-2</v>
      </c>
      <c r="T50" s="852">
        <f t="shared" si="26"/>
        <v>3.2916638970420929E-2</v>
      </c>
      <c r="U50" s="852">
        <f t="shared" si="26"/>
        <v>3.1390020487686451E-2</v>
      </c>
      <c r="V50" s="852">
        <f t="shared" ref="V50:AE50" si="27">V42/$B$2</f>
        <v>0</v>
      </c>
      <c r="W50" s="852">
        <f t="shared" si="27"/>
        <v>3.3720613617281708E-2</v>
      </c>
      <c r="X50" s="852">
        <f t="shared" si="27"/>
        <v>3.3059425114982069E-2</v>
      </c>
      <c r="Y50" s="852">
        <f t="shared" si="27"/>
        <v>3.2411201093119672E-2</v>
      </c>
      <c r="Z50" s="852">
        <f t="shared" si="27"/>
        <v>3.1775687346195756E-2</v>
      </c>
      <c r="AA50" s="852">
        <f t="shared" si="27"/>
        <v>3.1152634653133098E-2</v>
      </c>
      <c r="AB50" s="852">
        <f t="shared" si="27"/>
        <v>3.0541798679542251E-2</v>
      </c>
      <c r="AC50" s="852">
        <f t="shared" si="27"/>
        <v>2.9942939881904166E-2</v>
      </c>
      <c r="AD50" s="852">
        <f t="shared" si="27"/>
        <v>2.9355823413631538E-2</v>
      </c>
      <c r="AE50" s="852">
        <f t="shared" si="27"/>
        <v>2.8780219032972093E-2</v>
      </c>
      <c r="AF50" s="852"/>
      <c r="AG50" s="852"/>
      <c r="AH50" s="852"/>
      <c r="AI50" s="852"/>
      <c r="AJ50" s="852"/>
      <c r="AK50" s="860"/>
      <c r="AL50" s="860"/>
      <c r="AM50" s="860"/>
      <c r="AN50" s="860"/>
    </row>
    <row r="51" spans="1:40" ht="15">
      <c r="A51" s="849" t="s">
        <v>171</v>
      </c>
      <c r="B51" s="867"/>
      <c r="C51" s="852"/>
      <c r="D51" s="852"/>
      <c r="E51" s="852">
        <f>(Master!H555-Master!G555)/Master!G554</f>
        <v>4.3780427692660931E-3</v>
      </c>
      <c r="F51" s="852">
        <f>(Master!I555-Master!H555)/Master!H554</f>
        <v>8.2860514480495966E-3</v>
      </c>
      <c r="G51" s="852">
        <f>(Master!J555-Master!I555)/Master!I554</f>
        <v>6.5625759849539405E-5</v>
      </c>
      <c r="H51" s="852">
        <f>(Master!K555-Master!J555)/Master!J554</f>
        <v>1.4679614322559904E-16</v>
      </c>
      <c r="I51" s="852">
        <f>(Master!L555-Master!K555)/Master!K554</f>
        <v>0</v>
      </c>
      <c r="J51" s="852">
        <f>(Master!M555-Master!L555)/Master!L554</f>
        <v>0</v>
      </c>
      <c r="K51" s="852">
        <f>(Master!N555-Master!M555)/Master!M554</f>
        <v>-2.0578225909215334E-2</v>
      </c>
      <c r="L51" s="852">
        <f>(Master!O555-Master!N555)/Master!N554</f>
        <v>0</v>
      </c>
      <c r="M51" s="852">
        <f>(Master!P555-Master!O555)/Master!O554</f>
        <v>0</v>
      </c>
      <c r="N51" s="852">
        <f>(Master!Q555-Master!P555)/Master!P554</f>
        <v>-1.3749670626506331E-2</v>
      </c>
      <c r="O51" s="852">
        <f>(Master!R555-Master!Q555)/Master!Q554</f>
        <v>1.1194845445363135E-2</v>
      </c>
      <c r="P51" s="852">
        <f>(Master!S555-Master!R555)/Master!R554</f>
        <v>-3.0785824974748849E-3</v>
      </c>
      <c r="Q51" s="852">
        <f>(Master!T555-Master!S555)/Master!S554</f>
        <v>0</v>
      </c>
      <c r="R51" s="852">
        <f>(Master!U555-Master!T555)/Master!T554</f>
        <v>0</v>
      </c>
      <c r="S51" s="852">
        <f>(Master!V555-Master!U555)/Master!U554</f>
        <v>-5.640522877646036E-3</v>
      </c>
      <c r="T51" s="852">
        <f>(Master!W555-Master!V555)/Master!V554</f>
        <v>1.5435117509836633E-2</v>
      </c>
      <c r="U51" s="852">
        <f>(Master!X555-Master!W555)/Master!W554</f>
        <v>1.2732596680541265E-2</v>
      </c>
      <c r="V51" s="852">
        <f>(Master!Y555-Master!X555)/Master!X554</f>
        <v>0</v>
      </c>
      <c r="W51" s="852">
        <f>(Master!Z555-Master!Y555)/Master!Y554</f>
        <v>3.1240184893460318E-16</v>
      </c>
      <c r="X51" s="852">
        <f>(Master!AA555-Master!Z555)/Master!Z554</f>
        <v>0</v>
      </c>
      <c r="Y51" s="852">
        <f>(Master!AB555-Master!AA555)/Master!AA554</f>
        <v>0</v>
      </c>
      <c r="Z51" s="852">
        <f>(Master!AC555-Master!AB555)/Master!AB554</f>
        <v>0</v>
      </c>
      <c r="AA51" s="852">
        <f>(Master!AD555-Master!AC555)/Master!AC554</f>
        <v>0</v>
      </c>
      <c r="AB51" s="852">
        <f>(Master!AE555-Master!AD555)/Master!AD554</f>
        <v>0</v>
      </c>
      <c r="AC51" s="852">
        <f>(Master!AF555-Master!AE555)/Master!AE554</f>
        <v>0</v>
      </c>
      <c r="AD51" s="852">
        <f>(Master!AG555-Master!AF555)/Master!AF554</f>
        <v>0</v>
      </c>
      <c r="AE51" s="852">
        <f>(Master!AH555-Master!AG555)/Master!AG554</f>
        <v>0</v>
      </c>
      <c r="AF51" s="852"/>
      <c r="AG51" s="852"/>
      <c r="AH51" s="852"/>
      <c r="AI51" s="852"/>
      <c r="AJ51" s="852"/>
      <c r="AK51" s="860"/>
      <c r="AL51" s="860"/>
      <c r="AM51" s="860"/>
      <c r="AN51" s="860"/>
    </row>
    <row r="52" spans="1:40" ht="15">
      <c r="A52" s="849" t="s">
        <v>172</v>
      </c>
      <c r="B52" s="877"/>
      <c r="C52" s="875"/>
      <c r="D52" s="875"/>
      <c r="E52" s="875">
        <f>E10/(Master!H508/Valuation!E$19)</f>
        <v>2.5543581070280448</v>
      </c>
      <c r="F52" s="875">
        <f>F10/(Master!I508/Valuation!F$19)</f>
        <v>2.5326790177573106</v>
      </c>
      <c r="G52" s="875">
        <f>G10/(Master!J508/Valuation!G$19)</f>
        <v>2.6131561038416251</v>
      </c>
      <c r="H52" s="875">
        <f>H10/(Master!K508/Valuation!H$19)</f>
        <v>2.5068167074279457</v>
      </c>
      <c r="I52" s="875">
        <f>I10/(Master!L508/Valuation!I$19)</f>
        <v>2.5339754255548432</v>
      </c>
      <c r="J52" s="875">
        <f>J10/(Master!M508/Valuation!J$19)</f>
        <v>2.2585772982270393</v>
      </c>
      <c r="K52" s="875">
        <f>K10/(Master!N508/Valuation!K$19)</f>
        <v>5.6279784599936669</v>
      </c>
      <c r="L52" s="875">
        <f>L10/(Master!O508/Valuation!L$19)</f>
        <v>5.1088321742420648</v>
      </c>
      <c r="M52" s="875">
        <f>M10/(Master!P508/Valuation!M$19)</f>
        <v>11.230282601310353</v>
      </c>
      <c r="N52" s="875">
        <f>N10/(Master!Q508/Valuation!N$19)</f>
        <v>10.407044771856173</v>
      </c>
      <c r="O52" s="875">
        <f>O10/(Master!R508/Valuation!O$19)</f>
        <v>6.8246491813278878</v>
      </c>
      <c r="P52" s="875">
        <f>P10/(Master!S508/Valuation!P$19)</f>
        <v>7.1033948825758007</v>
      </c>
      <c r="Q52" s="875">
        <f>Q10/(Master!T508/Valuation!Q$19)</f>
        <v>6.6322715312101312</v>
      </c>
      <c r="R52" s="875">
        <f>R10/(Master!U508/Valuation!R$19)</f>
        <v>-2.6495854601523328</v>
      </c>
      <c r="S52" s="875">
        <f>S10/(Master!V508/Valuation!S$19)</f>
        <v>-2.7466777065265506</v>
      </c>
      <c r="T52" s="875">
        <f>T10/(Master!W508/Valuation!T$19)</f>
        <v>-3.4741567381223346</v>
      </c>
      <c r="U52" s="875">
        <f>U10/(Master!X508/Valuation!U$19)</f>
        <v>-21.147643054353402</v>
      </c>
      <c r="V52" s="875">
        <f ca="1">V10/(Master!Y508/Valuation!V$19)</f>
        <v>-38.38395805810913</v>
      </c>
      <c r="W52" s="875">
        <f ca="1">W10/(Master!Z508/Valuation!W$19)</f>
        <v>-118.23085332356442</v>
      </c>
      <c r="X52" s="875">
        <f ca="1">X10/(Master!AA508/Valuation!X$19)</f>
        <v>188.06271999010664</v>
      </c>
      <c r="Y52" s="875">
        <f ca="1">Y10/(Master!AB508/Valuation!Y$19)</f>
        <v>34.09198937148426</v>
      </c>
      <c r="Z52" s="875">
        <f ca="1">Z10/(Master!AC508/Valuation!Z$19)</f>
        <v>16.748069577595881</v>
      </c>
      <c r="AA52" s="875">
        <f ca="1">AA10/(Master!AD508/Valuation!AA$19)</f>
        <v>11.349494052646047</v>
      </c>
      <c r="AB52" s="875">
        <f ca="1">AB10/(Master!AE508/Valuation!AB$19)</f>
        <v>8.9709924119830458</v>
      </c>
      <c r="AC52" s="875">
        <f ca="1">AC10/(Master!AF508/Valuation!AC$19)</f>
        <v>7.6248091813984535</v>
      </c>
      <c r="AD52" s="875">
        <f ca="1">AD10/(Master!AG508/Valuation!AD$19)</f>
        <v>7.1283168955109595</v>
      </c>
      <c r="AE52" s="875">
        <f ca="1">AE10/(Master!AH508/Valuation!AE$19)</f>
        <v>6.5053678911911081</v>
      </c>
      <c r="AF52" s="875"/>
      <c r="AG52" s="875"/>
      <c r="AH52" s="875"/>
      <c r="AI52" s="875"/>
      <c r="AJ52" s="875"/>
      <c r="AK52" s="860"/>
      <c r="AL52" s="860"/>
      <c r="AM52" s="860"/>
      <c r="AN52" s="860"/>
    </row>
    <row r="53" spans="1:40" ht="15">
      <c r="A53" s="849"/>
      <c r="B53" s="877"/>
      <c r="C53" s="875"/>
      <c r="D53" s="875"/>
      <c r="E53" s="875"/>
      <c r="F53" s="875"/>
      <c r="G53" s="875"/>
      <c r="H53" s="875"/>
      <c r="I53" s="875"/>
      <c r="J53" s="875"/>
      <c r="K53" s="875"/>
      <c r="L53" s="875"/>
      <c r="M53" s="875"/>
      <c r="N53" s="875"/>
      <c r="O53" s="875"/>
      <c r="P53" s="875"/>
      <c r="Q53" s="875"/>
      <c r="R53" s="875"/>
      <c r="S53" s="875"/>
      <c r="T53" s="875"/>
      <c r="U53" s="875"/>
      <c r="V53" s="875"/>
      <c r="W53" s="875"/>
      <c r="X53" s="875"/>
      <c r="Y53" s="875"/>
      <c r="Z53" s="875"/>
      <c r="AA53" s="875"/>
      <c r="AB53" s="875"/>
      <c r="AC53" s="875"/>
      <c r="AD53" s="875"/>
      <c r="AE53" s="875"/>
      <c r="AF53" s="875"/>
      <c r="AG53" s="875"/>
      <c r="AH53" s="875"/>
      <c r="AI53" s="875"/>
      <c r="AJ53" s="875"/>
      <c r="AK53" s="860"/>
      <c r="AL53" s="860"/>
      <c r="AM53" s="860"/>
      <c r="AN53" s="860"/>
    </row>
    <row r="54" spans="1:40" ht="15">
      <c r="A54" s="849" t="s">
        <v>173</v>
      </c>
      <c r="B54" s="877"/>
      <c r="C54" s="875"/>
      <c r="D54" s="875"/>
      <c r="E54" s="875">
        <f>Master!H221/Master!H140</f>
        <v>2.8720067705481231E-2</v>
      </c>
      <c r="F54" s="875">
        <f>Master!I221/Master!I140</f>
        <v>0.58966988130563802</v>
      </c>
      <c r="G54" s="875">
        <f>Master!J221/Master!J140</f>
        <v>1.3443255524669027</v>
      </c>
      <c r="H54" s="875">
        <f>Master!K221/Master!K140</f>
        <v>0.96228272550331029</v>
      </c>
      <c r="I54" s="875">
        <f>Master!L221/Master!L140</f>
        <v>1.2406411730451439</v>
      </c>
      <c r="J54" s="875">
        <f>Master!M221/Master!M140</f>
        <v>1.3498778654954198</v>
      </c>
      <c r="K54" s="875">
        <f>Master!N221/Master!N140</f>
        <v>1.7136829620111633</v>
      </c>
      <c r="L54" s="875">
        <f>Master!O221/Master!O140</f>
        <v>2.3350447764750033</v>
      </c>
      <c r="M54" s="875">
        <f>Master!P221/Master!P140</f>
        <v>2.418334350213545</v>
      </c>
      <c r="N54" s="875">
        <f>Master!Q221/Master!Q140</f>
        <v>2.2781516166518556</v>
      </c>
      <c r="O54" s="875">
        <f>Master!R221/Master!R140</f>
        <v>2.725734664988579</v>
      </c>
      <c r="P54" s="875">
        <f>Master!S221/Master!S140</f>
        <v>2.6484515708458845</v>
      </c>
      <c r="Q54" s="875">
        <f>Master!T221/Master!T140</f>
        <v>2.5146898278962238</v>
      </c>
      <c r="R54" s="875">
        <f>Master!U221/Master!U140</f>
        <v>2.4466880717167077</v>
      </c>
      <c r="S54" s="875">
        <f>Master!V221/Master!V140</f>
        <v>2.6214369564676714</v>
      </c>
      <c r="T54" s="875">
        <f>Master!W221/Master!W140</f>
        <v>3.5124672620689474</v>
      </c>
      <c r="U54" s="875">
        <f>Master!X221/Master!X140</f>
        <v>2.5743965509179159</v>
      </c>
      <c r="V54" s="875">
        <f ca="1">Master!Y221/Master!Y140</f>
        <v>2.5205645237098397</v>
      </c>
      <c r="W54" s="875">
        <f ca="1">Master!Z221/Master!Z140</f>
        <v>2.6054160451757591</v>
      </c>
      <c r="X54" s="875">
        <f ca="1">Master!AA221/Master!AA140</f>
        <v>2.6925228829771521</v>
      </c>
      <c r="Y54" s="875">
        <f ca="1">Master!AB221/Master!AB140</f>
        <v>2.615455844652895</v>
      </c>
      <c r="Z54" s="875">
        <f ca="1">Master!AC221/Master!AC140</f>
        <v>2.4813709762436278</v>
      </c>
      <c r="AA54" s="875">
        <f ca="1">Master!AD221/Master!AD140</f>
        <v>2.3132639886629347</v>
      </c>
      <c r="AB54" s="875">
        <f ca="1">Master!AE221/Master!AE140</f>
        <v>2.147840240528772</v>
      </c>
      <c r="AC54" s="875">
        <f ca="1">Master!AF221/Master!AF140</f>
        <v>1.9791523603142704</v>
      </c>
      <c r="AD54" s="875">
        <f ca="1">Master!AG221/Master!AG140</f>
        <v>1.8486323731493677</v>
      </c>
      <c r="AE54" s="875">
        <f ca="1">Master!AH221/Master!AH140</f>
        <v>1.7011869141118268</v>
      </c>
      <c r="AF54" s="875"/>
      <c r="AG54" s="875"/>
      <c r="AH54" s="875"/>
      <c r="AI54" s="875"/>
      <c r="AJ54" s="875"/>
      <c r="AK54" s="860"/>
      <c r="AL54" s="860"/>
      <c r="AM54" s="860"/>
      <c r="AN54" s="860"/>
    </row>
    <row r="55" spans="1:40" ht="15">
      <c r="A55" s="849"/>
      <c r="B55" s="877"/>
      <c r="C55" s="875"/>
      <c r="D55" s="875"/>
      <c r="E55" s="864"/>
      <c r="F55" s="864"/>
      <c r="G55" s="864"/>
      <c r="H55" s="864"/>
      <c r="I55" s="864"/>
      <c r="J55" s="864"/>
      <c r="K55" s="875"/>
      <c r="L55" s="875"/>
      <c r="M55" s="875"/>
      <c r="N55" s="875"/>
      <c r="O55" s="875"/>
      <c r="P55" s="875"/>
      <c r="Q55" s="875"/>
      <c r="R55" s="875"/>
      <c r="S55" s="860"/>
      <c r="T55" s="860"/>
      <c r="U55" s="860"/>
      <c r="V55" s="860"/>
      <c r="W55" s="860"/>
      <c r="X55" s="860"/>
      <c r="Y55" s="860"/>
      <c r="Z55" s="860"/>
      <c r="AA55" s="860"/>
      <c r="AB55" s="860"/>
      <c r="AC55" s="860"/>
      <c r="AD55" s="860"/>
      <c r="AE55" s="860"/>
      <c r="AF55" s="860"/>
      <c r="AG55" s="860"/>
      <c r="AH55" s="860"/>
      <c r="AI55" s="860"/>
      <c r="AJ55" s="860"/>
      <c r="AK55" s="860"/>
      <c r="AL55" s="860"/>
      <c r="AM55" s="860"/>
      <c r="AN55" s="860"/>
    </row>
    <row r="56" spans="1:40" ht="15">
      <c r="A56" s="849"/>
      <c r="B56" s="877"/>
      <c r="C56" s="875"/>
      <c r="D56" s="875"/>
      <c r="E56" s="864"/>
      <c r="F56" s="864"/>
      <c r="G56" s="864"/>
      <c r="H56" s="864"/>
      <c r="I56" s="864"/>
      <c r="J56" s="864"/>
      <c r="K56" s="875"/>
      <c r="L56" s="875"/>
      <c r="M56" s="875"/>
      <c r="N56" s="875"/>
      <c r="O56" s="875"/>
      <c r="P56" s="875"/>
      <c r="Q56" s="875"/>
      <c r="R56" s="875"/>
      <c r="S56" s="860"/>
      <c r="T56" s="860"/>
      <c r="U56" s="860"/>
      <c r="V56" s="860"/>
      <c r="W56" s="860"/>
      <c r="X56" s="860"/>
      <c r="Y56" s="860"/>
      <c r="Z56" s="860"/>
      <c r="AA56" s="860"/>
      <c r="AB56" s="860"/>
      <c r="AC56" s="860"/>
      <c r="AD56" s="860"/>
      <c r="AE56" s="860"/>
      <c r="AF56" s="860"/>
      <c r="AG56" s="860"/>
      <c r="AH56" s="860"/>
      <c r="AI56" s="860"/>
      <c r="AJ56" s="860"/>
      <c r="AK56" s="860"/>
      <c r="AL56" s="860"/>
      <c r="AM56" s="860"/>
      <c r="AN56" s="860"/>
    </row>
    <row r="57" spans="1:40" ht="15">
      <c r="A57" s="868" t="s">
        <v>174</v>
      </c>
      <c r="B57" s="877"/>
      <c r="C57" s="875"/>
      <c r="D57" s="875"/>
      <c r="E57" s="864"/>
      <c r="F57" s="864"/>
      <c r="G57" s="864"/>
      <c r="H57" s="864"/>
      <c r="I57" s="864"/>
      <c r="J57" s="864"/>
      <c r="K57" s="875"/>
      <c r="L57" s="875"/>
      <c r="M57" s="875"/>
      <c r="N57" s="875"/>
      <c r="O57" s="875"/>
      <c r="P57" s="875"/>
      <c r="Q57" s="875"/>
      <c r="R57" s="875"/>
      <c r="S57" s="860"/>
      <c r="T57" s="860"/>
      <c r="U57" s="860"/>
      <c r="V57" s="860"/>
      <c r="W57" s="860"/>
      <c r="X57" s="860"/>
      <c r="Y57" s="860"/>
      <c r="Z57" s="860"/>
      <c r="AA57" s="860"/>
      <c r="AB57" s="860"/>
      <c r="AC57" s="860"/>
      <c r="AD57" s="860"/>
      <c r="AE57" s="860"/>
      <c r="AF57" s="860"/>
      <c r="AG57" s="860"/>
      <c r="AH57" s="860"/>
      <c r="AI57" s="860"/>
      <c r="AJ57" s="860"/>
      <c r="AK57" s="860"/>
      <c r="AL57" s="860"/>
      <c r="AM57" s="860"/>
      <c r="AN57" s="860"/>
    </row>
    <row r="58" spans="1:40" ht="15">
      <c r="A58" s="849" t="s">
        <v>79</v>
      </c>
      <c r="B58" s="877"/>
      <c r="C58" s="875"/>
      <c r="D58" s="875"/>
      <c r="E58" s="864"/>
      <c r="F58" s="864"/>
      <c r="G58" s="864"/>
      <c r="H58" s="864"/>
      <c r="I58" s="864"/>
      <c r="J58" s="864"/>
      <c r="K58" s="875"/>
      <c r="L58" s="875"/>
      <c r="M58" s="875"/>
      <c r="N58" s="875"/>
      <c r="O58" s="875"/>
      <c r="P58" s="875"/>
      <c r="Q58" s="875"/>
      <c r="R58" s="862">
        <f>R10</f>
        <v>1680.0124153846155</v>
      </c>
      <c r="S58" s="862">
        <f t="shared" ref="S58:Z58" si="28">S10</f>
        <v>1622.6515299145299</v>
      </c>
      <c r="T58" s="862">
        <f t="shared" si="28"/>
        <v>1579.9551692307691</v>
      </c>
      <c r="U58" s="862">
        <f t="shared" si="28"/>
        <v>1558.2331008547008</v>
      </c>
      <c r="V58" s="862">
        <f t="shared" si="28"/>
        <v>1558.2331008547008</v>
      </c>
      <c r="W58" s="862">
        <f t="shared" si="28"/>
        <v>1935.1663316239317</v>
      </c>
      <c r="X58" s="862">
        <f t="shared" si="28"/>
        <v>1935.1663316239317</v>
      </c>
      <c r="Y58" s="862">
        <f t="shared" si="28"/>
        <v>1935.1663316239317</v>
      </c>
      <c r="Z58" s="862">
        <f t="shared" si="28"/>
        <v>1935.1663316239317</v>
      </c>
      <c r="AA58" s="862">
        <f>AA10</f>
        <v>1935.1663316239317</v>
      </c>
      <c r="AB58" s="862">
        <f>AB10</f>
        <v>1935.1663316239317</v>
      </c>
      <c r="AC58" s="862">
        <f>AC10</f>
        <v>1935.1663316239317</v>
      </c>
      <c r="AD58" s="862">
        <f>AD10</f>
        <v>1935.1663316239317</v>
      </c>
      <c r="AE58" s="862">
        <f>AE10</f>
        <v>1935.1663316239317</v>
      </c>
      <c r="AF58" s="862"/>
      <c r="AG58" s="862"/>
      <c r="AH58" s="862"/>
      <c r="AI58" s="862"/>
      <c r="AJ58" s="862"/>
      <c r="AK58" s="860"/>
      <c r="AL58" s="860"/>
      <c r="AM58" s="860"/>
      <c r="AN58" s="860"/>
    </row>
    <row r="59" spans="1:40" ht="15">
      <c r="A59" s="849" t="s">
        <v>175</v>
      </c>
      <c r="B59" s="877"/>
      <c r="C59" s="875"/>
      <c r="D59" s="875"/>
      <c r="E59" s="864"/>
      <c r="F59" s="864"/>
      <c r="G59" s="864"/>
      <c r="H59" s="864"/>
      <c r="I59" s="864"/>
      <c r="J59" s="864"/>
      <c r="K59" s="875"/>
      <c r="L59" s="875"/>
      <c r="M59" s="875"/>
      <c r="N59" s="875"/>
      <c r="O59" s="875"/>
      <c r="P59" s="875"/>
      <c r="Q59" s="875"/>
      <c r="R59" s="862">
        <f>R15+SOP!$C$17*VOD!F215</f>
        <v>7375.8173396320235</v>
      </c>
      <c r="S59" s="862">
        <f>S15+SOP!$C$17*VOD!G215</f>
        <v>7919.3595197740115</v>
      </c>
      <c r="T59" s="862">
        <f>T15+SOP!$C$17*VOD!H215</f>
        <v>7517.1869672131161</v>
      </c>
      <c r="U59" s="862">
        <f>U15+SOP!$C$17*VOD!I215</f>
        <v>6869.3261021365306</v>
      </c>
      <c r="V59" s="862">
        <f ca="1">V15+SOP!$C$17*VOD!J215</f>
        <v>6835.9980328255424</v>
      </c>
      <c r="W59" s="862">
        <f ca="1">W15+SOP!$C$17*VOD!K215</f>
        <v>6487.1478100975282</v>
      </c>
      <c r="X59" s="862">
        <f ca="1">X15+SOP!$C$17*VOD!L215</f>
        <v>6099.5688079297342</v>
      </c>
      <c r="Y59" s="862">
        <f ca="1">Y15+SOP!$C$17*VOD!M215</f>
        <v>5585.1995953637597</v>
      </c>
      <c r="Z59" s="862">
        <f ca="1">Z15+SOP!$C$17*VOD!N215</f>
        <v>5033.8622582824673</v>
      </c>
      <c r="AA59" s="862">
        <f ca="1">AA15+SOP!$C$17*VOD!O215</f>
        <v>4450.2548729170812</v>
      </c>
      <c r="AB59" s="862">
        <f ca="1">AB15+SOP!$C$17*VOD!P215</f>
        <v>3842.6371684127166</v>
      </c>
      <c r="AC59" s="862">
        <f ca="1">AC15+SOP!$C$17*VOD!Q215</f>
        <v>3212.2279356924396</v>
      </c>
      <c r="AD59" s="862">
        <f ca="1">AD15+SOP!$C$17*VOD!R215</f>
        <v>2574.9915778841009</v>
      </c>
      <c r="AE59" s="862">
        <f ca="1">AE15+SOP!$C$17*VOD!S215</f>
        <v>1937.2389896779789</v>
      </c>
      <c r="AF59" s="862"/>
      <c r="AG59" s="862"/>
      <c r="AH59" s="862"/>
      <c r="AI59" s="862"/>
      <c r="AJ59" s="862"/>
      <c r="AK59" s="860"/>
      <c r="AL59" s="860"/>
      <c r="AM59" s="860"/>
      <c r="AN59" s="860"/>
    </row>
    <row r="60" spans="1:40" ht="15">
      <c r="A60" s="849" t="s">
        <v>176</v>
      </c>
      <c r="B60" s="877"/>
      <c r="C60" s="875"/>
      <c r="D60" s="875"/>
      <c r="E60" s="864"/>
      <c r="F60" s="864"/>
      <c r="G60" s="864"/>
      <c r="H60" s="864"/>
      <c r="I60" s="864"/>
      <c r="J60" s="864"/>
      <c r="K60" s="875"/>
      <c r="L60" s="875"/>
      <c r="M60" s="875"/>
      <c r="N60" s="875"/>
      <c r="O60" s="875"/>
      <c r="P60" s="875"/>
      <c r="Q60" s="875"/>
      <c r="R60" s="862">
        <f>R16</f>
        <v>0</v>
      </c>
      <c r="S60" s="862">
        <f t="shared" ref="S60:Z60" si="29">S16</f>
        <v>0</v>
      </c>
      <c r="T60" s="862">
        <f t="shared" si="29"/>
        <v>0</v>
      </c>
      <c r="U60" s="862">
        <f t="shared" si="29"/>
        <v>0</v>
      </c>
      <c r="V60" s="862">
        <f t="shared" si="29"/>
        <v>0</v>
      </c>
      <c r="W60" s="862">
        <f t="shared" si="29"/>
        <v>-70.238471107358833</v>
      </c>
      <c r="X60" s="862">
        <f t="shared" si="29"/>
        <v>-139.09971729104396</v>
      </c>
      <c r="Y60" s="862">
        <f t="shared" si="29"/>
        <v>-206.6107429613235</v>
      </c>
      <c r="Z60" s="862">
        <f t="shared" si="29"/>
        <v>-272.79802303022501</v>
      </c>
      <c r="AA60" s="862">
        <f>AA16</f>
        <v>-337.68751329385395</v>
      </c>
      <c r="AB60" s="862">
        <f>AB16</f>
        <v>-401.30466061113719</v>
      </c>
      <c r="AC60" s="862">
        <f>AC16</f>
        <v>-463.67441288298352</v>
      </c>
      <c r="AD60" s="862">
        <f>AD16</f>
        <v>-524.82122883577404</v>
      </c>
      <c r="AE60" s="862">
        <f>AE16</f>
        <v>-584.76908761301968</v>
      </c>
      <c r="AF60" s="862"/>
      <c r="AG60" s="862"/>
      <c r="AH60" s="862"/>
      <c r="AI60" s="862"/>
      <c r="AJ60" s="862"/>
      <c r="AK60" s="860"/>
      <c r="AL60" s="860"/>
      <c r="AM60" s="860"/>
      <c r="AN60" s="860"/>
    </row>
    <row r="61" spans="1:40" ht="15">
      <c r="A61" s="849" t="s">
        <v>177</v>
      </c>
      <c r="B61" s="877"/>
      <c r="C61" s="875"/>
      <c r="D61" s="875"/>
      <c r="E61" s="864"/>
      <c r="F61" s="864"/>
      <c r="G61" s="864"/>
      <c r="H61" s="864"/>
      <c r="I61" s="864"/>
      <c r="J61" s="864"/>
      <c r="K61" s="875"/>
      <c r="L61" s="875"/>
      <c r="M61" s="875"/>
      <c r="N61" s="875"/>
      <c r="O61" s="875"/>
      <c r="P61" s="875"/>
      <c r="Q61" s="875"/>
      <c r="R61" s="862">
        <f>-SOP!$G$18</f>
        <v>-50</v>
      </c>
      <c r="S61" s="862">
        <f>-SOP!$G$18</f>
        <v>-50</v>
      </c>
      <c r="T61" s="862">
        <f>-SOP!$G$18</f>
        <v>-50</v>
      </c>
      <c r="U61" s="862">
        <f>-SOP!$G$18</f>
        <v>-50</v>
      </c>
      <c r="V61" s="862">
        <f>-SOP!$G$18</f>
        <v>-50</v>
      </c>
      <c r="W61" s="862">
        <f>-SOP!$G$18</f>
        <v>-50</v>
      </c>
      <c r="X61" s="862">
        <f>-SOP!$G$18</f>
        <v>-50</v>
      </c>
      <c r="Y61" s="862">
        <f>-SOP!$G$18</f>
        <v>-50</v>
      </c>
      <c r="Z61" s="862">
        <f>-SOP!$G$18</f>
        <v>-50</v>
      </c>
      <c r="AA61" s="862">
        <f>-SOP!$G$18</f>
        <v>-50</v>
      </c>
      <c r="AB61" s="862">
        <f>-SOP!$G$18</f>
        <v>-50</v>
      </c>
      <c r="AC61" s="862">
        <f>-SOP!$G$18</f>
        <v>-50</v>
      </c>
      <c r="AD61" s="862">
        <f>-SOP!$G$18</f>
        <v>-50</v>
      </c>
      <c r="AE61" s="862">
        <f>-SOP!$G$18</f>
        <v>-50</v>
      </c>
      <c r="AF61" s="862"/>
      <c r="AG61" s="862"/>
      <c r="AH61" s="862"/>
      <c r="AI61" s="862"/>
      <c r="AJ61" s="862"/>
      <c r="AK61" s="860"/>
      <c r="AL61" s="860"/>
      <c r="AM61" s="860"/>
      <c r="AN61" s="860"/>
    </row>
    <row r="62" spans="1:40" ht="15">
      <c r="A62" s="870" t="s">
        <v>178</v>
      </c>
      <c r="B62" s="878"/>
      <c r="C62" s="879"/>
      <c r="D62" s="879"/>
      <c r="E62" s="880"/>
      <c r="F62" s="880"/>
      <c r="G62" s="880"/>
      <c r="H62" s="880"/>
      <c r="I62" s="880"/>
      <c r="J62" s="880"/>
      <c r="K62" s="879"/>
      <c r="L62" s="879"/>
      <c r="M62" s="879"/>
      <c r="N62" s="879"/>
      <c r="O62" s="879"/>
      <c r="P62" s="879"/>
      <c r="Q62" s="879"/>
      <c r="R62" s="871">
        <f>R13</f>
        <v>693.19143129330246</v>
      </c>
      <c r="S62" s="871">
        <f t="shared" ref="S62:Z62" si="30">S13</f>
        <v>693.19143129330246</v>
      </c>
      <c r="T62" s="871">
        <f t="shared" si="30"/>
        <v>693.19143129330246</v>
      </c>
      <c r="U62" s="871">
        <f t="shared" si="30"/>
        <v>693.19143129330246</v>
      </c>
      <c r="V62" s="871">
        <f t="shared" si="30"/>
        <v>693.19143129330246</v>
      </c>
      <c r="W62" s="871">
        <f t="shared" si="30"/>
        <v>693.19143129330246</v>
      </c>
      <c r="X62" s="871">
        <f t="shared" si="30"/>
        <v>693.19143129330246</v>
      </c>
      <c r="Y62" s="871">
        <f t="shared" si="30"/>
        <v>693.19143129330246</v>
      </c>
      <c r="Z62" s="871">
        <f t="shared" si="30"/>
        <v>693.19143129330246</v>
      </c>
      <c r="AA62" s="871">
        <f>AA13</f>
        <v>693.19143129330246</v>
      </c>
      <c r="AB62" s="871">
        <f>AB13</f>
        <v>693.19143129330246</v>
      </c>
      <c r="AC62" s="871">
        <f>AC13</f>
        <v>693.19143129330246</v>
      </c>
      <c r="AD62" s="871">
        <f>AD13</f>
        <v>693.19143129330246</v>
      </c>
      <c r="AE62" s="871">
        <f>AE13</f>
        <v>693.19143129330246</v>
      </c>
      <c r="AF62" s="862"/>
      <c r="AG62" s="862"/>
      <c r="AH62" s="862"/>
      <c r="AI62" s="862"/>
      <c r="AJ62" s="862"/>
      <c r="AK62" s="860"/>
      <c r="AL62" s="860"/>
      <c r="AM62" s="860"/>
      <c r="AN62" s="860"/>
    </row>
    <row r="63" spans="1:40" ht="15">
      <c r="A63" s="849" t="s">
        <v>179</v>
      </c>
      <c r="B63" s="877"/>
      <c r="C63" s="875"/>
      <c r="D63" s="875"/>
      <c r="E63" s="864"/>
      <c r="F63" s="864"/>
      <c r="G63" s="864"/>
      <c r="H63" s="864"/>
      <c r="I63" s="864"/>
      <c r="J63" s="864"/>
      <c r="K63" s="875"/>
      <c r="L63" s="875"/>
      <c r="M63" s="875"/>
      <c r="N63" s="875"/>
      <c r="O63" s="875"/>
      <c r="P63" s="875"/>
      <c r="Q63" s="875"/>
      <c r="R63" s="862">
        <f>SUM(R58:R62)</f>
        <v>9699.0211863099412</v>
      </c>
      <c r="S63" s="862">
        <f t="shared" ref="S63:Z63" si="31">SUM(S58:S62)</f>
        <v>10185.202480981843</v>
      </c>
      <c r="T63" s="862">
        <f t="shared" si="31"/>
        <v>9740.333567737187</v>
      </c>
      <c r="U63" s="862">
        <f t="shared" si="31"/>
        <v>9070.7506342845336</v>
      </c>
      <c r="V63" s="862">
        <f t="shared" ca="1" si="31"/>
        <v>9037.4225649735454</v>
      </c>
      <c r="W63" s="862">
        <f t="shared" ca="1" si="31"/>
        <v>8995.2671019074023</v>
      </c>
      <c r="X63" s="862">
        <f t="shared" ca="1" si="31"/>
        <v>8538.8268535559255</v>
      </c>
      <c r="Y63" s="862">
        <f t="shared" ca="1" si="31"/>
        <v>7956.9466153196699</v>
      </c>
      <c r="Z63" s="862">
        <f t="shared" ca="1" si="31"/>
        <v>7339.4219981694769</v>
      </c>
      <c r="AA63" s="862">
        <f ca="1">SUM(AA58:AA62)</f>
        <v>6690.9251225404614</v>
      </c>
      <c r="AB63" s="862">
        <f ca="1">SUM(AB58:AB62)</f>
        <v>6019.6902707188128</v>
      </c>
      <c r="AC63" s="862">
        <f ca="1">SUM(AC58:AC62)</f>
        <v>5326.91128572669</v>
      </c>
      <c r="AD63" s="862">
        <f ca="1">SUM(AD58:AD62)</f>
        <v>4628.528111965561</v>
      </c>
      <c r="AE63" s="862">
        <f ca="1">SUM(AE58:AE62)</f>
        <v>3930.8276649821937</v>
      </c>
      <c r="AF63" s="862"/>
      <c r="AG63" s="862"/>
      <c r="AH63" s="862"/>
      <c r="AI63" s="862"/>
      <c r="AJ63" s="862"/>
      <c r="AK63" s="860"/>
      <c r="AL63" s="860"/>
      <c r="AM63" s="860"/>
      <c r="AN63" s="860"/>
    </row>
    <row r="64" spans="1:40" ht="15">
      <c r="A64" s="849"/>
      <c r="B64" s="877"/>
      <c r="C64" s="875"/>
      <c r="D64" s="875"/>
      <c r="E64" s="864"/>
      <c r="F64" s="864"/>
      <c r="G64" s="864"/>
      <c r="H64" s="864"/>
      <c r="I64" s="864"/>
      <c r="J64" s="864"/>
      <c r="K64" s="875"/>
      <c r="L64" s="875"/>
      <c r="M64" s="875"/>
      <c r="N64" s="875"/>
      <c r="O64" s="875"/>
      <c r="P64" s="875"/>
      <c r="Q64" s="875"/>
      <c r="R64" s="875"/>
      <c r="S64" s="875"/>
      <c r="T64" s="875"/>
      <c r="U64" s="875"/>
      <c r="V64" s="875"/>
      <c r="W64" s="875"/>
      <c r="X64" s="875"/>
      <c r="Y64" s="875"/>
      <c r="Z64" s="875"/>
      <c r="AA64" s="875"/>
      <c r="AB64" s="875"/>
      <c r="AC64" s="875"/>
      <c r="AD64" s="875"/>
      <c r="AE64" s="875"/>
      <c r="AF64" s="875"/>
      <c r="AG64" s="875"/>
      <c r="AH64" s="875"/>
      <c r="AI64" s="875"/>
      <c r="AJ64" s="875"/>
      <c r="AK64" s="860"/>
      <c r="AL64" s="860"/>
      <c r="AM64" s="860"/>
      <c r="AN64" s="860"/>
    </row>
    <row r="65" spans="1:40" ht="15">
      <c r="A65" s="849" t="s">
        <v>180</v>
      </c>
      <c r="B65" s="877"/>
      <c r="C65" s="875"/>
      <c r="D65" s="875"/>
      <c r="E65" s="864"/>
      <c r="F65" s="864"/>
      <c r="G65" s="864"/>
      <c r="H65" s="864"/>
      <c r="I65" s="864"/>
      <c r="J65" s="864"/>
      <c r="K65" s="875"/>
      <c r="L65" s="875"/>
      <c r="M65" s="875"/>
      <c r="N65" s="875"/>
      <c r="O65" s="875"/>
      <c r="P65" s="875"/>
      <c r="Q65" s="875"/>
      <c r="R65" s="862">
        <f>(Master!U63)/Master!U7+SOP!$C$17*VOD!F165</f>
        <v>2030.3175037294877</v>
      </c>
      <c r="S65" s="862">
        <f>(Master!V63)/Master!V7+SOP!$C$17*VOD!G165</f>
        <v>2089.8117514124297</v>
      </c>
      <c r="T65" s="874">
        <f>(Analysis!D3045)/Master!W7+SOP!$C$17*VOD!H165</f>
        <v>1525.5108469945353</v>
      </c>
      <c r="U65" s="874">
        <f>(Analysis!E3045)/Master!X7+SOP!$C$17*VOD!I165</f>
        <v>1920.5700937988536</v>
      </c>
      <c r="V65" s="874">
        <f>(Analysis!F3045)/Master!Y7+SOP!$C$17*VOD!J165</f>
        <v>2073.3072165578078</v>
      </c>
      <c r="W65" s="874">
        <f>(Analysis!G3045)/Master!Z7+SOP!$C$17*VOD!K165</f>
        <v>2023.3085422753907</v>
      </c>
      <c r="X65" s="874">
        <f>(Analysis!H3045)/Master!AA7+SOP!$C$17*VOD!L165</f>
        <v>1993.8352579961056</v>
      </c>
      <c r="Y65" s="862">
        <f>(Master!AB63)/Master!AB7+SOP!$C$17*VOD!M165</f>
        <v>1897.71580966486</v>
      </c>
      <c r="Z65" s="862">
        <f>(Master!AC63)/Master!AC7+SOP!$C$17*VOD!N165</f>
        <v>1903.2640822883595</v>
      </c>
      <c r="AA65" s="862">
        <f>(Master!AD63)/Master!AD7+SOP!$C$17*VOD!O165</f>
        <v>1911.7610290229973</v>
      </c>
      <c r="AB65" s="862">
        <f>(Master!AE63)/Master!AE7+SOP!$C$17*VOD!P165</f>
        <v>1910.588769012892</v>
      </c>
      <c r="AC65" s="862">
        <f>(Master!AF63)/Master!AF7+SOP!$C$17*VOD!Q165</f>
        <v>1904.1130465016333</v>
      </c>
      <c r="AD65" s="862">
        <f>(Master!AG63)/Master!AG7+SOP!$C$17*VOD!R165</f>
        <v>1871.3842662889406</v>
      </c>
      <c r="AE65" s="862">
        <f>(Master!AH63)/Master!AH7+SOP!$C$17*VOD!S165</f>
        <v>1845.5485599524895</v>
      </c>
      <c r="AF65" s="862"/>
      <c r="AG65" s="862"/>
      <c r="AH65" s="862"/>
      <c r="AI65" s="862"/>
      <c r="AJ65" s="862"/>
      <c r="AK65" s="860"/>
      <c r="AL65" s="860"/>
      <c r="AM65" s="860"/>
      <c r="AN65" s="860"/>
    </row>
    <row r="66" spans="1:40" ht="15">
      <c r="A66" s="849" t="s">
        <v>22</v>
      </c>
      <c r="B66" s="877"/>
      <c r="C66" s="875"/>
      <c r="D66" s="875"/>
      <c r="E66" s="864"/>
      <c r="F66" s="864"/>
      <c r="G66" s="864"/>
      <c r="H66" s="864"/>
      <c r="I66" s="864"/>
      <c r="J66" s="864"/>
      <c r="K66" s="875"/>
      <c r="L66" s="875"/>
      <c r="M66" s="875"/>
      <c r="N66" s="875"/>
      <c r="O66" s="875"/>
      <c r="P66" s="875"/>
      <c r="Q66" s="875"/>
      <c r="R66" s="875">
        <f>R63/R65</f>
        <v>4.7770957835382006</v>
      </c>
      <c r="S66" s="875">
        <f t="shared" ref="S66:Z66" si="32">S63/S65</f>
        <v>4.873741605720241</v>
      </c>
      <c r="T66" s="875">
        <f t="shared" si="32"/>
        <v>6.3849651327796026</v>
      </c>
      <c r="U66" s="875">
        <f t="shared" si="32"/>
        <v>4.722946933086285</v>
      </c>
      <c r="V66" s="875">
        <f t="shared" ca="1" si="32"/>
        <v>4.3589403889587848</v>
      </c>
      <c r="W66" s="875">
        <f t="shared" ca="1" si="32"/>
        <v>4.4458207504978073</v>
      </c>
      <c r="X66" s="875">
        <f t="shared" ca="1" si="32"/>
        <v>4.2826140320829875</v>
      </c>
      <c r="Y66" s="875">
        <f t="shared" ca="1" si="32"/>
        <v>4.1929073756965121</v>
      </c>
      <c r="Z66" s="875">
        <f t="shared" ca="1" si="32"/>
        <v>3.8562289208679013</v>
      </c>
      <c r="AA66" s="875">
        <f ca="1">AA63/AA65</f>
        <v>3.4998752568776075</v>
      </c>
      <c r="AB66" s="875">
        <f ca="1">AB63/AB65</f>
        <v>3.1506990768237859</v>
      </c>
      <c r="AC66" s="875">
        <f ca="1">AC63/AC65</f>
        <v>2.7975814227593556</v>
      </c>
      <c r="AD66" s="875">
        <f ca="1">AD63/AD65</f>
        <v>2.4733178510387877</v>
      </c>
      <c r="AE66" s="875">
        <f ca="1">AE63/AE65</f>
        <v>2.1298966335967808</v>
      </c>
      <c r="AF66" s="875"/>
      <c r="AG66" s="875"/>
      <c r="AH66" s="875"/>
      <c r="AI66" s="875"/>
      <c r="AJ66" s="875"/>
      <c r="AK66" s="860"/>
      <c r="AL66" s="860">
        <f>(T66*4+U66*8)/12</f>
        <v>5.2769529996507245</v>
      </c>
      <c r="AM66" s="860"/>
      <c r="AN66" s="860"/>
    </row>
    <row r="67" spans="1:40" ht="15">
      <c r="A67" s="849"/>
      <c r="B67" s="877"/>
      <c r="C67" s="875"/>
      <c r="D67" s="875"/>
      <c r="E67" s="864"/>
      <c r="F67" s="864"/>
      <c r="G67" s="864"/>
      <c r="H67" s="864"/>
      <c r="I67" s="864"/>
      <c r="J67" s="864"/>
      <c r="K67" s="875"/>
      <c r="L67" s="875"/>
      <c r="M67" s="875"/>
      <c r="N67" s="875"/>
      <c r="O67" s="875"/>
      <c r="P67" s="875"/>
      <c r="Q67" s="875"/>
      <c r="R67" s="875"/>
      <c r="S67" s="860"/>
      <c r="T67" s="860"/>
      <c r="U67" s="860"/>
      <c r="V67" s="860"/>
      <c r="W67" s="860"/>
      <c r="X67" s="860"/>
      <c r="Y67" s="860"/>
      <c r="Z67" s="860"/>
      <c r="AA67" s="860"/>
      <c r="AB67" s="860"/>
      <c r="AC67" s="860"/>
      <c r="AD67" s="860"/>
      <c r="AE67" s="860"/>
      <c r="AF67" s="860"/>
      <c r="AG67" s="860"/>
      <c r="AH67" s="860"/>
      <c r="AI67" s="860"/>
      <c r="AJ67" s="860"/>
      <c r="AK67" s="860"/>
      <c r="AL67" s="860"/>
      <c r="AM67" s="860"/>
      <c r="AN67" s="860"/>
    </row>
    <row r="68" spans="1:40" ht="15">
      <c r="A68" s="849" t="s">
        <v>181</v>
      </c>
      <c r="B68" s="860"/>
      <c r="C68" s="860"/>
      <c r="D68" s="860"/>
      <c r="E68" s="860"/>
      <c r="F68" s="860"/>
      <c r="G68" s="860"/>
      <c r="H68" s="860"/>
      <c r="I68" s="860"/>
      <c r="J68" s="860"/>
      <c r="K68" s="860"/>
      <c r="L68" s="860"/>
      <c r="M68" s="860"/>
      <c r="N68" s="860"/>
      <c r="O68" s="860"/>
      <c r="P68" s="860"/>
      <c r="Q68" s="860"/>
      <c r="R68" s="862">
        <f>R15+SOP!$C$17*VOD!F215</f>
        <v>7375.8173396320235</v>
      </c>
      <c r="S68" s="862">
        <f>S15+SOP!$C$17*VOD!G215</f>
        <v>7919.3595197740115</v>
      </c>
      <c r="T68" s="862">
        <f>T15+SOP!$C$17*VOD!H215</f>
        <v>7517.1869672131161</v>
      </c>
      <c r="U68" s="862">
        <f>U15+SOP!$C$17*VOD!I215</f>
        <v>6869.3261021365306</v>
      </c>
      <c r="V68" s="862">
        <f ca="1">V15+SOP!$C$17*VOD!J215</f>
        <v>6835.9980328255424</v>
      </c>
      <c r="W68" s="862">
        <f ca="1">W15+SOP!$C$17*VOD!K215</f>
        <v>6487.1478100975282</v>
      </c>
      <c r="X68" s="862">
        <f ca="1">X15+SOP!$C$17*VOD!L215</f>
        <v>6099.5688079297342</v>
      </c>
      <c r="Y68" s="862">
        <f ca="1">Y15+SOP!$C$17*VOD!M215</f>
        <v>5585.1995953637597</v>
      </c>
      <c r="Z68" s="862">
        <f ca="1">Z15+SOP!$C$17*VOD!N215</f>
        <v>5033.8622582824673</v>
      </c>
      <c r="AA68" s="862">
        <f ca="1">AA15+SOP!$C$17*VOD!O215</f>
        <v>4450.2548729170812</v>
      </c>
      <c r="AB68" s="862">
        <f ca="1">AB15+SOP!$C$17*VOD!P215</f>
        <v>3842.6371684127166</v>
      </c>
      <c r="AC68" s="862">
        <f ca="1">AC15+SOP!$C$17*VOD!Q215</f>
        <v>3212.2279356924396</v>
      </c>
      <c r="AD68" s="862">
        <f ca="1">AD15+SOP!$C$17*VOD!R215</f>
        <v>2574.9915778841009</v>
      </c>
      <c r="AE68" s="862">
        <f ca="1">AE15+SOP!$C$17*VOD!S215</f>
        <v>1937.2389896779789</v>
      </c>
      <c r="AF68" s="862"/>
      <c r="AG68" s="862"/>
      <c r="AH68" s="862"/>
      <c r="AI68" s="862"/>
      <c r="AJ68" s="862"/>
      <c r="AK68" s="860"/>
      <c r="AL68" s="860"/>
      <c r="AM68" s="860"/>
      <c r="AN68" s="860"/>
    </row>
    <row r="69" spans="1:40" ht="15">
      <c r="A69" s="849" t="s">
        <v>182</v>
      </c>
      <c r="B69" s="860"/>
      <c r="C69" s="860"/>
      <c r="D69" s="860"/>
      <c r="E69" s="860"/>
      <c r="F69" s="860"/>
      <c r="G69" s="860"/>
      <c r="H69" s="860"/>
      <c r="I69" s="860"/>
      <c r="J69" s="860"/>
      <c r="K69" s="860"/>
      <c r="L69" s="860"/>
      <c r="M69" s="860"/>
      <c r="N69" s="860"/>
      <c r="O69" s="860"/>
      <c r="P69" s="860"/>
      <c r="Q69" s="860"/>
      <c r="R69" s="862">
        <f>R24+SOP!$C$17*VOD!F165</f>
        <v>2030.3175037294877</v>
      </c>
      <c r="S69" s="862">
        <f>S24+SOP!$C$17*VOD!G165</f>
        <v>2089.8117514124297</v>
      </c>
      <c r="T69" s="862">
        <f>T24+SOP!$C$17*VOD!H165</f>
        <v>1673.0518306010927</v>
      </c>
      <c r="U69" s="862">
        <f>U24+SOP!$C$17*VOD!I165</f>
        <v>1837.1933350703491</v>
      </c>
      <c r="V69" s="862">
        <f>V24+SOP!$C$17*VOD!J165</f>
        <v>1981.1678557746231</v>
      </c>
      <c r="W69" s="862">
        <f>W24+SOP!$C$17*VOD!K165</f>
        <v>1932.9758356252098</v>
      </c>
      <c r="X69" s="862">
        <f>X24+SOP!$C$17*VOD!L165</f>
        <v>1905.2737808880852</v>
      </c>
      <c r="Y69" s="862">
        <f>Y24+SOP!$C$17*VOD!M165</f>
        <v>1897.71580966486</v>
      </c>
      <c r="Z69" s="862">
        <f>Z24+SOP!$C$17*VOD!N165</f>
        <v>1903.2640822883595</v>
      </c>
      <c r="AA69" s="862">
        <f>AA24+SOP!$C$17*VOD!O165</f>
        <v>1911.7610290229973</v>
      </c>
      <c r="AB69" s="862">
        <f>AB24+SOP!$C$17*VOD!P165</f>
        <v>1910.588769012892</v>
      </c>
      <c r="AC69" s="862">
        <f>AC24+SOP!$C$17*VOD!Q165</f>
        <v>1904.1130465016333</v>
      </c>
      <c r="AD69" s="862">
        <f>AD24+SOP!$C$17*VOD!R165</f>
        <v>1871.3842662889406</v>
      </c>
      <c r="AE69" s="862">
        <f>AE24+SOP!$C$17*VOD!S165</f>
        <v>1845.5485599524895</v>
      </c>
      <c r="AF69" s="862"/>
      <c r="AG69" s="862"/>
      <c r="AH69" s="862"/>
      <c r="AI69" s="862"/>
      <c r="AJ69" s="862"/>
      <c r="AK69" s="860"/>
      <c r="AL69" s="860"/>
      <c r="AM69" s="860"/>
      <c r="AN69" s="860"/>
    </row>
    <row r="70" spans="1:40" ht="15">
      <c r="A70" s="849" t="s">
        <v>183</v>
      </c>
      <c r="B70" s="860"/>
      <c r="C70" s="860"/>
      <c r="D70" s="860"/>
      <c r="E70" s="860"/>
      <c r="F70" s="860"/>
      <c r="G70" s="860"/>
      <c r="H70" s="860"/>
      <c r="I70" s="860"/>
      <c r="J70" s="860"/>
      <c r="K70" s="860"/>
      <c r="L70" s="860"/>
      <c r="M70" s="860"/>
      <c r="N70" s="860"/>
      <c r="O70" s="860"/>
      <c r="P70" s="860"/>
      <c r="Q70" s="860"/>
      <c r="R70" s="875">
        <f>R68/R69</f>
        <v>3.6328393594023565</v>
      </c>
      <c r="S70" s="875">
        <f t="shared" ref="S70:Z70" si="33">S68/S69</f>
        <v>3.7895085595253244</v>
      </c>
      <c r="T70" s="875">
        <f t="shared" si="33"/>
        <v>4.4930986773508073</v>
      </c>
      <c r="U70" s="875">
        <f t="shared" si="33"/>
        <v>3.7390327795160943</v>
      </c>
      <c r="V70" s="875">
        <f t="shared" ca="1" si="33"/>
        <v>3.4504890703229756</v>
      </c>
      <c r="W70" s="875">
        <f t="shared" ca="1" si="33"/>
        <v>3.3560418555358185</v>
      </c>
      <c r="X70" s="875">
        <f t="shared" ca="1" si="33"/>
        <v>3.2014132924700229</v>
      </c>
      <c r="Y70" s="875">
        <f t="shared" ca="1" si="33"/>
        <v>2.9431169656272802</v>
      </c>
      <c r="Z70" s="875">
        <f t="shared" ca="1" si="33"/>
        <v>2.6448574872647637</v>
      </c>
      <c r="AA70" s="875">
        <f ca="1">AA68/AA69</f>
        <v>2.3278301029032784</v>
      </c>
      <c r="AB70" s="875">
        <f ca="1">AB68/AB69</f>
        <v>2.0112319462644073</v>
      </c>
      <c r="AC70" s="875">
        <f ca="1">AC68/AC69</f>
        <v>1.6869943418507449</v>
      </c>
      <c r="AD70" s="875">
        <f ca="1">AD68/AD69</f>
        <v>1.3759822738012288</v>
      </c>
      <c r="AE70" s="875">
        <f ca="1">AE68/AE69</f>
        <v>1.0496819383218232</v>
      </c>
      <c r="AF70" s="875"/>
      <c r="AG70" s="875"/>
      <c r="AH70" s="875"/>
      <c r="AI70" s="875"/>
      <c r="AJ70" s="875"/>
      <c r="AK70" s="860"/>
      <c r="AL70" s="860"/>
      <c r="AM70" s="860"/>
      <c r="AN70" s="860"/>
    </row>
    <row r="71" spans="1:40" ht="15">
      <c r="A71" s="860"/>
      <c r="B71" s="860"/>
      <c r="C71" s="860"/>
      <c r="D71" s="860"/>
      <c r="E71" s="860"/>
      <c r="F71" s="860"/>
      <c r="G71" s="860"/>
      <c r="H71" s="860"/>
      <c r="I71" s="860"/>
      <c r="J71" s="860"/>
      <c r="K71" s="860"/>
      <c r="L71" s="860"/>
      <c r="M71" s="860"/>
      <c r="N71" s="860"/>
      <c r="O71" s="860"/>
      <c r="P71" s="860"/>
      <c r="Q71" s="860"/>
      <c r="R71" s="860"/>
      <c r="S71" s="860"/>
      <c r="T71" s="860"/>
      <c r="U71" s="860"/>
      <c r="V71" s="860"/>
      <c r="W71" s="860"/>
      <c r="X71" s="860"/>
      <c r="Y71" s="860"/>
      <c r="Z71" s="860"/>
      <c r="AA71" s="860"/>
      <c r="AB71" s="860"/>
      <c r="AC71" s="860"/>
      <c r="AD71" s="860"/>
      <c r="AE71" s="860"/>
      <c r="AF71" s="860"/>
      <c r="AG71" s="860"/>
      <c r="AH71" s="860"/>
      <c r="AI71" s="860"/>
      <c r="AJ71" s="860"/>
      <c r="AK71" s="860"/>
      <c r="AL71" s="860"/>
      <c r="AM71" s="860"/>
      <c r="AN71" s="860"/>
    </row>
    <row r="72" spans="1:40" ht="15">
      <c r="A72" s="860"/>
      <c r="B72" s="860"/>
      <c r="C72" s="860"/>
      <c r="D72" s="860"/>
      <c r="E72" s="860"/>
      <c r="F72" s="860"/>
      <c r="G72" s="860"/>
      <c r="H72" s="860"/>
      <c r="I72" s="860"/>
      <c r="J72" s="860"/>
      <c r="K72" s="860"/>
      <c r="L72" s="860"/>
      <c r="M72" s="860"/>
      <c r="N72" s="860"/>
      <c r="O72" s="860"/>
      <c r="P72" s="860"/>
      <c r="Q72" s="860"/>
      <c r="R72" s="860"/>
      <c r="S72" s="860"/>
      <c r="T72" s="860"/>
      <c r="U72" s="860"/>
      <c r="V72" s="860"/>
      <c r="W72" s="860"/>
      <c r="X72" s="860"/>
      <c r="Y72" s="860"/>
      <c r="Z72" s="860"/>
      <c r="AA72" s="860"/>
      <c r="AB72" s="860"/>
      <c r="AC72" s="860"/>
      <c r="AD72" s="860"/>
      <c r="AE72" s="860"/>
      <c r="AF72" s="860"/>
      <c r="AG72" s="860"/>
      <c r="AH72" s="860"/>
      <c r="AI72" s="860"/>
      <c r="AJ72" s="860"/>
      <c r="AK72" s="860"/>
      <c r="AL72" s="860"/>
      <c r="AM72" s="860"/>
      <c r="AN72" s="860"/>
    </row>
    <row r="73" spans="1:40" ht="15">
      <c r="A73" s="860"/>
      <c r="B73" s="860"/>
      <c r="C73" s="860"/>
      <c r="D73" s="860"/>
      <c r="E73" s="860"/>
      <c r="F73" s="860"/>
      <c r="G73" s="860"/>
      <c r="H73" s="860"/>
      <c r="I73" s="860"/>
      <c r="J73" s="860"/>
      <c r="K73" s="860"/>
      <c r="L73" s="860"/>
      <c r="M73" s="860"/>
      <c r="N73" s="860"/>
      <c r="O73" s="860"/>
      <c r="P73" s="860"/>
      <c r="Q73" s="860"/>
      <c r="R73" s="860"/>
      <c r="S73" s="860"/>
      <c r="T73" s="860"/>
      <c r="U73" s="860"/>
      <c r="V73" s="860"/>
      <c r="W73" s="860"/>
      <c r="X73" s="860"/>
      <c r="Y73" s="860"/>
      <c r="Z73" s="860"/>
      <c r="AA73" s="860"/>
      <c r="AB73" s="860"/>
      <c r="AC73" s="860"/>
      <c r="AD73" s="860"/>
      <c r="AE73" s="860"/>
      <c r="AF73" s="860"/>
      <c r="AG73" s="860"/>
      <c r="AH73" s="860"/>
      <c r="AI73" s="860"/>
      <c r="AJ73" s="860"/>
      <c r="AK73" s="860"/>
      <c r="AL73" s="860"/>
      <c r="AM73" s="860"/>
      <c r="AN73" s="860"/>
    </row>
    <row r="74" spans="1:40" ht="15">
      <c r="A74" s="860"/>
      <c r="B74" s="860"/>
      <c r="C74" s="860"/>
      <c r="D74" s="860"/>
      <c r="E74" s="860"/>
      <c r="F74" s="860"/>
      <c r="G74" s="860"/>
      <c r="H74" s="860"/>
      <c r="I74" s="860"/>
      <c r="J74" s="860"/>
      <c r="K74" s="860"/>
      <c r="L74" s="860"/>
      <c r="M74" s="860"/>
      <c r="N74" s="860"/>
      <c r="O74" s="860"/>
      <c r="P74" s="860"/>
      <c r="Q74" s="860"/>
      <c r="R74" s="860"/>
      <c r="S74" s="860"/>
      <c r="T74" s="860"/>
      <c r="U74" s="860"/>
      <c r="V74" s="860"/>
      <c r="W74" s="860"/>
      <c r="X74" s="860"/>
      <c r="Y74" s="860"/>
      <c r="Z74" s="860"/>
      <c r="AA74" s="860"/>
      <c r="AB74" s="860"/>
      <c r="AC74" s="860"/>
      <c r="AD74" s="860"/>
      <c r="AE74" s="860"/>
      <c r="AF74" s="860"/>
      <c r="AG74" s="860"/>
      <c r="AH74" s="860"/>
      <c r="AI74" s="860"/>
      <c r="AJ74" s="860"/>
      <c r="AK74" s="860"/>
      <c r="AL74" s="860"/>
      <c r="AM74" s="860"/>
      <c r="AN74" s="860"/>
    </row>
    <row r="75" spans="1:40" ht="15">
      <c r="A75" s="860"/>
      <c r="B75" s="860"/>
      <c r="C75" s="860"/>
      <c r="D75" s="860"/>
      <c r="E75" s="860"/>
      <c r="F75" s="860"/>
      <c r="G75" s="860"/>
      <c r="H75" s="860"/>
      <c r="I75" s="860"/>
      <c r="J75" s="860"/>
      <c r="K75" s="860"/>
      <c r="L75" s="860"/>
      <c r="M75" s="860"/>
      <c r="N75" s="860"/>
      <c r="O75" s="860"/>
      <c r="P75" s="860"/>
      <c r="Q75" s="860"/>
      <c r="R75" s="860"/>
      <c r="S75" s="860"/>
      <c r="T75" s="860"/>
      <c r="U75" s="860"/>
      <c r="V75" s="860"/>
      <c r="W75" s="860"/>
      <c r="X75" s="860"/>
      <c r="Y75" s="860"/>
      <c r="Z75" s="860"/>
      <c r="AA75" s="860"/>
      <c r="AB75" s="860"/>
      <c r="AC75" s="860"/>
      <c r="AD75" s="860"/>
      <c r="AE75" s="860"/>
      <c r="AF75" s="860"/>
      <c r="AG75" s="860"/>
      <c r="AH75" s="860"/>
      <c r="AI75" s="860"/>
      <c r="AJ75" s="860"/>
      <c r="AK75" s="860"/>
      <c r="AL75" s="860"/>
      <c r="AM75" s="860"/>
      <c r="AN75" s="860"/>
    </row>
    <row r="76" spans="1:40" ht="15">
      <c r="A76" s="860"/>
      <c r="B76" s="860"/>
      <c r="C76" s="860"/>
      <c r="D76" s="860"/>
      <c r="E76" s="860"/>
      <c r="F76" s="860"/>
      <c r="G76" s="860"/>
      <c r="H76" s="860"/>
      <c r="I76" s="860"/>
      <c r="J76" s="860"/>
      <c r="K76" s="860"/>
      <c r="L76" s="860"/>
      <c r="M76" s="860"/>
      <c r="N76" s="860"/>
      <c r="O76" s="860"/>
      <c r="P76" s="860"/>
      <c r="Q76" s="860"/>
      <c r="R76" s="860"/>
      <c r="S76" s="860"/>
      <c r="T76" s="860"/>
      <c r="U76" s="860"/>
      <c r="V76" s="860"/>
      <c r="W76" s="860"/>
      <c r="X76" s="860"/>
      <c r="Y76" s="860"/>
      <c r="Z76" s="860"/>
      <c r="AA76" s="860"/>
      <c r="AB76" s="860"/>
      <c r="AC76" s="860"/>
      <c r="AD76" s="860"/>
      <c r="AE76" s="860"/>
      <c r="AF76" s="860"/>
      <c r="AG76" s="860"/>
      <c r="AH76" s="860"/>
      <c r="AI76" s="860"/>
      <c r="AJ76" s="860"/>
      <c r="AK76" s="860"/>
      <c r="AL76" s="860"/>
      <c r="AM76" s="860"/>
      <c r="AN76" s="860"/>
    </row>
    <row r="77" spans="1:40" ht="15">
      <c r="A77" s="860"/>
      <c r="B77" s="860"/>
      <c r="C77" s="860"/>
      <c r="D77" s="860"/>
      <c r="E77" s="860"/>
      <c r="F77" s="860"/>
      <c r="G77" s="860"/>
      <c r="H77" s="860"/>
      <c r="I77" s="860"/>
      <c r="J77" s="860"/>
      <c r="K77" s="860"/>
      <c r="L77" s="860"/>
      <c r="M77" s="860"/>
      <c r="N77" s="860"/>
      <c r="O77" s="860"/>
      <c r="P77" s="860"/>
      <c r="Q77" s="860"/>
      <c r="R77" s="860"/>
      <c r="S77" s="860"/>
      <c r="T77" s="860"/>
      <c r="U77" s="860"/>
      <c r="V77" s="860"/>
      <c r="W77" s="860"/>
      <c r="X77" s="860"/>
      <c r="Y77" s="860"/>
      <c r="Z77" s="860"/>
      <c r="AA77" s="860"/>
      <c r="AB77" s="860"/>
      <c r="AC77" s="860"/>
      <c r="AD77" s="860"/>
      <c r="AE77" s="860"/>
      <c r="AF77" s="860"/>
      <c r="AG77" s="860"/>
      <c r="AH77" s="860"/>
      <c r="AI77" s="860"/>
      <c r="AJ77" s="860"/>
      <c r="AK77" s="860"/>
      <c r="AL77" s="860"/>
      <c r="AM77" s="860"/>
      <c r="AN77" s="860"/>
    </row>
    <row r="78" spans="1:40" ht="15">
      <c r="A78" s="860"/>
      <c r="B78" s="860"/>
      <c r="C78" s="860"/>
      <c r="D78" s="860"/>
      <c r="E78" s="860"/>
      <c r="F78" s="860"/>
      <c r="G78" s="860"/>
      <c r="H78" s="860"/>
      <c r="I78" s="860"/>
      <c r="J78" s="860"/>
      <c r="K78" s="860"/>
      <c r="L78" s="860"/>
      <c r="M78" s="860"/>
      <c r="N78" s="860"/>
      <c r="O78" s="860"/>
      <c r="P78" s="860"/>
      <c r="Q78" s="860"/>
      <c r="R78" s="860"/>
      <c r="S78" s="860"/>
      <c r="T78" s="860"/>
      <c r="U78" s="860"/>
      <c r="V78" s="860"/>
      <c r="W78" s="860"/>
      <c r="X78" s="860"/>
      <c r="Y78" s="860"/>
      <c r="Z78" s="860"/>
      <c r="AA78" s="860"/>
      <c r="AB78" s="860"/>
      <c r="AC78" s="860"/>
      <c r="AD78" s="860"/>
      <c r="AE78" s="860"/>
      <c r="AF78" s="860"/>
      <c r="AG78" s="860"/>
      <c r="AH78" s="860"/>
      <c r="AI78" s="860"/>
      <c r="AJ78" s="860"/>
      <c r="AK78" s="860"/>
      <c r="AL78" s="860"/>
      <c r="AM78" s="860"/>
      <c r="AN78" s="860"/>
    </row>
    <row r="79" spans="1:40" ht="15">
      <c r="A79" s="860"/>
      <c r="B79" s="860"/>
      <c r="C79" s="860"/>
      <c r="D79" s="860"/>
      <c r="E79" s="860"/>
      <c r="F79" s="860"/>
      <c r="G79" s="860"/>
      <c r="H79" s="860"/>
      <c r="I79" s="860"/>
      <c r="J79" s="860"/>
      <c r="K79" s="860"/>
      <c r="L79" s="860"/>
      <c r="M79" s="860"/>
      <c r="N79" s="860"/>
      <c r="O79" s="860"/>
      <c r="P79" s="860"/>
      <c r="Q79" s="860"/>
      <c r="R79" s="860"/>
      <c r="S79" s="860"/>
      <c r="T79" s="860"/>
      <c r="U79" s="860"/>
      <c r="V79" s="860"/>
      <c r="W79" s="860"/>
      <c r="X79" s="860"/>
      <c r="Y79" s="860"/>
      <c r="Z79" s="860"/>
      <c r="AA79" s="860"/>
      <c r="AB79" s="860"/>
      <c r="AC79" s="860"/>
      <c r="AD79" s="860"/>
      <c r="AE79" s="860"/>
      <c r="AF79" s="860"/>
      <c r="AG79" s="860"/>
      <c r="AH79" s="860"/>
      <c r="AI79" s="860"/>
      <c r="AJ79" s="860"/>
      <c r="AK79" s="860"/>
      <c r="AL79" s="860"/>
      <c r="AM79" s="860"/>
      <c r="AN79" s="860"/>
    </row>
    <row r="80" spans="1:40" ht="15">
      <c r="A80" s="860"/>
      <c r="B80" s="860"/>
      <c r="C80" s="860"/>
      <c r="D80" s="860"/>
      <c r="E80" s="860"/>
      <c r="F80" s="860"/>
      <c r="G80" s="860"/>
      <c r="H80" s="860"/>
      <c r="I80" s="860"/>
      <c r="J80" s="860"/>
      <c r="K80" s="860"/>
      <c r="L80" s="860"/>
      <c r="M80" s="860"/>
      <c r="N80" s="860"/>
      <c r="O80" s="860"/>
      <c r="P80" s="860"/>
      <c r="Q80" s="860"/>
      <c r="R80" s="860"/>
      <c r="S80" s="860"/>
      <c r="T80" s="860"/>
      <c r="U80" s="860"/>
      <c r="V80" s="860"/>
      <c r="W80" s="860"/>
      <c r="X80" s="860"/>
      <c r="Y80" s="860"/>
      <c r="Z80" s="860"/>
      <c r="AA80" s="860"/>
      <c r="AB80" s="860"/>
      <c r="AC80" s="860"/>
      <c r="AD80" s="860"/>
      <c r="AE80" s="860"/>
      <c r="AF80" s="860"/>
      <c r="AG80" s="860"/>
      <c r="AH80" s="860"/>
      <c r="AI80" s="860"/>
      <c r="AJ80" s="860"/>
      <c r="AK80" s="860"/>
      <c r="AL80" s="860"/>
      <c r="AM80" s="860"/>
      <c r="AN80" s="860"/>
    </row>
    <row r="81" spans="1:40" ht="15">
      <c r="A81" s="860"/>
      <c r="B81" s="860"/>
      <c r="C81" s="860"/>
      <c r="D81" s="860"/>
      <c r="E81" s="860"/>
      <c r="F81" s="860"/>
      <c r="G81" s="860"/>
      <c r="H81" s="860"/>
      <c r="I81" s="860"/>
      <c r="J81" s="860"/>
      <c r="K81" s="860"/>
      <c r="L81" s="860"/>
      <c r="M81" s="860"/>
      <c r="N81" s="860"/>
      <c r="O81" s="860"/>
      <c r="P81" s="860"/>
      <c r="Q81" s="860"/>
      <c r="R81" s="860"/>
      <c r="S81" s="860"/>
      <c r="T81" s="860"/>
      <c r="U81" s="860"/>
      <c r="V81" s="860"/>
      <c r="W81" s="860"/>
      <c r="X81" s="860"/>
      <c r="Y81" s="860"/>
      <c r="Z81" s="860"/>
      <c r="AA81" s="860"/>
      <c r="AB81" s="860"/>
      <c r="AC81" s="860"/>
      <c r="AD81" s="860"/>
      <c r="AE81" s="860"/>
      <c r="AF81" s="860"/>
      <c r="AG81" s="860"/>
      <c r="AH81" s="860"/>
      <c r="AI81" s="860"/>
      <c r="AJ81" s="860"/>
      <c r="AK81" s="860"/>
      <c r="AL81" s="860"/>
      <c r="AM81" s="860"/>
      <c r="AN81" s="860"/>
    </row>
    <row r="82" spans="1:40" ht="15">
      <c r="A82" s="860"/>
      <c r="B82" s="860"/>
      <c r="C82" s="860"/>
      <c r="D82" s="860"/>
      <c r="E82" s="860"/>
      <c r="F82" s="860"/>
      <c r="G82" s="860"/>
      <c r="H82" s="860"/>
      <c r="I82" s="860"/>
      <c r="J82" s="860"/>
      <c r="K82" s="860"/>
      <c r="L82" s="860"/>
      <c r="M82" s="860"/>
      <c r="N82" s="860"/>
      <c r="O82" s="860"/>
      <c r="P82" s="860"/>
      <c r="Q82" s="860"/>
      <c r="R82" s="860"/>
      <c r="S82" s="860"/>
      <c r="T82" s="860"/>
      <c r="U82" s="860"/>
      <c r="V82" s="860"/>
      <c r="W82" s="860"/>
      <c r="X82" s="860"/>
      <c r="Y82" s="860"/>
      <c r="Z82" s="860"/>
      <c r="AA82" s="860"/>
      <c r="AB82" s="860"/>
      <c r="AC82" s="860"/>
      <c r="AD82" s="860"/>
      <c r="AE82" s="860"/>
      <c r="AF82" s="860"/>
      <c r="AG82" s="860"/>
      <c r="AH82" s="860"/>
      <c r="AI82" s="860"/>
      <c r="AJ82" s="860"/>
      <c r="AK82" s="860"/>
      <c r="AL82" s="860"/>
      <c r="AM82" s="860"/>
      <c r="AN82" s="860"/>
    </row>
    <row r="83" spans="1:40" ht="15">
      <c r="A83" s="860"/>
      <c r="B83" s="860"/>
      <c r="C83" s="860"/>
      <c r="D83" s="860"/>
      <c r="E83" s="860"/>
      <c r="F83" s="860"/>
      <c r="G83" s="860"/>
      <c r="H83" s="860"/>
      <c r="I83" s="860"/>
      <c r="J83" s="860"/>
      <c r="K83" s="860"/>
      <c r="L83" s="860"/>
      <c r="M83" s="860"/>
      <c r="N83" s="860"/>
      <c r="O83" s="860"/>
      <c r="P83" s="860"/>
      <c r="Q83" s="860"/>
      <c r="R83" s="860"/>
      <c r="S83" s="860"/>
      <c r="T83" s="860"/>
      <c r="U83" s="860"/>
      <c r="V83" s="860"/>
      <c r="W83" s="860"/>
      <c r="X83" s="860"/>
      <c r="Y83" s="860"/>
      <c r="Z83" s="860"/>
      <c r="AA83" s="860"/>
      <c r="AB83" s="860"/>
      <c r="AC83" s="860"/>
      <c r="AD83" s="860"/>
      <c r="AE83" s="860"/>
      <c r="AF83" s="860"/>
      <c r="AG83" s="860"/>
      <c r="AH83" s="860"/>
      <c r="AI83" s="860"/>
      <c r="AJ83" s="860"/>
      <c r="AK83" s="860"/>
      <c r="AL83" s="860"/>
      <c r="AM83" s="860"/>
      <c r="AN83" s="860"/>
    </row>
    <row r="84" spans="1:40" ht="15">
      <c r="A84" s="860"/>
      <c r="B84" s="860"/>
      <c r="C84" s="860"/>
      <c r="D84" s="860"/>
      <c r="E84" s="860"/>
      <c r="F84" s="860"/>
      <c r="G84" s="860"/>
      <c r="H84" s="860"/>
      <c r="I84" s="860"/>
      <c r="J84" s="860"/>
      <c r="K84" s="860"/>
      <c r="L84" s="860"/>
      <c r="M84" s="860"/>
      <c r="N84" s="860"/>
      <c r="O84" s="860"/>
      <c r="P84" s="860"/>
      <c r="Q84" s="860"/>
      <c r="R84" s="860"/>
      <c r="S84" s="860"/>
      <c r="T84" s="860"/>
      <c r="U84" s="860"/>
      <c r="V84" s="860"/>
      <c r="W84" s="860"/>
      <c r="X84" s="860"/>
      <c r="Y84" s="860"/>
      <c r="Z84" s="860"/>
      <c r="AA84" s="860"/>
      <c r="AB84" s="860"/>
      <c r="AC84" s="860"/>
      <c r="AD84" s="860"/>
      <c r="AE84" s="860"/>
      <c r="AF84" s="860"/>
      <c r="AG84" s="860"/>
      <c r="AH84" s="860"/>
      <c r="AI84" s="860"/>
      <c r="AJ84" s="860"/>
      <c r="AK84" s="860"/>
      <c r="AL84" s="860"/>
      <c r="AM84" s="860"/>
      <c r="AN84" s="860"/>
    </row>
    <row r="85" spans="1:40" ht="15">
      <c r="A85" s="860"/>
      <c r="B85" s="860"/>
      <c r="C85" s="860"/>
      <c r="D85" s="860"/>
      <c r="E85" s="860"/>
      <c r="F85" s="860"/>
      <c r="G85" s="860"/>
      <c r="H85" s="860"/>
      <c r="I85" s="860"/>
      <c r="J85" s="860"/>
      <c r="K85" s="860"/>
      <c r="L85" s="860"/>
      <c r="M85" s="860"/>
      <c r="N85" s="860"/>
      <c r="O85" s="860"/>
      <c r="P85" s="860"/>
      <c r="Q85" s="860"/>
      <c r="R85" s="860"/>
      <c r="S85" s="860"/>
      <c r="T85" s="860"/>
      <c r="U85" s="860"/>
      <c r="V85" s="860"/>
      <c r="W85" s="860"/>
      <c r="X85" s="860"/>
      <c r="Y85" s="860"/>
      <c r="Z85" s="860"/>
      <c r="AA85" s="860"/>
      <c r="AB85" s="860"/>
      <c r="AC85" s="860"/>
      <c r="AD85" s="860"/>
      <c r="AE85" s="860"/>
      <c r="AF85" s="860"/>
      <c r="AG85" s="860"/>
      <c r="AH85" s="860"/>
      <c r="AI85" s="860"/>
      <c r="AJ85" s="860"/>
      <c r="AK85" s="860"/>
      <c r="AL85" s="860"/>
      <c r="AM85" s="860"/>
      <c r="AN85" s="860"/>
    </row>
    <row r="86" spans="1:40" ht="15">
      <c r="A86" s="860"/>
      <c r="B86" s="860"/>
      <c r="C86" s="860"/>
      <c r="D86" s="860"/>
      <c r="E86" s="860"/>
      <c r="F86" s="860"/>
      <c r="G86" s="860"/>
      <c r="H86" s="860"/>
      <c r="I86" s="860"/>
      <c r="J86" s="860"/>
      <c r="K86" s="860"/>
      <c r="L86" s="860"/>
      <c r="M86" s="860"/>
      <c r="N86" s="860"/>
      <c r="O86" s="860"/>
      <c r="P86" s="860"/>
      <c r="Q86" s="860"/>
      <c r="R86" s="860"/>
      <c r="S86" s="860"/>
      <c r="T86" s="860"/>
      <c r="U86" s="860"/>
      <c r="V86" s="860"/>
      <c r="W86" s="860"/>
      <c r="X86" s="860"/>
      <c r="Y86" s="860"/>
      <c r="Z86" s="860"/>
      <c r="AA86" s="860"/>
      <c r="AB86" s="860"/>
      <c r="AC86" s="860"/>
      <c r="AD86" s="860"/>
      <c r="AE86" s="860"/>
      <c r="AF86" s="860"/>
      <c r="AG86" s="860"/>
      <c r="AH86" s="860"/>
      <c r="AI86" s="860"/>
      <c r="AJ86" s="860"/>
      <c r="AK86" s="860"/>
      <c r="AL86" s="860"/>
      <c r="AM86" s="860"/>
      <c r="AN86" s="860"/>
    </row>
    <row r="87" spans="1:40" ht="15">
      <c r="A87" s="860"/>
      <c r="B87" s="860"/>
      <c r="C87" s="860"/>
      <c r="D87" s="860"/>
      <c r="E87" s="860"/>
      <c r="F87" s="860"/>
      <c r="G87" s="860"/>
      <c r="H87" s="860"/>
      <c r="I87" s="860"/>
      <c r="J87" s="860"/>
      <c r="K87" s="860"/>
      <c r="L87" s="860"/>
      <c r="M87" s="860"/>
      <c r="N87" s="860"/>
      <c r="O87" s="860"/>
      <c r="P87" s="860"/>
      <c r="Q87" s="860"/>
      <c r="R87" s="860"/>
      <c r="S87" s="860"/>
      <c r="T87" s="860"/>
      <c r="U87" s="860"/>
      <c r="V87" s="860"/>
      <c r="W87" s="860"/>
      <c r="X87" s="860"/>
      <c r="Y87" s="860"/>
      <c r="Z87" s="860"/>
      <c r="AA87" s="860"/>
      <c r="AB87" s="860"/>
      <c r="AC87" s="860"/>
      <c r="AD87" s="860"/>
      <c r="AE87" s="860"/>
      <c r="AF87" s="860"/>
      <c r="AG87" s="860"/>
      <c r="AH87" s="860"/>
      <c r="AI87" s="860"/>
      <c r="AJ87" s="860"/>
      <c r="AK87" s="860"/>
      <c r="AL87" s="860"/>
      <c r="AM87" s="860"/>
      <c r="AN87" s="860"/>
    </row>
    <row r="123" spans="1:15" ht="15">
      <c r="A123" s="55"/>
      <c r="B123" s="60"/>
      <c r="C123" s="58"/>
      <c r="D123" s="58"/>
      <c r="E123" s="58"/>
      <c r="F123" s="58"/>
      <c r="G123" s="58"/>
      <c r="H123" s="58"/>
      <c r="I123" s="58"/>
      <c r="J123" s="58"/>
      <c r="K123" s="58"/>
      <c r="L123" s="58"/>
      <c r="M123" s="58"/>
      <c r="N123" s="58"/>
      <c r="O123" s="54"/>
    </row>
    <row r="124" spans="1:15" ht="15">
      <c r="A124" s="55"/>
      <c r="B124" s="60"/>
      <c r="C124" s="58"/>
      <c r="D124" s="58"/>
      <c r="E124" s="58"/>
      <c r="F124" s="58"/>
      <c r="G124" s="58"/>
      <c r="H124" s="58"/>
      <c r="I124" s="58"/>
      <c r="J124" s="58"/>
      <c r="K124" s="58"/>
      <c r="L124" s="58"/>
      <c r="M124" s="58"/>
      <c r="N124" s="58"/>
      <c r="O124" s="54"/>
    </row>
    <row r="125" spans="1:15" ht="15">
      <c r="A125" s="55"/>
      <c r="B125" s="60"/>
      <c r="C125" s="58"/>
      <c r="D125" s="58"/>
      <c r="E125" s="58"/>
      <c r="F125" s="58"/>
      <c r="G125" s="58"/>
      <c r="H125" s="58"/>
      <c r="I125" s="58"/>
      <c r="J125" s="58"/>
      <c r="K125" s="58"/>
      <c r="L125" s="58"/>
      <c r="M125" s="58"/>
      <c r="N125" s="58"/>
      <c r="O125" s="54"/>
    </row>
    <row r="126" spans="1:15" ht="15">
      <c r="A126" s="55"/>
      <c r="B126" s="60"/>
      <c r="C126" s="58"/>
      <c r="D126" s="58"/>
      <c r="E126" s="58"/>
      <c r="F126" s="58"/>
      <c r="G126" s="58"/>
      <c r="H126" s="58"/>
      <c r="I126" s="58"/>
      <c r="J126" s="58"/>
      <c r="K126" s="58"/>
      <c r="L126" s="58"/>
      <c r="M126" s="58"/>
      <c r="N126" s="58"/>
      <c r="O126" s="54"/>
    </row>
    <row r="127" spans="1:15" ht="15">
      <c r="A127" s="55"/>
      <c r="B127" s="60"/>
      <c r="C127" s="58"/>
      <c r="D127" s="58"/>
      <c r="E127" s="58"/>
      <c r="F127" s="58"/>
      <c r="G127" s="58"/>
      <c r="H127" s="58"/>
      <c r="I127" s="58"/>
      <c r="J127" s="58"/>
      <c r="K127" s="58"/>
      <c r="L127" s="58"/>
      <c r="M127" s="58"/>
      <c r="N127" s="58"/>
      <c r="O127" s="54"/>
    </row>
    <row r="128" spans="1:15" ht="15">
      <c r="A128" s="55"/>
      <c r="B128" s="60"/>
      <c r="C128" s="58"/>
      <c r="D128" s="58"/>
      <c r="E128" s="58"/>
      <c r="F128" s="58"/>
      <c r="G128" s="58"/>
      <c r="H128" s="58"/>
      <c r="I128" s="58"/>
      <c r="J128" s="58"/>
      <c r="K128" s="58"/>
      <c r="L128" s="58"/>
      <c r="M128" s="58"/>
      <c r="N128" s="58"/>
      <c r="O128" s="54"/>
    </row>
    <row r="129" spans="1:15" ht="15">
      <c r="A129" s="55"/>
      <c r="B129" s="60"/>
      <c r="C129" s="58"/>
      <c r="D129" s="58"/>
      <c r="E129" s="58"/>
      <c r="F129" s="58"/>
      <c r="G129" s="58"/>
      <c r="H129" s="58"/>
      <c r="I129" s="58"/>
      <c r="J129" s="58"/>
      <c r="K129" s="58"/>
      <c r="L129" s="58"/>
      <c r="M129" s="58"/>
      <c r="N129" s="58"/>
      <c r="O129" s="54"/>
    </row>
    <row r="130" spans="1:15" ht="15">
      <c r="A130" s="55"/>
      <c r="B130" s="60"/>
      <c r="C130" s="58"/>
      <c r="D130" s="58"/>
      <c r="E130" s="58"/>
      <c r="F130" s="58"/>
      <c r="G130" s="58"/>
      <c r="H130" s="58"/>
      <c r="I130" s="58"/>
      <c r="J130" s="58"/>
      <c r="K130" s="58"/>
      <c r="L130" s="58"/>
      <c r="M130" s="58"/>
      <c r="N130" s="58"/>
      <c r="O130" s="54"/>
    </row>
    <row r="131" spans="1:15" ht="15">
      <c r="A131" s="55"/>
      <c r="B131" s="60"/>
      <c r="C131" s="58"/>
      <c r="D131" s="58"/>
      <c r="E131" s="58"/>
      <c r="F131" s="58"/>
      <c r="G131" s="58"/>
      <c r="H131" s="58"/>
      <c r="I131" s="58"/>
      <c r="J131" s="58"/>
      <c r="K131" s="58"/>
      <c r="L131" s="58"/>
      <c r="M131" s="58"/>
      <c r="N131" s="58"/>
      <c r="O131" s="54"/>
    </row>
    <row r="132" spans="1:15" ht="15">
      <c r="A132" s="55"/>
      <c r="B132" s="60"/>
      <c r="C132" s="58"/>
      <c r="D132" s="58"/>
      <c r="E132" s="58"/>
      <c r="F132" s="58"/>
      <c r="G132" s="58"/>
      <c r="H132" s="58"/>
      <c r="I132" s="58"/>
      <c r="J132" s="58"/>
      <c r="K132" s="58"/>
      <c r="L132" s="58"/>
      <c r="M132" s="58"/>
      <c r="N132" s="58"/>
      <c r="O132" s="54"/>
    </row>
    <row r="133" spans="1:15" ht="15">
      <c r="A133" s="55"/>
      <c r="B133" s="60"/>
      <c r="C133" s="58"/>
      <c r="D133" s="58"/>
      <c r="E133" s="58"/>
      <c r="F133" s="58"/>
      <c r="G133" s="58"/>
      <c r="H133" s="58"/>
      <c r="I133" s="58"/>
      <c r="J133" s="58"/>
      <c r="K133" s="58"/>
      <c r="L133" s="58"/>
      <c r="M133" s="58"/>
      <c r="N133" s="58"/>
      <c r="O133" s="54"/>
    </row>
    <row r="134" spans="1:15" ht="15">
      <c r="A134" s="55"/>
      <c r="B134" s="60"/>
      <c r="C134" s="58"/>
      <c r="D134" s="58"/>
      <c r="E134" s="58"/>
      <c r="F134" s="58"/>
      <c r="G134" s="58"/>
      <c r="H134" s="58"/>
      <c r="I134" s="58"/>
      <c r="J134" s="58"/>
      <c r="K134" s="58"/>
      <c r="L134" s="58"/>
      <c r="M134" s="58"/>
      <c r="N134" s="58"/>
      <c r="O134" s="54"/>
    </row>
    <row r="135" spans="1:15" ht="15">
      <c r="A135" s="55"/>
      <c r="B135" s="60"/>
      <c r="C135" s="58"/>
      <c r="D135" s="58"/>
      <c r="E135" s="58"/>
      <c r="F135" s="58"/>
      <c r="G135" s="58"/>
      <c r="H135" s="58"/>
      <c r="I135" s="58"/>
      <c r="J135" s="58"/>
      <c r="K135" s="58"/>
      <c r="L135" s="58"/>
      <c r="M135" s="58"/>
      <c r="N135" s="58"/>
      <c r="O135" s="54"/>
    </row>
    <row r="136" spans="1:15" ht="15">
      <c r="A136" s="55"/>
      <c r="B136" s="60"/>
      <c r="C136" s="58"/>
      <c r="D136" s="58"/>
      <c r="E136" s="58"/>
      <c r="F136" s="58"/>
      <c r="G136" s="58"/>
      <c r="H136" s="58"/>
      <c r="I136" s="58"/>
      <c r="J136" s="58"/>
      <c r="K136" s="58"/>
      <c r="L136" s="58"/>
      <c r="M136" s="58"/>
      <c r="N136" s="58"/>
      <c r="O136" s="54"/>
    </row>
    <row r="137" spans="1:15" ht="15">
      <c r="A137" s="55"/>
      <c r="B137" s="60"/>
      <c r="C137" s="58"/>
      <c r="D137" s="58"/>
      <c r="E137" s="58"/>
      <c r="F137" s="58"/>
      <c r="G137" s="58"/>
      <c r="H137" s="58"/>
      <c r="I137" s="58"/>
      <c r="J137" s="58"/>
      <c r="K137" s="58"/>
      <c r="L137" s="58"/>
      <c r="M137" s="58"/>
      <c r="N137" s="58"/>
      <c r="O137" s="54"/>
    </row>
    <row r="138" spans="1:15" ht="15">
      <c r="A138" s="55"/>
      <c r="B138" s="60"/>
      <c r="C138" s="58"/>
      <c r="D138" s="58"/>
      <c r="E138" s="58"/>
      <c r="F138" s="58"/>
      <c r="G138" s="58"/>
      <c r="H138" s="58"/>
      <c r="I138" s="58"/>
      <c r="J138" s="58"/>
      <c r="K138" s="58"/>
      <c r="L138" s="58"/>
      <c r="M138" s="58"/>
      <c r="N138" s="58"/>
      <c r="O138" s="54"/>
    </row>
    <row r="139" spans="1:15" ht="15">
      <c r="A139" s="55"/>
      <c r="B139" s="60"/>
      <c r="C139" s="58"/>
      <c r="D139" s="58"/>
      <c r="E139" s="58"/>
      <c r="F139" s="58"/>
      <c r="G139" s="58"/>
      <c r="H139" s="58"/>
      <c r="I139" s="58"/>
      <c r="J139" s="58"/>
      <c r="K139" s="58"/>
      <c r="L139" s="58"/>
      <c r="M139" s="58"/>
      <c r="N139" s="58"/>
      <c r="O139" s="54"/>
    </row>
    <row r="140" spans="1:15" ht="15">
      <c r="A140" s="55"/>
      <c r="B140" s="60"/>
      <c r="C140" s="58"/>
      <c r="D140" s="58"/>
      <c r="E140" s="58"/>
      <c r="F140" s="58"/>
      <c r="G140" s="58"/>
      <c r="H140" s="58"/>
      <c r="I140" s="58"/>
      <c r="J140" s="58"/>
      <c r="K140" s="58"/>
      <c r="L140" s="58"/>
      <c r="M140" s="58"/>
      <c r="N140" s="58"/>
      <c r="O140" s="54"/>
    </row>
    <row r="141" spans="1:15" ht="15">
      <c r="A141" s="55"/>
      <c r="B141" s="60"/>
      <c r="C141" s="58"/>
      <c r="D141" s="58"/>
      <c r="E141" s="58"/>
      <c r="F141" s="58"/>
      <c r="G141" s="58"/>
      <c r="H141" s="58"/>
      <c r="I141" s="58"/>
      <c r="J141" s="58"/>
      <c r="K141" s="58"/>
      <c r="L141" s="58"/>
      <c r="M141" s="58"/>
      <c r="N141" s="58"/>
      <c r="O141" s="54"/>
    </row>
    <row r="142" spans="1:15" ht="15">
      <c r="A142" s="55"/>
      <c r="B142" s="60"/>
      <c r="C142" s="58"/>
      <c r="D142" s="58"/>
      <c r="E142" s="58"/>
      <c r="F142" s="58"/>
      <c r="G142" s="58"/>
      <c r="H142" s="58"/>
      <c r="I142" s="58"/>
      <c r="J142" s="58"/>
      <c r="K142" s="58"/>
      <c r="L142" s="58"/>
      <c r="M142" s="58"/>
      <c r="N142" s="58"/>
      <c r="O142" s="54"/>
    </row>
    <row r="143" spans="1:15" ht="15">
      <c r="A143" s="55"/>
      <c r="B143" s="60"/>
      <c r="C143" s="58"/>
      <c r="D143" s="58"/>
      <c r="E143" s="58"/>
      <c r="F143" s="58"/>
      <c r="G143" s="58"/>
      <c r="H143" s="58"/>
      <c r="I143" s="58"/>
      <c r="J143" s="58"/>
      <c r="K143" s="58"/>
      <c r="L143" s="58"/>
      <c r="M143" s="58"/>
      <c r="N143" s="58"/>
      <c r="O143" s="54"/>
    </row>
    <row r="144" spans="1:15" ht="15">
      <c r="A144" s="55"/>
      <c r="B144" s="60"/>
      <c r="C144" s="58"/>
      <c r="D144" s="58"/>
      <c r="E144" s="58"/>
      <c r="F144" s="58"/>
      <c r="G144" s="58"/>
      <c r="H144" s="58"/>
      <c r="I144" s="58"/>
      <c r="J144" s="58"/>
      <c r="K144" s="58"/>
      <c r="L144" s="58"/>
      <c r="M144" s="58"/>
      <c r="N144" s="58"/>
      <c r="O144" s="54"/>
    </row>
    <row r="145" spans="1:14" ht="15">
      <c r="A145" s="55"/>
      <c r="B145" s="60"/>
      <c r="C145" s="58"/>
      <c r="D145" s="58"/>
      <c r="E145" s="58"/>
      <c r="F145" s="58"/>
      <c r="G145" s="58"/>
      <c r="H145" s="58"/>
      <c r="I145" s="58"/>
      <c r="J145" s="58"/>
      <c r="K145" s="58"/>
      <c r="L145" s="58"/>
      <c r="M145" s="58"/>
      <c r="N145" s="58"/>
    </row>
    <row r="146" spans="1:14" ht="15">
      <c r="A146" s="55"/>
      <c r="B146" s="60"/>
      <c r="C146" s="58"/>
      <c r="D146" s="58"/>
      <c r="E146" s="58"/>
      <c r="F146" s="58"/>
      <c r="G146" s="58"/>
      <c r="H146" s="58"/>
      <c r="I146" s="58"/>
      <c r="J146" s="58"/>
      <c r="K146" s="58"/>
      <c r="L146" s="58"/>
      <c r="M146" s="58"/>
      <c r="N146" s="58"/>
    </row>
    <row r="147" spans="1:14" ht="15">
      <c r="A147" s="55"/>
      <c r="B147" s="60"/>
      <c r="C147" s="58"/>
      <c r="D147" s="58"/>
      <c r="E147" s="58"/>
      <c r="F147" s="58"/>
      <c r="G147" s="58"/>
      <c r="H147" s="58"/>
      <c r="I147" s="58"/>
      <c r="J147" s="58"/>
      <c r="K147" s="58"/>
      <c r="L147" s="58"/>
      <c r="M147" s="58"/>
      <c r="N147" s="58"/>
    </row>
    <row r="148" spans="1:14" ht="15">
      <c r="A148" s="55"/>
      <c r="B148" s="60"/>
      <c r="C148" s="58"/>
      <c r="D148" s="58"/>
      <c r="E148" s="58"/>
      <c r="F148" s="58"/>
      <c r="G148" s="58"/>
      <c r="H148" s="58"/>
      <c r="I148" s="58"/>
      <c r="J148" s="58"/>
      <c r="K148" s="58"/>
      <c r="L148" s="58"/>
      <c r="M148" s="58"/>
      <c r="N148" s="58"/>
    </row>
    <row r="149" spans="1:14" ht="15">
      <c r="A149" s="55"/>
      <c r="B149" s="60"/>
      <c r="C149" s="58"/>
      <c r="D149" s="58"/>
      <c r="E149" s="58"/>
      <c r="F149" s="58"/>
      <c r="G149" s="58"/>
      <c r="H149" s="58"/>
      <c r="I149" s="58"/>
      <c r="J149" s="58"/>
      <c r="K149" s="58"/>
      <c r="L149" s="58"/>
      <c r="M149" s="58"/>
      <c r="N149" s="58"/>
    </row>
    <row r="150" spans="1:14" ht="15">
      <c r="A150" s="55"/>
      <c r="B150" s="60"/>
      <c r="C150" s="58"/>
      <c r="D150" s="58"/>
      <c r="E150" s="58"/>
      <c r="F150" s="58"/>
      <c r="G150" s="58"/>
      <c r="H150" s="58"/>
      <c r="I150" s="58"/>
      <c r="J150" s="58"/>
      <c r="K150" s="58"/>
      <c r="L150" s="58"/>
      <c r="M150" s="58"/>
      <c r="N150" s="58"/>
    </row>
    <row r="151" spans="1:14" ht="15">
      <c r="A151" s="55"/>
      <c r="B151" s="60"/>
      <c r="C151" s="58"/>
      <c r="D151" s="58"/>
      <c r="E151" s="58"/>
      <c r="F151" s="58"/>
      <c r="G151" s="58"/>
      <c r="H151" s="58"/>
      <c r="I151" s="58"/>
      <c r="J151" s="58"/>
      <c r="K151" s="58"/>
      <c r="L151" s="58"/>
      <c r="M151" s="58"/>
      <c r="N151" s="58"/>
    </row>
    <row r="152" spans="1:14" ht="15">
      <c r="A152" s="55"/>
      <c r="B152" s="60"/>
      <c r="C152" s="58"/>
      <c r="D152" s="58"/>
      <c r="E152" s="58"/>
      <c r="F152" s="58"/>
      <c r="G152" s="58"/>
      <c r="H152" s="58"/>
      <c r="I152" s="58"/>
      <c r="J152" s="58"/>
      <c r="K152" s="58"/>
      <c r="L152" s="58"/>
      <c r="M152" s="58"/>
      <c r="N152" s="58"/>
    </row>
    <row r="153" spans="1:14" ht="15">
      <c r="A153" s="55"/>
      <c r="B153" s="60"/>
      <c r="C153" s="58"/>
      <c r="D153" s="58"/>
      <c r="E153" s="58"/>
      <c r="F153" s="58"/>
      <c r="G153" s="58"/>
      <c r="H153" s="58"/>
      <c r="I153" s="58"/>
      <c r="J153" s="58"/>
      <c r="K153" s="58"/>
      <c r="L153" s="58"/>
      <c r="M153" s="58"/>
      <c r="N153" s="58"/>
    </row>
    <row r="154" spans="1:14" ht="15">
      <c r="A154" s="55"/>
      <c r="B154" s="60"/>
      <c r="C154" s="58"/>
      <c r="D154" s="58"/>
      <c r="E154" s="58"/>
      <c r="F154" s="58"/>
      <c r="G154" s="58"/>
      <c r="H154" s="58"/>
      <c r="I154" s="58"/>
      <c r="J154" s="58"/>
      <c r="K154" s="58"/>
      <c r="L154" s="58"/>
      <c r="M154" s="58"/>
      <c r="N154" s="58"/>
    </row>
    <row r="155" spans="1:14" ht="15">
      <c r="A155" s="55"/>
      <c r="B155" s="60"/>
      <c r="C155" s="58"/>
      <c r="D155" s="58"/>
      <c r="E155" s="58"/>
      <c r="F155" s="58"/>
      <c r="G155" s="58"/>
      <c r="H155" s="58"/>
      <c r="I155" s="58"/>
      <c r="J155" s="58"/>
      <c r="K155" s="58"/>
      <c r="L155" s="58"/>
      <c r="M155" s="58"/>
      <c r="N155" s="58"/>
    </row>
    <row r="156" spans="1:14" ht="15">
      <c r="A156" s="55"/>
      <c r="B156" s="60"/>
      <c r="C156" s="58"/>
      <c r="D156" s="58"/>
      <c r="E156" s="58"/>
      <c r="F156" s="58"/>
      <c r="G156" s="58"/>
      <c r="H156" s="58"/>
      <c r="I156" s="58"/>
      <c r="J156" s="58"/>
      <c r="K156" s="58"/>
      <c r="L156" s="58"/>
      <c r="M156" s="58"/>
      <c r="N156" s="58"/>
    </row>
    <row r="157" spans="1:14" ht="15">
      <c r="A157" s="55"/>
      <c r="B157" s="60"/>
      <c r="C157" s="58"/>
      <c r="D157" s="58"/>
      <c r="E157" s="58"/>
      <c r="F157" s="58"/>
      <c r="G157" s="58"/>
      <c r="H157" s="58"/>
      <c r="I157" s="58"/>
      <c r="J157" s="58"/>
      <c r="K157" s="58"/>
      <c r="L157" s="58"/>
      <c r="M157" s="58"/>
      <c r="N157" s="58"/>
    </row>
    <row r="158" spans="1:14" ht="15">
      <c r="A158" s="55"/>
      <c r="B158" s="60"/>
      <c r="C158" s="58"/>
      <c r="D158" s="58"/>
      <c r="E158" s="58"/>
      <c r="F158" s="58"/>
      <c r="G158" s="58"/>
      <c r="H158" s="58"/>
      <c r="I158" s="58"/>
      <c r="J158" s="58"/>
      <c r="K158" s="58"/>
      <c r="L158" s="58"/>
      <c r="M158" s="58"/>
      <c r="N158" s="58"/>
    </row>
    <row r="159" spans="1:14" ht="15">
      <c r="A159" s="55"/>
      <c r="B159" s="60"/>
      <c r="C159" s="58"/>
      <c r="D159" s="58"/>
      <c r="E159" s="58"/>
      <c r="F159" s="58"/>
      <c r="G159" s="58"/>
      <c r="H159" s="58"/>
      <c r="I159" s="58"/>
      <c r="J159" s="58"/>
      <c r="K159" s="58"/>
      <c r="L159" s="58"/>
      <c r="M159" s="58"/>
      <c r="N159" s="58"/>
    </row>
    <row r="160" spans="1:14" ht="15">
      <c r="A160" s="55"/>
      <c r="B160" s="60"/>
      <c r="C160" s="58"/>
      <c r="D160" s="58"/>
      <c r="E160" s="58"/>
      <c r="F160" s="58"/>
      <c r="G160" s="58"/>
      <c r="H160" s="58"/>
      <c r="I160" s="58"/>
      <c r="J160" s="58"/>
      <c r="K160" s="58"/>
      <c r="L160" s="58"/>
      <c r="M160" s="58"/>
      <c r="N160" s="58"/>
    </row>
    <row r="161" spans="1:14" ht="15">
      <c r="A161" s="55"/>
      <c r="B161" s="60"/>
      <c r="C161" s="58"/>
      <c r="D161" s="58"/>
      <c r="E161" s="58"/>
      <c r="F161" s="58"/>
      <c r="G161" s="58"/>
      <c r="H161" s="58"/>
      <c r="I161" s="58"/>
      <c r="J161" s="58"/>
      <c r="K161" s="58"/>
      <c r="L161" s="58"/>
      <c r="M161" s="58"/>
      <c r="N161" s="58"/>
    </row>
    <row r="162" spans="1:14" ht="15">
      <c r="A162" s="55"/>
      <c r="B162" s="60"/>
      <c r="C162" s="58"/>
      <c r="D162" s="58"/>
      <c r="E162" s="58"/>
      <c r="F162" s="58"/>
      <c r="G162" s="58"/>
      <c r="H162" s="58"/>
      <c r="I162" s="58"/>
      <c r="J162" s="58"/>
      <c r="K162" s="58"/>
      <c r="L162" s="58"/>
      <c r="M162" s="58"/>
      <c r="N162" s="58"/>
    </row>
    <row r="163" spans="1:14" ht="15">
      <c r="A163" s="55"/>
      <c r="B163" s="60"/>
      <c r="C163" s="58"/>
      <c r="D163" s="58"/>
      <c r="E163" s="58"/>
      <c r="F163" s="58"/>
      <c r="G163" s="58"/>
      <c r="H163" s="58"/>
      <c r="I163" s="58"/>
      <c r="J163" s="58"/>
      <c r="K163" s="58"/>
      <c r="L163" s="58"/>
      <c r="M163" s="58"/>
      <c r="N163" s="58"/>
    </row>
    <row r="164" spans="1:14" ht="15">
      <c r="A164" s="55"/>
      <c r="B164" s="60"/>
      <c r="C164" s="58"/>
      <c r="D164" s="58"/>
      <c r="E164" s="58"/>
      <c r="F164" s="58"/>
      <c r="G164" s="58"/>
      <c r="H164" s="58"/>
      <c r="I164" s="58"/>
      <c r="J164" s="58"/>
      <c r="K164" s="58"/>
      <c r="L164" s="58"/>
      <c r="M164" s="58"/>
      <c r="N164" s="58"/>
    </row>
    <row r="165" spans="1:14" ht="15">
      <c r="A165" s="55"/>
      <c r="B165" s="60"/>
      <c r="C165" s="58"/>
      <c r="D165" s="58"/>
      <c r="E165" s="58"/>
      <c r="F165" s="58"/>
      <c r="G165" s="58"/>
      <c r="H165" s="58"/>
      <c r="I165" s="58"/>
      <c r="J165" s="58"/>
      <c r="K165" s="58"/>
      <c r="L165" s="58"/>
      <c r="M165" s="58"/>
      <c r="N165" s="58"/>
    </row>
    <row r="166" spans="1:14" ht="15">
      <c r="A166" s="55"/>
      <c r="B166" s="60"/>
      <c r="C166" s="58"/>
      <c r="D166" s="58"/>
      <c r="E166" s="58"/>
      <c r="F166" s="58"/>
      <c r="G166" s="58"/>
      <c r="H166" s="58"/>
      <c r="I166" s="58"/>
      <c r="J166" s="58"/>
      <c r="K166" s="58"/>
      <c r="L166" s="58"/>
      <c r="M166" s="58"/>
      <c r="N166" s="58"/>
    </row>
    <row r="167" spans="1:14" ht="15">
      <c r="A167" s="55"/>
      <c r="B167" s="60"/>
      <c r="C167" s="58"/>
      <c r="D167" s="58"/>
      <c r="E167" s="58"/>
      <c r="F167" s="58"/>
      <c r="G167" s="58"/>
      <c r="H167" s="58"/>
      <c r="I167" s="58"/>
      <c r="J167" s="58"/>
      <c r="K167" s="58"/>
      <c r="L167" s="58"/>
      <c r="M167" s="58"/>
      <c r="N167" s="58"/>
    </row>
    <row r="168" spans="1:14" ht="15">
      <c r="A168" s="55"/>
      <c r="B168" s="60"/>
      <c r="C168" s="58"/>
      <c r="D168" s="58"/>
      <c r="E168" s="58"/>
      <c r="F168" s="58"/>
      <c r="G168" s="58"/>
      <c r="H168" s="58"/>
      <c r="I168" s="58"/>
      <c r="J168" s="58"/>
      <c r="K168" s="58"/>
      <c r="L168" s="58"/>
      <c r="M168" s="58"/>
      <c r="N168" s="58"/>
    </row>
    <row r="169" spans="1:14" ht="15">
      <c r="A169" s="55"/>
      <c r="B169" s="60"/>
      <c r="C169" s="58"/>
      <c r="D169" s="58"/>
      <c r="E169" s="58"/>
      <c r="F169" s="58"/>
      <c r="G169" s="58"/>
      <c r="H169" s="58"/>
      <c r="I169" s="58"/>
      <c r="J169" s="58"/>
      <c r="K169" s="58"/>
      <c r="L169" s="58"/>
      <c r="M169" s="58"/>
      <c r="N169" s="58"/>
    </row>
    <row r="170" spans="1:14" ht="15">
      <c r="A170" s="55"/>
      <c r="B170" s="60"/>
      <c r="C170" s="58"/>
      <c r="D170" s="58"/>
      <c r="E170" s="58"/>
      <c r="F170" s="58"/>
      <c r="G170" s="58"/>
      <c r="H170" s="58"/>
      <c r="I170" s="58"/>
      <c r="J170" s="58"/>
      <c r="K170" s="58"/>
      <c r="L170" s="58"/>
      <c r="M170" s="58"/>
      <c r="N170" s="58"/>
    </row>
    <row r="171" spans="1:14" ht="15">
      <c r="A171" s="55"/>
      <c r="B171" s="60"/>
      <c r="C171" s="58"/>
      <c r="D171" s="58"/>
      <c r="E171" s="58"/>
      <c r="F171" s="58"/>
      <c r="G171" s="58"/>
      <c r="H171" s="58"/>
      <c r="I171" s="58"/>
      <c r="J171" s="58"/>
      <c r="K171" s="58"/>
      <c r="L171" s="58"/>
      <c r="M171" s="58"/>
      <c r="N171" s="58"/>
    </row>
    <row r="172" spans="1:14" ht="15">
      <c r="A172" s="55"/>
      <c r="B172" s="60"/>
      <c r="C172" s="58"/>
      <c r="D172" s="58"/>
      <c r="E172" s="58"/>
      <c r="F172" s="58"/>
      <c r="G172" s="58"/>
      <c r="H172" s="58"/>
      <c r="I172" s="58"/>
      <c r="J172" s="58"/>
      <c r="K172" s="58"/>
      <c r="L172" s="58"/>
      <c r="M172" s="58"/>
      <c r="N172" s="58"/>
    </row>
    <row r="173" spans="1:14" ht="15">
      <c r="A173" s="55"/>
      <c r="B173" s="60"/>
      <c r="C173" s="58"/>
      <c r="D173" s="58"/>
      <c r="E173" s="58"/>
      <c r="F173" s="58"/>
      <c r="G173" s="58"/>
      <c r="H173" s="58"/>
      <c r="I173" s="58"/>
      <c r="J173" s="58"/>
      <c r="K173" s="58"/>
      <c r="L173" s="58"/>
      <c r="M173" s="58"/>
      <c r="N173" s="58"/>
    </row>
    <row r="174" spans="1:14" ht="15">
      <c r="A174" s="55"/>
      <c r="B174" s="60"/>
      <c r="C174" s="58"/>
      <c r="D174" s="58"/>
      <c r="E174" s="58"/>
      <c r="F174" s="58"/>
      <c r="G174" s="58"/>
      <c r="H174" s="58"/>
      <c r="I174" s="58"/>
      <c r="J174" s="58"/>
      <c r="K174" s="58"/>
      <c r="L174" s="58"/>
      <c r="M174" s="58"/>
      <c r="N174" s="58"/>
    </row>
    <row r="175" spans="1:14" ht="15">
      <c r="A175" s="55"/>
      <c r="B175" s="60"/>
      <c r="C175" s="58"/>
      <c r="D175" s="58"/>
      <c r="E175" s="58"/>
      <c r="F175" s="58"/>
      <c r="G175" s="58"/>
      <c r="H175" s="58"/>
      <c r="I175" s="58"/>
      <c r="J175" s="58"/>
      <c r="K175" s="58"/>
      <c r="L175" s="58"/>
      <c r="M175" s="58"/>
      <c r="N175" s="58"/>
    </row>
    <row r="176" spans="1:14" ht="15">
      <c r="A176" s="55"/>
      <c r="B176" s="60"/>
      <c r="C176" s="58"/>
      <c r="D176" s="58"/>
      <c r="E176" s="58"/>
      <c r="F176" s="58"/>
      <c r="G176" s="58"/>
      <c r="H176" s="58"/>
      <c r="I176" s="58"/>
      <c r="J176" s="58"/>
      <c r="K176" s="58"/>
      <c r="L176" s="58"/>
      <c r="M176" s="58"/>
      <c r="N176" s="58"/>
    </row>
  </sheetData>
  <pageMargins left="0.75" right="0.75" top="1" bottom="1" header="0.5" footer="0.5"/>
  <pageSetup paperSize="9" scale="36"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pageSetUpPr fitToPage="1"/>
  </sheetPr>
  <dimension ref="A1:BD686"/>
  <sheetViews>
    <sheetView zoomScale="72" zoomScaleNormal="72" workbookViewId="0">
      <pane xSplit="2" ySplit="2" topLeftCell="O6" activePane="bottomRight" state="frozen"/>
      <selection pane="topRight" activeCell="C1" sqref="C1"/>
      <selection pane="bottomLeft" activeCell="A3" sqref="A3"/>
      <selection pane="bottomRight" activeCell="AA132" sqref="AA132"/>
    </sheetView>
  </sheetViews>
  <sheetFormatPr defaultRowHeight="15" outlineLevelRow="1"/>
  <cols>
    <col min="1" max="1" width="3.5703125" customWidth="1"/>
    <col min="2" max="2" width="46.5703125" customWidth="1"/>
    <col min="3" max="3" width="9.140625" customWidth="1"/>
    <col min="4" max="5" width="11.42578125" customWidth="1"/>
    <col min="6" max="6" width="11" customWidth="1"/>
    <col min="7" max="7" width="11.42578125" customWidth="1"/>
    <col min="8" max="8" width="10.85546875" customWidth="1"/>
    <col min="9" max="9" width="12.5703125" customWidth="1" collapsed="1"/>
    <col min="10" max="12" width="12.5703125" customWidth="1"/>
    <col min="13" max="13" width="12.5703125" customWidth="1" collapsed="1"/>
    <col min="14" max="23" width="12.5703125" customWidth="1"/>
    <col min="24" max="34" width="13.42578125" customWidth="1"/>
    <col min="38" max="38" width="10.42578125" customWidth="1"/>
    <col min="39" max="39" width="11.85546875" bestFit="1" customWidth="1"/>
  </cols>
  <sheetData>
    <row r="1" spans="1:56">
      <c r="A1" s="685"/>
      <c r="B1" s="2064"/>
      <c r="C1" s="2064"/>
      <c r="D1" s="2064"/>
      <c r="E1" s="2064"/>
      <c r="F1" s="2064"/>
      <c r="G1" s="2064"/>
      <c r="H1" s="2064"/>
      <c r="I1" s="2064"/>
      <c r="J1" s="2064"/>
      <c r="K1" s="2064"/>
      <c r="L1" s="2064"/>
      <c r="M1" s="2064"/>
      <c r="N1" s="2064"/>
      <c r="O1" s="2064"/>
      <c r="P1" s="2064"/>
      <c r="Q1" s="2064"/>
      <c r="R1" s="2064"/>
      <c r="S1" s="2064"/>
      <c r="T1" s="2064"/>
      <c r="U1" s="2064"/>
      <c r="V1" s="2064"/>
      <c r="W1" s="2065"/>
      <c r="X1" s="2065"/>
      <c r="Y1" s="2066"/>
      <c r="Z1" s="2066"/>
      <c r="AA1" s="2066"/>
      <c r="AB1" s="2066"/>
      <c r="AC1" s="2066"/>
      <c r="AD1" s="2066"/>
      <c r="AE1" s="2066"/>
      <c r="AF1" s="2066"/>
      <c r="AG1" s="2066"/>
      <c r="AH1" s="2066"/>
      <c r="AI1" s="1617">
        <f ca="1">SOP!G42</f>
        <v>2.1807837624824744</v>
      </c>
      <c r="AK1" s="685"/>
      <c r="AL1" s="685"/>
      <c r="AM1" s="685"/>
      <c r="AN1" s="685"/>
      <c r="AO1" s="685"/>
      <c r="AP1" s="685"/>
      <c r="AQ1" s="685"/>
      <c r="AR1" s="685"/>
      <c r="AS1" s="685"/>
      <c r="AT1" s="685"/>
      <c r="AU1" s="685"/>
      <c r="AV1" s="685"/>
      <c r="AW1" s="685"/>
      <c r="AX1" s="685"/>
      <c r="AY1" s="685"/>
      <c r="AZ1" s="685"/>
      <c r="BA1" s="685"/>
      <c r="BB1" s="685"/>
      <c r="BC1" s="685"/>
      <c r="BD1" s="685"/>
    </row>
    <row r="2" spans="1:56">
      <c r="A2" s="685"/>
      <c r="B2" s="2064"/>
      <c r="C2" s="2064"/>
      <c r="D2" s="2063">
        <v>2005</v>
      </c>
      <c r="E2" s="2063">
        <v>2006</v>
      </c>
      <c r="F2" s="2063">
        <v>2007</v>
      </c>
      <c r="G2" s="2063">
        <v>2008</v>
      </c>
      <c r="H2" s="2063">
        <v>2009</v>
      </c>
      <c r="I2" s="2063">
        <v>2010</v>
      </c>
      <c r="J2" s="2063">
        <v>2011</v>
      </c>
      <c r="K2" s="2063">
        <v>2012</v>
      </c>
      <c r="L2" s="2063">
        <v>2013</v>
      </c>
      <c r="M2" s="2063">
        <v>2014</v>
      </c>
      <c r="N2" s="2063">
        <v>2015</v>
      </c>
      <c r="O2" s="2063">
        <v>2016</v>
      </c>
      <c r="P2" s="2063">
        <v>2017</v>
      </c>
      <c r="Q2" s="2063">
        <v>2018</v>
      </c>
      <c r="R2" s="2063">
        <f t="shared" ref="R2:AE2" si="0">Q2+1</f>
        <v>2019</v>
      </c>
      <c r="S2" s="2063">
        <f t="shared" si="0"/>
        <v>2020</v>
      </c>
      <c r="T2" s="2063">
        <f t="shared" si="0"/>
        <v>2021</v>
      </c>
      <c r="U2" s="2063">
        <f t="shared" si="0"/>
        <v>2022</v>
      </c>
      <c r="V2" s="2063">
        <f t="shared" si="0"/>
        <v>2023</v>
      </c>
      <c r="W2" s="2063">
        <f t="shared" si="0"/>
        <v>2024</v>
      </c>
      <c r="X2" s="2063">
        <f t="shared" si="0"/>
        <v>2025</v>
      </c>
      <c r="Y2" s="2067">
        <f t="shared" si="0"/>
        <v>2026</v>
      </c>
      <c r="Z2" s="2067">
        <f t="shared" si="0"/>
        <v>2027</v>
      </c>
      <c r="AA2" s="2067">
        <f t="shared" si="0"/>
        <v>2028</v>
      </c>
      <c r="AB2" s="2067">
        <f t="shared" si="0"/>
        <v>2029</v>
      </c>
      <c r="AC2" s="2067">
        <f t="shared" si="0"/>
        <v>2030</v>
      </c>
      <c r="AD2" s="2067">
        <f t="shared" si="0"/>
        <v>2031</v>
      </c>
      <c r="AE2" s="2067">
        <f t="shared" si="0"/>
        <v>2032</v>
      </c>
      <c r="AF2" s="2067">
        <f>AE2+1</f>
        <v>2033</v>
      </c>
      <c r="AG2" s="2067">
        <f>AF2+1</f>
        <v>2034</v>
      </c>
      <c r="AH2" s="2067">
        <f>AG2+1</f>
        <v>2035</v>
      </c>
      <c r="AI2" s="964"/>
      <c r="AJ2" s="685"/>
      <c r="AK2" s="685"/>
      <c r="AL2" s="685"/>
      <c r="AM2" s="685"/>
      <c r="AN2" s="685"/>
      <c r="AO2" s="685"/>
      <c r="AP2" s="685"/>
      <c r="AQ2" s="685"/>
      <c r="AR2" s="685"/>
      <c r="AS2" s="685"/>
      <c r="AT2" s="685"/>
      <c r="AU2" s="685"/>
      <c r="AV2" s="685"/>
      <c r="AW2" s="685"/>
      <c r="AX2" s="685"/>
      <c r="AY2" s="685"/>
      <c r="AZ2" s="685"/>
      <c r="BA2" s="685"/>
      <c r="BB2" s="685"/>
      <c r="BC2" s="685"/>
      <c r="BD2" s="685"/>
    </row>
    <row r="3" spans="1:56" hidden="1" outlineLevel="1">
      <c r="A3" s="685"/>
      <c r="B3" s="685"/>
      <c r="C3" s="685"/>
      <c r="D3" s="685"/>
      <c r="E3" s="685"/>
      <c r="F3" s="685"/>
      <c r="G3" s="685"/>
      <c r="H3" s="685"/>
      <c r="I3" s="685"/>
      <c r="J3" s="685"/>
      <c r="K3" s="685"/>
      <c r="L3" s="685"/>
      <c r="M3" s="685"/>
      <c r="N3" s="685"/>
      <c r="O3" s="685"/>
      <c r="P3" s="685"/>
      <c r="Q3" s="685"/>
      <c r="R3" s="685"/>
      <c r="S3" s="685"/>
      <c r="T3" s="685"/>
      <c r="U3" s="685"/>
      <c r="V3" s="685"/>
      <c r="W3" s="1379" t="s">
        <v>184</v>
      </c>
      <c r="X3" s="685"/>
      <c r="Y3" s="685"/>
      <c r="Z3" s="685"/>
      <c r="AA3" s="685"/>
      <c r="AB3" s="685"/>
      <c r="AC3" s="685"/>
      <c r="AD3" s="685"/>
      <c r="AE3" s="685"/>
      <c r="AF3" s="685"/>
      <c r="AG3" s="685"/>
      <c r="AH3" s="685"/>
      <c r="AI3" s="964"/>
      <c r="AJ3" s="685"/>
      <c r="AK3" s="685"/>
      <c r="AL3" s="685"/>
      <c r="AM3" s="685"/>
      <c r="AN3" s="685"/>
      <c r="AO3" s="685"/>
      <c r="AP3" s="685"/>
      <c r="AQ3" s="685"/>
      <c r="AR3" s="685"/>
      <c r="AS3" s="685"/>
      <c r="AT3" s="685"/>
      <c r="AU3" s="685"/>
      <c r="AV3" s="685"/>
      <c r="AW3" s="685"/>
      <c r="AX3" s="685"/>
      <c r="AY3" s="685"/>
      <c r="AZ3" s="685"/>
      <c r="BA3" s="685"/>
      <c r="BB3" s="685"/>
      <c r="BC3" s="685"/>
      <c r="BD3" s="685"/>
    </row>
    <row r="4" spans="1:56" hidden="1" outlineLevel="1">
      <c r="A4" s="685"/>
      <c r="B4" s="685"/>
      <c r="C4" s="685"/>
      <c r="D4" s="685"/>
      <c r="E4" s="685"/>
      <c r="F4" s="685"/>
      <c r="G4" s="685"/>
      <c r="H4" s="685"/>
      <c r="I4" s="685"/>
      <c r="J4" s="685"/>
      <c r="K4" s="685"/>
      <c r="L4" s="685"/>
      <c r="M4" s="685"/>
      <c r="N4" s="685"/>
      <c r="O4" s="685"/>
      <c r="P4" s="685"/>
      <c r="Q4" s="685"/>
      <c r="R4" s="685"/>
      <c r="S4" s="685"/>
      <c r="T4" s="685"/>
      <c r="U4" s="685"/>
      <c r="V4" s="685"/>
      <c r="W4" s="1379" t="s">
        <v>185</v>
      </c>
      <c r="X4" s="685"/>
      <c r="Y4" s="685"/>
      <c r="Z4" s="685"/>
      <c r="AA4" s="685"/>
      <c r="AB4" s="685"/>
      <c r="AC4" s="685"/>
      <c r="AD4" s="685"/>
      <c r="AE4" s="685"/>
      <c r="AF4" s="685"/>
      <c r="AG4" s="685"/>
      <c r="AH4" s="685"/>
      <c r="AI4" s="964"/>
      <c r="AJ4" s="685"/>
      <c r="AK4" s="685"/>
      <c r="AL4" s="685"/>
      <c r="AM4" s="685"/>
      <c r="AN4" s="685"/>
      <c r="AO4" s="685"/>
      <c r="AP4" s="685"/>
      <c r="AQ4" s="685"/>
      <c r="AR4" s="685"/>
      <c r="AS4" s="685"/>
      <c r="AT4" s="685"/>
      <c r="AU4" s="685"/>
      <c r="AV4" s="685"/>
      <c r="AW4" s="685"/>
      <c r="AX4" s="685"/>
      <c r="AY4" s="685"/>
      <c r="AZ4" s="685"/>
      <c r="BA4" s="685"/>
      <c r="BB4" s="685"/>
      <c r="BC4" s="685"/>
      <c r="BD4" s="685"/>
    </row>
    <row r="5" spans="1:56" hidden="1" outlineLevel="1">
      <c r="A5" s="685"/>
      <c r="B5" s="685"/>
      <c r="C5" s="685"/>
      <c r="D5" s="685"/>
      <c r="E5" s="685"/>
      <c r="F5" s="685"/>
      <c r="G5" s="685"/>
      <c r="H5" s="685"/>
      <c r="I5" s="685"/>
      <c r="J5" s="685"/>
      <c r="K5" s="685"/>
      <c r="L5" s="685"/>
      <c r="M5" s="685"/>
      <c r="N5" s="685"/>
      <c r="O5" s="685"/>
      <c r="P5" s="685"/>
      <c r="Q5" s="685"/>
      <c r="R5" s="685"/>
      <c r="S5" s="685"/>
      <c r="T5" s="685"/>
      <c r="U5" s="685"/>
      <c r="V5" s="685"/>
      <c r="W5" s="1379" t="s">
        <v>186</v>
      </c>
      <c r="X5" s="685"/>
      <c r="Y5" s="685"/>
      <c r="Z5" s="685"/>
      <c r="AA5" s="685"/>
      <c r="AB5" s="685"/>
      <c r="AC5" s="685"/>
      <c r="AD5" s="685"/>
      <c r="AE5" s="685"/>
      <c r="AF5" s="685"/>
      <c r="AG5" s="685"/>
      <c r="AH5" s="685"/>
      <c r="AI5" s="964"/>
      <c r="AJ5" s="685"/>
      <c r="AK5" s="685"/>
      <c r="AL5" s="685"/>
      <c r="AM5" s="685"/>
      <c r="AN5" s="685"/>
      <c r="AO5" s="685"/>
      <c r="AP5" s="685"/>
      <c r="AQ5" s="685"/>
      <c r="AR5" s="685"/>
      <c r="AS5" s="685"/>
      <c r="AT5" s="685"/>
      <c r="AU5" s="685"/>
      <c r="AV5" s="685"/>
      <c r="AW5" s="685"/>
      <c r="AX5" s="685"/>
      <c r="AY5" s="685"/>
      <c r="AZ5" s="685"/>
      <c r="BA5" s="685"/>
      <c r="BB5" s="685"/>
      <c r="BC5" s="685"/>
      <c r="BD5" s="685"/>
    </row>
    <row r="6" spans="1:56" collapsed="1">
      <c r="A6" s="685"/>
      <c r="B6" s="1113"/>
      <c r="C6" s="1128"/>
      <c r="D6" s="1128"/>
      <c r="E6" s="1128"/>
      <c r="F6" s="1128"/>
      <c r="G6" s="1128"/>
      <c r="H6" s="1128"/>
      <c r="I6" s="1128"/>
      <c r="J6" s="1128"/>
      <c r="K6" s="1128"/>
      <c r="L6" s="1128"/>
      <c r="M6" s="1128"/>
      <c r="N6" s="1128"/>
      <c r="O6" s="1128"/>
      <c r="P6" s="1128"/>
      <c r="Q6" s="1128"/>
      <c r="R6" s="1128"/>
      <c r="S6" s="1128"/>
      <c r="T6" s="1128"/>
      <c r="U6" s="1128"/>
      <c r="V6" s="1128"/>
      <c r="W6" s="1128"/>
      <c r="X6" s="1128"/>
      <c r="Y6" s="1128"/>
      <c r="Z6" s="1128"/>
      <c r="AA6" s="1128"/>
      <c r="AB6" s="1128"/>
      <c r="AC6" s="1128"/>
      <c r="AD6" s="1128"/>
      <c r="AE6" s="1128"/>
      <c r="AF6" s="1128"/>
      <c r="AG6" s="1128"/>
      <c r="AH6" s="1128"/>
      <c r="AI6" s="685"/>
      <c r="AJ6" s="685"/>
      <c r="AK6" s="685"/>
      <c r="AL6" s="685"/>
      <c r="AM6" s="685"/>
      <c r="AN6" s="685"/>
      <c r="AO6" s="685"/>
      <c r="AP6" s="685"/>
      <c r="AQ6" s="685"/>
      <c r="AR6" s="685"/>
      <c r="AS6" s="685"/>
      <c r="AT6" s="685"/>
      <c r="AU6" s="685"/>
      <c r="AV6" s="685"/>
      <c r="AW6" s="685"/>
      <c r="AX6" s="685"/>
      <c r="AY6" s="685"/>
      <c r="AZ6" s="685"/>
      <c r="BA6" s="685"/>
      <c r="BB6" s="685"/>
      <c r="BC6" s="685"/>
      <c r="BD6" s="685"/>
    </row>
    <row r="7" spans="1:56">
      <c r="A7" s="685"/>
      <c r="B7" s="1115" t="s">
        <v>187</v>
      </c>
      <c r="C7" s="1128"/>
      <c r="D7" s="1128"/>
      <c r="E7" s="1128"/>
      <c r="F7" s="1128"/>
      <c r="G7" s="1159">
        <v>11.05</v>
      </c>
      <c r="H7" s="1159">
        <v>13.5</v>
      </c>
      <c r="I7" s="1159">
        <v>12.63</v>
      </c>
      <c r="J7" s="1159">
        <v>12.44</v>
      </c>
      <c r="K7" s="1159">
        <v>13.16</v>
      </c>
      <c r="L7" s="1159">
        <v>12.76</v>
      </c>
      <c r="M7" s="1159">
        <v>13.31</v>
      </c>
      <c r="N7" s="1159">
        <v>15.87</v>
      </c>
      <c r="O7" s="1159">
        <v>18.850000000000001</v>
      </c>
      <c r="P7" s="1159">
        <v>18.899999999999999</v>
      </c>
      <c r="Q7" s="1159">
        <v>19.25</v>
      </c>
      <c r="R7" s="1159">
        <v>19.25</v>
      </c>
      <c r="S7" s="1159">
        <v>21.48</v>
      </c>
      <c r="T7" s="1159">
        <v>20.285521077724361</v>
      </c>
      <c r="U7" s="1159">
        <v>20.11</v>
      </c>
      <c r="V7" s="1159">
        <v>17.7</v>
      </c>
      <c r="W7" s="1159">
        <v>18.3</v>
      </c>
      <c r="X7" s="1802">
        <v>19.190000000000001</v>
      </c>
      <c r="Y7" s="1802">
        <v>17.364999999999998</v>
      </c>
      <c r="Z7" s="1802">
        <v>17.712299999999999</v>
      </c>
      <c r="AA7" s="1802">
        <v>18.066545999999999</v>
      </c>
      <c r="AB7" s="1802">
        <v>18.427876919999999</v>
      </c>
      <c r="AC7" s="1802">
        <v>18.7964344584</v>
      </c>
      <c r="AD7" s="1802">
        <v>19.172363147567999</v>
      </c>
      <c r="AE7" s="1802">
        <v>19.55581041051936</v>
      </c>
      <c r="AF7" s="1802">
        <v>19.946926618729748</v>
      </c>
      <c r="AG7" s="1802">
        <v>20.345865151104341</v>
      </c>
      <c r="AH7" s="1802">
        <v>20.752782454126429</v>
      </c>
      <c r="AI7" s="1129"/>
      <c r="AJ7" s="685"/>
      <c r="AK7" s="685"/>
      <c r="AL7" s="685"/>
      <c r="AM7" s="685"/>
      <c r="AN7" s="685"/>
      <c r="AO7" s="685"/>
      <c r="AP7" s="685"/>
      <c r="AQ7" s="685"/>
      <c r="AR7" s="685"/>
      <c r="AS7" s="685"/>
      <c r="AT7" s="685"/>
      <c r="AU7" s="685"/>
      <c r="AV7" s="685"/>
      <c r="AW7" s="685"/>
      <c r="AX7" s="685"/>
      <c r="AY7" s="685"/>
      <c r="AZ7" s="685"/>
      <c r="BA7" s="685"/>
      <c r="BB7" s="685"/>
      <c r="BC7" s="685"/>
      <c r="BD7" s="685"/>
    </row>
    <row r="8" spans="1:56">
      <c r="A8" s="685"/>
      <c r="B8" s="1115" t="s">
        <v>188</v>
      </c>
      <c r="C8" s="1128"/>
      <c r="D8" s="1128"/>
      <c r="E8" s="1128"/>
      <c r="F8" s="1128"/>
      <c r="G8" s="1523">
        <v>13.756</v>
      </c>
      <c r="H8" s="1523">
        <v>13.084</v>
      </c>
      <c r="I8" s="1523">
        <v>12.3316</v>
      </c>
      <c r="J8" s="1159">
        <v>13.9</v>
      </c>
      <c r="K8" s="1159">
        <v>12.92</v>
      </c>
      <c r="L8" s="1159">
        <v>13.09</v>
      </c>
      <c r="M8" s="1523">
        <v>14.73</v>
      </c>
      <c r="N8" s="1815">
        <v>17.260000000000002</v>
      </c>
      <c r="O8" s="1815">
        <v>20.71</v>
      </c>
      <c r="P8" s="1815">
        <v>19.64</v>
      </c>
      <c r="Q8" s="1815">
        <v>19.63</v>
      </c>
      <c r="R8" s="1815">
        <v>18.91</v>
      </c>
      <c r="S8" s="1815">
        <v>19.87</v>
      </c>
      <c r="T8" s="1815">
        <v>20.48</v>
      </c>
      <c r="U8" s="1159">
        <v>19.498999999999999</v>
      </c>
      <c r="V8" s="1159">
        <v>16.972000000000001</v>
      </c>
      <c r="W8" s="1159">
        <v>20.63</v>
      </c>
      <c r="X8" s="1802">
        <v>17.98</v>
      </c>
      <c r="Y8" s="1802">
        <v>17.8</v>
      </c>
      <c r="Z8" s="1802">
        <f>Y8*1.02</f>
        <v>18.156000000000002</v>
      </c>
      <c r="AA8" s="1802">
        <f t="shared" ref="AA8:AH8" si="1">Z8*1.02</f>
        <v>18.519120000000004</v>
      </c>
      <c r="AB8" s="1802">
        <f t="shared" si="1"/>
        <v>18.889502400000005</v>
      </c>
      <c r="AC8" s="1802">
        <f t="shared" si="1"/>
        <v>19.267292448000006</v>
      </c>
      <c r="AD8" s="1802">
        <f t="shared" si="1"/>
        <v>19.652638296960006</v>
      </c>
      <c r="AE8" s="1802">
        <f t="shared" si="1"/>
        <v>20.045691062899206</v>
      </c>
      <c r="AF8" s="1802">
        <f t="shared" si="1"/>
        <v>20.446604884157189</v>
      </c>
      <c r="AG8" s="1802">
        <f t="shared" si="1"/>
        <v>20.855536981840334</v>
      </c>
      <c r="AH8" s="1802">
        <f t="shared" si="1"/>
        <v>21.272647721477142</v>
      </c>
      <c r="AI8" s="685"/>
      <c r="AJ8" s="685"/>
      <c r="AK8" s="685"/>
      <c r="AL8" s="685"/>
      <c r="AM8" s="685"/>
      <c r="AN8" s="685"/>
      <c r="AO8" s="685"/>
      <c r="AP8" s="685"/>
      <c r="AQ8" s="685"/>
      <c r="AR8" s="685"/>
      <c r="AS8" s="685"/>
      <c r="AT8" s="685"/>
      <c r="AU8" s="685"/>
      <c r="AV8" s="685"/>
      <c r="AW8" s="685"/>
      <c r="AX8" s="685"/>
      <c r="AY8" s="685"/>
      <c r="AZ8" s="685"/>
      <c r="BA8" s="685"/>
      <c r="BB8" s="685"/>
      <c r="BC8" s="685"/>
      <c r="BD8" s="685"/>
    </row>
    <row r="9" spans="1:56">
      <c r="A9" s="685"/>
      <c r="B9" s="1113"/>
      <c r="C9" s="1128"/>
      <c r="D9" s="1128"/>
      <c r="E9" s="1128"/>
      <c r="F9" s="1128"/>
      <c r="G9" s="1128"/>
      <c r="H9" s="1128"/>
      <c r="I9" s="1128"/>
      <c r="J9" s="1128"/>
      <c r="K9" s="1128"/>
      <c r="L9" s="1128"/>
      <c r="M9" s="1128"/>
      <c r="N9" s="1128"/>
      <c r="O9" s="1128"/>
      <c r="P9" s="1128"/>
      <c r="Q9" s="1128"/>
      <c r="R9" s="1128"/>
      <c r="S9" s="1128"/>
      <c r="T9" s="1128"/>
      <c r="U9" s="1128"/>
      <c r="V9" s="1128"/>
      <c r="W9" s="1128"/>
      <c r="X9" s="1128"/>
      <c r="Y9" s="1128"/>
      <c r="Z9" s="1128"/>
      <c r="AA9" s="1128"/>
      <c r="AB9" s="1128"/>
      <c r="AC9" s="1128"/>
      <c r="AD9" s="1128"/>
      <c r="AE9" s="1128"/>
      <c r="AF9" s="1128"/>
      <c r="AG9" s="1128"/>
      <c r="AH9" s="1128"/>
      <c r="AI9" s="685"/>
      <c r="AJ9" s="685"/>
      <c r="AK9" s="685"/>
      <c r="AL9" s="685"/>
      <c r="AM9" s="685"/>
      <c r="AN9" s="685"/>
      <c r="AO9" s="685"/>
      <c r="AP9" s="685"/>
      <c r="AQ9" s="685"/>
      <c r="AR9" s="685"/>
      <c r="AS9" s="685"/>
      <c r="AT9" s="685"/>
      <c r="AU9" s="685"/>
      <c r="AV9" s="685"/>
      <c r="AW9" s="685"/>
      <c r="AX9" s="685"/>
      <c r="AY9" s="685"/>
      <c r="AZ9" s="685"/>
      <c r="BA9" s="685"/>
      <c r="BB9" s="685"/>
      <c r="BC9" s="685"/>
      <c r="BD9" s="685"/>
    </row>
    <row r="10" spans="1:56">
      <c r="A10" s="685"/>
      <c r="B10" s="1113"/>
      <c r="C10" s="1128"/>
      <c r="D10" s="1128"/>
      <c r="E10" s="1128"/>
      <c r="F10" s="1128"/>
      <c r="G10" s="1128"/>
      <c r="H10" s="1128"/>
      <c r="I10" s="1128"/>
      <c r="J10" s="1128"/>
      <c r="K10" s="1128"/>
      <c r="L10" s="1128"/>
      <c r="M10" s="1128"/>
      <c r="N10" s="1128"/>
      <c r="O10" s="1128"/>
      <c r="P10" s="1128"/>
      <c r="Q10" s="1128"/>
      <c r="R10" s="1128"/>
      <c r="S10" s="1128"/>
      <c r="T10" s="1128"/>
      <c r="U10" s="1128"/>
      <c r="V10" s="1128"/>
      <c r="W10" s="1128"/>
      <c r="X10" s="1128"/>
      <c r="Y10" s="1128"/>
      <c r="Z10" s="1128"/>
      <c r="AA10" s="1128"/>
      <c r="AB10" s="1128"/>
      <c r="AC10" s="1128"/>
      <c r="AD10" s="1128"/>
      <c r="AE10" s="1128"/>
      <c r="AF10" s="1128"/>
      <c r="AG10" s="1128"/>
      <c r="AH10" s="1128"/>
      <c r="AI10" s="685"/>
      <c r="AJ10" s="685"/>
      <c r="AK10" s="685"/>
      <c r="AL10" s="685"/>
      <c r="AM10" s="685"/>
      <c r="AN10" s="685"/>
      <c r="AO10" s="685"/>
      <c r="AP10" s="685"/>
      <c r="AQ10" s="685"/>
      <c r="AR10" s="685"/>
      <c r="AS10" s="685"/>
      <c r="AT10" s="685"/>
      <c r="AU10" s="685"/>
      <c r="AV10" s="685"/>
      <c r="AW10" s="685"/>
      <c r="AX10" s="685"/>
      <c r="AY10" s="685"/>
      <c r="AZ10" s="685"/>
      <c r="BA10" s="685"/>
      <c r="BB10" s="685"/>
      <c r="BC10" s="685"/>
      <c r="BD10" s="685"/>
    </row>
    <row r="11" spans="1:56">
      <c r="A11" s="685"/>
      <c r="B11" s="1112" t="s">
        <v>33</v>
      </c>
      <c r="C11" s="1112"/>
      <c r="D11" s="1112">
        <f t="shared" ref="D11:AC11" si="2">D2</f>
        <v>2005</v>
      </c>
      <c r="E11" s="1112">
        <f t="shared" si="2"/>
        <v>2006</v>
      </c>
      <c r="F11" s="1112">
        <f t="shared" si="2"/>
        <v>2007</v>
      </c>
      <c r="G11" s="1112">
        <f t="shared" si="2"/>
        <v>2008</v>
      </c>
      <c r="H11" s="1112">
        <f t="shared" si="2"/>
        <v>2009</v>
      </c>
      <c r="I11" s="1112">
        <f t="shared" si="2"/>
        <v>2010</v>
      </c>
      <c r="J11" s="1112">
        <f t="shared" si="2"/>
        <v>2011</v>
      </c>
      <c r="K11" s="1112">
        <f t="shared" si="2"/>
        <v>2012</v>
      </c>
      <c r="L11" s="1112">
        <f t="shared" si="2"/>
        <v>2013</v>
      </c>
      <c r="M11" s="1112">
        <f t="shared" si="2"/>
        <v>2014</v>
      </c>
      <c r="N11" s="1112">
        <f t="shared" si="2"/>
        <v>2015</v>
      </c>
      <c r="O11" s="1112">
        <f t="shared" si="2"/>
        <v>2016</v>
      </c>
      <c r="P11" s="1112">
        <f t="shared" si="2"/>
        <v>2017</v>
      </c>
      <c r="Q11" s="1112">
        <f t="shared" si="2"/>
        <v>2018</v>
      </c>
      <c r="R11" s="1112">
        <f t="shared" si="2"/>
        <v>2019</v>
      </c>
      <c r="S11" s="1112">
        <f t="shared" si="2"/>
        <v>2020</v>
      </c>
      <c r="T11" s="1112">
        <f t="shared" si="2"/>
        <v>2021</v>
      </c>
      <c r="U11" s="1112">
        <f t="shared" si="2"/>
        <v>2022</v>
      </c>
      <c r="V11" s="1112">
        <f t="shared" si="2"/>
        <v>2023</v>
      </c>
      <c r="W11" s="1112">
        <f t="shared" si="2"/>
        <v>2024</v>
      </c>
      <c r="X11" s="1112">
        <f t="shared" si="2"/>
        <v>2025</v>
      </c>
      <c r="Y11" s="1112">
        <f t="shared" si="2"/>
        <v>2026</v>
      </c>
      <c r="Z11" s="1112">
        <f t="shared" si="2"/>
        <v>2027</v>
      </c>
      <c r="AA11" s="1112">
        <f t="shared" si="2"/>
        <v>2028</v>
      </c>
      <c r="AB11" s="1112">
        <f t="shared" si="2"/>
        <v>2029</v>
      </c>
      <c r="AC11" s="1112">
        <f t="shared" si="2"/>
        <v>2030</v>
      </c>
      <c r="AD11" s="1112">
        <f>AD2</f>
        <v>2031</v>
      </c>
      <c r="AE11" s="1112">
        <f>AE2</f>
        <v>2032</v>
      </c>
      <c r="AF11" s="1112">
        <f>AF2</f>
        <v>2033</v>
      </c>
      <c r="AG11" s="1112">
        <f>AG2</f>
        <v>2034</v>
      </c>
      <c r="AH11" s="1112">
        <f>AH2</f>
        <v>2035</v>
      </c>
      <c r="AI11" s="685"/>
      <c r="AJ11" s="685"/>
      <c r="AK11" s="685"/>
      <c r="AL11" s="685"/>
      <c r="AM11" s="685"/>
      <c r="AN11" s="685"/>
      <c r="AO11" s="685"/>
      <c r="AP11" s="685"/>
      <c r="AQ11" s="685"/>
      <c r="AR11" s="685"/>
      <c r="AS11" s="685"/>
      <c r="AT11" s="685"/>
      <c r="AU11" s="685"/>
      <c r="AV11" s="685"/>
      <c r="AW11" s="685"/>
      <c r="AX11" s="685"/>
      <c r="AY11" s="685"/>
      <c r="AZ11" s="685"/>
      <c r="BA11" s="685"/>
      <c r="BB11" s="685"/>
      <c r="BC11" s="685"/>
      <c r="BD11" s="685"/>
    </row>
    <row r="12" spans="1:56" hidden="1">
      <c r="A12" s="685"/>
      <c r="B12" s="2030" t="s">
        <v>94</v>
      </c>
      <c r="C12" s="1113"/>
      <c r="D12" s="1133"/>
      <c r="E12" s="1133"/>
      <c r="F12" s="1133"/>
      <c r="G12" s="1133"/>
      <c r="H12" s="685"/>
      <c r="I12" s="685"/>
      <c r="J12" s="685"/>
      <c r="K12" s="685"/>
      <c r="L12" s="685"/>
      <c r="M12" s="685"/>
      <c r="N12" s="685"/>
      <c r="O12" s="685"/>
      <c r="P12" s="685"/>
      <c r="Q12" s="1134"/>
      <c r="R12" s="685"/>
      <c r="S12" s="685"/>
      <c r="T12" s="685"/>
      <c r="U12" s="685"/>
      <c r="V12" s="685"/>
      <c r="W12" s="685"/>
      <c r="X12" s="685"/>
      <c r="Y12" s="685"/>
      <c r="Z12" s="685"/>
      <c r="AA12" s="685"/>
      <c r="AB12" s="685"/>
      <c r="AC12" s="685"/>
      <c r="AD12" s="685"/>
      <c r="AE12" s="685"/>
      <c r="AF12" s="685"/>
      <c r="AG12" s="685"/>
      <c r="AH12" s="685"/>
      <c r="AI12" s="685"/>
      <c r="AJ12" s="685"/>
      <c r="AK12" s="685"/>
      <c r="AL12" s="685"/>
      <c r="AM12" s="685"/>
      <c r="AN12" s="685"/>
      <c r="AO12" s="685"/>
      <c r="AP12" s="685"/>
      <c r="AQ12" s="685"/>
      <c r="AR12" s="685"/>
      <c r="AS12" s="685"/>
      <c r="AT12" s="685"/>
      <c r="AU12" s="685"/>
      <c r="AV12" s="685"/>
      <c r="AW12" s="685"/>
      <c r="AX12" s="685"/>
      <c r="AY12" s="685"/>
      <c r="AZ12" s="685"/>
      <c r="BA12" s="685"/>
      <c r="BB12" s="685"/>
      <c r="BC12" s="685"/>
      <c r="BD12" s="685"/>
    </row>
    <row r="13" spans="1:56" hidden="1">
      <c r="A13" s="685"/>
      <c r="B13" s="2031" t="s">
        <v>189</v>
      </c>
      <c r="C13" s="1113"/>
      <c r="D13" s="1133"/>
      <c r="E13" s="1133"/>
      <c r="F13" s="1133"/>
      <c r="G13" s="1133"/>
      <c r="H13" s="1136">
        <v>21397</v>
      </c>
      <c r="I13" s="1136">
        <v>22747</v>
      </c>
      <c r="J13" s="1136">
        <f>Interims!K8</f>
        <v>23206.1</v>
      </c>
      <c r="K13" s="1136">
        <f>Interims!P8</f>
        <v>23935.9</v>
      </c>
      <c r="L13" s="1136">
        <f>Interims!U8</f>
        <v>24865.5</v>
      </c>
      <c r="M13" s="1136">
        <f>Interims!Z8</f>
        <v>25465.699999999997</v>
      </c>
      <c r="N13" s="1136">
        <v>23029.3</v>
      </c>
      <c r="O13" s="1136">
        <v>23223.200000000001</v>
      </c>
      <c r="P13" s="1136">
        <v>20719</v>
      </c>
      <c r="Q13" s="1136">
        <v>21155</v>
      </c>
      <c r="R13" s="1136">
        <v>19420.400000000001</v>
      </c>
      <c r="S13" s="1136">
        <v>16349.8</v>
      </c>
      <c r="T13" s="1136">
        <v>19162</v>
      </c>
      <c r="U13" s="1134"/>
      <c r="V13" s="1134"/>
      <c r="W13" s="1134"/>
      <c r="X13" s="1134"/>
      <c r="Y13" s="1134"/>
      <c r="Z13" s="1134"/>
      <c r="AA13" s="1134"/>
      <c r="AB13" s="1134"/>
      <c r="AC13" s="1134"/>
      <c r="AD13" s="1134"/>
      <c r="AE13" s="1134"/>
      <c r="AF13" s="1134"/>
      <c r="AG13" s="1134"/>
      <c r="AH13" s="1134"/>
      <c r="AI13" s="685"/>
      <c r="AJ13" s="685"/>
      <c r="AK13" s="685"/>
      <c r="AL13" s="685"/>
      <c r="AM13" s="685"/>
      <c r="AN13" s="685"/>
      <c r="AO13" s="685"/>
      <c r="AP13" s="685"/>
      <c r="AQ13" s="685"/>
      <c r="AR13" s="685"/>
      <c r="AS13" s="685"/>
      <c r="AT13" s="685"/>
      <c r="AU13" s="685"/>
      <c r="AV13" s="685"/>
      <c r="AW13" s="685"/>
      <c r="AX13" s="685"/>
      <c r="AY13" s="685"/>
      <c r="AZ13" s="685"/>
      <c r="BA13" s="685"/>
      <c r="BB13" s="685"/>
      <c r="BC13" s="685"/>
      <c r="BD13" s="685"/>
    </row>
    <row r="14" spans="1:56" hidden="1">
      <c r="A14" s="685"/>
      <c r="B14" s="2031" t="s">
        <v>190</v>
      </c>
      <c r="C14" s="1113"/>
      <c r="D14" s="1133"/>
      <c r="E14" s="1133"/>
      <c r="F14" s="1133"/>
      <c r="G14" s="1133"/>
      <c r="H14" s="1136">
        <v>2201</v>
      </c>
      <c r="I14" s="1136">
        <v>2379</v>
      </c>
      <c r="J14" s="1136">
        <f>Interims!K9</f>
        <v>2590.7999999999997</v>
      </c>
      <c r="K14" s="1136">
        <f>Interims!P9</f>
        <v>3189.2000000000003</v>
      </c>
      <c r="L14" s="1136">
        <f>Interims!U9</f>
        <v>3265.5999999999995</v>
      </c>
      <c r="M14" s="1136">
        <f>Interims!Z9</f>
        <v>2854.4</v>
      </c>
      <c r="N14" s="1136">
        <v>3595.4</v>
      </c>
      <c r="O14" s="1136">
        <v>4399.3</v>
      </c>
      <c r="P14" s="1136">
        <v>4058</v>
      </c>
      <c r="Q14" s="1136">
        <v>4841</v>
      </c>
      <c r="R14" s="1136">
        <v>4939</v>
      </c>
      <c r="S14" s="1136">
        <v>5466.2</v>
      </c>
      <c r="T14" s="1136">
        <v>5390.8</v>
      </c>
      <c r="U14" s="1134"/>
      <c r="V14" s="1134"/>
      <c r="W14" s="1134"/>
      <c r="X14" s="1134"/>
      <c r="Y14" s="1134"/>
      <c r="Z14" s="1134"/>
      <c r="AA14" s="1134"/>
      <c r="AB14" s="1134"/>
      <c r="AC14" s="1134"/>
      <c r="AD14" s="1134"/>
      <c r="AE14" s="1134"/>
      <c r="AF14" s="1134"/>
      <c r="AG14" s="1134"/>
      <c r="AH14" s="1134"/>
      <c r="AI14" s="685"/>
      <c r="AJ14" s="685"/>
      <c r="AK14" s="685"/>
      <c r="AL14" s="685"/>
      <c r="AM14" s="685"/>
      <c r="AN14" s="685"/>
      <c r="AO14" s="685"/>
      <c r="AP14" s="685"/>
      <c r="AQ14" s="685"/>
      <c r="AR14" s="685"/>
      <c r="AS14" s="685"/>
      <c r="AT14" s="685"/>
      <c r="AU14" s="685"/>
      <c r="AV14" s="685"/>
      <c r="AW14" s="685"/>
      <c r="AX14" s="685"/>
      <c r="AY14" s="685"/>
      <c r="AZ14" s="685"/>
      <c r="BA14" s="685"/>
      <c r="BB14" s="685"/>
      <c r="BC14" s="685"/>
      <c r="BD14" s="685"/>
    </row>
    <row r="15" spans="1:56" hidden="1">
      <c r="A15" s="685"/>
      <c r="B15" s="2031" t="s">
        <v>191</v>
      </c>
      <c r="C15" s="1113"/>
      <c r="D15" s="1133"/>
      <c r="E15" s="1133"/>
      <c r="F15" s="1133"/>
      <c r="G15" s="1133"/>
      <c r="H15" s="1136">
        <v>3809</v>
      </c>
      <c r="I15" s="1136">
        <v>4109</v>
      </c>
      <c r="J15" s="1136">
        <f>Interims!K10</f>
        <v>4888.7000000000007</v>
      </c>
      <c r="K15" s="1136">
        <f>Interims!P10</f>
        <v>5758.9</v>
      </c>
      <c r="L15" s="1136">
        <f>Interims!U10</f>
        <v>5689.5</v>
      </c>
      <c r="M15" s="1136">
        <f>Interims!Z10</f>
        <v>6548</v>
      </c>
      <c r="N15" s="1136">
        <v>7707.9</v>
      </c>
      <c r="O15" s="1136">
        <v>9064.2000000000007</v>
      </c>
      <c r="P15" s="1136">
        <v>9220</v>
      </c>
      <c r="Q15" s="1136">
        <v>10521</v>
      </c>
      <c r="R15" s="1136">
        <v>10436</v>
      </c>
      <c r="S15" s="1136">
        <v>10797</v>
      </c>
      <c r="T15" s="1136">
        <v>11389.1</v>
      </c>
      <c r="U15" s="1134"/>
      <c r="V15" s="1134"/>
      <c r="W15" s="1134"/>
      <c r="X15" s="1134"/>
      <c r="Y15" s="1134"/>
      <c r="Z15" s="1134"/>
      <c r="AA15" s="1134"/>
      <c r="AB15" s="1134"/>
      <c r="AC15" s="1134"/>
      <c r="AD15" s="1134"/>
      <c r="AE15" s="1134"/>
      <c r="AF15" s="1134"/>
      <c r="AG15" s="1134"/>
      <c r="AH15" s="1134"/>
      <c r="AI15" s="685"/>
      <c r="AJ15" s="685"/>
      <c r="AK15" s="685"/>
      <c r="AL15" s="685"/>
      <c r="AM15" s="685"/>
      <c r="AN15" s="685"/>
      <c r="AO15" s="685"/>
      <c r="AP15" s="685"/>
      <c r="AQ15" s="685"/>
      <c r="AR15" s="685"/>
      <c r="AS15" s="685"/>
      <c r="AT15" s="685"/>
      <c r="AU15" s="685"/>
      <c r="AV15" s="685"/>
      <c r="AW15" s="685"/>
      <c r="AX15" s="685"/>
      <c r="AY15" s="685"/>
      <c r="AZ15" s="685"/>
      <c r="BA15" s="685"/>
      <c r="BB15" s="685"/>
      <c r="BC15" s="685"/>
      <c r="BD15" s="685"/>
    </row>
    <row r="16" spans="1:56" hidden="1">
      <c r="A16" s="685"/>
      <c r="B16" s="2032" t="s">
        <v>107</v>
      </c>
      <c r="C16" s="1113"/>
      <c r="D16" s="1133"/>
      <c r="E16" s="1133"/>
      <c r="F16" s="1133"/>
      <c r="G16" s="1133"/>
      <c r="H16" s="1136"/>
      <c r="I16" s="1137"/>
      <c r="J16" s="1137"/>
      <c r="K16" s="1137"/>
      <c r="L16" s="1137"/>
      <c r="M16" s="1137"/>
      <c r="N16" s="1137"/>
      <c r="O16" s="1137"/>
      <c r="P16" s="1137"/>
      <c r="Q16" s="1137">
        <v>2734</v>
      </c>
      <c r="R16" s="1137">
        <v>0</v>
      </c>
      <c r="S16" s="1137">
        <v>0</v>
      </c>
      <c r="T16" s="1137">
        <v>0</v>
      </c>
      <c r="U16" s="1138">
        <f>Content!P20</f>
        <v>0</v>
      </c>
      <c r="V16" s="1138">
        <f>Content!Q20</f>
        <v>0</v>
      </c>
      <c r="W16" s="1138">
        <f>Content!R20</f>
        <v>0</v>
      </c>
      <c r="X16" s="1138">
        <f>Content!S20</f>
        <v>0</v>
      </c>
      <c r="Y16" s="1138">
        <v>0</v>
      </c>
      <c r="Z16" s="1138">
        <v>0</v>
      </c>
      <c r="AA16" s="1138">
        <v>0</v>
      </c>
      <c r="AB16" s="1138">
        <v>0</v>
      </c>
      <c r="AC16" s="1138">
        <v>0</v>
      </c>
      <c r="AD16" s="1138">
        <v>0</v>
      </c>
      <c r="AE16" s="1138">
        <v>0</v>
      </c>
      <c r="AF16" s="1138">
        <v>0</v>
      </c>
      <c r="AG16" s="1138">
        <v>0</v>
      </c>
      <c r="AH16" s="1138">
        <v>0</v>
      </c>
      <c r="AI16" s="685"/>
      <c r="AJ16" s="685"/>
      <c r="AK16" s="685"/>
      <c r="AL16" s="685"/>
      <c r="AM16" s="685"/>
      <c r="AN16" s="685"/>
      <c r="AO16" s="685"/>
      <c r="AP16" s="685"/>
      <c r="AQ16" s="685"/>
      <c r="AR16" s="685"/>
      <c r="AS16" s="685"/>
      <c r="AT16" s="685"/>
      <c r="AU16" s="685"/>
      <c r="AV16" s="685"/>
      <c r="AW16" s="685"/>
      <c r="AX16" s="685"/>
      <c r="AY16" s="685"/>
      <c r="AZ16" s="685"/>
      <c r="BA16" s="685"/>
      <c r="BB16" s="685"/>
      <c r="BC16" s="685"/>
      <c r="BD16" s="685"/>
    </row>
    <row r="17" spans="1:56" hidden="1">
      <c r="A17" s="685"/>
      <c r="B17" s="2030" t="s">
        <v>85</v>
      </c>
      <c r="C17" s="1113"/>
      <c r="D17" s="1133"/>
      <c r="E17" s="1133"/>
      <c r="F17" s="1133"/>
      <c r="G17" s="1133"/>
      <c r="H17" s="1134">
        <f t="shared" ref="H17:P17" si="3">H13+H14+H15</f>
        <v>27407</v>
      </c>
      <c r="I17" s="1134">
        <f t="shared" si="3"/>
        <v>29235</v>
      </c>
      <c r="J17" s="1134">
        <f t="shared" si="3"/>
        <v>30685.599999999999</v>
      </c>
      <c r="K17" s="1134">
        <f t="shared" si="3"/>
        <v>32884</v>
      </c>
      <c r="L17" s="1134">
        <f t="shared" si="3"/>
        <v>33820.6</v>
      </c>
      <c r="M17" s="1134">
        <f t="shared" si="3"/>
        <v>34868.1</v>
      </c>
      <c r="N17" s="1134">
        <f t="shared" si="3"/>
        <v>34332.6</v>
      </c>
      <c r="O17" s="1134">
        <f t="shared" si="3"/>
        <v>36686.699999999997</v>
      </c>
      <c r="P17" s="1134">
        <f t="shared" si="3"/>
        <v>33997</v>
      </c>
      <c r="Q17" s="1134">
        <f t="shared" ref="Q17:X17" si="4">Q13+Q14+Q15+Q16</f>
        <v>39251</v>
      </c>
      <c r="R17" s="1134">
        <f t="shared" si="4"/>
        <v>34795.4</v>
      </c>
      <c r="S17" s="1134">
        <f t="shared" si="4"/>
        <v>32613</v>
      </c>
      <c r="T17" s="1134">
        <f t="shared" si="4"/>
        <v>35941.9</v>
      </c>
      <c r="U17" s="1134">
        <f t="shared" si="4"/>
        <v>0</v>
      </c>
      <c r="V17" s="1134">
        <f t="shared" si="4"/>
        <v>0</v>
      </c>
      <c r="W17" s="1134">
        <f t="shared" si="4"/>
        <v>0</v>
      </c>
      <c r="X17" s="1134">
        <f t="shared" si="4"/>
        <v>0</v>
      </c>
      <c r="Y17" s="1134">
        <v>0</v>
      </c>
      <c r="Z17" s="1134">
        <v>0</v>
      </c>
      <c r="AA17" s="1134">
        <v>0</v>
      </c>
      <c r="AB17" s="1134">
        <v>0</v>
      </c>
      <c r="AC17" s="1134">
        <v>0</v>
      </c>
      <c r="AD17" s="1134">
        <v>0</v>
      </c>
      <c r="AE17" s="1134">
        <v>0</v>
      </c>
      <c r="AF17" s="1134">
        <v>0</v>
      </c>
      <c r="AG17" s="1134">
        <v>0</v>
      </c>
      <c r="AH17" s="1134">
        <v>0</v>
      </c>
      <c r="AI17" s="685"/>
      <c r="AJ17" s="685"/>
      <c r="AK17" s="685"/>
      <c r="AL17" s="685"/>
      <c r="AM17" s="685"/>
      <c r="AN17" s="685"/>
      <c r="AO17" s="685"/>
      <c r="AP17" s="685"/>
      <c r="AQ17" s="685"/>
      <c r="AR17" s="685"/>
      <c r="AS17" s="685"/>
      <c r="AT17" s="685"/>
      <c r="AU17" s="685"/>
      <c r="AV17" s="685"/>
      <c r="AW17" s="685"/>
      <c r="AX17" s="685"/>
      <c r="AY17" s="685"/>
      <c r="AZ17" s="685"/>
      <c r="BA17" s="685"/>
      <c r="BB17" s="685"/>
      <c r="BC17" s="685"/>
      <c r="BD17" s="685"/>
    </row>
    <row r="18" spans="1:56" hidden="1">
      <c r="A18" s="685"/>
      <c r="B18" s="2030" t="s">
        <v>192</v>
      </c>
      <c r="C18" s="1113"/>
      <c r="D18" s="1133"/>
      <c r="E18" s="1133"/>
      <c r="F18" s="1133"/>
      <c r="G18" s="1133"/>
      <c r="H18" s="1134"/>
      <c r="I18" s="1118">
        <f t="shared" ref="I18:U18" si="5">I17/H17-1</f>
        <v>6.6698288758346491E-2</v>
      </c>
      <c r="J18" s="1118">
        <f t="shared" si="5"/>
        <v>4.96186078330767E-2</v>
      </c>
      <c r="K18" s="1118">
        <f t="shared" si="5"/>
        <v>7.1642724926349821E-2</v>
      </c>
      <c r="L18" s="1118">
        <f t="shared" si="5"/>
        <v>2.8481936504074934E-2</v>
      </c>
      <c r="M18" s="1118">
        <f t="shared" si="5"/>
        <v>3.0972247683364484E-2</v>
      </c>
      <c r="N18" s="1118">
        <f t="shared" si="5"/>
        <v>-1.535787725743587E-2</v>
      </c>
      <c r="O18" s="1118">
        <f t="shared" si="5"/>
        <v>6.8567483965676912E-2</v>
      </c>
      <c r="P18" s="1118">
        <f t="shared" si="5"/>
        <v>-7.331539767817763E-2</v>
      </c>
      <c r="Q18" s="1118">
        <f t="shared" si="5"/>
        <v>0.1545430479159926</v>
      </c>
      <c r="R18" s="1118">
        <f t="shared" si="5"/>
        <v>-0.11351557922091149</v>
      </c>
      <c r="S18" s="1118">
        <f t="shared" si="5"/>
        <v>-6.2720934376383153E-2</v>
      </c>
      <c r="T18" s="1118">
        <f t="shared" si="5"/>
        <v>0.102072793057983</v>
      </c>
      <c r="U18" s="1118">
        <f t="shared" si="5"/>
        <v>-1</v>
      </c>
      <c r="V18" s="1118"/>
      <c r="W18" s="1118"/>
      <c r="X18" s="1118"/>
      <c r="Y18" s="1118"/>
      <c r="Z18" s="1118"/>
      <c r="AA18" s="1118"/>
      <c r="AB18" s="1118"/>
      <c r="AC18" s="1118"/>
      <c r="AD18" s="1118"/>
      <c r="AE18" s="1118"/>
      <c r="AF18" s="1118"/>
      <c r="AG18" s="1118"/>
      <c r="AH18" s="1118"/>
      <c r="AI18" s="685"/>
      <c r="AJ18" s="685"/>
      <c r="AK18" s="685"/>
      <c r="AL18" s="685"/>
      <c r="AM18" s="685"/>
      <c r="AN18" s="685"/>
      <c r="AO18" s="685"/>
      <c r="AP18" s="685"/>
      <c r="AQ18" s="685"/>
      <c r="AR18" s="685"/>
      <c r="AS18" s="685"/>
      <c r="AT18" s="685"/>
      <c r="AU18" s="685"/>
      <c r="AV18" s="685"/>
      <c r="AW18" s="685"/>
      <c r="AX18" s="685"/>
      <c r="AY18" s="685"/>
      <c r="AZ18" s="685"/>
      <c r="BA18" s="685"/>
      <c r="BB18" s="685"/>
      <c r="BC18" s="685"/>
      <c r="BD18" s="685"/>
    </row>
    <row r="19" spans="1:56" hidden="1">
      <c r="A19" s="685"/>
      <c r="B19" s="2030"/>
      <c r="C19" s="1113"/>
      <c r="D19" s="1133"/>
      <c r="E19" s="1133"/>
      <c r="F19" s="1133"/>
      <c r="G19" s="1133"/>
      <c r="H19" s="1134"/>
      <c r="I19" s="1117"/>
      <c r="J19" s="1117"/>
      <c r="K19" s="1117"/>
      <c r="L19" s="1117"/>
      <c r="M19" s="1117"/>
      <c r="N19" s="1117"/>
      <c r="O19" s="1117"/>
      <c r="P19" s="1117"/>
      <c r="Q19" s="1118">
        <f>(Q17-Q16)/P17-1</f>
        <v>7.4124187428302513E-2</v>
      </c>
      <c r="R19" s="1118">
        <f>R17/(Q17-Q16)-1</f>
        <v>-4.7145165265492728E-2</v>
      </c>
      <c r="S19" s="685"/>
      <c r="T19" s="685"/>
      <c r="U19" s="1117"/>
      <c r="V19" s="1117"/>
      <c r="W19" s="1117"/>
      <c r="X19" s="1117"/>
      <c r="Y19" s="1117"/>
      <c r="Z19" s="1117"/>
      <c r="AA19" s="1117"/>
      <c r="AB19" s="1117"/>
      <c r="AC19" s="1117"/>
      <c r="AD19" s="1117"/>
      <c r="AE19" s="1117"/>
      <c r="AF19" s="1117"/>
      <c r="AG19" s="1117"/>
      <c r="AH19" s="1117"/>
      <c r="AI19" s="685"/>
      <c r="AJ19" s="685"/>
      <c r="AK19" s="685"/>
      <c r="AL19" s="685"/>
      <c r="AM19" s="685"/>
      <c r="AN19" s="685"/>
      <c r="AO19" s="685"/>
      <c r="AP19" s="685"/>
      <c r="AQ19" s="685"/>
      <c r="AR19" s="685"/>
      <c r="AS19" s="685"/>
      <c r="AT19" s="685"/>
      <c r="AU19" s="685"/>
      <c r="AV19" s="685"/>
      <c r="AW19" s="685"/>
      <c r="AX19" s="685"/>
      <c r="AY19" s="685"/>
      <c r="AZ19" s="685"/>
      <c r="BA19" s="685"/>
      <c r="BB19" s="685"/>
      <c r="BC19" s="685"/>
      <c r="BD19" s="685"/>
    </row>
    <row r="20" spans="1:56" hidden="1">
      <c r="A20" s="685"/>
      <c r="B20" s="2030" t="s">
        <v>193</v>
      </c>
      <c r="C20" s="1113"/>
      <c r="D20" s="1133"/>
      <c r="E20" s="1133"/>
      <c r="F20" s="1133"/>
      <c r="G20" s="1133"/>
      <c r="H20" s="1134">
        <f>SEGMENTOS!V10</f>
        <v>3356.0540129999999</v>
      </c>
      <c r="I20" s="1134">
        <f>SEGMENTOS!AA10</f>
        <v>3229.6</v>
      </c>
      <c r="J20" s="1136">
        <f>Interims!K12</f>
        <v>3191.8</v>
      </c>
      <c r="K20" s="1136">
        <f>Interims!P12</f>
        <v>3452.9000000000005</v>
      </c>
      <c r="L20" s="1136">
        <f>Interims!U12</f>
        <v>3218.3</v>
      </c>
      <c r="M20" s="1117"/>
      <c r="N20" s="1117"/>
      <c r="O20" s="1134"/>
      <c r="P20" s="1117"/>
      <c r="Q20" s="1117"/>
      <c r="R20" s="1117"/>
      <c r="S20" s="1117"/>
      <c r="T20" s="1117"/>
      <c r="U20" s="1117"/>
      <c r="V20" s="1117"/>
      <c r="W20" s="1117"/>
      <c r="X20" s="1117"/>
      <c r="Y20" s="1117"/>
      <c r="Z20" s="1117"/>
      <c r="AA20" s="1117"/>
      <c r="AB20" s="1117"/>
      <c r="AC20" s="1117"/>
      <c r="AD20" s="1117"/>
      <c r="AE20" s="1117"/>
      <c r="AF20" s="1117"/>
      <c r="AG20" s="1117"/>
      <c r="AH20" s="1117"/>
      <c r="AI20" s="685"/>
      <c r="AJ20" s="685"/>
      <c r="AK20" s="685"/>
      <c r="AL20" s="685"/>
      <c r="AM20" s="685"/>
      <c r="AN20" s="685"/>
      <c r="AO20" s="685"/>
      <c r="AP20" s="685"/>
      <c r="AQ20" s="685"/>
      <c r="AR20" s="685"/>
      <c r="AS20" s="685"/>
      <c r="AT20" s="685"/>
      <c r="AU20" s="685"/>
      <c r="AV20" s="685"/>
      <c r="AW20" s="685"/>
      <c r="AX20" s="685"/>
      <c r="AY20" s="685"/>
      <c r="AZ20" s="685"/>
      <c r="BA20" s="685"/>
      <c r="BB20" s="685"/>
      <c r="BC20" s="685"/>
      <c r="BD20" s="685"/>
    </row>
    <row r="21" spans="1:56" hidden="1">
      <c r="A21" s="685"/>
      <c r="B21" s="2030" t="s">
        <v>8100</v>
      </c>
      <c r="C21" s="1128"/>
      <c r="D21" s="1139"/>
      <c r="E21" s="1139"/>
      <c r="F21" s="1139"/>
      <c r="G21" s="1139"/>
      <c r="H21" s="1134">
        <f>SEGMENTOS!V12</f>
        <v>9241.7000000000007</v>
      </c>
      <c r="I21" s="1134">
        <f>SEGMENTOS!AA12</f>
        <v>11814.2</v>
      </c>
      <c r="J21" s="1136">
        <f>Interims!K14</f>
        <v>13635.400000000001</v>
      </c>
      <c r="K21" s="1136">
        <f>Interims!P14</f>
        <v>15570.4</v>
      </c>
      <c r="L21" s="1136">
        <f>Interims!U14</f>
        <v>17138.8</v>
      </c>
      <c r="M21" s="1136">
        <f>Interims!Z14</f>
        <v>20937.2</v>
      </c>
      <c r="N21" s="1136">
        <v>28488.3</v>
      </c>
      <c r="O21" s="1136">
        <v>31891.599999999999</v>
      </c>
      <c r="P21" s="1136">
        <v>33048</v>
      </c>
      <c r="Q21" s="1136">
        <v>36233</v>
      </c>
      <c r="R21" s="1136">
        <v>41702</v>
      </c>
      <c r="S21" s="1136">
        <v>45367.1</v>
      </c>
      <c r="T21" s="1136">
        <v>48020.9</v>
      </c>
      <c r="U21" s="1136">
        <v>48411.8</v>
      </c>
      <c r="V21" s="1136">
        <v>48802.5</v>
      </c>
      <c r="W21" s="1136">
        <v>47393</v>
      </c>
      <c r="X21" s="1136">
        <f>SUM(Interims!BY14:CB14)</f>
        <v>46569.1</v>
      </c>
      <c r="Y21" s="1134">
        <f>Y22+Y24</f>
        <v>47536.392599999992</v>
      </c>
      <c r="Z21" s="1134">
        <f t="shared" ref="Z21:AH21" si="6">Z22+Z24</f>
        <v>48224.984513999989</v>
      </c>
      <c r="AA21" s="1134">
        <f t="shared" si="6"/>
        <v>49140.08717477999</v>
      </c>
      <c r="AB21" s="1134">
        <f t="shared" si="6"/>
        <v>50072.997918480585</v>
      </c>
      <c r="AC21" s="1134">
        <f t="shared" si="6"/>
        <v>51024.06796705725</v>
      </c>
      <c r="AD21" s="1134">
        <f t="shared" si="6"/>
        <v>51763.982082117662</v>
      </c>
      <c r="AE21" s="1134">
        <f t="shared" si="6"/>
        <v>52281.621902938838</v>
      </c>
      <c r="AF21" s="1134">
        <f t="shared" si="6"/>
        <v>52686.713260823279</v>
      </c>
      <c r="AG21" s="1134">
        <f t="shared" si="6"/>
        <v>52976.364798224429</v>
      </c>
      <c r="AH21" s="1134">
        <f t="shared" si="6"/>
        <v>53267.726773023562</v>
      </c>
      <c r="AI21" s="685"/>
      <c r="AJ21" s="685"/>
      <c r="AK21" s="685"/>
      <c r="AL21" s="685"/>
      <c r="AM21" s="685"/>
      <c r="AN21" s="685"/>
      <c r="AO21" s="685"/>
      <c r="AP21" s="685"/>
      <c r="AQ21" s="685"/>
      <c r="AR21" s="685"/>
      <c r="AS21" s="685"/>
      <c r="AT21" s="685"/>
      <c r="AU21" s="685"/>
      <c r="AV21" s="685"/>
      <c r="AW21" s="685"/>
      <c r="AX21" s="685"/>
      <c r="AY21" s="685"/>
      <c r="AZ21" s="685"/>
      <c r="BA21" s="685"/>
      <c r="BB21" s="685"/>
      <c r="BC21" s="685"/>
      <c r="BD21" s="685"/>
    </row>
    <row r="22" spans="1:56">
      <c r="A22" s="685"/>
      <c r="B22" s="1132" t="s">
        <v>8099</v>
      </c>
      <c r="C22" s="1128"/>
      <c r="D22" s="1139"/>
      <c r="E22" s="1139"/>
      <c r="F22" s="1139"/>
      <c r="G22" s="1139"/>
      <c r="H22" s="1134"/>
      <c r="I22" s="1134"/>
      <c r="J22" s="1136"/>
      <c r="K22" s="1136"/>
      <c r="L22" s="1136"/>
      <c r="M22" s="1136"/>
      <c r="N22" s="1136"/>
      <c r="O22" s="1136"/>
      <c r="P22" s="1136"/>
      <c r="Q22" s="1136"/>
      <c r="R22" s="1136"/>
      <c r="S22" s="1136"/>
      <c r="T22" s="1136"/>
      <c r="U22" s="1136"/>
      <c r="V22" s="1136"/>
      <c r="W22" s="1136">
        <v>42960.4</v>
      </c>
      <c r="X22" s="1136">
        <v>42181.599999999999</v>
      </c>
      <c r="Y22" s="1134">
        <f>Cable!U25</f>
        <v>42645.597599999994</v>
      </c>
      <c r="Z22" s="1134">
        <f>Cable!V25</f>
        <v>43285.28156399999</v>
      </c>
      <c r="AA22" s="1134">
        <f>Cable!W25</f>
        <v>44150.987195279988</v>
      </c>
      <c r="AB22" s="1134">
        <f>Cable!X25</f>
        <v>45034.006939185587</v>
      </c>
      <c r="AC22" s="1134">
        <f>Cable!Y25</f>
        <v>45934.687077969298</v>
      </c>
      <c r="AD22" s="1134">
        <f>Cable!Z25</f>
        <v>46623.707384138834</v>
      </c>
      <c r="AE22" s="1134">
        <f>Cable!AA25</f>
        <v>47089.944457980222</v>
      </c>
      <c r="AF22" s="1134">
        <f>Cable!AB25</f>
        <v>47443.119041415077</v>
      </c>
      <c r="AG22" s="1134">
        <f>Cable!AC25</f>
        <v>47680.334636622145</v>
      </c>
      <c r="AH22" s="1134">
        <f>Cable!AD25</f>
        <v>47918.736309805252</v>
      </c>
      <c r="AI22" s="685"/>
      <c r="AJ22" s="685"/>
      <c r="AK22" s="685"/>
      <c r="AL22" s="685"/>
      <c r="AM22" s="685"/>
      <c r="AN22" s="685"/>
      <c r="AO22" s="685"/>
      <c r="AP22" s="685"/>
      <c r="AQ22" s="685"/>
      <c r="AR22" s="685"/>
      <c r="AS22" s="685"/>
      <c r="AT22" s="685"/>
      <c r="AU22" s="685"/>
      <c r="AV22" s="685"/>
      <c r="AW22" s="685"/>
      <c r="AX22" s="685"/>
      <c r="AY22" s="685"/>
      <c r="AZ22" s="685"/>
      <c r="BA22" s="685"/>
      <c r="BB22" s="685"/>
      <c r="BC22" s="685"/>
      <c r="BD22" s="685"/>
    </row>
    <row r="23" spans="1:56">
      <c r="A23" s="685"/>
      <c r="B23" s="1132" t="s">
        <v>8098</v>
      </c>
      <c r="C23" s="1113"/>
      <c r="D23" s="1133"/>
      <c r="E23" s="1133"/>
      <c r="F23" s="1133"/>
      <c r="G23" s="1133"/>
      <c r="H23" s="1134">
        <f>SEGMENTOS!V11</f>
        <v>10005.1</v>
      </c>
      <c r="I23" s="1134">
        <f>SEGMENTOS!AA11</f>
        <v>11248.2</v>
      </c>
      <c r="J23" s="1136">
        <f>Interims!K16</f>
        <v>12479.2</v>
      </c>
      <c r="K23" s="1136">
        <f>Interims!P16</f>
        <v>14465.4</v>
      </c>
      <c r="L23" s="1136">
        <f>Interims!U16</f>
        <v>16098.3</v>
      </c>
      <c r="M23" s="1136">
        <f>Interims!Z16</f>
        <v>17498.5</v>
      </c>
      <c r="N23" s="1136">
        <v>19253.5</v>
      </c>
      <c r="O23" s="1136">
        <v>21941.200000000001</v>
      </c>
      <c r="P23" s="1136">
        <v>22197</v>
      </c>
      <c r="Q23" s="1136">
        <v>22002</v>
      </c>
      <c r="R23" s="1136">
        <v>21347</v>
      </c>
      <c r="S23" s="1136">
        <v>22134.7</v>
      </c>
      <c r="T23" s="1136">
        <v>22026.6</v>
      </c>
      <c r="U23" s="1136">
        <v>20339</v>
      </c>
      <c r="V23" s="1136">
        <v>17585.2</v>
      </c>
      <c r="W23" s="1136">
        <v>15034.7</v>
      </c>
      <c r="X23" s="1136">
        <v>12397</v>
      </c>
      <c r="Y23" s="1134">
        <f>'SKY Mex'!W21</f>
        <v>9545.69</v>
      </c>
      <c r="Z23" s="1134">
        <f>'SKY Mex'!X21</f>
        <v>6681.9830000000002</v>
      </c>
      <c r="AA23" s="1134">
        <f>'SKY Mex'!Y21</f>
        <v>3340.9915000000001</v>
      </c>
      <c r="AB23" s="1134">
        <f>'SKY Mex'!Z21</f>
        <v>1837.5453250000003</v>
      </c>
      <c r="AC23" s="1134">
        <f>'SKY Mex'!AA21</f>
        <v>1102.5271950000001</v>
      </c>
      <c r="AD23" s="1134">
        <f>'SKY Mex'!AB21</f>
        <v>1025.3502913500001</v>
      </c>
      <c r="AE23" s="1134">
        <f>'SKY Mex'!AC21</f>
        <v>963.82927386900008</v>
      </c>
      <c r="AF23" s="1134">
        <f>'SKY Mex'!AD21</f>
        <v>915.63781017555004</v>
      </c>
      <c r="AG23" s="1134">
        <f>'SKY Mex'!AE21</f>
        <v>0</v>
      </c>
      <c r="AH23" s="1134">
        <f>'SKY Mex'!AF21</f>
        <v>0</v>
      </c>
      <c r="AI23" s="685"/>
      <c r="AJ23" s="685"/>
      <c r="AK23" s="685"/>
      <c r="AL23" s="685"/>
      <c r="AM23" s="685"/>
      <c r="AN23" s="685"/>
      <c r="AO23" s="685"/>
      <c r="AP23" s="685"/>
      <c r="AQ23" s="685"/>
      <c r="AR23" s="685"/>
      <c r="AS23" s="685"/>
      <c r="AT23" s="685"/>
      <c r="AU23" s="685"/>
      <c r="AV23" s="685"/>
      <c r="AW23" s="685"/>
      <c r="AX23" s="685"/>
      <c r="AY23" s="685"/>
      <c r="AZ23" s="685"/>
      <c r="BA23" s="685"/>
      <c r="BB23" s="685"/>
      <c r="BC23" s="685"/>
      <c r="BD23" s="685"/>
    </row>
    <row r="24" spans="1:56">
      <c r="B24" s="1132" t="s">
        <v>4644</v>
      </c>
      <c r="W24" s="1136">
        <v>4265.8</v>
      </c>
      <c r="X24" s="1136">
        <v>4299.6000000000004</v>
      </c>
      <c r="Y24" s="1134">
        <f>Cable!U32</f>
        <v>4890.7950000000001</v>
      </c>
      <c r="Z24" s="1134">
        <f>Cable!V32</f>
        <v>4939.7029499999999</v>
      </c>
      <c r="AA24" s="1134">
        <f>Cable!W32</f>
        <v>4989.0999794999998</v>
      </c>
      <c r="AB24" s="1134">
        <f>Cable!X32</f>
        <v>5038.9909792950002</v>
      </c>
      <c r="AC24" s="1134">
        <f>Cable!Y32</f>
        <v>5089.38088908795</v>
      </c>
      <c r="AD24" s="1134">
        <f>Cable!Z32</f>
        <v>5140.2746979788299</v>
      </c>
      <c r="AE24" s="1134">
        <f>Cable!AA32</f>
        <v>5191.6774449586183</v>
      </c>
      <c r="AF24" s="1134">
        <f>Cable!AB32</f>
        <v>5243.5942194082045</v>
      </c>
      <c r="AG24" s="1134">
        <f>Cable!AC32</f>
        <v>5296.0301616022862</v>
      </c>
      <c r="AH24" s="1134">
        <f>Cable!AD32</f>
        <v>5348.9904632183088</v>
      </c>
    </row>
    <row r="25" spans="1:56">
      <c r="A25" s="685"/>
      <c r="B25" s="1132" t="s">
        <v>195</v>
      </c>
      <c r="C25" s="1128"/>
      <c r="D25" s="1139"/>
      <c r="E25" s="1139"/>
      <c r="F25" s="1139"/>
      <c r="G25" s="1139"/>
      <c r="H25" s="1134">
        <f>SEGMENTOS!V13</f>
        <v>3771.4883649150001</v>
      </c>
      <c r="I25" s="1134">
        <f>SEGMENTOS!AA13</f>
        <v>3812.3</v>
      </c>
      <c r="J25" s="1136">
        <f>Interims!K18</f>
        <v>3825.2</v>
      </c>
      <c r="K25" s="1136">
        <f>Interims!P18</f>
        <v>4211.3999999999996</v>
      </c>
      <c r="L25" s="1136">
        <f>Interims!U18</f>
        <v>4855</v>
      </c>
      <c r="M25" s="1136">
        <f>Interims!Z18</f>
        <v>8204.2000000000007</v>
      </c>
      <c r="N25" s="1136">
        <v>8124.3</v>
      </c>
      <c r="O25" s="1136">
        <v>8828.2999999999993</v>
      </c>
      <c r="P25" s="1136">
        <v>8376</v>
      </c>
      <c r="Q25" s="1136">
        <v>8636</v>
      </c>
      <c r="R25" s="1136">
        <v>8200.2000000000007</v>
      </c>
      <c r="S25" s="1136">
        <v>4276</v>
      </c>
      <c r="T25" s="1136">
        <v>5029.1000000000004</v>
      </c>
      <c r="U25" s="1136">
        <v>7338.8</v>
      </c>
      <c r="V25" s="1136">
        <v>7870.6</v>
      </c>
      <c r="W25" s="1136">
        <v>0</v>
      </c>
      <c r="X25" s="1136">
        <v>0</v>
      </c>
      <c r="Y25" s="1136">
        <v>0</v>
      </c>
      <c r="Z25" s="1136">
        <v>0</v>
      </c>
      <c r="AA25" s="1136">
        <v>0</v>
      </c>
      <c r="AB25" s="1136">
        <v>0</v>
      </c>
      <c r="AC25" s="1136">
        <v>0</v>
      </c>
      <c r="AD25" s="1136">
        <v>0</v>
      </c>
      <c r="AE25" s="1136">
        <v>0</v>
      </c>
      <c r="AF25" s="1136">
        <v>0</v>
      </c>
      <c r="AG25" s="1136">
        <v>0</v>
      </c>
      <c r="AH25" s="1136">
        <v>0</v>
      </c>
      <c r="AI25" s="685"/>
      <c r="AJ25" s="1140"/>
      <c r="AK25" s="685"/>
      <c r="AL25" s="685"/>
      <c r="AM25" s="685"/>
      <c r="AN25" s="685"/>
      <c r="AO25" s="685"/>
      <c r="AP25" s="685"/>
      <c r="AQ25" s="685"/>
      <c r="AR25" s="685"/>
      <c r="AS25" s="685"/>
      <c r="AT25" s="685"/>
      <c r="AU25" s="685"/>
      <c r="AV25" s="685"/>
      <c r="AW25" s="685"/>
      <c r="AX25" s="685"/>
      <c r="AY25" s="685"/>
      <c r="AZ25" s="685"/>
      <c r="BA25" s="685"/>
      <c r="BB25" s="685"/>
      <c r="BC25" s="685"/>
      <c r="BD25" s="685"/>
    </row>
    <row r="26" spans="1:56">
      <c r="A26" s="685"/>
      <c r="B26" s="1270" t="s">
        <v>196</v>
      </c>
      <c r="C26" s="1142"/>
      <c r="D26" s="1143"/>
      <c r="E26" s="1143"/>
      <c r="F26" s="1143"/>
      <c r="G26" s="1143"/>
      <c r="H26" s="1143">
        <f t="shared" ref="H26:V26" si="7">SUM(H20:H25)+H17</f>
        <v>53781.342377915003</v>
      </c>
      <c r="I26" s="1143">
        <f t="shared" si="7"/>
        <v>59339.3</v>
      </c>
      <c r="J26" s="1143">
        <f t="shared" si="7"/>
        <v>63817.2</v>
      </c>
      <c r="K26" s="1143">
        <f t="shared" si="7"/>
        <v>70584.100000000006</v>
      </c>
      <c r="L26" s="1143">
        <f t="shared" si="7"/>
        <v>75131</v>
      </c>
      <c r="M26" s="1143">
        <f t="shared" si="7"/>
        <v>81508</v>
      </c>
      <c r="N26" s="1143">
        <f t="shared" si="7"/>
        <v>90198.700000000012</v>
      </c>
      <c r="O26" s="1143">
        <f t="shared" si="7"/>
        <v>99347.8</v>
      </c>
      <c r="P26" s="1143">
        <f t="shared" si="7"/>
        <v>97618</v>
      </c>
      <c r="Q26" s="1143">
        <f t="shared" si="7"/>
        <v>106122</v>
      </c>
      <c r="R26" s="1143">
        <f t="shared" si="7"/>
        <v>106044.6</v>
      </c>
      <c r="S26" s="1143">
        <f t="shared" si="7"/>
        <v>104390.8</v>
      </c>
      <c r="T26" s="1143">
        <f t="shared" si="7"/>
        <v>111018.5</v>
      </c>
      <c r="U26" s="1143">
        <f t="shared" si="7"/>
        <v>76089.600000000006</v>
      </c>
      <c r="V26" s="1143">
        <f t="shared" si="7"/>
        <v>74258.3</v>
      </c>
      <c r="W26" s="1504">
        <f>W22+W23+W24+W25</f>
        <v>62260.900000000009</v>
      </c>
      <c r="X26" s="1504">
        <f>X22+X23+X24+X25</f>
        <v>58878.2</v>
      </c>
      <c r="Y26" s="1504">
        <f t="shared" ref="Y26:AH26" si="8">Y22+Y23+Y24+Y25</f>
        <v>57082.082599999994</v>
      </c>
      <c r="Z26" s="1504">
        <f t="shared" si="8"/>
        <v>54906.967513999989</v>
      </c>
      <c r="AA26" s="1504">
        <f t="shared" si="8"/>
        <v>52481.078674779994</v>
      </c>
      <c r="AB26" s="1504">
        <f t="shared" si="8"/>
        <v>51910.543243480584</v>
      </c>
      <c r="AC26" s="1504">
        <f t="shared" si="8"/>
        <v>52126.595162057252</v>
      </c>
      <c r="AD26" s="1504">
        <f t="shared" si="8"/>
        <v>52789.33237346766</v>
      </c>
      <c r="AE26" s="1504">
        <f t="shared" si="8"/>
        <v>53245.451176807837</v>
      </c>
      <c r="AF26" s="1504">
        <f t="shared" si="8"/>
        <v>53602.351070998826</v>
      </c>
      <c r="AG26" s="1504">
        <f t="shared" si="8"/>
        <v>52976.364798224429</v>
      </c>
      <c r="AH26" s="1504">
        <f t="shared" si="8"/>
        <v>53267.726773023562</v>
      </c>
      <c r="AI26" s="685"/>
      <c r="AJ26" s="685"/>
      <c r="AK26" s="685"/>
      <c r="AL26" s="685"/>
      <c r="AM26" s="685"/>
      <c r="AN26" s="685"/>
      <c r="AO26" s="685"/>
      <c r="AP26" s="685"/>
      <c r="AQ26" s="685"/>
      <c r="AR26" s="685"/>
      <c r="AS26" s="685"/>
      <c r="AT26" s="685"/>
      <c r="AU26" s="685"/>
      <c r="AV26" s="685"/>
      <c r="AW26" s="685"/>
      <c r="AX26" s="685"/>
      <c r="AY26" s="685"/>
      <c r="AZ26" s="685"/>
      <c r="BA26" s="685"/>
      <c r="BB26" s="685"/>
      <c r="BC26" s="685"/>
      <c r="BD26" s="685"/>
    </row>
    <row r="27" spans="1:56">
      <c r="A27" s="685"/>
      <c r="B27" s="1132" t="s">
        <v>197</v>
      </c>
      <c r="C27" s="1128"/>
      <c r="D27" s="1139"/>
      <c r="E27" s="1139"/>
      <c r="F27" s="1139"/>
      <c r="G27" s="1139"/>
      <c r="H27" s="1139">
        <f>SEGMENTOS!V15</f>
        <v>-1166.0989999999999</v>
      </c>
      <c r="I27" s="1139">
        <f>SEGMENTOS!AA15</f>
        <v>-1218.5999999999999</v>
      </c>
      <c r="J27" s="1136">
        <f>Interims!K20</f>
        <v>-1235.6999999999998</v>
      </c>
      <c r="K27" s="1136">
        <f>Interims!P20</f>
        <v>-1293.7</v>
      </c>
      <c r="L27" s="1136">
        <f>Interims!U20</f>
        <v>-1337.3</v>
      </c>
      <c r="M27" s="1136">
        <f>Interims!Z20</f>
        <v>-1389.6000000000108</v>
      </c>
      <c r="N27" s="1136">
        <v>-2146.9</v>
      </c>
      <c r="O27" s="1136">
        <v>-3064.4</v>
      </c>
      <c r="P27" s="1136">
        <v>-3343</v>
      </c>
      <c r="Q27" s="1136">
        <v>-4812</v>
      </c>
      <c r="R27" s="1136">
        <v>-5394</v>
      </c>
      <c r="S27" s="1136">
        <v>-7252.5</v>
      </c>
      <c r="T27" s="1136">
        <v>-7496.7</v>
      </c>
      <c r="U27" s="1136">
        <v>-563</v>
      </c>
      <c r="V27" s="1136">
        <v>-490.4</v>
      </c>
      <c r="W27" s="1134">
        <f>W28-W26</f>
        <v>-3.6000000007334165E-2</v>
      </c>
      <c r="X27" s="1134">
        <f>X28-X26</f>
        <v>0</v>
      </c>
      <c r="Y27" s="1136">
        <f t="shared" ref="Y27" si="9">X27/X26*Y26</f>
        <v>0</v>
      </c>
      <c r="Z27" s="1136">
        <f t="shared" ref="Z27" si="10">Y27/Y26*Z26</f>
        <v>0</v>
      </c>
      <c r="AA27" s="1136">
        <f t="shared" ref="AA27" si="11">Z27/Z26*AA26</f>
        <v>0</v>
      </c>
      <c r="AB27" s="1136">
        <f t="shared" ref="AB27" si="12">AA27/AA26*AB26</f>
        <v>0</v>
      </c>
      <c r="AC27" s="1136">
        <f t="shared" ref="AC27" si="13">AB27/AB26*AC26</f>
        <v>0</v>
      </c>
      <c r="AD27" s="1136">
        <f t="shared" ref="AD27" si="14">AC27/AC26*AD26</f>
        <v>0</v>
      </c>
      <c r="AE27" s="1136">
        <f t="shared" ref="AE27" si="15">AD27/AD26*AE26</f>
        <v>0</v>
      </c>
      <c r="AF27" s="1136">
        <f t="shared" ref="AF27" si="16">AE27/AE26*AF26</f>
        <v>0</v>
      </c>
      <c r="AG27" s="1136">
        <f t="shared" ref="AG27" si="17">AF27/AF26*AG26</f>
        <v>0</v>
      </c>
      <c r="AH27" s="1136">
        <f t="shared" ref="AH27" si="18">AG27/AG26*AH26</f>
        <v>0</v>
      </c>
      <c r="AI27" s="685"/>
      <c r="AJ27" s="685"/>
      <c r="AK27" s="685"/>
      <c r="AL27" s="685"/>
      <c r="AM27" s="685"/>
      <c r="AN27" s="685"/>
      <c r="AO27" s="685"/>
      <c r="AP27" s="685"/>
      <c r="AQ27" s="685"/>
      <c r="AR27" s="685"/>
      <c r="AS27" s="685"/>
      <c r="AT27" s="685"/>
      <c r="AU27" s="685"/>
      <c r="AV27" s="685"/>
      <c r="AW27" s="685"/>
      <c r="AX27" s="685"/>
      <c r="AY27" s="685"/>
      <c r="AZ27" s="685"/>
      <c r="BA27" s="685"/>
      <c r="BB27" s="685"/>
      <c r="BC27" s="685"/>
      <c r="BD27" s="685"/>
    </row>
    <row r="28" spans="1:56">
      <c r="A28" s="685"/>
      <c r="B28" s="1270" t="s">
        <v>198</v>
      </c>
      <c r="C28" s="1142"/>
      <c r="D28" s="1143"/>
      <c r="E28" s="1143"/>
      <c r="F28" s="1143"/>
      <c r="G28" s="1143"/>
      <c r="H28" s="1143">
        <f>SEGMENTOS!V17</f>
        <v>52352.373298644896</v>
      </c>
      <c r="I28" s="1143">
        <f>SEGMENTOS!AA17</f>
        <v>57856.799999999996</v>
      </c>
      <c r="J28" s="1144">
        <f>Interims!K21</f>
        <v>62581.5</v>
      </c>
      <c r="K28" s="1144">
        <f>Interims!P21</f>
        <v>69290.399999999994</v>
      </c>
      <c r="L28" s="1144">
        <f>Interims!U21</f>
        <v>73793.600000000006</v>
      </c>
      <c r="M28" s="1144">
        <f>Interims!Z21</f>
        <v>80118.399999999994</v>
      </c>
      <c r="N28" s="1144">
        <v>88052</v>
      </c>
      <c r="O28" s="1144">
        <v>96287.4</v>
      </c>
      <c r="P28" s="1145">
        <f t="shared" ref="P28:AH28" si="19">P26+P27</f>
        <v>94275</v>
      </c>
      <c r="Q28" s="1145">
        <f t="shared" si="19"/>
        <v>101310</v>
      </c>
      <c r="R28" s="1145">
        <f t="shared" si="19"/>
        <v>100650.6</v>
      </c>
      <c r="S28" s="1145">
        <f t="shared" si="19"/>
        <v>97138.3</v>
      </c>
      <c r="T28" s="1145">
        <f t="shared" si="19"/>
        <v>103521.8</v>
      </c>
      <c r="U28" s="1145">
        <f t="shared" si="19"/>
        <v>75526.600000000006</v>
      </c>
      <c r="V28" s="1145">
        <f t="shared" si="19"/>
        <v>73767.900000000009</v>
      </c>
      <c r="W28" s="1520">
        <v>62260.864000000001</v>
      </c>
      <c r="X28" s="1520">
        <v>58878.2</v>
      </c>
      <c r="Y28" s="1521">
        <f t="shared" si="19"/>
        <v>57082.082599999994</v>
      </c>
      <c r="Z28" s="1521">
        <f t="shared" si="19"/>
        <v>54906.967513999989</v>
      </c>
      <c r="AA28" s="1521">
        <f t="shared" si="19"/>
        <v>52481.078674779994</v>
      </c>
      <c r="AB28" s="1521">
        <f t="shared" si="19"/>
        <v>51910.543243480584</v>
      </c>
      <c r="AC28" s="1521">
        <f t="shared" si="19"/>
        <v>52126.595162057252</v>
      </c>
      <c r="AD28" s="1521">
        <f t="shared" si="19"/>
        <v>52789.33237346766</v>
      </c>
      <c r="AE28" s="1521">
        <f t="shared" si="19"/>
        <v>53245.451176807837</v>
      </c>
      <c r="AF28" s="1521">
        <f t="shared" si="19"/>
        <v>53602.351070998826</v>
      </c>
      <c r="AG28" s="1521">
        <f t="shared" si="19"/>
        <v>52976.364798224429</v>
      </c>
      <c r="AH28" s="1521">
        <f t="shared" si="19"/>
        <v>53267.726773023562</v>
      </c>
      <c r="AI28" s="685"/>
      <c r="AJ28" s="685"/>
      <c r="AK28" s="685"/>
      <c r="AL28" s="685"/>
      <c r="AM28" s="685"/>
      <c r="AN28" s="685"/>
      <c r="AO28" s="685"/>
      <c r="AP28" s="685"/>
      <c r="AQ28" s="685"/>
      <c r="AR28" s="685"/>
      <c r="AS28" s="685"/>
      <c r="AT28" s="685"/>
      <c r="AU28" s="685"/>
      <c r="AV28" s="685"/>
      <c r="AW28" s="685"/>
      <c r="AX28" s="685"/>
      <c r="AY28" s="685"/>
      <c r="AZ28" s="685"/>
      <c r="BA28" s="685"/>
      <c r="BB28" s="685"/>
      <c r="BC28" s="685"/>
      <c r="BD28" s="685"/>
    </row>
    <row r="29" spans="1:56">
      <c r="A29" s="685"/>
      <c r="B29" s="1113" t="s">
        <v>192</v>
      </c>
      <c r="C29" s="1505"/>
      <c r="D29" s="1505"/>
      <c r="E29" s="1505"/>
      <c r="F29" s="1505"/>
      <c r="G29" s="1505"/>
      <c r="H29" s="1505"/>
      <c r="I29" s="2068">
        <f t="shared" ref="I29:AE29" si="20">I28/H28-1</f>
        <v>0.10514187522989671</v>
      </c>
      <c r="J29" s="2068">
        <f t="shared" si="20"/>
        <v>8.1661965404239423E-2</v>
      </c>
      <c r="K29" s="2068">
        <f t="shared" si="20"/>
        <v>0.10720260779942947</v>
      </c>
      <c r="L29" s="2068">
        <f t="shared" si="20"/>
        <v>6.4990243958759297E-2</v>
      </c>
      <c r="M29" s="2068">
        <f t="shared" si="20"/>
        <v>8.5709329806378687E-2</v>
      </c>
      <c r="N29" s="2068">
        <f t="shared" si="20"/>
        <v>9.9023445300954638E-2</v>
      </c>
      <c r="O29" s="2068">
        <f t="shared" si="20"/>
        <v>9.3528823876799949E-2</v>
      </c>
      <c r="P29" s="2068">
        <f t="shared" si="20"/>
        <v>-2.0899930832071423E-2</v>
      </c>
      <c r="Q29" s="2068">
        <f t="shared" si="20"/>
        <v>7.4622116149562379E-2</v>
      </c>
      <c r="R29" s="2068">
        <f t="shared" si="20"/>
        <v>-6.5087355641101352E-3</v>
      </c>
      <c r="S29" s="2068">
        <f t="shared" si="20"/>
        <v>-3.4895966839740722E-2</v>
      </c>
      <c r="T29" s="2068">
        <f t="shared" si="20"/>
        <v>6.5715582833959507E-2</v>
      </c>
      <c r="U29" s="2068">
        <f t="shared" si="20"/>
        <v>-0.27042806442700951</v>
      </c>
      <c r="V29" s="2068">
        <f t="shared" si="20"/>
        <v>-2.3285835718806269E-2</v>
      </c>
      <c r="W29" s="2068">
        <f t="shared" si="20"/>
        <v>-0.15598974621752826</v>
      </c>
      <c r="X29" s="2068">
        <f t="shared" si="20"/>
        <v>-5.433050206306167E-2</v>
      </c>
      <c r="Y29" s="2068">
        <f t="shared" si="20"/>
        <v>-3.0505643854601527E-2</v>
      </c>
      <c r="Z29" s="2068">
        <f t="shared" si="20"/>
        <v>-3.8105040792607792E-2</v>
      </c>
      <c r="AA29" s="2068">
        <f t="shared" si="20"/>
        <v>-4.4181803313057655E-2</v>
      </c>
      <c r="AB29" s="2068">
        <f t="shared" si="20"/>
        <v>-1.0871259617870277E-2</v>
      </c>
      <c r="AC29" s="2068">
        <f t="shared" si="20"/>
        <v>4.1620045770529579E-3</v>
      </c>
      <c r="AD29" s="2068">
        <f t="shared" si="20"/>
        <v>1.2713993871074969E-2</v>
      </c>
      <c r="AE29" s="2068">
        <f t="shared" si="20"/>
        <v>8.6403593838482173E-3</v>
      </c>
      <c r="AF29" s="2068">
        <f>AF28/AE28-1</f>
        <v>6.7029180202804461E-3</v>
      </c>
      <c r="AG29" s="2068">
        <f>AG28/AF28-1</f>
        <v>-1.1678336122705635E-2</v>
      </c>
      <c r="AH29" s="2068">
        <f>AH28/AG28-1</f>
        <v>5.4998483929364905E-3</v>
      </c>
      <c r="AI29" s="685"/>
      <c r="AJ29" s="685"/>
      <c r="AK29" s="685"/>
      <c r="AL29" s="685"/>
      <c r="AM29" s="685"/>
      <c r="AN29" s="685"/>
      <c r="AO29" s="685"/>
      <c r="AP29" s="685"/>
      <c r="AQ29" s="685"/>
      <c r="AR29" s="685"/>
      <c r="AS29" s="685"/>
      <c r="AT29" s="685"/>
      <c r="AU29" s="685"/>
      <c r="AV29" s="685"/>
      <c r="AW29" s="685"/>
      <c r="AX29" s="685"/>
      <c r="AY29" s="685"/>
      <c r="AZ29" s="685"/>
      <c r="BA29" s="685"/>
      <c r="BB29" s="685"/>
      <c r="BC29" s="685"/>
      <c r="BD29" s="685"/>
    </row>
    <row r="30" spans="1:56">
      <c r="A30" s="685"/>
      <c r="B30" s="1115" t="s">
        <v>199</v>
      </c>
      <c r="C30" s="1128"/>
      <c r="D30" s="1128"/>
      <c r="E30" s="1128"/>
      <c r="F30" s="1128"/>
      <c r="G30" s="1128"/>
      <c r="H30" s="1128"/>
      <c r="I30" s="1134">
        <f>I28-I14-I15+Content!D47*Content!C45+Content!D61*Content!C45-I25</f>
        <v>54491.416864608065</v>
      </c>
      <c r="J30" s="1134">
        <f>J28-J14-J15+Content!E47*Content!D45+Content!E61*Content!D45-20*Valuation!G19-J25</f>
        <v>58621.736736334409</v>
      </c>
      <c r="K30" s="1134">
        <f>K28-K14-K15+Content!F47*Content!E45+Content!F61*Content!E45-20*Valuation!H19-K25</f>
        <v>64326.23829787234</v>
      </c>
      <c r="L30" s="1134">
        <f>L28-L14-L15+Content!G47*Content!F45+Content!G61*Content!F45-L25</f>
        <v>69219.324137931035</v>
      </c>
      <c r="M30" s="1134">
        <f>M28-M14-M15+Content!H47*Content!G45+Content!H61*Content!G45-M25</f>
        <v>71532.621487603305</v>
      </c>
      <c r="N30" s="1134">
        <f>N28-N14-N15+Content!I47*Content!H45+Content!I61*Content!H45-N25</f>
        <v>78104.35734089477</v>
      </c>
      <c r="O30" s="1134">
        <f>O28-O14-O15+Content!J47*Content!I45+Content!J61*Content!I45-O25</f>
        <v>85330.652785145881</v>
      </c>
      <c r="P30" s="1134">
        <f>P28-P14-P15+Content!K47*Content!J45+Content!K61*Content!J45-P25</f>
        <v>85863.873015873018</v>
      </c>
      <c r="Q30" s="1134">
        <f>Q28-Q14-Q15+Content!L47*Content!K45+Content!L61*Content!K45-Q25</f>
        <v>92394.690909090903</v>
      </c>
      <c r="R30" s="1134">
        <f>R28-R14-R15+Content!M47*Content!L45+Content!M61*Content!L45-R25</f>
        <v>92450.400000000009</v>
      </c>
      <c r="S30" s="1134">
        <f>S28-S14-S15+Content!N47*Content!M45+Content!N61*Content!M45-S25</f>
        <v>91173.895158286789</v>
      </c>
      <c r="T30" s="1134">
        <f>T28-T14-T15+Content!O47*Content!N45+Content!O61*Content!N45-T25</f>
        <v>99560.596101110306</v>
      </c>
      <c r="U30" s="1134">
        <f>U28-U14-U15+Content!P47*Content!O45+Content!P61*Content!O45-U25</f>
        <v>86114.342010404085</v>
      </c>
      <c r="V30" s="1134">
        <f>V28-V14-V15+Content!Q47*Content!P45+Content!Q61*Content!P45-V25</f>
        <v>84560.492785283233</v>
      </c>
      <c r="W30" s="1134">
        <f>W28-W14-W15+Content!R47*Content!Q45+Content!R61*Content!Q45-W25</f>
        <v>78813.956783818139</v>
      </c>
      <c r="X30" s="1134">
        <f>X28-X14-X15+Content!S47*Content!R45+Content!S61*Content!R45-X25</f>
        <v>75995.325361708019</v>
      </c>
      <c r="Y30" s="1134">
        <f>Y28-Y14-Y15+Content!T47*Content!S45+Content!T61*Content!S45-Y25</f>
        <v>65252.33321170049</v>
      </c>
      <c r="Z30" s="1134">
        <f>Z28-Z14-Z15+Content!U47*Content!T45+Content!U61*Content!T45-Z25</f>
        <v>62190.679762043612</v>
      </c>
      <c r="AA30" s="1134">
        <f>AA28-AA14-AA15+Content!V47*Content!U45+Content!V61*Content!U45-AA25</f>
        <v>59801.673747079971</v>
      </c>
      <c r="AB30" s="1134">
        <f>AB28-AB14-AB15+Content!W47*Content!V45+Content!W61*Content!V45-AB25</f>
        <v>59269.49082493021</v>
      </c>
      <c r="AC30" s="1134">
        <f>AC28-AC14-AC15+Content!X47*Content!W45+Content!X61*Content!W45-AC25</f>
        <v>59525.383523282799</v>
      </c>
      <c r="AD30" s="1134">
        <f>AD28-AD14-AD15+Content!Y47*Content!X45+Content!Y61*Content!X45-AD25</f>
        <v>60229.468816443376</v>
      </c>
      <c r="AE30" s="1134">
        <f>AE28-AE14-AE15+Content!Z47*Content!Y45+Content!Z61*Content!Y45-AE25</f>
        <v>60728.462488309335</v>
      </c>
      <c r="AF30" s="1134">
        <f>AF28-AF14-AF15+Content!AA47*Content!Z45+Content!AA61*Content!Z45-AF25</f>
        <v>61129.783984059039</v>
      </c>
      <c r="AG30" s="1134">
        <f>AG28-AG14-AG15+Content!AB47*Content!AA45+Content!AB61*Content!AA45-AG25</f>
        <v>60549.78646175949</v>
      </c>
      <c r="AH30" s="1134">
        <f>AH28-AH14-AH15+Content!AC47*Content!AB45+Content!AC61*Content!AB45-AH25</f>
        <v>60888.72522979934</v>
      </c>
      <c r="AI30" s="685"/>
      <c r="AJ30" s="685"/>
      <c r="AK30" s="685"/>
      <c r="AL30" s="685"/>
      <c r="AM30" s="685"/>
      <c r="AN30" s="685"/>
      <c r="AO30" s="685"/>
      <c r="AP30" s="685"/>
      <c r="AQ30" s="685"/>
      <c r="AR30" s="685"/>
      <c r="AS30" s="685"/>
      <c r="AT30" s="685"/>
      <c r="AU30" s="685"/>
      <c r="AV30" s="685"/>
      <c r="AW30" s="685"/>
      <c r="AX30" s="685"/>
      <c r="AY30" s="685"/>
      <c r="AZ30" s="685"/>
      <c r="BA30" s="685"/>
      <c r="BB30" s="685"/>
      <c r="BC30" s="685"/>
      <c r="BD30" s="685"/>
    </row>
    <row r="31" spans="1:56">
      <c r="A31" s="685"/>
      <c r="B31" s="1115" t="s">
        <v>200</v>
      </c>
      <c r="C31" s="1128"/>
      <c r="D31" s="1128"/>
      <c r="E31" s="1128"/>
      <c r="F31" s="1128"/>
      <c r="G31" s="1128"/>
      <c r="H31" s="1128"/>
      <c r="I31" s="1118">
        <f t="shared" ref="I31:AC31" si="21">I30/(H28-H25)-1</f>
        <v>0.12166373541652931</v>
      </c>
      <c r="J31" s="1118">
        <f t="shared" si="21"/>
        <v>8.469384926004353E-2</v>
      </c>
      <c r="K31" s="1118">
        <f t="shared" si="21"/>
        <v>9.4797294892162043E-2</v>
      </c>
      <c r="L31" s="1118">
        <f t="shared" si="21"/>
        <v>6.3619971694879096E-2</v>
      </c>
      <c r="M31" s="1118">
        <f t="shared" si="21"/>
        <v>3.7627997777780475E-2</v>
      </c>
      <c r="N31" s="1118">
        <f t="shared" si="21"/>
        <v>8.6076982583339179E-2</v>
      </c>
      <c r="O31" s="1118">
        <f t="shared" si="21"/>
        <v>6.7598001508186512E-2</v>
      </c>
      <c r="P31" s="1118">
        <f t="shared" si="21"/>
        <v>-1.8239691285720672E-2</v>
      </c>
      <c r="Q31" s="1118">
        <f t="shared" si="21"/>
        <v>7.5620099292086129E-2</v>
      </c>
      <c r="R31" s="1118">
        <f t="shared" si="21"/>
        <v>-2.4127587025486452E-3</v>
      </c>
      <c r="S31" s="1118">
        <f t="shared" si="21"/>
        <v>-1.3807456124724449E-2</v>
      </c>
      <c r="T31" s="1118">
        <f t="shared" si="21"/>
        <v>7.213149040149025E-2</v>
      </c>
      <c r="U31" s="1118">
        <f t="shared" si="21"/>
        <v>-0.12567792323284788</v>
      </c>
      <c r="V31" s="1118">
        <f t="shared" si="21"/>
        <v>0.2401117617122599</v>
      </c>
      <c r="W31" s="1118">
        <f t="shared" si="21"/>
        <v>0.19601192740549522</v>
      </c>
      <c r="X31" s="1118">
        <f t="shared" si="21"/>
        <v>0.22059541868400689</v>
      </c>
      <c r="Y31" s="1118">
        <f t="shared" si="21"/>
        <v>0.10825964808198107</v>
      </c>
      <c r="Z31" s="1118">
        <f t="shared" si="21"/>
        <v>8.9495633819842713E-2</v>
      </c>
      <c r="AA31" s="1118">
        <f t="shared" si="21"/>
        <v>8.9145448286357176E-2</v>
      </c>
      <c r="AB31" s="1118">
        <f t="shared" si="21"/>
        <v>0.1293497070099745</v>
      </c>
      <c r="AC31" s="1118">
        <f t="shared" si="21"/>
        <v>0.14669159295994372</v>
      </c>
      <c r="AD31" s="1118">
        <f>AD30/(AC28-AC25)-1</f>
        <v>0.15544605645534615</v>
      </c>
      <c r="AE31" s="1118">
        <f>AE30/(AD28-AD25)-1</f>
        <v>0.15039269787833009</v>
      </c>
      <c r="AF31" s="1118">
        <f>AF30/(AE28-AE25)-1</f>
        <v>0.14807523709528425</v>
      </c>
      <c r="AG31" s="1118">
        <f>AG30/(AF28-AF25)-1</f>
        <v>0.12961064677104295</v>
      </c>
      <c r="AH31" s="1118">
        <f>AH30/(AG28-AG25)-1</f>
        <v>0.14935642454349951</v>
      </c>
      <c r="AI31" s="685"/>
      <c r="AJ31" s="685"/>
      <c r="AK31" s="685"/>
      <c r="AL31" s="685"/>
      <c r="AM31" s="685"/>
      <c r="AN31" s="685"/>
      <c r="AO31" s="685"/>
      <c r="AP31" s="685"/>
      <c r="AQ31" s="685"/>
      <c r="AR31" s="685"/>
      <c r="AS31" s="685"/>
      <c r="AT31" s="685"/>
      <c r="AU31" s="685"/>
      <c r="AV31" s="685"/>
      <c r="AW31" s="685"/>
      <c r="AX31" s="685"/>
      <c r="AY31" s="685"/>
      <c r="AZ31" s="685"/>
      <c r="BA31" s="685"/>
      <c r="BB31" s="685"/>
      <c r="BC31" s="685"/>
      <c r="BD31" s="685"/>
    </row>
    <row r="32" spans="1:56">
      <c r="A32" s="685"/>
      <c r="B32" s="1115"/>
      <c r="C32" s="1128"/>
      <c r="D32" s="1128"/>
      <c r="E32" s="1128"/>
      <c r="F32" s="1128"/>
      <c r="G32" s="1128"/>
      <c r="H32" s="1128"/>
      <c r="I32" s="1118"/>
      <c r="J32" s="1118"/>
      <c r="K32" s="1118"/>
      <c r="L32" s="1118"/>
      <c r="M32" s="1118"/>
      <c r="N32" s="1118"/>
      <c r="O32" s="1118"/>
      <c r="P32" s="1118"/>
      <c r="Q32" s="1118"/>
      <c r="R32" s="1118"/>
      <c r="S32" s="1118"/>
      <c r="T32" s="1118"/>
      <c r="U32" s="1118"/>
      <c r="V32" s="1118"/>
      <c r="W32" s="1118"/>
      <c r="X32" s="1118"/>
      <c r="Y32" s="1118"/>
      <c r="Z32" s="1118"/>
      <c r="AA32" s="1118"/>
      <c r="AB32" s="1118"/>
      <c r="AC32" s="1118"/>
      <c r="AD32" s="1118"/>
      <c r="AE32" s="1118"/>
      <c r="AF32" s="1118"/>
      <c r="AG32" s="1118"/>
      <c r="AH32" s="1118"/>
      <c r="AI32" s="685"/>
      <c r="AJ32" s="685"/>
      <c r="AK32" s="685"/>
      <c r="AL32" s="685"/>
      <c r="AM32" s="685"/>
      <c r="AN32" s="685"/>
      <c r="AO32" s="685"/>
      <c r="AP32" s="685"/>
      <c r="AQ32" s="685"/>
      <c r="AR32" s="685"/>
      <c r="AS32" s="685"/>
      <c r="AT32" s="685"/>
      <c r="AU32" s="685"/>
      <c r="AV32" s="685"/>
      <c r="AW32" s="685"/>
      <c r="AX32" s="685"/>
      <c r="AY32" s="685"/>
      <c r="AZ32" s="685"/>
      <c r="BA32" s="685"/>
      <c r="BB32" s="685"/>
      <c r="BC32" s="685"/>
      <c r="BD32" s="685"/>
    </row>
    <row r="33" spans="1:56" hidden="1" outlineLevel="1">
      <c r="A33" s="685"/>
      <c r="B33" s="1115"/>
      <c r="C33" s="1128"/>
      <c r="D33" s="1128"/>
      <c r="E33" s="1128"/>
      <c r="F33" s="1128"/>
      <c r="G33" s="1128"/>
      <c r="H33" s="1128"/>
      <c r="I33" s="1118"/>
      <c r="J33" s="1118"/>
      <c r="K33" s="1118"/>
      <c r="L33" s="1118"/>
      <c r="M33" s="1118"/>
      <c r="N33" s="1118"/>
      <c r="O33" s="1118"/>
      <c r="P33" s="1118"/>
      <c r="Q33" s="1118"/>
      <c r="R33" s="1118"/>
      <c r="S33" s="1118"/>
      <c r="T33" s="1118"/>
      <c r="U33" s="1118"/>
      <c r="V33" s="1118"/>
      <c r="W33" s="1118"/>
      <c r="X33" s="1118"/>
      <c r="Y33" s="1819" cm="1">
        <f t="array" ref="Y33">_xll.VAData("TV_US", "FY-"&amp;Y2, "Total revenue", "Consensus", "CD", "","","")</f>
        <v>57131.829514227727</v>
      </c>
      <c r="Z33" s="1819" cm="1">
        <f t="array" ref="Z33">_xll.VAData("TV_US", "FY-"&amp;Z2, "Total revenue", "Consensus", "CD", "","","")</f>
        <v>56874.527461653299</v>
      </c>
      <c r="AA33" s="1819" cm="1">
        <f t="array" ref="AA33">_xll.VAData("TV_US", "FY-"&amp;AA2, "Total revenue", "Consensus", "CD", "","","")</f>
        <v>57328.949001458903</v>
      </c>
      <c r="AB33" s="1819" cm="1">
        <f t="array" ref="AB33">_xll.VAData("TV_US", "FY-"&amp;AB2, "Total revenue", "Consensus", "CD", "","","")</f>
        <v>58150.342132216676</v>
      </c>
      <c r="AC33" s="1819" cm="1">
        <f t="array" ref="AC33">_xll.VAData("TV_US", "FY-"&amp;AC2, "Total revenue", "Consensus", "CD", "","","")</f>
        <v>58913.599766565399</v>
      </c>
      <c r="AD33" s="1134"/>
      <c r="AE33" s="1134"/>
      <c r="AF33" s="1134"/>
      <c r="AG33" s="1134"/>
      <c r="AH33" s="1134"/>
      <c r="AI33" s="685"/>
      <c r="AJ33" s="685"/>
      <c r="AK33" s="685"/>
      <c r="AL33" s="685"/>
      <c r="AM33" s="685"/>
      <c r="AN33" s="685"/>
      <c r="AO33" s="685"/>
      <c r="AP33" s="685"/>
      <c r="AQ33" s="685"/>
      <c r="AR33" s="685"/>
      <c r="AS33" s="685"/>
      <c r="AT33" s="685"/>
      <c r="AU33" s="685"/>
      <c r="AV33" s="685"/>
      <c r="AW33" s="685"/>
      <c r="AX33" s="685"/>
      <c r="AY33" s="685"/>
      <c r="AZ33" s="685"/>
      <c r="BA33" s="685"/>
      <c r="BB33" s="685"/>
      <c r="BC33" s="685"/>
      <c r="BD33" s="685"/>
    </row>
    <row r="34" spans="1:56" hidden="1" outlineLevel="1">
      <c r="A34" s="685"/>
      <c r="B34" s="1115"/>
      <c r="C34" s="1128"/>
      <c r="D34" s="1128"/>
      <c r="E34" s="1128"/>
      <c r="F34" s="1128"/>
      <c r="G34" s="1128"/>
      <c r="H34" s="1128"/>
      <c r="I34" s="1118"/>
      <c r="J34" s="1118"/>
      <c r="K34" s="1118"/>
      <c r="L34" s="1118"/>
      <c r="M34" s="1118"/>
      <c r="N34" s="1118"/>
      <c r="O34" s="1118"/>
      <c r="P34" s="1118"/>
      <c r="Q34" s="1118"/>
      <c r="R34" s="1118"/>
      <c r="S34" s="1118"/>
      <c r="T34" s="1118"/>
      <c r="U34" s="1118"/>
      <c r="V34" s="1118"/>
      <c r="W34" s="1118"/>
      <c r="X34" s="1118"/>
      <c r="Y34" s="1820">
        <f>Y28/Y33-1</f>
        <v>-8.7073903725320978E-4</v>
      </c>
      <c r="Z34" s="1820">
        <f>Z28/Z33-1</f>
        <v>-3.4594748043927148E-2</v>
      </c>
      <c r="AA34" s="1820">
        <f>AA28/AA33-1</f>
        <v>-8.4562344349894514E-2</v>
      </c>
      <c r="AB34" s="1820">
        <f>AB28/AB33-1</f>
        <v>-0.10730459460665998</v>
      </c>
      <c r="AC34" s="1820">
        <f>AC28/AC33-1</f>
        <v>-0.11520268038959491</v>
      </c>
      <c r="AD34" s="1118"/>
      <c r="AE34" s="1118"/>
      <c r="AF34" s="1118"/>
      <c r="AG34" s="1118"/>
      <c r="AH34" s="1118"/>
      <c r="AI34" s="685"/>
      <c r="AJ34" s="685"/>
      <c r="AK34" s="685"/>
      <c r="AL34" s="685"/>
      <c r="AM34" s="685"/>
      <c r="AN34" s="685"/>
      <c r="AO34" s="685"/>
      <c r="AP34" s="685"/>
      <c r="AQ34" s="685"/>
      <c r="AR34" s="685"/>
      <c r="AS34" s="685"/>
      <c r="AT34" s="685"/>
      <c r="AU34" s="685"/>
      <c r="AV34" s="685"/>
      <c r="AW34" s="685"/>
      <c r="AX34" s="685"/>
      <c r="AY34" s="685"/>
      <c r="AZ34" s="685"/>
      <c r="BA34" s="685"/>
      <c r="BB34" s="685"/>
      <c r="BC34" s="685"/>
      <c r="BD34" s="685"/>
    </row>
    <row r="35" spans="1:56" collapsed="1">
      <c r="A35" s="685"/>
      <c r="B35" s="1115" t="s">
        <v>201</v>
      </c>
      <c r="C35" s="1128"/>
      <c r="D35" s="1128"/>
      <c r="E35" s="1128"/>
      <c r="F35" s="1128"/>
      <c r="G35" s="1128"/>
      <c r="H35" s="1128"/>
      <c r="I35" s="1134">
        <f t="shared" ref="I35:AH35" si="22">I28/I$7</f>
        <v>4580.9026128266023</v>
      </c>
      <c r="J35" s="1134">
        <f t="shared" si="22"/>
        <v>5030.6672025723474</v>
      </c>
      <c r="K35" s="1134">
        <f t="shared" si="22"/>
        <v>5265.2279635258355</v>
      </c>
      <c r="L35" s="1134">
        <f t="shared" si="22"/>
        <v>5783.1974921630099</v>
      </c>
      <c r="M35" s="1134">
        <f t="shared" si="22"/>
        <v>6019.4139744552958</v>
      </c>
      <c r="N35" s="1134">
        <f t="shared" si="22"/>
        <v>5548.3301827347195</v>
      </c>
      <c r="O35" s="1134">
        <f t="shared" si="22"/>
        <v>5108.0848806366039</v>
      </c>
      <c r="P35" s="1134">
        <f t="shared" si="22"/>
        <v>4988.0952380952385</v>
      </c>
      <c r="Q35" s="1134">
        <f t="shared" si="22"/>
        <v>5262.8571428571431</v>
      </c>
      <c r="R35" s="1134">
        <f t="shared" si="22"/>
        <v>5228.6025974025979</v>
      </c>
      <c r="S35" s="1134">
        <f t="shared" si="22"/>
        <v>4522.2672253258843</v>
      </c>
      <c r="T35" s="1134">
        <f t="shared" si="22"/>
        <v>5103.2359288851512</v>
      </c>
      <c r="U35" s="1134">
        <f t="shared" si="22"/>
        <v>3755.6737941322731</v>
      </c>
      <c r="V35" s="1134">
        <f t="shared" si="22"/>
        <v>4167.6779661016953</v>
      </c>
      <c r="W35" s="1134">
        <f t="shared" si="22"/>
        <v>3402.2330054644808</v>
      </c>
      <c r="X35" s="1134">
        <f t="shared" si="22"/>
        <v>3068.170922355393</v>
      </c>
      <c r="Y35" s="1134">
        <f t="shared" si="22"/>
        <v>3287.191626835589</v>
      </c>
      <c r="Z35" s="1134">
        <f t="shared" si="22"/>
        <v>3099.9343684332352</v>
      </c>
      <c r="AA35" s="1134">
        <f t="shared" si="22"/>
        <v>2904.8761547879708</v>
      </c>
      <c r="AB35" s="1134">
        <f t="shared" si="22"/>
        <v>2816.9573450505</v>
      </c>
      <c r="AC35" s="1134">
        <f t="shared" si="22"/>
        <v>2773.2171906019244</v>
      </c>
      <c r="AD35" s="1134">
        <f t="shared" si="22"/>
        <v>2753.4077029082327</v>
      </c>
      <c r="AE35" s="1134">
        <f t="shared" si="22"/>
        <v>2722.7432695996235</v>
      </c>
      <c r="AF35" s="1134">
        <f t="shared" si="22"/>
        <v>2687.2486220843334</v>
      </c>
      <c r="AG35" s="1134">
        <f t="shared" si="22"/>
        <v>2603.7902249317208</v>
      </c>
      <c r="AH35" s="1134">
        <f t="shared" si="22"/>
        <v>2566.7751729567208</v>
      </c>
      <c r="AI35" s="685"/>
      <c r="AJ35" s="685"/>
      <c r="AK35" s="685"/>
      <c r="AL35" s="685"/>
      <c r="AM35" s="685"/>
      <c r="AN35" s="685"/>
      <c r="AO35" s="685"/>
      <c r="AP35" s="685"/>
      <c r="AQ35" s="685"/>
      <c r="AR35" s="685"/>
      <c r="AS35" s="685"/>
      <c r="AT35" s="685"/>
      <c r="AU35" s="685"/>
      <c r="AV35" s="685"/>
      <c r="AW35" s="685"/>
      <c r="AX35" s="685"/>
      <c r="AY35" s="685"/>
      <c r="AZ35" s="685"/>
      <c r="BA35" s="685"/>
      <c r="BB35" s="685"/>
      <c r="BC35" s="685"/>
      <c r="BD35" s="685"/>
    </row>
    <row r="36" spans="1:56">
      <c r="B36" s="1134"/>
      <c r="C36" s="1134"/>
      <c r="D36" s="1134"/>
      <c r="E36" s="1134"/>
      <c r="F36" s="1134"/>
      <c r="G36" s="1134"/>
      <c r="H36" s="1134"/>
      <c r="I36" s="1134"/>
      <c r="J36" s="1134"/>
      <c r="K36" s="1134"/>
      <c r="L36" s="1134"/>
      <c r="M36" s="1134"/>
      <c r="N36" s="1134"/>
      <c r="O36" s="1134"/>
      <c r="P36" s="1134"/>
      <c r="Q36" s="1134"/>
      <c r="R36" s="1134"/>
      <c r="S36" s="1134"/>
      <c r="T36" s="1134"/>
      <c r="U36" s="1134"/>
      <c r="V36" s="1134"/>
      <c r="W36" s="1134"/>
      <c r="X36" s="1134"/>
      <c r="Y36" s="1134"/>
      <c r="Z36" s="1134"/>
      <c r="AA36" s="1134"/>
      <c r="AB36" s="1134"/>
      <c r="AC36" s="1134"/>
      <c r="AD36" s="1134"/>
      <c r="AE36" s="1134"/>
      <c r="AF36" s="1134"/>
      <c r="AG36" s="1134"/>
      <c r="AH36" s="1134"/>
      <c r="AI36" s="1134"/>
      <c r="AJ36" s="1134"/>
      <c r="AK36" s="1134"/>
      <c r="AL36" s="1134"/>
      <c r="AM36" s="1134"/>
    </row>
    <row r="37" spans="1:56">
      <c r="A37" s="685"/>
      <c r="B37" s="1134"/>
      <c r="C37" s="1134"/>
      <c r="D37" s="1134"/>
      <c r="E37" s="1134"/>
      <c r="F37" s="1134"/>
      <c r="G37" s="1134"/>
      <c r="H37" s="1134"/>
      <c r="I37" s="1134"/>
      <c r="J37" s="1134"/>
      <c r="K37" s="1134"/>
      <c r="L37" s="1134"/>
      <c r="M37" s="1134"/>
      <c r="N37" s="1134"/>
      <c r="O37" s="1134"/>
      <c r="P37" s="1134"/>
      <c r="Q37" s="1134"/>
      <c r="R37" s="1134"/>
      <c r="S37" s="1134"/>
      <c r="T37" s="1134"/>
      <c r="U37" s="1134"/>
      <c r="V37" s="1134"/>
      <c r="W37" s="1134"/>
      <c r="X37" s="1134"/>
      <c r="Y37" s="1134"/>
      <c r="Z37" s="1134"/>
      <c r="AA37" s="1134"/>
      <c r="AB37" s="1134"/>
      <c r="AC37" s="1134"/>
      <c r="AD37" s="1134"/>
      <c r="AE37" s="1134"/>
      <c r="AF37" s="1134"/>
      <c r="AG37" s="1134"/>
      <c r="AH37" s="1134"/>
      <c r="AI37" s="1134"/>
      <c r="AJ37" s="1134"/>
      <c r="AK37" s="1134"/>
      <c r="AL37" s="1134"/>
      <c r="AM37" s="1134"/>
      <c r="AN37" s="685"/>
      <c r="AO37" s="685"/>
      <c r="AP37" s="685"/>
      <c r="AQ37" s="685"/>
      <c r="AR37" s="685"/>
      <c r="AS37" s="685"/>
      <c r="AT37" s="685"/>
      <c r="AU37" s="685"/>
      <c r="AV37" s="685"/>
      <c r="AW37" s="685"/>
      <c r="AX37" s="685"/>
      <c r="AY37" s="685"/>
      <c r="AZ37" s="685"/>
      <c r="BA37" s="685"/>
      <c r="BB37" s="685"/>
      <c r="BC37" s="685"/>
      <c r="BD37" s="685"/>
    </row>
    <row r="38" spans="1:56">
      <c r="A38" s="685"/>
      <c r="B38" s="1134"/>
      <c r="C38" s="1134"/>
      <c r="D38" s="1134"/>
      <c r="E38" s="1134"/>
      <c r="F38" s="1134"/>
      <c r="G38" s="1134"/>
      <c r="H38" s="1134"/>
      <c r="I38" s="1134"/>
      <c r="J38" s="1134"/>
      <c r="K38" s="1134"/>
      <c r="L38" s="1134"/>
      <c r="M38" s="1134"/>
      <c r="N38" s="1134"/>
      <c r="O38" s="1134"/>
      <c r="P38" s="1134"/>
      <c r="Q38" s="1134"/>
      <c r="R38" s="1134"/>
      <c r="S38" s="1134"/>
      <c r="T38" s="1134"/>
      <c r="U38" s="1134"/>
      <c r="V38" s="1134"/>
      <c r="W38" s="1134"/>
      <c r="X38" s="1134"/>
      <c r="Y38" s="1134"/>
      <c r="Z38" s="1134"/>
      <c r="AA38" s="1134"/>
      <c r="AB38" s="1134"/>
      <c r="AC38" s="1134"/>
      <c r="AD38" s="1134"/>
      <c r="AE38" s="1134"/>
      <c r="AF38" s="1134"/>
      <c r="AG38" s="1134"/>
      <c r="AH38" s="1134"/>
      <c r="AI38" s="1134"/>
      <c r="AJ38" s="1134"/>
      <c r="AK38" s="1134"/>
      <c r="AL38" s="1134"/>
      <c r="AM38" s="1134"/>
      <c r="AN38" s="685"/>
      <c r="AO38" s="685"/>
      <c r="AP38" s="685"/>
      <c r="AQ38" s="685"/>
      <c r="AR38" s="685"/>
      <c r="AS38" s="685"/>
      <c r="AT38" s="685"/>
      <c r="AU38" s="685"/>
      <c r="AV38" s="685"/>
      <c r="AW38" s="685"/>
      <c r="AX38" s="685"/>
      <c r="AY38" s="685"/>
      <c r="AZ38" s="685"/>
      <c r="BA38" s="685"/>
      <c r="BB38" s="685"/>
      <c r="BC38" s="685"/>
      <c r="BD38" s="685"/>
    </row>
    <row r="39" spans="1:56">
      <c r="A39" s="685"/>
      <c r="B39" s="1113" t="s">
        <v>202</v>
      </c>
      <c r="C39" s="1134"/>
      <c r="D39" s="1134"/>
      <c r="E39" s="1134"/>
      <c r="F39" s="1134"/>
      <c r="G39" s="1134"/>
      <c r="H39" s="1134"/>
      <c r="I39" s="1134"/>
      <c r="J39" s="1134"/>
      <c r="K39" s="1134"/>
      <c r="L39" s="1134"/>
      <c r="M39" s="1134"/>
      <c r="N39" s="1134"/>
      <c r="O39" s="1134"/>
      <c r="P39" s="1134"/>
      <c r="Q39" s="1134"/>
      <c r="R39" s="1134"/>
      <c r="S39" s="1134"/>
      <c r="T39" s="1134"/>
      <c r="U39" s="1134"/>
      <c r="V39" s="1134"/>
      <c r="W39" s="1134"/>
      <c r="X39" s="1134"/>
      <c r="Y39" s="1134"/>
      <c r="Z39" s="1134"/>
      <c r="AA39" s="1134"/>
      <c r="AB39" s="1134"/>
      <c r="AC39" s="1134"/>
      <c r="AD39" s="1134"/>
      <c r="AE39" s="1134"/>
      <c r="AF39" s="1134"/>
      <c r="AG39" s="1134"/>
      <c r="AH39" s="1134"/>
      <c r="AI39" s="1134"/>
      <c r="AJ39" s="1134"/>
      <c r="AK39" s="1134"/>
      <c r="AL39" s="1134"/>
      <c r="AM39" s="1134"/>
      <c r="AN39" s="685"/>
      <c r="AO39" s="685"/>
      <c r="AP39" s="685"/>
      <c r="AQ39" s="685"/>
      <c r="AR39" s="685"/>
      <c r="AS39" s="685"/>
      <c r="AT39" s="685"/>
      <c r="AU39" s="685"/>
      <c r="AV39" s="685"/>
      <c r="AW39" s="685"/>
      <c r="AX39" s="685"/>
      <c r="AY39" s="685"/>
      <c r="AZ39" s="685"/>
      <c r="BA39" s="685"/>
      <c r="BB39" s="685"/>
      <c r="BC39" s="685"/>
      <c r="BD39" s="685"/>
    </row>
    <row r="40" spans="1:56">
      <c r="A40" s="685"/>
      <c r="B40" s="1132" t="s">
        <v>8098</v>
      </c>
      <c r="C40" s="1134"/>
      <c r="D40" s="1134"/>
      <c r="E40" s="1134"/>
      <c r="F40" s="1134"/>
      <c r="G40" s="1134"/>
      <c r="H40" s="1134">
        <f t="shared" ref="H40:AH40" si="23">H23-H55</f>
        <v>5526.1</v>
      </c>
      <c r="I40" s="1134">
        <f t="shared" si="23"/>
        <v>6173.2000000000007</v>
      </c>
      <c r="J40" s="1134">
        <f t="shared" si="23"/>
        <v>6689.4000000000005</v>
      </c>
      <c r="K40" s="1134">
        <f t="shared" si="23"/>
        <v>7907.4</v>
      </c>
      <c r="L40" s="1134">
        <f t="shared" si="23"/>
        <v>8757.7999999999993</v>
      </c>
      <c r="M40" s="1134">
        <f t="shared" si="23"/>
        <v>9287.2000000000007</v>
      </c>
      <c r="N40" s="1134">
        <f t="shared" si="23"/>
        <v>10281.200000000001</v>
      </c>
      <c r="O40" s="1134">
        <f t="shared" si="23"/>
        <v>12042.7</v>
      </c>
      <c r="P40" s="1134">
        <f t="shared" si="23"/>
        <v>12090</v>
      </c>
      <c r="Q40" s="1134">
        <f t="shared" si="23"/>
        <v>12235</v>
      </c>
      <c r="R40" s="1134">
        <f t="shared" si="23"/>
        <v>12226</v>
      </c>
      <c r="S40" s="1134">
        <f t="shared" si="23"/>
        <v>12998.900000000001</v>
      </c>
      <c r="T40" s="1134">
        <f t="shared" si="23"/>
        <v>13522.399999999998</v>
      </c>
      <c r="U40" s="1134">
        <f t="shared" si="23"/>
        <v>13922.67</v>
      </c>
      <c r="V40" s="1134">
        <f t="shared" si="23"/>
        <v>11853.800000000001</v>
      </c>
      <c r="W40" s="1134">
        <f t="shared" si="23"/>
        <v>10362.384000000002</v>
      </c>
      <c r="X40" s="1134">
        <f t="shared" si="23"/>
        <v>8615.9150000000009</v>
      </c>
      <c r="Y40" s="1134">
        <f t="shared" si="23"/>
        <v>6681.9830000000002</v>
      </c>
      <c r="Z40" s="1134">
        <f t="shared" si="23"/>
        <v>4710.7980150000003</v>
      </c>
      <c r="AA40" s="1134">
        <f t="shared" si="23"/>
        <v>2388.8089225000003</v>
      </c>
      <c r="AB40" s="1134">
        <f t="shared" si="23"/>
        <v>1332.2203606250002</v>
      </c>
      <c r="AC40" s="1134">
        <f t="shared" si="23"/>
        <v>810.35748832500008</v>
      </c>
      <c r="AD40" s="1134">
        <f t="shared" si="23"/>
        <v>763.88596705575014</v>
      </c>
      <c r="AE40" s="1134">
        <f t="shared" si="23"/>
        <v>727.69110177109508</v>
      </c>
      <c r="AF40" s="1134">
        <f t="shared" si="23"/>
        <v>700.46292478429586</v>
      </c>
      <c r="AG40" s="1134">
        <f t="shared" si="23"/>
        <v>0</v>
      </c>
      <c r="AH40" s="1134">
        <f t="shared" si="23"/>
        <v>0</v>
      </c>
      <c r="AI40" s="1134"/>
      <c r="AJ40" s="1134"/>
      <c r="AK40" s="1134"/>
      <c r="AL40" s="1134"/>
      <c r="AM40" s="1134"/>
      <c r="AN40" s="685"/>
      <c r="AO40" s="685"/>
      <c r="AP40" s="685"/>
      <c r="AQ40" s="685"/>
      <c r="AR40" s="685"/>
      <c r="AS40" s="685"/>
      <c r="AT40" s="685"/>
      <c r="AU40" s="685"/>
      <c r="AV40" s="685"/>
      <c r="AW40" s="685"/>
      <c r="AX40" s="685"/>
      <c r="AY40" s="685"/>
      <c r="AZ40" s="685"/>
      <c r="BA40" s="685"/>
      <c r="BB40" s="685"/>
      <c r="BC40" s="685"/>
      <c r="BD40" s="685"/>
    </row>
    <row r="41" spans="1:56">
      <c r="A41" s="685"/>
      <c r="B41" s="1132" t="s">
        <v>8187</v>
      </c>
      <c r="C41" s="1134"/>
      <c r="D41" s="1134"/>
      <c r="E41" s="1134"/>
      <c r="F41" s="1134"/>
      <c r="G41" s="1134"/>
      <c r="H41" s="1134">
        <f t="shared" ref="H41:AH41" si="24">H21-H56</f>
        <v>6269.7000000000007</v>
      </c>
      <c r="I41" s="1134">
        <f t="shared" si="24"/>
        <v>7907.2000000000007</v>
      </c>
      <c r="J41" s="1134">
        <f t="shared" si="24"/>
        <v>8856.4000000000015</v>
      </c>
      <c r="K41" s="1134">
        <f t="shared" si="24"/>
        <v>9757.6</v>
      </c>
      <c r="L41" s="1134">
        <f t="shared" si="24"/>
        <v>11007</v>
      </c>
      <c r="M41" s="1134">
        <f t="shared" si="24"/>
        <v>13054.300000000001</v>
      </c>
      <c r="N41" s="1134">
        <f t="shared" si="24"/>
        <v>17082.699999999997</v>
      </c>
      <c r="O41" s="1134">
        <f t="shared" si="24"/>
        <v>18655.5</v>
      </c>
      <c r="P41" s="1134">
        <f t="shared" si="24"/>
        <v>19013</v>
      </c>
      <c r="Q41" s="1134">
        <f t="shared" si="24"/>
        <v>20930</v>
      </c>
      <c r="R41" s="1134">
        <f t="shared" si="24"/>
        <v>23904</v>
      </c>
      <c r="S41" s="1134">
        <f t="shared" si="24"/>
        <v>26468.799999999999</v>
      </c>
      <c r="T41" s="1134">
        <f t="shared" si="24"/>
        <v>27735.9</v>
      </c>
      <c r="U41" s="1134">
        <f t="shared" si="24"/>
        <v>28509.000000000004</v>
      </c>
      <c r="V41" s="1134">
        <f t="shared" si="24"/>
        <v>30075</v>
      </c>
      <c r="W41" s="1134">
        <f t="shared" si="24"/>
        <v>28907.4</v>
      </c>
      <c r="X41" s="1134">
        <f t="shared" si="24"/>
        <v>27328.284999999996</v>
      </c>
      <c r="Y41" s="1134">
        <f t="shared" si="24"/>
        <v>27281.856146999991</v>
      </c>
      <c r="Z41" s="1134">
        <f t="shared" si="24"/>
        <v>27574.498883231994</v>
      </c>
      <c r="AA41" s="1134">
        <f t="shared" si="24"/>
        <v>28050.216708872395</v>
      </c>
      <c r="AB41" s="1134">
        <f t="shared" si="24"/>
        <v>28516.342004376336</v>
      </c>
      <c r="AC41" s="1134">
        <f t="shared" si="24"/>
        <v>28901.801754047628</v>
      </c>
      <c r="AD41" s="1134">
        <f t="shared" si="24"/>
        <v>29062.086823953479</v>
      </c>
      <c r="AE41" s="1134">
        <f t="shared" si="24"/>
        <v>29089.761557241294</v>
      </c>
      <c r="AF41" s="1134">
        <f t="shared" si="24"/>
        <v>29048.841919620056</v>
      </c>
      <c r="AG41" s="1134">
        <f t="shared" si="24"/>
        <v>29137.000639023434</v>
      </c>
      <c r="AH41" s="1134">
        <f t="shared" si="24"/>
        <v>29164.080408230398</v>
      </c>
      <c r="AI41" s="1134"/>
      <c r="AJ41" s="1134"/>
      <c r="AK41" s="1134"/>
      <c r="AL41" s="1134"/>
      <c r="AM41" s="1134"/>
      <c r="AN41" s="685"/>
      <c r="AO41" s="685"/>
      <c r="AP41" s="685"/>
      <c r="AQ41" s="685"/>
      <c r="AR41" s="685"/>
      <c r="AS41" s="685"/>
      <c r="AT41" s="685"/>
      <c r="AU41" s="685"/>
      <c r="AV41" s="685"/>
      <c r="AW41" s="685"/>
      <c r="AX41" s="685"/>
      <c r="AY41" s="685"/>
      <c r="AZ41" s="685"/>
      <c r="BA41" s="685"/>
      <c r="BB41" s="685"/>
      <c r="BC41" s="685"/>
      <c r="BD41" s="685"/>
    </row>
    <row r="42" spans="1:56">
      <c r="A42" s="685"/>
      <c r="B42" s="1145" t="s">
        <v>204</v>
      </c>
      <c r="C42" s="1145"/>
      <c r="D42" s="1145"/>
      <c r="E42" s="1145"/>
      <c r="F42" s="1145"/>
      <c r="G42" s="1145"/>
      <c r="H42" s="1145"/>
      <c r="I42" s="1145"/>
      <c r="J42" s="1145"/>
      <c r="K42" s="1145"/>
      <c r="L42" s="1145">
        <f t="shared" ref="L42:AC42" si="25">L40+L41</f>
        <v>19764.8</v>
      </c>
      <c r="M42" s="1145">
        <f t="shared" si="25"/>
        <v>22341.5</v>
      </c>
      <c r="N42" s="1145">
        <f t="shared" si="25"/>
        <v>27363.899999999998</v>
      </c>
      <c r="O42" s="1145">
        <f t="shared" si="25"/>
        <v>30698.2</v>
      </c>
      <c r="P42" s="1145">
        <f t="shared" si="25"/>
        <v>31103</v>
      </c>
      <c r="Q42" s="1145">
        <f t="shared" si="25"/>
        <v>33165</v>
      </c>
      <c r="R42" s="1145">
        <f t="shared" si="25"/>
        <v>36130</v>
      </c>
      <c r="S42" s="1145">
        <f t="shared" si="25"/>
        <v>39467.699999999997</v>
      </c>
      <c r="T42" s="1145">
        <f t="shared" si="25"/>
        <v>41258.300000000003</v>
      </c>
      <c r="U42" s="1145">
        <f t="shared" si="25"/>
        <v>42431.670000000006</v>
      </c>
      <c r="V42" s="1145">
        <f t="shared" si="25"/>
        <v>41928.800000000003</v>
      </c>
      <c r="W42" s="1145">
        <f t="shared" si="25"/>
        <v>39269.784</v>
      </c>
      <c r="X42" s="1145">
        <f t="shared" si="25"/>
        <v>35944.199999999997</v>
      </c>
      <c r="Y42" s="1145">
        <f t="shared" si="25"/>
        <v>33963.839146999991</v>
      </c>
      <c r="Z42" s="1145">
        <f t="shared" si="25"/>
        <v>32285.296898231994</v>
      </c>
      <c r="AA42" s="1145">
        <f t="shared" si="25"/>
        <v>30439.025631372395</v>
      </c>
      <c r="AB42" s="1145">
        <f t="shared" si="25"/>
        <v>29848.562365001337</v>
      </c>
      <c r="AC42" s="1145">
        <f t="shared" si="25"/>
        <v>29712.159242372629</v>
      </c>
      <c r="AD42" s="1145">
        <f>AD40+AD41</f>
        <v>29825.97279100923</v>
      </c>
      <c r="AE42" s="1145">
        <f>AE40+AE41</f>
        <v>29817.45265901239</v>
      </c>
      <c r="AF42" s="1145">
        <f>AF40+AF41</f>
        <v>29749.304844404352</v>
      </c>
      <c r="AG42" s="1145">
        <f>AG40+AG41</f>
        <v>29137.000639023434</v>
      </c>
      <c r="AH42" s="1145">
        <f>AH40+AH41</f>
        <v>29164.080408230398</v>
      </c>
      <c r="AI42" s="1134"/>
      <c r="AJ42" s="1134"/>
      <c r="AK42" s="1134"/>
      <c r="AL42" s="1134"/>
      <c r="AM42" s="1134"/>
      <c r="AN42" s="685"/>
      <c r="AO42" s="685"/>
      <c r="AP42" s="685"/>
      <c r="AQ42" s="685"/>
      <c r="AR42" s="685"/>
      <c r="AS42" s="685"/>
      <c r="AT42" s="685"/>
      <c r="AU42" s="685"/>
      <c r="AV42" s="685"/>
      <c r="AW42" s="685"/>
      <c r="AX42" s="685"/>
      <c r="AY42" s="685"/>
      <c r="AZ42" s="685"/>
      <c r="BA42" s="685"/>
      <c r="BB42" s="685"/>
      <c r="BC42" s="685"/>
      <c r="BD42" s="685"/>
    </row>
    <row r="43" spans="1:56">
      <c r="A43" s="685"/>
      <c r="B43" s="1134" t="s">
        <v>205</v>
      </c>
      <c r="C43" s="1134"/>
      <c r="D43" s="1134"/>
      <c r="E43" s="1134"/>
      <c r="F43" s="1134"/>
      <c r="G43" s="1134"/>
      <c r="H43" s="1134"/>
      <c r="I43" s="1134"/>
      <c r="J43" s="1134"/>
      <c r="K43" s="1134"/>
      <c r="L43" s="1134"/>
      <c r="M43" s="1134">
        <f t="shared" ref="M43:AE43" si="26">M42-L42</f>
        <v>2576.7000000000007</v>
      </c>
      <c r="N43" s="1134">
        <f t="shared" si="26"/>
        <v>5022.3999999999978</v>
      </c>
      <c r="O43" s="1134">
        <f t="shared" si="26"/>
        <v>3334.3000000000029</v>
      </c>
      <c r="P43" s="1134">
        <f t="shared" si="26"/>
        <v>404.79999999999927</v>
      </c>
      <c r="Q43" s="1134">
        <f t="shared" si="26"/>
        <v>2062</v>
      </c>
      <c r="R43" s="1134">
        <f t="shared" si="26"/>
        <v>2965</v>
      </c>
      <c r="S43" s="1134">
        <f t="shared" si="26"/>
        <v>3337.6999999999971</v>
      </c>
      <c r="T43" s="1134">
        <f t="shared" si="26"/>
        <v>1790.6000000000058</v>
      </c>
      <c r="U43" s="1134">
        <f t="shared" si="26"/>
        <v>1173.3700000000026</v>
      </c>
      <c r="V43" s="1134">
        <f t="shared" si="26"/>
        <v>-502.87000000000262</v>
      </c>
      <c r="W43" s="1134">
        <f t="shared" si="26"/>
        <v>-2659.0160000000033</v>
      </c>
      <c r="X43" s="1134">
        <f t="shared" si="26"/>
        <v>-3325.5840000000026</v>
      </c>
      <c r="Y43" s="1134">
        <f t="shared" si="26"/>
        <v>-1980.3608530000056</v>
      </c>
      <c r="Z43" s="1134">
        <f t="shared" si="26"/>
        <v>-1678.5422487679971</v>
      </c>
      <c r="AA43" s="1134">
        <f t="shared" si="26"/>
        <v>-1846.2712668595996</v>
      </c>
      <c r="AB43" s="1134">
        <f t="shared" si="26"/>
        <v>-590.46326637105813</v>
      </c>
      <c r="AC43" s="1134">
        <f t="shared" si="26"/>
        <v>-136.40312262870793</v>
      </c>
      <c r="AD43" s="1134">
        <f t="shared" si="26"/>
        <v>113.8135486366009</v>
      </c>
      <c r="AE43" s="1134">
        <f t="shared" si="26"/>
        <v>-8.5201319968400639</v>
      </c>
      <c r="AF43" s="1134">
        <f>AF42-AE42</f>
        <v>-68.147814608037152</v>
      </c>
      <c r="AG43" s="1134">
        <f>AG42-AF42</f>
        <v>-612.30420538091857</v>
      </c>
      <c r="AH43" s="1134">
        <f>AH42-AG42</f>
        <v>27.079769206964556</v>
      </c>
      <c r="AI43" s="1134"/>
      <c r="AJ43" s="1134"/>
      <c r="AK43" s="1134"/>
      <c r="AL43" s="1134"/>
      <c r="AM43" s="1134"/>
      <c r="AN43" s="685"/>
      <c r="AO43" s="685"/>
      <c r="AP43" s="685"/>
      <c r="AQ43" s="685"/>
      <c r="AR43" s="685"/>
      <c r="AS43" s="685"/>
      <c r="AT43" s="685"/>
      <c r="AU43" s="685"/>
      <c r="AV43" s="685"/>
      <c r="AW43" s="685"/>
      <c r="AX43" s="685"/>
      <c r="AY43" s="685"/>
      <c r="AZ43" s="685"/>
      <c r="BA43" s="685"/>
      <c r="BB43" s="685"/>
      <c r="BC43" s="685"/>
      <c r="BD43" s="685"/>
    </row>
    <row r="44" spans="1:56">
      <c r="A44" s="685"/>
      <c r="B44" s="1133"/>
      <c r="C44" s="1134"/>
      <c r="D44" s="1134"/>
      <c r="E44" s="1134"/>
      <c r="F44" s="1134"/>
      <c r="G44" s="1134"/>
      <c r="H44" s="1134"/>
      <c r="I44" s="1134"/>
      <c r="J44" s="1134"/>
      <c r="K44" s="1134"/>
      <c r="L44" s="1134"/>
      <c r="M44" s="1134"/>
      <c r="N44" s="1134"/>
      <c r="O44" s="1134"/>
      <c r="P44" s="1134"/>
      <c r="Q44" s="1134"/>
      <c r="R44" s="1134"/>
      <c r="S44" s="1134"/>
      <c r="T44" s="1134"/>
      <c r="U44" s="1134"/>
      <c r="V44" s="1134"/>
      <c r="W44" s="1134"/>
      <c r="X44" s="1133"/>
      <c r="Y44" s="1133"/>
      <c r="Z44" s="1133"/>
      <c r="AA44" s="1133"/>
      <c r="AB44" s="1133"/>
      <c r="AC44" s="1133"/>
      <c r="AD44" s="1133"/>
      <c r="AE44" s="1133"/>
      <c r="AF44" s="1133"/>
      <c r="AG44" s="1133"/>
      <c r="AH44" s="1133"/>
      <c r="AI44" s="1134"/>
      <c r="AJ44" s="1134"/>
      <c r="AK44" s="1134"/>
      <c r="AL44" s="1134"/>
      <c r="AM44" s="1134"/>
      <c r="AN44" s="685"/>
      <c r="AO44" s="685"/>
      <c r="AP44" s="685"/>
      <c r="AQ44" s="685"/>
      <c r="AR44" s="685"/>
      <c r="AS44" s="685"/>
      <c r="AT44" s="685"/>
      <c r="AU44" s="685"/>
      <c r="AV44" s="685"/>
      <c r="AW44" s="685"/>
      <c r="AX44" s="685"/>
      <c r="AY44" s="685"/>
      <c r="AZ44" s="685"/>
      <c r="BA44" s="685"/>
      <c r="BB44" s="685"/>
      <c r="BC44" s="685"/>
      <c r="BD44" s="685"/>
    </row>
    <row r="45" spans="1:56">
      <c r="A45" s="685"/>
      <c r="B45" s="1133" t="s">
        <v>206</v>
      </c>
      <c r="C45" s="1134"/>
      <c r="D45" s="1134"/>
      <c r="E45" s="1134"/>
      <c r="F45" s="1134"/>
      <c r="G45" s="1134"/>
      <c r="H45" s="1134"/>
      <c r="I45" s="1134"/>
      <c r="J45" s="1134"/>
      <c r="K45" s="1134"/>
      <c r="L45" s="1134"/>
      <c r="M45" s="1117"/>
      <c r="N45" s="1117"/>
      <c r="O45" s="1117"/>
      <c r="P45" s="1117"/>
      <c r="Q45" s="1117"/>
      <c r="R45" s="1117"/>
      <c r="S45" s="1117"/>
      <c r="T45" s="1117"/>
      <c r="U45" s="1117"/>
      <c r="V45" s="1117"/>
      <c r="W45" s="1117"/>
      <c r="X45" s="1117"/>
      <c r="Y45" s="1117"/>
      <c r="Z45" s="1117"/>
      <c r="AA45" s="1117"/>
      <c r="AB45" s="1117"/>
      <c r="AC45" s="1117"/>
      <c r="AD45" s="1117"/>
      <c r="AE45" s="1117"/>
      <c r="AF45" s="1117"/>
      <c r="AG45" s="1117"/>
      <c r="AH45" s="1117"/>
      <c r="AI45" s="1134"/>
      <c r="AJ45" s="1134"/>
      <c r="AK45" s="1134"/>
      <c r="AL45" s="1134"/>
      <c r="AM45" s="1134"/>
      <c r="AN45" s="685"/>
      <c r="AO45" s="685"/>
      <c r="AP45" s="685"/>
      <c r="AQ45" s="685"/>
      <c r="AR45" s="685"/>
      <c r="AS45" s="685"/>
      <c r="AT45" s="685"/>
      <c r="AU45" s="685"/>
      <c r="AV45" s="685"/>
      <c r="AW45" s="685"/>
      <c r="AX45" s="685"/>
      <c r="AY45" s="685"/>
      <c r="AZ45" s="685"/>
      <c r="BA45" s="685"/>
      <c r="BB45" s="685"/>
      <c r="BC45" s="685"/>
      <c r="BD45" s="685"/>
    </row>
    <row r="46" spans="1:56">
      <c r="A46" s="685"/>
      <c r="B46" s="1134" t="str">
        <f>B40</f>
        <v>Satellite (Sky)</v>
      </c>
      <c r="C46" s="1134"/>
      <c r="D46" s="1134"/>
      <c r="E46" s="1134"/>
      <c r="F46" s="1134"/>
      <c r="G46" s="1134"/>
      <c r="H46" s="1134"/>
      <c r="I46" s="1134"/>
      <c r="J46" s="1134"/>
      <c r="K46" s="1134"/>
      <c r="L46" s="1134"/>
      <c r="M46" s="1117">
        <f t="shared" ref="M46:AE46" si="27">M40/L40-1</f>
        <v>6.0448971202813562E-2</v>
      </c>
      <c r="N46" s="1117">
        <f t="shared" si="27"/>
        <v>0.1070290292014815</v>
      </c>
      <c r="O46" s="1117">
        <f t="shared" si="27"/>
        <v>0.17133214021709531</v>
      </c>
      <c r="P46" s="1117">
        <f t="shared" si="27"/>
        <v>3.927690634160097E-3</v>
      </c>
      <c r="Q46" s="1117">
        <f t="shared" si="27"/>
        <v>1.1993382961124954E-2</v>
      </c>
      <c r="R46" s="1117">
        <f t="shared" si="27"/>
        <v>-7.355946056395446E-4</v>
      </c>
      <c r="S46" s="1117">
        <f t="shared" si="27"/>
        <v>6.3217732700801665E-2</v>
      </c>
      <c r="T46" s="1117">
        <f t="shared" si="27"/>
        <v>4.0272638454022847E-2</v>
      </c>
      <c r="U46" s="1117">
        <f t="shared" si="27"/>
        <v>2.9600514701532354E-2</v>
      </c>
      <c r="V46" s="1117">
        <f t="shared" si="27"/>
        <v>-0.1485972159075809</v>
      </c>
      <c r="W46" s="1117">
        <f t="shared" si="27"/>
        <v>-0.12581754374124743</v>
      </c>
      <c r="X46" s="1117">
        <f t="shared" si="27"/>
        <v>-0.16853930524095617</v>
      </c>
      <c r="Y46" s="1117">
        <f t="shared" si="27"/>
        <v>-0.22446043165467633</v>
      </c>
      <c r="Z46" s="1117">
        <f t="shared" si="27"/>
        <v>-0.29499999999999993</v>
      </c>
      <c r="AA46" s="1117">
        <f t="shared" si="27"/>
        <v>-0.49290780141843971</v>
      </c>
      <c r="AB46" s="1117">
        <f t="shared" si="27"/>
        <v>-0.44230769230769229</v>
      </c>
      <c r="AC46" s="1117">
        <f t="shared" si="27"/>
        <v>-0.39172413793103456</v>
      </c>
      <c r="AD46" s="1117">
        <f t="shared" si="27"/>
        <v>-5.7346938775510115E-2</v>
      </c>
      <c r="AE46" s="1117">
        <f t="shared" si="27"/>
        <v>-4.7382550335570595E-2</v>
      </c>
      <c r="AF46" s="1117">
        <f t="shared" ref="AF46:AH48" si="28">AF40/AE40-1</f>
        <v>-3.7417218543046249E-2</v>
      </c>
      <c r="AG46" s="1117"/>
      <c r="AH46" s="1117"/>
      <c r="AI46" s="1134"/>
      <c r="AJ46" s="1134"/>
      <c r="AK46" s="1134"/>
      <c r="AL46" s="1134"/>
      <c r="AM46" s="1134"/>
      <c r="AN46" s="685"/>
      <c r="AO46" s="685"/>
      <c r="AP46" s="685"/>
      <c r="AQ46" s="685"/>
      <c r="AR46" s="685"/>
      <c r="AS46" s="685"/>
      <c r="AT46" s="685"/>
      <c r="AU46" s="685"/>
      <c r="AV46" s="685"/>
      <c r="AW46" s="685"/>
      <c r="AX46" s="685"/>
      <c r="AY46" s="685"/>
      <c r="AZ46" s="685"/>
      <c r="BA46" s="685"/>
      <c r="BB46" s="685"/>
      <c r="BC46" s="685"/>
      <c r="BD46" s="685"/>
    </row>
    <row r="47" spans="1:56">
      <c r="A47" s="685"/>
      <c r="B47" s="1134" t="str">
        <f>B41</f>
        <v>Residential and Enterprise</v>
      </c>
      <c r="C47" s="1134"/>
      <c r="D47" s="1134"/>
      <c r="E47" s="1134"/>
      <c r="F47" s="1134"/>
      <c r="G47" s="1134"/>
      <c r="H47" s="1134"/>
      <c r="I47" s="1134"/>
      <c r="J47" s="1134"/>
      <c r="K47" s="1134"/>
      <c r="L47" s="1134"/>
      <c r="M47" s="1117">
        <f t="shared" ref="M47:AE47" si="29">M41/L41-1</f>
        <v>0.18599981829744716</v>
      </c>
      <c r="N47" s="1117">
        <f t="shared" si="29"/>
        <v>0.30858797484353784</v>
      </c>
      <c r="O47" s="1117">
        <f t="shared" si="29"/>
        <v>9.206975478115309E-2</v>
      </c>
      <c r="P47" s="1117">
        <f t="shared" si="29"/>
        <v>1.9163249443863828E-2</v>
      </c>
      <c r="Q47" s="1117">
        <f t="shared" si="29"/>
        <v>0.10082575080208289</v>
      </c>
      <c r="R47" s="1117">
        <f t="shared" si="29"/>
        <v>0.14209268991877688</v>
      </c>
      <c r="S47" s="1117">
        <f t="shared" si="29"/>
        <v>0.10729585006693432</v>
      </c>
      <c r="T47" s="1117">
        <f t="shared" si="29"/>
        <v>4.7871456205041518E-2</v>
      </c>
      <c r="U47" s="1117">
        <f t="shared" si="29"/>
        <v>2.7873622272938769E-2</v>
      </c>
      <c r="V47" s="1117">
        <f t="shared" si="29"/>
        <v>5.4930022098284681E-2</v>
      </c>
      <c r="W47" s="1117">
        <f t="shared" si="29"/>
        <v>-3.8822942643391478E-2</v>
      </c>
      <c r="X47" s="1117">
        <f t="shared" si="29"/>
        <v>-5.4626669987615784E-2</v>
      </c>
      <c r="Y47" s="1117">
        <f t="shared" si="29"/>
        <v>-1.6989303573204939E-3</v>
      </c>
      <c r="Z47" s="1117">
        <f t="shared" si="29"/>
        <v>1.0726643182017659E-2</v>
      </c>
      <c r="AA47" s="1117">
        <f t="shared" si="29"/>
        <v>1.7252093234944921E-2</v>
      </c>
      <c r="AB47" s="1117">
        <f t="shared" si="29"/>
        <v>1.6617529209908222E-2</v>
      </c>
      <c r="AC47" s="1117">
        <f t="shared" si="29"/>
        <v>1.3517152712368752E-2</v>
      </c>
      <c r="AD47" s="1117">
        <f t="shared" si="29"/>
        <v>5.5458504376255657E-3</v>
      </c>
      <c r="AE47" s="1117">
        <f t="shared" si="29"/>
        <v>9.5226242545676243E-4</v>
      </c>
      <c r="AF47" s="1117">
        <f t="shared" si="28"/>
        <v>-1.4066680313181701E-3</v>
      </c>
      <c r="AG47" s="1117">
        <f t="shared" si="28"/>
        <v>3.0348445437968774E-3</v>
      </c>
      <c r="AH47" s="1117">
        <f t="shared" si="28"/>
        <v>9.2939453660489946E-4</v>
      </c>
      <c r="AI47" s="1134"/>
      <c r="AJ47" s="1134"/>
      <c r="AK47" s="1134"/>
      <c r="AL47" s="1134"/>
      <c r="AM47" s="1134"/>
      <c r="AN47" s="685"/>
      <c r="AO47" s="685"/>
      <c r="AP47" s="685"/>
      <c r="AQ47" s="685"/>
      <c r="AR47" s="685"/>
      <c r="AS47" s="685"/>
      <c r="AT47" s="685"/>
      <c r="AU47" s="685"/>
      <c r="AV47" s="685"/>
      <c r="AW47" s="685"/>
      <c r="AX47" s="685"/>
      <c r="AY47" s="685"/>
      <c r="AZ47" s="685"/>
      <c r="BA47" s="685"/>
      <c r="BB47" s="685"/>
      <c r="BC47" s="685"/>
      <c r="BD47" s="685"/>
    </row>
    <row r="48" spans="1:56">
      <c r="A48" s="685"/>
      <c r="B48" s="1145" t="s">
        <v>85</v>
      </c>
      <c r="C48" s="1145"/>
      <c r="D48" s="1145"/>
      <c r="E48" s="1145"/>
      <c r="F48" s="1145"/>
      <c r="G48" s="1145"/>
      <c r="H48" s="1145"/>
      <c r="I48" s="1145"/>
      <c r="J48" s="1145"/>
      <c r="K48" s="1145"/>
      <c r="L48" s="1145"/>
      <c r="M48" s="1519">
        <f t="shared" ref="M48:AE48" si="30">M42/L42-1</f>
        <v>0.13036812919938479</v>
      </c>
      <c r="N48" s="1519">
        <f t="shared" si="30"/>
        <v>0.22480137860036242</v>
      </c>
      <c r="O48" s="1519">
        <f t="shared" si="30"/>
        <v>0.12185032104341853</v>
      </c>
      <c r="P48" s="1519">
        <f t="shared" si="30"/>
        <v>1.3186440898814933E-2</v>
      </c>
      <c r="Q48" s="1519">
        <f t="shared" si="30"/>
        <v>6.6295855705237328E-2</v>
      </c>
      <c r="R48" s="1519">
        <f t="shared" si="30"/>
        <v>8.940147746117888E-2</v>
      </c>
      <c r="S48" s="1519">
        <f t="shared" si="30"/>
        <v>9.2380293384998646E-2</v>
      </c>
      <c r="T48" s="1519">
        <f t="shared" si="30"/>
        <v>4.5368744568343278E-2</v>
      </c>
      <c r="U48" s="1519">
        <f t="shared" si="30"/>
        <v>2.8439610938890025E-2</v>
      </c>
      <c r="V48" s="1519">
        <f t="shared" si="30"/>
        <v>-1.1851289378900343E-2</v>
      </c>
      <c r="W48" s="1519">
        <f t="shared" si="30"/>
        <v>-6.341741237526477E-2</v>
      </c>
      <c r="X48" s="1519">
        <f t="shared" si="30"/>
        <v>-8.4685568935138567E-2</v>
      </c>
      <c r="Y48" s="1519">
        <f t="shared" si="30"/>
        <v>-5.5095421597921357E-2</v>
      </c>
      <c r="Z48" s="1519">
        <f t="shared" si="30"/>
        <v>-4.9421452077400452E-2</v>
      </c>
      <c r="AA48" s="1519">
        <f t="shared" si="30"/>
        <v>-5.7186132519682853E-2</v>
      </c>
      <c r="AB48" s="1519">
        <f t="shared" si="30"/>
        <v>-1.9398231517716136E-2</v>
      </c>
      <c r="AC48" s="1519">
        <f t="shared" si="30"/>
        <v>-4.5698389410085971E-3</v>
      </c>
      <c r="AD48" s="1519">
        <f t="shared" si="30"/>
        <v>3.8305377844869426E-3</v>
      </c>
      <c r="AE48" s="1519">
        <f t="shared" si="30"/>
        <v>-2.856614956547876E-4</v>
      </c>
      <c r="AF48" s="1519">
        <f t="shared" si="28"/>
        <v>-2.2855008906147445E-3</v>
      </c>
      <c r="AG48" s="1519">
        <f t="shared" si="28"/>
        <v>-2.058213489637517E-2</v>
      </c>
      <c r="AH48" s="1519">
        <f t="shared" si="28"/>
        <v>9.2939453660489946E-4</v>
      </c>
      <c r="AI48" s="1134"/>
      <c r="AJ48" s="1134"/>
      <c r="AK48" s="1134"/>
      <c r="AL48" s="1134"/>
      <c r="AM48" s="1134"/>
      <c r="AN48" s="685"/>
      <c r="AO48" s="685"/>
      <c r="AP48" s="685"/>
      <c r="AQ48" s="685"/>
      <c r="AR48" s="685"/>
      <c r="AS48" s="685"/>
      <c r="AT48" s="685"/>
      <c r="AU48" s="685"/>
      <c r="AV48" s="685"/>
      <c r="AW48" s="685"/>
      <c r="AX48" s="685"/>
      <c r="AY48" s="685"/>
      <c r="AZ48" s="685"/>
      <c r="BA48" s="685"/>
      <c r="BB48" s="685"/>
      <c r="BC48" s="685"/>
      <c r="BD48" s="685"/>
    </row>
    <row r="49" spans="1:56">
      <c r="A49" s="685"/>
      <c r="B49" s="1134"/>
      <c r="C49" s="1134"/>
      <c r="D49" s="1134"/>
      <c r="E49" s="1134"/>
      <c r="F49" s="1134"/>
      <c r="G49" s="1134"/>
      <c r="H49" s="1134"/>
      <c r="I49" s="1134"/>
      <c r="J49" s="1134"/>
      <c r="K49" s="1134"/>
      <c r="L49" s="1134"/>
      <c r="M49" s="1134"/>
      <c r="N49" s="1134"/>
      <c r="O49" s="1134"/>
      <c r="P49" s="1134"/>
      <c r="Q49" s="1134"/>
      <c r="R49" s="1134"/>
      <c r="S49" s="1134"/>
      <c r="T49" s="1134"/>
      <c r="U49" s="1134"/>
      <c r="V49" s="1134"/>
      <c r="W49" s="1133"/>
      <c r="X49" s="1133"/>
      <c r="Y49" s="1133"/>
      <c r="Z49" s="1133"/>
      <c r="AA49" s="1133"/>
      <c r="AB49" s="1133"/>
      <c r="AC49" s="1133"/>
      <c r="AD49" s="1133"/>
      <c r="AE49" s="1133"/>
      <c r="AF49" s="1133"/>
      <c r="AG49" s="1133"/>
      <c r="AH49" s="1133"/>
      <c r="AI49" s="1134"/>
      <c r="AJ49" s="1134"/>
      <c r="AK49" s="1134"/>
      <c r="AL49" s="1134"/>
      <c r="AM49" s="1134"/>
      <c r="AN49" s="685"/>
      <c r="AO49" s="685"/>
      <c r="AP49" s="685"/>
      <c r="AQ49" s="685"/>
      <c r="AR49" s="685"/>
      <c r="AS49" s="685"/>
      <c r="AT49" s="685"/>
      <c r="AU49" s="685"/>
      <c r="AV49" s="685"/>
      <c r="AW49" s="685"/>
      <c r="AX49" s="685"/>
      <c r="AY49" s="685"/>
      <c r="AZ49" s="685"/>
      <c r="BA49" s="685"/>
      <c r="BB49" s="685"/>
      <c r="BC49" s="685"/>
      <c r="BD49" s="685"/>
    </row>
    <row r="50" spans="1:56">
      <c r="A50" s="685"/>
      <c r="B50" s="1134"/>
      <c r="C50" s="1134"/>
      <c r="D50" s="1134"/>
      <c r="E50" s="1134"/>
      <c r="F50" s="1134"/>
      <c r="G50" s="1134"/>
      <c r="H50" s="1134"/>
      <c r="I50" s="1134"/>
      <c r="J50" s="1134"/>
      <c r="K50" s="1134"/>
      <c r="L50" s="1134"/>
      <c r="M50" s="1134"/>
      <c r="N50" s="1134"/>
      <c r="O50" s="1134"/>
      <c r="P50" s="1134"/>
      <c r="X50" s="1958"/>
      <c r="Y50" s="1958"/>
      <c r="Z50" s="1958"/>
      <c r="AA50" s="1958"/>
      <c r="AB50" s="1958"/>
      <c r="AC50" s="1958"/>
      <c r="AD50" s="1958"/>
      <c r="AE50" s="1958"/>
      <c r="AF50" s="1958"/>
      <c r="AG50" s="1958"/>
      <c r="AH50" s="1958"/>
      <c r="AI50" s="1134"/>
      <c r="AJ50" s="1134"/>
      <c r="AK50" s="1134"/>
      <c r="AL50" s="1134"/>
      <c r="AM50" s="1134"/>
      <c r="AN50" s="685"/>
      <c r="AO50" s="685"/>
      <c r="AP50" s="685"/>
      <c r="AQ50" s="685"/>
      <c r="AR50" s="685"/>
      <c r="AS50" s="685"/>
      <c r="AT50" s="685"/>
      <c r="AU50" s="685"/>
      <c r="AV50" s="685"/>
      <c r="AW50" s="685"/>
      <c r="AX50" s="685"/>
      <c r="AY50" s="685"/>
      <c r="AZ50" s="685"/>
      <c r="BA50" s="685"/>
      <c r="BB50" s="685"/>
      <c r="BC50" s="685"/>
      <c r="BD50" s="685"/>
    </row>
    <row r="51" spans="1:56">
      <c r="A51" s="685"/>
      <c r="B51" s="1134"/>
      <c r="C51" s="1134"/>
      <c r="D51" s="1134"/>
      <c r="E51" s="1134"/>
      <c r="F51" s="1134"/>
      <c r="G51" s="1134"/>
      <c r="H51" s="1134"/>
      <c r="I51" s="1134"/>
      <c r="J51" s="1134"/>
      <c r="K51" s="1134"/>
      <c r="L51" s="1134"/>
      <c r="M51" s="1134"/>
      <c r="N51" s="1134"/>
      <c r="O51" s="1134"/>
      <c r="P51" s="1134"/>
      <c r="X51" s="1134"/>
      <c r="Y51" s="1134"/>
      <c r="Z51" s="1134"/>
      <c r="AA51" s="1134"/>
      <c r="AB51" s="1134"/>
      <c r="AC51" s="1134"/>
      <c r="AD51" s="1134"/>
      <c r="AE51" s="1134"/>
      <c r="AF51" s="1134"/>
      <c r="AG51" s="1134"/>
      <c r="AH51" s="1134"/>
      <c r="AI51" s="1134"/>
      <c r="AJ51" s="1134"/>
      <c r="AK51" s="1134"/>
      <c r="AL51" s="1134"/>
      <c r="AM51" s="1134"/>
      <c r="AN51" s="685"/>
      <c r="AO51" s="685"/>
      <c r="AP51" s="685"/>
      <c r="AQ51" s="685"/>
      <c r="AR51" s="685"/>
      <c r="AS51" s="685"/>
      <c r="AT51" s="685"/>
      <c r="AU51" s="685"/>
      <c r="AV51" s="685"/>
      <c r="AW51" s="685"/>
      <c r="AX51" s="685"/>
      <c r="AY51" s="685"/>
      <c r="AZ51" s="685"/>
      <c r="BA51" s="685"/>
      <c r="BB51" s="685"/>
      <c r="BC51" s="685"/>
      <c r="BD51" s="685"/>
    </row>
    <row r="52" spans="1:56">
      <c r="A52" s="685"/>
      <c r="B52" s="1112" t="s">
        <v>34</v>
      </c>
      <c r="C52" s="1112"/>
      <c r="D52" s="1112">
        <f t="shared" ref="D52:AH52" si="31">D2</f>
        <v>2005</v>
      </c>
      <c r="E52" s="1112">
        <f t="shared" si="31"/>
        <v>2006</v>
      </c>
      <c r="F52" s="1112">
        <f t="shared" si="31"/>
        <v>2007</v>
      </c>
      <c r="G52" s="1112">
        <f t="shared" si="31"/>
        <v>2008</v>
      </c>
      <c r="H52" s="1112">
        <f t="shared" si="31"/>
        <v>2009</v>
      </c>
      <c r="I52" s="1112">
        <f t="shared" si="31"/>
        <v>2010</v>
      </c>
      <c r="J52" s="1112">
        <f t="shared" si="31"/>
        <v>2011</v>
      </c>
      <c r="K52" s="1112">
        <f t="shared" si="31"/>
        <v>2012</v>
      </c>
      <c r="L52" s="1112">
        <f t="shared" si="31"/>
        <v>2013</v>
      </c>
      <c r="M52" s="1112">
        <f t="shared" si="31"/>
        <v>2014</v>
      </c>
      <c r="N52" s="1112">
        <f t="shared" si="31"/>
        <v>2015</v>
      </c>
      <c r="O52" s="1112">
        <f t="shared" si="31"/>
        <v>2016</v>
      </c>
      <c r="P52" s="1112">
        <f t="shared" si="31"/>
        <v>2017</v>
      </c>
      <c r="Q52" s="1112">
        <f t="shared" si="31"/>
        <v>2018</v>
      </c>
      <c r="R52" s="1112">
        <f t="shared" si="31"/>
        <v>2019</v>
      </c>
      <c r="S52" s="1112">
        <f t="shared" si="31"/>
        <v>2020</v>
      </c>
      <c r="T52" s="1112">
        <f t="shared" si="31"/>
        <v>2021</v>
      </c>
      <c r="U52" s="1112">
        <f t="shared" si="31"/>
        <v>2022</v>
      </c>
      <c r="V52" s="1112">
        <f t="shared" si="31"/>
        <v>2023</v>
      </c>
      <c r="W52" s="1112">
        <f t="shared" si="31"/>
        <v>2024</v>
      </c>
      <c r="X52" s="1112">
        <f t="shared" si="31"/>
        <v>2025</v>
      </c>
      <c r="Y52" s="1112">
        <f t="shared" si="31"/>
        <v>2026</v>
      </c>
      <c r="Z52" s="1112">
        <f t="shared" si="31"/>
        <v>2027</v>
      </c>
      <c r="AA52" s="1112">
        <f t="shared" si="31"/>
        <v>2028</v>
      </c>
      <c r="AB52" s="1112">
        <f t="shared" si="31"/>
        <v>2029</v>
      </c>
      <c r="AC52" s="1112">
        <f t="shared" si="31"/>
        <v>2030</v>
      </c>
      <c r="AD52" s="1112">
        <f t="shared" si="31"/>
        <v>2031</v>
      </c>
      <c r="AE52" s="1112">
        <f t="shared" si="31"/>
        <v>2032</v>
      </c>
      <c r="AF52" s="1112">
        <f t="shared" si="31"/>
        <v>2033</v>
      </c>
      <c r="AG52" s="1112">
        <f t="shared" si="31"/>
        <v>2034</v>
      </c>
      <c r="AH52" s="1112">
        <f t="shared" si="31"/>
        <v>2035</v>
      </c>
      <c r="AI52" s="685"/>
      <c r="AJ52" s="685"/>
      <c r="AK52" s="685"/>
      <c r="AL52" s="685"/>
      <c r="AM52" s="685"/>
      <c r="AN52" s="685"/>
      <c r="AO52" s="685"/>
      <c r="AP52" s="685"/>
      <c r="AQ52" s="685"/>
      <c r="AR52" s="685"/>
      <c r="AS52" s="685"/>
      <c r="AT52" s="685"/>
      <c r="AU52" s="685"/>
      <c r="AV52" s="685"/>
      <c r="AW52" s="685"/>
      <c r="AX52" s="685"/>
      <c r="AY52" s="685"/>
      <c r="AZ52" s="685"/>
      <c r="BA52" s="685"/>
      <c r="BB52" s="685"/>
      <c r="BC52" s="685"/>
      <c r="BD52" s="685"/>
    </row>
    <row r="53" spans="1:56" hidden="1">
      <c r="A53" s="685"/>
      <c r="B53" s="1132" t="s">
        <v>94</v>
      </c>
      <c r="C53" s="1128"/>
      <c r="D53" s="1128"/>
      <c r="E53" s="1128"/>
      <c r="F53" s="1128"/>
      <c r="G53" s="1128"/>
      <c r="H53" s="1136">
        <v>13417</v>
      </c>
      <c r="I53" s="1136">
        <v>13820</v>
      </c>
      <c r="J53" s="1136">
        <v>14465.6</v>
      </c>
      <c r="K53" s="1136">
        <f>Interims!P29</f>
        <v>15411.2</v>
      </c>
      <c r="L53" s="1136">
        <f>Interims!U29</f>
        <v>15565.999999999998</v>
      </c>
      <c r="M53" s="1136">
        <f>Interims!Z29</f>
        <v>15534.3</v>
      </c>
      <c r="N53" s="1136">
        <v>14564.2</v>
      </c>
      <c r="O53" s="1136">
        <v>14748</v>
      </c>
      <c r="P53" s="1136">
        <v>12825</v>
      </c>
      <c r="Q53" s="1136">
        <v>14855</v>
      </c>
      <c r="R53" s="1136">
        <v>12632</v>
      </c>
      <c r="S53" s="1136">
        <v>12360.8</v>
      </c>
      <c r="T53" s="1136">
        <v>13779</v>
      </c>
      <c r="U53" s="1134"/>
      <c r="V53" s="1134"/>
      <c r="W53" s="1134"/>
      <c r="X53" s="1134"/>
      <c r="Y53" s="1134"/>
      <c r="Z53" s="1134"/>
      <c r="AA53" s="1134"/>
      <c r="AB53" s="1134"/>
      <c r="AC53" s="1134"/>
      <c r="AD53" s="1134"/>
      <c r="AE53" s="1134"/>
      <c r="AF53" s="1134"/>
      <c r="AG53" s="1134"/>
      <c r="AH53" s="1134"/>
      <c r="AI53" s="685"/>
      <c r="AJ53" s="685"/>
      <c r="AK53" s="685"/>
      <c r="AL53" s="685"/>
      <c r="AM53" s="685"/>
      <c r="AN53" s="685"/>
      <c r="AO53" s="685"/>
      <c r="AP53" s="685"/>
      <c r="AQ53" s="685"/>
      <c r="AR53" s="685"/>
      <c r="AS53" s="685"/>
      <c r="AT53" s="685"/>
      <c r="AU53" s="685"/>
      <c r="AV53" s="685"/>
      <c r="AW53" s="685"/>
      <c r="AX53" s="685"/>
      <c r="AY53" s="685"/>
      <c r="AZ53" s="685"/>
      <c r="BA53" s="685"/>
      <c r="BB53" s="685"/>
      <c r="BC53" s="685"/>
      <c r="BD53" s="685"/>
    </row>
    <row r="54" spans="1:56" hidden="1">
      <c r="A54" s="685"/>
      <c r="B54" s="1132" t="s">
        <v>193</v>
      </c>
      <c r="C54" s="1128"/>
      <c r="D54" s="1128"/>
      <c r="E54" s="1128"/>
      <c r="F54" s="1128"/>
      <c r="G54" s="1128"/>
      <c r="H54" s="1136">
        <v>190.7</v>
      </c>
      <c r="I54" s="1136">
        <v>425.3</v>
      </c>
      <c r="J54" s="1136">
        <f>Interims!K30</f>
        <v>454.69999999999993</v>
      </c>
      <c r="K54" s="1136">
        <f>Interims!P30</f>
        <v>447.70000000000005</v>
      </c>
      <c r="L54" s="1136">
        <f>Interims!U30</f>
        <v>328.9</v>
      </c>
      <c r="M54" s="1117"/>
      <c r="N54" s="1134"/>
      <c r="O54" s="1134"/>
      <c r="P54" s="1134"/>
      <c r="Q54" s="1134"/>
      <c r="R54" s="1134"/>
      <c r="S54" s="1134"/>
      <c r="T54" s="1134"/>
      <c r="U54" s="1134"/>
      <c r="V54" s="1134"/>
      <c r="W54" s="1134"/>
      <c r="X54" s="1134"/>
      <c r="Y54" s="1134"/>
      <c r="Z54" s="1134"/>
      <c r="AA54" s="1134"/>
      <c r="AB54" s="1134"/>
      <c r="AC54" s="1134"/>
      <c r="AD54" s="1134"/>
      <c r="AE54" s="1134"/>
      <c r="AF54" s="1134"/>
      <c r="AG54" s="1134"/>
      <c r="AH54" s="1134"/>
      <c r="AI54" s="685"/>
      <c r="AJ54" s="685"/>
      <c r="AK54" s="685"/>
      <c r="AL54" s="685"/>
      <c r="AM54" s="685"/>
      <c r="AN54" s="685"/>
      <c r="AO54" s="685"/>
      <c r="AP54" s="685"/>
      <c r="AQ54" s="685"/>
      <c r="AR54" s="685"/>
      <c r="AS54" s="685"/>
      <c r="AT54" s="685"/>
      <c r="AU54" s="685"/>
      <c r="AV54" s="685"/>
      <c r="AW54" s="685"/>
      <c r="AX54" s="685"/>
      <c r="AY54" s="685"/>
      <c r="AZ54" s="685"/>
      <c r="BA54" s="685"/>
      <c r="BB54" s="685"/>
      <c r="BC54" s="685"/>
      <c r="BD54" s="685"/>
    </row>
    <row r="55" spans="1:56">
      <c r="A55" s="685"/>
      <c r="B55" s="1132" t="s">
        <v>8098</v>
      </c>
      <c r="C55" s="1128"/>
      <c r="D55" s="1128"/>
      <c r="E55" s="1128"/>
      <c r="F55" s="1128"/>
      <c r="G55" s="1128"/>
      <c r="H55" s="1136">
        <v>4479</v>
      </c>
      <c r="I55" s="1136">
        <v>5075</v>
      </c>
      <c r="J55" s="1136">
        <f>Interims!K31</f>
        <v>5789.8</v>
      </c>
      <c r="K55" s="1136">
        <f>Interims!P31</f>
        <v>6558</v>
      </c>
      <c r="L55" s="1136">
        <f>Interims!U31</f>
        <v>7340.5</v>
      </c>
      <c r="M55" s="1136">
        <f>Interims!Z31</f>
        <v>8211.2999999999993</v>
      </c>
      <c r="N55" s="1136">
        <v>8972.2999999999993</v>
      </c>
      <c r="O55" s="1136">
        <v>9898.5</v>
      </c>
      <c r="P55" s="1136">
        <v>10107</v>
      </c>
      <c r="Q55" s="1136">
        <v>9767</v>
      </c>
      <c r="R55" s="1136">
        <v>9121</v>
      </c>
      <c r="S55" s="1136">
        <v>9135.7999999999993</v>
      </c>
      <c r="T55" s="1136">
        <v>8504.2000000000007</v>
      </c>
      <c r="U55" s="1136">
        <v>6416.33</v>
      </c>
      <c r="V55" s="1136">
        <v>5731.4</v>
      </c>
      <c r="W55" s="1136">
        <v>4672.3159999999998</v>
      </c>
      <c r="X55" s="1134">
        <f>'SKY Mex'!V28</f>
        <v>3781.085</v>
      </c>
      <c r="Y55" s="1134">
        <f>'SKY Mex'!W28</f>
        <v>2863.7069999999999</v>
      </c>
      <c r="Z55" s="1134">
        <f>'SKY Mex'!X28</f>
        <v>1971.1849849999999</v>
      </c>
      <c r="AA55" s="1134">
        <f>'SKY Mex'!Y28</f>
        <v>952.18257749999998</v>
      </c>
      <c r="AB55" s="1134">
        <f>'SKY Mex'!Z28</f>
        <v>505.32496437500004</v>
      </c>
      <c r="AC55" s="1134">
        <f>'SKY Mex'!AA28</f>
        <v>292.16970667499999</v>
      </c>
      <c r="AD55" s="1134">
        <f>'SKY Mex'!AB28</f>
        <v>261.46432429424999</v>
      </c>
      <c r="AE55" s="1134">
        <f>'SKY Mex'!AC28</f>
        <v>236.13817209790497</v>
      </c>
      <c r="AF55" s="1134">
        <f>'SKY Mex'!AD28</f>
        <v>215.17488539125421</v>
      </c>
      <c r="AG55" s="1134">
        <f>'SKY Mex'!AE28</f>
        <v>0</v>
      </c>
      <c r="AH55" s="1134">
        <f>'SKY Mex'!AF28</f>
        <v>0</v>
      </c>
      <c r="AI55" s="685"/>
      <c r="AJ55" s="685"/>
      <c r="AK55" s="685"/>
      <c r="AL55" s="685"/>
      <c r="AM55" s="685"/>
      <c r="AN55" s="685"/>
      <c r="AO55" s="685"/>
      <c r="AP55" s="685"/>
      <c r="AQ55" s="685"/>
      <c r="AR55" s="685"/>
      <c r="AS55" s="685"/>
      <c r="AT55" s="685"/>
      <c r="AU55" s="685"/>
      <c r="AV55" s="685"/>
      <c r="AW55" s="685"/>
      <c r="AX55" s="685"/>
      <c r="AY55" s="685"/>
      <c r="AZ55" s="685"/>
      <c r="BA55" s="685"/>
      <c r="BB55" s="685"/>
      <c r="BC55" s="685"/>
      <c r="BD55" s="685"/>
    </row>
    <row r="56" spans="1:56">
      <c r="A56" s="685"/>
      <c r="B56" s="1132" t="s">
        <v>8187</v>
      </c>
      <c r="C56" s="1128"/>
      <c r="D56" s="1128"/>
      <c r="E56" s="1128"/>
      <c r="F56" s="1128"/>
      <c r="G56" s="1128"/>
      <c r="H56" s="1136">
        <v>2972</v>
      </c>
      <c r="I56" s="1136">
        <v>3907</v>
      </c>
      <c r="J56" s="1136">
        <v>4779</v>
      </c>
      <c r="K56" s="1136">
        <f>Interims!P32</f>
        <v>5812.7999999999993</v>
      </c>
      <c r="L56" s="1136">
        <f>Interims!U32</f>
        <v>6131.8</v>
      </c>
      <c r="M56" s="1136">
        <f>Interims!Z32</f>
        <v>7882.9</v>
      </c>
      <c r="N56" s="1136">
        <v>11405.6</v>
      </c>
      <c r="O56" s="1136">
        <v>13236.1</v>
      </c>
      <c r="P56" s="1136">
        <v>14035</v>
      </c>
      <c r="Q56" s="1136">
        <v>15303</v>
      </c>
      <c r="R56" s="1136">
        <v>17798</v>
      </c>
      <c r="S56" s="1136">
        <v>18898.3</v>
      </c>
      <c r="T56" s="1136">
        <v>20285</v>
      </c>
      <c r="U56" s="1136">
        <v>19902.8</v>
      </c>
      <c r="V56" s="1136">
        <v>18727.5</v>
      </c>
      <c r="W56" s="1136">
        <v>18485.599999999999</v>
      </c>
      <c r="X56" s="1134">
        <f>X58-X55</f>
        <v>19240.815000000002</v>
      </c>
      <c r="Y56" s="1134">
        <f t="shared" ref="Y56:AH56" si="32">Y58-Y55</f>
        <v>20254.536453000001</v>
      </c>
      <c r="Z56" s="1134">
        <f t="shared" si="32"/>
        <v>20650.485630767995</v>
      </c>
      <c r="AA56" s="1134">
        <f t="shared" si="32"/>
        <v>21089.870465907596</v>
      </c>
      <c r="AB56" s="1134">
        <f t="shared" si="32"/>
        <v>21556.655914104249</v>
      </c>
      <c r="AC56" s="1134">
        <f t="shared" si="32"/>
        <v>22122.266213009621</v>
      </c>
      <c r="AD56" s="1134">
        <f t="shared" si="32"/>
        <v>22701.895258164182</v>
      </c>
      <c r="AE56" s="1134">
        <f t="shared" si="32"/>
        <v>23191.860345697543</v>
      </c>
      <c r="AF56" s="1134">
        <f t="shared" si="32"/>
        <v>23637.871341203223</v>
      </c>
      <c r="AG56" s="1134">
        <f t="shared" si="32"/>
        <v>23839.364159200995</v>
      </c>
      <c r="AH56" s="1134">
        <f t="shared" si="32"/>
        <v>24103.646364793163</v>
      </c>
      <c r="AI56" s="685"/>
      <c r="AJ56" s="685"/>
      <c r="AK56" s="685"/>
      <c r="AL56" s="685"/>
      <c r="AM56" s="685"/>
      <c r="AN56" s="685"/>
      <c r="AO56" s="685"/>
      <c r="AP56" s="685"/>
      <c r="AQ56" s="685"/>
      <c r="AR56" s="685"/>
      <c r="AS56" s="685"/>
      <c r="AT56" s="685"/>
      <c r="AU56" s="685"/>
      <c r="AV56" s="685"/>
      <c r="AW56" s="685"/>
      <c r="AX56" s="685"/>
      <c r="AY56" s="685"/>
      <c r="AZ56" s="685"/>
      <c r="BA56" s="685"/>
      <c r="BB56" s="685"/>
      <c r="BC56" s="685"/>
      <c r="BD56" s="685"/>
    </row>
    <row r="57" spans="1:56">
      <c r="A57" s="685"/>
      <c r="B57" s="1132" t="s">
        <v>195</v>
      </c>
      <c r="C57" s="1128"/>
      <c r="D57" s="1128"/>
      <c r="E57" s="1128"/>
      <c r="F57" s="1128"/>
      <c r="G57" s="1128"/>
      <c r="H57" s="1139">
        <f t="shared" ref="H57:M57" si="33">H58-H53-H54-H55-H56</f>
        <v>-313.69999999999982</v>
      </c>
      <c r="I57" s="1139">
        <f t="shared" si="33"/>
        <v>-164.29999999999927</v>
      </c>
      <c r="J57" s="1139">
        <f t="shared" si="33"/>
        <v>-117.60000000000127</v>
      </c>
      <c r="K57" s="1139">
        <f t="shared" si="33"/>
        <v>183.79999999999927</v>
      </c>
      <c r="L57" s="1139">
        <f t="shared" si="33"/>
        <v>493.19999999999982</v>
      </c>
      <c r="M57" s="1139">
        <f t="shared" si="33"/>
        <v>651.20000000000255</v>
      </c>
      <c r="N57" s="1136">
        <v>753.2</v>
      </c>
      <c r="O57" s="1136">
        <v>1040.5999999999999</v>
      </c>
      <c r="P57" s="1136">
        <v>490</v>
      </c>
      <c r="Q57" s="1136">
        <v>754</v>
      </c>
      <c r="R57" s="1136">
        <v>1464</v>
      </c>
      <c r="S57" s="1136">
        <v>116.5</v>
      </c>
      <c r="T57" s="1136">
        <v>907.3</v>
      </c>
      <c r="U57" s="1136">
        <v>1691</v>
      </c>
      <c r="V57" s="1136">
        <v>1952.4</v>
      </c>
      <c r="W57" s="1140"/>
      <c r="X57" s="1140"/>
      <c r="Y57" s="1140"/>
      <c r="Z57" s="1140"/>
      <c r="AA57" s="1140"/>
      <c r="AB57" s="1140"/>
      <c r="AC57" s="1140"/>
      <c r="AD57" s="1140"/>
      <c r="AE57" s="1140"/>
      <c r="AF57" s="1140"/>
      <c r="AG57" s="1140"/>
      <c r="AH57" s="1140"/>
      <c r="AI57" s="685"/>
      <c r="AJ57" s="685"/>
      <c r="AK57" s="685"/>
      <c r="AL57" s="685"/>
      <c r="AM57" s="685"/>
      <c r="AN57" s="685"/>
      <c r="AO57" s="685"/>
      <c r="AP57" s="685"/>
      <c r="AQ57" s="685"/>
      <c r="AR57" s="685"/>
      <c r="AS57" s="685"/>
      <c r="AT57" s="685"/>
      <c r="AU57" s="685"/>
      <c r="AV57" s="685"/>
      <c r="AW57" s="685"/>
      <c r="AX57" s="685"/>
      <c r="AY57" s="685"/>
      <c r="AZ57" s="685"/>
      <c r="BA57" s="685"/>
      <c r="BB57" s="685"/>
      <c r="BC57" s="685"/>
      <c r="BD57" s="685"/>
    </row>
    <row r="58" spans="1:56">
      <c r="A58" s="685"/>
      <c r="B58" s="1270" t="s">
        <v>207</v>
      </c>
      <c r="C58" s="1381"/>
      <c r="D58" s="1381"/>
      <c r="E58" s="1381"/>
      <c r="F58" s="1381"/>
      <c r="G58" s="1381"/>
      <c r="H58" s="1520">
        <v>20745</v>
      </c>
      <c r="I58" s="1520">
        <v>23063</v>
      </c>
      <c r="J58" s="1520">
        <f>Interims!K34</f>
        <v>25371.5</v>
      </c>
      <c r="K58" s="1520">
        <f>Interims!P34</f>
        <v>28413.5</v>
      </c>
      <c r="L58" s="1520">
        <f>Interims!U34</f>
        <v>29860.399999999998</v>
      </c>
      <c r="M58" s="1520">
        <f>Interims!Z34</f>
        <v>32279.7</v>
      </c>
      <c r="N58" s="1521">
        <f t="shared" ref="N58:W58" si="34">SUM(N53:N57)</f>
        <v>35695.299999999996</v>
      </c>
      <c r="O58" s="1521">
        <f t="shared" si="34"/>
        <v>38923.199999999997</v>
      </c>
      <c r="P58" s="1521">
        <f t="shared" si="34"/>
        <v>37457</v>
      </c>
      <c r="Q58" s="1521">
        <f t="shared" si="34"/>
        <v>40679</v>
      </c>
      <c r="R58" s="1521">
        <f t="shared" si="34"/>
        <v>41015</v>
      </c>
      <c r="S58" s="1521">
        <f t="shared" si="34"/>
        <v>40511.399999999994</v>
      </c>
      <c r="T58" s="1521">
        <f t="shared" si="34"/>
        <v>43475.5</v>
      </c>
      <c r="U58" s="1521">
        <f t="shared" si="34"/>
        <v>28010.129999999997</v>
      </c>
      <c r="V58" s="1521">
        <f t="shared" si="34"/>
        <v>26411.300000000003</v>
      </c>
      <c r="W58" s="1521">
        <f t="shared" si="34"/>
        <v>23157.915999999997</v>
      </c>
      <c r="X58" s="1520">
        <v>23021.9</v>
      </c>
      <c r="Y58" s="1521">
        <f t="shared" ref="Y58:AH58" si="35">Y59*Y28</f>
        <v>23118.243452999999</v>
      </c>
      <c r="Z58" s="1521">
        <f t="shared" si="35"/>
        <v>22621.670615767995</v>
      </c>
      <c r="AA58" s="1521">
        <f t="shared" si="35"/>
        <v>22042.053043407595</v>
      </c>
      <c r="AB58" s="1521">
        <f t="shared" si="35"/>
        <v>22061.980878479248</v>
      </c>
      <c r="AC58" s="1521">
        <f t="shared" si="35"/>
        <v>22414.43591968462</v>
      </c>
      <c r="AD58" s="1521">
        <f t="shared" si="35"/>
        <v>22963.359582458434</v>
      </c>
      <c r="AE58" s="1521">
        <f t="shared" si="35"/>
        <v>23427.998517795448</v>
      </c>
      <c r="AF58" s="1521">
        <f t="shared" si="35"/>
        <v>23853.046226594477</v>
      </c>
      <c r="AG58" s="1521">
        <f t="shared" si="35"/>
        <v>23839.364159200995</v>
      </c>
      <c r="AH58" s="1521">
        <f t="shared" si="35"/>
        <v>24103.646364793163</v>
      </c>
      <c r="AI58" s="685"/>
      <c r="AJ58" s="685"/>
      <c r="AK58" s="685"/>
      <c r="AL58" s="685"/>
      <c r="AM58" s="685"/>
      <c r="AN58" s="685"/>
      <c r="AO58" s="685"/>
      <c r="AP58" s="685"/>
      <c r="AQ58" s="685"/>
      <c r="AR58" s="685"/>
      <c r="AS58" s="685"/>
      <c r="AT58" s="685"/>
      <c r="AU58" s="685"/>
      <c r="AV58" s="685"/>
      <c r="AW58" s="685"/>
      <c r="AX58" s="685"/>
      <c r="AY58" s="685"/>
      <c r="AZ58" s="685"/>
      <c r="BA58" s="685"/>
      <c r="BB58" s="685"/>
      <c r="BC58" s="685"/>
      <c r="BD58" s="685"/>
    </row>
    <row r="59" spans="1:56">
      <c r="A59" s="685"/>
      <c r="B59" s="1132" t="s">
        <v>208</v>
      </c>
      <c r="C59" s="1501"/>
      <c r="D59" s="1501"/>
      <c r="E59" s="1501"/>
      <c r="F59" s="1501"/>
      <c r="G59" s="1501"/>
      <c r="H59" s="10">
        <f t="shared" ref="H59:X59" si="36">H58/H26</f>
        <v>0.38572856464287164</v>
      </c>
      <c r="I59" s="10">
        <f t="shared" si="36"/>
        <v>0.38866316252466743</v>
      </c>
      <c r="J59" s="10">
        <f t="shared" si="36"/>
        <v>0.39756523319731985</v>
      </c>
      <c r="K59" s="10">
        <f t="shared" si="36"/>
        <v>0.40254816594672166</v>
      </c>
      <c r="L59" s="10">
        <f t="shared" si="36"/>
        <v>0.39744446367012282</v>
      </c>
      <c r="M59" s="10">
        <f t="shared" si="36"/>
        <v>0.39603106443539288</v>
      </c>
      <c r="N59" s="10">
        <f t="shared" si="36"/>
        <v>0.39574073683988786</v>
      </c>
      <c r="O59" s="10">
        <f t="shared" si="36"/>
        <v>0.3917872363555106</v>
      </c>
      <c r="P59" s="10">
        <f t="shared" si="36"/>
        <v>0.3837099715216456</v>
      </c>
      <c r="Q59" s="10">
        <f t="shared" si="36"/>
        <v>0.3833229679048642</v>
      </c>
      <c r="R59" s="10">
        <f t="shared" si="36"/>
        <v>0.38677122644623108</v>
      </c>
      <c r="S59" s="10">
        <f t="shared" si="36"/>
        <v>0.38807442801472919</v>
      </c>
      <c r="T59" s="10">
        <f t="shared" si="36"/>
        <v>0.39160590352058439</v>
      </c>
      <c r="U59" s="10">
        <f t="shared" si="36"/>
        <v>0.3681203475902094</v>
      </c>
      <c r="V59" s="10">
        <f t="shared" si="36"/>
        <v>0.35566798593557897</v>
      </c>
      <c r="W59" s="10">
        <f t="shared" si="36"/>
        <v>0.37194958633749264</v>
      </c>
      <c r="X59" s="10">
        <f t="shared" si="36"/>
        <v>0.39100889633174929</v>
      </c>
      <c r="Y59" s="2044">
        <v>0.40500000000000003</v>
      </c>
      <c r="Z59" s="2044">
        <v>0.41199999999999998</v>
      </c>
      <c r="AA59" s="2044">
        <v>0.42</v>
      </c>
      <c r="AB59" s="2044">
        <v>0.42499999999999999</v>
      </c>
      <c r="AC59" s="2044">
        <v>0.43</v>
      </c>
      <c r="AD59" s="2044">
        <v>0.435</v>
      </c>
      <c r="AE59" s="2044">
        <v>0.44</v>
      </c>
      <c r="AF59" s="2044">
        <v>0.44500000000000001</v>
      </c>
      <c r="AG59" s="2044">
        <v>0.45</v>
      </c>
      <c r="AH59" s="2044">
        <f t="shared" ref="AH59" si="37">AG59+0.25%</f>
        <v>0.45250000000000001</v>
      </c>
      <c r="AI59" s="685"/>
      <c r="AJ59" s="685"/>
      <c r="AK59" s="685"/>
      <c r="AL59" s="685"/>
      <c r="AM59" s="685"/>
      <c r="AN59" s="685"/>
      <c r="AO59" s="685"/>
      <c r="AP59" s="685"/>
      <c r="AQ59" s="685"/>
      <c r="AR59" s="685"/>
      <c r="AS59" s="685"/>
      <c r="AT59" s="685"/>
      <c r="AU59" s="685"/>
      <c r="AV59" s="685"/>
      <c r="AW59" s="685"/>
      <c r="AX59" s="685"/>
      <c r="AY59" s="685"/>
      <c r="AZ59" s="685"/>
      <c r="BA59" s="685"/>
      <c r="BB59" s="685"/>
      <c r="BC59" s="685"/>
      <c r="BD59" s="685"/>
    </row>
    <row r="60" spans="1:56">
      <c r="A60" s="685"/>
      <c r="B60" s="1132"/>
      <c r="C60" s="1501"/>
      <c r="D60" s="1501"/>
      <c r="E60" s="1501"/>
      <c r="F60" s="1501"/>
      <c r="G60" s="1501"/>
      <c r="H60" s="1134"/>
      <c r="I60" s="1117"/>
      <c r="J60" s="1117"/>
      <c r="K60" s="1117"/>
      <c r="L60" s="1117"/>
      <c r="M60" s="1117"/>
      <c r="N60" s="1117"/>
      <c r="O60" s="1117"/>
      <c r="P60" s="1117"/>
      <c r="Q60" s="1117"/>
      <c r="R60" s="1117"/>
      <c r="S60" s="1117"/>
      <c r="T60" s="1117"/>
      <c r="U60" s="1117"/>
      <c r="V60" s="1117"/>
      <c r="X60" s="1134"/>
      <c r="Y60" s="1134"/>
      <c r="Z60" s="1134"/>
      <c r="AA60" s="1134"/>
      <c r="AB60" s="1134"/>
      <c r="AC60" s="1134"/>
      <c r="AD60" s="1134"/>
      <c r="AE60" s="1134"/>
      <c r="AF60" s="1134"/>
      <c r="AG60" s="1134"/>
      <c r="AH60" s="1134"/>
      <c r="AI60" s="685"/>
      <c r="AJ60" s="685"/>
      <c r="AK60" s="685"/>
      <c r="AL60" s="685"/>
      <c r="AM60" s="685"/>
      <c r="AN60" s="685"/>
      <c r="AO60" s="685"/>
      <c r="AP60" s="685"/>
      <c r="AQ60" s="685"/>
      <c r="AR60" s="685"/>
      <c r="AS60" s="685"/>
      <c r="AT60" s="685"/>
      <c r="AU60" s="685"/>
      <c r="AV60" s="685"/>
      <c r="AW60" s="685"/>
      <c r="AX60" s="685"/>
      <c r="AY60" s="685"/>
      <c r="AZ60" s="685"/>
      <c r="BA60" s="685"/>
      <c r="BB60" s="685"/>
      <c r="BC60" s="685"/>
      <c r="BD60" s="685"/>
    </row>
    <row r="61" spans="1:56">
      <c r="A61" s="685"/>
      <c r="B61" s="1132" t="s">
        <v>209</v>
      </c>
      <c r="C61" s="1128"/>
      <c r="D61" s="1128"/>
      <c r="E61" s="1128"/>
      <c r="F61" s="1128"/>
      <c r="G61" s="1128"/>
      <c r="H61" s="1136">
        <v>-658</v>
      </c>
      <c r="I61" s="1136">
        <v>-901</v>
      </c>
      <c r="J61" s="1136">
        <f>Interims!K35</f>
        <v>-1142.5999999999999</v>
      </c>
      <c r="K61" s="1136">
        <f>Interims!P35</f>
        <v>-1149.3</v>
      </c>
      <c r="L61" s="1136">
        <f>Interims!U35</f>
        <v>-1192.5</v>
      </c>
      <c r="M61" s="1136">
        <f>Interims!Z35</f>
        <v>-1478.5</v>
      </c>
      <c r="N61" s="1136">
        <v>-1960.8</v>
      </c>
      <c r="O61" s="1147">
        <v>-2207.9</v>
      </c>
      <c r="P61" s="1147">
        <v>-2291</v>
      </c>
      <c r="Q61" s="1147">
        <v>-2155</v>
      </c>
      <c r="R61" s="1147">
        <v>-1888</v>
      </c>
      <c r="S61" s="1147">
        <v>-1882.9</v>
      </c>
      <c r="T61" s="1147">
        <v>-2203.5</v>
      </c>
      <c r="U61" s="1147">
        <v>-1538.1</v>
      </c>
      <c r="V61" s="1147">
        <v>-1259.9000000000001</v>
      </c>
      <c r="W61" s="1147">
        <v>-756</v>
      </c>
      <c r="X61" s="1147">
        <v>-448.9</v>
      </c>
      <c r="Y61" s="1148">
        <f t="shared" ref="Y61:AH61" si="38">X61*(1+Y29)</f>
        <v>-435.20601647366937</v>
      </c>
      <c r="Z61" s="1148">
        <f t="shared" si="38"/>
        <v>-418.62247346275183</v>
      </c>
      <c r="AA61" s="1148">
        <f t="shared" si="38"/>
        <v>-400.12697767779486</v>
      </c>
      <c r="AB61" s="1148">
        <f t="shared" si="38"/>
        <v>-395.77709342334578</v>
      </c>
      <c r="AC61" s="1148">
        <f t="shared" si="38"/>
        <v>-397.42431949766643</v>
      </c>
      <c r="AD61" s="1148">
        <f t="shared" si="38"/>
        <v>-402.4771698599759</v>
      </c>
      <c r="AE61" s="1148">
        <f t="shared" si="38"/>
        <v>-405.95471725136019</v>
      </c>
      <c r="AF61" s="1148">
        <f t="shared" si="38"/>
        <v>-408.67579844104216</v>
      </c>
      <c r="AG61" s="1148">
        <f t="shared" si="38"/>
        <v>-403.90314510163256</v>
      </c>
      <c r="AH61" s="1148">
        <f t="shared" si="38"/>
        <v>-406.12455116512177</v>
      </c>
      <c r="AI61" s="685"/>
      <c r="AJ61" s="685"/>
      <c r="AK61" s="685"/>
      <c r="AL61" s="685"/>
      <c r="AM61" s="1503"/>
      <c r="AN61" s="685"/>
      <c r="AO61" s="685"/>
      <c r="AP61" s="685"/>
      <c r="AQ61" s="685"/>
      <c r="AR61" s="685"/>
      <c r="AS61" s="685"/>
      <c r="AT61" s="685"/>
      <c r="AU61" s="685"/>
      <c r="AV61" s="685"/>
      <c r="AW61" s="685"/>
      <c r="AX61" s="685"/>
      <c r="AY61" s="685"/>
      <c r="AZ61" s="685"/>
      <c r="BA61" s="685"/>
      <c r="BB61" s="685"/>
      <c r="BC61" s="685"/>
      <c r="BD61" s="685"/>
    </row>
    <row r="62" spans="1:56">
      <c r="A62" s="685"/>
      <c r="B62" s="1132" t="s">
        <v>210</v>
      </c>
      <c r="C62" s="1128"/>
      <c r="D62" s="1128"/>
      <c r="E62" s="1128"/>
      <c r="F62" s="1128"/>
      <c r="G62" s="1128"/>
      <c r="H62" s="1128"/>
      <c r="I62" s="1136">
        <v>-594</v>
      </c>
      <c r="J62" s="1136">
        <v>-594</v>
      </c>
      <c r="K62" s="1136">
        <f>Interims!P37</f>
        <v>-650.4</v>
      </c>
      <c r="L62" s="1136">
        <f>Interims!U37</f>
        <v>-462.32310937500006</v>
      </c>
      <c r="M62" s="1136">
        <f>Interims!Z37</f>
        <v>-793.3000000000003</v>
      </c>
      <c r="N62" s="1136">
        <f>-328.5-1030.7</f>
        <v>-1359.2</v>
      </c>
      <c r="O62" s="1136">
        <v>-3137.4</v>
      </c>
      <c r="P62" s="1136">
        <v>-2386</v>
      </c>
      <c r="Q62" s="1136">
        <f>1562.3-3513.8</f>
        <v>-1951.5000000000002</v>
      </c>
      <c r="R62" s="1136">
        <f>-1095.6-72.2+258.9</f>
        <v>-908.9</v>
      </c>
      <c r="S62" s="1136">
        <f>257.3-71.5-4</f>
        <v>181.8</v>
      </c>
      <c r="T62" s="1136">
        <f>2394-64.4</f>
        <v>2329.6</v>
      </c>
      <c r="U62" s="1136">
        <f>-815.6-120.4</f>
        <v>-936</v>
      </c>
      <c r="V62" s="1136">
        <f>-866.8-160</f>
        <v>-1026.8</v>
      </c>
      <c r="W62" s="1136">
        <f>-4554.9-155</f>
        <v>-4709.8999999999996</v>
      </c>
      <c r="X62" s="1136">
        <f>-1013.8-173.8</f>
        <v>-1187.5999999999999</v>
      </c>
      <c r="Y62" s="1148">
        <v>-1000</v>
      </c>
      <c r="Z62" s="1148">
        <f t="shared" ref="Z62:AH62" si="39">Y62*(1+Z29)</f>
        <v>-961.89495920739216</v>
      </c>
      <c r="AA62" s="1148">
        <f t="shared" si="39"/>
        <v>-919.3967053118696</v>
      </c>
      <c r="AB62" s="1148">
        <f t="shared" si="39"/>
        <v>-909.40170503660966</v>
      </c>
      <c r="AC62" s="1148">
        <f t="shared" si="39"/>
        <v>-913.18663909535178</v>
      </c>
      <c r="AD62" s="1148">
        <f t="shared" si="39"/>
        <v>-924.79688842795758</v>
      </c>
      <c r="AE62" s="1148">
        <f t="shared" si="39"/>
        <v>-932.7874659010397</v>
      </c>
      <c r="AF62" s="1148">
        <f t="shared" si="39"/>
        <v>-939.03986381531945</v>
      </c>
      <c r="AG62" s="1148">
        <f t="shared" si="39"/>
        <v>-928.07344065306438</v>
      </c>
      <c r="AH62" s="1148">
        <f t="shared" si="39"/>
        <v>-933.17770387416715</v>
      </c>
      <c r="AI62" s="685"/>
      <c r="AJ62" s="685"/>
      <c r="AK62" s="685"/>
      <c r="AL62" s="685"/>
      <c r="AM62" s="1503"/>
      <c r="AN62" s="685"/>
      <c r="AO62" s="685"/>
      <c r="AP62" s="685"/>
      <c r="AQ62" s="685"/>
      <c r="AR62" s="685"/>
      <c r="AS62" s="685"/>
      <c r="AT62" s="685"/>
      <c r="AU62" s="685"/>
      <c r="AV62" s="685"/>
      <c r="AW62" s="685"/>
      <c r="AX62" s="685"/>
      <c r="AY62" s="685"/>
      <c r="AZ62" s="685"/>
      <c r="BA62" s="685"/>
      <c r="BB62" s="685"/>
      <c r="BC62" s="685"/>
      <c r="BD62" s="685"/>
    </row>
    <row r="63" spans="1:56">
      <c r="A63" s="685"/>
      <c r="B63" s="1200" t="s">
        <v>211</v>
      </c>
      <c r="C63" s="1381"/>
      <c r="D63" s="1381"/>
      <c r="E63" s="1381"/>
      <c r="F63" s="1381"/>
      <c r="G63" s="1381"/>
      <c r="H63" s="1504">
        <f>H58+H61</f>
        <v>20087</v>
      </c>
      <c r="I63" s="1504">
        <f t="shared" ref="I63:AC63" si="40">I58+I61+I62</f>
        <v>21568</v>
      </c>
      <c r="J63" s="1504">
        <f t="shared" si="40"/>
        <v>23634.9</v>
      </c>
      <c r="K63" s="1504">
        <f t="shared" si="40"/>
        <v>26613.8</v>
      </c>
      <c r="L63" s="1504">
        <f t="shared" si="40"/>
        <v>28205.576890624998</v>
      </c>
      <c r="M63" s="1504">
        <f t="shared" si="40"/>
        <v>30007.9</v>
      </c>
      <c r="N63" s="1504">
        <f t="shared" si="40"/>
        <v>32375.299999999992</v>
      </c>
      <c r="O63" s="1504">
        <f t="shared" si="40"/>
        <v>33577.899999999994</v>
      </c>
      <c r="P63" s="1504">
        <f t="shared" si="40"/>
        <v>32780</v>
      </c>
      <c r="Q63" s="1504">
        <f t="shared" si="40"/>
        <v>36572.5</v>
      </c>
      <c r="R63" s="1504">
        <f t="shared" si="40"/>
        <v>38218.1</v>
      </c>
      <c r="S63" s="1504">
        <f t="shared" si="40"/>
        <v>38810.299999999996</v>
      </c>
      <c r="T63" s="1504">
        <f t="shared" si="40"/>
        <v>43601.599999999999</v>
      </c>
      <c r="U63" s="1504">
        <f t="shared" si="40"/>
        <v>25536.03</v>
      </c>
      <c r="V63" s="1504">
        <f t="shared" si="40"/>
        <v>24124.600000000002</v>
      </c>
      <c r="W63" s="1504">
        <f t="shared" si="40"/>
        <v>17692.015999999996</v>
      </c>
      <c r="X63" s="1504">
        <f t="shared" si="40"/>
        <v>21385.4</v>
      </c>
      <c r="Y63" s="1504">
        <f t="shared" si="40"/>
        <v>21683.037436526331</v>
      </c>
      <c r="Z63" s="1504">
        <f t="shared" si="40"/>
        <v>21241.153183097853</v>
      </c>
      <c r="AA63" s="1504">
        <f t="shared" si="40"/>
        <v>20722.529360417931</v>
      </c>
      <c r="AB63" s="1504">
        <f t="shared" si="40"/>
        <v>20756.802080019293</v>
      </c>
      <c r="AC63" s="1504">
        <f t="shared" si="40"/>
        <v>21103.824961091603</v>
      </c>
      <c r="AD63" s="1504">
        <f>AD58+AD61+AD62</f>
        <v>21636.085524170499</v>
      </c>
      <c r="AE63" s="1504">
        <f>AE58+AE61+AE62</f>
        <v>22089.256334643047</v>
      </c>
      <c r="AF63" s="1504">
        <f>AF58+AF61+AF62</f>
        <v>22505.330564338114</v>
      </c>
      <c r="AG63" s="1504">
        <f>AG58+AG61+AG62</f>
        <v>22507.3875734463</v>
      </c>
      <c r="AH63" s="1504">
        <f>AH58+AH61+AH62</f>
        <v>22764.344109753874</v>
      </c>
      <c r="AI63" s="1149"/>
      <c r="AJ63" s="685"/>
      <c r="AK63" s="685"/>
      <c r="AL63" s="685"/>
      <c r="AM63" s="685"/>
      <c r="AN63" s="685"/>
      <c r="AO63" s="685"/>
      <c r="AP63" s="685"/>
      <c r="AQ63" s="685"/>
      <c r="AR63" s="685"/>
      <c r="AS63" s="685"/>
      <c r="AT63" s="685"/>
      <c r="AU63" s="685"/>
      <c r="AV63" s="685"/>
      <c r="AW63" s="685"/>
      <c r="AX63" s="685"/>
      <c r="AY63" s="685"/>
      <c r="AZ63" s="685"/>
      <c r="BA63" s="685"/>
      <c r="BB63" s="685"/>
      <c r="BC63" s="685"/>
      <c r="BD63" s="685"/>
    </row>
    <row r="64" spans="1:56">
      <c r="A64" s="685"/>
      <c r="B64" s="1115" t="s">
        <v>192</v>
      </c>
      <c r="C64" s="1128"/>
      <c r="D64" s="1128"/>
      <c r="E64" s="1128"/>
      <c r="F64" s="1128"/>
      <c r="G64" s="1128"/>
      <c r="H64" s="1139"/>
      <c r="I64" s="1118">
        <f t="shared" ref="I64:AE64" si="41">I63/H63-1</f>
        <v>7.372927764225623E-2</v>
      </c>
      <c r="J64" s="1118">
        <f t="shared" si="41"/>
        <v>9.5831787833827953E-2</v>
      </c>
      <c r="K64" s="1118">
        <f t="shared" si="41"/>
        <v>0.12603818928787502</v>
      </c>
      <c r="L64" s="1118">
        <f t="shared" si="41"/>
        <v>5.9810207134080695E-2</v>
      </c>
      <c r="M64" s="1118">
        <f t="shared" si="41"/>
        <v>6.3899530095201218E-2</v>
      </c>
      <c r="N64" s="1118">
        <f t="shared" si="41"/>
        <v>7.8892558292982473E-2</v>
      </c>
      <c r="O64" s="1118">
        <f t="shared" si="41"/>
        <v>3.7145601739597911E-2</v>
      </c>
      <c r="P64" s="1118">
        <f t="shared" si="41"/>
        <v>-2.3762653411916634E-2</v>
      </c>
      <c r="Q64" s="1118">
        <f t="shared" si="41"/>
        <v>0.11569554606467358</v>
      </c>
      <c r="R64" s="1118">
        <f t="shared" si="41"/>
        <v>4.4995556770797585E-2</v>
      </c>
      <c r="S64" s="1118">
        <f t="shared" si="41"/>
        <v>1.549527579863974E-2</v>
      </c>
      <c r="T64" s="1118">
        <f t="shared" si="41"/>
        <v>0.12345434072913641</v>
      </c>
      <c r="U64" s="1118">
        <f t="shared" si="41"/>
        <v>-0.4143327309089575</v>
      </c>
      <c r="V64" s="1118">
        <f t="shared" si="41"/>
        <v>-5.5272099852639478E-2</v>
      </c>
      <c r="W64" s="1118">
        <f t="shared" si="41"/>
        <v>-0.26664002719216096</v>
      </c>
      <c r="X64" s="1118">
        <f t="shared" si="41"/>
        <v>0.20875992877239136</v>
      </c>
      <c r="Y64" s="1118">
        <f t="shared" si="41"/>
        <v>1.3917786738911975E-2</v>
      </c>
      <c r="Z64" s="1118">
        <f t="shared" si="41"/>
        <v>-2.0379259811824091E-2</v>
      </c>
      <c r="AA64" s="1118">
        <f t="shared" si="41"/>
        <v>-2.4415991834784379E-2</v>
      </c>
      <c r="AB64" s="1118">
        <f t="shared" si="41"/>
        <v>1.6538868882882696E-3</v>
      </c>
      <c r="AC64" s="1118">
        <f t="shared" si="41"/>
        <v>1.6718513754407027E-2</v>
      </c>
      <c r="AD64" s="1118">
        <f t="shared" si="41"/>
        <v>2.5221047087919279E-2</v>
      </c>
      <c r="AE64" s="1118">
        <f t="shared" si="41"/>
        <v>2.0945138618827075E-2</v>
      </c>
      <c r="AF64" s="1118">
        <f>AF63/AE63-1</f>
        <v>1.883604515207371E-2</v>
      </c>
      <c r="AG64" s="1118">
        <f>AG63/AF63-1</f>
        <v>9.1400972863198149E-5</v>
      </c>
      <c r="AH64" s="1118">
        <f>AH63/AG63-1</f>
        <v>1.1416542033990895E-2</v>
      </c>
      <c r="AI64" s="685"/>
      <c r="AJ64" s="685"/>
      <c r="AK64" s="685"/>
      <c r="AL64" s="685"/>
      <c r="AM64" s="685"/>
      <c r="AN64" s="685"/>
      <c r="AO64" s="685"/>
      <c r="AP64" s="685"/>
      <c r="AQ64" s="685"/>
      <c r="AR64" s="685"/>
      <c r="AS64" s="685"/>
      <c r="AT64" s="685"/>
      <c r="AU64" s="685"/>
      <c r="AV64" s="685"/>
      <c r="AW64" s="685"/>
      <c r="AX64" s="685"/>
      <c r="AY64" s="685"/>
      <c r="AZ64" s="685"/>
      <c r="BA64" s="685"/>
      <c r="BB64" s="685"/>
      <c r="BC64" s="685"/>
      <c r="BD64" s="685"/>
    </row>
    <row r="65" spans="1:56">
      <c r="A65" s="685"/>
      <c r="B65" s="1115"/>
      <c r="C65" s="1128"/>
      <c r="D65" s="1128"/>
      <c r="E65" s="1128"/>
      <c r="F65" s="1128"/>
      <c r="G65" s="1128"/>
      <c r="H65" s="1139"/>
      <c r="I65" s="1118"/>
      <c r="J65" s="1118"/>
      <c r="K65" s="1118"/>
      <c r="L65" s="1118"/>
      <c r="M65" s="1118"/>
      <c r="N65" s="1118"/>
      <c r="O65" s="1118"/>
      <c r="P65" s="1118"/>
      <c r="Q65" s="1118"/>
      <c r="R65" s="1118"/>
      <c r="S65" s="1118"/>
      <c r="T65" s="1118"/>
      <c r="U65" s="1118"/>
      <c r="V65" s="1118"/>
      <c r="Y65" s="1118"/>
      <c r="Z65" s="1118"/>
      <c r="AA65" s="1118"/>
      <c r="AB65" s="1118"/>
      <c r="AC65" s="1118"/>
      <c r="AD65" s="1118"/>
      <c r="AE65" s="1118"/>
      <c r="AF65" s="1118"/>
      <c r="AG65" s="1118"/>
      <c r="AH65" s="1118"/>
      <c r="AI65" s="685"/>
      <c r="AJ65" s="685"/>
      <c r="AK65" s="685"/>
      <c r="AL65" s="685"/>
      <c r="AM65" s="685"/>
      <c r="AN65" s="685"/>
      <c r="AO65" s="685"/>
      <c r="AP65" s="685"/>
      <c r="AQ65" s="685"/>
      <c r="AR65" s="685"/>
      <c r="AS65" s="685"/>
      <c r="AT65" s="685"/>
      <c r="AU65" s="685"/>
      <c r="AV65" s="685"/>
      <c r="AW65" s="685"/>
      <c r="AX65" s="685"/>
      <c r="AY65" s="685"/>
      <c r="AZ65" s="685"/>
      <c r="BA65" s="685"/>
      <c r="BB65" s="685"/>
      <c r="BC65" s="685"/>
      <c r="BD65" s="685"/>
    </row>
    <row r="66" spans="1:56" hidden="1" outlineLevel="1">
      <c r="A66" s="685"/>
      <c r="B66" s="1115"/>
      <c r="C66" s="1128"/>
      <c r="D66" s="1128"/>
      <c r="E66" s="1128"/>
      <c r="F66" s="1128"/>
      <c r="G66" s="1128"/>
      <c r="H66" s="1139"/>
      <c r="I66" s="1118"/>
      <c r="J66" s="1118"/>
      <c r="K66" s="1118"/>
      <c r="L66" s="1118"/>
      <c r="M66" s="1118"/>
      <c r="N66" s="1118"/>
      <c r="O66" s="1118"/>
      <c r="P66" s="1118"/>
      <c r="Q66" s="1118"/>
      <c r="R66" s="1118"/>
      <c r="S66" s="1118"/>
      <c r="T66" s="1118"/>
      <c r="U66" s="1118"/>
      <c r="V66" s="1118"/>
      <c r="W66" s="1118"/>
      <c r="X66" s="1118"/>
      <c r="Y66" s="1819" cm="1">
        <f t="array" ref="Y66">_xll.VAData("TV_US", "FY-"&amp;Y2, "EBITDA", "Consensus", "CD", "","","")</f>
        <v>22156.23121670125</v>
      </c>
      <c r="Z66" s="1819" cm="1">
        <f t="array" ref="Z66">_xll.VAData("TV_US", "FY-"&amp;Z2, "EBITDA", "Consensus", "CD", "","","")</f>
        <v>22067.987932001652</v>
      </c>
      <c r="AA66" s="1819" cm="1">
        <f t="array" ref="AA66">_xll.VAData("TV_US", "FY-"&amp;AA2, "EBITDA", "Consensus", "CD", "","","")</f>
        <v>22327.687762652349</v>
      </c>
      <c r="AB66" s="1819" cm="1">
        <f t="array" ref="AB66">_xll.VAData("TV_US", "FY-"&amp;AB2, "EBITDA", "Consensus", "CD", "","","")</f>
        <v>22703.849879785274</v>
      </c>
      <c r="AC66" s="1819" cm="1">
        <f t="array" ref="AC66">_xll.VAData("TV_US", "FY-"&amp;AC2, "EBITDA", "Consensus", "CD", "","","")</f>
        <v>23052.335890334274</v>
      </c>
      <c r="AD66" s="1134"/>
      <c r="AE66" s="1134"/>
      <c r="AF66" s="1134"/>
      <c r="AG66" s="1134"/>
      <c r="AH66" s="1134"/>
      <c r="AI66" s="685"/>
      <c r="AJ66" s="685"/>
      <c r="AK66" s="685"/>
      <c r="AL66" s="685"/>
      <c r="AM66" s="685"/>
      <c r="AN66" s="685"/>
      <c r="AO66" s="685"/>
      <c r="AP66" s="685"/>
      <c r="AQ66" s="685"/>
      <c r="AR66" s="685"/>
      <c r="AS66" s="685"/>
      <c r="AT66" s="685"/>
      <c r="AU66" s="685"/>
      <c r="AV66" s="685"/>
      <c r="AW66" s="685"/>
      <c r="AX66" s="685"/>
      <c r="AY66" s="685"/>
      <c r="AZ66" s="685"/>
      <c r="BA66" s="685"/>
      <c r="BB66" s="685"/>
      <c r="BC66" s="685"/>
      <c r="BD66" s="685"/>
    </row>
    <row r="67" spans="1:56" hidden="1" outlineLevel="1">
      <c r="A67" s="685"/>
      <c r="B67" s="1115"/>
      <c r="C67" s="1128"/>
      <c r="D67" s="1128"/>
      <c r="E67" s="1128"/>
      <c r="F67" s="1128"/>
      <c r="G67" s="1128"/>
      <c r="H67" s="1139"/>
      <c r="I67" s="1118"/>
      <c r="J67" s="1118"/>
      <c r="K67" s="1118"/>
      <c r="L67" s="1118"/>
      <c r="M67" s="1118"/>
      <c r="N67" s="1118"/>
      <c r="O67" s="1118"/>
      <c r="P67" s="1118"/>
      <c r="Q67" s="1118"/>
      <c r="R67" s="1118"/>
      <c r="S67" s="1118"/>
      <c r="T67" s="1118"/>
      <c r="U67" s="1118"/>
      <c r="V67" s="1118"/>
      <c r="W67" s="1118"/>
      <c r="X67" s="1118"/>
      <c r="Y67" s="1820">
        <f>Y63/Y66-1</f>
        <v>-2.1357142175796984E-2</v>
      </c>
      <c r="Z67" s="1820">
        <f>Z63/Z66-1</f>
        <v>-3.7467609256065182E-2</v>
      </c>
      <c r="AA67" s="1820">
        <f>AA63/AA66-1</f>
        <v>-7.1890937355339357E-2</v>
      </c>
      <c r="AB67" s="1820">
        <f>AB63/AB66-1</f>
        <v>-8.5758486339339468E-2</v>
      </c>
      <c r="AC67" s="1820">
        <f>AC63/AC66-1</f>
        <v>-8.4525530883821309E-2</v>
      </c>
      <c r="AD67" s="1118"/>
      <c r="AE67" s="1118"/>
      <c r="AF67" s="1118"/>
      <c r="AG67" s="1118"/>
      <c r="AH67" s="1118"/>
      <c r="AI67" s="685"/>
      <c r="AJ67" s="685"/>
      <c r="AK67" s="685"/>
      <c r="AL67" s="685"/>
      <c r="AM67" s="685"/>
      <c r="AN67" s="685"/>
      <c r="AO67" s="685"/>
      <c r="AP67" s="685"/>
      <c r="AQ67" s="685"/>
      <c r="AR67" s="685"/>
      <c r="AS67" s="685"/>
      <c r="AT67" s="685"/>
      <c r="AU67" s="685"/>
      <c r="AV67" s="685"/>
      <c r="AW67" s="685"/>
      <c r="AX67" s="685"/>
      <c r="AY67" s="685"/>
      <c r="AZ67" s="685"/>
      <c r="BA67" s="685"/>
      <c r="BB67" s="685"/>
      <c r="BC67" s="685"/>
      <c r="BD67" s="685"/>
    </row>
    <row r="68" spans="1:56" collapsed="1">
      <c r="A68" s="685"/>
      <c r="B68" s="1115" t="s">
        <v>212</v>
      </c>
      <c r="C68" s="1128"/>
      <c r="D68" s="1128"/>
      <c r="E68" s="1128"/>
      <c r="F68" s="1128"/>
      <c r="G68" s="1128"/>
      <c r="H68" s="1130">
        <f t="shared" ref="H68:AH68" si="42">H63/H7</f>
        <v>1487.9259259259259</v>
      </c>
      <c r="I68" s="1130">
        <f t="shared" si="42"/>
        <v>1707.6801266825019</v>
      </c>
      <c r="J68" s="1130">
        <f t="shared" si="42"/>
        <v>1899.911575562701</v>
      </c>
      <c r="K68" s="1130">
        <f t="shared" si="42"/>
        <v>2022.3252279635258</v>
      </c>
      <c r="L68" s="1130">
        <f t="shared" si="42"/>
        <v>2210.468408356191</v>
      </c>
      <c r="M68" s="1130">
        <f t="shared" si="42"/>
        <v>2254.5379413974456</v>
      </c>
      <c r="N68" s="1130">
        <f t="shared" si="42"/>
        <v>2040.0315059861371</v>
      </c>
      <c r="O68" s="1130">
        <f t="shared" si="42"/>
        <v>1781.3209549071614</v>
      </c>
      <c r="P68" s="1130">
        <f t="shared" si="42"/>
        <v>1734.3915343915346</v>
      </c>
      <c r="Q68" s="1130">
        <f t="shared" si="42"/>
        <v>1899.8701298701299</v>
      </c>
      <c r="R68" s="1130">
        <f t="shared" si="42"/>
        <v>1985.3558441558441</v>
      </c>
      <c r="S68" s="1130">
        <f t="shared" si="42"/>
        <v>1806.810986964618</v>
      </c>
      <c r="T68" s="1130">
        <f t="shared" si="42"/>
        <v>2149.39511945193</v>
      </c>
      <c r="U68" s="1130">
        <f t="shared" si="42"/>
        <v>1269.8175037294877</v>
      </c>
      <c r="V68" s="1130">
        <f t="shared" si="42"/>
        <v>1362.9717514124295</v>
      </c>
      <c r="W68" s="1130">
        <f t="shared" si="42"/>
        <v>966.77683060109268</v>
      </c>
      <c r="X68" s="1130">
        <f t="shared" si="42"/>
        <v>1114.4033350703492</v>
      </c>
      <c r="Y68" s="1130">
        <f t="shared" si="42"/>
        <v>1248.6632557746232</v>
      </c>
      <c r="Z68" s="1130">
        <f t="shared" si="42"/>
        <v>1199.2317871252098</v>
      </c>
      <c r="AA68" s="1130">
        <f t="shared" si="42"/>
        <v>1147.0111309830852</v>
      </c>
      <c r="AB68" s="1130">
        <f t="shared" si="42"/>
        <v>1126.3805467189595</v>
      </c>
      <c r="AC68" s="1130">
        <f t="shared" si="42"/>
        <v>1122.7568190019381</v>
      </c>
      <c r="AD68" s="1130">
        <f t="shared" si="42"/>
        <v>1128.5038447081065</v>
      </c>
      <c r="AE68" s="1130">
        <f t="shared" si="42"/>
        <v>1129.5495236935265</v>
      </c>
      <c r="AF68" s="1130">
        <f t="shared" si="42"/>
        <v>1128.260558356197</v>
      </c>
      <c r="AG68" s="1130">
        <f t="shared" si="42"/>
        <v>1106.2389043812489</v>
      </c>
      <c r="AH68" s="1130">
        <f t="shared" si="42"/>
        <v>1096.92973267917</v>
      </c>
      <c r="AI68" s="685"/>
      <c r="AJ68" s="685"/>
      <c r="AK68" s="685"/>
      <c r="AL68" s="685"/>
      <c r="AM68" s="685"/>
      <c r="AN68" s="685"/>
      <c r="AO68" s="685"/>
      <c r="AP68" s="685"/>
      <c r="AQ68" s="685"/>
      <c r="AR68" s="685"/>
      <c r="AS68" s="685"/>
      <c r="AT68" s="685"/>
      <c r="AU68" s="685"/>
      <c r="AV68" s="685"/>
      <c r="AW68" s="685"/>
      <c r="AX68" s="685"/>
      <c r="AY68" s="685"/>
      <c r="AZ68" s="685"/>
      <c r="BA68" s="685"/>
      <c r="BB68" s="685"/>
      <c r="BC68" s="685"/>
      <c r="BD68" s="685"/>
    </row>
    <row r="69" spans="1:56">
      <c r="A69" s="685"/>
      <c r="B69" s="1113"/>
      <c r="C69" s="1128"/>
      <c r="D69" s="1128"/>
      <c r="E69" s="1128"/>
      <c r="F69" s="1128"/>
      <c r="G69" s="1128"/>
      <c r="H69" s="1130"/>
      <c r="I69" s="1130"/>
      <c r="J69" s="1130"/>
      <c r="K69" s="1130"/>
      <c r="L69" s="1130"/>
      <c r="M69" s="1130"/>
      <c r="N69" s="1130"/>
      <c r="O69" s="1130"/>
      <c r="P69" s="1130"/>
      <c r="Q69" s="1130"/>
      <c r="R69" s="1130"/>
      <c r="S69" s="1130"/>
      <c r="T69" s="1130"/>
      <c r="U69" s="1130"/>
      <c r="V69" s="1130"/>
      <c r="W69" s="1130"/>
      <c r="X69" s="1130"/>
      <c r="Y69" s="1130"/>
      <c r="Z69" s="1130"/>
      <c r="AA69" s="1130"/>
      <c r="AB69" s="1130"/>
      <c r="AC69" s="1130"/>
      <c r="AD69" s="1130"/>
      <c r="AE69" s="1130"/>
      <c r="AF69" s="1130"/>
      <c r="AG69" s="1130"/>
      <c r="AH69" s="1130"/>
      <c r="AI69" s="685"/>
      <c r="AJ69" s="685"/>
      <c r="AK69" s="685"/>
      <c r="AL69" s="685"/>
      <c r="AM69" s="685"/>
      <c r="AN69" s="685"/>
      <c r="AO69" s="685"/>
      <c r="AP69" s="685"/>
      <c r="AQ69" s="685"/>
      <c r="AR69" s="685"/>
      <c r="AS69" s="685"/>
      <c r="AT69" s="685"/>
      <c r="AU69" s="685"/>
      <c r="AV69" s="685"/>
      <c r="AW69" s="685"/>
      <c r="AX69" s="685"/>
      <c r="AY69" s="685"/>
      <c r="AZ69" s="685"/>
      <c r="BA69" s="685"/>
      <c r="BB69" s="685"/>
      <c r="BC69" s="685"/>
      <c r="BD69" s="685"/>
    </row>
    <row r="70" spans="1:56">
      <c r="A70" s="685"/>
      <c r="B70" s="1113" t="s">
        <v>213</v>
      </c>
      <c r="C70" s="1128"/>
      <c r="D70" s="1128"/>
      <c r="E70" s="1128"/>
      <c r="F70" s="1128"/>
      <c r="G70" s="1128"/>
      <c r="H70" s="1128"/>
      <c r="I70" s="1128"/>
      <c r="J70" s="1128"/>
      <c r="K70" s="1131"/>
      <c r="L70" s="1131"/>
      <c r="M70" s="1128"/>
      <c r="N70" s="1128"/>
      <c r="O70" s="1128"/>
      <c r="P70" s="1128"/>
      <c r="Q70" s="1128"/>
      <c r="R70" s="1128"/>
      <c r="S70" s="1150"/>
      <c r="T70" s="1150"/>
      <c r="U70" s="1150"/>
      <c r="V70" s="1128"/>
      <c r="W70" s="1128"/>
      <c r="X70" s="1128"/>
      <c r="Y70" s="1128"/>
      <c r="Z70" s="1128"/>
      <c r="AA70" s="1128"/>
      <c r="AB70" s="1128"/>
      <c r="AC70" s="1128"/>
      <c r="AD70" s="1128"/>
      <c r="AE70" s="1128"/>
      <c r="AF70" s="1128"/>
      <c r="AG70" s="1128"/>
      <c r="AH70" s="1128"/>
      <c r="AI70" s="685"/>
      <c r="AJ70" s="685"/>
      <c r="AK70" s="685"/>
      <c r="AL70" s="685"/>
      <c r="AM70" s="685"/>
      <c r="AN70" s="685"/>
      <c r="AO70" s="685"/>
      <c r="AP70" s="685"/>
      <c r="AQ70" s="685"/>
      <c r="AR70" s="685"/>
      <c r="AS70" s="685"/>
      <c r="AT70" s="685"/>
      <c r="AU70" s="685"/>
      <c r="AV70" s="685"/>
      <c r="AW70" s="685"/>
      <c r="AX70" s="685"/>
      <c r="AY70" s="685"/>
      <c r="AZ70" s="685"/>
      <c r="BA70" s="685"/>
      <c r="BB70" s="685"/>
      <c r="BC70" s="685"/>
      <c r="BD70" s="685"/>
    </row>
    <row r="71" spans="1:56" hidden="1">
      <c r="A71" s="685"/>
      <c r="B71" s="1151" t="str">
        <f>B53</f>
        <v>Content</v>
      </c>
      <c r="C71" s="1128"/>
      <c r="D71" s="1128"/>
      <c r="E71" s="1128"/>
      <c r="F71" s="1128"/>
      <c r="G71" s="1128"/>
      <c r="H71" s="1152">
        <f t="shared" ref="H71:T71" si="43">H53/H17</f>
        <v>0.48954646623125481</v>
      </c>
      <c r="I71" s="1152">
        <f t="shared" si="43"/>
        <v>0.47272105353172567</v>
      </c>
      <c r="J71" s="1152">
        <f t="shared" si="43"/>
        <v>0.47141330135307769</v>
      </c>
      <c r="K71" s="1152">
        <f t="shared" si="43"/>
        <v>0.46865344848558571</v>
      </c>
      <c r="L71" s="1152">
        <f t="shared" si="43"/>
        <v>0.46025203574153029</v>
      </c>
      <c r="M71" s="1152">
        <f t="shared" si="43"/>
        <v>0.44551610211052511</v>
      </c>
      <c r="N71" s="1152">
        <f t="shared" si="43"/>
        <v>0.42420906077605547</v>
      </c>
      <c r="O71" s="1152">
        <f t="shared" si="43"/>
        <v>0.4019985444316333</v>
      </c>
      <c r="P71" s="1152">
        <f t="shared" si="43"/>
        <v>0.37723916816189662</v>
      </c>
      <c r="Q71" s="1152">
        <f t="shared" si="43"/>
        <v>0.37846169524343332</v>
      </c>
      <c r="R71" s="1152">
        <f t="shared" si="43"/>
        <v>0.36303649332957805</v>
      </c>
      <c r="S71" s="1152">
        <f t="shared" si="43"/>
        <v>0.37901450341888204</v>
      </c>
      <c r="T71" s="1152">
        <f t="shared" si="43"/>
        <v>0.3833687145086932</v>
      </c>
      <c r="U71" s="1152"/>
      <c r="V71" s="1152"/>
      <c r="W71" s="1152"/>
      <c r="X71" s="1152"/>
      <c r="Y71" s="1152"/>
      <c r="Z71" s="1152"/>
      <c r="AA71" s="1152"/>
      <c r="AB71" s="1152"/>
      <c r="AC71" s="1152"/>
      <c r="AD71" s="1152"/>
      <c r="AE71" s="1152"/>
      <c r="AF71" s="1152"/>
      <c r="AG71" s="1152"/>
      <c r="AH71" s="1152"/>
      <c r="AI71" s="685"/>
      <c r="AJ71" s="685"/>
      <c r="AK71" s="685"/>
      <c r="AL71" s="685"/>
      <c r="AM71" s="685"/>
      <c r="AN71" s="685"/>
      <c r="AO71" s="685"/>
      <c r="AP71" s="685"/>
      <c r="AQ71" s="685"/>
      <c r="AR71" s="685"/>
      <c r="AS71" s="685"/>
      <c r="AT71" s="685"/>
      <c r="AU71" s="685"/>
      <c r="AV71" s="685"/>
      <c r="AW71" s="685"/>
      <c r="AX71" s="685"/>
      <c r="AY71" s="685"/>
      <c r="AZ71" s="685"/>
      <c r="BA71" s="685"/>
      <c r="BB71" s="685"/>
      <c r="BC71" s="685"/>
      <c r="BD71" s="685"/>
    </row>
    <row r="72" spans="1:56" hidden="1">
      <c r="A72" s="685"/>
      <c r="B72" s="1151" t="str">
        <f>B54</f>
        <v>Publishing</v>
      </c>
      <c r="C72" s="1128"/>
      <c r="D72" s="1128"/>
      <c r="E72" s="1128"/>
      <c r="F72" s="1128"/>
      <c r="G72" s="1128"/>
      <c r="H72" s="1152">
        <f>H54/H20</f>
        <v>5.6822684992942629E-2</v>
      </c>
      <c r="I72" s="1152">
        <f>I54/I20</f>
        <v>0.13168813475352986</v>
      </c>
      <c r="J72" s="1152">
        <f>J54/J20</f>
        <v>0.14245880067673411</v>
      </c>
      <c r="K72" s="1152">
        <f>K54/K20</f>
        <v>0.12965912711054475</v>
      </c>
      <c r="L72" s="1152">
        <f>L54/L20</f>
        <v>0.1021968119814809</v>
      </c>
      <c r="M72" s="1153"/>
      <c r="N72" s="1153"/>
      <c r="O72" s="1153"/>
      <c r="P72" s="1153"/>
      <c r="Q72" s="1153"/>
      <c r="R72" s="1153"/>
      <c r="S72" s="1153"/>
      <c r="T72" s="1153"/>
      <c r="U72" s="1153"/>
      <c r="V72" s="1153"/>
      <c r="W72" s="1153"/>
      <c r="X72" s="1153"/>
      <c r="Y72" s="1153"/>
      <c r="Z72" s="1153"/>
      <c r="AA72" s="1153"/>
      <c r="AB72" s="1153"/>
      <c r="AC72" s="1153"/>
      <c r="AD72" s="1153"/>
      <c r="AE72" s="1153"/>
      <c r="AF72" s="1153"/>
      <c r="AG72" s="1153"/>
      <c r="AH72" s="1153"/>
      <c r="AI72" s="685"/>
      <c r="AJ72" s="685"/>
      <c r="AK72" s="685"/>
      <c r="AL72" s="685"/>
      <c r="AM72" s="685"/>
      <c r="AN72" s="685"/>
      <c r="AO72" s="685"/>
      <c r="AP72" s="685"/>
      <c r="AQ72" s="685"/>
      <c r="AR72" s="685"/>
      <c r="AS72" s="685"/>
      <c r="AT72" s="685"/>
      <c r="AU72" s="685"/>
      <c r="AV72" s="685"/>
      <c r="AW72" s="685"/>
      <c r="AX72" s="685"/>
      <c r="AY72" s="685"/>
      <c r="AZ72" s="685"/>
      <c r="BA72" s="685"/>
      <c r="BB72" s="685"/>
      <c r="BC72" s="685"/>
      <c r="BD72" s="685"/>
    </row>
    <row r="73" spans="1:56">
      <c r="A73" s="685"/>
      <c r="B73" s="1151" t="str">
        <f>B55</f>
        <v>Satellite (Sky)</v>
      </c>
      <c r="C73" s="1128"/>
      <c r="D73" s="1128"/>
      <c r="E73" s="1128"/>
      <c r="F73" s="1128"/>
      <c r="G73" s="1128"/>
      <c r="H73" s="1152">
        <f t="shared" ref="H73:AF73" si="44">H55/H23</f>
        <v>0.44767168743940589</v>
      </c>
      <c r="I73" s="1152">
        <f t="shared" si="44"/>
        <v>0.45118330043918137</v>
      </c>
      <c r="J73" s="1152">
        <f t="shared" si="44"/>
        <v>0.46395602282197573</v>
      </c>
      <c r="K73" s="1152">
        <f t="shared" si="44"/>
        <v>0.45335766726118876</v>
      </c>
      <c r="L73" s="1152">
        <f t="shared" si="44"/>
        <v>0.45597982395656689</v>
      </c>
      <c r="M73" s="1152">
        <f t="shared" si="44"/>
        <v>0.46925736491699283</v>
      </c>
      <c r="N73" s="1152">
        <f t="shared" si="44"/>
        <v>0.46600877762484738</v>
      </c>
      <c r="O73" s="1152">
        <f t="shared" si="44"/>
        <v>0.45113758591143599</v>
      </c>
      <c r="P73" s="1152">
        <f t="shared" si="44"/>
        <v>0.45533180159481013</v>
      </c>
      <c r="Q73" s="1152">
        <f t="shared" si="44"/>
        <v>0.44391418961912554</v>
      </c>
      <c r="R73" s="1152">
        <f t="shared" si="44"/>
        <v>0.42727315313627207</v>
      </c>
      <c r="S73" s="1152">
        <f t="shared" si="44"/>
        <v>0.41273656295319111</v>
      </c>
      <c r="T73" s="1152">
        <f t="shared" si="44"/>
        <v>0.38608773028974064</v>
      </c>
      <c r="U73" s="1152">
        <f t="shared" si="44"/>
        <v>0.31546929544225377</v>
      </c>
      <c r="V73" s="1152">
        <f t="shared" si="44"/>
        <v>0.3259217978754862</v>
      </c>
      <c r="W73" s="1152">
        <f t="shared" si="44"/>
        <v>0.31076882145968987</v>
      </c>
      <c r="X73" s="1152">
        <f t="shared" si="44"/>
        <v>0.30499999999999999</v>
      </c>
      <c r="Y73" s="1152">
        <f t="shared" si="44"/>
        <v>0.3</v>
      </c>
      <c r="Z73" s="1152">
        <f t="shared" si="44"/>
        <v>0.29499999999999998</v>
      </c>
      <c r="AA73" s="1152">
        <f t="shared" si="44"/>
        <v>0.28499999999999998</v>
      </c>
      <c r="AB73" s="1152">
        <f t="shared" si="44"/>
        <v>0.27499999999999997</v>
      </c>
      <c r="AC73" s="1152">
        <f t="shared" si="44"/>
        <v>0.26499999999999996</v>
      </c>
      <c r="AD73" s="1152">
        <f t="shared" si="44"/>
        <v>0.25499999999999995</v>
      </c>
      <c r="AE73" s="1152">
        <f t="shared" si="44"/>
        <v>0.24499999999999994</v>
      </c>
      <c r="AF73" s="1152">
        <f t="shared" si="44"/>
        <v>0.23499999999999993</v>
      </c>
      <c r="AG73" s="1152"/>
      <c r="AH73" s="1152"/>
      <c r="AI73" s="685"/>
      <c r="AJ73" s="685"/>
      <c r="AK73" s="685"/>
      <c r="AL73" s="685"/>
      <c r="AM73" s="685"/>
      <c r="AN73" s="685"/>
      <c r="AO73" s="685"/>
      <c r="AP73" s="685"/>
      <c r="AQ73" s="685"/>
      <c r="AR73" s="685"/>
      <c r="AS73" s="685"/>
      <c r="AT73" s="685"/>
      <c r="AU73" s="685"/>
      <c r="AV73" s="685"/>
      <c r="AW73" s="685"/>
      <c r="AX73" s="685"/>
      <c r="AY73" s="685"/>
      <c r="AZ73" s="685"/>
      <c r="BA73" s="685"/>
      <c r="BB73" s="685"/>
      <c r="BC73" s="685"/>
      <c r="BD73" s="685"/>
    </row>
    <row r="74" spans="1:56">
      <c r="A74" s="685"/>
      <c r="B74" s="1151" t="str">
        <f>B56</f>
        <v>Residential and Enterprise</v>
      </c>
      <c r="C74" s="1128"/>
      <c r="D74" s="1128"/>
      <c r="E74" s="1128"/>
      <c r="F74" s="1128"/>
      <c r="G74" s="1128"/>
      <c r="H74" s="1152">
        <f t="shared" ref="H74:AH74" si="45">H56/H21</f>
        <v>0.32158585541621126</v>
      </c>
      <c r="I74" s="1152">
        <f t="shared" si="45"/>
        <v>0.33070372941037057</v>
      </c>
      <c r="J74" s="1152">
        <f t="shared" si="45"/>
        <v>0.350484767590243</v>
      </c>
      <c r="K74" s="1152">
        <f t="shared" si="45"/>
        <v>0.37332374248574213</v>
      </c>
      <c r="L74" s="1152">
        <f t="shared" si="45"/>
        <v>0.35777300627815251</v>
      </c>
      <c r="M74" s="1152">
        <f t="shared" si="45"/>
        <v>0.37650211107502435</v>
      </c>
      <c r="N74" s="1152">
        <f t="shared" si="45"/>
        <v>0.40036084989276299</v>
      </c>
      <c r="O74" s="1152">
        <f t="shared" si="45"/>
        <v>0.4150340528540431</v>
      </c>
      <c r="P74" s="1152">
        <f t="shared" si="45"/>
        <v>0.42468530622125394</v>
      </c>
      <c r="Q74" s="1152">
        <f t="shared" si="45"/>
        <v>0.42234979162641789</v>
      </c>
      <c r="R74" s="1152">
        <f t="shared" si="45"/>
        <v>0.42679008201045515</v>
      </c>
      <c r="S74" s="1152">
        <f t="shared" si="45"/>
        <v>0.41656398579587411</v>
      </c>
      <c r="T74" s="1152">
        <f t="shared" si="45"/>
        <v>0.4224202378547674</v>
      </c>
      <c r="U74" s="1152">
        <f t="shared" si="45"/>
        <v>0.41111464560293148</v>
      </c>
      <c r="V74" s="1152">
        <f t="shared" si="45"/>
        <v>0.38374058706008912</v>
      </c>
      <c r="W74" s="1152">
        <f t="shared" si="45"/>
        <v>0.39004916337855799</v>
      </c>
      <c r="X74" s="1153">
        <f t="shared" si="45"/>
        <v>0.41316699270546353</v>
      </c>
      <c r="Y74" s="1153">
        <f t="shared" si="45"/>
        <v>0.4260848445828429</v>
      </c>
      <c r="Z74" s="1153">
        <f t="shared" si="45"/>
        <v>0.42821134809847455</v>
      </c>
      <c r="AA74" s="1153">
        <f t="shared" si="45"/>
        <v>0.42917853179412924</v>
      </c>
      <c r="AB74" s="1153">
        <f t="shared" si="45"/>
        <v>0.43050459948890479</v>
      </c>
      <c r="AC74" s="1153">
        <f t="shared" si="45"/>
        <v>0.43356531720074643</v>
      </c>
      <c r="AD74" s="1153">
        <f t="shared" si="45"/>
        <v>0.43856547245824734</v>
      </c>
      <c r="AE74" s="1153">
        <f t="shared" si="45"/>
        <v>0.44359489054783685</v>
      </c>
      <c r="AF74" s="1153">
        <f t="shared" si="45"/>
        <v>0.44864957174658004</v>
      </c>
      <c r="AG74" s="1153">
        <f t="shared" si="45"/>
        <v>0.45000000000000007</v>
      </c>
      <c r="AH74" s="1153">
        <f t="shared" si="45"/>
        <v>0.45250000000000001</v>
      </c>
      <c r="AI74" s="685"/>
      <c r="AJ74" s="685"/>
      <c r="AK74" s="685"/>
      <c r="AL74" s="685"/>
      <c r="AM74" s="685"/>
      <c r="AN74" s="685"/>
      <c r="AO74" s="685"/>
      <c r="AP74" s="685"/>
      <c r="AQ74" s="685"/>
      <c r="AR74" s="685"/>
      <c r="AS74" s="685"/>
      <c r="AT74" s="685"/>
      <c r="AU74" s="685"/>
      <c r="AV74" s="685"/>
      <c r="AW74" s="685"/>
      <c r="AX74" s="685"/>
      <c r="AY74" s="685"/>
      <c r="AZ74" s="685"/>
      <c r="BA74" s="685"/>
      <c r="BB74" s="685"/>
      <c r="BC74" s="685"/>
      <c r="BD74" s="685"/>
    </row>
    <row r="75" spans="1:56" hidden="1">
      <c r="A75" s="685"/>
      <c r="B75" s="1154" t="str">
        <f>B57</f>
        <v>Other Businesses</v>
      </c>
      <c r="C75" s="1155"/>
      <c r="D75" s="1155"/>
      <c r="E75" s="1155"/>
      <c r="F75" s="1155"/>
      <c r="G75" s="1155"/>
      <c r="H75" s="1156">
        <f t="shared" ref="H75:V75" si="46">H57/H25</f>
        <v>-8.3176711591703353E-2</v>
      </c>
      <c r="I75" s="1156">
        <f t="shared" si="46"/>
        <v>-4.3097342811425979E-2</v>
      </c>
      <c r="J75" s="1156">
        <f t="shared" si="46"/>
        <v>-3.0743490536442875E-2</v>
      </c>
      <c r="K75" s="1156">
        <f t="shared" si="46"/>
        <v>4.3643443985372864E-2</v>
      </c>
      <c r="L75" s="1156">
        <f t="shared" si="46"/>
        <v>0.10158599382080326</v>
      </c>
      <c r="M75" s="1156">
        <f t="shared" si="46"/>
        <v>7.9373979181395202E-2</v>
      </c>
      <c r="N75" s="1156">
        <f t="shared" si="46"/>
        <v>9.2709525743756391E-2</v>
      </c>
      <c r="O75" s="1156">
        <f t="shared" si="46"/>
        <v>0.11787093777964047</v>
      </c>
      <c r="P75" s="1156">
        <f t="shared" si="46"/>
        <v>5.8500477554918814E-2</v>
      </c>
      <c r="Q75" s="1156">
        <f t="shared" si="46"/>
        <v>8.7308939323761006E-2</v>
      </c>
      <c r="R75" s="1156">
        <f t="shared" si="46"/>
        <v>0.17853223092119702</v>
      </c>
      <c r="S75" s="1156">
        <f t="shared" si="46"/>
        <v>2.7245088868101029E-2</v>
      </c>
      <c r="T75" s="1156">
        <f t="shared" si="46"/>
        <v>0.1804100137201487</v>
      </c>
      <c r="U75" s="1156">
        <f t="shared" si="46"/>
        <v>0.23041914209407532</v>
      </c>
      <c r="V75" s="1156">
        <f t="shared" si="46"/>
        <v>0.24806240947322949</v>
      </c>
      <c r="W75" s="1156"/>
      <c r="X75" s="1156"/>
      <c r="Y75" s="1156"/>
      <c r="Z75" s="1156"/>
      <c r="AA75" s="1156"/>
      <c r="AB75" s="1156"/>
      <c r="AC75" s="1156"/>
      <c r="AD75" s="1156"/>
      <c r="AE75" s="1156"/>
      <c r="AF75" s="1156"/>
      <c r="AG75" s="1156"/>
      <c r="AH75" s="1156"/>
      <c r="AI75" s="685"/>
      <c r="AJ75" s="685"/>
      <c r="AK75" s="685"/>
      <c r="AL75" s="685"/>
      <c r="AM75" s="685"/>
      <c r="AN75" s="685"/>
      <c r="AO75" s="685"/>
      <c r="AP75" s="685"/>
      <c r="AQ75" s="685"/>
      <c r="AR75" s="685"/>
      <c r="AS75" s="685"/>
      <c r="AT75" s="685"/>
      <c r="AU75" s="685"/>
      <c r="AV75" s="685"/>
      <c r="AW75" s="685"/>
      <c r="AX75" s="685"/>
      <c r="AY75" s="685"/>
      <c r="AZ75" s="685"/>
      <c r="BA75" s="685"/>
      <c r="BB75" s="685"/>
      <c r="BC75" s="685"/>
      <c r="BD75" s="685"/>
    </row>
    <row r="76" spans="1:56">
      <c r="A76" s="685"/>
      <c r="B76" s="1380" t="s">
        <v>214</v>
      </c>
      <c r="C76" s="1381"/>
      <c r="D76" s="1381"/>
      <c r="E76" s="1381"/>
      <c r="F76" s="1381"/>
      <c r="G76" s="1381"/>
      <c r="H76" s="2161">
        <f t="shared" ref="H76:AH76" si="47">H58/H28</f>
        <v>0.39625710723102919</v>
      </c>
      <c r="I76" s="2161">
        <f t="shared" si="47"/>
        <v>0.39862211529154745</v>
      </c>
      <c r="J76" s="2161">
        <f t="shared" si="47"/>
        <v>0.40541533839872806</v>
      </c>
      <c r="K76" s="2161">
        <f t="shared" si="47"/>
        <v>0.41006402041264017</v>
      </c>
      <c r="L76" s="2161">
        <f t="shared" si="47"/>
        <v>0.40464755751176246</v>
      </c>
      <c r="M76" s="2161">
        <f t="shared" si="47"/>
        <v>0.40289995806206819</v>
      </c>
      <c r="N76" s="2161">
        <f t="shared" si="47"/>
        <v>0.40538886112751549</v>
      </c>
      <c r="O76" s="2161">
        <f t="shared" si="47"/>
        <v>0.40423980707756152</v>
      </c>
      <c r="P76" s="2161">
        <f t="shared" si="47"/>
        <v>0.39731636170776985</v>
      </c>
      <c r="Q76" s="2161">
        <f t="shared" si="47"/>
        <v>0.40152995755601617</v>
      </c>
      <c r="R76" s="2161">
        <f t="shared" si="47"/>
        <v>0.4074988127244149</v>
      </c>
      <c r="S76" s="2161">
        <f t="shared" si="47"/>
        <v>0.41704868213670604</v>
      </c>
      <c r="T76" s="2161">
        <f t="shared" si="47"/>
        <v>0.41996468376709062</v>
      </c>
      <c r="U76" s="2161">
        <f t="shared" si="47"/>
        <v>0.37086443716518414</v>
      </c>
      <c r="V76" s="2161">
        <f t="shared" si="47"/>
        <v>0.35803242331691698</v>
      </c>
      <c r="W76" s="2161">
        <f t="shared" si="47"/>
        <v>0.37194980140333417</v>
      </c>
      <c r="X76" s="2161">
        <f t="shared" si="47"/>
        <v>0.39100889633174929</v>
      </c>
      <c r="Y76" s="2161">
        <f t="shared" si="47"/>
        <v>0.40500000000000003</v>
      </c>
      <c r="Z76" s="2161">
        <f t="shared" si="47"/>
        <v>0.41199999999999998</v>
      </c>
      <c r="AA76" s="2161">
        <f t="shared" si="47"/>
        <v>0.42</v>
      </c>
      <c r="AB76" s="2161">
        <f t="shared" si="47"/>
        <v>0.42499999999999999</v>
      </c>
      <c r="AC76" s="2161">
        <f t="shared" si="47"/>
        <v>0.43000000000000005</v>
      </c>
      <c r="AD76" s="2161">
        <f t="shared" si="47"/>
        <v>0.43500000000000005</v>
      </c>
      <c r="AE76" s="2161">
        <f t="shared" si="47"/>
        <v>0.44</v>
      </c>
      <c r="AF76" s="2161">
        <f t="shared" si="47"/>
        <v>0.44500000000000001</v>
      </c>
      <c r="AG76" s="2161">
        <f t="shared" si="47"/>
        <v>0.45000000000000007</v>
      </c>
      <c r="AH76" s="2161">
        <f t="shared" si="47"/>
        <v>0.45250000000000001</v>
      </c>
      <c r="AI76" s="685"/>
      <c r="AJ76" s="685"/>
      <c r="AK76" s="685"/>
      <c r="AL76" s="685"/>
      <c r="AM76" s="685"/>
      <c r="AN76" s="685"/>
      <c r="AO76" s="685"/>
      <c r="AP76" s="685"/>
      <c r="AQ76" s="685"/>
      <c r="AR76" s="685"/>
      <c r="AS76" s="685"/>
      <c r="AT76" s="685"/>
      <c r="AU76" s="685"/>
      <c r="AV76" s="685"/>
      <c r="AW76" s="685"/>
      <c r="AX76" s="685"/>
      <c r="AY76" s="685"/>
      <c r="AZ76" s="685"/>
      <c r="BA76" s="685"/>
      <c r="BB76" s="685"/>
      <c r="BC76" s="685"/>
      <c r="BD76" s="685"/>
    </row>
    <row r="77" spans="1:56">
      <c r="A77" s="685"/>
      <c r="B77" s="1163" t="s">
        <v>211</v>
      </c>
      <c r="C77" s="1505"/>
      <c r="D77" s="1505"/>
      <c r="E77" s="1505"/>
      <c r="F77" s="1505"/>
      <c r="G77" s="1505"/>
      <c r="H77" s="1506">
        <f t="shared" ref="H77:AH77" si="48">H63/H28</f>
        <v>0.38368843157144772</v>
      </c>
      <c r="I77" s="1506">
        <f t="shared" si="48"/>
        <v>0.37278245599480098</v>
      </c>
      <c r="J77" s="1506">
        <f t="shared" si="48"/>
        <v>0.37766592363557921</v>
      </c>
      <c r="K77" s="1506">
        <f t="shared" si="48"/>
        <v>0.38409072541073513</v>
      </c>
      <c r="L77" s="1506">
        <f t="shared" si="48"/>
        <v>0.38222253543159562</v>
      </c>
      <c r="M77" s="1506">
        <f t="shared" si="48"/>
        <v>0.37454442425210693</v>
      </c>
      <c r="N77" s="1506">
        <f t="shared" si="48"/>
        <v>0.36768386862308627</v>
      </c>
      <c r="O77" s="1506">
        <f t="shared" si="48"/>
        <v>0.34872579382141378</v>
      </c>
      <c r="P77" s="1506">
        <f t="shared" si="48"/>
        <v>0.3477061787324317</v>
      </c>
      <c r="Q77" s="1506">
        <f t="shared" si="48"/>
        <v>0.36099595301549697</v>
      </c>
      <c r="R77" s="1506">
        <f t="shared" si="48"/>
        <v>0.37971060281806562</v>
      </c>
      <c r="S77" s="1506">
        <f t="shared" si="48"/>
        <v>0.39953653708166598</v>
      </c>
      <c r="T77" s="1506">
        <f t="shared" si="48"/>
        <v>0.4211827846888288</v>
      </c>
      <c r="U77" s="1506">
        <f t="shared" si="48"/>
        <v>0.33810644196878975</v>
      </c>
      <c r="V77" s="1506">
        <f t="shared" si="48"/>
        <v>0.32703384534465535</v>
      </c>
      <c r="W77" s="1506">
        <f t="shared" si="48"/>
        <v>0.28415950026006698</v>
      </c>
      <c r="X77" s="1506">
        <f t="shared" si="48"/>
        <v>0.36321422869585013</v>
      </c>
      <c r="Y77" s="1506">
        <f t="shared" si="48"/>
        <v>0.37985715392462455</v>
      </c>
      <c r="Z77" s="1506">
        <f t="shared" si="48"/>
        <v>0.38685715392462455</v>
      </c>
      <c r="AA77" s="1506">
        <f t="shared" si="48"/>
        <v>0.3948571539246245</v>
      </c>
      <c r="AB77" s="1506">
        <f t="shared" si="48"/>
        <v>0.39985715392462451</v>
      </c>
      <c r="AC77" s="1506">
        <f t="shared" si="48"/>
        <v>0.40485715392462457</v>
      </c>
      <c r="AD77" s="1506">
        <f t="shared" si="48"/>
        <v>0.40985715392462452</v>
      </c>
      <c r="AE77" s="1506">
        <f t="shared" si="48"/>
        <v>0.41485715392462447</v>
      </c>
      <c r="AF77" s="1506">
        <f t="shared" si="48"/>
        <v>0.41985715392462447</v>
      </c>
      <c r="AG77" s="1506">
        <f t="shared" si="48"/>
        <v>0.42485715392462459</v>
      </c>
      <c r="AH77" s="1506">
        <f t="shared" si="48"/>
        <v>0.42735715392462453</v>
      </c>
      <c r="AI77" s="685"/>
      <c r="AJ77" s="685"/>
      <c r="AK77" s="685"/>
      <c r="AL77" s="685"/>
      <c r="AM77" s="685"/>
      <c r="AN77" s="685"/>
      <c r="AO77" s="685"/>
      <c r="AP77" s="685"/>
      <c r="AQ77" s="685"/>
      <c r="AR77" s="685"/>
      <c r="AS77" s="685"/>
      <c r="AT77" s="685"/>
      <c r="AU77" s="685"/>
      <c r="AV77" s="685"/>
      <c r="AW77" s="685"/>
      <c r="AX77" s="685"/>
      <c r="AY77" s="685"/>
      <c r="AZ77" s="685"/>
      <c r="BA77" s="685"/>
      <c r="BB77" s="685"/>
      <c r="BC77" s="685"/>
      <c r="BD77" s="685"/>
    </row>
    <row r="78" spans="1:56">
      <c r="A78" s="685"/>
      <c r="B78" s="1113"/>
      <c r="C78" s="1128"/>
      <c r="D78" s="1128"/>
      <c r="E78" s="1128"/>
      <c r="F78" s="1128"/>
      <c r="G78" s="1128"/>
      <c r="H78" s="1128"/>
      <c r="I78" s="1128"/>
      <c r="J78" s="1128"/>
      <c r="K78" s="1131"/>
      <c r="L78" s="1131"/>
      <c r="M78" s="1128"/>
      <c r="N78" s="1128"/>
      <c r="O78" s="1128"/>
      <c r="P78" s="1128"/>
      <c r="Q78" s="1128"/>
      <c r="R78" s="1128"/>
      <c r="S78" s="1128"/>
      <c r="T78" s="1128"/>
      <c r="U78" s="1128"/>
      <c r="V78" s="1128"/>
      <c r="W78" s="1128"/>
      <c r="X78" s="1128"/>
      <c r="Y78" s="1128"/>
      <c r="Z78" s="1128"/>
      <c r="AA78" s="1128"/>
      <c r="AB78" s="1128"/>
      <c r="AC78" s="1128"/>
      <c r="AD78" s="1128"/>
      <c r="AE78" s="1128"/>
      <c r="AF78" s="1128"/>
      <c r="AG78" s="1128"/>
      <c r="AH78" s="1128"/>
      <c r="AI78" s="685"/>
      <c r="AJ78" s="685"/>
      <c r="AK78" s="685"/>
      <c r="AL78" s="685"/>
      <c r="AM78" s="685"/>
      <c r="AN78" s="685"/>
      <c r="AO78" s="685"/>
      <c r="AP78" s="685"/>
      <c r="AQ78" s="685"/>
      <c r="AR78" s="685"/>
      <c r="AS78" s="685"/>
      <c r="AT78" s="685"/>
      <c r="AU78" s="685"/>
      <c r="AV78" s="685"/>
      <c r="AW78" s="685"/>
      <c r="AX78" s="685"/>
      <c r="AY78" s="685"/>
      <c r="AZ78" s="685"/>
      <c r="BA78" s="685"/>
      <c r="BB78" s="685"/>
      <c r="BC78" s="685"/>
      <c r="BD78" s="685"/>
    </row>
    <row r="79" spans="1:56">
      <c r="A79" s="685"/>
      <c r="B79" s="1113"/>
      <c r="C79" s="1128"/>
      <c r="D79" s="1128"/>
      <c r="E79" s="1128"/>
      <c r="F79" s="1128"/>
      <c r="G79" s="1128"/>
      <c r="H79" s="1128"/>
      <c r="I79" s="1128"/>
      <c r="J79" s="1128"/>
      <c r="K79" s="1131"/>
      <c r="L79" s="1131"/>
      <c r="M79" s="1128"/>
      <c r="N79" s="1128"/>
      <c r="O79" s="1128"/>
      <c r="P79" s="1128"/>
      <c r="Q79" s="1128"/>
      <c r="R79" s="1128"/>
      <c r="S79" s="1128"/>
      <c r="T79" s="1128"/>
      <c r="U79" s="1128"/>
      <c r="V79" s="1128"/>
      <c r="W79" s="1128"/>
      <c r="X79" s="1128"/>
      <c r="Y79" s="1128"/>
      <c r="Z79" s="1128"/>
      <c r="AA79" s="1128"/>
      <c r="AB79" s="1128"/>
      <c r="AC79" s="1128"/>
      <c r="AD79" s="1128"/>
      <c r="AE79" s="1128"/>
      <c r="AF79" s="1128"/>
      <c r="AG79" s="1128"/>
      <c r="AH79" s="1128"/>
      <c r="AI79" s="685"/>
      <c r="AJ79" s="685"/>
      <c r="AK79" s="685"/>
      <c r="AL79" s="685"/>
      <c r="AM79" s="685"/>
      <c r="AN79" s="685"/>
      <c r="AO79" s="685"/>
      <c r="AP79" s="685"/>
      <c r="AQ79" s="685"/>
      <c r="AR79" s="685"/>
      <c r="AS79" s="685"/>
      <c r="AT79" s="685"/>
      <c r="AU79" s="685"/>
      <c r="AV79" s="685"/>
      <c r="AW79" s="685"/>
      <c r="AX79" s="685"/>
      <c r="AY79" s="685"/>
      <c r="AZ79" s="685"/>
      <c r="BA79" s="685"/>
      <c r="BB79" s="685"/>
      <c r="BC79" s="685"/>
      <c r="BD79" s="685"/>
    </row>
    <row r="80" spans="1:56">
      <c r="A80" s="685"/>
      <c r="B80" s="1113"/>
      <c r="C80" s="1128"/>
      <c r="D80" s="1128"/>
      <c r="E80" s="1128"/>
      <c r="F80" s="1128"/>
      <c r="G80" s="1128"/>
      <c r="H80" s="1128"/>
      <c r="I80" s="1128"/>
      <c r="J80" s="1128"/>
      <c r="K80" s="1131"/>
      <c r="L80" s="1131"/>
      <c r="M80" s="1128"/>
      <c r="N80" s="1128"/>
      <c r="O80" s="1128"/>
      <c r="P80" s="1128"/>
      <c r="Q80" s="1128"/>
      <c r="R80" s="1128"/>
      <c r="S80" s="1128"/>
      <c r="T80" s="1128"/>
      <c r="U80" s="1128"/>
      <c r="V80" s="1128"/>
      <c r="W80" s="1128"/>
      <c r="X80" s="1128"/>
      <c r="Y80" s="1128"/>
      <c r="Z80" s="1128"/>
      <c r="AA80" s="1128"/>
      <c r="AB80" s="1128"/>
      <c r="AC80" s="1128"/>
      <c r="AD80" s="1128"/>
      <c r="AE80" s="1128"/>
      <c r="AF80" s="1128"/>
      <c r="AG80" s="1128"/>
      <c r="AH80" s="1128"/>
      <c r="AI80" s="685"/>
      <c r="AJ80" s="685"/>
      <c r="AK80" s="685"/>
      <c r="AL80" s="685"/>
      <c r="AM80" s="685"/>
      <c r="AN80" s="685"/>
      <c r="AO80" s="685"/>
      <c r="AP80" s="685"/>
      <c r="AQ80" s="685"/>
      <c r="AR80" s="685"/>
      <c r="AS80" s="685"/>
      <c r="AT80" s="685"/>
      <c r="AU80" s="685"/>
      <c r="AV80" s="685"/>
      <c r="AW80" s="685"/>
      <c r="AX80" s="685"/>
      <c r="AY80" s="685"/>
      <c r="AZ80" s="685"/>
      <c r="BA80" s="685"/>
      <c r="BB80" s="685"/>
      <c r="BC80" s="685"/>
      <c r="BD80" s="685"/>
    </row>
    <row r="81" spans="1:56">
      <c r="A81" s="685"/>
      <c r="B81" s="1112" t="s">
        <v>35</v>
      </c>
      <c r="C81" s="1112"/>
      <c r="D81" s="1112">
        <f t="shared" ref="D81:AH81" si="49">D2</f>
        <v>2005</v>
      </c>
      <c r="E81" s="1112">
        <f t="shared" si="49"/>
        <v>2006</v>
      </c>
      <c r="F81" s="1112">
        <f t="shared" si="49"/>
        <v>2007</v>
      </c>
      <c r="G81" s="1112">
        <f t="shared" si="49"/>
        <v>2008</v>
      </c>
      <c r="H81" s="1112">
        <f t="shared" si="49"/>
        <v>2009</v>
      </c>
      <c r="I81" s="1112">
        <f t="shared" si="49"/>
        <v>2010</v>
      </c>
      <c r="J81" s="1112">
        <f t="shared" si="49"/>
        <v>2011</v>
      </c>
      <c r="K81" s="1112">
        <f t="shared" si="49"/>
        <v>2012</v>
      </c>
      <c r="L81" s="1112">
        <f t="shared" si="49"/>
        <v>2013</v>
      </c>
      <c r="M81" s="1112">
        <f t="shared" si="49"/>
        <v>2014</v>
      </c>
      <c r="N81" s="1112">
        <f t="shared" si="49"/>
        <v>2015</v>
      </c>
      <c r="O81" s="1112">
        <f t="shared" si="49"/>
        <v>2016</v>
      </c>
      <c r="P81" s="1112">
        <f t="shared" si="49"/>
        <v>2017</v>
      </c>
      <c r="Q81" s="1112">
        <f t="shared" si="49"/>
        <v>2018</v>
      </c>
      <c r="R81" s="1112">
        <f t="shared" si="49"/>
        <v>2019</v>
      </c>
      <c r="S81" s="1112">
        <f t="shared" si="49"/>
        <v>2020</v>
      </c>
      <c r="T81" s="1112">
        <f t="shared" si="49"/>
        <v>2021</v>
      </c>
      <c r="U81" s="1112">
        <f t="shared" si="49"/>
        <v>2022</v>
      </c>
      <c r="V81" s="1112">
        <f t="shared" si="49"/>
        <v>2023</v>
      </c>
      <c r="W81" s="1112">
        <f t="shared" si="49"/>
        <v>2024</v>
      </c>
      <c r="X81" s="1112">
        <f t="shared" si="49"/>
        <v>2025</v>
      </c>
      <c r="Y81" s="1112">
        <f t="shared" si="49"/>
        <v>2026</v>
      </c>
      <c r="Z81" s="1112">
        <f t="shared" si="49"/>
        <v>2027</v>
      </c>
      <c r="AA81" s="1112">
        <f t="shared" si="49"/>
        <v>2028</v>
      </c>
      <c r="AB81" s="1112">
        <f t="shared" si="49"/>
        <v>2029</v>
      </c>
      <c r="AC81" s="1112">
        <f t="shared" si="49"/>
        <v>2030</v>
      </c>
      <c r="AD81" s="1112">
        <f t="shared" si="49"/>
        <v>2031</v>
      </c>
      <c r="AE81" s="1112">
        <f t="shared" si="49"/>
        <v>2032</v>
      </c>
      <c r="AF81" s="1112">
        <f t="shared" si="49"/>
        <v>2033</v>
      </c>
      <c r="AG81" s="1112">
        <f t="shared" si="49"/>
        <v>2034</v>
      </c>
      <c r="AH81" s="1112">
        <f t="shared" si="49"/>
        <v>2035</v>
      </c>
      <c r="AI81" s="685"/>
      <c r="AJ81" s="685"/>
      <c r="AK81" s="685"/>
      <c r="AL81" s="685"/>
      <c r="AM81" s="685"/>
      <c r="AN81" s="685"/>
      <c r="AO81" s="685"/>
      <c r="AP81" s="685"/>
      <c r="AQ81" s="685"/>
      <c r="AR81" s="685"/>
      <c r="AS81" s="685"/>
      <c r="AT81" s="685"/>
      <c r="AU81" s="685"/>
      <c r="AV81" s="685"/>
      <c r="AW81" s="685"/>
      <c r="AX81" s="685"/>
      <c r="AY81" s="685"/>
      <c r="AZ81" s="685"/>
      <c r="BA81" s="685"/>
      <c r="BB81" s="685"/>
      <c r="BC81" s="685"/>
      <c r="BD81" s="685"/>
    </row>
    <row r="82" spans="1:56" hidden="1">
      <c r="A82" s="685"/>
      <c r="B82" s="1151" t="str">
        <f>B90</f>
        <v>Content/other</v>
      </c>
      <c r="C82" s="1128"/>
      <c r="D82" s="1128"/>
      <c r="E82" s="1128"/>
      <c r="F82" s="1128"/>
      <c r="G82" s="1128"/>
      <c r="H82" s="1130">
        <f t="shared" ref="H82:V82" si="50">H90*H$7</f>
        <v>1775.25</v>
      </c>
      <c r="I82" s="1130">
        <f t="shared" si="50"/>
        <v>1717.68</v>
      </c>
      <c r="J82" s="1130">
        <f t="shared" si="50"/>
        <v>1783.8959999999997</v>
      </c>
      <c r="K82" s="1130">
        <f t="shared" si="50"/>
        <v>1763.44</v>
      </c>
      <c r="L82" s="1130">
        <f t="shared" si="50"/>
        <v>2044.1519999999991</v>
      </c>
      <c r="M82" s="1130">
        <f t="shared" si="50"/>
        <v>2414.4339999999997</v>
      </c>
      <c r="N82" s="1130">
        <f t="shared" si="50"/>
        <v>2643.9419999999996</v>
      </c>
      <c r="O82" s="1130">
        <f t="shared" si="50"/>
        <v>2827.5</v>
      </c>
      <c r="P82" s="1130">
        <f t="shared" si="50"/>
        <v>2147.0399999999995</v>
      </c>
      <c r="Q82" s="1130">
        <f t="shared" si="50"/>
        <v>1824.8999999999999</v>
      </c>
      <c r="R82" s="1130">
        <f t="shared" si="50"/>
        <v>2075.15</v>
      </c>
      <c r="S82" s="1130">
        <f t="shared" si="50"/>
        <v>573.51599999999996</v>
      </c>
      <c r="T82" s="1130">
        <f t="shared" si="50"/>
        <v>1024.4188144250802</v>
      </c>
      <c r="U82" s="1130">
        <f t="shared" si="50"/>
        <v>341.87</v>
      </c>
      <c r="V82" s="1130">
        <f t="shared" si="50"/>
        <v>658.44</v>
      </c>
      <c r="W82" s="1130"/>
      <c r="X82" s="1130"/>
      <c r="Y82" s="1130"/>
      <c r="Z82" s="1130"/>
      <c r="AA82" s="1130"/>
      <c r="AB82" s="1130"/>
      <c r="AC82" s="1130"/>
      <c r="AD82" s="1130"/>
      <c r="AE82" s="1130"/>
      <c r="AF82" s="1130"/>
      <c r="AG82" s="1130"/>
      <c r="AH82" s="1130"/>
      <c r="AI82" s="1130"/>
      <c r="AJ82" s="1130"/>
      <c r="AK82" s="1130"/>
      <c r="AL82" s="1130"/>
      <c r="AM82" s="1130"/>
      <c r="AN82" s="685"/>
      <c r="AO82" s="685"/>
      <c r="AP82" s="685"/>
      <c r="AQ82" s="685"/>
      <c r="AR82" s="685"/>
      <c r="AS82" s="685"/>
      <c r="AT82" s="685"/>
      <c r="AU82" s="685"/>
      <c r="AV82" s="685"/>
      <c r="AW82" s="685"/>
      <c r="AX82" s="685"/>
      <c r="AY82" s="685"/>
      <c r="AZ82" s="685"/>
      <c r="BA82" s="685"/>
      <c r="BB82" s="685"/>
      <c r="BC82" s="685"/>
      <c r="BD82" s="685"/>
    </row>
    <row r="83" spans="1:56">
      <c r="A83" s="685"/>
      <c r="B83" s="1151" t="str">
        <f>B91</f>
        <v>Satellite (Sky)</v>
      </c>
      <c r="C83" s="1128"/>
      <c r="D83" s="1128"/>
      <c r="E83" s="1128"/>
      <c r="F83" s="1128"/>
      <c r="G83" s="1128"/>
      <c r="H83" s="1130">
        <f t="shared" ref="H83:V83" si="51">H91*H$7</f>
        <v>1738.8000000000002</v>
      </c>
      <c r="I83" s="1130">
        <f t="shared" si="51"/>
        <v>5519.31</v>
      </c>
      <c r="J83" s="1130">
        <f t="shared" si="51"/>
        <v>3005.5039999999999</v>
      </c>
      <c r="K83" s="1130">
        <f t="shared" si="51"/>
        <v>3842.7200000000003</v>
      </c>
      <c r="L83" s="1130">
        <f t="shared" si="51"/>
        <v>5074.652</v>
      </c>
      <c r="M83" s="1130">
        <f t="shared" si="51"/>
        <v>5174.9280000000008</v>
      </c>
      <c r="N83" s="1130">
        <f t="shared" si="51"/>
        <v>5738.5919999999996</v>
      </c>
      <c r="O83" s="1130">
        <f t="shared" si="51"/>
        <v>6533.4100000000008</v>
      </c>
      <c r="P83" s="1130">
        <f t="shared" si="51"/>
        <v>3995.4599999999996</v>
      </c>
      <c r="Q83" s="1130">
        <f t="shared" si="51"/>
        <v>4034.7999999999997</v>
      </c>
      <c r="R83" s="1130">
        <f t="shared" si="51"/>
        <v>4025.1749999999997</v>
      </c>
      <c r="S83" s="1130">
        <f t="shared" si="51"/>
        <v>5374.2960000000003</v>
      </c>
      <c r="T83" s="1130">
        <f t="shared" si="51"/>
        <v>4951.6956950725162</v>
      </c>
      <c r="U83" s="1130">
        <f t="shared" si="51"/>
        <v>3883.241</v>
      </c>
      <c r="V83" s="1130">
        <f t="shared" si="51"/>
        <v>2640.8399999999997</v>
      </c>
      <c r="W83" s="1130">
        <f>W91*W$7</f>
        <v>1524.39</v>
      </c>
      <c r="X83" s="1123">
        <f>'SKY Mex'!V33</f>
        <v>1638.4872989824</v>
      </c>
      <c r="Y83" s="1123">
        <f>'SKY Mex'!W33</f>
        <v>1240.9397000000001</v>
      </c>
      <c r="Z83" s="1123">
        <f>'SKY Mex'!X33</f>
        <v>868.65779000000009</v>
      </c>
      <c r="AA83" s="1123">
        <f>'SKY Mex'!Y33</f>
        <v>434.32889500000005</v>
      </c>
      <c r="AB83" s="1123">
        <f>'SKY Mex'!Z33</f>
        <v>238.88089225000004</v>
      </c>
      <c r="AC83" s="1123">
        <f>'SKY Mex'!AA33</f>
        <v>143.32853535000001</v>
      </c>
      <c r="AD83" s="1123">
        <f>'SKY Mex'!AB33</f>
        <v>133.29553787550003</v>
      </c>
      <c r="AE83" s="1123">
        <f>'SKY Mex'!AC33</f>
        <v>125.29780560297002</v>
      </c>
      <c r="AF83" s="1123">
        <f>'SKY Mex'!AD33</f>
        <v>119.03291532282151</v>
      </c>
      <c r="AG83" s="1134">
        <f>'SKY Mex'!AE33</f>
        <v>0</v>
      </c>
      <c r="AH83" s="1134">
        <f>'SKY Mex'!AF33</f>
        <v>0</v>
      </c>
      <c r="AI83" s="685"/>
      <c r="AJ83" s="685"/>
      <c r="AK83" s="685"/>
      <c r="AL83" s="685"/>
      <c r="AM83" s="685"/>
      <c r="AN83" s="685"/>
      <c r="AO83" s="685"/>
      <c r="AP83" s="685"/>
      <c r="AQ83" s="685"/>
      <c r="AR83" s="685"/>
      <c r="AS83" s="685"/>
      <c r="AT83" s="685"/>
      <c r="AU83" s="685"/>
      <c r="AV83" s="685"/>
      <c r="AW83" s="685"/>
      <c r="AX83" s="685"/>
      <c r="AY83" s="685"/>
      <c r="AZ83" s="685"/>
      <c r="BA83" s="685"/>
      <c r="BB83" s="685"/>
      <c r="BC83" s="685"/>
      <c r="BD83" s="685"/>
    </row>
    <row r="84" spans="1:56">
      <c r="A84" s="685"/>
      <c r="B84" s="1151" t="str">
        <f>B92</f>
        <v>Residential and Enterprise</v>
      </c>
      <c r="C84" s="1128"/>
      <c r="D84" s="1128"/>
      <c r="E84" s="1128"/>
      <c r="F84" s="1128"/>
      <c r="G84" s="1128"/>
      <c r="H84" s="1130">
        <f t="shared" ref="H84:V84" si="52">H92*H$7</f>
        <v>3226.5</v>
      </c>
      <c r="I84" s="1130">
        <f t="shared" si="52"/>
        <v>5531.9400000000005</v>
      </c>
      <c r="J84" s="1130">
        <f t="shared" si="52"/>
        <v>5050.6399999999994</v>
      </c>
      <c r="K84" s="1130">
        <f t="shared" si="52"/>
        <v>5987.8</v>
      </c>
      <c r="L84" s="1130">
        <f t="shared" si="52"/>
        <v>7654.7239999999993</v>
      </c>
      <c r="M84" s="1130">
        <f t="shared" si="52"/>
        <v>9355.5990000000002</v>
      </c>
      <c r="N84" s="1130">
        <f t="shared" si="52"/>
        <v>17095.164000000001</v>
      </c>
      <c r="O84" s="1130">
        <f t="shared" si="52"/>
        <v>18552.170000000002</v>
      </c>
      <c r="P84" s="1130">
        <f t="shared" si="52"/>
        <v>10578.33</v>
      </c>
      <c r="Q84" s="1130">
        <f t="shared" si="52"/>
        <v>12801.25</v>
      </c>
      <c r="R84" s="1130">
        <f t="shared" si="52"/>
        <v>12966.800000000001</v>
      </c>
      <c r="S84" s="1130">
        <f t="shared" si="52"/>
        <v>14230.5</v>
      </c>
      <c r="T84" s="1130">
        <f t="shared" si="52"/>
        <v>17333.977760915466</v>
      </c>
      <c r="U84" s="1130">
        <f t="shared" si="52"/>
        <v>12989.048999999999</v>
      </c>
      <c r="V84" s="1130">
        <f t="shared" si="52"/>
        <v>11204.1</v>
      </c>
      <c r="W84" s="1130">
        <f>W92*W$7</f>
        <v>7305.36</v>
      </c>
      <c r="X84" s="1123">
        <f>X87-X83-X85-X86</f>
        <v>10355.962701017601</v>
      </c>
      <c r="Y84" s="1123">
        <f t="shared" ref="Y84:AH84" si="53">Y87-Y83-Y85-Y86</f>
        <v>12845.11698726951</v>
      </c>
      <c r="Z84" s="1123">
        <f t="shared" si="53"/>
        <v>10108.425969721895</v>
      </c>
      <c r="AA84" s="1123">
        <f t="shared" si="53"/>
        <v>9669.4440965204867</v>
      </c>
      <c r="AB84" s="1123">
        <f t="shared" si="53"/>
        <v>9576.3305889640542</v>
      </c>
      <c r="AC84" s="1123">
        <f t="shared" si="53"/>
        <v>9507.5208259070387</v>
      </c>
      <c r="AD84" s="1123">
        <f t="shared" si="53"/>
        <v>9421.1514820881803</v>
      </c>
      <c r="AE84" s="1123">
        <f t="shared" si="53"/>
        <v>9399.8470341644606</v>
      </c>
      <c r="AF84" s="1123">
        <f t="shared" si="53"/>
        <v>9337.2402774569673</v>
      </c>
      <c r="AG84" s="1123">
        <f t="shared" si="53"/>
        <v>9343.5956636803967</v>
      </c>
      <c r="AH84" s="1123">
        <f t="shared" si="53"/>
        <v>9396.0408191442402</v>
      </c>
      <c r="AI84" s="685"/>
      <c r="AJ84" s="685"/>
      <c r="AK84" s="685"/>
      <c r="AL84" s="685"/>
      <c r="AM84" s="685"/>
      <c r="AN84" s="685"/>
      <c r="AO84" s="685"/>
      <c r="AP84" s="685"/>
      <c r="AQ84" s="685"/>
      <c r="AR84" s="685"/>
      <c r="AS84" s="685"/>
      <c r="AT84" s="685"/>
      <c r="AU84" s="685"/>
      <c r="AV84" s="685"/>
      <c r="AW84" s="685"/>
      <c r="AX84" s="685"/>
      <c r="AY84" s="685"/>
      <c r="AZ84" s="685"/>
      <c r="BA84" s="685"/>
      <c r="BB84" s="685"/>
      <c r="BC84" s="685"/>
      <c r="BD84" s="685"/>
    </row>
    <row r="85" spans="1:56">
      <c r="A85" s="685"/>
      <c r="B85" s="1151" t="s">
        <v>215</v>
      </c>
      <c r="C85" s="1128"/>
      <c r="D85" s="1128"/>
      <c r="E85" s="1128"/>
      <c r="F85" s="1128"/>
      <c r="G85" s="1128"/>
      <c r="H85" s="1130"/>
      <c r="I85" s="1130"/>
      <c r="J85" s="1130"/>
      <c r="K85" s="1130"/>
      <c r="L85" s="1130"/>
      <c r="M85" s="1130"/>
      <c r="N85" s="1130"/>
      <c r="O85" s="1130"/>
      <c r="P85" s="1130"/>
      <c r="Q85" s="1130"/>
      <c r="R85" s="1130"/>
      <c r="S85" s="1130"/>
      <c r="T85" s="1130"/>
      <c r="U85" s="1130"/>
      <c r="V85" s="1130"/>
      <c r="W85" s="1130">
        <f>W93*W$7</f>
        <v>177.51</v>
      </c>
      <c r="X85" s="1174">
        <f t="shared" ref="X85:AE86" si="54">W85</f>
        <v>177.51</v>
      </c>
      <c r="Y85" s="1174">
        <f t="shared" si="54"/>
        <v>177.51</v>
      </c>
      <c r="Z85" s="1174">
        <f t="shared" si="54"/>
        <v>177.51</v>
      </c>
      <c r="AA85" s="1174">
        <f t="shared" si="54"/>
        <v>177.51</v>
      </c>
      <c r="AB85" s="1174">
        <f t="shared" si="54"/>
        <v>177.51</v>
      </c>
      <c r="AC85" s="1174">
        <f t="shared" si="54"/>
        <v>177.51</v>
      </c>
      <c r="AD85" s="1174">
        <f t="shared" si="54"/>
        <v>177.51</v>
      </c>
      <c r="AE85" s="1174">
        <f t="shared" si="54"/>
        <v>177.51</v>
      </c>
      <c r="AF85" s="1174">
        <f t="shared" ref="AF85:AH86" si="55">AE85</f>
        <v>177.51</v>
      </c>
      <c r="AG85" s="1174">
        <f t="shared" si="55"/>
        <v>177.51</v>
      </c>
      <c r="AH85" s="1174">
        <f t="shared" si="55"/>
        <v>177.51</v>
      </c>
      <c r="AI85" s="685"/>
      <c r="AJ85" s="685"/>
      <c r="AK85" s="685"/>
      <c r="AL85" s="685"/>
      <c r="AM85" s="685"/>
      <c r="AN85" s="685"/>
      <c r="AO85" s="685"/>
      <c r="AP85" s="685"/>
      <c r="AQ85" s="685"/>
      <c r="AR85" s="685"/>
      <c r="AS85" s="685"/>
      <c r="AT85" s="685"/>
      <c r="AU85" s="685"/>
      <c r="AV85" s="685"/>
      <c r="AW85" s="685"/>
      <c r="AX85" s="685"/>
      <c r="AY85" s="685"/>
      <c r="AZ85" s="685"/>
      <c r="BA85" s="685"/>
      <c r="BB85" s="685"/>
      <c r="BC85" s="685"/>
      <c r="BD85" s="685"/>
    </row>
    <row r="86" spans="1:56">
      <c r="A86" s="685"/>
      <c r="B86" s="1151" t="s">
        <v>107</v>
      </c>
      <c r="C86" s="1128"/>
      <c r="D86" s="1128"/>
      <c r="E86" s="1128"/>
      <c r="F86" s="1128"/>
      <c r="G86" s="1128"/>
      <c r="H86" s="1130"/>
      <c r="I86" s="1130"/>
      <c r="J86" s="1130"/>
      <c r="K86" s="1130"/>
      <c r="L86" s="1130"/>
      <c r="M86" s="1130"/>
      <c r="N86" s="1130"/>
      <c r="O86" s="1130"/>
      <c r="P86" s="1130"/>
      <c r="Q86" s="1130"/>
      <c r="R86" s="1130"/>
      <c r="S86" s="1130"/>
      <c r="T86" s="1130"/>
      <c r="U86" s="1130"/>
      <c r="V86" s="1130"/>
      <c r="W86" s="1130">
        <f>W90*W$7</f>
        <v>14.64</v>
      </c>
      <c r="X86" s="1174">
        <f t="shared" si="54"/>
        <v>14.64</v>
      </c>
      <c r="Y86" s="1174">
        <f t="shared" si="54"/>
        <v>14.64</v>
      </c>
      <c r="Z86" s="1174">
        <f t="shared" si="54"/>
        <v>14.64</v>
      </c>
      <c r="AA86" s="1174">
        <f t="shared" si="54"/>
        <v>14.64</v>
      </c>
      <c r="AB86" s="1174">
        <f t="shared" si="54"/>
        <v>14.64</v>
      </c>
      <c r="AC86" s="1174">
        <f t="shared" si="54"/>
        <v>14.64</v>
      </c>
      <c r="AD86" s="1174">
        <f t="shared" si="54"/>
        <v>14.64</v>
      </c>
      <c r="AE86" s="1174">
        <f t="shared" si="54"/>
        <v>14.64</v>
      </c>
      <c r="AF86" s="1174">
        <f t="shared" si="55"/>
        <v>14.64</v>
      </c>
      <c r="AG86" s="1174">
        <f t="shared" si="55"/>
        <v>14.64</v>
      </c>
      <c r="AH86" s="1174">
        <f t="shared" si="55"/>
        <v>14.64</v>
      </c>
      <c r="AI86" s="685"/>
      <c r="AJ86" s="685"/>
      <c r="AK86" s="685"/>
      <c r="AL86" s="685"/>
      <c r="AM86" s="685"/>
      <c r="AN86" s="685"/>
      <c r="AO86" s="685"/>
      <c r="AP86" s="685"/>
      <c r="AQ86" s="685"/>
      <c r="AR86" s="685"/>
      <c r="AS86" s="685"/>
      <c r="AT86" s="685"/>
      <c r="AU86" s="685"/>
      <c r="AV86" s="685"/>
      <c r="AW86" s="685"/>
      <c r="AX86" s="685"/>
      <c r="AY86" s="685"/>
      <c r="AZ86" s="685"/>
      <c r="BA86" s="685"/>
      <c r="BB86" s="685"/>
      <c r="BC86" s="685"/>
      <c r="BD86" s="685"/>
    </row>
    <row r="87" spans="1:56">
      <c r="A87" s="685"/>
      <c r="B87" s="1200" t="s">
        <v>216</v>
      </c>
      <c r="C87" s="1381"/>
      <c r="D87" s="1381"/>
      <c r="E87" s="1381"/>
      <c r="F87" s="1381"/>
      <c r="G87" s="1381"/>
      <c r="H87" s="2069">
        <f t="shared" ref="H87:M87" si="56">H94*H$7</f>
        <v>6740.55</v>
      </c>
      <c r="I87" s="2069">
        <f t="shared" si="56"/>
        <v>12768.93</v>
      </c>
      <c r="J87" s="2069">
        <f t="shared" si="56"/>
        <v>9840.0399999999991</v>
      </c>
      <c r="K87" s="2069">
        <f t="shared" si="56"/>
        <v>11593.960000000001</v>
      </c>
      <c r="L87" s="2069">
        <f t="shared" si="56"/>
        <v>14773.527999999998</v>
      </c>
      <c r="M87" s="2069">
        <f t="shared" si="56"/>
        <v>16944.960999999999</v>
      </c>
      <c r="N87" s="1201">
        <f t="shared" ref="N87:V87" si="57">SUM(N82:N84)</f>
        <v>25477.698</v>
      </c>
      <c r="O87" s="1201">
        <f t="shared" si="57"/>
        <v>27913.08</v>
      </c>
      <c r="P87" s="1201">
        <f t="shared" si="57"/>
        <v>16720.829999999998</v>
      </c>
      <c r="Q87" s="1201">
        <f t="shared" si="57"/>
        <v>18660.95</v>
      </c>
      <c r="R87" s="1201">
        <f t="shared" si="57"/>
        <v>19067.125</v>
      </c>
      <c r="S87" s="1201">
        <f t="shared" si="57"/>
        <v>20178.311999999998</v>
      </c>
      <c r="T87" s="1201">
        <f t="shared" si="57"/>
        <v>23310.092270413064</v>
      </c>
      <c r="U87" s="1201">
        <f t="shared" si="57"/>
        <v>17214.16</v>
      </c>
      <c r="V87" s="1201">
        <f t="shared" si="57"/>
        <v>14503.380000000001</v>
      </c>
      <c r="W87" s="2070">
        <v>9097.5</v>
      </c>
      <c r="X87" s="2071">
        <v>12186.6</v>
      </c>
      <c r="Y87" s="1201">
        <f t="shared" ref="Y87:AH87" si="58">Y88*Y28</f>
        <v>14278.20668726951</v>
      </c>
      <c r="Z87" s="1201">
        <f t="shared" si="58"/>
        <v>11169.233759721894</v>
      </c>
      <c r="AA87" s="1201">
        <f t="shared" si="58"/>
        <v>10295.922991520487</v>
      </c>
      <c r="AB87" s="1201">
        <f t="shared" si="58"/>
        <v>10007.361481214053</v>
      </c>
      <c r="AC87" s="1201">
        <f t="shared" si="58"/>
        <v>9842.9993612570379</v>
      </c>
      <c r="AD87" s="1201">
        <f t="shared" si="58"/>
        <v>9746.5970199636795</v>
      </c>
      <c r="AE87" s="1201">
        <f t="shared" si="58"/>
        <v>9717.2948397674299</v>
      </c>
      <c r="AF87" s="1201">
        <f t="shared" si="58"/>
        <v>9648.4231927797882</v>
      </c>
      <c r="AG87" s="1201">
        <f t="shared" si="58"/>
        <v>9535.7456636803963</v>
      </c>
      <c r="AH87" s="1201">
        <f t="shared" si="58"/>
        <v>9588.1908191442399</v>
      </c>
      <c r="AI87" s="685"/>
      <c r="AJ87" s="685"/>
      <c r="AK87" s="685"/>
      <c r="AL87" s="685"/>
      <c r="AM87" s="685"/>
      <c r="AN87" s="685"/>
      <c r="AO87" s="685"/>
      <c r="AP87" s="685"/>
      <c r="AQ87" s="685"/>
      <c r="AR87" s="685"/>
      <c r="AS87" s="685"/>
      <c r="AT87" s="685"/>
      <c r="AU87" s="685"/>
      <c r="AV87" s="685"/>
      <c r="AW87" s="685"/>
      <c r="AX87" s="685"/>
      <c r="AY87" s="685"/>
      <c r="AZ87" s="685"/>
      <c r="BA87" s="685"/>
      <c r="BB87" s="685"/>
      <c r="BC87" s="685"/>
      <c r="BD87" s="685"/>
    </row>
    <row r="88" spans="1:56">
      <c r="A88" s="685"/>
      <c r="B88" s="1113" t="s">
        <v>217</v>
      </c>
      <c r="C88" s="1505"/>
      <c r="D88" s="1505"/>
      <c r="E88" s="1505"/>
      <c r="F88" s="1505"/>
      <c r="G88" s="1505"/>
      <c r="H88" s="1505"/>
      <c r="I88" s="1505"/>
      <c r="J88" s="1114"/>
      <c r="K88" s="1114"/>
      <c r="L88" s="1114"/>
      <c r="M88" s="1114"/>
      <c r="N88" s="1962">
        <f t="shared" ref="N88:X88" si="59">N87/N28</f>
        <v>0.28934831690364787</v>
      </c>
      <c r="O88" s="1962">
        <f t="shared" si="59"/>
        <v>0.28989338168856987</v>
      </c>
      <c r="P88" s="1962">
        <f t="shared" si="59"/>
        <v>0.17736229116945104</v>
      </c>
      <c r="Q88" s="1962">
        <f t="shared" si="59"/>
        <v>0.18419652551574375</v>
      </c>
      <c r="R88" s="1962">
        <f t="shared" si="59"/>
        <v>0.18943876141821309</v>
      </c>
      <c r="S88" s="1962">
        <f t="shared" si="59"/>
        <v>0.20772766251828576</v>
      </c>
      <c r="T88" s="1962">
        <f t="shared" si="59"/>
        <v>0.22517085551461685</v>
      </c>
      <c r="U88" s="1962">
        <f t="shared" si="59"/>
        <v>0.22792181827329708</v>
      </c>
      <c r="V88" s="1962">
        <f t="shared" si="59"/>
        <v>0.1966082808376001</v>
      </c>
      <c r="W88" s="1962">
        <f t="shared" si="59"/>
        <v>0.14611907730673315</v>
      </c>
      <c r="X88" s="1962">
        <f t="shared" si="59"/>
        <v>0.20697983294326255</v>
      </c>
      <c r="Y88" s="2084">
        <v>0.25013464885861597</v>
      </c>
      <c r="Z88" s="2084">
        <v>0.2034210641276811</v>
      </c>
      <c r="AA88" s="2084">
        <v>0.19618352464367766</v>
      </c>
      <c r="AB88" s="2084">
        <v>0.19278090453177588</v>
      </c>
      <c r="AC88" s="2084">
        <v>0.18882874146404482</v>
      </c>
      <c r="AD88" s="2084">
        <v>0.18463194326856835</v>
      </c>
      <c r="AE88" s="2084">
        <v>0.1825</v>
      </c>
      <c r="AF88" s="2084">
        <v>0.18</v>
      </c>
      <c r="AG88" s="2084">
        <v>0.18</v>
      </c>
      <c r="AH88" s="2084">
        <v>0.18</v>
      </c>
      <c r="AI88" s="685"/>
      <c r="AJ88" s="685"/>
      <c r="AK88" s="685"/>
      <c r="AL88" s="685"/>
      <c r="AM88" s="685"/>
      <c r="AN88" s="685"/>
      <c r="AO88" s="685"/>
      <c r="AP88" s="685"/>
      <c r="AQ88" s="685"/>
      <c r="AR88" s="685"/>
      <c r="AS88" s="685"/>
      <c r="AT88" s="685"/>
      <c r="AU88" s="685"/>
      <c r="AV88" s="685"/>
      <c r="AW88" s="685"/>
      <c r="AX88" s="685"/>
      <c r="AY88" s="685"/>
      <c r="AZ88" s="685"/>
      <c r="BA88" s="685"/>
      <c r="BB88" s="685"/>
      <c r="BC88" s="685"/>
      <c r="BD88" s="685"/>
    </row>
    <row r="89" spans="1:56">
      <c r="A89" s="685"/>
      <c r="B89" s="1115"/>
      <c r="C89" s="1128"/>
      <c r="D89" s="1128"/>
      <c r="E89" s="1128"/>
      <c r="F89" s="1128"/>
      <c r="G89" s="1128"/>
      <c r="H89" s="1128"/>
      <c r="I89" s="1128"/>
      <c r="J89" s="1123"/>
      <c r="K89" s="1123"/>
      <c r="L89" s="1123"/>
      <c r="M89" s="1123"/>
      <c r="N89" s="1618"/>
      <c r="O89" s="1618"/>
      <c r="P89" s="1618"/>
      <c r="Q89" s="1618"/>
      <c r="R89" s="1618"/>
      <c r="S89" s="1618"/>
      <c r="T89" s="1618"/>
      <c r="U89" s="1618"/>
      <c r="V89" s="1618"/>
      <c r="W89" s="1618"/>
      <c r="X89" s="1618"/>
      <c r="Y89" s="1618"/>
      <c r="Z89" s="1618"/>
      <c r="AA89" s="1618"/>
      <c r="AB89" s="1618"/>
      <c r="AC89" s="1618"/>
      <c r="AD89" s="1123"/>
      <c r="AE89" s="1123"/>
      <c r="AF89" s="1123"/>
      <c r="AG89" s="1123"/>
      <c r="AH89" s="1123"/>
      <c r="AI89" s="685"/>
      <c r="AJ89" s="685"/>
      <c r="AK89" s="685"/>
      <c r="AL89" s="685"/>
      <c r="AM89" s="685"/>
      <c r="AN89" s="685"/>
      <c r="AO89" s="685"/>
      <c r="AP89" s="685"/>
      <c r="AQ89" s="685"/>
      <c r="AR89" s="685"/>
      <c r="AS89" s="685"/>
      <c r="AT89" s="685"/>
      <c r="AU89" s="685"/>
      <c r="AV89" s="685"/>
      <c r="AW89" s="685"/>
      <c r="AX89" s="685"/>
      <c r="AY89" s="685"/>
      <c r="AZ89" s="685"/>
      <c r="BA89" s="685"/>
      <c r="BB89" s="685"/>
      <c r="BC89" s="685"/>
      <c r="BD89" s="685"/>
    </row>
    <row r="90" spans="1:56">
      <c r="A90" s="685"/>
      <c r="B90" s="1115" t="s">
        <v>218</v>
      </c>
      <c r="C90" s="1128"/>
      <c r="D90" s="1128"/>
      <c r="E90" s="1128"/>
      <c r="F90" s="1128"/>
      <c r="G90" s="1128"/>
      <c r="H90" s="1123">
        <f t="shared" ref="H90:M90" si="60">H94-H91-H92</f>
        <v>131.5</v>
      </c>
      <c r="I90" s="1123">
        <f t="shared" si="60"/>
        <v>136</v>
      </c>
      <c r="J90" s="1123">
        <f t="shared" si="60"/>
        <v>143.39999999999998</v>
      </c>
      <c r="K90" s="1123">
        <f t="shared" si="60"/>
        <v>134</v>
      </c>
      <c r="L90" s="1123">
        <f t="shared" si="60"/>
        <v>160.19999999999993</v>
      </c>
      <c r="M90" s="1123">
        <f t="shared" si="60"/>
        <v>181.39999999999998</v>
      </c>
      <c r="N90" s="1160">
        <f>SUM(Interims!AA104:AD104)</f>
        <v>166.6</v>
      </c>
      <c r="O90" s="1160">
        <f>SUM(Interims!AF104:AI104)</f>
        <v>150</v>
      </c>
      <c r="P90" s="1160">
        <f>SUM(Interims!AK104:AN104)</f>
        <v>113.59999999999998</v>
      </c>
      <c r="Q90" s="1160">
        <v>94.8</v>
      </c>
      <c r="R90" s="1160">
        <v>107.8</v>
      </c>
      <c r="S90" s="1160">
        <v>26.7</v>
      </c>
      <c r="T90" s="1160">
        <v>50.5</v>
      </c>
      <c r="U90" s="1160">
        <v>17</v>
      </c>
      <c r="V90" s="1160">
        <v>37.200000000000003</v>
      </c>
      <c r="W90" s="1160">
        <v>0.8</v>
      </c>
      <c r="X90" s="1123">
        <f t="shared" ref="X90:AC90" si="61">X86/X$7</f>
        <v>0.76289734236581552</v>
      </c>
      <c r="Y90" s="1123">
        <f t="shared" si="61"/>
        <v>0.84307515116613885</v>
      </c>
      <c r="Z90" s="1123">
        <f t="shared" si="61"/>
        <v>0.82654426584915575</v>
      </c>
      <c r="AA90" s="1123">
        <f t="shared" si="61"/>
        <v>0.81033751553838795</v>
      </c>
      <c r="AB90" s="1123">
        <f t="shared" si="61"/>
        <v>0.79444854464547843</v>
      </c>
      <c r="AC90" s="1123">
        <f t="shared" si="61"/>
        <v>0.77887112220144938</v>
      </c>
      <c r="AD90" s="1123">
        <f>AD86/AD$7</f>
        <v>0.76359913941318569</v>
      </c>
      <c r="AE90" s="1123">
        <f>AE86/AE$7</f>
        <v>0.74862660726782915</v>
      </c>
      <c r="AF90" s="1123">
        <f>AF86/AF$7</f>
        <v>0.7339476541841462</v>
      </c>
      <c r="AG90" s="1123">
        <f>AG86/AG$7</f>
        <v>0.71955652370994727</v>
      </c>
      <c r="AH90" s="1123">
        <f>AH86/AH$7</f>
        <v>0.70544757226465415</v>
      </c>
      <c r="AI90" s="685"/>
      <c r="AJ90" s="685"/>
      <c r="AK90" s="685"/>
      <c r="AL90" s="685"/>
      <c r="AM90" s="685"/>
      <c r="AN90" s="685"/>
      <c r="AO90" s="685"/>
      <c r="AP90" s="685"/>
      <c r="AQ90" s="685"/>
      <c r="AR90" s="685"/>
      <c r="AS90" s="685"/>
      <c r="AT90" s="685"/>
      <c r="AU90" s="685"/>
      <c r="AV90" s="685"/>
      <c r="AW90" s="685"/>
      <c r="AX90" s="685"/>
      <c r="AY90" s="685"/>
      <c r="AZ90" s="685"/>
      <c r="BA90" s="685"/>
      <c r="BB90" s="685"/>
      <c r="BC90" s="685"/>
      <c r="BD90" s="685"/>
    </row>
    <row r="91" spans="1:56">
      <c r="A91" s="685"/>
      <c r="B91" s="1151" t="str">
        <f>B73</f>
        <v>Satellite (Sky)</v>
      </c>
      <c r="C91" s="1128"/>
      <c r="D91" s="1128"/>
      <c r="E91" s="1128"/>
      <c r="F91" s="1128"/>
      <c r="G91" s="1160">
        <v>114</v>
      </c>
      <c r="H91" s="1160">
        <v>128.80000000000001</v>
      </c>
      <c r="I91" s="1160">
        <f>290+36+111</f>
        <v>437</v>
      </c>
      <c r="J91" s="1160">
        <f>241.6</f>
        <v>241.6</v>
      </c>
      <c r="K91" s="1160">
        <v>292</v>
      </c>
      <c r="L91" s="1160">
        <v>397.7</v>
      </c>
      <c r="M91" s="1160">
        <v>388.8</v>
      </c>
      <c r="N91" s="1160">
        <f>SUM(Interims!AA103:AD103)</f>
        <v>361.6</v>
      </c>
      <c r="O91" s="1160">
        <f>SUM(Interims!AF103:AI103)</f>
        <v>346.6</v>
      </c>
      <c r="P91" s="1160">
        <f>SUM(Interims!AK103:AN103)</f>
        <v>211.4</v>
      </c>
      <c r="Q91" s="1160">
        <v>209.6</v>
      </c>
      <c r="R91" s="1160">
        <v>209.1</v>
      </c>
      <c r="S91" s="1160">
        <v>250.2</v>
      </c>
      <c r="T91" s="1160">
        <v>244.1</v>
      </c>
      <c r="U91" s="1160">
        <v>193.1</v>
      </c>
      <c r="V91" s="1160">
        <v>149.19999999999999</v>
      </c>
      <c r="W91" s="1160">
        <v>83.3</v>
      </c>
      <c r="X91" s="1123">
        <f t="shared" ref="X91:AC93" si="62">X83/X$7</f>
        <v>85.38235012935904</v>
      </c>
      <c r="Y91" s="1123">
        <f t="shared" si="62"/>
        <v>71.462119205298023</v>
      </c>
      <c r="Z91" s="1123">
        <f t="shared" si="62"/>
        <v>49.042630827165311</v>
      </c>
      <c r="AA91" s="1123">
        <f t="shared" si="62"/>
        <v>24.040505307433975</v>
      </c>
      <c r="AB91" s="1123">
        <f t="shared" si="62"/>
        <v>12.963017567734008</v>
      </c>
      <c r="AC91" s="1123">
        <f t="shared" si="62"/>
        <v>7.6253044516082387</v>
      </c>
      <c r="AD91" s="1123">
        <f t="shared" ref="AD91:AH93" si="63">AD83/AD$7</f>
        <v>6.9524834705839833</v>
      </c>
      <c r="AE91" s="1123">
        <f t="shared" si="63"/>
        <v>6.4071906493617092</v>
      </c>
      <c r="AF91" s="1123">
        <f t="shared" si="63"/>
        <v>5.9674814871506117</v>
      </c>
      <c r="AG91" s="1123">
        <f t="shared" si="63"/>
        <v>0</v>
      </c>
      <c r="AH91" s="1123">
        <f t="shared" si="63"/>
        <v>0</v>
      </c>
      <c r="AI91" s="685"/>
      <c r="AJ91" s="685"/>
      <c r="AK91" s="685"/>
      <c r="AL91" s="685"/>
      <c r="AM91" s="685"/>
      <c r="AN91" s="685"/>
      <c r="AO91" s="685"/>
      <c r="AP91" s="685"/>
      <c r="AQ91" s="685"/>
      <c r="AR91" s="685"/>
      <c r="AS91" s="685"/>
      <c r="AT91" s="685"/>
      <c r="AU91" s="685"/>
      <c r="AV91" s="685"/>
      <c r="AW91" s="685"/>
      <c r="AX91" s="685"/>
      <c r="AY91" s="685"/>
      <c r="AZ91" s="685"/>
      <c r="BA91" s="685"/>
      <c r="BB91" s="685"/>
      <c r="BC91" s="685"/>
      <c r="BD91" s="685"/>
    </row>
    <row r="92" spans="1:56">
      <c r="A92" s="685"/>
      <c r="B92" s="1151" t="str">
        <f>B74</f>
        <v>Residential and Enterprise</v>
      </c>
      <c r="C92" s="1128"/>
      <c r="D92" s="1128"/>
      <c r="E92" s="1128"/>
      <c r="F92" s="1128"/>
      <c r="G92" s="1128"/>
      <c r="H92" s="1160">
        <v>239</v>
      </c>
      <c r="I92" s="1160">
        <v>438</v>
      </c>
      <c r="J92" s="1160">
        <v>406</v>
      </c>
      <c r="K92" s="1160">
        <v>455</v>
      </c>
      <c r="L92" s="1160">
        <v>599.9</v>
      </c>
      <c r="M92" s="1160">
        <v>702.9</v>
      </c>
      <c r="N92" s="1160">
        <f>SUM(Interims!AA97:AD97)</f>
        <v>1077.2</v>
      </c>
      <c r="O92" s="1160">
        <f>SUM(Interims!AF97:AI97)</f>
        <v>984.2</v>
      </c>
      <c r="P92" s="1160">
        <f>SUM(Interims!AK97:AN97)</f>
        <v>559.70000000000005</v>
      </c>
      <c r="Q92" s="1160">
        <f>665</f>
        <v>665</v>
      </c>
      <c r="R92" s="1160">
        <v>673.6</v>
      </c>
      <c r="S92" s="1160">
        <v>662.5</v>
      </c>
      <c r="T92" s="1160">
        <v>854.5</v>
      </c>
      <c r="U92" s="1160">
        <v>645.9</v>
      </c>
      <c r="V92" s="1160">
        <v>633</v>
      </c>
      <c r="W92" s="1160">
        <v>399.2</v>
      </c>
      <c r="X92" s="1123">
        <f t="shared" si="62"/>
        <v>539.65412720258473</v>
      </c>
      <c r="Y92" s="1123">
        <f t="shared" si="62"/>
        <v>739.71304274514898</v>
      </c>
      <c r="Z92" s="1123">
        <f t="shared" si="62"/>
        <v>570.70092363622427</v>
      </c>
      <c r="AA92" s="1123">
        <f t="shared" si="62"/>
        <v>535.21265750080215</v>
      </c>
      <c r="AB92" s="1123">
        <f t="shared" si="62"/>
        <v>519.66543029005936</v>
      </c>
      <c r="AC92" s="1123">
        <f t="shared" si="62"/>
        <v>505.81512397731325</v>
      </c>
      <c r="AD92" s="1123">
        <f t="shared" si="63"/>
        <v>491.39229262320993</v>
      </c>
      <c r="AE92" s="1123">
        <f t="shared" si="63"/>
        <v>480.66773183217936</v>
      </c>
      <c r="AF92" s="1123">
        <f t="shared" si="63"/>
        <v>468.10420752686247</v>
      </c>
      <c r="AG92" s="1123">
        <f t="shared" si="63"/>
        <v>459.2380611140166</v>
      </c>
      <c r="AH92" s="1123">
        <f t="shared" si="63"/>
        <v>452.7605317462361</v>
      </c>
      <c r="AI92" s="685"/>
      <c r="AJ92" s="685"/>
      <c r="AK92" s="685"/>
      <c r="AL92" s="685"/>
      <c r="AM92" s="685"/>
      <c r="AN92" s="685"/>
      <c r="AO92" s="685"/>
      <c r="AP92" s="685"/>
      <c r="AQ92" s="685"/>
      <c r="AR92" s="685"/>
      <c r="AS92" s="685"/>
      <c r="AT92" s="685"/>
      <c r="AU92" s="685"/>
      <c r="AV92" s="685"/>
      <c r="AW92" s="685"/>
      <c r="AX92" s="685"/>
      <c r="AY92" s="685"/>
      <c r="AZ92" s="685"/>
      <c r="BA92" s="685"/>
      <c r="BB92" s="685"/>
      <c r="BC92" s="685"/>
      <c r="BD92" s="685"/>
    </row>
    <row r="93" spans="1:56">
      <c r="A93" s="685"/>
      <c r="B93" s="1151" t="s">
        <v>219</v>
      </c>
      <c r="C93" s="1128"/>
      <c r="D93" s="1128"/>
      <c r="E93" s="1128"/>
      <c r="F93" s="1128"/>
      <c r="G93" s="1128"/>
      <c r="H93" s="1160"/>
      <c r="I93" s="1160"/>
      <c r="J93" s="1160"/>
      <c r="K93" s="1160"/>
      <c r="L93" s="1160"/>
      <c r="M93" s="1160"/>
      <c r="N93" s="1160"/>
      <c r="O93" s="1160"/>
      <c r="P93" s="1160"/>
      <c r="Q93" s="1160"/>
      <c r="R93" s="1160"/>
      <c r="S93" s="1160"/>
      <c r="T93" s="1160"/>
      <c r="U93" s="1160"/>
      <c r="V93" s="1160">
        <v>9.1</v>
      </c>
      <c r="W93" s="1160">
        <v>9.6999999999999993</v>
      </c>
      <c r="X93" s="1123">
        <f t="shared" si="62"/>
        <v>9.2501302761855122</v>
      </c>
      <c r="Y93" s="1123">
        <f t="shared" si="62"/>
        <v>10.222286207889432</v>
      </c>
      <c r="Z93" s="1123">
        <f t="shared" si="62"/>
        <v>10.021849223421013</v>
      </c>
      <c r="AA93" s="1123">
        <f t="shared" si="62"/>
        <v>9.8253423759029541</v>
      </c>
      <c r="AB93" s="1123">
        <f t="shared" si="62"/>
        <v>9.6326886038264252</v>
      </c>
      <c r="AC93" s="1123">
        <f t="shared" si="62"/>
        <v>9.4438123566925736</v>
      </c>
      <c r="AD93" s="1123">
        <f t="shared" si="63"/>
        <v>9.2586395653848754</v>
      </c>
      <c r="AE93" s="1123">
        <f t="shared" si="63"/>
        <v>9.0770976131224277</v>
      </c>
      <c r="AF93" s="1123">
        <f t="shared" si="63"/>
        <v>8.8991153069827718</v>
      </c>
      <c r="AG93" s="1123">
        <f t="shared" si="63"/>
        <v>8.7246228499831098</v>
      </c>
      <c r="AH93" s="1123">
        <f t="shared" si="63"/>
        <v>8.5535518137089301</v>
      </c>
      <c r="AI93" s="685"/>
      <c r="AJ93" s="685"/>
      <c r="AK93" s="685"/>
      <c r="AL93" s="685"/>
      <c r="AM93" s="685"/>
      <c r="AN93" s="685"/>
      <c r="AO93" s="685"/>
      <c r="AP93" s="685"/>
      <c r="AQ93" s="685"/>
      <c r="AR93" s="685"/>
      <c r="AS93" s="685"/>
      <c r="AT93" s="685"/>
      <c r="AU93" s="685"/>
      <c r="AV93" s="685"/>
      <c r="AW93" s="685"/>
      <c r="AX93" s="685"/>
      <c r="AY93" s="685"/>
      <c r="AZ93" s="685"/>
      <c r="BA93" s="685"/>
      <c r="BB93" s="685"/>
      <c r="BC93" s="685"/>
      <c r="BD93" s="685"/>
    </row>
    <row r="94" spans="1:56">
      <c r="A94" s="685"/>
      <c r="B94" s="1382" t="s">
        <v>220</v>
      </c>
      <c r="C94" s="1142"/>
      <c r="D94" s="1142"/>
      <c r="E94" s="1142"/>
      <c r="F94" s="1142"/>
      <c r="G94" s="1513">
        <v>490</v>
      </c>
      <c r="H94" s="1513">
        <v>499.3</v>
      </c>
      <c r="I94" s="1513">
        <v>1011</v>
      </c>
      <c r="J94" s="1513">
        <v>791</v>
      </c>
      <c r="K94" s="1513">
        <v>881</v>
      </c>
      <c r="L94" s="1513">
        <v>1157.8</v>
      </c>
      <c r="M94" s="1513">
        <v>1273.0999999999999</v>
      </c>
      <c r="N94" s="1206">
        <f t="shared" ref="N94:U94" si="64">SUM(N90:N92)</f>
        <v>1605.4</v>
      </c>
      <c r="O94" s="1206">
        <f t="shared" si="64"/>
        <v>1480.8000000000002</v>
      </c>
      <c r="P94" s="1206">
        <f t="shared" si="64"/>
        <v>884.7</v>
      </c>
      <c r="Q94" s="1206">
        <f t="shared" si="64"/>
        <v>969.4</v>
      </c>
      <c r="R94" s="1206">
        <f t="shared" si="64"/>
        <v>990.5</v>
      </c>
      <c r="S94" s="1206">
        <f t="shared" si="64"/>
        <v>939.4</v>
      </c>
      <c r="T94" s="1206">
        <f t="shared" si="64"/>
        <v>1149.0999999999999</v>
      </c>
      <c r="U94" s="1206">
        <f t="shared" si="64"/>
        <v>856</v>
      </c>
      <c r="V94" s="1206">
        <f t="shared" ref="V94:AC94" si="65">SUM(V90:V93)</f>
        <v>828.5</v>
      </c>
      <c r="W94" s="1206">
        <f t="shared" si="65"/>
        <v>492.99999999999994</v>
      </c>
      <c r="X94" s="1961">
        <v>645</v>
      </c>
      <c r="Y94" s="1206">
        <f t="shared" si="65"/>
        <v>822.24052330950258</v>
      </c>
      <c r="Z94" s="1206">
        <f t="shared" si="65"/>
        <v>630.59194795265978</v>
      </c>
      <c r="AA94" s="1206">
        <f t="shared" si="65"/>
        <v>569.88884269967753</v>
      </c>
      <c r="AB94" s="1206">
        <f t="shared" si="65"/>
        <v>543.05558500626523</v>
      </c>
      <c r="AC94" s="1206">
        <f t="shared" si="65"/>
        <v>523.66311190781551</v>
      </c>
      <c r="AD94" s="1206">
        <f>SUM(AD90:AD93)</f>
        <v>508.36701479859198</v>
      </c>
      <c r="AE94" s="1206">
        <f>SUM(AE90:AE93)</f>
        <v>496.90064670193129</v>
      </c>
      <c r="AF94" s="1206">
        <f>SUM(AF90:AF93)</f>
        <v>483.70475197517999</v>
      </c>
      <c r="AG94" s="1206">
        <f>SUM(AG90:AG93)</f>
        <v>468.68224048770969</v>
      </c>
      <c r="AH94" s="1206">
        <f>SUM(AH90:AH93)</f>
        <v>462.01953113220964</v>
      </c>
      <c r="AI94" s="685"/>
      <c r="AJ94" s="1123"/>
      <c r="AK94" s="685"/>
      <c r="AL94" s="685"/>
      <c r="AM94" s="685"/>
      <c r="AN94" s="685"/>
      <c r="AO94" s="685"/>
      <c r="AP94" s="685"/>
      <c r="AQ94" s="685"/>
      <c r="AR94" s="685"/>
      <c r="AS94" s="685"/>
      <c r="AT94" s="685"/>
      <c r="AU94" s="685"/>
      <c r="AV94" s="685"/>
      <c r="AW94" s="685"/>
      <c r="AX94" s="685"/>
      <c r="AY94" s="685"/>
      <c r="AZ94" s="685"/>
      <c r="BA94" s="685"/>
      <c r="BB94" s="685"/>
      <c r="BC94" s="685"/>
      <c r="BD94" s="685"/>
    </row>
    <row r="95" spans="1:56">
      <c r="A95" s="685"/>
      <c r="B95" s="1115"/>
      <c r="C95" s="1501"/>
      <c r="D95" s="1501"/>
      <c r="E95" s="1501"/>
      <c r="F95" s="1501"/>
      <c r="G95" s="1146"/>
      <c r="H95" s="1146"/>
      <c r="I95" s="1146"/>
      <c r="J95" s="1146"/>
      <c r="K95" s="1146"/>
      <c r="L95" s="1146"/>
      <c r="M95" s="1146"/>
      <c r="N95" s="1123"/>
      <c r="O95" s="1123"/>
      <c r="P95" s="1123"/>
      <c r="Q95" s="1123"/>
      <c r="R95" s="1123"/>
      <c r="S95" s="1123"/>
      <c r="T95" s="1123"/>
      <c r="U95" s="1123"/>
      <c r="V95" s="1123"/>
      <c r="W95" s="1123"/>
      <c r="X95" s="1123"/>
      <c r="Y95" s="1123"/>
      <c r="Z95" s="1123"/>
      <c r="AA95" s="1123"/>
      <c r="AB95" s="1123"/>
      <c r="AC95" s="1123"/>
      <c r="AD95" s="1123"/>
      <c r="AE95" s="1123"/>
      <c r="AF95" s="1123"/>
      <c r="AG95" s="1123"/>
      <c r="AH95" s="1123"/>
      <c r="AI95" s="685"/>
      <c r="AJ95" s="1123"/>
      <c r="AK95" s="685"/>
      <c r="AL95" s="685"/>
      <c r="AM95" s="685"/>
      <c r="AN95" s="685"/>
      <c r="AO95" s="685"/>
      <c r="AP95" s="685"/>
      <c r="AQ95" s="685"/>
      <c r="AR95" s="685"/>
      <c r="AS95" s="685"/>
      <c r="AT95" s="685"/>
      <c r="AU95" s="685"/>
      <c r="AV95" s="685"/>
      <c r="AW95" s="685"/>
      <c r="AX95" s="685"/>
      <c r="AY95" s="685"/>
      <c r="AZ95" s="685"/>
      <c r="BA95" s="685"/>
      <c r="BB95" s="685"/>
      <c r="BC95" s="685"/>
      <c r="BD95" s="685"/>
    </row>
    <row r="96" spans="1:56">
      <c r="A96" s="685"/>
      <c r="B96" s="1115" t="s">
        <v>221</v>
      </c>
      <c r="C96" s="1128"/>
      <c r="D96" s="1128"/>
      <c r="E96" s="1128"/>
      <c r="F96" s="1128"/>
      <c r="G96" s="1130">
        <f>G94</f>
        <v>490</v>
      </c>
      <c r="H96" s="1130">
        <f>H94</f>
        <v>499.3</v>
      </c>
      <c r="I96" s="1130">
        <f>I94-111</f>
        <v>900</v>
      </c>
      <c r="J96" s="1130">
        <f>J94+111</f>
        <v>902</v>
      </c>
      <c r="K96" s="1130">
        <f t="shared" ref="K96:AC96" si="66">K94</f>
        <v>881</v>
      </c>
      <c r="L96" s="1130">
        <f t="shared" si="66"/>
        <v>1157.8</v>
      </c>
      <c r="M96" s="1130">
        <f t="shared" si="66"/>
        <v>1273.0999999999999</v>
      </c>
      <c r="N96" s="1130">
        <f t="shared" si="66"/>
        <v>1605.4</v>
      </c>
      <c r="O96" s="1130">
        <f t="shared" si="66"/>
        <v>1480.8000000000002</v>
      </c>
      <c r="P96" s="1130">
        <f t="shared" si="66"/>
        <v>884.7</v>
      </c>
      <c r="Q96" s="1130">
        <f t="shared" si="66"/>
        <v>969.4</v>
      </c>
      <c r="R96" s="1130">
        <f t="shared" si="66"/>
        <v>990.5</v>
      </c>
      <c r="S96" s="1130">
        <f t="shared" si="66"/>
        <v>939.4</v>
      </c>
      <c r="T96" s="1130">
        <f t="shared" si="66"/>
        <v>1149.0999999999999</v>
      </c>
      <c r="U96" s="1130">
        <f t="shared" si="66"/>
        <v>856</v>
      </c>
      <c r="V96" s="1130">
        <f t="shared" si="66"/>
        <v>828.5</v>
      </c>
      <c r="W96" s="1130">
        <f t="shared" si="66"/>
        <v>492.99999999999994</v>
      </c>
      <c r="X96" s="1130">
        <f t="shared" si="66"/>
        <v>645</v>
      </c>
      <c r="Y96" s="1130">
        <f t="shared" si="66"/>
        <v>822.24052330950258</v>
      </c>
      <c r="Z96" s="1130">
        <f t="shared" si="66"/>
        <v>630.59194795265978</v>
      </c>
      <c r="AA96" s="1130">
        <f t="shared" si="66"/>
        <v>569.88884269967753</v>
      </c>
      <c r="AB96" s="1130">
        <f t="shared" si="66"/>
        <v>543.05558500626523</v>
      </c>
      <c r="AC96" s="1130">
        <f t="shared" si="66"/>
        <v>523.66311190781551</v>
      </c>
      <c r="AD96" s="1130">
        <f>AD94</f>
        <v>508.36701479859198</v>
      </c>
      <c r="AE96" s="1130">
        <f>AE94</f>
        <v>496.90064670193129</v>
      </c>
      <c r="AF96" s="1130">
        <f>AF94</f>
        <v>483.70475197517999</v>
      </c>
      <c r="AG96" s="1130">
        <f>AG94</f>
        <v>468.68224048770969</v>
      </c>
      <c r="AH96" s="1130">
        <f>AH94</f>
        <v>462.01953113220964</v>
      </c>
      <c r="AI96" s="685"/>
      <c r="AJ96" s="685"/>
      <c r="AK96" s="685"/>
      <c r="AL96" s="685"/>
      <c r="AM96" s="685"/>
      <c r="AN96" s="685"/>
      <c r="AO96" s="685"/>
      <c r="AP96" s="685"/>
      <c r="AQ96" s="685"/>
      <c r="AR96" s="685"/>
      <c r="AS96" s="685"/>
      <c r="AT96" s="685"/>
      <c r="AU96" s="685"/>
      <c r="AV96" s="685"/>
      <c r="AW96" s="685"/>
      <c r="AX96" s="685"/>
      <c r="AY96" s="685"/>
      <c r="AZ96" s="685"/>
      <c r="BA96" s="685"/>
      <c r="BB96" s="685"/>
      <c r="BC96" s="685"/>
      <c r="BD96" s="685"/>
    </row>
    <row r="97" spans="1:56">
      <c r="A97" s="685"/>
      <c r="B97" s="1115"/>
      <c r="C97" s="1128"/>
      <c r="D97" s="1128"/>
      <c r="E97" s="1128"/>
      <c r="F97" s="1128"/>
      <c r="G97" s="1130"/>
      <c r="H97" s="1130"/>
      <c r="I97" s="1130"/>
      <c r="J97" s="1130"/>
      <c r="K97" s="1130"/>
      <c r="L97" s="1130"/>
      <c r="M97" s="1130"/>
      <c r="N97" s="1130"/>
      <c r="O97" s="1130"/>
      <c r="P97" s="1130"/>
      <c r="Q97" s="1130"/>
      <c r="R97" s="1130"/>
      <c r="S97" s="1130"/>
      <c r="T97" s="1130"/>
      <c r="U97" s="1130"/>
      <c r="V97" s="1130"/>
      <c r="W97" s="1130"/>
      <c r="X97" s="1130"/>
      <c r="Y97" s="1130"/>
      <c r="Z97" s="1130"/>
      <c r="AA97" s="1130"/>
      <c r="AB97" s="1130"/>
      <c r="AC97" s="1130"/>
      <c r="AD97" s="1130"/>
      <c r="AE97" s="1130"/>
      <c r="AF97" s="1130"/>
      <c r="AG97" s="1130"/>
      <c r="AH97" s="1130"/>
      <c r="AI97" s="685"/>
      <c r="AJ97" s="685"/>
      <c r="AK97" s="685"/>
      <c r="AL97" s="685"/>
      <c r="AM97" s="685"/>
      <c r="AN97" s="685"/>
      <c r="AO97" s="685"/>
      <c r="AP97" s="685"/>
      <c r="AQ97" s="685"/>
      <c r="AR97" s="685"/>
      <c r="AS97" s="685"/>
      <c r="AT97" s="685"/>
      <c r="AU97" s="685"/>
      <c r="AV97" s="685"/>
      <c r="AW97" s="685"/>
      <c r="AX97" s="685"/>
      <c r="AY97" s="685"/>
      <c r="AZ97" s="685"/>
      <c r="BA97" s="685"/>
      <c r="BB97" s="685"/>
      <c r="BC97" s="685"/>
      <c r="BD97" s="685"/>
    </row>
    <row r="98" spans="1:56" hidden="1">
      <c r="A98" s="685"/>
      <c r="B98" s="1115"/>
      <c r="C98" s="1128"/>
      <c r="D98" s="1128"/>
      <c r="E98" s="1128"/>
      <c r="F98" s="1128"/>
      <c r="G98" s="1130"/>
      <c r="H98" s="1130"/>
      <c r="I98" s="1130"/>
      <c r="J98" s="1130"/>
      <c r="K98" s="1130"/>
      <c r="L98" s="1130"/>
      <c r="M98" s="1130"/>
      <c r="N98" s="1130"/>
      <c r="O98" s="1130"/>
      <c r="P98" s="1130"/>
      <c r="Q98" s="1130"/>
      <c r="R98" s="1130"/>
      <c r="S98" s="1130"/>
      <c r="T98" s="1130"/>
      <c r="U98" s="1130"/>
      <c r="V98" s="1130"/>
      <c r="W98" s="1419">
        <v>720</v>
      </c>
      <c r="X98" s="1419" t="s">
        <v>222</v>
      </c>
      <c r="Y98" s="1419" t="s">
        <v>223</v>
      </c>
      <c r="Z98" s="1419"/>
      <c r="AA98" s="1189"/>
      <c r="AB98" s="1130"/>
      <c r="AC98" s="1130"/>
      <c r="AD98" s="1130"/>
      <c r="AE98" s="1130"/>
      <c r="AF98" s="1130"/>
      <c r="AG98" s="1130"/>
      <c r="AH98" s="1130"/>
      <c r="AI98" s="685"/>
      <c r="AJ98" s="685"/>
      <c r="AK98" s="685"/>
      <c r="AL98" s="685"/>
      <c r="AM98" s="685"/>
      <c r="AN98" s="685"/>
      <c r="AO98" s="685"/>
      <c r="AP98" s="685"/>
      <c r="AQ98" s="685"/>
      <c r="AR98" s="685"/>
      <c r="AS98" s="685"/>
      <c r="AT98" s="685"/>
      <c r="AU98" s="685"/>
      <c r="AV98" s="685"/>
      <c r="AW98" s="685"/>
      <c r="AX98" s="685"/>
      <c r="AY98" s="685"/>
      <c r="AZ98" s="685"/>
      <c r="BA98" s="685"/>
      <c r="BB98" s="685"/>
      <c r="BC98" s="685"/>
      <c r="BD98" s="685"/>
    </row>
    <row r="99" spans="1:56" hidden="1">
      <c r="A99" s="685"/>
      <c r="B99" s="1115"/>
      <c r="C99" s="1128"/>
      <c r="D99" s="1128"/>
      <c r="E99" s="1128"/>
      <c r="F99" s="1128"/>
      <c r="G99" s="1130"/>
      <c r="H99" s="1130"/>
      <c r="I99" s="1130"/>
      <c r="J99" s="1130"/>
      <c r="K99" s="1130"/>
      <c r="L99" s="1130"/>
      <c r="M99" s="1130"/>
      <c r="N99" s="1130"/>
      <c r="O99" s="1130"/>
      <c r="P99" s="1130"/>
      <c r="Q99" s="1130"/>
      <c r="R99" s="1130"/>
      <c r="S99" s="1130"/>
      <c r="T99" s="1130"/>
      <c r="U99" s="1130"/>
      <c r="V99" s="1130"/>
      <c r="W99" s="1419">
        <v>590</v>
      </c>
      <c r="X99" s="1419" t="s">
        <v>52</v>
      </c>
      <c r="Y99" s="1419" t="s">
        <v>224</v>
      </c>
      <c r="Z99" s="1419"/>
      <c r="AA99" s="1189"/>
      <c r="AB99" s="1130"/>
      <c r="AC99" s="1130"/>
      <c r="AD99" s="1130"/>
      <c r="AE99" s="1130"/>
      <c r="AF99" s="1130"/>
      <c r="AG99" s="1130"/>
      <c r="AH99" s="1130"/>
      <c r="AI99" s="685"/>
      <c r="AJ99" s="685"/>
      <c r="AK99" s="685"/>
      <c r="AL99" s="685"/>
      <c r="AM99" s="685"/>
      <c r="AN99" s="685"/>
      <c r="AO99" s="685"/>
      <c r="AP99" s="685"/>
      <c r="AQ99" s="685"/>
      <c r="AR99" s="685"/>
      <c r="AS99" s="685"/>
      <c r="AT99" s="685"/>
      <c r="AU99" s="685"/>
      <c r="AV99" s="685"/>
      <c r="AW99" s="685"/>
      <c r="AX99" s="685"/>
      <c r="AY99" s="685"/>
      <c r="AZ99" s="685"/>
      <c r="BA99" s="685"/>
      <c r="BB99" s="685"/>
      <c r="BC99" s="685"/>
      <c r="BD99" s="685"/>
    </row>
    <row r="100" spans="1:56" hidden="1">
      <c r="A100" s="685"/>
      <c r="B100" s="1115"/>
      <c r="C100" s="1128"/>
      <c r="D100" s="1128"/>
      <c r="E100" s="1128"/>
      <c r="F100" s="1128"/>
      <c r="G100" s="1130"/>
      <c r="H100" s="1130"/>
      <c r="I100" s="1130"/>
      <c r="J100" s="1130"/>
      <c r="K100" s="1130"/>
      <c r="L100" s="1130"/>
      <c r="M100" s="1130"/>
      <c r="N100" s="1130"/>
      <c r="O100" s="1130"/>
      <c r="P100" s="1130"/>
      <c r="Q100" s="1130"/>
      <c r="R100" s="1130"/>
      <c r="S100" s="1130"/>
      <c r="T100" s="1130"/>
      <c r="U100" s="1130"/>
      <c r="V100" s="1130"/>
      <c r="W100" s="1420">
        <v>120</v>
      </c>
      <c r="X100" s="1419" t="s">
        <v>70</v>
      </c>
      <c r="Y100" s="1420" t="s">
        <v>225</v>
      </c>
      <c r="Z100" s="1419"/>
      <c r="AA100" s="1189"/>
      <c r="AB100" s="1130"/>
      <c r="AC100" s="1130"/>
      <c r="AD100" s="1130"/>
      <c r="AE100" s="1130"/>
      <c r="AF100" s="1130"/>
      <c r="AG100" s="1130"/>
      <c r="AH100" s="1130"/>
      <c r="AI100" s="685"/>
      <c r="AJ100" s="685"/>
      <c r="AK100" s="685"/>
      <c r="AL100" s="685"/>
      <c r="AM100" s="685"/>
      <c r="AN100" s="685"/>
      <c r="AO100" s="685"/>
      <c r="AP100" s="685"/>
      <c r="AQ100" s="685"/>
      <c r="AR100" s="685"/>
      <c r="AS100" s="685"/>
      <c r="AT100" s="685"/>
      <c r="AU100" s="685"/>
      <c r="AV100" s="685"/>
      <c r="AW100" s="685"/>
      <c r="AX100" s="685"/>
      <c r="AY100" s="685"/>
      <c r="AZ100" s="685"/>
      <c r="BA100" s="685"/>
      <c r="BB100" s="685"/>
      <c r="BC100" s="685"/>
      <c r="BD100" s="685"/>
    </row>
    <row r="101" spans="1:56" hidden="1">
      <c r="A101" s="685"/>
      <c r="B101" s="1115"/>
      <c r="C101" s="1128"/>
      <c r="D101" s="1128"/>
      <c r="E101" s="1128"/>
      <c r="F101" s="1128"/>
      <c r="G101" s="1130"/>
      <c r="H101" s="1130"/>
      <c r="I101" s="1130"/>
      <c r="J101" s="1130"/>
      <c r="K101" s="1130"/>
      <c r="L101" s="1130"/>
      <c r="M101" s="1130"/>
      <c r="N101" s="1130"/>
      <c r="O101" s="1130"/>
      <c r="P101" s="1130"/>
      <c r="Q101" s="1130"/>
      <c r="R101" s="1130"/>
      <c r="S101" s="1130"/>
      <c r="T101" s="1130"/>
      <c r="U101" s="1130"/>
      <c r="V101" s="1130"/>
      <c r="W101" s="1420" t="s">
        <v>226</v>
      </c>
      <c r="X101" s="1419" t="s">
        <v>227</v>
      </c>
      <c r="Y101" s="1419"/>
      <c r="Z101" s="1419"/>
      <c r="AA101" s="1189"/>
      <c r="AB101" s="1130"/>
      <c r="AC101" s="1130"/>
      <c r="AD101" s="1130"/>
      <c r="AE101" s="1130"/>
      <c r="AF101" s="1130"/>
      <c r="AG101" s="1130"/>
      <c r="AH101" s="1130"/>
      <c r="AI101" s="685"/>
      <c r="AJ101" s="685"/>
      <c r="AK101" s="685"/>
      <c r="AL101" s="685"/>
      <c r="AM101" s="685"/>
      <c r="AN101" s="685"/>
      <c r="AO101" s="685"/>
      <c r="AP101" s="685"/>
      <c r="AQ101" s="685"/>
      <c r="AR101" s="685"/>
      <c r="AS101" s="685"/>
      <c r="AT101" s="685"/>
      <c r="AU101" s="685"/>
      <c r="AV101" s="685"/>
      <c r="AW101" s="685"/>
      <c r="AX101" s="685"/>
      <c r="AY101" s="685"/>
      <c r="AZ101" s="685"/>
      <c r="BA101" s="685"/>
      <c r="BB101" s="685"/>
      <c r="BC101" s="685"/>
      <c r="BD101" s="685"/>
    </row>
    <row r="102" spans="1:56">
      <c r="A102" s="685"/>
      <c r="B102" s="1113" t="s">
        <v>228</v>
      </c>
      <c r="C102" s="1128"/>
      <c r="D102" s="1128"/>
      <c r="E102" s="1128"/>
      <c r="F102" s="1128"/>
      <c r="G102" s="1128"/>
      <c r="H102" s="1128"/>
      <c r="I102" s="1128"/>
      <c r="J102" s="1128"/>
      <c r="K102" s="1128"/>
      <c r="L102" s="1128"/>
      <c r="M102" s="1128"/>
      <c r="N102" s="1128"/>
      <c r="O102" s="1128"/>
      <c r="P102" s="1128"/>
      <c r="Q102" s="1128"/>
      <c r="R102" s="1128"/>
      <c r="S102" s="1128"/>
      <c r="T102" s="1128"/>
      <c r="U102" s="1128"/>
      <c r="V102" s="1128"/>
      <c r="W102" s="1128"/>
      <c r="X102" s="1128"/>
      <c r="Y102" s="1128"/>
      <c r="Z102" s="1128"/>
      <c r="AA102" s="1128"/>
      <c r="AB102" s="1128"/>
      <c r="AC102" s="1128"/>
      <c r="AD102" s="1128"/>
      <c r="AE102" s="1128"/>
      <c r="AF102" s="1128"/>
      <c r="AG102" s="1128"/>
      <c r="AH102" s="1128"/>
      <c r="AI102" s="685"/>
      <c r="AJ102" s="685"/>
      <c r="AK102" s="685"/>
      <c r="AL102" s="685"/>
      <c r="AM102" s="685"/>
      <c r="AN102" s="685"/>
      <c r="AO102" s="685"/>
      <c r="AP102" s="685"/>
      <c r="AQ102" s="685"/>
      <c r="AR102" s="685"/>
      <c r="AS102" s="685"/>
      <c r="AT102" s="685"/>
      <c r="AU102" s="685"/>
      <c r="AV102" s="685"/>
      <c r="AW102" s="685"/>
      <c r="AX102" s="685"/>
      <c r="AY102" s="685"/>
      <c r="AZ102" s="685"/>
      <c r="BA102" s="685"/>
      <c r="BB102" s="685"/>
      <c r="BC102" s="685"/>
      <c r="BD102" s="685"/>
    </row>
    <row r="103" spans="1:56" hidden="1">
      <c r="A103" s="685"/>
      <c r="B103" s="1115" t="str">
        <f>B90</f>
        <v>Content/other</v>
      </c>
      <c r="C103" s="1128"/>
      <c r="D103" s="1128"/>
      <c r="E103" s="1128"/>
      <c r="F103" s="1128"/>
      <c r="G103" s="1128"/>
      <c r="H103" s="1130">
        <f t="shared" ref="H103:V103" si="67">H82/(H28-H23-H21)</f>
        <v>5.3623901449628898E-2</v>
      </c>
      <c r="I103" s="1130">
        <f t="shared" si="67"/>
        <v>4.9366564734554995E-2</v>
      </c>
      <c r="J103" s="1130">
        <f t="shared" si="67"/>
        <v>4.8918224472055474E-2</v>
      </c>
      <c r="K103" s="1130">
        <f t="shared" si="67"/>
        <v>4.4923142765433868E-2</v>
      </c>
      <c r="L103" s="1130">
        <f t="shared" si="67"/>
        <v>5.040257418662851E-2</v>
      </c>
      <c r="M103" s="1130">
        <f t="shared" si="67"/>
        <v>5.7924126796008897E-2</v>
      </c>
      <c r="N103" s="1130">
        <f t="shared" si="67"/>
        <v>6.5589900322995165E-2</v>
      </c>
      <c r="O103" s="1130">
        <f t="shared" si="67"/>
        <v>6.66005568301197E-2</v>
      </c>
      <c r="P103" s="1130">
        <f t="shared" si="67"/>
        <v>5.5009992313604907E-2</v>
      </c>
      <c r="Q103" s="1130">
        <f t="shared" si="67"/>
        <v>4.2365641323273355E-2</v>
      </c>
      <c r="R103" s="1130">
        <f t="shared" si="67"/>
        <v>5.5187811156972036E-2</v>
      </c>
      <c r="S103" s="1130">
        <f t="shared" si="67"/>
        <v>1.9351677829703231E-2</v>
      </c>
      <c r="T103" s="1130">
        <f t="shared" si="67"/>
        <v>3.0603143737884881E-2</v>
      </c>
      <c r="U103" s="1130">
        <f t="shared" si="67"/>
        <v>5.0454558871277172E-2</v>
      </c>
      <c r="V103" s="1130">
        <f t="shared" si="67"/>
        <v>8.9217094387685839E-2</v>
      </c>
      <c r="W103" s="1152"/>
      <c r="X103" s="1152"/>
      <c r="Y103" s="1152"/>
      <c r="Z103" s="1152"/>
      <c r="AA103" s="1152"/>
      <c r="AB103" s="1152"/>
      <c r="AC103" s="1152"/>
      <c r="AD103" s="1152"/>
      <c r="AE103" s="1152"/>
      <c r="AF103" s="1152"/>
      <c r="AG103" s="1152"/>
      <c r="AH103" s="1152"/>
      <c r="AI103" s="685"/>
      <c r="AJ103" s="685"/>
      <c r="AK103" s="685"/>
      <c r="AL103" s="685"/>
      <c r="AM103" s="685"/>
      <c r="AN103" s="685"/>
      <c r="AO103" s="685"/>
      <c r="AP103" s="685"/>
      <c r="AQ103" s="685"/>
      <c r="AR103" s="685"/>
      <c r="AS103" s="685"/>
      <c r="AT103" s="685"/>
      <c r="AU103" s="685"/>
      <c r="AV103" s="685"/>
      <c r="AW103" s="685"/>
      <c r="AX103" s="685"/>
      <c r="AY103" s="685"/>
      <c r="AZ103" s="685"/>
      <c r="BA103" s="685"/>
      <c r="BB103" s="685"/>
      <c r="BC103" s="685"/>
      <c r="BD103" s="685"/>
    </row>
    <row r="104" spans="1:56">
      <c r="A104" s="685"/>
      <c r="B104" s="1151" t="str">
        <f>B91</f>
        <v>Satellite (Sky)</v>
      </c>
      <c r="C104" s="1128"/>
      <c r="D104" s="1128"/>
      <c r="E104" s="1128"/>
      <c r="F104" s="1128"/>
      <c r="G104" s="1128"/>
      <c r="H104" s="1130">
        <f t="shared" ref="H104:AH104" si="68">H83/H23</f>
        <v>0.17379136640313442</v>
      </c>
      <c r="I104" s="1130">
        <f t="shared" si="68"/>
        <v>0.49068384274817306</v>
      </c>
      <c r="J104" s="1130">
        <f t="shared" si="68"/>
        <v>0.24084107955638179</v>
      </c>
      <c r="K104" s="1130">
        <f t="shared" si="68"/>
        <v>0.26564906604725763</v>
      </c>
      <c r="L104" s="1130">
        <f t="shared" si="68"/>
        <v>0.31522906145369389</v>
      </c>
      <c r="M104" s="1130">
        <f t="shared" si="68"/>
        <v>0.2957355201874447</v>
      </c>
      <c r="N104" s="1460">
        <f t="shared" si="68"/>
        <v>0.29805448360038433</v>
      </c>
      <c r="O104" s="1460">
        <f t="shared" si="68"/>
        <v>0.29776903724500031</v>
      </c>
      <c r="P104" s="1460">
        <f t="shared" si="68"/>
        <v>0.18</v>
      </c>
      <c r="Q104" s="1460">
        <f t="shared" si="68"/>
        <v>0.18338332878829197</v>
      </c>
      <c r="R104" s="1460">
        <f t="shared" si="68"/>
        <v>0.18855928233475427</v>
      </c>
      <c r="S104" s="1460">
        <f t="shared" si="68"/>
        <v>0.24279958617013106</v>
      </c>
      <c r="T104" s="1460">
        <f t="shared" si="68"/>
        <v>0.22480526704405204</v>
      </c>
      <c r="U104" s="1460">
        <f t="shared" si="68"/>
        <v>0.19092585672845272</v>
      </c>
      <c r="V104" s="1460">
        <f t="shared" si="68"/>
        <v>0.15017400996292335</v>
      </c>
      <c r="W104" s="1460">
        <f t="shared" si="68"/>
        <v>0.10139144778412605</v>
      </c>
      <c r="X104" s="1460">
        <f t="shared" si="68"/>
        <v>0.1321680486393805</v>
      </c>
      <c r="Y104" s="1460">
        <f t="shared" si="68"/>
        <v>0.13</v>
      </c>
      <c r="Z104" s="1460">
        <f t="shared" si="68"/>
        <v>0.13</v>
      </c>
      <c r="AA104" s="1460">
        <f t="shared" si="68"/>
        <v>0.13</v>
      </c>
      <c r="AB104" s="1460">
        <f t="shared" si="68"/>
        <v>0.13</v>
      </c>
      <c r="AC104" s="1460">
        <f t="shared" si="68"/>
        <v>0.13</v>
      </c>
      <c r="AD104" s="1460">
        <f t="shared" si="68"/>
        <v>0.13</v>
      </c>
      <c r="AE104" s="1460">
        <f t="shared" si="68"/>
        <v>0.13</v>
      </c>
      <c r="AF104" s="1460">
        <f t="shared" si="68"/>
        <v>0.13</v>
      </c>
      <c r="AG104" s="1460" t="e">
        <f t="shared" si="68"/>
        <v>#DIV/0!</v>
      </c>
      <c r="AH104" s="1460" t="e">
        <f t="shared" si="68"/>
        <v>#DIV/0!</v>
      </c>
      <c r="AI104" s="685"/>
      <c r="AJ104" s="685"/>
      <c r="AK104" s="685"/>
      <c r="AL104" s="685"/>
      <c r="AM104" s="685"/>
      <c r="AN104" s="685"/>
      <c r="AO104" s="685"/>
      <c r="AP104" s="685"/>
      <c r="AQ104" s="685"/>
      <c r="AR104" s="685"/>
      <c r="AS104" s="685"/>
      <c r="AT104" s="685"/>
      <c r="AU104" s="685"/>
      <c r="AV104" s="685"/>
      <c r="AW104" s="685"/>
      <c r="AX104" s="685"/>
      <c r="AY104" s="685"/>
      <c r="AZ104" s="685"/>
      <c r="BA104" s="685"/>
      <c r="BB104" s="685"/>
      <c r="BC104" s="685"/>
      <c r="BD104" s="685"/>
    </row>
    <row r="105" spans="1:56">
      <c r="A105" s="685"/>
      <c r="B105" s="1154" t="str">
        <f>B92</f>
        <v>Residential and Enterprise</v>
      </c>
      <c r="C105" s="1155"/>
      <c r="D105" s="1155"/>
      <c r="E105" s="1155"/>
      <c r="F105" s="1155"/>
      <c r="G105" s="1155"/>
      <c r="H105" s="1157">
        <f t="shared" ref="H105:AH105" si="69">H84/H21</f>
        <v>0.34912407890323205</v>
      </c>
      <c r="I105" s="1157">
        <f t="shared" si="69"/>
        <v>0.46824499331313169</v>
      </c>
      <c r="J105" s="1157">
        <f t="shared" si="69"/>
        <v>0.37040644205523848</v>
      </c>
      <c r="K105" s="1157">
        <f t="shared" si="69"/>
        <v>0.38456301700662798</v>
      </c>
      <c r="L105" s="1157">
        <f t="shared" si="69"/>
        <v>0.44663126940042475</v>
      </c>
      <c r="M105" s="1157">
        <f t="shared" si="69"/>
        <v>0.44684098160212443</v>
      </c>
      <c r="N105" s="1459">
        <f t="shared" si="69"/>
        <v>0.60007666305114737</v>
      </c>
      <c r="O105" s="1459">
        <f t="shared" si="69"/>
        <v>0.58172590901679444</v>
      </c>
      <c r="P105" s="1459">
        <f t="shared" si="69"/>
        <v>0.32008986928104577</v>
      </c>
      <c r="Q105" s="1459">
        <f t="shared" si="69"/>
        <v>0.35330361824855794</v>
      </c>
      <c r="R105" s="1459">
        <f t="shared" si="69"/>
        <v>0.310939523284255</v>
      </c>
      <c r="S105" s="1459">
        <f t="shared" si="69"/>
        <v>0.31367444690094803</v>
      </c>
      <c r="T105" s="1459">
        <f t="shared" si="69"/>
        <v>0.36096736547868669</v>
      </c>
      <c r="U105" s="1459">
        <f t="shared" si="69"/>
        <v>0.26830336818709483</v>
      </c>
      <c r="V105" s="1459">
        <f t="shared" si="69"/>
        <v>0.22958045182111572</v>
      </c>
      <c r="W105" s="1459">
        <f t="shared" si="69"/>
        <v>0.1541442829109784</v>
      </c>
      <c r="X105" s="1459">
        <f t="shared" si="69"/>
        <v>0.22237841618192322</v>
      </c>
      <c r="Y105" s="1459">
        <f t="shared" si="69"/>
        <v>0.27021648645819862</v>
      </c>
      <c r="Z105" s="1459">
        <f t="shared" si="69"/>
        <v>0.20960972971981692</v>
      </c>
      <c r="AA105" s="1459">
        <f t="shared" si="69"/>
        <v>0.19677303506053007</v>
      </c>
      <c r="AB105" s="1459">
        <f t="shared" si="69"/>
        <v>0.19124739853911743</v>
      </c>
      <c r="AC105" s="1459">
        <f t="shared" si="69"/>
        <v>0.18633404204551848</v>
      </c>
      <c r="AD105" s="1459">
        <f t="shared" si="69"/>
        <v>0.18200206211227329</v>
      </c>
      <c r="AE105" s="1459">
        <f t="shared" si="69"/>
        <v>0.17979256748414071</v>
      </c>
      <c r="AF105" s="1459">
        <f t="shared" si="69"/>
        <v>0.17722191610688193</v>
      </c>
      <c r="AG105" s="1459">
        <f t="shared" si="69"/>
        <v>0.17637291081160705</v>
      </c>
      <c r="AH105" s="1459">
        <f t="shared" si="69"/>
        <v>0.17639275013895822</v>
      </c>
      <c r="AI105" s="685"/>
      <c r="AJ105" s="685"/>
      <c r="AK105" s="685"/>
      <c r="AL105" s="685"/>
      <c r="AM105" s="685"/>
      <c r="AN105" s="685"/>
      <c r="AO105" s="685"/>
      <c r="AP105" s="685"/>
      <c r="AQ105" s="685"/>
      <c r="AR105" s="685"/>
      <c r="AS105" s="685"/>
      <c r="AT105" s="685"/>
      <c r="AU105" s="685"/>
      <c r="AV105" s="685"/>
      <c r="AW105" s="685"/>
      <c r="AX105" s="685"/>
      <c r="AY105" s="685"/>
      <c r="AZ105" s="685"/>
      <c r="BA105" s="685"/>
      <c r="BB105" s="685"/>
      <c r="BC105" s="685"/>
      <c r="BD105" s="685"/>
    </row>
    <row r="106" spans="1:56">
      <c r="A106" s="685"/>
      <c r="B106" s="1115" t="s">
        <v>85</v>
      </c>
      <c r="C106" s="1128"/>
      <c r="D106" s="1128"/>
      <c r="E106" s="1128"/>
      <c r="F106" s="1128"/>
      <c r="G106" s="1131"/>
      <c r="H106" s="1130">
        <f t="shared" ref="H106:AH106" si="70">H87/H28</f>
        <v>0.12875347525409081</v>
      </c>
      <c r="I106" s="1130">
        <f t="shared" si="70"/>
        <v>0.22069886340067202</v>
      </c>
      <c r="J106" s="1130">
        <f t="shared" si="70"/>
        <v>0.1572356047713781</v>
      </c>
      <c r="K106" s="1130">
        <f t="shared" si="70"/>
        <v>0.16732418920947204</v>
      </c>
      <c r="L106" s="1130">
        <f t="shared" si="70"/>
        <v>0.20020066780859042</v>
      </c>
      <c r="M106" s="1130">
        <f t="shared" si="70"/>
        <v>0.21149899398889643</v>
      </c>
      <c r="N106" s="1460">
        <f t="shared" si="70"/>
        <v>0.28934831690364787</v>
      </c>
      <c r="O106" s="1460">
        <f t="shared" si="70"/>
        <v>0.28989338168856987</v>
      </c>
      <c r="P106" s="1460">
        <f t="shared" si="70"/>
        <v>0.17736229116945104</v>
      </c>
      <c r="Q106" s="1460">
        <f t="shared" si="70"/>
        <v>0.18419652551574375</v>
      </c>
      <c r="R106" s="1460">
        <f t="shared" si="70"/>
        <v>0.18943876141821309</v>
      </c>
      <c r="S106" s="1460">
        <f t="shared" si="70"/>
        <v>0.20772766251828576</v>
      </c>
      <c r="T106" s="1460">
        <f t="shared" si="70"/>
        <v>0.22517085551461685</v>
      </c>
      <c r="U106" s="1460">
        <f t="shared" si="70"/>
        <v>0.22792181827329708</v>
      </c>
      <c r="V106" s="1460">
        <f t="shared" si="70"/>
        <v>0.1966082808376001</v>
      </c>
      <c r="W106" s="1460">
        <f t="shared" si="70"/>
        <v>0.14611907730673315</v>
      </c>
      <c r="X106" s="1460">
        <f t="shared" si="70"/>
        <v>0.20697983294326255</v>
      </c>
      <c r="Y106" s="1460">
        <f t="shared" si="70"/>
        <v>0.25013464885861597</v>
      </c>
      <c r="Z106" s="1460">
        <f t="shared" si="70"/>
        <v>0.20342106412768107</v>
      </c>
      <c r="AA106" s="1460">
        <f t="shared" si="70"/>
        <v>0.19618352464367766</v>
      </c>
      <c r="AB106" s="1460">
        <f t="shared" si="70"/>
        <v>0.19278090453177588</v>
      </c>
      <c r="AC106" s="1460">
        <f t="shared" si="70"/>
        <v>0.1888287414640448</v>
      </c>
      <c r="AD106" s="1460">
        <f t="shared" si="70"/>
        <v>0.18463194326856835</v>
      </c>
      <c r="AE106" s="1460">
        <f t="shared" si="70"/>
        <v>0.1825</v>
      </c>
      <c r="AF106" s="1460">
        <f t="shared" si="70"/>
        <v>0.18</v>
      </c>
      <c r="AG106" s="1460">
        <f t="shared" si="70"/>
        <v>0.18</v>
      </c>
      <c r="AH106" s="1460">
        <f t="shared" si="70"/>
        <v>0.17999999999999997</v>
      </c>
      <c r="AI106" s="685"/>
      <c r="AJ106" s="685"/>
      <c r="AK106" s="685"/>
      <c r="AL106" s="685"/>
      <c r="AM106" s="685"/>
      <c r="AN106" s="685"/>
      <c r="AO106" s="685"/>
      <c r="AP106" s="685"/>
      <c r="AQ106" s="685"/>
      <c r="AR106" s="685"/>
      <c r="AS106" s="685"/>
      <c r="AT106" s="685"/>
      <c r="AU106" s="685"/>
      <c r="AV106" s="685"/>
      <c r="AW106" s="685"/>
      <c r="AX106" s="685"/>
      <c r="AY106" s="685"/>
      <c r="AZ106" s="685"/>
      <c r="BA106" s="685"/>
      <c r="BB106" s="685"/>
      <c r="BC106" s="685"/>
      <c r="BD106" s="685"/>
    </row>
    <row r="107" spans="1:56">
      <c r="A107" s="685"/>
      <c r="B107" s="1115"/>
      <c r="C107" s="1128"/>
      <c r="D107" s="1128"/>
      <c r="E107" s="1128"/>
      <c r="F107" s="1128"/>
      <c r="G107" s="1128"/>
      <c r="H107" s="1128"/>
      <c r="I107" s="1128"/>
      <c r="J107" s="1128"/>
      <c r="K107" s="1128"/>
      <c r="L107" s="1128"/>
      <c r="M107" s="1128"/>
      <c r="N107" s="1128"/>
      <c r="O107" s="1128"/>
      <c r="P107" s="1128"/>
      <c r="Q107" s="1128"/>
      <c r="R107" s="1128"/>
      <c r="S107" s="1128"/>
      <c r="T107" s="1128"/>
      <c r="U107" s="1128"/>
      <c r="V107" s="1128"/>
      <c r="W107" s="1128"/>
      <c r="X107" s="1128"/>
      <c r="Y107" s="1128"/>
      <c r="Z107" s="1128"/>
      <c r="AA107" s="1128"/>
      <c r="AB107" s="1128"/>
      <c r="AC107" s="1128"/>
      <c r="AD107" s="1128"/>
      <c r="AE107" s="1128"/>
      <c r="AF107" s="1128"/>
      <c r="AG107" s="1128"/>
      <c r="AH107" s="1128"/>
      <c r="AI107" s="685"/>
      <c r="AJ107" s="685"/>
      <c r="AK107" s="685"/>
      <c r="AL107" s="685"/>
      <c r="AM107" s="685"/>
      <c r="AN107" s="685"/>
      <c r="AO107" s="685"/>
      <c r="AP107" s="685"/>
      <c r="AQ107" s="685"/>
      <c r="AR107" s="685"/>
      <c r="AS107" s="685"/>
      <c r="AT107" s="685"/>
      <c r="AU107" s="685"/>
      <c r="AV107" s="685"/>
      <c r="AW107" s="685"/>
      <c r="AX107" s="685"/>
      <c r="AY107" s="685"/>
      <c r="AZ107" s="685"/>
      <c r="BA107" s="685"/>
      <c r="BB107" s="685"/>
      <c r="BC107" s="685"/>
      <c r="BD107" s="685"/>
    </row>
    <row r="108" spans="1:56">
      <c r="A108" s="685"/>
      <c r="B108" s="1115"/>
      <c r="C108" s="1128"/>
      <c r="D108" s="1128"/>
      <c r="E108" s="1128"/>
      <c r="F108" s="1128"/>
      <c r="G108" s="1128"/>
      <c r="H108" s="1128"/>
      <c r="I108" s="1128"/>
      <c r="J108" s="1128"/>
      <c r="K108" s="1128"/>
      <c r="L108" s="1128"/>
      <c r="M108" s="1128"/>
      <c r="N108" s="1128"/>
      <c r="O108" s="1128"/>
      <c r="P108" s="1128"/>
      <c r="Q108" s="1128"/>
      <c r="R108" s="1128"/>
      <c r="S108" s="1128"/>
      <c r="T108" s="1128"/>
      <c r="U108" s="1128"/>
      <c r="V108" s="1128"/>
      <c r="W108" s="1128"/>
      <c r="X108" s="1134"/>
      <c r="Y108" s="1819" cm="1">
        <f t="array" ref="Y108">_xll.VAData("TV_US", "FY-"&amp;Y2, "Capital Expenditure", "Consensus", "CD", "","","")</f>
        <v>13382.905013618223</v>
      </c>
      <c r="Z108" s="1819" cm="1">
        <f t="array" ref="Z108">_xll.VAData("TV_US", "FY-"&amp;Z2, "Capital Expenditure", "Consensus", "CD", "","","")</f>
        <v>11882.22121562004</v>
      </c>
      <c r="AA108" s="1819" cm="1">
        <f t="array" ref="AA108">_xll.VAData("TV_US", "FY-"&amp;AA2, "Capital Expenditure", "Consensus", "CD", "","","")</f>
        <v>10693.314210578113</v>
      </c>
      <c r="AB108" s="1819" cm="1">
        <f t="array" ref="AB108">_xll.VAData("TV_US", "FY-"&amp;AB2, "Capital Expenditure", "Consensus", "CD", "","","")</f>
        <v>10633.599434298454</v>
      </c>
      <c r="AC108" s="1819" cm="1">
        <f t="array" ref="AC108">_xll.VAData("TV_US", "FY-"&amp;AC2, "Capital Expenditure", "Consensus", "CD", "","","")</f>
        <v>10531.31057513298</v>
      </c>
      <c r="AD108" s="1134"/>
      <c r="AE108" s="1134"/>
      <c r="AF108" s="1134"/>
      <c r="AG108" s="1134"/>
      <c r="AH108" s="1134"/>
      <c r="AI108" s="685"/>
      <c r="AJ108" s="685"/>
      <c r="AK108" s="685"/>
      <c r="AL108" s="685"/>
      <c r="AM108" s="685"/>
      <c r="AN108" s="685"/>
      <c r="AO108" s="685"/>
      <c r="AP108" s="685"/>
      <c r="AQ108" s="685"/>
      <c r="AR108" s="685"/>
      <c r="AS108" s="685"/>
      <c r="AT108" s="685"/>
      <c r="AU108" s="685"/>
      <c r="AV108" s="685"/>
      <c r="AW108" s="685"/>
      <c r="AX108" s="685"/>
      <c r="AY108" s="685"/>
      <c r="AZ108" s="685"/>
      <c r="BA108" s="685"/>
      <c r="BB108" s="685"/>
      <c r="BC108" s="685"/>
      <c r="BD108" s="685"/>
    </row>
    <row r="109" spans="1:56">
      <c r="A109" s="685"/>
      <c r="B109" s="1115"/>
      <c r="C109" s="1128"/>
      <c r="D109" s="1128"/>
      <c r="E109" s="1128"/>
      <c r="F109" s="1128"/>
      <c r="G109" s="1128"/>
      <c r="H109" s="1128"/>
      <c r="I109" s="1128"/>
      <c r="J109" s="1128"/>
      <c r="K109" s="1128"/>
      <c r="L109" s="1128"/>
      <c r="M109" s="1128"/>
      <c r="N109" s="1128"/>
      <c r="O109" s="1128"/>
      <c r="P109" s="1128"/>
      <c r="Q109" s="1128"/>
      <c r="R109" s="1128"/>
      <c r="S109" s="1128"/>
      <c r="T109" s="1128"/>
      <c r="U109" s="1128"/>
      <c r="V109" s="1128"/>
      <c r="W109" s="1128"/>
      <c r="X109" s="1118"/>
      <c r="Y109" s="1820">
        <f>Y87/Y108-1</f>
        <v>6.6898903693947132E-2</v>
      </c>
      <c r="Z109" s="1820">
        <f>Z87/Z108-1</f>
        <v>-6.0004560002710039E-2</v>
      </c>
      <c r="AA109" s="1820">
        <f>AA87/AA108-1</f>
        <v>-3.7162586942831699E-2</v>
      </c>
      <c r="AB109" s="1820">
        <f>AB87/AB108-1</f>
        <v>-5.8892377595537782E-2</v>
      </c>
      <c r="AC109" s="1820">
        <f>AC87/AC108-1</f>
        <v>-6.5358552382000279E-2</v>
      </c>
      <c r="AD109" s="1118"/>
      <c r="AE109" s="1118"/>
      <c r="AF109" s="1118"/>
      <c r="AG109" s="1118"/>
      <c r="AH109" s="1118"/>
      <c r="AI109" s="685"/>
      <c r="AJ109" s="685"/>
      <c r="AK109" s="685"/>
      <c r="AL109" s="685"/>
      <c r="AM109" s="685"/>
      <c r="AN109" s="685"/>
      <c r="AO109" s="685"/>
      <c r="AP109" s="685"/>
      <c r="AQ109" s="685"/>
      <c r="AR109" s="685"/>
      <c r="AS109" s="685"/>
      <c r="AT109" s="685"/>
      <c r="AU109" s="685"/>
      <c r="AV109" s="685"/>
      <c r="AW109" s="685"/>
      <c r="AX109" s="685"/>
      <c r="AY109" s="685"/>
      <c r="AZ109" s="685"/>
      <c r="BA109" s="685"/>
      <c r="BB109" s="685"/>
      <c r="BC109" s="685"/>
      <c r="BD109" s="685"/>
    </row>
    <row r="110" spans="1:56">
      <c r="A110" s="685"/>
      <c r="B110" s="1115"/>
      <c r="C110" s="1128"/>
      <c r="D110" s="1128"/>
      <c r="E110" s="1128"/>
      <c r="F110" s="1128"/>
      <c r="G110" s="1128"/>
      <c r="H110" s="1128"/>
      <c r="I110" s="1128"/>
      <c r="J110" s="1128"/>
      <c r="K110" s="1128"/>
      <c r="L110" s="1128"/>
      <c r="M110" s="1128"/>
      <c r="N110" s="1128"/>
      <c r="O110" s="1128"/>
      <c r="P110" s="1128"/>
      <c r="Q110" s="1128"/>
      <c r="R110" s="1128"/>
      <c r="S110" s="1128"/>
      <c r="T110" s="1128"/>
      <c r="U110" s="1128"/>
      <c r="V110" s="1128"/>
      <c r="W110" s="1128"/>
      <c r="X110" s="1118"/>
      <c r="Y110" s="1820">
        <f>Y108/Y33</f>
        <v>0.23424604335986535</v>
      </c>
      <c r="Z110" s="1820">
        <f>Z108/Z33</f>
        <v>0.20891991100289017</v>
      </c>
      <c r="AA110" s="1820">
        <f>AA108/AA33</f>
        <v>0.18652555814874594</v>
      </c>
      <c r="AB110" s="1820">
        <f>AB108/AB33</f>
        <v>0.18286391867000187</v>
      </c>
      <c r="AC110" s="1820">
        <f>AC108/AC33</f>
        <v>0.17875856537134743</v>
      </c>
      <c r="AD110" s="1118"/>
      <c r="AE110" s="1118"/>
      <c r="AF110" s="1118"/>
      <c r="AG110" s="1118"/>
      <c r="AH110" s="1118"/>
      <c r="AI110" s="685"/>
      <c r="AJ110" s="685"/>
      <c r="AK110" s="685"/>
      <c r="AL110" s="685"/>
      <c r="AM110" s="685"/>
      <c r="AN110" s="685"/>
      <c r="AO110" s="685"/>
      <c r="AP110" s="685"/>
      <c r="AQ110" s="685"/>
      <c r="AR110" s="685"/>
      <c r="AS110" s="685"/>
      <c r="AT110" s="685"/>
      <c r="AU110" s="685"/>
      <c r="AV110" s="685"/>
      <c r="AW110" s="685"/>
      <c r="AX110" s="685"/>
      <c r="AY110" s="685"/>
      <c r="AZ110" s="685"/>
      <c r="BA110" s="685"/>
      <c r="BB110" s="685"/>
      <c r="BC110" s="685"/>
      <c r="BD110" s="685"/>
    </row>
    <row r="111" spans="1:56">
      <c r="A111" s="685"/>
      <c r="B111" s="1115"/>
      <c r="C111" s="1128"/>
      <c r="D111" s="1128"/>
      <c r="E111" s="1128"/>
      <c r="F111" s="1128"/>
      <c r="G111" s="1128"/>
      <c r="H111" s="1128"/>
      <c r="I111" s="1128"/>
      <c r="J111" s="1128"/>
      <c r="K111" s="1128"/>
      <c r="L111" s="1128"/>
      <c r="M111" s="1128"/>
      <c r="N111" s="1128"/>
      <c r="O111" s="1128"/>
      <c r="P111" s="1128"/>
      <c r="Q111" s="1128"/>
      <c r="R111" s="1128"/>
      <c r="S111" s="1128"/>
      <c r="T111" s="1128"/>
      <c r="U111" s="1128"/>
      <c r="V111" s="1128"/>
      <c r="W111" s="1128"/>
      <c r="X111" s="1128"/>
      <c r="Y111" s="1128"/>
      <c r="Z111" s="1128"/>
      <c r="AA111" s="1128"/>
      <c r="AB111" s="1128"/>
      <c r="AC111" s="1128"/>
      <c r="AD111" s="1128"/>
      <c r="AE111" s="1128"/>
      <c r="AF111" s="1128"/>
      <c r="AG111" s="1128"/>
      <c r="AH111" s="1128"/>
      <c r="AI111" s="685"/>
      <c r="AJ111" s="685"/>
      <c r="AK111" s="685"/>
      <c r="AL111" s="685"/>
      <c r="AM111" s="685"/>
      <c r="AN111" s="685"/>
      <c r="AO111" s="685"/>
      <c r="AP111" s="685"/>
      <c r="AQ111" s="685"/>
      <c r="AR111" s="685"/>
      <c r="AS111" s="685"/>
      <c r="AT111" s="685"/>
      <c r="AU111" s="685"/>
      <c r="AV111" s="685"/>
      <c r="AW111" s="685"/>
      <c r="AX111" s="685"/>
      <c r="AY111" s="685"/>
      <c r="AZ111" s="685"/>
      <c r="BA111" s="685"/>
      <c r="BB111" s="685"/>
      <c r="BC111" s="685"/>
      <c r="BD111" s="685"/>
    </row>
    <row r="112" spans="1:56">
      <c r="A112" s="685"/>
      <c r="B112" s="1113" t="s">
        <v>36</v>
      </c>
      <c r="C112" s="1128"/>
      <c r="D112" s="1128"/>
      <c r="E112" s="1128"/>
      <c r="F112" s="1128"/>
      <c r="G112" s="1128"/>
      <c r="H112" s="1128"/>
      <c r="I112" s="1128"/>
      <c r="J112" s="1128"/>
      <c r="K112" s="1117"/>
      <c r="L112" s="1123"/>
      <c r="M112" s="1117"/>
      <c r="N112" s="1123"/>
      <c r="O112" s="1117"/>
      <c r="P112" s="1117"/>
      <c r="Q112" s="1117"/>
      <c r="R112" s="1117"/>
      <c r="S112" s="1117"/>
      <c r="T112" s="1117"/>
      <c r="U112" s="1117"/>
      <c r="V112" s="1117"/>
      <c r="W112" s="1117"/>
      <c r="X112" s="1117"/>
      <c r="Y112" s="1117"/>
      <c r="Z112" s="1117"/>
      <c r="AA112" s="1117"/>
      <c r="AB112" s="1117"/>
      <c r="AC112" s="1117"/>
      <c r="AD112" s="1117"/>
      <c r="AE112" s="1117"/>
      <c r="AF112" s="1117"/>
      <c r="AG112" s="1117"/>
      <c r="AH112" s="1117"/>
      <c r="AI112" s="685"/>
      <c r="AJ112" s="685"/>
      <c r="AK112" s="685"/>
      <c r="AL112" s="685"/>
      <c r="AM112" s="685"/>
      <c r="AN112" s="685"/>
      <c r="AO112" s="685"/>
      <c r="AP112" s="685"/>
      <c r="AQ112" s="685"/>
      <c r="AR112" s="685"/>
      <c r="AS112" s="685"/>
      <c r="AT112" s="685"/>
      <c r="AU112" s="685"/>
      <c r="AV112" s="685"/>
      <c r="AW112" s="685"/>
      <c r="AX112" s="685"/>
      <c r="AY112" s="685"/>
      <c r="AZ112" s="685"/>
      <c r="BA112" s="685"/>
      <c r="BB112" s="685"/>
      <c r="BC112" s="685"/>
      <c r="BD112" s="685"/>
    </row>
    <row r="113" spans="1:56" hidden="1">
      <c r="A113" s="685"/>
      <c r="B113" s="1151" t="str">
        <f>B82</f>
        <v>Content/other</v>
      </c>
      <c r="C113" s="1128"/>
      <c r="D113" s="1128"/>
      <c r="E113" s="1128"/>
      <c r="F113" s="1128"/>
      <c r="G113" s="1128"/>
      <c r="H113" s="1123">
        <f>(H53+H54+H57+(H61+H62)*0.7)-H82</f>
        <v>11058.15</v>
      </c>
      <c r="I113" s="1123">
        <f t="shared" ref="I113:AH113" si="71">I53-I82</f>
        <v>12102.32</v>
      </c>
      <c r="J113" s="1123">
        <f t="shared" si="71"/>
        <v>12681.704000000002</v>
      </c>
      <c r="K113" s="1123">
        <f t="shared" si="71"/>
        <v>13647.76</v>
      </c>
      <c r="L113" s="1123">
        <f t="shared" si="71"/>
        <v>13521.847999999998</v>
      </c>
      <c r="M113" s="1123">
        <f t="shared" si="71"/>
        <v>13119.866</v>
      </c>
      <c r="N113" s="1123">
        <f t="shared" si="71"/>
        <v>11920.258000000002</v>
      </c>
      <c r="O113" s="1123">
        <f t="shared" si="71"/>
        <v>11920.5</v>
      </c>
      <c r="P113" s="1123">
        <f t="shared" si="71"/>
        <v>10677.960000000001</v>
      </c>
      <c r="Q113" s="1123">
        <f t="shared" si="71"/>
        <v>13030.1</v>
      </c>
      <c r="R113" s="1123">
        <f t="shared" si="71"/>
        <v>10556.85</v>
      </c>
      <c r="S113" s="1123">
        <f t="shared" si="71"/>
        <v>11787.284</v>
      </c>
      <c r="T113" s="1123">
        <f t="shared" si="71"/>
        <v>12754.58118557492</v>
      </c>
      <c r="U113" s="1123">
        <f t="shared" si="71"/>
        <v>-341.87</v>
      </c>
      <c r="V113" s="1123">
        <f t="shared" si="71"/>
        <v>-658.44</v>
      </c>
      <c r="W113" s="1123">
        <f t="shared" si="71"/>
        <v>0</v>
      </c>
      <c r="X113" s="1123">
        <f t="shared" si="71"/>
        <v>0</v>
      </c>
      <c r="Y113" s="1123">
        <f t="shared" si="71"/>
        <v>0</v>
      </c>
      <c r="Z113" s="1123">
        <f t="shared" si="71"/>
        <v>0</v>
      </c>
      <c r="AA113" s="1123">
        <f t="shared" si="71"/>
        <v>0</v>
      </c>
      <c r="AB113" s="1123">
        <f t="shared" si="71"/>
        <v>0</v>
      </c>
      <c r="AC113" s="1123">
        <f t="shared" si="71"/>
        <v>0</v>
      </c>
      <c r="AD113" s="1123">
        <f t="shared" si="71"/>
        <v>0</v>
      </c>
      <c r="AE113" s="1123">
        <f t="shared" si="71"/>
        <v>0</v>
      </c>
      <c r="AF113" s="1123">
        <f t="shared" si="71"/>
        <v>0</v>
      </c>
      <c r="AG113" s="1123">
        <f t="shared" si="71"/>
        <v>0</v>
      </c>
      <c r="AH113" s="1123">
        <f t="shared" si="71"/>
        <v>0</v>
      </c>
      <c r="AI113" s="685"/>
      <c r="AJ113" s="685"/>
      <c r="AK113" s="685"/>
      <c r="AL113" s="685"/>
      <c r="AM113" s="685"/>
      <c r="AN113" s="685"/>
      <c r="AO113" s="685"/>
      <c r="AP113" s="685"/>
      <c r="AQ113" s="685"/>
      <c r="AR113" s="685"/>
      <c r="AS113" s="685"/>
      <c r="AT113" s="685"/>
      <c r="AU113" s="685"/>
      <c r="AV113" s="685"/>
      <c r="AW113" s="685"/>
      <c r="AX113" s="685"/>
      <c r="AY113" s="685"/>
      <c r="AZ113" s="685"/>
      <c r="BA113" s="685"/>
      <c r="BB113" s="685"/>
      <c r="BC113" s="685"/>
      <c r="BD113" s="685"/>
    </row>
    <row r="114" spans="1:56">
      <c r="A114" s="685"/>
      <c r="B114" s="1151" t="str">
        <f>B83</f>
        <v>Satellite (Sky)</v>
      </c>
      <c r="C114" s="1128"/>
      <c r="D114" s="1128"/>
      <c r="E114" s="1128"/>
      <c r="F114" s="1128"/>
      <c r="G114" s="1128"/>
      <c r="H114" s="1123">
        <f>H55+(H61+H62)*0.15-H83</f>
        <v>2641.5</v>
      </c>
      <c r="I114" s="1123">
        <f t="shared" ref="I114:AH114" si="72">I55-I83</f>
        <v>-444.3100000000004</v>
      </c>
      <c r="J114" s="1123">
        <f t="shared" si="72"/>
        <v>2784.2960000000003</v>
      </c>
      <c r="K114" s="1123">
        <f t="shared" si="72"/>
        <v>2715.2799999999997</v>
      </c>
      <c r="L114" s="1123">
        <f t="shared" si="72"/>
        <v>2265.848</v>
      </c>
      <c r="M114" s="1123">
        <f t="shared" si="72"/>
        <v>3036.3719999999985</v>
      </c>
      <c r="N114" s="1123">
        <f t="shared" si="72"/>
        <v>3233.7079999999996</v>
      </c>
      <c r="O114" s="1123">
        <f t="shared" si="72"/>
        <v>3365.0899999999992</v>
      </c>
      <c r="P114" s="1123">
        <f t="shared" si="72"/>
        <v>6111.5400000000009</v>
      </c>
      <c r="Q114" s="1123">
        <f t="shared" si="72"/>
        <v>5732.2000000000007</v>
      </c>
      <c r="R114" s="1123">
        <f t="shared" si="72"/>
        <v>5095.8250000000007</v>
      </c>
      <c r="S114" s="1123">
        <f t="shared" si="72"/>
        <v>3761.503999999999</v>
      </c>
      <c r="T114" s="1123">
        <f t="shared" si="72"/>
        <v>3552.5043049274846</v>
      </c>
      <c r="U114" s="1123">
        <f t="shared" si="72"/>
        <v>2533.0889999999999</v>
      </c>
      <c r="V114" s="1123">
        <f t="shared" si="72"/>
        <v>3090.56</v>
      </c>
      <c r="W114" s="1123">
        <f t="shared" si="72"/>
        <v>3147.9259999999995</v>
      </c>
      <c r="X114" s="1123">
        <f t="shared" si="72"/>
        <v>2142.5977010176002</v>
      </c>
      <c r="Y114" s="1123">
        <f t="shared" si="72"/>
        <v>1622.7672999999998</v>
      </c>
      <c r="Z114" s="1123">
        <f t="shared" si="72"/>
        <v>1102.5271949999997</v>
      </c>
      <c r="AA114" s="1123">
        <f t="shared" si="72"/>
        <v>517.85368249999988</v>
      </c>
      <c r="AB114" s="1123">
        <f t="shared" si="72"/>
        <v>266.44407212499999</v>
      </c>
      <c r="AC114" s="1123">
        <f t="shared" si="72"/>
        <v>148.84117132499998</v>
      </c>
      <c r="AD114" s="1123">
        <f t="shared" si="72"/>
        <v>128.16878641874996</v>
      </c>
      <c r="AE114" s="1123">
        <f t="shared" si="72"/>
        <v>110.84036649493495</v>
      </c>
      <c r="AF114" s="1123">
        <f t="shared" si="72"/>
        <v>96.141970068432698</v>
      </c>
      <c r="AG114" s="1123">
        <f t="shared" si="72"/>
        <v>0</v>
      </c>
      <c r="AH114" s="1123">
        <f t="shared" si="72"/>
        <v>0</v>
      </c>
      <c r="AI114" s="685"/>
      <c r="AJ114" s="685"/>
      <c r="AK114" s="685"/>
      <c r="AL114" s="685"/>
      <c r="AM114" s="685"/>
      <c r="AN114" s="685"/>
      <c r="AO114" s="685"/>
      <c r="AP114" s="685"/>
      <c r="AQ114" s="685"/>
      <c r="AR114" s="685"/>
      <c r="AS114" s="685"/>
      <c r="AT114" s="685"/>
      <c r="AU114" s="685"/>
      <c r="AV114" s="685"/>
      <c r="AW114" s="685"/>
      <c r="AX114" s="685"/>
      <c r="AY114" s="685"/>
      <c r="AZ114" s="685"/>
      <c r="BA114" s="685"/>
      <c r="BB114" s="685"/>
      <c r="BC114" s="685"/>
      <c r="BD114" s="685"/>
    </row>
    <row r="115" spans="1:56">
      <c r="A115" s="685"/>
      <c r="B115" s="1151" t="str">
        <f>B84</f>
        <v>Residential and Enterprise</v>
      </c>
      <c r="C115" s="1128"/>
      <c r="D115" s="1128"/>
      <c r="E115" s="1128"/>
      <c r="F115" s="1128"/>
      <c r="G115" s="1128"/>
      <c r="H115" s="1123">
        <f>H56+(H61+H62)*0.15-H84</f>
        <v>-353.19999999999982</v>
      </c>
      <c r="I115" s="1123">
        <f t="shared" ref="I115:AH115" si="73">I56-I84</f>
        <v>-1624.9400000000005</v>
      </c>
      <c r="J115" s="1123">
        <f t="shared" si="73"/>
        <v>-271.63999999999942</v>
      </c>
      <c r="K115" s="1123">
        <f t="shared" si="73"/>
        <v>-175.00000000000091</v>
      </c>
      <c r="L115" s="1123">
        <f t="shared" si="73"/>
        <v>-1522.9239999999991</v>
      </c>
      <c r="M115" s="1123">
        <f t="shared" si="73"/>
        <v>-1472.6990000000005</v>
      </c>
      <c r="N115" s="1123">
        <f t="shared" si="73"/>
        <v>-5689.5640000000003</v>
      </c>
      <c r="O115" s="1123">
        <f t="shared" si="73"/>
        <v>-5316.0700000000015</v>
      </c>
      <c r="P115" s="1123">
        <f t="shared" si="73"/>
        <v>3456.67</v>
      </c>
      <c r="Q115" s="1123">
        <f t="shared" si="73"/>
        <v>2501.75</v>
      </c>
      <c r="R115" s="1123">
        <f t="shared" si="73"/>
        <v>4831.1999999999989</v>
      </c>
      <c r="S115" s="1123">
        <f t="shared" si="73"/>
        <v>4667.7999999999993</v>
      </c>
      <c r="T115" s="1123">
        <f t="shared" si="73"/>
        <v>2951.0222390845338</v>
      </c>
      <c r="U115" s="1123">
        <f t="shared" si="73"/>
        <v>6913.7510000000002</v>
      </c>
      <c r="V115" s="1123">
        <f t="shared" si="73"/>
        <v>7523.4</v>
      </c>
      <c r="W115" s="1123">
        <f t="shared" si="73"/>
        <v>11180.239999999998</v>
      </c>
      <c r="X115" s="1123">
        <f t="shared" si="73"/>
        <v>8884.8522989824014</v>
      </c>
      <c r="Y115" s="1123">
        <f t="shared" si="73"/>
        <v>7409.4194657304906</v>
      </c>
      <c r="Z115" s="1123">
        <f t="shared" si="73"/>
        <v>10542.0596610461</v>
      </c>
      <c r="AA115" s="1123">
        <f t="shared" si="73"/>
        <v>11420.426369387109</v>
      </c>
      <c r="AB115" s="1123">
        <f t="shared" si="73"/>
        <v>11980.325325140195</v>
      </c>
      <c r="AC115" s="1123">
        <f t="shared" si="73"/>
        <v>12614.745387102583</v>
      </c>
      <c r="AD115" s="1123">
        <f t="shared" si="73"/>
        <v>13280.743776076002</v>
      </c>
      <c r="AE115" s="1123">
        <f t="shared" si="73"/>
        <v>13792.013311533083</v>
      </c>
      <c r="AF115" s="1123">
        <f t="shared" si="73"/>
        <v>14300.631063746256</v>
      </c>
      <c r="AG115" s="1123">
        <f t="shared" si="73"/>
        <v>14495.768495520599</v>
      </c>
      <c r="AH115" s="1123">
        <f t="shared" si="73"/>
        <v>14707.605545648923</v>
      </c>
      <c r="AI115" s="685"/>
      <c r="AJ115" s="685"/>
      <c r="AK115" s="685"/>
      <c r="AL115" s="685"/>
      <c r="AM115" s="685"/>
      <c r="AN115" s="685"/>
      <c r="AO115" s="685"/>
      <c r="AP115" s="685"/>
      <c r="AQ115" s="685"/>
      <c r="AR115" s="685"/>
      <c r="AS115" s="685"/>
      <c r="AT115" s="685"/>
      <c r="AU115" s="685"/>
      <c r="AV115" s="685"/>
      <c r="AW115" s="685"/>
      <c r="AX115" s="685"/>
      <c r="AY115" s="685"/>
      <c r="AZ115" s="685"/>
      <c r="BA115" s="685"/>
      <c r="BB115" s="685"/>
      <c r="BC115" s="685"/>
      <c r="BD115" s="685"/>
    </row>
    <row r="116" spans="1:56">
      <c r="A116" s="685"/>
      <c r="B116" s="1151" t="s">
        <v>107</v>
      </c>
      <c r="C116" s="1128"/>
      <c r="D116" s="1128"/>
      <c r="E116" s="1128"/>
      <c r="F116" s="1128"/>
      <c r="G116" s="1128"/>
      <c r="H116" s="1123"/>
      <c r="I116" s="1123">
        <f t="shared" ref="I116:V116" si="74">I54+I57+I61+I62</f>
        <v>-1233.9999999999993</v>
      </c>
      <c r="J116" s="1123">
        <f t="shared" si="74"/>
        <v>-1399.5000000000014</v>
      </c>
      <c r="K116" s="1123">
        <f t="shared" si="74"/>
        <v>-1168.2000000000007</v>
      </c>
      <c r="L116" s="1123">
        <f t="shared" si="74"/>
        <v>-832.72310937500026</v>
      </c>
      <c r="M116" s="1123">
        <f t="shared" si="74"/>
        <v>-1620.5999999999976</v>
      </c>
      <c r="N116" s="1123">
        <f t="shared" si="74"/>
        <v>-2566.8000000000002</v>
      </c>
      <c r="O116" s="1123">
        <f t="shared" si="74"/>
        <v>-4304.7000000000007</v>
      </c>
      <c r="P116" s="1123">
        <f t="shared" si="74"/>
        <v>-4187</v>
      </c>
      <c r="Q116" s="1123">
        <f t="shared" si="74"/>
        <v>-3352.5</v>
      </c>
      <c r="R116" s="1123">
        <f t="shared" si="74"/>
        <v>-1332.9</v>
      </c>
      <c r="S116" s="1123">
        <f t="shared" si="74"/>
        <v>-1584.6000000000001</v>
      </c>
      <c r="T116" s="1123">
        <f t="shared" si="74"/>
        <v>1033.3999999999999</v>
      </c>
      <c r="U116" s="1123">
        <f t="shared" si="74"/>
        <v>-783.09999999999991</v>
      </c>
      <c r="V116" s="1123">
        <f t="shared" si="74"/>
        <v>-334.29999999999995</v>
      </c>
      <c r="W116" s="1123">
        <f t="shared" ref="W116:AH116" si="75">W54+W57+W61+W62-W85-W86</f>
        <v>-5658.05</v>
      </c>
      <c r="X116" s="1123">
        <f t="shared" si="75"/>
        <v>-1828.65</v>
      </c>
      <c r="Y116" s="1123">
        <f t="shared" si="75"/>
        <v>-1627.3560164736696</v>
      </c>
      <c r="Z116" s="1123">
        <f t="shared" si="75"/>
        <v>-1572.6674326701441</v>
      </c>
      <c r="AA116" s="1123">
        <f t="shared" si="75"/>
        <v>-1511.6736829896645</v>
      </c>
      <c r="AB116" s="1123">
        <f t="shared" si="75"/>
        <v>-1497.3287984599556</v>
      </c>
      <c r="AC116" s="1123">
        <f t="shared" si="75"/>
        <v>-1502.7609585930184</v>
      </c>
      <c r="AD116" s="1123">
        <f t="shared" si="75"/>
        <v>-1519.4240582879336</v>
      </c>
      <c r="AE116" s="1123">
        <f t="shared" si="75"/>
        <v>-1530.8921831523999</v>
      </c>
      <c r="AF116" s="1123">
        <f t="shared" si="75"/>
        <v>-1539.8656622563617</v>
      </c>
      <c r="AG116" s="1123">
        <f t="shared" si="75"/>
        <v>-1524.1265857546971</v>
      </c>
      <c r="AH116" s="1123">
        <f t="shared" si="75"/>
        <v>-1531.452255039289</v>
      </c>
      <c r="AI116" s="685"/>
      <c r="AJ116" s="685"/>
      <c r="AK116" s="685"/>
      <c r="AL116" s="685"/>
      <c r="AM116" s="685"/>
      <c r="AN116" s="685"/>
      <c r="AO116" s="685"/>
      <c r="AP116" s="685"/>
      <c r="AQ116" s="685"/>
      <c r="AR116" s="685"/>
      <c r="AS116" s="685"/>
      <c r="AT116" s="685"/>
      <c r="AU116" s="685"/>
      <c r="AV116" s="685"/>
      <c r="AW116" s="685"/>
      <c r="AX116" s="685"/>
      <c r="AY116" s="685"/>
      <c r="AZ116" s="685"/>
      <c r="BA116" s="685"/>
      <c r="BB116" s="685"/>
      <c r="BC116" s="685"/>
      <c r="BD116" s="685"/>
    </row>
    <row r="117" spans="1:56">
      <c r="A117" s="685"/>
      <c r="B117" s="1380" t="s">
        <v>229</v>
      </c>
      <c r="C117" s="1381"/>
      <c r="D117" s="1381"/>
      <c r="E117" s="1381"/>
      <c r="F117" s="1381"/>
      <c r="G117" s="1381"/>
      <c r="H117" s="1201">
        <f>SUM(H113:H115)</f>
        <v>13346.45</v>
      </c>
      <c r="I117" s="1201">
        <f t="shared" ref="I117:V117" si="76">SUM(I113:I116)</f>
        <v>8799.0699999999979</v>
      </c>
      <c r="J117" s="1201">
        <f t="shared" si="76"/>
        <v>13794.86</v>
      </c>
      <c r="K117" s="1201">
        <f t="shared" si="76"/>
        <v>15019.84</v>
      </c>
      <c r="L117" s="1201">
        <f t="shared" si="76"/>
        <v>13432.048890624999</v>
      </c>
      <c r="M117" s="1201">
        <f t="shared" si="76"/>
        <v>13062.938999999998</v>
      </c>
      <c r="N117" s="1201">
        <f t="shared" si="76"/>
        <v>6897.6019999999999</v>
      </c>
      <c r="O117" s="1201">
        <f t="shared" si="76"/>
        <v>5664.8199999999979</v>
      </c>
      <c r="P117" s="1201">
        <f t="shared" si="76"/>
        <v>16059.169999999998</v>
      </c>
      <c r="Q117" s="1201">
        <f t="shared" si="76"/>
        <v>17911.550000000003</v>
      </c>
      <c r="R117" s="1201">
        <f t="shared" si="76"/>
        <v>19150.974999999999</v>
      </c>
      <c r="S117" s="1201">
        <f t="shared" si="76"/>
        <v>18631.987999999998</v>
      </c>
      <c r="T117" s="1201">
        <f t="shared" si="76"/>
        <v>20291.507729586941</v>
      </c>
      <c r="U117" s="1201">
        <f t="shared" si="76"/>
        <v>8321.8700000000008</v>
      </c>
      <c r="V117" s="1201">
        <f t="shared" si="76"/>
        <v>9621.2200000000012</v>
      </c>
      <c r="W117" s="1201">
        <f t="shared" ref="W117:X117" si="77">W114+W115+W116</f>
        <v>8670.1159999999982</v>
      </c>
      <c r="X117" s="1201">
        <f t="shared" si="77"/>
        <v>9198.8000000000011</v>
      </c>
      <c r="Y117" s="1201">
        <f t="shared" ref="Y117:AH117" si="78">Y63-Y87</f>
        <v>7404.8307492568201</v>
      </c>
      <c r="Z117" s="1201">
        <f t="shared" si="78"/>
        <v>10071.919423375959</v>
      </c>
      <c r="AA117" s="1201">
        <f t="shared" si="78"/>
        <v>10426.606368897445</v>
      </c>
      <c r="AB117" s="1201">
        <f t="shared" si="78"/>
        <v>10749.44059880524</v>
      </c>
      <c r="AC117" s="1201">
        <f t="shared" si="78"/>
        <v>11260.825599834565</v>
      </c>
      <c r="AD117" s="1201">
        <f t="shared" si="78"/>
        <v>11889.48850420682</v>
      </c>
      <c r="AE117" s="1201">
        <f t="shared" si="78"/>
        <v>12371.961494875617</v>
      </c>
      <c r="AF117" s="1201">
        <f t="shared" si="78"/>
        <v>12856.907371558325</v>
      </c>
      <c r="AG117" s="1201">
        <f t="shared" si="78"/>
        <v>12971.641909765904</v>
      </c>
      <c r="AH117" s="1201">
        <f t="shared" si="78"/>
        <v>13176.153290609634</v>
      </c>
      <c r="AI117" s="2085"/>
      <c r="AJ117" s="685"/>
      <c r="AK117" s="685"/>
      <c r="AL117" s="685"/>
      <c r="AM117" s="685"/>
      <c r="AN117" s="685"/>
      <c r="AO117" s="685"/>
      <c r="AP117" s="685"/>
      <c r="AQ117" s="685"/>
      <c r="AR117" s="685"/>
      <c r="AS117" s="685"/>
      <c r="AT117" s="685"/>
      <c r="AU117" s="685"/>
      <c r="AV117" s="685"/>
      <c r="AW117" s="685"/>
      <c r="AX117" s="685"/>
      <c r="AY117" s="685"/>
      <c r="AZ117" s="685"/>
      <c r="BA117" s="685"/>
      <c r="BB117" s="685"/>
      <c r="BC117" s="685"/>
      <c r="BD117" s="685"/>
    </row>
    <row r="118" spans="1:56">
      <c r="A118" s="685"/>
      <c r="B118" s="1151"/>
      <c r="C118" s="1128"/>
      <c r="D118" s="1128"/>
      <c r="E118" s="1128"/>
      <c r="F118" s="1128"/>
      <c r="G118" s="1128"/>
      <c r="H118" s="1123"/>
      <c r="I118" s="1124"/>
      <c r="J118" s="1124"/>
      <c r="K118" s="1124"/>
      <c r="L118" s="1124"/>
      <c r="M118" s="1124"/>
      <c r="N118" s="1124"/>
      <c r="O118" s="1123"/>
      <c r="P118" s="1123"/>
      <c r="Q118" s="1124"/>
      <c r="R118" s="1123"/>
      <c r="S118" s="1123"/>
      <c r="T118" s="1123"/>
      <c r="U118" s="1123"/>
      <c r="V118" s="1123"/>
      <c r="W118" s="1123"/>
      <c r="X118" s="1123"/>
      <c r="Y118" s="1123"/>
      <c r="Z118" s="1123"/>
      <c r="AA118" s="1123"/>
      <c r="AB118" s="1123"/>
      <c r="AC118" s="1123"/>
      <c r="AD118" s="1123"/>
      <c r="AE118" s="1123"/>
      <c r="AF118" s="1123"/>
      <c r="AG118" s="1123"/>
      <c r="AH118" s="1123"/>
      <c r="AI118" s="685"/>
      <c r="AJ118" s="685"/>
      <c r="AK118" s="685"/>
      <c r="AL118" s="685"/>
      <c r="AM118" s="685"/>
      <c r="AN118" s="685"/>
      <c r="AO118" s="685"/>
      <c r="AP118" s="685"/>
      <c r="AQ118" s="685"/>
      <c r="AR118" s="685"/>
      <c r="AS118" s="685"/>
      <c r="AT118" s="685"/>
      <c r="AU118" s="685"/>
      <c r="AV118" s="685"/>
      <c r="AW118" s="685"/>
      <c r="AX118" s="685"/>
      <c r="AY118" s="685"/>
      <c r="AZ118" s="685"/>
      <c r="BA118" s="685"/>
      <c r="BB118" s="685"/>
      <c r="BC118" s="685"/>
      <c r="BD118" s="685"/>
    </row>
    <row r="119" spans="1:56">
      <c r="A119" s="685"/>
      <c r="B119" s="1163" t="s">
        <v>230</v>
      </c>
      <c r="C119" s="1128"/>
      <c r="D119" s="1128"/>
      <c r="E119" s="1128"/>
      <c r="F119" s="1128"/>
      <c r="G119" s="1128"/>
      <c r="H119" s="1123">
        <f t="shared" ref="H119:AH119" si="79">H117/H7</f>
        <v>988.62592592592603</v>
      </c>
      <c r="I119" s="1123">
        <f t="shared" si="79"/>
        <v>696.68012668250174</v>
      </c>
      <c r="J119" s="1123">
        <f t="shared" si="79"/>
        <v>1108.911575562701</v>
      </c>
      <c r="K119" s="1123">
        <f t="shared" si="79"/>
        <v>1141.3252279635258</v>
      </c>
      <c r="L119" s="1123">
        <f t="shared" si="79"/>
        <v>1052.6684083561911</v>
      </c>
      <c r="M119" s="1123">
        <f t="shared" si="79"/>
        <v>981.43794139744534</v>
      </c>
      <c r="N119" s="1123">
        <f t="shared" si="79"/>
        <v>434.63150598613737</v>
      </c>
      <c r="O119" s="1123">
        <f t="shared" si="79"/>
        <v>300.52095490716169</v>
      </c>
      <c r="P119" s="1123">
        <f t="shared" si="79"/>
        <v>849.69153439153433</v>
      </c>
      <c r="Q119" s="1123">
        <f t="shared" si="79"/>
        <v>930.47012987012999</v>
      </c>
      <c r="R119" s="1123">
        <f t="shared" si="79"/>
        <v>994.85584415584412</v>
      </c>
      <c r="S119" s="1123">
        <f t="shared" si="79"/>
        <v>867.41098696461813</v>
      </c>
      <c r="T119" s="1123">
        <f t="shared" si="79"/>
        <v>1000.2951194519304</v>
      </c>
      <c r="U119" s="1123">
        <f t="shared" si="79"/>
        <v>413.8175037294879</v>
      </c>
      <c r="V119" s="1123">
        <f t="shared" si="79"/>
        <v>543.57175141242942</v>
      </c>
      <c r="W119" s="1123">
        <f t="shared" si="79"/>
        <v>473.7768306010928</v>
      </c>
      <c r="X119" s="1123">
        <f t="shared" si="79"/>
        <v>479.35383011985414</v>
      </c>
      <c r="Y119" s="1123">
        <f t="shared" si="79"/>
        <v>426.4227324651207</v>
      </c>
      <c r="Z119" s="1123">
        <f t="shared" si="79"/>
        <v>568.63983917255007</v>
      </c>
      <c r="AA119" s="1123">
        <f t="shared" si="79"/>
        <v>577.12228828340767</v>
      </c>
      <c r="AB119" s="1123">
        <f t="shared" si="79"/>
        <v>583.32496171269418</v>
      </c>
      <c r="AC119" s="1123">
        <f t="shared" si="79"/>
        <v>599.09370709412269</v>
      </c>
      <c r="AD119" s="1123">
        <f t="shared" si="79"/>
        <v>620.13682990951452</v>
      </c>
      <c r="AE119" s="1123">
        <f t="shared" si="79"/>
        <v>632.6488769915951</v>
      </c>
      <c r="AF119" s="1123">
        <f t="shared" si="79"/>
        <v>644.55580638101696</v>
      </c>
      <c r="AG119" s="1123">
        <f t="shared" si="79"/>
        <v>637.55666389353928</v>
      </c>
      <c r="AH119" s="1123">
        <f t="shared" si="79"/>
        <v>634.91020154696037</v>
      </c>
      <c r="AI119" s="685"/>
      <c r="AJ119" s="685"/>
      <c r="AK119" s="685"/>
      <c r="AL119" s="685"/>
      <c r="AM119" s="685"/>
      <c r="AN119" s="685"/>
      <c r="AO119" s="685"/>
      <c r="AP119" s="685"/>
      <c r="AQ119" s="685"/>
      <c r="AR119" s="685"/>
      <c r="AS119" s="685"/>
      <c r="AT119" s="685"/>
      <c r="AU119" s="685"/>
      <c r="AV119" s="685"/>
      <c r="AW119" s="685"/>
      <c r="AX119" s="685"/>
      <c r="AY119" s="685"/>
      <c r="AZ119" s="685"/>
      <c r="BA119" s="685"/>
      <c r="BB119" s="685"/>
      <c r="BC119" s="685"/>
      <c r="BD119" s="685"/>
    </row>
    <row r="120" spans="1:56">
      <c r="A120" s="685"/>
      <c r="B120" s="1151"/>
      <c r="C120" s="1128"/>
      <c r="D120" s="1128"/>
      <c r="E120" s="1128"/>
      <c r="F120" s="1128"/>
      <c r="G120" s="1128"/>
      <c r="H120" s="1123"/>
      <c r="I120" s="1123"/>
      <c r="J120" s="1123"/>
      <c r="K120" s="1124"/>
      <c r="L120" s="1123"/>
      <c r="M120" s="1123"/>
      <c r="N120" s="1123"/>
      <c r="O120" s="1123"/>
      <c r="P120" s="1123"/>
      <c r="Q120" s="1123"/>
      <c r="R120" s="1123"/>
      <c r="S120" s="1123"/>
      <c r="T120" s="1123"/>
      <c r="U120" s="1123"/>
      <c r="V120" s="1123"/>
      <c r="W120" s="1123"/>
      <c r="X120" s="1123"/>
      <c r="Y120" s="1123"/>
      <c r="Z120" s="1123"/>
      <c r="AA120" s="1123"/>
      <c r="AB120" s="1123"/>
      <c r="AC120" s="1123"/>
      <c r="AD120" s="1123"/>
      <c r="AE120" s="1123"/>
      <c r="AF120" s="1123"/>
      <c r="AG120" s="1123"/>
      <c r="AH120" s="1123"/>
      <c r="AI120" s="685"/>
      <c r="AJ120" s="685"/>
      <c r="AK120" s="685"/>
      <c r="AL120" s="685"/>
      <c r="AM120" s="685"/>
      <c r="AN120" s="685"/>
      <c r="AO120" s="685"/>
      <c r="AP120" s="685"/>
      <c r="AQ120" s="685"/>
      <c r="AR120" s="685"/>
      <c r="AS120" s="685"/>
      <c r="AT120" s="685"/>
      <c r="AU120" s="685"/>
      <c r="AV120" s="685"/>
      <c r="AW120" s="685"/>
      <c r="AX120" s="685"/>
      <c r="AY120" s="685"/>
      <c r="AZ120" s="685"/>
      <c r="BA120" s="685"/>
      <c r="BB120" s="685"/>
      <c r="BC120" s="685"/>
      <c r="BD120" s="685"/>
    </row>
    <row r="121" spans="1:56">
      <c r="A121" s="685"/>
      <c r="B121" s="1163" t="s">
        <v>231</v>
      </c>
      <c r="C121" s="1128"/>
      <c r="D121" s="1128"/>
      <c r="E121" s="1128"/>
      <c r="F121" s="1128"/>
      <c r="G121" s="1128"/>
      <c r="H121" s="1123"/>
      <c r="I121" s="1123"/>
      <c r="J121" s="1123"/>
      <c r="K121" s="1123"/>
      <c r="L121" s="1123"/>
      <c r="M121" s="1123"/>
      <c r="N121" s="1123"/>
      <c r="O121" s="1123"/>
      <c r="P121" s="1123"/>
      <c r="Q121" s="1123"/>
      <c r="R121" s="1123"/>
      <c r="S121" s="1123"/>
      <c r="T121" s="1123"/>
      <c r="U121" s="1123"/>
      <c r="V121" s="1123"/>
      <c r="W121" s="1123"/>
      <c r="X121" s="1123"/>
      <c r="Y121" s="1123"/>
      <c r="Z121" s="1123"/>
      <c r="AA121" s="1123"/>
      <c r="AB121" s="1123"/>
      <c r="AC121" s="1123"/>
      <c r="AD121" s="1123"/>
      <c r="AE121" s="1123"/>
      <c r="AF121" s="1123"/>
      <c r="AG121" s="1123"/>
      <c r="AH121" s="1123"/>
      <c r="AI121" s="685"/>
      <c r="AJ121" s="685"/>
      <c r="AK121" s="685"/>
      <c r="AL121" s="685"/>
      <c r="AM121" s="685"/>
      <c r="AN121" s="685"/>
      <c r="AO121" s="685"/>
      <c r="AP121" s="685"/>
      <c r="AQ121" s="685"/>
      <c r="AR121" s="685"/>
      <c r="AS121" s="685"/>
      <c r="AT121" s="685"/>
      <c r="AU121" s="685"/>
      <c r="AV121" s="685"/>
      <c r="AW121" s="685"/>
      <c r="AX121" s="685"/>
      <c r="AY121" s="685"/>
      <c r="AZ121" s="685"/>
      <c r="BA121" s="685"/>
      <c r="BB121" s="685"/>
      <c r="BC121" s="685"/>
      <c r="BD121" s="685"/>
    </row>
    <row r="122" spans="1:56" hidden="1">
      <c r="A122" s="685"/>
      <c r="B122" s="1151" t="str">
        <f>B113</f>
        <v>Content/other</v>
      </c>
      <c r="C122" s="1128"/>
      <c r="D122" s="1128"/>
      <c r="E122" s="1128"/>
      <c r="F122" s="1128"/>
      <c r="G122" s="1128"/>
      <c r="H122" s="1123">
        <f t="shared" ref="H122:AH122" si="80">H113/(H28-H21-H23)</f>
        <v>0.33402683893266522</v>
      </c>
      <c r="I122" s="1123">
        <f t="shared" si="80"/>
        <v>0.34782378773595757</v>
      </c>
      <c r="J122" s="1123">
        <f t="shared" si="80"/>
        <v>0.34775931049801334</v>
      </c>
      <c r="K122" s="1123">
        <f t="shared" si="80"/>
        <v>0.34767288419701137</v>
      </c>
      <c r="L122" s="1123">
        <f t="shared" si="80"/>
        <v>0.33340766584887743</v>
      </c>
      <c r="M122" s="1123">
        <f t="shared" si="80"/>
        <v>0.31475566601971561</v>
      </c>
      <c r="N122" s="1123">
        <f t="shared" si="80"/>
        <v>0.29571319417914083</v>
      </c>
      <c r="O122" s="1123">
        <f t="shared" si="80"/>
        <v>0.28078229449812275</v>
      </c>
      <c r="P122" s="1123">
        <f t="shared" si="80"/>
        <v>0.27358339738662568</v>
      </c>
      <c r="Q122" s="1123">
        <f t="shared" si="80"/>
        <v>0.30249796865931516</v>
      </c>
      <c r="R122" s="1123">
        <f t="shared" si="80"/>
        <v>0.2807553401982894</v>
      </c>
      <c r="S122" s="1123">
        <f t="shared" si="80"/>
        <v>0.39772861167816709</v>
      </c>
      <c r="T122" s="1123">
        <f t="shared" si="80"/>
        <v>0.38102607629061458</v>
      </c>
      <c r="U122" s="1123">
        <f t="shared" si="80"/>
        <v>-5.0454558871277172E-2</v>
      </c>
      <c r="V122" s="1123">
        <f t="shared" si="80"/>
        <v>-8.921709438768588E-2</v>
      </c>
      <c r="W122" s="1123">
        <f t="shared" si="80"/>
        <v>0</v>
      </c>
      <c r="X122" s="1123">
        <f t="shared" si="80"/>
        <v>0</v>
      </c>
      <c r="Y122" s="1123">
        <f t="shared" si="80"/>
        <v>0</v>
      </c>
      <c r="Z122" s="1123" t="e">
        <f t="shared" si="80"/>
        <v>#DIV/0!</v>
      </c>
      <c r="AA122" s="1123">
        <f t="shared" si="80"/>
        <v>0</v>
      </c>
      <c r="AB122" s="1123">
        <f t="shared" si="80"/>
        <v>0</v>
      </c>
      <c r="AC122" s="1123">
        <f t="shared" si="80"/>
        <v>0</v>
      </c>
      <c r="AD122" s="1123">
        <f t="shared" si="80"/>
        <v>0</v>
      </c>
      <c r="AE122" s="1123">
        <f t="shared" si="80"/>
        <v>0</v>
      </c>
      <c r="AF122" s="1123">
        <f t="shared" si="80"/>
        <v>0</v>
      </c>
      <c r="AG122" s="1123" t="e">
        <f t="shared" si="80"/>
        <v>#DIV/0!</v>
      </c>
      <c r="AH122" s="1123" t="e">
        <f t="shared" si="80"/>
        <v>#DIV/0!</v>
      </c>
      <c r="AI122" s="685"/>
      <c r="AJ122" s="685"/>
      <c r="AK122" s="685"/>
      <c r="AL122" s="685"/>
      <c r="AM122" s="685"/>
      <c r="AN122" s="685"/>
      <c r="AO122" s="685"/>
      <c r="AP122" s="685"/>
      <c r="AQ122" s="685"/>
      <c r="AR122" s="685"/>
      <c r="AS122" s="685"/>
      <c r="AT122" s="685"/>
      <c r="AU122" s="685"/>
      <c r="AV122" s="685"/>
      <c r="AW122" s="685"/>
      <c r="AX122" s="685"/>
      <c r="AY122" s="685"/>
      <c r="AZ122" s="685"/>
      <c r="BA122" s="685"/>
      <c r="BB122" s="685"/>
      <c r="BC122" s="685"/>
      <c r="BD122" s="685"/>
    </row>
    <row r="123" spans="1:56">
      <c r="A123" s="685"/>
      <c r="B123" s="1151" t="str">
        <f>B114</f>
        <v>Satellite (Sky)</v>
      </c>
      <c r="C123" s="1128"/>
      <c r="D123" s="1128"/>
      <c r="E123" s="1128"/>
      <c r="F123" s="1128"/>
      <c r="G123" s="1128"/>
      <c r="H123" s="1123">
        <f t="shared" ref="H123:AH123" si="81">H114/H23</f>
        <v>0.26401535217039307</v>
      </c>
      <c r="I123" s="1123">
        <f t="shared" si="81"/>
        <v>-3.9500542308991693E-2</v>
      </c>
      <c r="J123" s="1123">
        <f t="shared" si="81"/>
        <v>0.22311494326559395</v>
      </c>
      <c r="K123" s="1123">
        <f t="shared" si="81"/>
        <v>0.18770860121393115</v>
      </c>
      <c r="L123" s="1123">
        <f t="shared" si="81"/>
        <v>0.14075076250287297</v>
      </c>
      <c r="M123" s="1123">
        <f t="shared" si="81"/>
        <v>0.17352184472954815</v>
      </c>
      <c r="N123" s="1804">
        <f t="shared" si="81"/>
        <v>0.16795429402446307</v>
      </c>
      <c r="O123" s="1804">
        <f t="shared" si="81"/>
        <v>0.15336854866643571</v>
      </c>
      <c r="P123" s="1804">
        <f t="shared" si="81"/>
        <v>0.27533180159481013</v>
      </c>
      <c r="Q123" s="1804">
        <f t="shared" si="81"/>
        <v>0.2605308608308336</v>
      </c>
      <c r="R123" s="1804">
        <f t="shared" si="81"/>
        <v>0.23871387080151782</v>
      </c>
      <c r="S123" s="1804">
        <f t="shared" si="81"/>
        <v>0.16993697678306002</v>
      </c>
      <c r="T123" s="1804">
        <f t="shared" si="81"/>
        <v>0.16128246324568862</v>
      </c>
      <c r="U123" s="1804">
        <f t="shared" si="81"/>
        <v>0.12454343871380107</v>
      </c>
      <c r="V123" s="1804">
        <f t="shared" si="81"/>
        <v>0.17574778791256282</v>
      </c>
      <c r="W123" s="1804">
        <f t="shared" si="81"/>
        <v>0.2093773736755638</v>
      </c>
      <c r="X123" s="1804">
        <f t="shared" si="81"/>
        <v>0.17283195136061952</v>
      </c>
      <c r="Y123" s="1804">
        <f t="shared" si="81"/>
        <v>0.16999999999999996</v>
      </c>
      <c r="Z123" s="1804">
        <f t="shared" si="81"/>
        <v>0.16499999999999995</v>
      </c>
      <c r="AA123" s="1804">
        <f t="shared" si="81"/>
        <v>0.15499999999999997</v>
      </c>
      <c r="AB123" s="1804">
        <f t="shared" si="81"/>
        <v>0.14499999999999996</v>
      </c>
      <c r="AC123" s="1804">
        <f t="shared" si="81"/>
        <v>0.13499999999999995</v>
      </c>
      <c r="AD123" s="1804">
        <f t="shared" si="81"/>
        <v>0.12499999999999994</v>
      </c>
      <c r="AE123" s="1804">
        <f t="shared" si="81"/>
        <v>0.11499999999999995</v>
      </c>
      <c r="AF123" s="1804">
        <f t="shared" si="81"/>
        <v>0.10499999999999994</v>
      </c>
      <c r="AG123" s="1804" t="e">
        <f t="shared" si="81"/>
        <v>#DIV/0!</v>
      </c>
      <c r="AH123" s="1804" t="e">
        <f t="shared" si="81"/>
        <v>#DIV/0!</v>
      </c>
      <c r="AI123" s="685"/>
      <c r="AJ123" s="685"/>
      <c r="AK123" s="685"/>
      <c r="AL123" s="685"/>
      <c r="AM123" s="685"/>
      <c r="AN123" s="685"/>
      <c r="AO123" s="685"/>
      <c r="AP123" s="685"/>
      <c r="AQ123" s="685"/>
      <c r="AR123" s="685"/>
      <c r="AS123" s="685"/>
      <c r="AT123" s="685"/>
      <c r="AU123" s="685"/>
      <c r="AV123" s="685"/>
      <c r="AW123" s="685"/>
      <c r="AX123" s="685"/>
      <c r="AY123" s="685"/>
      <c r="AZ123" s="685"/>
      <c r="BA123" s="685"/>
      <c r="BB123" s="685"/>
      <c r="BC123" s="685"/>
      <c r="BD123" s="685"/>
    </row>
    <row r="124" spans="1:56">
      <c r="A124" s="685"/>
      <c r="B124" s="1154" t="str">
        <f>B115</f>
        <v>Residential and Enterprise</v>
      </c>
      <c r="C124" s="1155"/>
      <c r="D124" s="1155"/>
      <c r="E124" s="1155"/>
      <c r="F124" s="1155"/>
      <c r="G124" s="1155"/>
      <c r="H124" s="1158">
        <f t="shared" ref="H124:AH124" si="82">H115/H21</f>
        <v>-3.8218076760769097E-2</v>
      </c>
      <c r="I124" s="1158">
        <f t="shared" si="82"/>
        <v>-0.13754126390276111</v>
      </c>
      <c r="J124" s="1158">
        <f t="shared" si="82"/>
        <v>-1.992167446499548E-2</v>
      </c>
      <c r="K124" s="1158">
        <f t="shared" si="82"/>
        <v>-1.1239274520885842E-2</v>
      </c>
      <c r="L124" s="1158">
        <f t="shared" si="82"/>
        <v>-8.8858263122272227E-2</v>
      </c>
      <c r="M124" s="1158">
        <f t="shared" si="82"/>
        <v>-7.0338870527100111E-2</v>
      </c>
      <c r="N124" s="1459">
        <f t="shared" si="82"/>
        <v>-0.19971581315838433</v>
      </c>
      <c r="O124" s="1459">
        <f t="shared" si="82"/>
        <v>-0.16669185616275137</v>
      </c>
      <c r="P124" s="1459">
        <f t="shared" si="82"/>
        <v>0.10459543694020819</v>
      </c>
      <c r="Q124" s="1459">
        <f t="shared" si="82"/>
        <v>6.9046173377859968E-2</v>
      </c>
      <c r="R124" s="1459">
        <f t="shared" si="82"/>
        <v>0.11585055872620016</v>
      </c>
      <c r="S124" s="1459">
        <f t="shared" si="82"/>
        <v>0.10288953889492605</v>
      </c>
      <c r="T124" s="1459">
        <f t="shared" si="82"/>
        <v>6.14528723760807E-2</v>
      </c>
      <c r="U124" s="1459">
        <f t="shared" si="82"/>
        <v>0.14281127741583663</v>
      </c>
      <c r="V124" s="1459">
        <f t="shared" si="82"/>
        <v>0.1541601352389734</v>
      </c>
      <c r="W124" s="1459">
        <f t="shared" si="82"/>
        <v>0.23590488046757957</v>
      </c>
      <c r="X124" s="1459">
        <f t="shared" si="82"/>
        <v>0.19078857652354034</v>
      </c>
      <c r="Y124" s="1459">
        <f t="shared" si="82"/>
        <v>0.15586835812464431</v>
      </c>
      <c r="Z124" s="1459">
        <f t="shared" si="82"/>
        <v>0.21860161837865763</v>
      </c>
      <c r="AA124" s="1459">
        <f t="shared" si="82"/>
        <v>0.23240549673359917</v>
      </c>
      <c r="AB124" s="1459">
        <f t="shared" si="82"/>
        <v>0.23925720094978739</v>
      </c>
      <c r="AC124" s="1459">
        <f t="shared" si="82"/>
        <v>0.24723127515522794</v>
      </c>
      <c r="AD124" s="1459">
        <f t="shared" si="82"/>
        <v>0.25656341034597407</v>
      </c>
      <c r="AE124" s="1459">
        <f t="shared" si="82"/>
        <v>0.26380232306369611</v>
      </c>
      <c r="AF124" s="1459">
        <f t="shared" si="82"/>
        <v>0.27142765563969806</v>
      </c>
      <c r="AG124" s="1459">
        <f t="shared" si="82"/>
        <v>0.27362708918839301</v>
      </c>
      <c r="AH124" s="1459">
        <f t="shared" si="82"/>
        <v>0.27610724986104179</v>
      </c>
      <c r="AI124" s="685"/>
      <c r="AJ124" s="685"/>
      <c r="AK124" s="685"/>
      <c r="AL124" s="685"/>
      <c r="AM124" s="685"/>
      <c r="AN124" s="685"/>
      <c r="AO124" s="685"/>
      <c r="AP124" s="685"/>
      <c r="AQ124" s="685"/>
      <c r="AR124" s="685"/>
      <c r="AS124" s="685"/>
      <c r="AT124" s="685"/>
      <c r="AU124" s="685"/>
      <c r="AV124" s="685"/>
      <c r="AW124" s="685"/>
      <c r="AX124" s="685"/>
      <c r="AY124" s="685"/>
      <c r="AZ124" s="685"/>
      <c r="BA124" s="685"/>
      <c r="BB124" s="685"/>
      <c r="BC124" s="685"/>
      <c r="BD124" s="685"/>
    </row>
    <row r="125" spans="1:56">
      <c r="A125" s="685"/>
      <c r="B125" s="1151" t="str">
        <f>B117</f>
        <v>Group OpFCF</v>
      </c>
      <c r="C125" s="1128"/>
      <c r="D125" s="1128"/>
      <c r="E125" s="1128"/>
      <c r="F125" s="1128"/>
      <c r="G125" s="1128"/>
      <c r="H125" s="1123">
        <f t="shared" ref="H125:AH125" si="83">H117/H28</f>
        <v>0.25493495631735696</v>
      </c>
      <c r="I125" s="1123">
        <f t="shared" si="83"/>
        <v>0.15208359259412893</v>
      </c>
      <c r="J125" s="1123">
        <f t="shared" si="83"/>
        <v>0.22043031886420109</v>
      </c>
      <c r="K125" s="1123">
        <f t="shared" si="83"/>
        <v>0.2167665362012631</v>
      </c>
      <c r="L125" s="1123">
        <f t="shared" si="83"/>
        <v>0.18202186762300523</v>
      </c>
      <c r="M125" s="1123">
        <f t="shared" si="83"/>
        <v>0.16304543026321044</v>
      </c>
      <c r="N125" s="1804">
        <f t="shared" si="83"/>
        <v>7.8335551719438512E-2</v>
      </c>
      <c r="O125" s="1804">
        <f t="shared" si="83"/>
        <v>5.8832412132843945E-2</v>
      </c>
      <c r="P125" s="1804">
        <f t="shared" si="83"/>
        <v>0.17034388756298063</v>
      </c>
      <c r="Q125" s="1804">
        <f t="shared" si="83"/>
        <v>0.17679942749975325</v>
      </c>
      <c r="R125" s="1804">
        <f t="shared" si="83"/>
        <v>0.19027184139985254</v>
      </c>
      <c r="S125" s="1804">
        <f t="shared" si="83"/>
        <v>0.19180887456338022</v>
      </c>
      <c r="T125" s="1804">
        <f t="shared" si="83"/>
        <v>0.19601192917421201</v>
      </c>
      <c r="U125" s="1804">
        <f t="shared" si="83"/>
        <v>0.11018462369549271</v>
      </c>
      <c r="V125" s="1804">
        <f t="shared" si="83"/>
        <v>0.13042556450705522</v>
      </c>
      <c r="W125" s="1804">
        <f t="shared" si="83"/>
        <v>0.13925466887192567</v>
      </c>
      <c r="X125" s="1804">
        <f t="shared" si="83"/>
        <v>0.15623439575258757</v>
      </c>
      <c r="Y125" s="1804">
        <f t="shared" si="83"/>
        <v>0.1297225050660086</v>
      </c>
      <c r="Z125" s="1804">
        <f t="shared" si="83"/>
        <v>0.18343608979694345</v>
      </c>
      <c r="AA125" s="1804">
        <f t="shared" si="83"/>
        <v>0.19867362928094681</v>
      </c>
      <c r="AB125" s="1804">
        <f t="shared" si="83"/>
        <v>0.20707624939284866</v>
      </c>
      <c r="AC125" s="1804">
        <f t="shared" si="83"/>
        <v>0.21602841246057974</v>
      </c>
      <c r="AD125" s="1804">
        <f t="shared" si="83"/>
        <v>0.22522521065605619</v>
      </c>
      <c r="AE125" s="1804">
        <f t="shared" si="83"/>
        <v>0.2323571539246245</v>
      </c>
      <c r="AF125" s="1804">
        <f t="shared" si="83"/>
        <v>0.23985715392462448</v>
      </c>
      <c r="AG125" s="1804">
        <f t="shared" si="83"/>
        <v>0.24485715392462459</v>
      </c>
      <c r="AH125" s="1804">
        <f t="shared" si="83"/>
        <v>0.24735715392462457</v>
      </c>
      <c r="AI125" s="685"/>
      <c r="AJ125" s="685"/>
      <c r="AK125" s="685"/>
      <c r="AL125" s="685"/>
      <c r="AM125" s="685"/>
      <c r="AN125" s="685"/>
      <c r="AO125" s="685"/>
      <c r="AP125" s="685"/>
      <c r="AQ125" s="685"/>
      <c r="AR125" s="685"/>
      <c r="AS125" s="685"/>
      <c r="AT125" s="685"/>
      <c r="AU125" s="685"/>
      <c r="AV125" s="685"/>
      <c r="AW125" s="685"/>
      <c r="AX125" s="685"/>
      <c r="AY125" s="685"/>
      <c r="AZ125" s="685"/>
      <c r="BA125" s="685"/>
      <c r="BB125" s="685"/>
      <c r="BC125" s="685"/>
      <c r="BD125" s="685"/>
    </row>
    <row r="126" spans="1:56">
      <c r="A126" s="685"/>
      <c r="B126" s="1115"/>
      <c r="C126" s="1164"/>
      <c r="D126" s="1164"/>
      <c r="E126" s="1164"/>
      <c r="F126" s="1164"/>
      <c r="G126" s="1164"/>
      <c r="H126" s="1164"/>
      <c r="I126" s="1164"/>
      <c r="J126" s="1164"/>
      <c r="K126" s="1164"/>
      <c r="L126" s="1164"/>
      <c r="M126" s="1164"/>
      <c r="N126" s="1164"/>
      <c r="O126" s="1164"/>
      <c r="P126" s="1164"/>
      <c r="Q126" s="1164"/>
      <c r="R126" s="1164"/>
      <c r="S126" s="1164"/>
      <c r="T126" s="1164"/>
      <c r="U126" s="1164"/>
      <c r="V126" s="1164"/>
      <c r="W126" s="1164"/>
      <c r="X126" s="1164"/>
      <c r="Y126" s="1164"/>
      <c r="Z126" s="1164"/>
      <c r="AA126" s="1164"/>
      <c r="AB126" s="1164"/>
      <c r="AC126" s="1164"/>
      <c r="AD126" s="1164"/>
      <c r="AE126" s="1164"/>
      <c r="AF126" s="1164"/>
      <c r="AG126" s="1164"/>
      <c r="AH126" s="1164"/>
      <c r="AI126" s="685"/>
      <c r="AJ126" s="685"/>
      <c r="AK126" s="685"/>
      <c r="AL126" s="685"/>
      <c r="AM126" s="685"/>
      <c r="AN126" s="685"/>
      <c r="AO126" s="685"/>
      <c r="AP126" s="685"/>
      <c r="AQ126" s="685"/>
      <c r="AR126" s="685"/>
      <c r="AS126" s="685"/>
      <c r="AT126" s="685"/>
      <c r="AU126" s="685"/>
      <c r="AV126" s="685"/>
      <c r="AW126" s="685"/>
      <c r="AX126" s="685"/>
      <c r="AY126" s="685"/>
      <c r="AZ126" s="685"/>
      <c r="BA126" s="685"/>
      <c r="BB126" s="685"/>
      <c r="BC126" s="685"/>
      <c r="BD126" s="685"/>
    </row>
    <row r="127" spans="1:56">
      <c r="A127" s="685"/>
      <c r="B127" s="1115"/>
      <c r="C127" s="1164"/>
      <c r="D127" s="1164"/>
      <c r="E127" s="1164"/>
      <c r="F127" s="1164"/>
      <c r="G127" s="1164"/>
      <c r="H127" s="1164"/>
      <c r="I127" s="1164"/>
      <c r="J127" s="1164"/>
      <c r="K127" s="1164"/>
      <c r="L127" s="1164"/>
      <c r="M127" s="1164"/>
      <c r="N127" s="1164"/>
      <c r="O127" s="1164"/>
      <c r="P127" s="1164"/>
      <c r="Q127" s="1164"/>
      <c r="R127" s="1164"/>
      <c r="S127" s="1164"/>
      <c r="T127" s="1164"/>
      <c r="U127" s="1164"/>
      <c r="V127" s="1164"/>
      <c r="W127" s="1164"/>
      <c r="X127" s="1164"/>
      <c r="Y127" s="1164"/>
      <c r="Z127" s="1164"/>
      <c r="AA127" s="1164"/>
      <c r="AB127" s="1164"/>
      <c r="AC127" s="1164"/>
      <c r="AD127" s="1164"/>
      <c r="AE127" s="1164"/>
      <c r="AF127" s="1164"/>
      <c r="AG127" s="1164"/>
      <c r="AH127" s="1164"/>
      <c r="AI127" s="685"/>
      <c r="AJ127" s="685"/>
      <c r="AK127" s="685"/>
      <c r="AL127" s="685"/>
      <c r="AM127" s="685"/>
      <c r="AN127" s="685"/>
      <c r="AO127" s="685"/>
      <c r="AP127" s="685"/>
      <c r="AQ127" s="685"/>
      <c r="AR127" s="685"/>
      <c r="AS127" s="685"/>
      <c r="AT127" s="685"/>
      <c r="AU127" s="685"/>
      <c r="AV127" s="685"/>
      <c r="AW127" s="685"/>
      <c r="AX127" s="685"/>
      <c r="AY127" s="685"/>
      <c r="AZ127" s="685"/>
      <c r="BA127" s="685"/>
      <c r="BB127" s="685"/>
      <c r="BC127" s="685"/>
      <c r="BD127" s="685"/>
    </row>
    <row r="128" spans="1:56">
      <c r="A128" s="685"/>
      <c r="B128" s="1115"/>
      <c r="C128" s="1164"/>
      <c r="D128" s="1164"/>
      <c r="E128" s="1164"/>
      <c r="F128" s="1164"/>
      <c r="G128" s="1164"/>
      <c r="H128" s="1164"/>
      <c r="I128" s="1164"/>
      <c r="J128" s="1164"/>
      <c r="K128" s="1164"/>
      <c r="L128" s="1164"/>
      <c r="M128" s="1164"/>
      <c r="N128" s="1164"/>
      <c r="O128" s="1164"/>
      <c r="P128" s="1164"/>
      <c r="Q128" s="1164"/>
      <c r="R128" s="1164"/>
      <c r="S128" s="1164"/>
      <c r="T128" s="1164"/>
      <c r="U128" s="1164"/>
      <c r="V128" s="1164"/>
      <c r="W128" s="1164"/>
      <c r="X128" s="1164"/>
      <c r="Y128" s="1164"/>
      <c r="Z128" s="1164"/>
      <c r="AA128" s="1164"/>
      <c r="AB128" s="1164"/>
      <c r="AC128" s="1164"/>
      <c r="AD128" s="1164"/>
      <c r="AE128" s="1164"/>
      <c r="AF128" s="1164"/>
      <c r="AG128" s="1164"/>
      <c r="AH128" s="1164"/>
      <c r="AI128" s="685"/>
      <c r="AJ128" s="685"/>
      <c r="AK128" s="685"/>
      <c r="AL128" s="685"/>
      <c r="AM128" s="685"/>
      <c r="AN128" s="685"/>
      <c r="AO128" s="685"/>
      <c r="AP128" s="685"/>
      <c r="AQ128" s="685"/>
      <c r="AR128" s="685"/>
      <c r="AS128" s="685"/>
      <c r="AT128" s="685"/>
      <c r="AU128" s="685"/>
      <c r="AV128" s="685"/>
      <c r="AW128" s="685"/>
      <c r="AX128" s="685"/>
      <c r="AY128" s="685"/>
      <c r="AZ128" s="685"/>
      <c r="BA128" s="685"/>
      <c r="BB128" s="685"/>
      <c r="BC128" s="685"/>
      <c r="BD128" s="685"/>
    </row>
    <row r="129" spans="1:56">
      <c r="A129" s="685"/>
      <c r="B129" s="1115"/>
      <c r="C129" s="1164"/>
      <c r="D129" s="1164"/>
      <c r="E129" s="1164"/>
      <c r="F129" s="1164"/>
      <c r="G129" s="1164"/>
      <c r="H129" s="1164"/>
      <c r="I129" s="1164"/>
      <c r="J129" s="1164"/>
      <c r="K129" s="1164"/>
      <c r="L129" s="1164"/>
      <c r="M129" s="1164"/>
      <c r="N129" s="1164"/>
      <c r="O129" s="1164"/>
      <c r="P129" s="1164"/>
      <c r="Q129" s="1164"/>
      <c r="R129" s="1164"/>
      <c r="S129" s="1164"/>
      <c r="T129" s="1164"/>
      <c r="U129" s="1164"/>
      <c r="V129" s="1164"/>
      <c r="W129" s="1164"/>
      <c r="X129" s="1164"/>
      <c r="Y129" s="1164"/>
      <c r="Z129" s="1164"/>
      <c r="AA129" s="1164"/>
      <c r="AB129" s="1164"/>
      <c r="AC129" s="1164"/>
      <c r="AD129" s="1164"/>
      <c r="AE129" s="1164"/>
      <c r="AF129" s="1164"/>
      <c r="AG129" s="1164"/>
      <c r="AH129" s="1164"/>
      <c r="AI129" s="685"/>
      <c r="AJ129" s="685"/>
      <c r="AK129" s="685"/>
      <c r="AL129" s="685"/>
      <c r="AM129" s="685"/>
      <c r="AN129" s="685"/>
      <c r="AO129" s="685"/>
      <c r="AP129" s="685"/>
      <c r="AQ129" s="685"/>
      <c r="AR129" s="685"/>
      <c r="AS129" s="685"/>
      <c r="AT129" s="685"/>
      <c r="AU129" s="685"/>
      <c r="AV129" s="685"/>
      <c r="AW129" s="685"/>
      <c r="AX129" s="685"/>
      <c r="AY129" s="685"/>
      <c r="AZ129" s="685"/>
      <c r="BA129" s="685"/>
      <c r="BB129" s="685"/>
      <c r="BC129" s="685"/>
      <c r="BD129" s="685"/>
    </row>
    <row r="130" spans="1:56">
      <c r="A130" s="685"/>
      <c r="B130" s="1115"/>
      <c r="C130" s="1164"/>
      <c r="D130" s="1164"/>
      <c r="E130" s="1164"/>
      <c r="F130" s="1164"/>
      <c r="G130" s="1164"/>
      <c r="H130" s="1164"/>
      <c r="I130" s="1164"/>
      <c r="J130" s="1164"/>
      <c r="K130" s="1164"/>
      <c r="L130" s="1164"/>
      <c r="M130" s="1164"/>
      <c r="N130" s="1164"/>
      <c r="O130" s="1164"/>
      <c r="P130" s="1164"/>
      <c r="Q130" s="1164"/>
      <c r="R130" s="1164"/>
      <c r="S130" s="1164"/>
      <c r="T130" s="1164"/>
      <c r="U130" s="1164"/>
      <c r="V130" s="1164"/>
      <c r="W130" s="1164"/>
      <c r="X130" s="1164"/>
      <c r="Y130" s="1164"/>
      <c r="Z130" s="1164"/>
      <c r="AA130" s="1164"/>
      <c r="AB130" s="1164"/>
      <c r="AC130" s="1164"/>
      <c r="AD130" s="1164"/>
      <c r="AE130" s="1164"/>
      <c r="AF130" s="1164"/>
      <c r="AG130" s="1164"/>
      <c r="AH130" s="1164"/>
      <c r="AI130" s="685"/>
      <c r="AJ130" s="685"/>
      <c r="AK130" s="685"/>
      <c r="AL130" s="685"/>
      <c r="AM130" s="685"/>
      <c r="AN130" s="685"/>
      <c r="AO130" s="685"/>
      <c r="AP130" s="685"/>
      <c r="AQ130" s="685"/>
      <c r="AR130" s="685"/>
      <c r="AS130" s="685"/>
      <c r="AT130" s="685"/>
      <c r="AU130" s="685"/>
      <c r="AV130" s="685"/>
      <c r="AW130" s="685"/>
      <c r="AX130" s="685"/>
      <c r="AY130" s="685"/>
      <c r="AZ130" s="685"/>
      <c r="BA130" s="685"/>
      <c r="BB130" s="685"/>
      <c r="BC130" s="685"/>
      <c r="BD130" s="685"/>
    </row>
    <row r="131" spans="1:56">
      <c r="A131" s="685"/>
      <c r="B131" s="1112" t="s">
        <v>232</v>
      </c>
      <c r="C131" s="1112"/>
      <c r="D131" s="1112">
        <f t="shared" ref="D131:AH131" si="84">D2</f>
        <v>2005</v>
      </c>
      <c r="E131" s="1112">
        <f t="shared" si="84"/>
        <v>2006</v>
      </c>
      <c r="F131" s="1112">
        <f t="shared" si="84"/>
        <v>2007</v>
      </c>
      <c r="G131" s="1112">
        <f t="shared" si="84"/>
        <v>2008</v>
      </c>
      <c r="H131" s="1112">
        <f t="shared" si="84"/>
        <v>2009</v>
      </c>
      <c r="I131" s="1112">
        <f t="shared" si="84"/>
        <v>2010</v>
      </c>
      <c r="J131" s="1112">
        <f t="shared" si="84"/>
        <v>2011</v>
      </c>
      <c r="K131" s="1112">
        <f t="shared" si="84"/>
        <v>2012</v>
      </c>
      <c r="L131" s="1112">
        <f t="shared" si="84"/>
        <v>2013</v>
      </c>
      <c r="M131" s="1112">
        <f t="shared" si="84"/>
        <v>2014</v>
      </c>
      <c r="N131" s="1112">
        <f t="shared" si="84"/>
        <v>2015</v>
      </c>
      <c r="O131" s="1112">
        <f t="shared" si="84"/>
        <v>2016</v>
      </c>
      <c r="P131" s="1112">
        <f t="shared" si="84"/>
        <v>2017</v>
      </c>
      <c r="Q131" s="1112">
        <f t="shared" si="84"/>
        <v>2018</v>
      </c>
      <c r="R131" s="1112">
        <f t="shared" si="84"/>
        <v>2019</v>
      </c>
      <c r="S131" s="1112">
        <f t="shared" si="84"/>
        <v>2020</v>
      </c>
      <c r="T131" s="1112">
        <f t="shared" si="84"/>
        <v>2021</v>
      </c>
      <c r="U131" s="1112">
        <f t="shared" si="84"/>
        <v>2022</v>
      </c>
      <c r="V131" s="1112">
        <f t="shared" si="84"/>
        <v>2023</v>
      </c>
      <c r="W131" s="1112">
        <f t="shared" si="84"/>
        <v>2024</v>
      </c>
      <c r="X131" s="1112">
        <f t="shared" si="84"/>
        <v>2025</v>
      </c>
      <c r="Y131" s="1112">
        <f t="shared" si="84"/>
        <v>2026</v>
      </c>
      <c r="Z131" s="1112">
        <f t="shared" si="84"/>
        <v>2027</v>
      </c>
      <c r="AA131" s="1112">
        <f t="shared" si="84"/>
        <v>2028</v>
      </c>
      <c r="AB131" s="1112">
        <f t="shared" si="84"/>
        <v>2029</v>
      </c>
      <c r="AC131" s="1112">
        <f t="shared" si="84"/>
        <v>2030</v>
      </c>
      <c r="AD131" s="1112">
        <f t="shared" si="84"/>
        <v>2031</v>
      </c>
      <c r="AE131" s="1112">
        <f t="shared" si="84"/>
        <v>2032</v>
      </c>
      <c r="AF131" s="1112">
        <f t="shared" si="84"/>
        <v>2033</v>
      </c>
      <c r="AG131" s="1112">
        <f t="shared" si="84"/>
        <v>2034</v>
      </c>
      <c r="AH131" s="1112">
        <f t="shared" si="84"/>
        <v>2035</v>
      </c>
      <c r="AI131" s="685"/>
      <c r="AJ131" s="685"/>
      <c r="AK131" s="685"/>
      <c r="AL131" s="685"/>
      <c r="AM131" s="685"/>
      <c r="AN131" s="685"/>
      <c r="AO131" s="685"/>
      <c r="AP131" s="685"/>
      <c r="AQ131" s="685"/>
      <c r="AR131" s="685"/>
      <c r="AS131" s="685"/>
      <c r="AT131" s="685"/>
      <c r="AU131" s="685"/>
      <c r="AV131" s="685"/>
      <c r="AW131" s="685"/>
      <c r="AX131" s="685"/>
      <c r="AY131" s="685"/>
      <c r="AZ131" s="685"/>
      <c r="BA131" s="685"/>
      <c r="BB131" s="685"/>
      <c r="BC131" s="685"/>
      <c r="BD131" s="685"/>
    </row>
    <row r="132" spans="1:56">
      <c r="A132" s="685"/>
      <c r="B132" s="1113" t="s">
        <v>233</v>
      </c>
      <c r="C132" s="1114"/>
      <c r="D132" s="1114">
        <f>SEGMENTOS!B17</f>
        <v>35067.93778783601</v>
      </c>
      <c r="E132" s="1114">
        <f>SEGMENTOS!G17</f>
        <v>39357.682798718743</v>
      </c>
      <c r="F132" s="1114">
        <f>SEGMENTOS!L17</f>
        <v>41561.558807027344</v>
      </c>
      <c r="G132" s="1114">
        <f>SEGMENTOS!Q17</f>
        <v>47972.188249737257</v>
      </c>
      <c r="H132" s="1114">
        <f>SEGMENTOS!V17</f>
        <v>52352.373298644896</v>
      </c>
      <c r="I132" s="1114">
        <f>SEGMENTOS!AA17</f>
        <v>57856.799999999996</v>
      </c>
      <c r="J132" s="1114">
        <f t="shared" ref="J132:AH132" si="85">J28</f>
        <v>62581.5</v>
      </c>
      <c r="K132" s="1114">
        <f t="shared" si="85"/>
        <v>69290.399999999994</v>
      </c>
      <c r="L132" s="1114">
        <f t="shared" si="85"/>
        <v>73793.600000000006</v>
      </c>
      <c r="M132" s="1114">
        <f t="shared" si="85"/>
        <v>80118.399999999994</v>
      </c>
      <c r="N132" s="1114">
        <f t="shared" si="85"/>
        <v>88052</v>
      </c>
      <c r="O132" s="1114">
        <f t="shared" si="85"/>
        <v>96287.4</v>
      </c>
      <c r="P132" s="1114">
        <f t="shared" si="85"/>
        <v>94275</v>
      </c>
      <c r="Q132" s="1114">
        <f t="shared" si="85"/>
        <v>101310</v>
      </c>
      <c r="R132" s="1114">
        <f t="shared" si="85"/>
        <v>100650.6</v>
      </c>
      <c r="S132" s="1114">
        <f t="shared" si="85"/>
        <v>97138.3</v>
      </c>
      <c r="T132" s="1114">
        <f t="shared" si="85"/>
        <v>103521.8</v>
      </c>
      <c r="U132" s="1114">
        <f t="shared" si="85"/>
        <v>75526.600000000006</v>
      </c>
      <c r="V132" s="1114">
        <f t="shared" si="85"/>
        <v>73767.900000000009</v>
      </c>
      <c r="W132" s="1114">
        <f t="shared" si="85"/>
        <v>62260.864000000001</v>
      </c>
      <c r="X132" s="1114">
        <f t="shared" si="85"/>
        <v>58878.2</v>
      </c>
      <c r="Y132" s="1114">
        <f t="shared" si="85"/>
        <v>57082.082599999994</v>
      </c>
      <c r="Z132" s="1114">
        <f t="shared" si="85"/>
        <v>54906.967513999989</v>
      </c>
      <c r="AA132" s="1114">
        <f t="shared" si="85"/>
        <v>52481.078674779994</v>
      </c>
      <c r="AB132" s="1114">
        <f t="shared" si="85"/>
        <v>51910.543243480584</v>
      </c>
      <c r="AC132" s="1114">
        <f t="shared" si="85"/>
        <v>52126.595162057252</v>
      </c>
      <c r="AD132" s="1114">
        <f t="shared" si="85"/>
        <v>52789.33237346766</v>
      </c>
      <c r="AE132" s="1114">
        <f t="shared" si="85"/>
        <v>53245.451176807837</v>
      </c>
      <c r="AF132" s="1114">
        <f t="shared" si="85"/>
        <v>53602.351070998826</v>
      </c>
      <c r="AG132" s="1114">
        <f t="shared" si="85"/>
        <v>52976.364798224429</v>
      </c>
      <c r="AH132" s="1114">
        <f t="shared" si="85"/>
        <v>53267.726773023562</v>
      </c>
      <c r="AI132" s="685"/>
      <c r="AJ132" s="685"/>
      <c r="AK132" s="685"/>
      <c r="AL132" s="685"/>
      <c r="AM132" s="685"/>
      <c r="AN132" s="685"/>
      <c r="AO132" s="685"/>
      <c r="AP132" s="685"/>
      <c r="AQ132" s="685"/>
      <c r="AR132" s="685"/>
      <c r="AS132" s="685"/>
      <c r="AT132" s="685"/>
      <c r="AU132" s="685"/>
      <c r="AV132" s="685"/>
      <c r="AW132" s="685"/>
      <c r="AX132" s="685"/>
      <c r="AY132" s="685"/>
      <c r="AZ132" s="685"/>
      <c r="BA132" s="685"/>
      <c r="BB132" s="685"/>
      <c r="BC132" s="685"/>
      <c r="BD132" s="685"/>
    </row>
    <row r="133" spans="1:56">
      <c r="A133" s="685"/>
      <c r="B133" s="1115" t="s">
        <v>192</v>
      </c>
      <c r="C133" s="1116"/>
      <c r="D133" s="1117"/>
      <c r="E133" s="1118">
        <f t="shared" ref="E133:AE133" si="86">E132/D132-1</f>
        <v>0.12232669730498702</v>
      </c>
      <c r="F133" s="1118">
        <f t="shared" si="86"/>
        <v>5.5996081364331429E-2</v>
      </c>
      <c r="G133" s="1118">
        <f t="shared" si="86"/>
        <v>0.154244201293672</v>
      </c>
      <c r="H133" s="1118">
        <f t="shared" si="86"/>
        <v>9.1306759368677159E-2</v>
      </c>
      <c r="I133" s="1118">
        <f t="shared" si="86"/>
        <v>0.10514187522989671</v>
      </c>
      <c r="J133" s="1118">
        <f t="shared" si="86"/>
        <v>8.1661965404239423E-2</v>
      </c>
      <c r="K133" s="1118">
        <f t="shared" si="86"/>
        <v>0.10720260779942947</v>
      </c>
      <c r="L133" s="1118">
        <f t="shared" si="86"/>
        <v>6.4990243958759297E-2</v>
      </c>
      <c r="M133" s="1118">
        <f t="shared" si="86"/>
        <v>8.5709329806378687E-2</v>
      </c>
      <c r="N133" s="1118">
        <f t="shared" si="86"/>
        <v>9.9023445300954638E-2</v>
      </c>
      <c r="O133" s="1118">
        <f t="shared" si="86"/>
        <v>9.3528823876799949E-2</v>
      </c>
      <c r="P133" s="1118">
        <f t="shared" si="86"/>
        <v>-2.0899930832071423E-2</v>
      </c>
      <c r="Q133" s="1118">
        <f t="shared" si="86"/>
        <v>7.4622116149562379E-2</v>
      </c>
      <c r="R133" s="1118">
        <f t="shared" si="86"/>
        <v>-6.5087355641101352E-3</v>
      </c>
      <c r="S133" s="1118">
        <f t="shared" si="86"/>
        <v>-3.4895966839740722E-2</v>
      </c>
      <c r="T133" s="1118">
        <f t="shared" si="86"/>
        <v>6.5715582833959507E-2</v>
      </c>
      <c r="U133" s="1118">
        <f t="shared" si="86"/>
        <v>-0.27042806442700951</v>
      </c>
      <c r="V133" s="1118">
        <f t="shared" si="86"/>
        <v>-2.3285835718806269E-2</v>
      </c>
      <c r="W133" s="1118">
        <f t="shared" si="86"/>
        <v>-0.15598974621752826</v>
      </c>
      <c r="X133" s="1118">
        <f t="shared" si="86"/>
        <v>-5.433050206306167E-2</v>
      </c>
      <c r="Y133" s="1118">
        <f t="shared" si="86"/>
        <v>-3.0505643854601527E-2</v>
      </c>
      <c r="Z133" s="1118">
        <f t="shared" si="86"/>
        <v>-3.8105040792607792E-2</v>
      </c>
      <c r="AA133" s="1118">
        <f t="shared" si="86"/>
        <v>-4.4181803313057655E-2</v>
      </c>
      <c r="AB133" s="1118">
        <f t="shared" si="86"/>
        <v>-1.0871259617870277E-2</v>
      </c>
      <c r="AC133" s="1118">
        <f t="shared" si="86"/>
        <v>4.1620045770529579E-3</v>
      </c>
      <c r="AD133" s="1118">
        <f t="shared" si="86"/>
        <v>1.2713993871074969E-2</v>
      </c>
      <c r="AE133" s="1118">
        <f t="shared" si="86"/>
        <v>8.6403593838482173E-3</v>
      </c>
      <c r="AF133" s="1118">
        <f>AF132/AE132-1</f>
        <v>6.7029180202804461E-3</v>
      </c>
      <c r="AG133" s="1118">
        <f>AG132/AF132-1</f>
        <v>-1.1678336122705635E-2</v>
      </c>
      <c r="AH133" s="1118">
        <f>AH132/AG132-1</f>
        <v>5.4998483929364905E-3</v>
      </c>
      <c r="AI133" s="685"/>
      <c r="AJ133" s="685"/>
      <c r="AK133" s="685"/>
      <c r="AL133" s="685"/>
      <c r="AM133" s="685"/>
      <c r="AN133" s="685"/>
      <c r="AO133" s="685"/>
      <c r="AP133" s="685"/>
      <c r="AQ133" s="685"/>
      <c r="AR133" s="685"/>
      <c r="AS133" s="685"/>
      <c r="AT133" s="685"/>
      <c r="AU133" s="685"/>
      <c r="AV133" s="685"/>
      <c r="AW133" s="685"/>
      <c r="AX133" s="685"/>
      <c r="AY133" s="685"/>
      <c r="AZ133" s="685"/>
      <c r="BA133" s="685"/>
      <c r="BB133" s="685"/>
      <c r="BC133" s="685"/>
      <c r="BD133" s="685"/>
    </row>
    <row r="134" spans="1:56">
      <c r="A134" s="685"/>
      <c r="B134" s="1115"/>
      <c r="C134" s="1115"/>
      <c r="D134" s="1115"/>
      <c r="E134" s="1115"/>
      <c r="F134" s="1115"/>
      <c r="G134" s="1119"/>
      <c r="H134" s="1120"/>
      <c r="I134" s="1120"/>
      <c r="J134" s="1121"/>
      <c r="K134" s="1115"/>
      <c r="L134" s="1115"/>
      <c r="M134" s="1115"/>
      <c r="N134" s="1115"/>
      <c r="O134" s="1115"/>
      <c r="P134" s="1117"/>
      <c r="Q134" s="1118"/>
      <c r="R134" s="1115"/>
      <c r="S134" s="1115"/>
      <c r="T134" s="1115"/>
      <c r="U134" s="1115"/>
      <c r="V134" s="1115"/>
      <c r="W134" s="1115"/>
      <c r="X134" s="1115"/>
      <c r="Y134" s="1115"/>
      <c r="Z134" s="1115"/>
      <c r="AA134" s="1115"/>
      <c r="AB134" s="1115"/>
      <c r="AC134" s="1115"/>
      <c r="AD134" s="1115"/>
      <c r="AE134" s="1115"/>
      <c r="AF134" s="1115"/>
      <c r="AG134" s="1115"/>
      <c r="AH134" s="1115"/>
      <c r="AI134" s="685"/>
      <c r="AJ134" s="685"/>
      <c r="AK134" s="685"/>
      <c r="AL134" s="685"/>
      <c r="AM134" s="685"/>
      <c r="AN134" s="685"/>
      <c r="AO134" s="685"/>
      <c r="AP134" s="685"/>
      <c r="AQ134" s="685"/>
      <c r="AR134" s="685"/>
      <c r="AS134" s="685"/>
      <c r="AT134" s="685"/>
      <c r="AU134" s="685"/>
      <c r="AV134" s="685"/>
      <c r="AW134" s="685"/>
      <c r="AX134" s="685"/>
      <c r="AY134" s="685"/>
      <c r="AZ134" s="685"/>
      <c r="BA134" s="685"/>
      <c r="BB134" s="685"/>
      <c r="BC134" s="685"/>
      <c r="BD134" s="685"/>
    </row>
    <row r="135" spans="1:56">
      <c r="A135" s="685"/>
      <c r="B135" s="1113" t="s">
        <v>214</v>
      </c>
      <c r="C135" s="1115"/>
      <c r="D135" s="1114">
        <f>SEGMENTOS!B27</f>
        <v>14471.838835904948</v>
      </c>
      <c r="E135" s="1114">
        <f>SEGMENTOS!G27</f>
        <v>17558.938374229689</v>
      </c>
      <c r="F135" s="1114">
        <f>SEGMENTOS!L27</f>
        <v>18072.674020978342</v>
      </c>
      <c r="G135" s="1114">
        <f>SEGMENTOS!Q27</f>
        <v>19916.727942464255</v>
      </c>
      <c r="H135" s="1114">
        <f>SEGMENTOS!V27</f>
        <v>20745.235143565711</v>
      </c>
      <c r="I135" s="1114">
        <f>SEGMENTOS!AA27</f>
        <v>23062.899999999998</v>
      </c>
      <c r="J135" s="1114">
        <f t="shared" ref="J135:AH135" si="87">J58</f>
        <v>25371.5</v>
      </c>
      <c r="K135" s="1114">
        <f t="shared" si="87"/>
        <v>28413.5</v>
      </c>
      <c r="L135" s="1114">
        <f t="shared" si="87"/>
        <v>29860.399999999998</v>
      </c>
      <c r="M135" s="1114">
        <f t="shared" si="87"/>
        <v>32279.7</v>
      </c>
      <c r="N135" s="1114">
        <f t="shared" si="87"/>
        <v>35695.299999999996</v>
      </c>
      <c r="O135" s="1114">
        <f t="shared" si="87"/>
        <v>38923.199999999997</v>
      </c>
      <c r="P135" s="1114">
        <f t="shared" si="87"/>
        <v>37457</v>
      </c>
      <c r="Q135" s="1114">
        <f t="shared" si="87"/>
        <v>40679</v>
      </c>
      <c r="R135" s="1114">
        <f t="shared" si="87"/>
        <v>41015</v>
      </c>
      <c r="S135" s="1114">
        <f t="shared" si="87"/>
        <v>40511.399999999994</v>
      </c>
      <c r="T135" s="1114">
        <f t="shared" si="87"/>
        <v>43475.5</v>
      </c>
      <c r="U135" s="1114">
        <f t="shared" si="87"/>
        <v>28010.129999999997</v>
      </c>
      <c r="V135" s="1114">
        <f t="shared" si="87"/>
        <v>26411.300000000003</v>
      </c>
      <c r="W135" s="1114">
        <f t="shared" si="87"/>
        <v>23157.915999999997</v>
      </c>
      <c r="X135" s="1114">
        <f t="shared" si="87"/>
        <v>23021.9</v>
      </c>
      <c r="Y135" s="1114">
        <f t="shared" si="87"/>
        <v>23118.243452999999</v>
      </c>
      <c r="Z135" s="1114">
        <f t="shared" si="87"/>
        <v>22621.670615767995</v>
      </c>
      <c r="AA135" s="1114">
        <f t="shared" si="87"/>
        <v>22042.053043407595</v>
      </c>
      <c r="AB135" s="1114">
        <f t="shared" si="87"/>
        <v>22061.980878479248</v>
      </c>
      <c r="AC135" s="1114">
        <f t="shared" si="87"/>
        <v>22414.43591968462</v>
      </c>
      <c r="AD135" s="1114">
        <f t="shared" si="87"/>
        <v>22963.359582458434</v>
      </c>
      <c r="AE135" s="1114">
        <f t="shared" si="87"/>
        <v>23427.998517795448</v>
      </c>
      <c r="AF135" s="1114">
        <f t="shared" si="87"/>
        <v>23853.046226594477</v>
      </c>
      <c r="AG135" s="1114">
        <f t="shared" si="87"/>
        <v>23839.364159200995</v>
      </c>
      <c r="AH135" s="1114">
        <f t="shared" si="87"/>
        <v>24103.646364793163</v>
      </c>
      <c r="AI135" s="685"/>
      <c r="AJ135" s="685"/>
      <c r="AK135" s="685"/>
      <c r="AL135" s="685"/>
      <c r="AM135" s="685"/>
      <c r="AN135" s="685"/>
      <c r="AO135" s="685"/>
      <c r="AP135" s="685"/>
      <c r="AQ135" s="685"/>
      <c r="AR135" s="685"/>
      <c r="AS135" s="685"/>
      <c r="AT135" s="685"/>
      <c r="AU135" s="685"/>
      <c r="AV135" s="685"/>
      <c r="AW135" s="685"/>
      <c r="AX135" s="685"/>
      <c r="AY135" s="685"/>
      <c r="AZ135" s="685"/>
      <c r="BA135" s="685"/>
      <c r="BB135" s="685"/>
      <c r="BC135" s="685"/>
      <c r="BD135" s="685"/>
    </row>
    <row r="136" spans="1:56">
      <c r="A136" s="685"/>
      <c r="B136" s="1115" t="s">
        <v>192</v>
      </c>
      <c r="C136" s="1116"/>
      <c r="D136" s="1117"/>
      <c r="E136" s="1117">
        <f>E135/D135-1</f>
        <v>0.21331771126870058</v>
      </c>
      <c r="F136" s="1117">
        <f>F135/E135-1</f>
        <v>2.9257785168984585E-2</v>
      </c>
      <c r="G136" s="1117">
        <f>G135/F135-1</f>
        <v>0.10203547739229823</v>
      </c>
      <c r="H136" s="1117">
        <f>H135/G135-1</f>
        <v>4.15985599389046E-2</v>
      </c>
      <c r="I136" s="1117">
        <f>I135/H135-1</f>
        <v>0.11172034640220163</v>
      </c>
      <c r="J136" s="1117">
        <f>J135/(I135-250)-1</f>
        <v>0.11215584165099579</v>
      </c>
      <c r="K136" s="1117">
        <f t="shared" ref="K136:AE136" si="88">K135/J135-1</f>
        <v>0.11989831109709703</v>
      </c>
      <c r="L136" s="1117">
        <f t="shared" si="88"/>
        <v>5.0922976754007809E-2</v>
      </c>
      <c r="M136" s="1117">
        <f t="shared" si="88"/>
        <v>8.1020348019450683E-2</v>
      </c>
      <c r="N136" s="1117">
        <f t="shared" si="88"/>
        <v>0.10581263146807429</v>
      </c>
      <c r="O136" s="1117">
        <f t="shared" si="88"/>
        <v>9.0429272201102195E-2</v>
      </c>
      <c r="P136" s="1117">
        <f t="shared" si="88"/>
        <v>-3.7669050848850971E-2</v>
      </c>
      <c r="Q136" s="1117">
        <f t="shared" si="88"/>
        <v>8.601863470112403E-2</v>
      </c>
      <c r="R136" s="1117">
        <f t="shared" si="88"/>
        <v>8.2597900636691701E-3</v>
      </c>
      <c r="S136" s="1117">
        <f t="shared" si="88"/>
        <v>-1.227843471900536E-2</v>
      </c>
      <c r="T136" s="1117">
        <f t="shared" si="88"/>
        <v>7.3167059148782965E-2</v>
      </c>
      <c r="U136" s="1117">
        <f t="shared" si="88"/>
        <v>-0.35572609860726168</v>
      </c>
      <c r="V136" s="1117">
        <f t="shared" si="88"/>
        <v>-5.7080420547851562E-2</v>
      </c>
      <c r="W136" s="1117">
        <f t="shared" si="88"/>
        <v>-0.12318151700219249</v>
      </c>
      <c r="X136" s="1117">
        <f t="shared" si="88"/>
        <v>-5.8734127889571441E-3</v>
      </c>
      <c r="Y136" s="1117">
        <f t="shared" si="88"/>
        <v>4.184861067070722E-3</v>
      </c>
      <c r="Z136" s="1117">
        <f t="shared" si="88"/>
        <v>-2.1479695818652944E-2</v>
      </c>
      <c r="AA136" s="1117">
        <f t="shared" si="88"/>
        <v>-2.5622226678359783E-2</v>
      </c>
      <c r="AB136" s="1117">
        <f t="shared" si="88"/>
        <v>9.040825295361099E-4</v>
      </c>
      <c r="AC136" s="1117">
        <f t="shared" si="88"/>
        <v>1.597567521913601E-2</v>
      </c>
      <c r="AD136" s="1117">
        <f t="shared" si="88"/>
        <v>2.4489737985855076E-2</v>
      </c>
      <c r="AE136" s="1117">
        <f t="shared" si="88"/>
        <v>2.023392673308777E-2</v>
      </c>
      <c r="AF136" s="1117">
        <f>AF135/AE135-1</f>
        <v>1.8142723906874547E-2</v>
      </c>
      <c r="AG136" s="1117">
        <f>AG135/AF135-1</f>
        <v>-5.7359832633141483E-4</v>
      </c>
      <c r="AH136" s="1117">
        <f>AH135/AG135-1</f>
        <v>1.1085958661786188E-2</v>
      </c>
      <c r="AI136" s="685"/>
      <c r="AJ136" s="685"/>
      <c r="AK136" s="685"/>
      <c r="AL136" s="685"/>
      <c r="AM136" s="685"/>
      <c r="AN136" s="685"/>
      <c r="AO136" s="685"/>
      <c r="AP136" s="685"/>
      <c r="AQ136" s="685"/>
      <c r="AR136" s="685"/>
      <c r="AS136" s="685"/>
      <c r="AT136" s="685"/>
      <c r="AU136" s="685"/>
      <c r="AV136" s="685"/>
      <c r="AW136" s="685"/>
      <c r="AX136" s="685"/>
      <c r="AY136" s="685"/>
      <c r="AZ136" s="685"/>
      <c r="BA136" s="685"/>
      <c r="BB136" s="685"/>
      <c r="BC136" s="685"/>
      <c r="BD136" s="685"/>
    </row>
    <row r="137" spans="1:56">
      <c r="A137" s="685"/>
      <c r="B137" s="1115"/>
      <c r="C137" s="1115"/>
      <c r="D137" s="1115"/>
      <c r="E137" s="1115"/>
      <c r="F137" s="1115"/>
      <c r="G137" s="1122"/>
      <c r="H137" s="1122"/>
      <c r="I137" s="1122"/>
      <c r="J137" s="1118"/>
      <c r="K137" s="1118"/>
      <c r="L137" s="1118"/>
      <c r="M137" s="1118"/>
      <c r="N137" s="1118"/>
      <c r="O137" s="1118"/>
      <c r="P137" s="1118"/>
      <c r="Q137" s="1118"/>
      <c r="R137" s="1118"/>
      <c r="S137" s="1118"/>
      <c r="T137" s="1118"/>
      <c r="U137" s="1118"/>
      <c r="V137" s="1118"/>
      <c r="W137" s="1118"/>
      <c r="X137" s="1118"/>
      <c r="Y137" s="1118"/>
      <c r="Z137" s="1118"/>
      <c r="AA137" s="1118"/>
      <c r="AB137" s="1118"/>
      <c r="AC137" s="1118"/>
      <c r="AD137" s="1118"/>
      <c r="AE137" s="1118"/>
      <c r="AF137" s="1118"/>
      <c r="AG137" s="1118"/>
      <c r="AH137" s="1118"/>
      <c r="AI137" s="685"/>
      <c r="AJ137" s="685"/>
      <c r="AK137" s="685"/>
      <c r="AL137" s="685"/>
      <c r="AM137" s="685"/>
      <c r="AN137" s="685"/>
      <c r="AO137" s="685"/>
      <c r="AP137" s="685"/>
      <c r="AQ137" s="685"/>
      <c r="AR137" s="685"/>
      <c r="AS137" s="685"/>
      <c r="AT137" s="685"/>
      <c r="AU137" s="685"/>
      <c r="AV137" s="685"/>
      <c r="AW137" s="685"/>
      <c r="AX137" s="685"/>
      <c r="AY137" s="685"/>
      <c r="AZ137" s="685"/>
      <c r="BA137" s="685"/>
      <c r="BB137" s="685"/>
      <c r="BC137" s="685"/>
      <c r="BD137" s="685"/>
    </row>
    <row r="138" spans="1:56">
      <c r="A138" s="685"/>
      <c r="B138" s="1115" t="s">
        <v>234</v>
      </c>
      <c r="C138" s="1115"/>
      <c r="D138" s="1123"/>
      <c r="E138" s="1123">
        <f>-SEGMENTOS!G28</f>
        <v>467.82771356000001</v>
      </c>
      <c r="F138" s="1123">
        <f>-SEGMENTOS!L28</f>
        <v>368.34399999999999</v>
      </c>
      <c r="G138" s="1123">
        <f>-SEGMENTOS!Q28</f>
        <v>478.28500000000003</v>
      </c>
      <c r="H138" s="1123">
        <f>-SEGMENTOS!V28</f>
        <v>658.24900000000002</v>
      </c>
      <c r="I138" s="1123">
        <f>-SEGMENTOS!AA28</f>
        <v>901</v>
      </c>
      <c r="J138" s="1123">
        <f t="shared" ref="J138:AC138" si="89">J135-J140-J139</f>
        <v>1142.5999999999985</v>
      </c>
      <c r="K138" s="1123">
        <f t="shared" si="89"/>
        <v>1149.3000000000006</v>
      </c>
      <c r="L138" s="1123">
        <f t="shared" si="89"/>
        <v>1192.5</v>
      </c>
      <c r="M138" s="1123">
        <f t="shared" si="89"/>
        <v>1478.4999999999991</v>
      </c>
      <c r="N138" s="1123">
        <f t="shared" si="89"/>
        <v>1960.8000000000036</v>
      </c>
      <c r="O138" s="1123">
        <f t="shared" si="89"/>
        <v>2207.9000000000028</v>
      </c>
      <c r="P138" s="1123">
        <f t="shared" si="89"/>
        <v>2291</v>
      </c>
      <c r="Q138" s="1123">
        <f t="shared" si="89"/>
        <v>2155</v>
      </c>
      <c r="R138" s="1123">
        <f t="shared" si="89"/>
        <v>1888.0000000000014</v>
      </c>
      <c r="S138" s="1123">
        <f t="shared" si="89"/>
        <v>1882.8999999999985</v>
      </c>
      <c r="T138" s="1123">
        <f t="shared" si="89"/>
        <v>2203.5000000000014</v>
      </c>
      <c r="U138" s="1123">
        <f t="shared" si="89"/>
        <v>1538.0999999999985</v>
      </c>
      <c r="V138" s="1123">
        <f t="shared" si="89"/>
        <v>1259.9000000000008</v>
      </c>
      <c r="W138" s="1123">
        <f t="shared" si="89"/>
        <v>756.00000000000182</v>
      </c>
      <c r="X138" s="1123">
        <f t="shared" si="89"/>
        <v>448.90000000000009</v>
      </c>
      <c r="Y138" s="1123">
        <f t="shared" si="89"/>
        <v>435.20601647366857</v>
      </c>
      <c r="Z138" s="1123">
        <f t="shared" si="89"/>
        <v>418.62247346274955</v>
      </c>
      <c r="AA138" s="1123">
        <f t="shared" si="89"/>
        <v>400.12697767779434</v>
      </c>
      <c r="AB138" s="1123">
        <f t="shared" si="89"/>
        <v>395.77709342334447</v>
      </c>
      <c r="AC138" s="1123">
        <f t="shared" si="89"/>
        <v>397.42431949766535</v>
      </c>
      <c r="AD138" s="1123">
        <f>AD135-AD140-AD139</f>
        <v>402.47716985997658</v>
      </c>
      <c r="AE138" s="1123">
        <f>AE135-AE140-AE139</f>
        <v>405.95471725136099</v>
      </c>
      <c r="AF138" s="1123">
        <f>AF135-AF140-AF139</f>
        <v>408.67579844104398</v>
      </c>
      <c r="AG138" s="1123">
        <f>AG135-AG140-AG139</f>
        <v>403.90314510163103</v>
      </c>
      <c r="AH138" s="1123">
        <f>AH135-AH140-AH139</f>
        <v>406.12455116512172</v>
      </c>
      <c r="AI138" s="685"/>
      <c r="AJ138" s="685"/>
      <c r="AK138" s="685"/>
      <c r="AL138" s="685"/>
      <c r="AM138" s="685"/>
      <c r="AN138" s="685"/>
      <c r="AO138" s="685"/>
      <c r="AP138" s="685"/>
      <c r="AQ138" s="685"/>
      <c r="AR138" s="685"/>
      <c r="AS138" s="685"/>
      <c r="AT138" s="685"/>
      <c r="AU138" s="685"/>
      <c r="AV138" s="685"/>
      <c r="AW138" s="685"/>
      <c r="AX138" s="685"/>
      <c r="AY138" s="685"/>
      <c r="AZ138" s="685"/>
      <c r="BA138" s="685"/>
      <c r="BB138" s="685"/>
      <c r="BC138" s="685"/>
      <c r="BD138" s="685"/>
    </row>
    <row r="139" spans="1:56">
      <c r="A139" s="685"/>
      <c r="B139" s="1115" t="s">
        <v>235</v>
      </c>
      <c r="C139" s="1115"/>
      <c r="D139" s="1123"/>
      <c r="E139" s="1123"/>
      <c r="F139" s="1123"/>
      <c r="G139" s="1123"/>
      <c r="H139" s="1123"/>
      <c r="I139" s="1123"/>
      <c r="J139" s="1123">
        <f t="shared" ref="J139:AH139" si="90">-J62</f>
        <v>594</v>
      </c>
      <c r="K139" s="1123">
        <f t="shared" si="90"/>
        <v>650.4</v>
      </c>
      <c r="L139" s="1123">
        <f t="shared" si="90"/>
        <v>462.32310937500006</v>
      </c>
      <c r="M139" s="1123">
        <f t="shared" si="90"/>
        <v>793.3000000000003</v>
      </c>
      <c r="N139" s="1123">
        <f t="shared" si="90"/>
        <v>1359.2</v>
      </c>
      <c r="O139" s="1123">
        <f t="shared" si="90"/>
        <v>3137.4</v>
      </c>
      <c r="P139" s="1123">
        <f t="shared" si="90"/>
        <v>2386</v>
      </c>
      <c r="Q139" s="1123">
        <f t="shared" si="90"/>
        <v>1951.5000000000002</v>
      </c>
      <c r="R139" s="1123">
        <f t="shared" si="90"/>
        <v>908.9</v>
      </c>
      <c r="S139" s="1123">
        <f t="shared" si="90"/>
        <v>-181.8</v>
      </c>
      <c r="T139" s="1123">
        <f t="shared" si="90"/>
        <v>-2329.6</v>
      </c>
      <c r="U139" s="1123">
        <f t="shared" si="90"/>
        <v>936</v>
      </c>
      <c r="V139" s="1123">
        <f t="shared" si="90"/>
        <v>1026.8</v>
      </c>
      <c r="W139" s="1123">
        <f t="shared" si="90"/>
        <v>4709.8999999999996</v>
      </c>
      <c r="X139" s="1123">
        <f t="shared" si="90"/>
        <v>1187.5999999999999</v>
      </c>
      <c r="Y139" s="1123">
        <f t="shared" si="90"/>
        <v>1000</v>
      </c>
      <c r="Z139" s="1123">
        <f t="shared" si="90"/>
        <v>961.89495920739216</v>
      </c>
      <c r="AA139" s="1123">
        <f t="shared" si="90"/>
        <v>919.3967053118696</v>
      </c>
      <c r="AB139" s="1123">
        <f t="shared" si="90"/>
        <v>909.40170503660966</v>
      </c>
      <c r="AC139" s="1123">
        <f t="shared" si="90"/>
        <v>913.18663909535178</v>
      </c>
      <c r="AD139" s="1123">
        <f t="shared" si="90"/>
        <v>924.79688842795758</v>
      </c>
      <c r="AE139" s="1123">
        <f t="shared" si="90"/>
        <v>932.7874659010397</v>
      </c>
      <c r="AF139" s="1123">
        <f t="shared" si="90"/>
        <v>939.03986381531945</v>
      </c>
      <c r="AG139" s="1123">
        <f t="shared" si="90"/>
        <v>928.07344065306438</v>
      </c>
      <c r="AH139" s="1123">
        <f t="shared" si="90"/>
        <v>933.17770387416715</v>
      </c>
      <c r="AI139" s="685"/>
      <c r="AJ139" s="685"/>
      <c r="AK139" s="685"/>
      <c r="AL139" s="685"/>
      <c r="AM139" s="685"/>
      <c r="AN139" s="685"/>
      <c r="AO139" s="685"/>
      <c r="AP139" s="685"/>
      <c r="AQ139" s="685"/>
      <c r="AR139" s="685"/>
      <c r="AS139" s="685"/>
      <c r="AT139" s="685"/>
      <c r="AU139" s="685"/>
      <c r="AV139" s="685"/>
      <c r="AW139" s="685"/>
      <c r="AX139" s="685"/>
      <c r="AY139" s="685"/>
      <c r="AZ139" s="685"/>
      <c r="BA139" s="685"/>
      <c r="BB139" s="685"/>
      <c r="BC139" s="685"/>
      <c r="BD139" s="685"/>
    </row>
    <row r="140" spans="1:56">
      <c r="A140" s="685"/>
      <c r="B140" s="1113" t="s">
        <v>211</v>
      </c>
      <c r="C140" s="1114"/>
      <c r="D140" s="1114"/>
      <c r="E140" s="1114">
        <f>E135+E136</f>
        <v>17559.151691940959</v>
      </c>
      <c r="F140" s="1114">
        <f>F135+F136</f>
        <v>18072.703278763511</v>
      </c>
      <c r="G140" s="1114">
        <f>G135+G136</f>
        <v>19916.829977941648</v>
      </c>
      <c r="H140" s="1114">
        <f t="shared" ref="H140:AH140" si="91">H63</f>
        <v>20087</v>
      </c>
      <c r="I140" s="1114">
        <f t="shared" si="91"/>
        <v>21568</v>
      </c>
      <c r="J140" s="1114">
        <f t="shared" si="91"/>
        <v>23634.9</v>
      </c>
      <c r="K140" s="1114">
        <f t="shared" si="91"/>
        <v>26613.8</v>
      </c>
      <c r="L140" s="1114">
        <f t="shared" si="91"/>
        <v>28205.576890624998</v>
      </c>
      <c r="M140" s="1114">
        <f t="shared" si="91"/>
        <v>30007.9</v>
      </c>
      <c r="N140" s="1114">
        <f t="shared" si="91"/>
        <v>32375.299999999992</v>
      </c>
      <c r="O140" s="1114">
        <f t="shared" si="91"/>
        <v>33577.899999999994</v>
      </c>
      <c r="P140" s="1114">
        <f t="shared" si="91"/>
        <v>32780</v>
      </c>
      <c r="Q140" s="1114">
        <f t="shared" si="91"/>
        <v>36572.5</v>
      </c>
      <c r="R140" s="1114">
        <f t="shared" si="91"/>
        <v>38218.1</v>
      </c>
      <c r="S140" s="1114">
        <f t="shared" si="91"/>
        <v>38810.299999999996</v>
      </c>
      <c r="T140" s="1114">
        <f t="shared" si="91"/>
        <v>43601.599999999999</v>
      </c>
      <c r="U140" s="1114">
        <f t="shared" si="91"/>
        <v>25536.03</v>
      </c>
      <c r="V140" s="1114">
        <f t="shared" si="91"/>
        <v>24124.600000000002</v>
      </c>
      <c r="W140" s="1114">
        <f t="shared" si="91"/>
        <v>17692.015999999996</v>
      </c>
      <c r="X140" s="1114">
        <f t="shared" si="91"/>
        <v>21385.4</v>
      </c>
      <c r="Y140" s="1114">
        <f t="shared" si="91"/>
        <v>21683.037436526331</v>
      </c>
      <c r="Z140" s="1114">
        <f t="shared" si="91"/>
        <v>21241.153183097853</v>
      </c>
      <c r="AA140" s="1114">
        <f t="shared" si="91"/>
        <v>20722.529360417931</v>
      </c>
      <c r="AB140" s="1114">
        <f t="shared" si="91"/>
        <v>20756.802080019293</v>
      </c>
      <c r="AC140" s="1114">
        <f t="shared" si="91"/>
        <v>21103.824961091603</v>
      </c>
      <c r="AD140" s="1114">
        <f t="shared" si="91"/>
        <v>21636.085524170499</v>
      </c>
      <c r="AE140" s="1114">
        <f t="shared" si="91"/>
        <v>22089.256334643047</v>
      </c>
      <c r="AF140" s="1114">
        <f t="shared" si="91"/>
        <v>22505.330564338114</v>
      </c>
      <c r="AG140" s="1114">
        <f t="shared" si="91"/>
        <v>22507.3875734463</v>
      </c>
      <c r="AH140" s="1114">
        <f t="shared" si="91"/>
        <v>22764.344109753874</v>
      </c>
      <c r="AI140" s="685"/>
      <c r="AJ140" s="685"/>
      <c r="AK140" s="685"/>
      <c r="AL140" s="685"/>
      <c r="AM140" s="685"/>
      <c r="AN140" s="685"/>
      <c r="AO140" s="685"/>
      <c r="AP140" s="685"/>
      <c r="AQ140" s="685"/>
      <c r="AR140" s="685"/>
      <c r="AS140" s="685"/>
      <c r="AT140" s="685"/>
      <c r="AU140" s="685"/>
      <c r="AV140" s="685"/>
      <c r="AW140" s="685"/>
      <c r="AX140" s="685"/>
      <c r="AY140" s="685"/>
      <c r="AZ140" s="685"/>
      <c r="BA140" s="685"/>
      <c r="BB140" s="685"/>
      <c r="BC140" s="685"/>
      <c r="BD140" s="685"/>
    </row>
    <row r="141" spans="1:56">
      <c r="A141" s="685"/>
      <c r="B141" s="1115"/>
      <c r="C141" s="1115"/>
      <c r="D141" s="1123"/>
      <c r="E141" s="1123"/>
      <c r="F141" s="1123"/>
      <c r="G141" s="1120"/>
      <c r="H141" s="1120"/>
      <c r="I141" s="1120"/>
      <c r="J141" s="1120"/>
      <c r="K141" s="1115"/>
      <c r="L141" s="1124"/>
      <c r="M141" s="1115"/>
      <c r="N141" s="1115"/>
      <c r="O141" s="1115"/>
      <c r="P141" s="1115"/>
      <c r="Q141" s="1117"/>
      <c r="R141" s="1124"/>
      <c r="S141" s="1115"/>
      <c r="T141" s="1115"/>
      <c r="U141" s="1115"/>
      <c r="V141" s="1115"/>
      <c r="W141" s="1115"/>
      <c r="X141" s="1115"/>
      <c r="Y141" s="1115"/>
      <c r="Z141" s="1115"/>
      <c r="AA141" s="1115"/>
      <c r="AB141" s="1115"/>
      <c r="AC141" s="1115"/>
      <c r="AD141" s="1115"/>
      <c r="AE141" s="1115"/>
      <c r="AF141" s="1115"/>
      <c r="AG141" s="1115"/>
      <c r="AH141" s="1115"/>
      <c r="AI141" s="685"/>
      <c r="AJ141" s="685"/>
      <c r="AK141" s="685"/>
      <c r="AL141" s="685"/>
      <c r="AM141" s="685"/>
      <c r="AN141" s="685"/>
      <c r="AO141" s="685"/>
      <c r="AP141" s="685"/>
      <c r="AQ141" s="685"/>
      <c r="AR141" s="685"/>
      <c r="AS141" s="685"/>
      <c r="AT141" s="685"/>
      <c r="AU141" s="685"/>
      <c r="AV141" s="685"/>
      <c r="AW141" s="685"/>
      <c r="AX141" s="685"/>
      <c r="AY141" s="685"/>
      <c r="AZ141" s="685"/>
      <c r="BA141" s="685"/>
      <c r="BB141" s="685"/>
      <c r="BC141" s="685"/>
      <c r="BD141" s="685"/>
    </row>
    <row r="142" spans="1:56">
      <c r="A142" s="685"/>
      <c r="B142" s="1115" t="s">
        <v>236</v>
      </c>
      <c r="C142" s="1123"/>
      <c r="D142" s="1123"/>
      <c r="E142" s="1123">
        <f t="shared" ref="E142:AC142" si="92">E228</f>
        <v>0</v>
      </c>
      <c r="F142" s="1123">
        <f t="shared" si="92"/>
        <v>0</v>
      </c>
      <c r="G142" s="1123">
        <f t="shared" si="92"/>
        <v>0</v>
      </c>
      <c r="H142" s="1123">
        <f t="shared" si="92"/>
        <v>4390</v>
      </c>
      <c r="I142" s="1123">
        <f t="shared" si="92"/>
        <v>5697</v>
      </c>
      <c r="J142" s="1123">
        <f t="shared" si="92"/>
        <v>6501</v>
      </c>
      <c r="K142" s="1123">
        <f t="shared" si="92"/>
        <v>7122.2916099069244</v>
      </c>
      <c r="L142" s="1123">
        <f t="shared" si="92"/>
        <v>8426.7308289351131</v>
      </c>
      <c r="M142" s="1123">
        <f t="shared" si="92"/>
        <v>9411.8212326843186</v>
      </c>
      <c r="N142" s="1123">
        <f t="shared" si="92"/>
        <v>11222.332339055185</v>
      </c>
      <c r="O142" s="1123">
        <f t="shared" si="92"/>
        <v>12681.492375298647</v>
      </c>
      <c r="P142" s="1123">
        <f t="shared" si="92"/>
        <v>13775.112009065635</v>
      </c>
      <c r="Q142" s="1123">
        <f t="shared" si="92"/>
        <v>15461.690203840175</v>
      </c>
      <c r="R142" s="1123">
        <f t="shared" si="92"/>
        <v>15598.453258756492</v>
      </c>
      <c r="S142" s="1123">
        <f t="shared" si="92"/>
        <v>15664.841174858946</v>
      </c>
      <c r="T142" s="1123">
        <f t="shared" si="92"/>
        <v>16057.827405879905</v>
      </c>
      <c r="U142" s="1123">
        <f t="shared" si="92"/>
        <v>15135.795108159535</v>
      </c>
      <c r="V142" s="1123">
        <f t="shared" si="92"/>
        <v>17634</v>
      </c>
      <c r="W142" s="1123">
        <f t="shared" si="92"/>
        <v>16258</v>
      </c>
      <c r="X142" s="1123">
        <f>X228</f>
        <v>14258</v>
      </c>
      <c r="Y142" s="1123">
        <f>Y228</f>
        <v>13953.961219733854</v>
      </c>
      <c r="Z142" s="1123">
        <f t="shared" si="92"/>
        <v>14028.502288162032</v>
      </c>
      <c r="AA142" s="1123">
        <f t="shared" si="92"/>
        <v>13371.182595606751</v>
      </c>
      <c r="AB142" s="1123">
        <f t="shared" si="92"/>
        <v>12664.208529554813</v>
      </c>
      <c r="AC142" s="1123">
        <f t="shared" si="92"/>
        <v>12053.423684546047</v>
      </c>
      <c r="AD142" s="1123">
        <f>AD228</f>
        <v>11545.267342408524</v>
      </c>
      <c r="AE142" s="1123">
        <f>AE228</f>
        <v>11131.769480421153</v>
      </c>
      <c r="AF142" s="1123">
        <f>AF228</f>
        <v>10806.594692997816</v>
      </c>
      <c r="AG142" s="1123">
        <f>AG228</f>
        <v>10540.34165419529</v>
      </c>
      <c r="AH142" s="1123">
        <f>AH228</f>
        <v>10309.394220941171</v>
      </c>
      <c r="AI142" s="685"/>
      <c r="AJ142" s="685"/>
      <c r="AK142" s="685"/>
      <c r="AL142" s="685"/>
      <c r="AM142" s="685"/>
      <c r="AN142" s="685"/>
      <c r="AO142" s="685"/>
      <c r="AP142" s="685"/>
      <c r="AQ142" s="685"/>
      <c r="AR142" s="685"/>
      <c r="AS142" s="685"/>
      <c r="AT142" s="685"/>
      <c r="AU142" s="685"/>
      <c r="AV142" s="685"/>
      <c r="AW142" s="685"/>
      <c r="AX142" s="685"/>
      <c r="AY142" s="685"/>
      <c r="AZ142" s="685"/>
      <c r="BA142" s="685"/>
      <c r="BB142" s="685"/>
      <c r="BC142" s="685"/>
      <c r="BD142" s="685"/>
    </row>
    <row r="143" spans="1:56">
      <c r="A143" s="685"/>
      <c r="B143" s="1115" t="s">
        <v>237</v>
      </c>
      <c r="C143" s="1123"/>
      <c r="D143" s="1123"/>
      <c r="E143" s="1123">
        <f t="shared" ref="E143:AC143" si="93">E252</f>
        <v>0</v>
      </c>
      <c r="F143" s="1123">
        <f t="shared" si="93"/>
        <v>0</v>
      </c>
      <c r="G143" s="1123">
        <f t="shared" si="93"/>
        <v>0</v>
      </c>
      <c r="H143" s="1123">
        <f t="shared" si="93"/>
        <v>540</v>
      </c>
      <c r="I143" s="1123">
        <f t="shared" si="93"/>
        <v>882</v>
      </c>
      <c r="J143" s="1123">
        <f t="shared" si="93"/>
        <v>928.69999999999982</v>
      </c>
      <c r="K143" s="1123">
        <f t="shared" si="93"/>
        <v>1351.7083900930756</v>
      </c>
      <c r="L143" s="1123">
        <f t="shared" si="93"/>
        <v>1419.2691710648869</v>
      </c>
      <c r="M143" s="1123">
        <f t="shared" si="93"/>
        <v>2151.1787673156814</v>
      </c>
      <c r="N143" s="1123">
        <f t="shared" si="93"/>
        <v>3438.5676609448146</v>
      </c>
      <c r="O143" s="1123">
        <f t="shared" si="93"/>
        <v>4298.3076247013523</v>
      </c>
      <c r="P143" s="1123">
        <f t="shared" si="93"/>
        <v>4760.887990934365</v>
      </c>
      <c r="Q143" s="1123">
        <f t="shared" si="93"/>
        <v>4372.3097961598251</v>
      </c>
      <c r="R143" s="1123">
        <f t="shared" si="93"/>
        <v>5409.5467412435082</v>
      </c>
      <c r="S143" s="1123">
        <f t="shared" si="93"/>
        <v>5596.158825141054</v>
      </c>
      <c r="T143" s="1123">
        <f t="shared" si="93"/>
        <v>5360.4725941200941</v>
      </c>
      <c r="U143" s="1123">
        <f t="shared" si="93"/>
        <v>5981.6048918404667</v>
      </c>
      <c r="V143" s="1123">
        <f t="shared" si="93"/>
        <v>3920.4000000000015</v>
      </c>
      <c r="W143" s="1123">
        <f t="shared" si="93"/>
        <v>4252.9000000000015</v>
      </c>
      <c r="X143" s="1123">
        <f t="shared" si="93"/>
        <v>2902.5</v>
      </c>
      <c r="Y143" s="1123">
        <f t="shared" si="93"/>
        <v>3069.4746399999999</v>
      </c>
      <c r="Z143" s="1123">
        <f t="shared" si="93"/>
        <v>3109.8158106000001</v>
      </c>
      <c r="AA143" s="1123">
        <f t="shared" si="93"/>
        <v>3128.7026294460006</v>
      </c>
      <c r="AB143" s="1123">
        <f t="shared" si="93"/>
        <v>3127.5681423956307</v>
      </c>
      <c r="AC143" s="1123">
        <f t="shared" si="93"/>
        <v>3108.1311777558371</v>
      </c>
      <c r="AD143" s="1123">
        <f>AD252</f>
        <v>3072.3305129792666</v>
      </c>
      <c r="AE143" s="1123">
        <f>AE252</f>
        <v>3022.2577095505603</v>
      </c>
      <c r="AF143" s="1123">
        <f>AF252</f>
        <v>2960.091073386362</v>
      </c>
      <c r="AG143" s="1123">
        <f>AG252</f>
        <v>2888.0329564663621</v>
      </c>
      <c r="AH143" s="1123">
        <f>AH252</f>
        <v>2808.252293427498</v>
      </c>
      <c r="AI143" s="685"/>
      <c r="AJ143" s="685"/>
      <c r="AK143" s="685"/>
      <c r="AL143" s="685"/>
      <c r="AM143" s="685"/>
      <c r="AN143" s="685"/>
      <c r="AO143" s="685"/>
      <c r="AP143" s="685"/>
      <c r="AQ143" s="685"/>
      <c r="AR143" s="685"/>
      <c r="AS143" s="685"/>
      <c r="AT143" s="685"/>
      <c r="AU143" s="685"/>
      <c r="AV143" s="685"/>
      <c r="AW143" s="685"/>
      <c r="AX143" s="685"/>
      <c r="AY143" s="685"/>
      <c r="AZ143" s="685"/>
      <c r="BA143" s="685"/>
      <c r="BB143" s="685"/>
      <c r="BC143" s="685"/>
      <c r="BD143" s="685"/>
    </row>
    <row r="144" spans="1:56">
      <c r="A144" s="685"/>
      <c r="B144" s="1115"/>
      <c r="C144" s="1115"/>
      <c r="D144" s="1123"/>
      <c r="E144" s="1123"/>
      <c r="F144" s="1123"/>
      <c r="G144" s="1123"/>
      <c r="H144" s="1121"/>
      <c r="I144" s="1121"/>
      <c r="J144" s="1121"/>
      <c r="K144" s="1115"/>
      <c r="L144" s="1115"/>
      <c r="M144" s="1115"/>
      <c r="N144" s="1115"/>
      <c r="O144" s="1115"/>
      <c r="P144" s="1115"/>
      <c r="Q144" s="1115"/>
      <c r="R144" s="1115"/>
      <c r="S144" s="1115"/>
      <c r="T144" s="1115"/>
      <c r="U144" s="1115"/>
      <c r="V144" s="1115"/>
      <c r="W144" s="1123"/>
      <c r="X144" s="1123"/>
      <c r="Y144" s="1115"/>
      <c r="Z144" s="1115"/>
      <c r="AA144" s="1115"/>
      <c r="AB144" s="1115"/>
      <c r="AC144" s="1115"/>
      <c r="AD144" s="1115"/>
      <c r="AE144" s="1115"/>
      <c r="AF144" s="1115"/>
      <c r="AG144" s="1115"/>
      <c r="AH144" s="1115"/>
      <c r="AI144" s="685"/>
      <c r="AJ144" s="685"/>
      <c r="AK144" s="685"/>
      <c r="AL144" s="685"/>
      <c r="AM144" s="685"/>
      <c r="AN144" s="685"/>
      <c r="AO144" s="685"/>
      <c r="AP144" s="685"/>
      <c r="AQ144" s="685"/>
      <c r="AR144" s="685"/>
      <c r="AS144" s="685"/>
      <c r="AT144" s="685"/>
      <c r="AU144" s="685"/>
      <c r="AV144" s="685"/>
      <c r="AW144" s="685"/>
      <c r="AX144" s="685"/>
      <c r="AY144" s="685"/>
      <c r="AZ144" s="685"/>
      <c r="BA144" s="685"/>
      <c r="BB144" s="685"/>
      <c r="BC144" s="685"/>
      <c r="BD144" s="685"/>
    </row>
    <row r="145" spans="1:56">
      <c r="A145" s="685"/>
      <c r="B145" s="1113" t="s">
        <v>238</v>
      </c>
      <c r="C145" s="1114"/>
      <c r="D145" s="1114"/>
      <c r="E145" s="1114">
        <f t="shared" ref="E145:AC145" si="94">E140-E142-E143</f>
        <v>17559.151691940959</v>
      </c>
      <c r="F145" s="1114">
        <f t="shared" si="94"/>
        <v>18072.703278763511</v>
      </c>
      <c r="G145" s="1114">
        <f t="shared" si="94"/>
        <v>19916.829977941648</v>
      </c>
      <c r="H145" s="1114">
        <f t="shared" si="94"/>
        <v>15157</v>
      </c>
      <c r="I145" s="1114">
        <f t="shared" si="94"/>
        <v>14989</v>
      </c>
      <c r="J145" s="1114">
        <f t="shared" si="94"/>
        <v>16205.2</v>
      </c>
      <c r="K145" s="1114">
        <f t="shared" si="94"/>
        <v>18139.800000000003</v>
      </c>
      <c r="L145" s="1114">
        <f t="shared" si="94"/>
        <v>18359.576890624998</v>
      </c>
      <c r="M145" s="1114">
        <f t="shared" si="94"/>
        <v>18444.900000000001</v>
      </c>
      <c r="N145" s="1114">
        <f t="shared" si="94"/>
        <v>17714.399999999994</v>
      </c>
      <c r="O145" s="1114">
        <f t="shared" si="94"/>
        <v>16598.099999999995</v>
      </c>
      <c r="P145" s="1114">
        <f t="shared" si="94"/>
        <v>14244.000000000002</v>
      </c>
      <c r="Q145" s="1114">
        <f t="shared" si="94"/>
        <v>16738.5</v>
      </c>
      <c r="R145" s="1114">
        <f t="shared" si="94"/>
        <v>17210.099999999999</v>
      </c>
      <c r="S145" s="1114">
        <f t="shared" si="94"/>
        <v>17549.299999999996</v>
      </c>
      <c r="T145" s="1114">
        <f t="shared" si="94"/>
        <v>22183.299999999996</v>
      </c>
      <c r="U145" s="1114">
        <f t="shared" si="94"/>
        <v>4418.6299999999974</v>
      </c>
      <c r="V145" s="1114">
        <f t="shared" si="94"/>
        <v>2570.2000000000007</v>
      </c>
      <c r="W145" s="1114">
        <f t="shared" si="94"/>
        <v>-2818.8840000000055</v>
      </c>
      <c r="X145" s="1114">
        <f t="shared" si="94"/>
        <v>4224.9000000000015</v>
      </c>
      <c r="Y145" s="1114">
        <f t="shared" si="94"/>
        <v>4659.6015767924764</v>
      </c>
      <c r="Z145" s="1114">
        <f t="shared" si="94"/>
        <v>4102.8350843358212</v>
      </c>
      <c r="AA145" s="1114">
        <f t="shared" si="94"/>
        <v>4222.644135365179</v>
      </c>
      <c r="AB145" s="1114">
        <f t="shared" si="94"/>
        <v>4965.0254080688501</v>
      </c>
      <c r="AC145" s="1114">
        <f t="shared" si="94"/>
        <v>5942.2700987897188</v>
      </c>
      <c r="AD145" s="1114">
        <f>AD140-AD142-AD143</f>
        <v>7018.4876687827091</v>
      </c>
      <c r="AE145" s="1114">
        <f>AE140-AE142-AE143</f>
        <v>7935.2291446713334</v>
      </c>
      <c r="AF145" s="1114">
        <f>AF140-AF142-AF143</f>
        <v>8738.6447979539353</v>
      </c>
      <c r="AG145" s="1114">
        <f>AG140-AG142-AG143</f>
        <v>9079.0129627846472</v>
      </c>
      <c r="AH145" s="1114">
        <f>AH140-AH142-AH143</f>
        <v>9646.6975953852052</v>
      </c>
      <c r="AI145" s="685"/>
      <c r="AJ145" s="685"/>
      <c r="AK145" s="685"/>
      <c r="AL145" s="685"/>
      <c r="AM145" s="685"/>
      <c r="AN145" s="685"/>
      <c r="AO145" s="685"/>
      <c r="AP145" s="685"/>
      <c r="AQ145" s="685"/>
      <c r="AR145" s="685"/>
      <c r="AS145" s="685"/>
      <c r="AT145" s="685"/>
      <c r="AU145" s="685"/>
      <c r="AV145" s="685"/>
      <c r="AW145" s="685"/>
      <c r="AX145" s="685"/>
      <c r="AY145" s="685"/>
      <c r="AZ145" s="685"/>
      <c r="BA145" s="685"/>
      <c r="BB145" s="685"/>
      <c r="BC145" s="685"/>
      <c r="BD145" s="685"/>
    </row>
    <row r="146" spans="1:56">
      <c r="A146" s="685"/>
      <c r="B146" s="1115"/>
      <c r="C146" s="1115"/>
      <c r="D146" s="1115"/>
      <c r="E146" s="1115"/>
      <c r="F146" s="1115"/>
      <c r="G146" s="1115"/>
      <c r="H146" s="1115"/>
      <c r="I146" s="1115"/>
      <c r="J146" s="1115"/>
      <c r="K146" s="1115"/>
      <c r="L146" s="1115"/>
      <c r="M146" s="1115"/>
      <c r="N146" s="1115"/>
      <c r="O146" s="1115"/>
      <c r="P146" s="1115"/>
      <c r="Q146" s="1115"/>
      <c r="R146" s="1115"/>
      <c r="S146" s="1115"/>
      <c r="T146" s="1115"/>
      <c r="U146" s="1123"/>
      <c r="V146" s="1123"/>
      <c r="W146" s="1123"/>
      <c r="X146" s="1123"/>
      <c r="Y146" s="1115"/>
      <c r="Z146" s="1115"/>
      <c r="AA146" s="1115"/>
      <c r="AB146" s="1115"/>
      <c r="AC146" s="1115"/>
      <c r="AD146" s="1115"/>
      <c r="AE146" s="1115"/>
      <c r="AF146" s="1115"/>
      <c r="AG146" s="1115"/>
      <c r="AH146" s="1115"/>
      <c r="AI146" s="685"/>
      <c r="AJ146" s="685"/>
      <c r="AK146" s="685"/>
      <c r="AL146" s="685"/>
      <c r="AM146" s="685"/>
      <c r="AN146" s="685"/>
      <c r="AO146" s="685"/>
      <c r="AP146" s="685"/>
      <c r="AQ146" s="685"/>
      <c r="AR146" s="685"/>
      <c r="AS146" s="685"/>
      <c r="AT146" s="685"/>
      <c r="AU146" s="685"/>
      <c r="AV146" s="685"/>
      <c r="AW146" s="685"/>
      <c r="AX146" s="685"/>
      <c r="AY146" s="685"/>
      <c r="AZ146" s="685"/>
      <c r="BA146" s="685"/>
      <c r="BB146" s="685"/>
      <c r="BC146" s="685"/>
      <c r="BD146" s="685"/>
    </row>
    <row r="147" spans="1:56">
      <c r="A147" s="685"/>
      <c r="B147" s="1115" t="s">
        <v>8095</v>
      </c>
      <c r="C147" s="1115"/>
      <c r="D147" s="1115"/>
      <c r="E147" s="1115"/>
      <c r="F147" s="1115"/>
      <c r="G147" s="1115"/>
      <c r="H147" s="1115"/>
      <c r="I147" s="1115"/>
      <c r="J147" s="1115"/>
      <c r="K147" s="1115"/>
      <c r="L147" s="1115"/>
      <c r="M147" s="1115"/>
      <c r="N147" s="1115"/>
      <c r="O147" s="1115"/>
      <c r="P147" s="1115"/>
      <c r="Q147" s="1115"/>
      <c r="R147" s="1115"/>
      <c r="S147" s="1115"/>
      <c r="T147" s="1115"/>
      <c r="U147" s="1123"/>
      <c r="V147" s="1123"/>
      <c r="W147" s="1123"/>
      <c r="X147" s="1123"/>
      <c r="Y147" s="1123">
        <f ca="1">Y282</f>
        <v>4924.8469309388947</v>
      </c>
      <c r="Z147" s="1123">
        <f t="shared" ref="Z147:AH147" ca="1" si="95">Z282</f>
        <v>4615.7161782476887</v>
      </c>
      <c r="AA147" s="1123">
        <f t="shared" ca="1" si="95"/>
        <v>4613.7850159312093</v>
      </c>
      <c r="AB147" s="1123">
        <f t="shared" ca="1" si="95"/>
        <v>4595.4749098079837</v>
      </c>
      <c r="AC147" s="1123">
        <f t="shared" ca="1" si="95"/>
        <v>4428.9120458826455</v>
      </c>
      <c r="AD147" s="1123">
        <f t="shared" ca="1" si="95"/>
        <v>4350.8856183158296</v>
      </c>
      <c r="AE147" s="1123">
        <f t="shared" ca="1" si="95"/>
        <v>4287.0098197252555</v>
      </c>
      <c r="AF147" s="1123">
        <f t="shared" ca="1" si="95"/>
        <v>4244.6069348497886</v>
      </c>
      <c r="AG147" s="1123">
        <f t="shared" ca="1" si="95"/>
        <v>4232.8495949682838</v>
      </c>
      <c r="AH147" s="1123">
        <f t="shared" ca="1" si="95"/>
        <v>4119.0057626952748</v>
      </c>
      <c r="AI147" s="685"/>
      <c r="AJ147" s="685"/>
      <c r="AK147" s="685"/>
      <c r="AL147" s="685"/>
      <c r="AM147" s="685"/>
      <c r="AN147" s="685"/>
      <c r="AO147" s="685"/>
      <c r="AP147" s="685"/>
      <c r="AQ147" s="685"/>
      <c r="AR147" s="685"/>
      <c r="AS147" s="685"/>
      <c r="AT147" s="685"/>
      <c r="AU147" s="685"/>
      <c r="AV147" s="685"/>
      <c r="AW147" s="685"/>
      <c r="AX147" s="685"/>
      <c r="AY147" s="685"/>
      <c r="AZ147" s="685"/>
      <c r="BA147" s="685"/>
      <c r="BB147" s="685"/>
      <c r="BC147" s="685"/>
      <c r="BD147" s="685"/>
    </row>
    <row r="148" spans="1:56">
      <c r="A148" s="685"/>
      <c r="B148" s="1115" t="s">
        <v>239</v>
      </c>
      <c r="C148" s="1123"/>
      <c r="D148" s="1123"/>
      <c r="E148" s="1123">
        <f t="shared" ref="E148:X148" si="96">E282</f>
        <v>0</v>
      </c>
      <c r="F148" s="1123">
        <f t="shared" si="96"/>
        <v>0</v>
      </c>
      <c r="G148" s="1123">
        <f t="shared" si="96"/>
        <v>0</v>
      </c>
      <c r="H148" s="1123">
        <f t="shared" si="96"/>
        <v>2973</v>
      </c>
      <c r="I148" s="1123">
        <f t="shared" si="96"/>
        <v>3028</v>
      </c>
      <c r="J148" s="1123">
        <f t="shared" si="96"/>
        <v>4143</v>
      </c>
      <c r="K148" s="1123">
        <f t="shared" si="96"/>
        <v>3350.5</v>
      </c>
      <c r="L148" s="1123">
        <f t="shared" si="96"/>
        <v>-885</v>
      </c>
      <c r="M148" s="1123">
        <f t="shared" si="96"/>
        <v>4329</v>
      </c>
      <c r="N148" s="1123">
        <f t="shared" si="96"/>
        <v>-1702</v>
      </c>
      <c r="O148" s="1123">
        <f t="shared" si="96"/>
        <v>9532.1</v>
      </c>
      <c r="P148" s="1123">
        <f t="shared" si="96"/>
        <v>5305</v>
      </c>
      <c r="Q148" s="1123">
        <f t="shared" si="96"/>
        <v>8779.6</v>
      </c>
      <c r="R148" s="1123">
        <f t="shared" si="96"/>
        <v>8810.8000000000011</v>
      </c>
      <c r="S148" s="1123">
        <f t="shared" si="96"/>
        <v>5584.2</v>
      </c>
      <c r="T148" s="1123">
        <f t="shared" si="96"/>
        <v>11918</v>
      </c>
      <c r="U148" s="1123">
        <f t="shared" si="96"/>
        <v>9206.2000000000007</v>
      </c>
      <c r="V148" s="1123">
        <f t="shared" si="96"/>
        <v>4751.5079999999998</v>
      </c>
      <c r="W148" s="1123">
        <f t="shared" si="96"/>
        <v>4695.1710000000003</v>
      </c>
      <c r="X148" s="1123">
        <f t="shared" si="96"/>
        <v>4140.2860000000001</v>
      </c>
      <c r="Y148" s="2062">
        <v>4812.8646437269408</v>
      </c>
      <c r="Z148" s="2062">
        <v>4512.8813375383452</v>
      </c>
      <c r="AA148" s="2062">
        <v>4543.1872679744629</v>
      </c>
      <c r="AB148" s="2062">
        <v>4494.0337368389701</v>
      </c>
      <c r="AC148" s="2062">
        <v>4309.7974294223168</v>
      </c>
      <c r="AD148" s="2062">
        <v>4142.1443259662392</v>
      </c>
      <c r="AE148" s="2062">
        <v>4001.888358113727</v>
      </c>
      <c r="AF148" s="2062">
        <v>3899.1288779927181</v>
      </c>
      <c r="AG148" s="2062">
        <v>3849.2659235696874</v>
      </c>
      <c r="AH148" s="2062">
        <v>3864.8289532308404</v>
      </c>
      <c r="AI148" s="685"/>
      <c r="AJ148" s="685"/>
      <c r="AK148" s="685"/>
      <c r="AL148" s="685"/>
      <c r="AM148" s="685"/>
      <c r="AN148" s="685"/>
      <c r="AO148" s="685"/>
      <c r="AP148" s="685"/>
      <c r="AQ148" s="685"/>
      <c r="AR148" s="685"/>
      <c r="AS148" s="685"/>
      <c r="AT148" s="685"/>
      <c r="AU148" s="685"/>
      <c r="AV148" s="685"/>
      <c r="AW148" s="685"/>
      <c r="AX148" s="685"/>
      <c r="AY148" s="685"/>
      <c r="AZ148" s="685"/>
      <c r="BA148" s="685"/>
      <c r="BB148" s="685"/>
      <c r="BC148" s="685"/>
      <c r="BD148" s="685"/>
    </row>
    <row r="149" spans="1:56">
      <c r="A149" s="685"/>
      <c r="B149" s="1115"/>
      <c r="C149" s="1123"/>
      <c r="D149" s="1123"/>
      <c r="E149" s="1123"/>
      <c r="F149" s="1123"/>
      <c r="G149" s="1123"/>
      <c r="H149" s="1123"/>
      <c r="I149" s="1123"/>
      <c r="J149" s="1123"/>
      <c r="K149" s="1123"/>
      <c r="L149" s="1123"/>
      <c r="M149" s="1123"/>
      <c r="N149" s="1123"/>
      <c r="O149" s="1123"/>
      <c r="P149" s="1123"/>
      <c r="Q149" s="1123"/>
      <c r="R149" s="1123"/>
      <c r="S149" s="1123"/>
      <c r="T149" s="1123"/>
      <c r="U149" s="1123"/>
      <c r="V149" s="1123"/>
      <c r="W149" s="1123"/>
      <c r="X149" s="1123"/>
      <c r="Y149" s="1123"/>
      <c r="Z149" s="1123"/>
      <c r="AA149" s="1123"/>
      <c r="AB149" s="1123"/>
      <c r="AC149" s="1123"/>
      <c r="AD149" s="1123"/>
      <c r="AE149" s="1123"/>
      <c r="AF149" s="1123"/>
      <c r="AG149" s="1123"/>
      <c r="AH149" s="1123"/>
      <c r="AI149" s="685"/>
      <c r="AJ149" s="685"/>
      <c r="AK149" s="685"/>
      <c r="AL149" s="685"/>
      <c r="AM149" s="685"/>
      <c r="AN149" s="685"/>
      <c r="AO149" s="685"/>
      <c r="AP149" s="685"/>
      <c r="AQ149" s="685"/>
      <c r="AR149" s="685"/>
      <c r="AS149" s="685"/>
      <c r="AT149" s="685"/>
      <c r="AU149" s="685"/>
      <c r="AV149" s="685"/>
      <c r="AW149" s="685"/>
      <c r="AX149" s="685"/>
      <c r="AY149" s="685"/>
      <c r="AZ149" s="685"/>
      <c r="BA149" s="685"/>
      <c r="BB149" s="685"/>
      <c r="BC149" s="685"/>
      <c r="BD149" s="685"/>
    </row>
    <row r="150" spans="1:56">
      <c r="A150" s="685"/>
      <c r="B150" s="1115" t="s">
        <v>240</v>
      </c>
      <c r="C150" s="1123"/>
      <c r="D150" s="1123"/>
      <c r="E150" s="1123"/>
      <c r="F150" s="1123"/>
      <c r="G150" s="1123"/>
      <c r="H150" s="1125"/>
      <c r="I150" s="1125"/>
      <c r="J150" s="1125"/>
      <c r="K150" s="1125"/>
      <c r="L150" s="1125"/>
      <c r="M150" s="1125"/>
      <c r="N150" s="1125"/>
      <c r="O150" s="1123"/>
      <c r="P150" s="1123"/>
      <c r="Q150" s="1123"/>
      <c r="R150" s="1123"/>
      <c r="S150" s="1123"/>
      <c r="T150" s="1123"/>
      <c r="U150" s="1123"/>
      <c r="V150" s="1123"/>
      <c r="W150" s="1123"/>
      <c r="X150" s="1123"/>
      <c r="Y150" s="1174"/>
      <c r="Z150" s="1174"/>
      <c r="AA150" s="1174"/>
      <c r="AB150" s="1174"/>
      <c r="AC150" s="1174"/>
      <c r="AD150" s="1174"/>
      <c r="AE150" s="1174"/>
      <c r="AF150" s="1174"/>
      <c r="AG150" s="1174"/>
      <c r="AH150" s="1174"/>
      <c r="AI150" s="685"/>
      <c r="AJ150" s="685"/>
      <c r="AK150" s="685"/>
      <c r="AL150" s="685"/>
      <c r="AM150" s="685"/>
      <c r="AN150" s="685"/>
      <c r="AO150" s="685"/>
      <c r="AP150" s="685"/>
      <c r="AQ150" s="685"/>
      <c r="AR150" s="685"/>
      <c r="AS150" s="685"/>
      <c r="AT150" s="685"/>
      <c r="AU150" s="685"/>
      <c r="AV150" s="685"/>
      <c r="AW150" s="685"/>
      <c r="AX150" s="685"/>
      <c r="AY150" s="685"/>
      <c r="AZ150" s="685"/>
      <c r="BA150" s="685"/>
      <c r="BB150" s="685"/>
      <c r="BC150" s="685"/>
      <c r="BD150" s="685"/>
    </row>
    <row r="151" spans="1:56">
      <c r="A151" s="685"/>
      <c r="B151" s="1115" t="s">
        <v>210</v>
      </c>
      <c r="C151" s="1123"/>
      <c r="D151" s="1123"/>
      <c r="E151" s="1123"/>
      <c r="F151" s="1123"/>
      <c r="G151" s="1123"/>
      <c r="H151" s="1125">
        <v>1765</v>
      </c>
      <c r="I151" s="1125">
        <v>567</v>
      </c>
      <c r="J151" s="1125">
        <f>640-J139</f>
        <v>46</v>
      </c>
      <c r="K151" s="1125">
        <f>650-K139</f>
        <v>-0.39999999999997726</v>
      </c>
      <c r="L151" s="1125">
        <f>-30*Interims!Q199</f>
        <v>-379.22310937500009</v>
      </c>
      <c r="M151" s="1125">
        <v>290</v>
      </c>
      <c r="N151" s="1125">
        <v>-1031</v>
      </c>
      <c r="O151" s="1123"/>
      <c r="P151" s="1123"/>
      <c r="Q151" s="1123"/>
      <c r="R151" s="1123"/>
      <c r="S151" s="1123"/>
      <c r="T151" s="1123"/>
      <c r="U151" s="1123"/>
      <c r="V151" s="1123"/>
      <c r="W151" s="1126">
        <v>0</v>
      </c>
      <c r="X151" s="1126">
        <v>0</v>
      </c>
      <c r="Y151" s="2072"/>
      <c r="Z151" s="2072"/>
      <c r="AA151" s="2072"/>
      <c r="AB151" s="2072"/>
      <c r="AC151" s="2072"/>
      <c r="AD151" s="2072"/>
      <c r="AE151" s="2072"/>
      <c r="AF151" s="2072"/>
      <c r="AG151" s="2072"/>
      <c r="AH151" s="2072"/>
      <c r="AI151" s="685"/>
      <c r="AJ151" s="685"/>
      <c r="AK151" s="685"/>
      <c r="AL151" s="685"/>
      <c r="AM151" s="685"/>
      <c r="AN151" s="685"/>
      <c r="AO151" s="685"/>
      <c r="AP151" s="685"/>
      <c r="AQ151" s="685"/>
      <c r="AR151" s="685"/>
      <c r="AS151" s="685"/>
      <c r="AT151" s="685"/>
      <c r="AU151" s="685"/>
      <c r="AV151" s="685"/>
      <c r="AW151" s="685"/>
      <c r="AX151" s="685"/>
      <c r="AY151" s="685"/>
      <c r="AZ151" s="685"/>
      <c r="BA151" s="685"/>
      <c r="BB151" s="685"/>
      <c r="BC151" s="685"/>
      <c r="BD151" s="685"/>
    </row>
    <row r="152" spans="1:56">
      <c r="A152" s="685"/>
      <c r="B152" s="1115" t="s">
        <v>241</v>
      </c>
      <c r="C152" s="1123"/>
      <c r="D152" s="1123"/>
      <c r="E152" s="1123">
        <f t="shared" ref="E152:AC152" si="97">E432</f>
        <v>0</v>
      </c>
      <c r="F152" s="1123">
        <f t="shared" si="97"/>
        <v>0</v>
      </c>
      <c r="G152" s="1123">
        <f t="shared" si="97"/>
        <v>0</v>
      </c>
      <c r="H152" s="1123">
        <f t="shared" si="97"/>
        <v>-715</v>
      </c>
      <c r="I152" s="1123">
        <f t="shared" si="97"/>
        <v>-212</v>
      </c>
      <c r="J152" s="1123">
        <f t="shared" si="97"/>
        <v>-449</v>
      </c>
      <c r="K152" s="1123">
        <f t="shared" si="97"/>
        <v>-666.6</v>
      </c>
      <c r="L152" s="1123">
        <f t="shared" si="97"/>
        <v>-5659.9</v>
      </c>
      <c r="M152" s="1123">
        <f t="shared" si="97"/>
        <v>-4185.3999999999996</v>
      </c>
      <c r="N152" s="1123">
        <f t="shared" si="97"/>
        <v>35.4</v>
      </c>
      <c r="O152" s="1123">
        <f t="shared" si="97"/>
        <v>1139.4000000000001</v>
      </c>
      <c r="P152" s="1123">
        <f t="shared" si="97"/>
        <v>1913</v>
      </c>
      <c r="Q152" s="1123">
        <f t="shared" si="97"/>
        <v>532.9</v>
      </c>
      <c r="R152" s="1123">
        <f t="shared" si="97"/>
        <v>581.1</v>
      </c>
      <c r="S152" s="1123">
        <f t="shared" si="97"/>
        <v>-5769.4</v>
      </c>
      <c r="T152" s="1123">
        <f t="shared" si="97"/>
        <v>3558.8</v>
      </c>
      <c r="U152" s="1123">
        <f t="shared" si="97"/>
        <v>-8453.2999999999993</v>
      </c>
      <c r="V152" s="1123">
        <f t="shared" si="97"/>
        <v>-6210.1</v>
      </c>
      <c r="W152" s="1123">
        <f t="shared" si="97"/>
        <v>-182.577</v>
      </c>
      <c r="X152" s="1123">
        <f t="shared" si="97"/>
        <v>-1088.1210000000001</v>
      </c>
      <c r="Y152" s="1123">
        <f t="shared" si="97"/>
        <v>184.43032189019857</v>
      </c>
      <c r="Z152" s="1123">
        <f t="shared" si="97"/>
        <v>1004.248724791578</v>
      </c>
      <c r="AA152" s="1123">
        <f t="shared" si="97"/>
        <v>1537.4995616921067</v>
      </c>
      <c r="AB152" s="1123">
        <f t="shared" si="97"/>
        <v>1984.5887106641871</v>
      </c>
      <c r="AC152" s="1123">
        <f t="shared" si="97"/>
        <v>2426.2245648141247</v>
      </c>
      <c r="AD152" s="1123">
        <f>AD432</f>
        <v>2822.984505664107</v>
      </c>
      <c r="AE152" s="1123">
        <f>AE432</f>
        <v>3187.1969883043516</v>
      </c>
      <c r="AF152" s="1123">
        <f>AF432</f>
        <v>3539.9458023084171</v>
      </c>
      <c r="AG152" s="1123">
        <f>AG432</f>
        <v>3845.7819669826222</v>
      </c>
      <c r="AH152" s="1123">
        <f>AH432</f>
        <v>4094.9579849515458</v>
      </c>
      <c r="AI152" s="685"/>
      <c r="AJ152" s="685"/>
      <c r="AK152" s="685"/>
      <c r="AL152" s="685"/>
      <c r="AM152" s="685"/>
      <c r="AN152" s="685"/>
      <c r="AO152" s="685"/>
      <c r="AP152" s="685"/>
      <c r="AQ152" s="685"/>
      <c r="AR152" s="685"/>
      <c r="AS152" s="685"/>
      <c r="AT152" s="685"/>
      <c r="AU152" s="685"/>
      <c r="AV152" s="685"/>
      <c r="AW152" s="685"/>
      <c r="AX152" s="685"/>
      <c r="AY152" s="685"/>
      <c r="AZ152" s="685"/>
      <c r="BA152" s="685"/>
      <c r="BB152" s="685"/>
      <c r="BC152" s="685"/>
      <c r="BD152" s="685"/>
    </row>
    <row r="153" spans="1:56">
      <c r="A153" s="685"/>
      <c r="B153" s="1115"/>
      <c r="C153" s="1115"/>
      <c r="D153" s="1115"/>
      <c r="E153" s="1115"/>
      <c r="F153" s="1115"/>
      <c r="G153" s="1115"/>
      <c r="H153" s="1115"/>
      <c r="I153" s="1115"/>
      <c r="J153" s="1115"/>
      <c r="K153" s="1115"/>
      <c r="L153" s="1115"/>
      <c r="M153" s="1115"/>
      <c r="N153" s="1115"/>
      <c r="O153" s="1115"/>
      <c r="P153" s="1115"/>
      <c r="Q153" s="1115"/>
      <c r="R153" s="1115"/>
      <c r="S153" s="1115"/>
      <c r="T153" s="1115"/>
      <c r="U153" s="1115"/>
      <c r="V153" s="1115"/>
      <c r="W153" s="1115"/>
      <c r="X153" s="1115"/>
      <c r="Y153" s="1115"/>
      <c r="Z153" s="1115"/>
      <c r="AA153" s="1115"/>
      <c r="AB153" s="1115"/>
      <c r="AC153" s="1115"/>
      <c r="AD153" s="1115"/>
      <c r="AE153" s="1115"/>
      <c r="AF153" s="1115"/>
      <c r="AG153" s="1115"/>
      <c r="AH153" s="1115"/>
      <c r="AI153" s="685"/>
      <c r="AJ153" s="685"/>
      <c r="AK153" s="685"/>
      <c r="AL153" s="685"/>
      <c r="AM153" s="685"/>
      <c r="AN153" s="685"/>
      <c r="AO153" s="685"/>
      <c r="AP153" s="685"/>
      <c r="AQ153" s="685"/>
      <c r="AR153" s="685"/>
      <c r="AS153" s="685"/>
      <c r="AT153" s="685"/>
      <c r="AU153" s="685"/>
      <c r="AV153" s="685"/>
      <c r="AW153" s="685"/>
      <c r="AX153" s="685"/>
      <c r="AY153" s="685"/>
      <c r="AZ153" s="685"/>
      <c r="BA153" s="685"/>
      <c r="BB153" s="685"/>
      <c r="BC153" s="685"/>
      <c r="BD153" s="685"/>
    </row>
    <row r="154" spans="1:56">
      <c r="A154" s="685"/>
      <c r="B154" s="1113" t="s">
        <v>242</v>
      </c>
      <c r="C154" s="1114"/>
      <c r="D154" s="1114"/>
      <c r="E154" s="1114"/>
      <c r="F154" s="1114"/>
      <c r="G154" s="1114"/>
      <c r="H154" s="1114">
        <f t="shared" ref="H154:AC154" si="98">H145-H148+H152+H150-H151</f>
        <v>9704</v>
      </c>
      <c r="I154" s="1114">
        <f t="shared" si="98"/>
        <v>11182</v>
      </c>
      <c r="J154" s="1114">
        <f t="shared" si="98"/>
        <v>11567.2</v>
      </c>
      <c r="K154" s="1114">
        <f t="shared" si="98"/>
        <v>14123.100000000002</v>
      </c>
      <c r="L154" s="1114">
        <f t="shared" si="98"/>
        <v>13963.899999999998</v>
      </c>
      <c r="M154" s="1114">
        <f t="shared" si="98"/>
        <v>9640.5000000000018</v>
      </c>
      <c r="N154" s="1114">
        <f t="shared" si="98"/>
        <v>20482.799999999996</v>
      </c>
      <c r="O154" s="1114">
        <f t="shared" si="98"/>
        <v>8205.3999999999942</v>
      </c>
      <c r="P154" s="1114">
        <f t="shared" si="98"/>
        <v>10852.000000000002</v>
      </c>
      <c r="Q154" s="1114">
        <f t="shared" si="98"/>
        <v>8491.7999999999993</v>
      </c>
      <c r="R154" s="1114">
        <f t="shared" si="98"/>
        <v>8980.3999999999978</v>
      </c>
      <c r="S154" s="1114">
        <f t="shared" si="98"/>
        <v>6195.6999999999953</v>
      </c>
      <c r="T154" s="1114">
        <f t="shared" si="98"/>
        <v>13824.099999999995</v>
      </c>
      <c r="U154" s="1114">
        <f t="shared" si="98"/>
        <v>-13240.870000000003</v>
      </c>
      <c r="V154" s="1114">
        <f t="shared" si="98"/>
        <v>-8391.4079999999994</v>
      </c>
      <c r="W154" s="1114">
        <f t="shared" si="98"/>
        <v>-7696.632000000006</v>
      </c>
      <c r="X154" s="1114">
        <f t="shared" si="98"/>
        <v>-1003.5069999999987</v>
      </c>
      <c r="Y154" s="1114">
        <f>Y145-Y148+Y150-Y151+Y152</f>
        <v>31.167254955734165</v>
      </c>
      <c r="Z154" s="1114">
        <f t="shared" si="98"/>
        <v>594.20247158905397</v>
      </c>
      <c r="AA154" s="1114">
        <f t="shared" si="98"/>
        <v>1216.9564290828228</v>
      </c>
      <c r="AB154" s="1114">
        <f t="shared" si="98"/>
        <v>2455.5803818940672</v>
      </c>
      <c r="AC154" s="1114">
        <f t="shared" si="98"/>
        <v>4058.6972341815267</v>
      </c>
      <c r="AD154" s="1114">
        <f>AD145-AD148+AD152+AD150-AD151</f>
        <v>5699.3278484805769</v>
      </c>
      <c r="AE154" s="1114">
        <f>AE145-AE148+AE152+AE150-AE151</f>
        <v>7120.5377748619576</v>
      </c>
      <c r="AF154" s="1114">
        <f>AF145-AF148+AF152+AF150-AF151</f>
        <v>8379.4617222696343</v>
      </c>
      <c r="AG154" s="1114">
        <f>AG145-AG148+AG152+AG150-AG151</f>
        <v>9075.5290061975829</v>
      </c>
      <c r="AH154" s="1114">
        <f>AH145-AH148+AH152+AH150-AH151</f>
        <v>9876.826627105911</v>
      </c>
      <c r="AI154" s="685"/>
      <c r="AJ154" s="685"/>
      <c r="AK154" s="685"/>
      <c r="AL154" s="685"/>
      <c r="AM154" s="685"/>
      <c r="AN154" s="685"/>
      <c r="AO154" s="685"/>
      <c r="AP154" s="685"/>
      <c r="AQ154" s="685"/>
      <c r="AR154" s="685"/>
      <c r="AS154" s="685"/>
      <c r="AT154" s="685"/>
      <c r="AU154" s="685"/>
      <c r="AV154" s="685"/>
      <c r="AW154" s="685"/>
      <c r="AX154" s="685"/>
      <c r="AY154" s="685"/>
      <c r="AZ154" s="685"/>
      <c r="BA154" s="685"/>
      <c r="BB154" s="685"/>
      <c r="BC154" s="685"/>
      <c r="BD154" s="685"/>
    </row>
    <row r="155" spans="1:56">
      <c r="A155" s="685"/>
      <c r="B155" s="1115"/>
      <c r="C155" s="1115"/>
      <c r="D155" s="1115"/>
      <c r="E155" s="1115"/>
      <c r="F155" s="1115"/>
      <c r="G155" s="1115"/>
      <c r="H155" s="1115"/>
      <c r="I155" s="1115"/>
      <c r="J155" s="1115"/>
      <c r="K155" s="1115"/>
      <c r="L155" s="1115"/>
      <c r="M155" s="1115"/>
      <c r="N155" s="1115"/>
      <c r="O155" s="1115"/>
      <c r="P155" s="1115"/>
      <c r="Q155" s="1115"/>
      <c r="R155" s="1115"/>
      <c r="S155" s="1115"/>
      <c r="T155" s="1115"/>
      <c r="U155" s="1115"/>
      <c r="V155" s="1115"/>
      <c r="W155" s="1115"/>
      <c r="X155" s="1115"/>
      <c r="Y155" s="1115"/>
      <c r="Z155" s="1115"/>
      <c r="AA155" s="1115"/>
      <c r="AB155" s="1115"/>
      <c r="AC155" s="1115"/>
      <c r="AD155" s="1115"/>
      <c r="AE155" s="1115"/>
      <c r="AF155" s="1115"/>
      <c r="AG155" s="1115"/>
      <c r="AH155" s="1115"/>
      <c r="AI155" s="685"/>
      <c r="AJ155" s="685"/>
      <c r="AK155" s="685"/>
      <c r="AL155" s="685"/>
      <c r="AM155" s="685"/>
      <c r="AN155" s="685"/>
      <c r="AO155" s="685"/>
      <c r="AP155" s="685"/>
      <c r="AQ155" s="685"/>
      <c r="AR155" s="685"/>
      <c r="AS155" s="685"/>
      <c r="AT155" s="685"/>
      <c r="AU155" s="685"/>
      <c r="AV155" s="685"/>
      <c r="AW155" s="685"/>
      <c r="AX155" s="685"/>
      <c r="AY155" s="685"/>
      <c r="AZ155" s="685"/>
      <c r="BA155" s="685"/>
      <c r="BB155" s="685"/>
      <c r="BC155" s="685"/>
      <c r="BD155" s="685"/>
    </row>
    <row r="156" spans="1:56">
      <c r="A156" s="685"/>
      <c r="B156" s="1115" t="s">
        <v>114</v>
      </c>
      <c r="C156" s="1123"/>
      <c r="D156" s="1123"/>
      <c r="E156" s="1123"/>
      <c r="F156" s="1123"/>
      <c r="G156" s="1123"/>
      <c r="H156" s="1123">
        <f t="shared" ref="H156:AC156" si="99">-H377</f>
        <v>-3121</v>
      </c>
      <c r="I156" s="1123">
        <f t="shared" si="99"/>
        <v>-3259</v>
      </c>
      <c r="J156" s="1123">
        <f t="shared" si="99"/>
        <v>-3410</v>
      </c>
      <c r="K156" s="1123">
        <f t="shared" si="99"/>
        <v>-4053</v>
      </c>
      <c r="L156" s="1123">
        <f t="shared" si="99"/>
        <v>-3729</v>
      </c>
      <c r="M156" s="1123">
        <f t="shared" si="99"/>
        <v>-2983</v>
      </c>
      <c r="N156" s="1123">
        <f t="shared" si="99"/>
        <v>-6332.2</v>
      </c>
      <c r="O156" s="1123">
        <f t="shared" si="99"/>
        <v>-2872.2</v>
      </c>
      <c r="P156" s="1123">
        <f t="shared" si="99"/>
        <v>-4274</v>
      </c>
      <c r="Q156" s="1123">
        <f t="shared" si="99"/>
        <v>-4391</v>
      </c>
      <c r="R156" s="1123">
        <f t="shared" si="99"/>
        <v>-2776.5</v>
      </c>
      <c r="S156" s="1123">
        <f t="shared" si="99"/>
        <v>-5004.6000000000004</v>
      </c>
      <c r="T156" s="1123">
        <f t="shared" si="99"/>
        <v>-7493.9</v>
      </c>
      <c r="U156" s="1123">
        <f t="shared" si="99"/>
        <v>967.4</v>
      </c>
      <c r="V156" s="1123">
        <f t="shared" si="99"/>
        <v>-2440.9</v>
      </c>
      <c r="W156" s="1123">
        <f t="shared" si="99"/>
        <v>-688.58699999999999</v>
      </c>
      <c r="X156" s="1123">
        <f t="shared" si="99"/>
        <v>24</v>
      </c>
      <c r="Y156" s="1123">
        <f t="shared" ca="1" si="99"/>
        <v>-379.22947558088572</v>
      </c>
      <c r="Z156" s="1123">
        <f t="shared" ca="1" si="99"/>
        <v>-524.12781779395857</v>
      </c>
      <c r="AA156" s="1123">
        <f t="shared" ca="1" si="99"/>
        <v>-690.44706195240747</v>
      </c>
      <c r="AB156" s="1123">
        <f t="shared" ca="1" si="99"/>
        <v>-1024.6090420678022</v>
      </c>
      <c r="AC156" s="1123">
        <f t="shared" ca="1" si="99"/>
        <v>-1470.0542013679806</v>
      </c>
      <c r="AD156" s="1123">
        <f ca="1">-AD377</f>
        <v>-1909.000972037298</v>
      </c>
      <c r="AE156" s="1123">
        <f ca="1">-AE377</f>
        <v>-2288.7643789927924</v>
      </c>
      <c r="AF156" s="1123">
        <f ca="1">-AF377</f>
        <v>-2626.8758117473003</v>
      </c>
      <c r="AG156" s="1123">
        <f ca="1">-AG377</f>
        <v>-2806.698137755031</v>
      </c>
      <c r="AH156" s="1123">
        <f ca="1">-AH377</f>
        <v>-3069.3465803506142</v>
      </c>
      <c r="AI156" s="685"/>
      <c r="AJ156" s="685"/>
      <c r="AK156" s="685"/>
      <c r="AL156" s="685"/>
      <c r="AM156" s="685"/>
      <c r="AN156" s="685"/>
      <c r="AO156" s="685"/>
      <c r="AP156" s="685"/>
      <c r="AQ156" s="685"/>
      <c r="AR156" s="685"/>
      <c r="AS156" s="685"/>
      <c r="AT156" s="685"/>
      <c r="AU156" s="685"/>
      <c r="AV156" s="685"/>
      <c r="AW156" s="685"/>
      <c r="AX156" s="685"/>
      <c r="AY156" s="685"/>
      <c r="AZ156" s="685"/>
      <c r="BA156" s="685"/>
      <c r="BB156" s="685"/>
      <c r="BC156" s="685"/>
      <c r="BD156" s="685"/>
    </row>
    <row r="157" spans="1:56">
      <c r="A157" s="685"/>
      <c r="B157" s="1115" t="s">
        <v>243</v>
      </c>
      <c r="C157" s="1123"/>
      <c r="D157" s="1123"/>
      <c r="E157" s="1123"/>
      <c r="F157" s="1123"/>
      <c r="G157" s="1123"/>
      <c r="H157" s="1123"/>
      <c r="I157" s="1123"/>
      <c r="J157" s="1123"/>
      <c r="K157" s="1123"/>
      <c r="L157" s="1123"/>
      <c r="M157" s="1123"/>
      <c r="N157" s="1174"/>
      <c r="O157" s="1174"/>
      <c r="P157" s="1174"/>
      <c r="Q157" s="1174"/>
      <c r="R157" s="1174"/>
      <c r="S157" s="1174"/>
      <c r="T157" s="1174"/>
      <c r="U157" s="1174"/>
      <c r="V157" s="1174"/>
      <c r="W157" s="1174">
        <v>56.816000000000003</v>
      </c>
      <c r="X157" s="1174">
        <v>0</v>
      </c>
      <c r="Y157" s="1174">
        <v>0</v>
      </c>
      <c r="Z157" s="1174">
        <v>0</v>
      </c>
      <c r="AA157" s="1174">
        <v>0</v>
      </c>
      <c r="AB157" s="1174">
        <v>0</v>
      </c>
      <c r="AC157" s="1174">
        <v>0</v>
      </c>
      <c r="AD157" s="1174">
        <v>0</v>
      </c>
      <c r="AE157" s="1174">
        <v>0</v>
      </c>
      <c r="AF157" s="1174">
        <v>0</v>
      </c>
      <c r="AG157" s="1174">
        <v>0</v>
      </c>
      <c r="AH157" s="1174">
        <v>0</v>
      </c>
      <c r="AI157" s="685"/>
      <c r="AJ157" s="685"/>
      <c r="AK157" s="685"/>
      <c r="AL157" s="685"/>
      <c r="AM157" s="685"/>
      <c r="AN157" s="685"/>
      <c r="AO157" s="685"/>
      <c r="AP157" s="685"/>
      <c r="AQ157" s="685"/>
      <c r="AR157" s="685"/>
      <c r="AS157" s="685"/>
      <c r="AT157" s="685"/>
      <c r="AU157" s="685"/>
      <c r="AV157" s="685"/>
      <c r="AW157" s="685"/>
      <c r="AX157" s="685"/>
      <c r="AY157" s="685"/>
      <c r="AZ157" s="685"/>
      <c r="BA157" s="685"/>
      <c r="BB157" s="685"/>
      <c r="BC157" s="685"/>
      <c r="BD157" s="685"/>
    </row>
    <row r="158" spans="1:56">
      <c r="A158" s="685"/>
      <c r="B158" s="1200" t="s">
        <v>38</v>
      </c>
      <c r="C158" s="1201"/>
      <c r="D158" s="1201"/>
      <c r="E158" s="1201"/>
      <c r="F158" s="1201"/>
      <c r="G158" s="1201"/>
      <c r="H158" s="1201"/>
      <c r="I158" s="1201"/>
      <c r="J158" s="1201"/>
      <c r="K158" s="1201"/>
      <c r="L158" s="1201"/>
      <c r="M158" s="1201"/>
      <c r="N158" s="1201">
        <f t="shared" ref="N158:V158" si="100">N154+N156+N157</f>
        <v>14150.599999999995</v>
      </c>
      <c r="O158" s="1201">
        <f t="shared" si="100"/>
        <v>5333.1999999999944</v>
      </c>
      <c r="P158" s="1201">
        <f t="shared" si="100"/>
        <v>6578.0000000000018</v>
      </c>
      <c r="Q158" s="1201">
        <f t="shared" si="100"/>
        <v>4100.7999999999993</v>
      </c>
      <c r="R158" s="1201">
        <f t="shared" si="100"/>
        <v>6203.8999999999978</v>
      </c>
      <c r="S158" s="1201">
        <f t="shared" si="100"/>
        <v>1191.0999999999949</v>
      </c>
      <c r="T158" s="1201">
        <f t="shared" si="100"/>
        <v>6330.1999999999953</v>
      </c>
      <c r="U158" s="1201">
        <f t="shared" si="100"/>
        <v>-12273.470000000003</v>
      </c>
      <c r="V158" s="1201">
        <f t="shared" si="100"/>
        <v>-10832.307999999999</v>
      </c>
      <c r="W158" s="1201">
        <f t="shared" ref="W158:AC158" si="101">W154+W156+W157</f>
        <v>-8328.4030000000057</v>
      </c>
      <c r="X158" s="1201">
        <f t="shared" si="101"/>
        <v>-979.5069999999987</v>
      </c>
      <c r="Y158" s="1201">
        <f t="shared" ca="1" si="101"/>
        <v>-348.06222062515155</v>
      </c>
      <c r="Z158" s="1201">
        <f t="shared" ca="1" si="101"/>
        <v>70.074653795095401</v>
      </c>
      <c r="AA158" s="1201">
        <f t="shared" ca="1" si="101"/>
        <v>526.50936713041528</v>
      </c>
      <c r="AB158" s="1201">
        <f t="shared" ca="1" si="101"/>
        <v>1430.971339826265</v>
      </c>
      <c r="AC158" s="1201">
        <f t="shared" ca="1" si="101"/>
        <v>2588.6430328135461</v>
      </c>
      <c r="AD158" s="1201">
        <f ca="1">AD154+AD156+AD157</f>
        <v>3790.3268764432787</v>
      </c>
      <c r="AE158" s="1201">
        <f ca="1">AE154+AE156+AE157</f>
        <v>4831.7733958691651</v>
      </c>
      <c r="AF158" s="1201">
        <f ca="1">AF154+AF156+AF157</f>
        <v>5752.5859105223335</v>
      </c>
      <c r="AG158" s="1201">
        <f ca="1">AG154+AG156+AG157</f>
        <v>6268.8308684425519</v>
      </c>
      <c r="AH158" s="1201">
        <f ca="1">AH154+AH156+AH157</f>
        <v>6807.4800467552968</v>
      </c>
      <c r="AI158" s="2074"/>
      <c r="AJ158" s="685"/>
      <c r="AK158" s="685"/>
      <c r="AL158" s="685"/>
      <c r="AM158" s="685"/>
      <c r="AN158" s="685"/>
      <c r="AO158" s="685"/>
      <c r="AP158" s="685"/>
      <c r="AQ158" s="685"/>
      <c r="AR158" s="685"/>
      <c r="AS158" s="685"/>
      <c r="AT158" s="685"/>
      <c r="AU158" s="685"/>
      <c r="AV158" s="685"/>
      <c r="AW158" s="685"/>
      <c r="AX158" s="685"/>
      <c r="AY158" s="685"/>
      <c r="AZ158" s="685"/>
      <c r="BA158" s="685"/>
      <c r="BB158" s="685"/>
      <c r="BC158" s="685"/>
      <c r="BD158" s="685"/>
    </row>
    <row r="159" spans="1:56">
      <c r="A159" s="685"/>
      <c r="B159" s="1115"/>
      <c r="C159" s="1123"/>
      <c r="D159" s="1123"/>
      <c r="E159" s="1123"/>
      <c r="F159" s="1123"/>
      <c r="G159" s="1123"/>
      <c r="H159" s="1123"/>
      <c r="I159" s="1123"/>
      <c r="J159" s="1123"/>
      <c r="K159" s="1123"/>
      <c r="L159" s="1123"/>
      <c r="M159" s="1123"/>
      <c r="N159" s="1123"/>
      <c r="O159" s="1123"/>
      <c r="P159" s="1123"/>
      <c r="Q159" s="1123"/>
      <c r="R159" s="1123"/>
      <c r="S159" s="1123"/>
      <c r="T159" s="1123"/>
      <c r="U159" s="1123"/>
      <c r="V159" s="1123"/>
      <c r="W159" s="1123"/>
      <c r="X159" s="1123"/>
      <c r="Y159" s="1123"/>
      <c r="Z159" s="1123"/>
      <c r="AA159" s="1123"/>
      <c r="AB159" s="1123"/>
      <c r="AC159" s="1123"/>
      <c r="AD159" s="1123"/>
      <c r="AE159" s="1123"/>
      <c r="AF159" s="1123"/>
      <c r="AG159" s="1123"/>
      <c r="AH159" s="1123"/>
      <c r="AI159" s="685"/>
      <c r="AJ159" s="685"/>
      <c r="AK159" s="685"/>
      <c r="AL159" s="685"/>
      <c r="AM159" s="685"/>
      <c r="AN159" s="685"/>
      <c r="AO159" s="685"/>
      <c r="AP159" s="685"/>
      <c r="AQ159" s="685"/>
      <c r="AR159" s="685"/>
      <c r="AS159" s="685"/>
      <c r="AT159" s="685"/>
      <c r="AU159" s="685"/>
      <c r="AV159" s="685"/>
      <c r="AW159" s="685"/>
      <c r="AX159" s="685"/>
      <c r="AY159" s="685"/>
      <c r="AZ159" s="685"/>
      <c r="BA159" s="685"/>
      <c r="BB159" s="685"/>
      <c r="BC159" s="685"/>
      <c r="BD159" s="685"/>
    </row>
    <row r="160" spans="1:56">
      <c r="A160" s="685"/>
      <c r="B160" s="1115" t="s">
        <v>244</v>
      </c>
      <c r="C160" s="1123"/>
      <c r="D160" s="1123"/>
      <c r="E160" s="1123"/>
      <c r="F160" s="1123"/>
      <c r="G160" s="1123"/>
      <c r="H160" s="1123">
        <f t="shared" ref="H160:W160" si="102">-H443</f>
        <v>-576</v>
      </c>
      <c r="I160" s="1123">
        <f t="shared" si="102"/>
        <v>-833</v>
      </c>
      <c r="J160" s="1123">
        <f t="shared" si="102"/>
        <v>-1291</v>
      </c>
      <c r="K160" s="1123">
        <f t="shared" si="102"/>
        <v>-1309</v>
      </c>
      <c r="L160" s="1123">
        <f t="shared" si="102"/>
        <v>-2486</v>
      </c>
      <c r="M160" s="1123">
        <f t="shared" si="102"/>
        <v>-1272.9000000000001</v>
      </c>
      <c r="N160" s="1123">
        <f t="shared" si="102"/>
        <v>-1426.3</v>
      </c>
      <c r="O160" s="1123">
        <f t="shared" si="102"/>
        <v>-1612</v>
      </c>
      <c r="P160" s="1123">
        <f t="shared" si="102"/>
        <v>-2053</v>
      </c>
      <c r="Q160" s="1123">
        <f t="shared" si="102"/>
        <v>-1606</v>
      </c>
      <c r="R160" s="1123">
        <f t="shared" si="102"/>
        <v>-1480.7</v>
      </c>
      <c r="S160" s="1123">
        <f t="shared" si="102"/>
        <v>-1566.3</v>
      </c>
      <c r="T160" s="1123">
        <f t="shared" si="102"/>
        <v>-1191.7</v>
      </c>
      <c r="U160" s="1123">
        <f t="shared" si="102"/>
        <v>-477.6</v>
      </c>
      <c r="V160" s="1123">
        <f t="shared" si="102"/>
        <v>375.7</v>
      </c>
      <c r="W160" s="1123">
        <f t="shared" si="102"/>
        <v>62.86</v>
      </c>
      <c r="X160" s="1123">
        <f t="shared" ref="X160:AH160" si="103">-X443</f>
        <v>-233.24199999999999</v>
      </c>
      <c r="Y160" s="1123">
        <f t="shared" si="103"/>
        <v>-244.9041</v>
      </c>
      <c r="Z160" s="1123">
        <f t="shared" si="103"/>
        <v>-257.14930500000003</v>
      </c>
      <c r="AA160" s="1123">
        <f t="shared" si="103"/>
        <v>-270.00677025000005</v>
      </c>
      <c r="AB160" s="1123">
        <f t="shared" si="103"/>
        <v>-283.50710876250008</v>
      </c>
      <c r="AC160" s="1123">
        <f t="shared" si="103"/>
        <v>-297.68246420062508</v>
      </c>
      <c r="AD160" s="1123">
        <f t="shared" si="103"/>
        <v>-312.56658741065633</v>
      </c>
      <c r="AE160" s="1123">
        <f t="shared" si="103"/>
        <v>-328.19491678118914</v>
      </c>
      <c r="AF160" s="1123">
        <f t="shared" si="103"/>
        <v>-344.60466262024863</v>
      </c>
      <c r="AG160" s="1123">
        <f t="shared" si="103"/>
        <v>-361.83489575126106</v>
      </c>
      <c r="AH160" s="1123">
        <f t="shared" si="103"/>
        <v>-379.92664053882413</v>
      </c>
      <c r="AI160" s="685"/>
      <c r="AJ160" s="685"/>
      <c r="AK160" s="685"/>
      <c r="AL160" s="685"/>
      <c r="AM160" s="685"/>
      <c r="AN160" s="685"/>
      <c r="AO160" s="685"/>
      <c r="AP160" s="685"/>
      <c r="AQ160" s="685"/>
      <c r="AR160" s="685"/>
      <c r="AS160" s="685"/>
      <c r="AT160" s="685"/>
      <c r="AU160" s="685"/>
      <c r="AV160" s="685"/>
      <c r="AW160" s="685"/>
      <c r="AX160" s="685"/>
      <c r="AY160" s="685"/>
      <c r="AZ160" s="685"/>
      <c r="BA160" s="685"/>
      <c r="BB160" s="685"/>
      <c r="BC160" s="685"/>
      <c r="BD160" s="685"/>
    </row>
    <row r="161" spans="1:56">
      <c r="A161" s="685"/>
      <c r="B161" s="1200" t="s">
        <v>245</v>
      </c>
      <c r="C161" s="1201"/>
      <c r="D161" s="1201"/>
      <c r="E161" s="1201"/>
      <c r="F161" s="1201"/>
      <c r="G161" s="1201"/>
      <c r="H161" s="1201">
        <f t="shared" ref="H161:M161" si="104">SUM(H154:H160)</f>
        <v>6007</v>
      </c>
      <c r="I161" s="1201">
        <f t="shared" si="104"/>
        <v>7090</v>
      </c>
      <c r="J161" s="1201">
        <f t="shared" si="104"/>
        <v>6866.2000000000007</v>
      </c>
      <c r="K161" s="1201">
        <f t="shared" si="104"/>
        <v>8761.1000000000022</v>
      </c>
      <c r="L161" s="1201">
        <f t="shared" si="104"/>
        <v>7748.8999999999978</v>
      </c>
      <c r="M161" s="1201">
        <f t="shared" si="104"/>
        <v>5384.6000000000022</v>
      </c>
      <c r="N161" s="1201">
        <f t="shared" ref="N161:V161" si="105">N158+N160</f>
        <v>12724.299999999996</v>
      </c>
      <c r="O161" s="1201">
        <f t="shared" si="105"/>
        <v>3721.1999999999944</v>
      </c>
      <c r="P161" s="1201">
        <f t="shared" si="105"/>
        <v>4525.0000000000018</v>
      </c>
      <c r="Q161" s="1201">
        <f t="shared" si="105"/>
        <v>2494.7999999999993</v>
      </c>
      <c r="R161" s="1201">
        <f t="shared" si="105"/>
        <v>4723.199999999998</v>
      </c>
      <c r="S161" s="1201">
        <f t="shared" si="105"/>
        <v>-375.20000000000505</v>
      </c>
      <c r="T161" s="1201">
        <f t="shared" si="105"/>
        <v>5138.4999999999955</v>
      </c>
      <c r="U161" s="1201">
        <f t="shared" si="105"/>
        <v>-12751.070000000003</v>
      </c>
      <c r="V161" s="1201">
        <f t="shared" si="105"/>
        <v>-10456.607999999998</v>
      </c>
      <c r="W161" s="1201">
        <f>W158+W160</f>
        <v>-8265.5430000000051</v>
      </c>
      <c r="X161" s="1201">
        <f t="shared" ref="X161:AH161" si="106">X158-X160</f>
        <v>-746.26499999999874</v>
      </c>
      <c r="Y161" s="1201">
        <f t="shared" ca="1" si="106"/>
        <v>-103.15812062515155</v>
      </c>
      <c r="Z161" s="1201">
        <f t="shared" ca="1" si="106"/>
        <v>327.22395879509543</v>
      </c>
      <c r="AA161" s="1201">
        <f t="shared" ca="1" si="106"/>
        <v>796.51613738041533</v>
      </c>
      <c r="AB161" s="1201">
        <f t="shared" ca="1" si="106"/>
        <v>1714.4784485887651</v>
      </c>
      <c r="AC161" s="1201">
        <f t="shared" ca="1" si="106"/>
        <v>2886.3254970141711</v>
      </c>
      <c r="AD161" s="1201">
        <f t="shared" ca="1" si="106"/>
        <v>4102.8934638539349</v>
      </c>
      <c r="AE161" s="1201">
        <f t="shared" ca="1" si="106"/>
        <v>5159.9683126503542</v>
      </c>
      <c r="AF161" s="1201">
        <f t="shared" ca="1" si="106"/>
        <v>6097.1905731425823</v>
      </c>
      <c r="AG161" s="1201">
        <f t="shared" ca="1" si="106"/>
        <v>6630.6657641938127</v>
      </c>
      <c r="AH161" s="1201">
        <f t="shared" ca="1" si="106"/>
        <v>7187.4066872941212</v>
      </c>
      <c r="AI161" s="685"/>
      <c r="AJ161" s="685"/>
      <c r="AK161" s="685"/>
      <c r="AL161" s="685"/>
      <c r="AM161" s="685"/>
      <c r="AN161" s="685"/>
      <c r="AO161" s="685"/>
      <c r="AP161" s="685"/>
      <c r="AQ161" s="685"/>
      <c r="AR161" s="685"/>
      <c r="AS161" s="685"/>
      <c r="AT161" s="685"/>
      <c r="AU161" s="685"/>
      <c r="AV161" s="685"/>
      <c r="AW161" s="685"/>
      <c r="AX161" s="685"/>
      <c r="AY161" s="685"/>
      <c r="AZ161" s="685"/>
      <c r="BA161" s="685"/>
      <c r="BB161" s="685"/>
      <c r="BC161" s="685"/>
      <c r="BD161" s="685"/>
    </row>
    <row r="162" spans="1:56">
      <c r="A162" s="685"/>
      <c r="B162" s="1115"/>
      <c r="C162" s="1115"/>
      <c r="D162" s="1115"/>
      <c r="E162" s="1115"/>
      <c r="F162" s="1115"/>
      <c r="G162" s="1115"/>
      <c r="H162" s="944"/>
      <c r="I162" s="944"/>
      <c r="J162" s="1115"/>
      <c r="K162" s="1115"/>
      <c r="L162" s="1115"/>
      <c r="M162" s="1115"/>
      <c r="N162" s="1115"/>
      <c r="O162" s="1115"/>
      <c r="P162" s="1115"/>
      <c r="Q162" s="1115"/>
      <c r="R162" s="1115"/>
      <c r="S162" s="1115"/>
      <c r="T162" s="1115"/>
      <c r="U162" s="1115"/>
      <c r="V162" s="1115"/>
      <c r="W162" s="1115"/>
      <c r="X162" s="1115"/>
      <c r="Y162" s="1115"/>
      <c r="Z162" s="1115"/>
      <c r="AA162" s="1115"/>
      <c r="AB162" s="1115"/>
      <c r="AC162" s="1115"/>
      <c r="AD162" s="1115"/>
      <c r="AE162" s="1115"/>
      <c r="AF162" s="1115"/>
      <c r="AG162" s="1115"/>
      <c r="AH162" s="1115"/>
      <c r="AI162" s="685"/>
      <c r="AJ162" s="685"/>
      <c r="AK162" s="685"/>
      <c r="AL162" s="685"/>
      <c r="AM162" s="685"/>
      <c r="AN162" s="685"/>
      <c r="AO162" s="685"/>
      <c r="AP162" s="685"/>
      <c r="AQ162" s="685"/>
      <c r="AR162" s="685"/>
      <c r="AS162" s="685"/>
      <c r="AT162" s="685"/>
      <c r="AU162" s="685"/>
      <c r="AV162" s="685"/>
      <c r="AW162" s="685"/>
      <c r="AX162" s="685"/>
      <c r="AY162" s="685"/>
      <c r="AZ162" s="685"/>
      <c r="BA162" s="685"/>
      <c r="BB162" s="685"/>
      <c r="BC162" s="685"/>
      <c r="BD162" s="685"/>
    </row>
    <row r="163" spans="1:56">
      <c r="A163" s="685"/>
      <c r="B163" s="1115" t="s">
        <v>8121</v>
      </c>
      <c r="C163" s="1115"/>
      <c r="D163" s="1115"/>
      <c r="E163" s="1115"/>
      <c r="F163" s="1115"/>
      <c r="G163" s="1115"/>
      <c r="H163" s="944"/>
      <c r="I163" s="944"/>
      <c r="J163" s="1115"/>
      <c r="K163" s="1115"/>
      <c r="L163" s="1115"/>
      <c r="M163" s="1115"/>
      <c r="N163" s="1115"/>
      <c r="O163" s="1115"/>
      <c r="P163" s="1115"/>
      <c r="Q163" s="1115"/>
      <c r="R163" s="1115"/>
      <c r="S163" s="1115"/>
      <c r="T163" s="1115"/>
      <c r="U163" s="1115"/>
      <c r="V163" s="1843">
        <f t="shared" ref="V163" si="107">V161/V556</f>
        <v>-3.7762712295490561</v>
      </c>
      <c r="W163" s="1843">
        <f>W161/W556</f>
        <v>-3.0656617936559583</v>
      </c>
      <c r="X163" s="1843">
        <f t="shared" ref="X163:AH163" si="108">X161/X556</f>
        <v>-0.28064561698768381</v>
      </c>
      <c r="Y163" s="1843">
        <f t="shared" ca="1" si="108"/>
        <v>-3.8794361801954558E-2</v>
      </c>
      <c r="Z163" s="1843">
        <f t="shared" ca="1" si="108"/>
        <v>9.9088763958089618E-2</v>
      </c>
      <c r="AA163" s="1843">
        <f t="shared" ca="1" si="108"/>
        <v>0.24119810730338317</v>
      </c>
      <c r="AB163" s="1843">
        <f t="shared" ca="1" si="108"/>
        <v>0.5191721013613938</v>
      </c>
      <c r="AC163" s="1843">
        <f t="shared" ca="1" si="108"/>
        <v>0.87402654418390235</v>
      </c>
      <c r="AD163" s="1843">
        <f t="shared" ca="1" si="108"/>
        <v>1.2424232121694654</v>
      </c>
      <c r="AE163" s="1843">
        <f t="shared" ca="1" si="108"/>
        <v>1.5625227567263831</v>
      </c>
      <c r="AF163" s="1843">
        <f t="shared" ca="1" si="108"/>
        <v>1.8463289782761161</v>
      </c>
      <c r="AG163" s="1843">
        <f t="shared" ca="1" si="108"/>
        <v>2.0078739870163638</v>
      </c>
      <c r="AH163" s="1843">
        <f t="shared" ca="1" si="108"/>
        <v>2.176464239753451</v>
      </c>
      <c r="AI163" s="685"/>
      <c r="AJ163" s="685"/>
      <c r="AK163" s="685"/>
      <c r="AL163" s="685"/>
      <c r="AM163" s="685"/>
      <c r="AN163" s="685"/>
      <c r="AO163" s="685"/>
      <c r="AP163" s="685"/>
      <c r="AQ163" s="685"/>
      <c r="AR163" s="685"/>
      <c r="AS163" s="685"/>
      <c r="AT163" s="685"/>
      <c r="AU163" s="685"/>
      <c r="AV163" s="685"/>
      <c r="AW163" s="685"/>
      <c r="AX163" s="685"/>
      <c r="AY163" s="685"/>
      <c r="AZ163" s="685"/>
      <c r="BA163" s="685"/>
      <c r="BB163" s="685"/>
      <c r="BC163" s="685"/>
      <c r="BD163" s="685"/>
    </row>
    <row r="164" spans="1:56">
      <c r="A164" s="685"/>
      <c r="B164" s="1115" t="s">
        <v>8122</v>
      </c>
      <c r="C164" s="1127"/>
      <c r="D164" s="1128"/>
      <c r="E164" s="1128"/>
      <c r="F164" s="1128"/>
      <c r="G164" s="1128"/>
      <c r="H164" s="1129">
        <f t="shared" ref="H164:AH164" si="109">H161/H$573</f>
        <v>10.738881707417697</v>
      </c>
      <c r="I164" s="1129">
        <f t="shared" si="109"/>
        <v>12.76109690698812</v>
      </c>
      <c r="J164" s="1129">
        <f t="shared" si="109"/>
        <v>12.139648999158904</v>
      </c>
      <c r="K164" s="1129">
        <f t="shared" si="109"/>
        <v>15.337637942406241</v>
      </c>
      <c r="L164" s="1129">
        <f t="shared" si="109"/>
        <v>13.511373966849769</v>
      </c>
      <c r="M164" s="1129">
        <f t="shared" si="109"/>
        <v>9.3179561966064828</v>
      </c>
      <c r="N164" s="1129">
        <f t="shared" si="109"/>
        <v>21.992310964962812</v>
      </c>
      <c r="O164" s="1129">
        <f t="shared" si="109"/>
        <v>6.4316141212341362</v>
      </c>
      <c r="P164" s="1129">
        <f t="shared" si="109"/>
        <v>7.8208787215372784</v>
      </c>
      <c r="Q164" s="1129">
        <f t="shared" si="109"/>
        <v>4.3137229401786596</v>
      </c>
      <c r="R164" s="1129">
        <f t="shared" si="109"/>
        <v>8.2645273773655923</v>
      </c>
      <c r="S164" s="1129">
        <f t="shared" si="109"/>
        <v>-0.65436183086083755</v>
      </c>
      <c r="T164" s="1129">
        <f t="shared" si="109"/>
        <v>8.9617224623623812</v>
      </c>
      <c r="U164" s="1129">
        <f t="shared" si="109"/>
        <v>-22.238308930262765</v>
      </c>
      <c r="V164" s="1129">
        <f t="shared" si="109"/>
        <v>-18.881356147745283</v>
      </c>
      <c r="W164" s="1129">
        <f t="shared" si="109"/>
        <v>-15.328308968279792</v>
      </c>
      <c r="X164" s="1129">
        <f t="shared" si="109"/>
        <v>-1.4032280849384191</v>
      </c>
      <c r="Y164" s="1129">
        <f t="shared" ca="1" si="109"/>
        <v>-0.19397180900977282</v>
      </c>
      <c r="Z164" s="1129">
        <f t="shared" ca="1" si="109"/>
        <v>0.49544381979044805</v>
      </c>
      <c r="AA164" s="1129">
        <f t="shared" ca="1" si="109"/>
        <v>1.2059905365169157</v>
      </c>
      <c r="AB164" s="1129">
        <f t="shared" ca="1" si="109"/>
        <v>2.5958605068069689</v>
      </c>
      <c r="AC164" s="1129">
        <f t="shared" ca="1" si="109"/>
        <v>4.3701327209195115</v>
      </c>
      <c r="AD164" s="1129">
        <f t="shared" ca="1" si="109"/>
        <v>6.2121160608473263</v>
      </c>
      <c r="AE164" s="1129">
        <f t="shared" ca="1" si="109"/>
        <v>7.8126137836319156</v>
      </c>
      <c r="AF164" s="1129">
        <f t="shared" ca="1" si="109"/>
        <v>9.2316448913805811</v>
      </c>
      <c r="AG164" s="1129">
        <f t="shared" ca="1" si="109"/>
        <v>10.039369935081819</v>
      </c>
      <c r="AH164" s="1129">
        <f t="shared" ca="1" si="109"/>
        <v>10.882321198767256</v>
      </c>
      <c r="AI164" s="685"/>
      <c r="AJ164" s="685"/>
      <c r="AK164" s="685"/>
      <c r="AL164" s="685"/>
      <c r="AM164" s="685"/>
      <c r="AN164" s="685"/>
      <c r="AO164" s="685"/>
      <c r="AP164" s="685"/>
      <c r="AQ164" s="685"/>
      <c r="AR164" s="685"/>
      <c r="AS164" s="685"/>
      <c r="AT164" s="685"/>
      <c r="AU164" s="685"/>
      <c r="AV164" s="685"/>
      <c r="AW164" s="685"/>
      <c r="AX164" s="685"/>
      <c r="AY164" s="685"/>
      <c r="AZ164" s="685"/>
      <c r="BA164" s="685"/>
      <c r="BB164" s="685"/>
      <c r="BC164" s="685"/>
      <c r="BD164" s="685"/>
    </row>
    <row r="165" spans="1:56">
      <c r="A165" s="685"/>
      <c r="B165" s="1115" t="s">
        <v>247</v>
      </c>
      <c r="C165" s="1129"/>
      <c r="D165" s="1124"/>
      <c r="E165" s="1124"/>
      <c r="F165" s="1124"/>
      <c r="G165" s="1124"/>
      <c r="H165" s="1129">
        <f t="shared" ref="H165:AC165" si="110">H508/H$573</f>
        <v>15.485299375670399</v>
      </c>
      <c r="I165" s="1129">
        <f t="shared" si="110"/>
        <v>14.611365964870179</v>
      </c>
      <c r="J165" s="1129">
        <f t="shared" si="110"/>
        <v>13.948343899706449</v>
      </c>
      <c r="K165" s="1129">
        <f t="shared" si="110"/>
        <v>15.381579309626613</v>
      </c>
      <c r="L165" s="1129">
        <f t="shared" si="110"/>
        <v>14.754207804447718</v>
      </c>
      <c r="M165" s="1129">
        <f t="shared" si="110"/>
        <v>17.266754620536243</v>
      </c>
      <c r="N165" s="1129">
        <f t="shared" si="110"/>
        <v>8.2621318348209041</v>
      </c>
      <c r="O165" s="1129">
        <f t="shared" si="110"/>
        <v>10.810787693998556</v>
      </c>
      <c r="P165" s="1129">
        <f t="shared" si="110"/>
        <v>4.9310424292919031</v>
      </c>
      <c r="Q165" s="1129">
        <f t="shared" si="110"/>
        <v>5.419646137444281</v>
      </c>
      <c r="R165" s="1129">
        <f t="shared" si="110"/>
        <v>8.2645273773655923</v>
      </c>
      <c r="S165" s="1129">
        <f t="shared" si="110"/>
        <v>8.8600452375777667</v>
      </c>
      <c r="T165" s="1129">
        <f t="shared" si="110"/>
        <v>8.9617224623623812</v>
      </c>
      <c r="U165" s="1129">
        <f t="shared" si="110"/>
        <v>-22.238308930262765</v>
      </c>
      <c r="V165" s="1129">
        <f t="shared" si="110"/>
        <v>-18.881356147745283</v>
      </c>
      <c r="W165" s="1129">
        <f t="shared" si="110"/>
        <v>-15.433673274332255</v>
      </c>
      <c r="X165" s="1129">
        <f t="shared" si="110"/>
        <v>-2.6587691051663231</v>
      </c>
      <c r="Y165" s="1129">
        <f t="shared" ca="1" si="110"/>
        <v>-1.3255394329832806</v>
      </c>
      <c r="Z165" s="1129">
        <f t="shared" ca="1" si="110"/>
        <v>-0.43894666697509555</v>
      </c>
      <c r="AA165" s="1129">
        <f t="shared" ca="1" si="110"/>
        <v>0.28147513650118816</v>
      </c>
      <c r="AB165" s="1129">
        <f t="shared" ca="1" si="110"/>
        <v>1.5837644083264386</v>
      </c>
      <c r="AC165" s="1129">
        <f t="shared" ca="1" si="110"/>
        <v>3.2883522908684735</v>
      </c>
      <c r="AD165" s="1129">
        <f ca="1">AD508/AD$573</f>
        <v>4.949561959484658</v>
      </c>
      <c r="AE165" s="1129">
        <f ca="1">AE508/AE$573</f>
        <v>6.3870887268040653</v>
      </c>
      <c r="AF165" s="1129">
        <f ca="1">AF508/AF$573</f>
        <v>7.6650436230535224</v>
      </c>
      <c r="AG165" s="1129">
        <f ca="1">AG508/AG$573</f>
        <v>8.3628976891132751</v>
      </c>
      <c r="AH165" s="1129">
        <f ca="1">AH508/AH$573</f>
        <v>9.3469967583120273</v>
      </c>
      <c r="AI165" s="685"/>
      <c r="AJ165" s="685"/>
      <c r="AK165" s="685"/>
      <c r="AL165" s="685"/>
      <c r="AM165" s="685"/>
      <c r="AN165" s="685"/>
      <c r="AO165" s="685"/>
      <c r="AP165" s="685"/>
      <c r="AQ165" s="685"/>
      <c r="AR165" s="685"/>
      <c r="AS165" s="685"/>
      <c r="AT165" s="685"/>
      <c r="AU165" s="685"/>
      <c r="AV165" s="685"/>
      <c r="AW165" s="685"/>
      <c r="AX165" s="685"/>
      <c r="AY165" s="685"/>
      <c r="AZ165" s="685"/>
      <c r="BA165" s="685"/>
      <c r="BB165" s="685"/>
      <c r="BC165" s="685"/>
      <c r="BD165" s="685"/>
    </row>
    <row r="166" spans="1:56">
      <c r="A166" s="685"/>
      <c r="B166" s="1115" t="s">
        <v>248</v>
      </c>
      <c r="C166" s="1129"/>
      <c r="D166" s="1124"/>
      <c r="E166" s="1124"/>
      <c r="F166" s="1124"/>
      <c r="G166" s="1124"/>
      <c r="H166" s="1129">
        <f t="shared" ref="H166:AC166" si="111">H579*5</f>
        <v>0</v>
      </c>
      <c r="I166" s="1129">
        <f t="shared" si="111"/>
        <v>1.75</v>
      </c>
      <c r="J166" s="1129">
        <f t="shared" si="111"/>
        <v>1.75</v>
      </c>
      <c r="K166" s="1129">
        <f t="shared" si="111"/>
        <v>1.75</v>
      </c>
      <c r="L166" s="1129">
        <f t="shared" si="111"/>
        <v>1.75</v>
      </c>
      <c r="M166" s="1129">
        <f t="shared" si="111"/>
        <v>0</v>
      </c>
      <c r="N166" s="1129">
        <f t="shared" si="111"/>
        <v>1.75</v>
      </c>
      <c r="O166" s="1129">
        <f t="shared" si="111"/>
        <v>1.75</v>
      </c>
      <c r="P166" s="1129">
        <f t="shared" si="111"/>
        <v>1.75</v>
      </c>
      <c r="Q166" s="1129">
        <f t="shared" si="111"/>
        <v>1.75</v>
      </c>
      <c r="R166" s="1129">
        <f t="shared" si="111"/>
        <v>0</v>
      </c>
      <c r="S166" s="1129">
        <f t="shared" si="111"/>
        <v>1.75</v>
      </c>
      <c r="T166" s="1129">
        <f t="shared" si="111"/>
        <v>1.764957264955</v>
      </c>
      <c r="U166" s="1129">
        <f t="shared" si="111"/>
        <v>1.764957264955</v>
      </c>
      <c r="V166" s="1129">
        <f t="shared" si="111"/>
        <v>1.764957264955</v>
      </c>
      <c r="W166" s="1129">
        <f t="shared" si="111"/>
        <v>1.764957264955</v>
      </c>
      <c r="X166" s="1129">
        <f t="shared" si="111"/>
        <v>1.764957264955</v>
      </c>
      <c r="Y166" s="1129">
        <f t="shared" si="111"/>
        <v>0</v>
      </c>
      <c r="Z166" s="1129">
        <f t="shared" si="111"/>
        <v>1.75</v>
      </c>
      <c r="AA166" s="1129">
        <f t="shared" si="111"/>
        <v>1.75</v>
      </c>
      <c r="AB166" s="1129">
        <f t="shared" si="111"/>
        <v>1.75</v>
      </c>
      <c r="AC166" s="1129">
        <f t="shared" si="111"/>
        <v>1.75</v>
      </c>
      <c r="AD166" s="1129">
        <f>AD579*5</f>
        <v>1.75</v>
      </c>
      <c r="AE166" s="1129">
        <f>AE579*5</f>
        <v>1.75</v>
      </c>
      <c r="AF166" s="1129">
        <f>AF579*5</f>
        <v>1.75</v>
      </c>
      <c r="AG166" s="1129">
        <f>AG579*5</f>
        <v>1.75</v>
      </c>
      <c r="AH166" s="1129">
        <f>AH579*5</f>
        <v>1.75</v>
      </c>
      <c r="AI166" s="685"/>
      <c r="AJ166" s="685"/>
      <c r="AK166" s="685"/>
      <c r="AL166" s="685"/>
      <c r="AM166" s="685"/>
      <c r="AN166" s="685"/>
      <c r="AO166" s="685"/>
      <c r="AP166" s="685"/>
      <c r="AQ166" s="685"/>
      <c r="AR166" s="685"/>
      <c r="AS166" s="685"/>
      <c r="AT166" s="685"/>
      <c r="AU166" s="685"/>
      <c r="AV166" s="685"/>
      <c r="AW166" s="685"/>
      <c r="AX166" s="685"/>
      <c r="AY166" s="685"/>
      <c r="AZ166" s="685"/>
      <c r="BA166" s="685"/>
      <c r="BB166" s="685"/>
      <c r="BC166" s="685"/>
      <c r="BD166" s="685"/>
    </row>
    <row r="167" spans="1:56">
      <c r="A167" s="685"/>
      <c r="B167" s="1115" t="s">
        <v>249</v>
      </c>
      <c r="C167" s="1128"/>
      <c r="D167" s="1128"/>
      <c r="E167" s="1128"/>
      <c r="F167" s="1128"/>
      <c r="G167" s="1128"/>
      <c r="H167" s="1127">
        <f t="shared" ref="H167:AC167" si="112">H594</f>
        <v>0</v>
      </c>
      <c r="I167" s="1127">
        <f t="shared" si="112"/>
        <v>0</v>
      </c>
      <c r="J167" s="1127">
        <f t="shared" si="112"/>
        <v>9.6867899734251512</v>
      </c>
      <c r="K167" s="1127">
        <f t="shared" si="112"/>
        <v>9.9196148445720258</v>
      </c>
      <c r="L167" s="1127">
        <f t="shared" si="112"/>
        <v>6.1623207572380148</v>
      </c>
      <c r="M167" s="1127">
        <f t="shared" si="112"/>
        <v>7.9533651673095589</v>
      </c>
      <c r="N167" s="1127">
        <f t="shared" si="112"/>
        <v>-10.433308013436989</v>
      </c>
      <c r="O167" s="1127">
        <f t="shared" si="112"/>
        <v>-8.0859762637051098</v>
      </c>
      <c r="P167" s="1127">
        <f t="shared" si="112"/>
        <v>8.0683295959157295</v>
      </c>
      <c r="Q167" s="1127">
        <f t="shared" si="112"/>
        <v>7.4479500876513445</v>
      </c>
      <c r="R167" s="1127">
        <f t="shared" si="112"/>
        <v>11.660617861263043</v>
      </c>
      <c r="S167" s="1127">
        <f t="shared" si="112"/>
        <v>10.748290711807643</v>
      </c>
      <c r="T167" s="1127">
        <f t="shared" si="112"/>
        <v>5.6623710399853637</v>
      </c>
      <c r="U167" s="1127">
        <f t="shared" si="112"/>
        <v>-15.430922809022833</v>
      </c>
      <c r="V167" s="1127">
        <f t="shared" si="112"/>
        <v>-6.1494243563962163</v>
      </c>
      <c r="W167" s="1127">
        <f t="shared" si="112"/>
        <v>5.7322829826933868</v>
      </c>
      <c r="X167" s="1127">
        <f t="shared" si="112"/>
        <v>6.6938283926062017</v>
      </c>
      <c r="Y167" s="1127">
        <f t="shared" ca="1" si="112"/>
        <v>3.8364106442603663</v>
      </c>
      <c r="Z167" s="1127">
        <f t="shared" ca="1" si="112"/>
        <v>8.598734915006041</v>
      </c>
      <c r="AA167" s="1127">
        <f t="shared" ca="1" si="112"/>
        <v>9.6747810488645172</v>
      </c>
      <c r="AB167" s="1127">
        <f t="shared" ca="1" si="112"/>
        <v>10.34184180554692</v>
      </c>
      <c r="AC167" s="1127">
        <f t="shared" ca="1" si="112"/>
        <v>11.341080040107645</v>
      </c>
      <c r="AD167" s="1127">
        <f ca="1">AD594</f>
        <v>12.324655363376198</v>
      </c>
      <c r="AE167" s="1127">
        <f ca="1">AE594</f>
        <v>13.104664148442202</v>
      </c>
      <c r="AF167" s="1127">
        <f ca="1">AF594</f>
        <v>13.900429772281852</v>
      </c>
      <c r="AG167" s="1127">
        <f ca="1">AG594</f>
        <v>14.256656085108116</v>
      </c>
      <c r="AH167" s="1127">
        <f ca="1">AH594</f>
        <v>14.690881166599283</v>
      </c>
      <c r="AI167" s="685"/>
      <c r="AJ167" s="685"/>
      <c r="AK167" s="685"/>
      <c r="AL167" s="685"/>
      <c r="AM167" s="685"/>
      <c r="AN167" s="685"/>
      <c r="AO167" s="685"/>
      <c r="AP167" s="685"/>
      <c r="AQ167" s="685"/>
      <c r="AR167" s="685"/>
      <c r="AS167" s="685"/>
      <c r="AT167" s="685"/>
      <c r="AU167" s="685"/>
      <c r="AV167" s="685"/>
      <c r="AW167" s="685"/>
      <c r="AX167" s="685"/>
      <c r="AY167" s="685"/>
      <c r="AZ167" s="685"/>
      <c r="BA167" s="685"/>
      <c r="BB167" s="685"/>
      <c r="BC167" s="685"/>
      <c r="BD167" s="685"/>
    </row>
    <row r="168" spans="1:56">
      <c r="A168" s="685"/>
      <c r="B168" s="1115"/>
      <c r="C168" s="1164"/>
      <c r="D168" s="1164"/>
      <c r="E168" s="1164"/>
      <c r="F168" s="1164"/>
      <c r="G168" s="1164"/>
      <c r="H168" s="1164"/>
      <c r="I168" s="1164"/>
      <c r="J168" s="1164"/>
      <c r="K168" s="1164"/>
      <c r="L168" s="1164"/>
      <c r="M168" s="1164"/>
      <c r="N168" s="1164"/>
      <c r="O168" s="1164"/>
      <c r="P168" s="1164"/>
      <c r="Q168" s="1164"/>
      <c r="R168" s="1164"/>
      <c r="S168" s="1164"/>
      <c r="T168" s="1164"/>
      <c r="U168" s="1164"/>
      <c r="V168" s="1164"/>
      <c r="W168" s="1164"/>
      <c r="X168" s="1164"/>
      <c r="Y168" s="1164"/>
      <c r="Z168" s="1164"/>
      <c r="AA168" s="1164"/>
      <c r="AB168" s="1164"/>
      <c r="AC168" s="1164"/>
      <c r="AD168" s="1164"/>
      <c r="AE168" s="1164"/>
      <c r="AF168" s="1164"/>
      <c r="AG168" s="1164"/>
      <c r="AH168" s="1164"/>
      <c r="AI168" s="685"/>
      <c r="AJ168" s="685"/>
      <c r="AK168" s="685"/>
      <c r="AL168" s="685"/>
      <c r="AM168" s="685"/>
      <c r="AN168" s="685"/>
      <c r="AO168" s="685"/>
      <c r="AP168" s="685"/>
      <c r="AQ168" s="685"/>
      <c r="AR168" s="685"/>
      <c r="AS168" s="685"/>
      <c r="AT168" s="685"/>
      <c r="AU168" s="685"/>
      <c r="AV168" s="685"/>
      <c r="AW168" s="685"/>
      <c r="AX168" s="685"/>
      <c r="AY168" s="685"/>
      <c r="AZ168" s="685"/>
      <c r="BA168" s="685"/>
      <c r="BB168" s="685"/>
      <c r="BC168" s="685"/>
      <c r="BD168" s="685"/>
    </row>
    <row r="169" spans="1:56">
      <c r="A169" s="685"/>
      <c r="B169" s="1115"/>
      <c r="C169" s="1164"/>
      <c r="D169" s="1164"/>
      <c r="E169" s="1164"/>
      <c r="F169" s="1164"/>
      <c r="G169" s="1164"/>
      <c r="H169" s="1164"/>
      <c r="I169" s="1164"/>
      <c r="J169" s="1164"/>
      <c r="K169" s="1164"/>
      <c r="L169" s="1164"/>
      <c r="M169" s="1164"/>
      <c r="N169" s="1164"/>
      <c r="O169" s="1164"/>
      <c r="P169" s="1164"/>
      <c r="Q169" s="1164"/>
      <c r="R169" s="1164"/>
      <c r="S169" s="1164"/>
      <c r="T169" s="1164"/>
      <c r="U169" s="1164"/>
      <c r="V169" s="1164"/>
      <c r="W169" s="1164"/>
      <c r="X169" s="1164"/>
      <c r="Y169" s="1164"/>
      <c r="Z169" s="1164"/>
      <c r="AA169" s="1164"/>
      <c r="AB169" s="1164"/>
      <c r="AC169" s="1164"/>
      <c r="AD169" s="1164"/>
      <c r="AE169" s="1164"/>
      <c r="AF169" s="1164"/>
      <c r="AG169" s="1164"/>
      <c r="AH169" s="1164"/>
      <c r="AI169" s="685"/>
      <c r="AJ169" s="685"/>
      <c r="AK169" s="685"/>
      <c r="AL169" s="685"/>
      <c r="AM169" s="685"/>
      <c r="AN169" s="685"/>
      <c r="AO169" s="685"/>
      <c r="AP169" s="685"/>
      <c r="AQ169" s="685"/>
      <c r="AR169" s="685"/>
      <c r="AS169" s="685"/>
      <c r="AT169" s="685"/>
      <c r="AU169" s="685"/>
      <c r="AV169" s="685"/>
      <c r="AW169" s="685"/>
      <c r="AX169" s="685"/>
      <c r="AY169" s="685"/>
      <c r="AZ169" s="685"/>
      <c r="BA169" s="685"/>
      <c r="BB169" s="685"/>
      <c r="BC169" s="685"/>
      <c r="BD169" s="685"/>
    </row>
    <row r="170" spans="1:56">
      <c r="A170" s="685"/>
      <c r="B170" s="1115"/>
      <c r="C170" s="1164"/>
      <c r="D170" s="1164"/>
      <c r="E170" s="1164"/>
      <c r="F170" s="1164"/>
      <c r="G170" s="1164"/>
      <c r="H170" s="1164"/>
      <c r="I170" s="1164"/>
      <c r="J170" s="1164"/>
      <c r="K170" s="1164"/>
      <c r="L170" s="1164"/>
      <c r="M170" s="1164"/>
      <c r="N170" s="1164"/>
      <c r="O170" s="1164"/>
      <c r="P170" s="1164"/>
      <c r="Q170" s="1164"/>
      <c r="R170" s="1164"/>
      <c r="S170" s="1164"/>
      <c r="T170" s="1164"/>
      <c r="U170" s="1164"/>
      <c r="V170" s="1164"/>
      <c r="W170" s="1164"/>
      <c r="X170" s="1164"/>
      <c r="Y170" s="1164"/>
      <c r="Z170" s="1164"/>
      <c r="AA170" s="1164"/>
      <c r="AB170" s="1164"/>
      <c r="AC170" s="1164"/>
      <c r="AD170" s="1164"/>
      <c r="AE170" s="1164"/>
      <c r="AF170" s="1164"/>
      <c r="AG170" s="1164"/>
      <c r="AH170" s="1164"/>
      <c r="AI170" s="685"/>
      <c r="AJ170" s="685"/>
      <c r="AK170" s="685"/>
      <c r="AL170" s="685"/>
      <c r="AM170" s="685"/>
      <c r="AN170" s="685"/>
      <c r="AO170" s="685"/>
      <c r="AP170" s="685"/>
      <c r="AQ170" s="685"/>
      <c r="AR170" s="685"/>
      <c r="AS170" s="685"/>
      <c r="AT170" s="685"/>
      <c r="AU170" s="685"/>
      <c r="AV170" s="685"/>
      <c r="AW170" s="685"/>
      <c r="AX170" s="685"/>
      <c r="AY170" s="685"/>
      <c r="AZ170" s="685"/>
      <c r="BA170" s="685"/>
      <c r="BB170" s="685"/>
      <c r="BC170" s="685"/>
      <c r="BD170" s="685"/>
    </row>
    <row r="171" spans="1:56">
      <c r="A171" s="685"/>
      <c r="B171" s="1112" t="s">
        <v>250</v>
      </c>
      <c r="C171" s="1112">
        <v>2004</v>
      </c>
      <c r="D171" s="1112">
        <f t="shared" ref="D171:AE171" si="113">C171+1</f>
        <v>2005</v>
      </c>
      <c r="E171" s="1112">
        <f t="shared" si="113"/>
        <v>2006</v>
      </c>
      <c r="F171" s="1112">
        <f t="shared" si="113"/>
        <v>2007</v>
      </c>
      <c r="G171" s="1112">
        <f t="shared" si="113"/>
        <v>2008</v>
      </c>
      <c r="H171" s="1112">
        <f t="shared" si="113"/>
        <v>2009</v>
      </c>
      <c r="I171" s="1112">
        <f t="shared" si="113"/>
        <v>2010</v>
      </c>
      <c r="J171" s="1112">
        <f t="shared" si="113"/>
        <v>2011</v>
      </c>
      <c r="K171" s="1112">
        <f t="shared" si="113"/>
        <v>2012</v>
      </c>
      <c r="L171" s="1112">
        <f t="shared" si="113"/>
        <v>2013</v>
      </c>
      <c r="M171" s="1112">
        <f t="shared" si="113"/>
        <v>2014</v>
      </c>
      <c r="N171" s="1112">
        <f t="shared" si="113"/>
        <v>2015</v>
      </c>
      <c r="O171" s="1112">
        <f t="shared" si="113"/>
        <v>2016</v>
      </c>
      <c r="P171" s="1112">
        <f t="shared" si="113"/>
        <v>2017</v>
      </c>
      <c r="Q171" s="1112">
        <f t="shared" si="113"/>
        <v>2018</v>
      </c>
      <c r="R171" s="1112">
        <f t="shared" si="113"/>
        <v>2019</v>
      </c>
      <c r="S171" s="1112">
        <f t="shared" si="113"/>
        <v>2020</v>
      </c>
      <c r="T171" s="1112">
        <f t="shared" si="113"/>
        <v>2021</v>
      </c>
      <c r="U171" s="1112">
        <f t="shared" si="113"/>
        <v>2022</v>
      </c>
      <c r="V171" s="1112">
        <f t="shared" si="113"/>
        <v>2023</v>
      </c>
      <c r="W171" s="1112">
        <f t="shared" si="113"/>
        <v>2024</v>
      </c>
      <c r="X171" s="1112">
        <f t="shared" si="113"/>
        <v>2025</v>
      </c>
      <c r="Y171" s="1112">
        <f t="shared" si="113"/>
        <v>2026</v>
      </c>
      <c r="Z171" s="1112">
        <f t="shared" si="113"/>
        <v>2027</v>
      </c>
      <c r="AA171" s="1112">
        <f t="shared" si="113"/>
        <v>2028</v>
      </c>
      <c r="AB171" s="1112">
        <f t="shared" si="113"/>
        <v>2029</v>
      </c>
      <c r="AC171" s="1112">
        <f t="shared" si="113"/>
        <v>2030</v>
      </c>
      <c r="AD171" s="1112">
        <f t="shared" si="113"/>
        <v>2031</v>
      </c>
      <c r="AE171" s="1112">
        <f t="shared" si="113"/>
        <v>2032</v>
      </c>
      <c r="AF171" s="1112">
        <f>AE171+1</f>
        <v>2033</v>
      </c>
      <c r="AG171" s="1112">
        <f>AF171+1</f>
        <v>2034</v>
      </c>
      <c r="AH171" s="1112">
        <f>AG171+1</f>
        <v>2035</v>
      </c>
      <c r="AI171" s="685"/>
      <c r="AJ171" s="1379" t="s">
        <v>251</v>
      </c>
      <c r="AK171" s="685"/>
      <c r="AL171" s="685"/>
      <c r="AM171" s="685"/>
      <c r="AN171" s="685"/>
      <c r="AO171" s="685"/>
      <c r="AP171" s="685"/>
      <c r="AQ171" s="685"/>
      <c r="AR171" s="685"/>
      <c r="AS171" s="685"/>
      <c r="AT171" s="685"/>
      <c r="AU171" s="685"/>
      <c r="AV171" s="685"/>
      <c r="AW171" s="685"/>
      <c r="AX171" s="685"/>
      <c r="AY171" s="685"/>
      <c r="AZ171" s="685"/>
      <c r="BA171" s="685"/>
      <c r="BB171" s="685"/>
      <c r="BC171" s="685"/>
      <c r="BD171" s="685"/>
    </row>
    <row r="172" spans="1:56">
      <c r="A172" s="685"/>
      <c r="B172" s="1115"/>
      <c r="C172" s="1113"/>
      <c r="D172" s="1113"/>
      <c r="E172" s="1113"/>
      <c r="F172" s="1113"/>
      <c r="G172" s="1113"/>
      <c r="H172" s="1113"/>
      <c r="I172" s="1113"/>
      <c r="J172" s="1113"/>
      <c r="K172" s="1113"/>
      <c r="L172" s="1113"/>
      <c r="M172" s="1113"/>
      <c r="N172" s="1113"/>
      <c r="O172" s="1113"/>
      <c r="P172" s="1113"/>
      <c r="Q172" s="1113"/>
      <c r="R172" s="1113"/>
      <c r="S172" s="1113"/>
      <c r="T172" s="1113"/>
      <c r="U172" s="1113"/>
      <c r="V172" s="1113"/>
      <c r="W172" s="1113"/>
      <c r="X172" s="1113"/>
      <c r="Y172" s="1113"/>
      <c r="Z172" s="1113"/>
      <c r="AA172" s="1113"/>
      <c r="AB172" s="1113"/>
      <c r="AC172" s="1113"/>
      <c r="AD172" s="1113"/>
      <c r="AE172" s="1113"/>
      <c r="AF172" s="1113"/>
      <c r="AG172" s="1113"/>
      <c r="AH172" s="1113"/>
      <c r="AI172" s="685"/>
      <c r="AJ172" s="685"/>
      <c r="AK172" s="685"/>
      <c r="AL172" s="685"/>
      <c r="AM172" s="685"/>
      <c r="AN172" s="685"/>
      <c r="AO172" s="685"/>
      <c r="AP172" s="685"/>
      <c r="AQ172" s="685"/>
      <c r="AR172" s="685"/>
      <c r="AS172" s="685"/>
      <c r="AT172" s="685"/>
      <c r="AU172" s="685"/>
      <c r="AV172" s="685"/>
      <c r="AW172" s="685"/>
      <c r="AX172" s="685"/>
      <c r="AY172" s="685"/>
      <c r="AZ172" s="685"/>
      <c r="BA172" s="685"/>
      <c r="BB172" s="685"/>
      <c r="BC172" s="685"/>
      <c r="BD172" s="685"/>
    </row>
    <row r="173" spans="1:56">
      <c r="A173" s="685"/>
      <c r="B173" s="1115" t="s">
        <v>252</v>
      </c>
      <c r="C173" s="1123"/>
      <c r="D173" s="1123">
        <f t="shared" ref="D173:AC173" si="114">D325</f>
        <v>0</v>
      </c>
      <c r="E173" s="1123">
        <f t="shared" si="114"/>
        <v>0</v>
      </c>
      <c r="F173" s="1123">
        <f t="shared" si="114"/>
        <v>0</v>
      </c>
      <c r="G173" s="1123">
        <f t="shared" si="114"/>
        <v>0</v>
      </c>
      <c r="H173" s="1123">
        <f t="shared" si="114"/>
        <v>42839.1</v>
      </c>
      <c r="I173" s="1123">
        <f t="shared" si="114"/>
        <v>35247</v>
      </c>
      <c r="J173" s="1123">
        <f t="shared" si="114"/>
        <v>25054</v>
      </c>
      <c r="K173" s="1123">
        <f t="shared" si="114"/>
        <v>27381</v>
      </c>
      <c r="L173" s="1123">
        <f t="shared" si="114"/>
        <v>26184</v>
      </c>
      <c r="M173" s="1123">
        <f t="shared" si="114"/>
        <v>40490.6</v>
      </c>
      <c r="N173" s="1123">
        <f t="shared" si="114"/>
        <v>60734.8</v>
      </c>
      <c r="O173" s="1123">
        <f t="shared" si="114"/>
        <v>59836.499999999993</v>
      </c>
      <c r="P173" s="1123">
        <f t="shared" si="114"/>
        <v>48069</v>
      </c>
      <c r="Q173" s="1123">
        <f t="shared" si="114"/>
        <v>46549</v>
      </c>
      <c r="R173" s="1123">
        <f t="shared" si="114"/>
        <v>27452.3</v>
      </c>
      <c r="S173" s="1123">
        <f t="shared" si="114"/>
        <v>29058.1</v>
      </c>
      <c r="T173" s="1123">
        <f t="shared" si="114"/>
        <v>25828.2</v>
      </c>
      <c r="U173" s="1123">
        <f t="shared" si="114"/>
        <v>51131</v>
      </c>
      <c r="V173" s="1123">
        <f t="shared" si="114"/>
        <v>32586.3</v>
      </c>
      <c r="W173" s="1123">
        <f t="shared" si="114"/>
        <v>46193.173000000003</v>
      </c>
      <c r="X173" s="1123">
        <f t="shared" si="114"/>
        <v>36375.699999999997</v>
      </c>
      <c r="Y173" s="1123">
        <f t="shared" ca="1" si="114"/>
        <v>37647.907805368442</v>
      </c>
      <c r="Z173" s="1123">
        <f t="shared" ca="1" si="114"/>
        <v>31248.286227552744</v>
      </c>
      <c r="AA173" s="1123">
        <f t="shared" ca="1" si="114"/>
        <v>32024.486363717529</v>
      </c>
      <c r="AB173" s="1123">
        <f t="shared" ca="1" si="114"/>
        <v>34786.515720515032</v>
      </c>
      <c r="AC173" s="1123">
        <f t="shared" ca="1" si="114"/>
        <v>37988.333351566449</v>
      </c>
      <c r="AD173" s="1123">
        <f ca="1">AD325</f>
        <v>41610.106401004836</v>
      </c>
      <c r="AE173" s="1123">
        <f ca="1">AE325</f>
        <v>45547.328698792429</v>
      </c>
      <c r="AF173" s="1123">
        <f ca="1">AF325</f>
        <v>49808.111438385065</v>
      </c>
      <c r="AG173" s="1123">
        <f ca="1">AG325</f>
        <v>54126.932792044077</v>
      </c>
      <c r="AH173" s="1123">
        <f ca="1">AH325</f>
        <v>58421.346909391505</v>
      </c>
      <c r="AI173" s="685"/>
      <c r="AJ173" s="1379">
        <v>1177</v>
      </c>
      <c r="AK173" s="685"/>
      <c r="AL173" s="685"/>
      <c r="AM173" s="685"/>
      <c r="AN173" s="685"/>
      <c r="AO173" s="685"/>
      <c r="AP173" s="685"/>
      <c r="AQ173" s="685"/>
      <c r="AR173" s="685"/>
      <c r="AS173" s="685"/>
      <c r="AT173" s="685"/>
      <c r="AU173" s="685"/>
      <c r="AV173" s="685"/>
      <c r="AW173" s="685"/>
      <c r="AX173" s="685"/>
      <c r="AY173" s="685"/>
      <c r="AZ173" s="685"/>
      <c r="BA173" s="685"/>
      <c r="BB173" s="685"/>
      <c r="BC173" s="685"/>
      <c r="BD173" s="685"/>
    </row>
    <row r="174" spans="1:56">
      <c r="A174" s="685"/>
      <c r="B174" s="1115" t="s">
        <v>253</v>
      </c>
      <c r="C174" s="1123"/>
      <c r="D174" s="1123">
        <f t="shared" ref="D174:AC174" si="115">D340</f>
        <v>0</v>
      </c>
      <c r="E174" s="1123">
        <f t="shared" si="115"/>
        <v>0</v>
      </c>
      <c r="F174" s="1123">
        <f t="shared" si="115"/>
        <v>0</v>
      </c>
      <c r="G174" s="1123">
        <f t="shared" si="115"/>
        <v>0</v>
      </c>
      <c r="H174" s="1123">
        <f t="shared" si="115"/>
        <v>0</v>
      </c>
      <c r="I174" s="1123">
        <f t="shared" si="115"/>
        <v>1255</v>
      </c>
      <c r="J174" s="1123">
        <f t="shared" si="115"/>
        <v>1384</v>
      </c>
      <c r="K174" s="1123">
        <f t="shared" si="115"/>
        <v>1509</v>
      </c>
      <c r="L174" s="1123">
        <f t="shared" si="115"/>
        <v>2002</v>
      </c>
      <c r="M174" s="1123">
        <f t="shared" si="115"/>
        <v>3336.7</v>
      </c>
      <c r="N174" s="1123">
        <f t="shared" si="115"/>
        <v>1828.3</v>
      </c>
      <c r="O174" s="1123">
        <f t="shared" si="115"/>
        <v>1899.1</v>
      </c>
      <c r="P174" s="1123">
        <f t="shared" si="115"/>
        <v>1493</v>
      </c>
      <c r="Q174" s="1123">
        <f t="shared" si="115"/>
        <v>1026.4000000000001</v>
      </c>
      <c r="R174" s="1123">
        <f t="shared" si="115"/>
        <v>1379</v>
      </c>
      <c r="S174" s="1123">
        <f t="shared" si="115"/>
        <v>1641.3</v>
      </c>
      <c r="T174" s="1123">
        <f t="shared" si="115"/>
        <v>2212.9</v>
      </c>
      <c r="U174" s="1123">
        <f t="shared" si="115"/>
        <v>1448.3</v>
      </c>
      <c r="V174" s="1123">
        <f t="shared" si="115"/>
        <v>1261.3</v>
      </c>
      <c r="W174" s="1123">
        <f t="shared" si="115"/>
        <v>463.22500000000002</v>
      </c>
      <c r="X174" s="1123">
        <f t="shared" si="115"/>
        <v>584.87800000000004</v>
      </c>
      <c r="Y174" s="1123">
        <f t="shared" si="115"/>
        <v>618.48034781280694</v>
      </c>
      <c r="Z174" s="1123">
        <f t="shared" si="115"/>
        <v>584.87800000000004</v>
      </c>
      <c r="AA174" s="1123">
        <f t="shared" si="115"/>
        <v>567.03592003360836</v>
      </c>
      <c r="AB174" s="1123">
        <f t="shared" si="115"/>
        <v>545.42899316985392</v>
      </c>
      <c r="AC174" s="1123">
        <f t="shared" si="115"/>
        <v>521.33095667238433</v>
      </c>
      <c r="AD174" s="1123">
        <f>AD340</f>
        <v>515.6634324955661</v>
      </c>
      <c r="AE174" s="1123">
        <f>AE340</f>
        <v>517.80962606183152</v>
      </c>
      <c r="AF174" s="1123">
        <f>AF340</f>
        <v>524.39305447396532</v>
      </c>
      <c r="AG174" s="1123">
        <f>AG340</f>
        <v>528.92399892301432</v>
      </c>
      <c r="AH174" s="1123">
        <f>AH340</f>
        <v>532.46933312675412</v>
      </c>
      <c r="AI174" s="685"/>
      <c r="AJ174" s="1379">
        <v>234</v>
      </c>
      <c r="AK174" s="685"/>
      <c r="AL174" s="685"/>
      <c r="AM174" s="685"/>
      <c r="AN174" s="685"/>
      <c r="AO174" s="685"/>
      <c r="AP174" s="685"/>
      <c r="AQ174" s="685"/>
      <c r="AR174" s="685"/>
      <c r="AS174" s="685"/>
      <c r="AT174" s="685"/>
      <c r="AU174" s="685"/>
      <c r="AV174" s="685"/>
      <c r="AW174" s="685"/>
      <c r="AX174" s="685"/>
      <c r="AY174" s="685"/>
      <c r="AZ174" s="685"/>
      <c r="BA174" s="685"/>
      <c r="BB174" s="685"/>
      <c r="BC174" s="685"/>
      <c r="BD174" s="685"/>
    </row>
    <row r="175" spans="1:56">
      <c r="A175" s="685"/>
      <c r="B175" s="1115" t="s">
        <v>254</v>
      </c>
      <c r="C175" s="1123"/>
      <c r="D175" s="1123">
        <f t="shared" ref="D175:AC175" si="116">D343</f>
        <v>0</v>
      </c>
      <c r="E175" s="1123">
        <f t="shared" si="116"/>
        <v>0</v>
      </c>
      <c r="F175" s="1123">
        <f t="shared" si="116"/>
        <v>0</v>
      </c>
      <c r="G175" s="1123">
        <f t="shared" si="116"/>
        <v>0</v>
      </c>
      <c r="H175" s="1123">
        <f t="shared" si="116"/>
        <v>0</v>
      </c>
      <c r="I175" s="1123">
        <f t="shared" si="116"/>
        <v>17701</v>
      </c>
      <c r="J175" s="1123">
        <f t="shared" si="116"/>
        <v>19244</v>
      </c>
      <c r="K175" s="1123">
        <f t="shared" si="116"/>
        <v>18982</v>
      </c>
      <c r="L175" s="1123">
        <f t="shared" si="116"/>
        <v>20734</v>
      </c>
      <c r="M175" s="1123">
        <f t="shared" si="116"/>
        <v>21087</v>
      </c>
      <c r="N175" s="1123">
        <f t="shared" si="116"/>
        <v>21702.1</v>
      </c>
      <c r="O175" s="1123">
        <f t="shared" si="116"/>
        <v>24906.400000000001</v>
      </c>
      <c r="P175" s="1123">
        <f t="shared" si="116"/>
        <v>24727.1</v>
      </c>
      <c r="Q175" s="1123">
        <f t="shared" si="116"/>
        <v>20281</v>
      </c>
      <c r="R175" s="1123">
        <f t="shared" si="116"/>
        <v>24851</v>
      </c>
      <c r="S175" s="1123">
        <f t="shared" si="116"/>
        <v>25346.2</v>
      </c>
      <c r="T175" s="1123">
        <f t="shared" si="116"/>
        <v>31059.1</v>
      </c>
      <c r="U175" s="1123">
        <f t="shared" si="116"/>
        <v>8760.2999999999993</v>
      </c>
      <c r="V175" s="1123">
        <f t="shared" si="116"/>
        <v>8474</v>
      </c>
      <c r="W175" s="1123">
        <f t="shared" si="116"/>
        <v>6317.2</v>
      </c>
      <c r="X175" s="1123">
        <f t="shared" si="116"/>
        <v>5791.3620000000001</v>
      </c>
      <c r="Y175" s="1123">
        <f t="shared" si="116"/>
        <v>6124.0867053810753</v>
      </c>
      <c r="Z175" s="1123">
        <f t="shared" si="116"/>
        <v>5791.3620000000001</v>
      </c>
      <c r="AA175" s="1123">
        <f t="shared" si="116"/>
        <v>5614.6927733949269</v>
      </c>
      <c r="AB175" s="1123">
        <f t="shared" si="116"/>
        <v>5400.7446762267537</v>
      </c>
      <c r="AC175" s="1123">
        <f t="shared" si="116"/>
        <v>5162.1300371976595</v>
      </c>
      <c r="AD175" s="1123">
        <f>AD343</f>
        <v>5106.0111813820777</v>
      </c>
      <c r="AE175" s="1123">
        <f>AE343</f>
        <v>5127.2624232894732</v>
      </c>
      <c r="AF175" s="1123">
        <f>AF343</f>
        <v>5192.4504063145687</v>
      </c>
      <c r="AG175" s="1123">
        <f>AG343</f>
        <v>5237.3150439079354</v>
      </c>
      <c r="AH175" s="1123">
        <f>AH343</f>
        <v>5272.4203372936317</v>
      </c>
      <c r="AI175" s="685"/>
      <c r="AJ175" s="1379">
        <v>488</v>
      </c>
      <c r="AK175" s="685"/>
      <c r="AL175" s="685"/>
      <c r="AM175" s="685"/>
      <c r="AN175" s="685"/>
      <c r="AO175" s="685"/>
      <c r="AP175" s="685"/>
      <c r="AQ175" s="685"/>
      <c r="AR175" s="685"/>
      <c r="AS175" s="685"/>
      <c r="AT175" s="685"/>
      <c r="AU175" s="685"/>
      <c r="AV175" s="685"/>
      <c r="AW175" s="685"/>
      <c r="AX175" s="685"/>
      <c r="AY175" s="685"/>
      <c r="AZ175" s="685"/>
      <c r="BA175" s="685"/>
      <c r="BB175" s="685"/>
      <c r="BC175" s="685"/>
      <c r="BD175" s="685"/>
    </row>
    <row r="176" spans="1:56">
      <c r="A176" s="685"/>
      <c r="B176" s="1115" t="s">
        <v>255</v>
      </c>
      <c r="C176" s="1158"/>
      <c r="D176" s="1158">
        <f t="shared" ref="D176:AC176" si="117">D346</f>
        <v>0</v>
      </c>
      <c r="E176" s="1158">
        <f t="shared" si="117"/>
        <v>0</v>
      </c>
      <c r="F176" s="1158">
        <f t="shared" si="117"/>
        <v>0</v>
      </c>
      <c r="G176" s="1158">
        <f t="shared" si="117"/>
        <v>0</v>
      </c>
      <c r="H176" s="1158">
        <f t="shared" si="117"/>
        <v>0</v>
      </c>
      <c r="I176" s="1158">
        <f t="shared" si="117"/>
        <v>5572</v>
      </c>
      <c r="J176" s="1158">
        <f t="shared" si="117"/>
        <v>4978</v>
      </c>
      <c r="K176" s="1158">
        <f t="shared" si="117"/>
        <v>6766</v>
      </c>
      <c r="L176" s="1158">
        <f t="shared" si="117"/>
        <v>4554</v>
      </c>
      <c r="M176" s="1158">
        <f t="shared" si="117"/>
        <v>13993.099999999999</v>
      </c>
      <c r="N176" s="1158">
        <f t="shared" si="117"/>
        <v>5672.9000000000051</v>
      </c>
      <c r="O176" s="1158">
        <f t="shared" si="117"/>
        <v>9326.7000000000044</v>
      </c>
      <c r="P176" s="1158">
        <f t="shared" si="117"/>
        <v>12755.900000000001</v>
      </c>
      <c r="Q176" s="1158">
        <f t="shared" si="117"/>
        <v>4282.5999999999985</v>
      </c>
      <c r="R176" s="1158">
        <f t="shared" si="117"/>
        <v>14345.699999999997</v>
      </c>
      <c r="S176" s="1158">
        <f t="shared" si="117"/>
        <v>13473.399999999998</v>
      </c>
      <c r="T176" s="1158">
        <f t="shared" si="117"/>
        <v>13858.5</v>
      </c>
      <c r="U176" s="1158">
        <f t="shared" si="117"/>
        <v>20194.099999999999</v>
      </c>
      <c r="V176" s="1158">
        <f t="shared" si="117"/>
        <v>20645.599999999999</v>
      </c>
      <c r="W176" s="1158">
        <f t="shared" si="117"/>
        <v>15293.907999999992</v>
      </c>
      <c r="X176" s="1158">
        <f t="shared" si="117"/>
        <v>17464.314000000002</v>
      </c>
      <c r="Y176" s="1158">
        <f t="shared" si="117"/>
        <v>18467.671885473676</v>
      </c>
      <c r="Z176" s="1158">
        <f t="shared" si="117"/>
        <v>17464.314000000002</v>
      </c>
      <c r="AA176" s="1158">
        <f t="shared" si="117"/>
        <v>16931.553856951068</v>
      </c>
      <c r="AB176" s="1158">
        <f t="shared" si="117"/>
        <v>16286.376306549713</v>
      </c>
      <c r="AC176" s="1158">
        <f t="shared" si="117"/>
        <v>15566.814831891292</v>
      </c>
      <c r="AD176" s="1158">
        <f>AD346</f>
        <v>15397.583946430488</v>
      </c>
      <c r="AE176" s="1158">
        <f>AE346</f>
        <v>15461.668761291086</v>
      </c>
      <c r="AF176" s="1158">
        <f>AF346</f>
        <v>15658.248323158736</v>
      </c>
      <c r="AG176" s="1158">
        <f>AG346</f>
        <v>15793.541215992365</v>
      </c>
      <c r="AH176" s="1158">
        <f>AH346</f>
        <v>15899.404028013083</v>
      </c>
      <c r="AI176" s="685"/>
      <c r="AJ176" s="685"/>
      <c r="AK176" s="685"/>
      <c r="AL176" s="685"/>
      <c r="AM176" s="685"/>
      <c r="AN176" s="685"/>
      <c r="AO176" s="685"/>
      <c r="AP176" s="685"/>
      <c r="AQ176" s="685"/>
      <c r="AR176" s="685"/>
      <c r="AS176" s="685"/>
      <c r="AT176" s="685"/>
      <c r="AU176" s="685"/>
      <c r="AV176" s="685"/>
      <c r="AW176" s="685"/>
      <c r="AX176" s="685"/>
      <c r="AY176" s="685"/>
      <c r="AZ176" s="685"/>
      <c r="BA176" s="685"/>
      <c r="BB176" s="685"/>
      <c r="BC176" s="685"/>
      <c r="BD176" s="685"/>
    </row>
    <row r="177" spans="1:56">
      <c r="A177" s="685"/>
      <c r="B177" s="1382" t="s">
        <v>256</v>
      </c>
      <c r="C177" s="1123"/>
      <c r="D177" s="1123">
        <f t="shared" ref="D177:AC177" si="118">SUM(D173:D176)</f>
        <v>0</v>
      </c>
      <c r="E177" s="1123">
        <f t="shared" si="118"/>
        <v>0</v>
      </c>
      <c r="F177" s="1123">
        <f t="shared" si="118"/>
        <v>0</v>
      </c>
      <c r="G177" s="1123">
        <f t="shared" si="118"/>
        <v>0</v>
      </c>
      <c r="H177" s="1123">
        <f t="shared" si="118"/>
        <v>42839.1</v>
      </c>
      <c r="I177" s="1123">
        <f t="shared" si="118"/>
        <v>59775</v>
      </c>
      <c r="J177" s="1123">
        <f t="shared" si="118"/>
        <v>50660</v>
      </c>
      <c r="K177" s="1123">
        <f t="shared" si="118"/>
        <v>54638</v>
      </c>
      <c r="L177" s="1123">
        <f t="shared" si="118"/>
        <v>53474</v>
      </c>
      <c r="M177" s="1123">
        <f t="shared" si="118"/>
        <v>78907.399999999994</v>
      </c>
      <c r="N177" s="1123">
        <f t="shared" si="118"/>
        <v>89938.10000000002</v>
      </c>
      <c r="O177" s="1123">
        <f t="shared" si="118"/>
        <v>95968.700000000012</v>
      </c>
      <c r="P177" s="1123">
        <f t="shared" si="118"/>
        <v>87045</v>
      </c>
      <c r="Q177" s="1123">
        <f t="shared" si="118"/>
        <v>72139</v>
      </c>
      <c r="R177" s="1123">
        <f t="shared" si="118"/>
        <v>68028</v>
      </c>
      <c r="S177" s="1123">
        <f t="shared" si="118"/>
        <v>69519</v>
      </c>
      <c r="T177" s="1123">
        <f t="shared" si="118"/>
        <v>72958.7</v>
      </c>
      <c r="U177" s="1123">
        <f t="shared" si="118"/>
        <v>81533.700000000012</v>
      </c>
      <c r="V177" s="1123">
        <f t="shared" si="118"/>
        <v>62967.199999999997</v>
      </c>
      <c r="W177" s="1123">
        <f t="shared" si="118"/>
        <v>68267.505999999994</v>
      </c>
      <c r="X177" s="1123">
        <f t="shared" si="118"/>
        <v>60216.254000000001</v>
      </c>
      <c r="Y177" s="1123">
        <f t="shared" ca="1" si="118"/>
        <v>62858.146744035999</v>
      </c>
      <c r="Z177" s="1123">
        <f t="shared" ca="1" si="118"/>
        <v>55088.840227552748</v>
      </c>
      <c r="AA177" s="1123">
        <f t="shared" ca="1" si="118"/>
        <v>55137.768914097134</v>
      </c>
      <c r="AB177" s="1123">
        <f t="shared" ca="1" si="118"/>
        <v>57019.065696461352</v>
      </c>
      <c r="AC177" s="1123">
        <f t="shared" ca="1" si="118"/>
        <v>59238.609177327788</v>
      </c>
      <c r="AD177" s="1123">
        <f ca="1">SUM(AD173:AD176)</f>
        <v>62629.364961312967</v>
      </c>
      <c r="AE177" s="1123">
        <f ca="1">SUM(AE173:AE176)</f>
        <v>66654.069509434819</v>
      </c>
      <c r="AF177" s="1123">
        <f ca="1">SUM(AF173:AF176)</f>
        <v>71183.203222332333</v>
      </c>
      <c r="AG177" s="1123">
        <f ca="1">SUM(AG173:AG176)</f>
        <v>75686.713050867387</v>
      </c>
      <c r="AH177" s="1123">
        <f ca="1">SUM(AH173:AH176)</f>
        <v>80125.640607824971</v>
      </c>
      <c r="AI177" s="685"/>
      <c r="AJ177" s="685"/>
      <c r="AK177" s="685"/>
      <c r="AL177" s="685"/>
      <c r="AM177" s="685"/>
      <c r="AN177" s="685"/>
      <c r="AO177" s="685"/>
      <c r="AP177" s="685"/>
      <c r="AQ177" s="685"/>
      <c r="AR177" s="685"/>
      <c r="AS177" s="685"/>
      <c r="AT177" s="685"/>
      <c r="AU177" s="685"/>
      <c r="AV177" s="685"/>
      <c r="AW177" s="685"/>
      <c r="AX177" s="685"/>
      <c r="AY177" s="685"/>
      <c r="AZ177" s="685"/>
      <c r="BA177" s="685"/>
      <c r="BB177" s="685"/>
      <c r="BC177" s="685"/>
      <c r="BD177" s="685"/>
    </row>
    <row r="178" spans="1:56">
      <c r="A178" s="685"/>
      <c r="B178" s="1115"/>
      <c r="C178" s="1113"/>
      <c r="D178" s="1114"/>
      <c r="E178" s="1113"/>
      <c r="F178" s="1113"/>
      <c r="G178" s="1113"/>
      <c r="H178" s="1113"/>
      <c r="I178" s="1113"/>
      <c r="J178" s="1113"/>
      <c r="K178" s="1113"/>
      <c r="L178" s="1113"/>
      <c r="M178" s="1113"/>
      <c r="N178" s="1113"/>
      <c r="O178" s="1113"/>
      <c r="P178" s="1113"/>
      <c r="Q178" s="1113"/>
      <c r="R178" s="1113"/>
      <c r="S178" s="1113"/>
      <c r="T178" s="1113"/>
      <c r="U178" s="1113"/>
      <c r="V178" s="1113"/>
      <c r="W178" s="1113"/>
      <c r="X178" s="1113"/>
      <c r="Y178" s="1113"/>
      <c r="Z178" s="1113"/>
      <c r="AA178" s="1113"/>
      <c r="AB178" s="1113"/>
      <c r="AC178" s="1113"/>
      <c r="AD178" s="1113"/>
      <c r="AE178" s="1113"/>
      <c r="AF178" s="1113"/>
      <c r="AG178" s="1113"/>
      <c r="AH178" s="1113"/>
      <c r="AI178" s="685"/>
      <c r="AJ178" s="685"/>
      <c r="AK178" s="685"/>
      <c r="AL178" s="685"/>
      <c r="AM178" s="685"/>
      <c r="AN178" s="685"/>
      <c r="AO178" s="685"/>
      <c r="AP178" s="685"/>
      <c r="AQ178" s="685"/>
      <c r="AR178" s="685"/>
      <c r="AS178" s="685"/>
      <c r="AT178" s="685"/>
      <c r="AU178" s="685"/>
      <c r="AV178" s="685"/>
      <c r="AW178" s="685"/>
      <c r="AX178" s="685"/>
      <c r="AY178" s="685"/>
      <c r="AZ178" s="685"/>
      <c r="BA178" s="685"/>
      <c r="BB178" s="685"/>
      <c r="BC178" s="685"/>
      <c r="BD178" s="685"/>
    </row>
    <row r="179" spans="1:56">
      <c r="A179" s="685"/>
      <c r="B179" s="1115" t="s">
        <v>257</v>
      </c>
      <c r="C179" s="1123"/>
      <c r="D179" s="1123">
        <f t="shared" ref="D179:AC179" si="119">D238</f>
        <v>0</v>
      </c>
      <c r="E179" s="1123">
        <f t="shared" si="119"/>
        <v>0</v>
      </c>
      <c r="F179" s="1123">
        <f t="shared" si="119"/>
        <v>0</v>
      </c>
      <c r="G179" s="1123">
        <f t="shared" si="119"/>
        <v>0</v>
      </c>
      <c r="H179" s="1123">
        <f t="shared" si="119"/>
        <v>0</v>
      </c>
      <c r="I179" s="1123">
        <f t="shared" si="119"/>
        <v>38652</v>
      </c>
      <c r="J179" s="1123">
        <f t="shared" si="119"/>
        <v>41499</v>
      </c>
      <c r="K179" s="1123">
        <f t="shared" si="119"/>
        <v>48363</v>
      </c>
      <c r="L179" s="1123">
        <f t="shared" si="119"/>
        <v>53476.5</v>
      </c>
      <c r="M179" s="1123">
        <f t="shared" si="119"/>
        <v>61213</v>
      </c>
      <c r="N179" s="1123">
        <f t="shared" si="119"/>
        <v>76089.3</v>
      </c>
      <c r="O179" s="1123">
        <f t="shared" si="119"/>
        <v>86783.6</v>
      </c>
      <c r="P179" s="1123">
        <f t="shared" si="119"/>
        <v>85720</v>
      </c>
      <c r="Q179" s="1123">
        <f t="shared" si="119"/>
        <v>87343</v>
      </c>
      <c r="R179" s="1123">
        <f t="shared" si="119"/>
        <v>83329</v>
      </c>
      <c r="S179" s="1123">
        <f t="shared" si="119"/>
        <v>83284</v>
      </c>
      <c r="T179" s="1123">
        <f t="shared" si="119"/>
        <v>87922.1</v>
      </c>
      <c r="U179" s="1123">
        <f t="shared" si="119"/>
        <v>82236.399999999994</v>
      </c>
      <c r="V179" s="1123">
        <f t="shared" si="119"/>
        <v>77848.100000000006</v>
      </c>
      <c r="W179" s="1123">
        <f t="shared" si="119"/>
        <v>63664.260999999999</v>
      </c>
      <c r="X179" s="1123">
        <f t="shared" si="119"/>
        <v>60698.2</v>
      </c>
      <c r="Y179" s="1123">
        <f t="shared" si="119"/>
        <v>61022.445467535668</v>
      </c>
      <c r="Z179" s="1123">
        <f t="shared" si="119"/>
        <v>58163.176939095545</v>
      </c>
      <c r="AA179" s="1123">
        <f t="shared" si="119"/>
        <v>55087.91733500929</v>
      </c>
      <c r="AB179" s="1123">
        <f t="shared" si="119"/>
        <v>52431.070286668546</v>
      </c>
      <c r="AC179" s="1123">
        <f t="shared" si="119"/>
        <v>50220.645963379502</v>
      </c>
      <c r="AD179" s="1123">
        <f>AD238</f>
        <v>48421.97564093463</v>
      </c>
      <c r="AE179" s="1123">
        <f>AE238</f>
        <v>47007.501000280899</v>
      </c>
      <c r="AF179" s="1123">
        <f>AF238</f>
        <v>45849.329500062857</v>
      </c>
      <c r="AG179" s="1123">
        <f>AG238</f>
        <v>44844.73350954795</v>
      </c>
      <c r="AH179" s="1123">
        <f>AH238</f>
        <v>44123.530107751023</v>
      </c>
      <c r="AI179" s="685"/>
      <c r="AJ179" s="685"/>
      <c r="AK179" s="685"/>
      <c r="AL179" s="685"/>
      <c r="AM179" s="685"/>
      <c r="AN179" s="685"/>
      <c r="AO179" s="685"/>
      <c r="AP179" s="685"/>
      <c r="AQ179" s="685"/>
      <c r="AR179" s="685"/>
      <c r="AS179" s="685"/>
      <c r="AT179" s="685"/>
      <c r="AU179" s="685"/>
      <c r="AV179" s="685"/>
      <c r="AW179" s="685"/>
      <c r="AX179" s="685"/>
      <c r="AY179" s="685"/>
      <c r="AZ179" s="685"/>
      <c r="BA179" s="685"/>
      <c r="BB179" s="685"/>
      <c r="BC179" s="685"/>
      <c r="BD179" s="685"/>
    </row>
    <row r="180" spans="1:56">
      <c r="A180" s="685"/>
      <c r="B180" s="1115" t="s">
        <v>258</v>
      </c>
      <c r="C180" s="1123"/>
      <c r="D180" s="1123">
        <f t="shared" ref="D180:AC180" si="120">D259+D269</f>
        <v>0</v>
      </c>
      <c r="E180" s="1123">
        <f t="shared" si="120"/>
        <v>0</v>
      </c>
      <c r="F180" s="1123">
        <f t="shared" si="120"/>
        <v>0</v>
      </c>
      <c r="G180" s="1123">
        <f t="shared" si="120"/>
        <v>0</v>
      </c>
      <c r="H180" s="1123">
        <f t="shared" si="120"/>
        <v>0</v>
      </c>
      <c r="I180" s="1123">
        <f t="shared" si="120"/>
        <v>10241</v>
      </c>
      <c r="J180" s="1123">
        <f t="shared" si="120"/>
        <v>11861</v>
      </c>
      <c r="K180" s="1123">
        <f t="shared" si="120"/>
        <v>11127</v>
      </c>
      <c r="L180" s="1123">
        <f t="shared" si="120"/>
        <v>11382</v>
      </c>
      <c r="M180" s="1123">
        <f t="shared" si="120"/>
        <v>27052</v>
      </c>
      <c r="N180" s="1123">
        <f t="shared" si="120"/>
        <v>38106.300000000003</v>
      </c>
      <c r="O180" s="1123">
        <f t="shared" si="120"/>
        <v>37624.5</v>
      </c>
      <c r="P180" s="1123">
        <f t="shared" si="120"/>
        <v>35887</v>
      </c>
      <c r="Q180" s="1123">
        <f t="shared" si="120"/>
        <v>43064</v>
      </c>
      <c r="R180" s="1123">
        <f t="shared" si="120"/>
        <v>43329</v>
      </c>
      <c r="S180" s="1123">
        <f t="shared" si="120"/>
        <v>42722</v>
      </c>
      <c r="T180" s="1123">
        <f t="shared" si="120"/>
        <v>42255.9</v>
      </c>
      <c r="U180" s="1123">
        <f t="shared" si="120"/>
        <v>41123.5</v>
      </c>
      <c r="V180" s="1123">
        <f t="shared" si="120"/>
        <v>40398.5</v>
      </c>
      <c r="W180" s="1123">
        <f t="shared" si="120"/>
        <v>38927.089</v>
      </c>
      <c r="X180" s="1123">
        <f t="shared" si="120"/>
        <v>38368.432999999997</v>
      </c>
      <c r="Y180" s="1123">
        <f t="shared" si="120"/>
        <v>36586.068359999997</v>
      </c>
      <c r="Z180" s="1123">
        <f t="shared" si="120"/>
        <v>34763.362549400001</v>
      </c>
      <c r="AA180" s="1123">
        <f t="shared" si="120"/>
        <v>32921.769919954</v>
      </c>
      <c r="AB180" s="1123">
        <f t="shared" si="120"/>
        <v>31081.311777558367</v>
      </c>
      <c r="AC180" s="1123">
        <f t="shared" si="120"/>
        <v>29260.290599802531</v>
      </c>
      <c r="AD180" s="1123">
        <f>AD259+AD269</f>
        <v>27475.070086823267</v>
      </c>
      <c r="AE180" s="1123">
        <f>AE259+AE269</f>
        <v>25739.922377272705</v>
      </c>
      <c r="AF180" s="1123">
        <f>AF259+AF269</f>
        <v>24066.941303886342</v>
      </c>
      <c r="AG180" s="1123">
        <f>AG259+AG269</f>
        <v>22466.01834741998</v>
      </c>
      <c r="AH180" s="1123">
        <f>AH259+AH269</f>
        <v>20944.876053992484</v>
      </c>
      <c r="AI180" s="685"/>
      <c r="AJ180" s="685"/>
      <c r="AK180" s="685"/>
      <c r="AL180" s="685"/>
      <c r="AM180" s="685"/>
      <c r="AN180" s="685"/>
      <c r="AO180" s="685"/>
      <c r="AP180" s="685"/>
      <c r="AQ180" s="685"/>
      <c r="AR180" s="685"/>
      <c r="AS180" s="685"/>
      <c r="AT180" s="685"/>
      <c r="AU180" s="685"/>
      <c r="AV180" s="685"/>
      <c r="AW180" s="685"/>
      <c r="AX180" s="685"/>
      <c r="AY180" s="685"/>
      <c r="AZ180" s="685"/>
      <c r="BA180" s="685"/>
      <c r="BB180" s="685"/>
      <c r="BC180" s="685"/>
      <c r="BD180" s="685"/>
    </row>
    <row r="181" spans="1:56">
      <c r="A181" s="685"/>
      <c r="B181" s="1115" t="s">
        <v>259</v>
      </c>
      <c r="C181" s="1123"/>
      <c r="D181" s="1123">
        <f>D330</f>
        <v>0</v>
      </c>
      <c r="E181" s="1123">
        <f>E330</f>
        <v>0</v>
      </c>
      <c r="F181" s="1123">
        <f>F330</f>
        <v>0</v>
      </c>
      <c r="G181" s="1123">
        <f>G330</f>
        <v>0</v>
      </c>
      <c r="H181" s="1123">
        <f>H330</f>
        <v>0</v>
      </c>
      <c r="I181" s="1123">
        <f t="shared" ref="I181:X181" si="121">I330+I438</f>
        <v>27803.1</v>
      </c>
      <c r="J181" s="1123">
        <f t="shared" si="121"/>
        <v>51041.1</v>
      </c>
      <c r="K181" s="1123">
        <f t="shared" si="121"/>
        <v>50938.1</v>
      </c>
      <c r="L181" s="1123">
        <f t="shared" si="121"/>
        <v>76174.600000000006</v>
      </c>
      <c r="M181" s="1123">
        <f t="shared" si="121"/>
        <v>59721.900000000016</v>
      </c>
      <c r="N181" s="1123">
        <f t="shared" si="121"/>
        <v>77340.099999999977</v>
      </c>
      <c r="O181" s="1123">
        <f t="shared" si="121"/>
        <v>86506.199999999983</v>
      </c>
      <c r="P181" s="1123">
        <f t="shared" si="121"/>
        <v>88568</v>
      </c>
      <c r="Q181" s="1123">
        <f t="shared" si="121"/>
        <v>95296</v>
      </c>
      <c r="R181" s="1123">
        <f t="shared" si="121"/>
        <v>95736</v>
      </c>
      <c r="S181" s="1123">
        <f t="shared" si="121"/>
        <v>76460</v>
      </c>
      <c r="T181" s="1123">
        <f t="shared" si="121"/>
        <v>89763.799999999988</v>
      </c>
      <c r="U181" s="1123">
        <f t="shared" si="121"/>
        <v>92811.499999999971</v>
      </c>
      <c r="V181" s="1123">
        <f t="shared" si="121"/>
        <v>80621.999999999971</v>
      </c>
      <c r="W181" s="1123">
        <f t="shared" si="121"/>
        <v>80799.040000000008</v>
      </c>
      <c r="X181" s="1123">
        <f t="shared" si="121"/>
        <v>69135.138000000006</v>
      </c>
      <c r="Y181" s="1123">
        <f ca="1">Y330+Y438-5897</f>
        <v>64832.170472379643</v>
      </c>
      <c r="Z181" s="1123">
        <f ca="1">Z330+Z438-3126</f>
        <v>71176.296931281002</v>
      </c>
      <c r="AA181" s="1123">
        <f ca="1">AA330+AA438-1397</f>
        <v>77098.915010218101</v>
      </c>
      <c r="AB181" s="1123">
        <f ca="1">AB330+AB438-1512</f>
        <v>81716.085533778765</v>
      </c>
      <c r="AC181" s="1123">
        <f ca="1">AC330+AC438-1639</f>
        <v>86859.626500813087</v>
      </c>
      <c r="AD181" s="1123">
        <f ca="1">AD330+AD438-1746</f>
        <v>92487.483478399561</v>
      </c>
      <c r="AE181" s="1123">
        <f ca="1">AE330+AE438-1829</f>
        <v>98572.982121972193</v>
      </c>
      <c r="AF181" s="1123">
        <f ca="1">AF330+AF438-1887</f>
        <v>105107.584998579</v>
      </c>
      <c r="AG181" s="1123">
        <f ca="1">AG330+AG438-1917</f>
        <v>112049.36034884844</v>
      </c>
      <c r="AH181" s="1123">
        <f ca="1">AH330+AH438-1916</f>
        <v>119346.68514728006</v>
      </c>
      <c r="AI181" s="1803"/>
      <c r="AJ181" s="685"/>
      <c r="AK181" s="685"/>
      <c r="AL181" s="685"/>
      <c r="AM181" s="685"/>
      <c r="AN181" s="685"/>
      <c r="AO181" s="685"/>
      <c r="AP181" s="685"/>
      <c r="AQ181" s="685"/>
      <c r="AR181" s="685"/>
      <c r="AS181" s="685"/>
      <c r="AT181" s="685"/>
      <c r="AU181" s="685"/>
      <c r="AV181" s="685"/>
      <c r="AW181" s="685"/>
      <c r="AX181" s="685"/>
      <c r="AY181" s="685"/>
      <c r="AZ181" s="685"/>
      <c r="BA181" s="685"/>
      <c r="BB181" s="685"/>
      <c r="BC181" s="685"/>
      <c r="BD181" s="685"/>
    </row>
    <row r="182" spans="1:56">
      <c r="A182" s="685"/>
      <c r="B182" s="1115"/>
      <c r="C182" s="1113"/>
      <c r="D182" s="1114"/>
      <c r="E182" s="1113"/>
      <c r="F182" s="1113"/>
      <c r="G182" s="1113"/>
      <c r="H182" s="1113"/>
      <c r="I182" s="1113"/>
      <c r="J182" s="1113"/>
      <c r="K182" s="1113"/>
      <c r="L182" s="1113"/>
      <c r="M182" s="1113"/>
      <c r="N182" s="1113"/>
      <c r="O182" s="1113"/>
      <c r="P182" s="1113"/>
      <c r="Q182" s="1113"/>
      <c r="R182" s="1113"/>
      <c r="S182" s="1113"/>
      <c r="T182" s="1113"/>
      <c r="U182" s="1113"/>
      <c r="V182" s="1113"/>
      <c r="W182" s="1113"/>
      <c r="X182" s="1113"/>
      <c r="Y182" s="1113"/>
      <c r="Z182" s="1113"/>
      <c r="AA182" s="1113"/>
      <c r="AB182" s="1113"/>
      <c r="AC182" s="1113"/>
      <c r="AD182" s="1113"/>
      <c r="AE182" s="1113"/>
      <c r="AF182" s="1113"/>
      <c r="AG182" s="1113"/>
      <c r="AH182" s="1113"/>
      <c r="AI182" s="685"/>
      <c r="AJ182" s="685"/>
      <c r="AK182" s="685"/>
      <c r="AL182" s="685"/>
      <c r="AM182" s="685"/>
      <c r="AN182" s="685"/>
      <c r="AO182" s="685"/>
      <c r="AP182" s="685"/>
      <c r="AQ182" s="685"/>
      <c r="AR182" s="685"/>
      <c r="AS182" s="685"/>
      <c r="AT182" s="685"/>
      <c r="AU182" s="685"/>
      <c r="AV182" s="685"/>
      <c r="AW182" s="685"/>
      <c r="AX182" s="685"/>
      <c r="AY182" s="685"/>
      <c r="AZ182" s="685"/>
      <c r="BA182" s="685"/>
      <c r="BB182" s="685"/>
      <c r="BC182" s="685"/>
      <c r="BD182" s="685"/>
    </row>
    <row r="183" spans="1:56">
      <c r="A183" s="685"/>
      <c r="B183" s="1113" t="s">
        <v>260</v>
      </c>
      <c r="C183" s="1114"/>
      <c r="D183" s="1114">
        <f t="shared" ref="D183:AC183" si="122">SUM(D177:D181)</f>
        <v>0</v>
      </c>
      <c r="E183" s="1114">
        <f t="shared" si="122"/>
        <v>0</v>
      </c>
      <c r="F183" s="1114">
        <f t="shared" si="122"/>
        <v>0</v>
      </c>
      <c r="G183" s="1114">
        <f t="shared" si="122"/>
        <v>0</v>
      </c>
      <c r="H183" s="1114">
        <f t="shared" si="122"/>
        <v>42839.1</v>
      </c>
      <c r="I183" s="1114">
        <f t="shared" si="122"/>
        <v>136471.1</v>
      </c>
      <c r="J183" s="1114">
        <f t="shared" si="122"/>
        <v>155061.1</v>
      </c>
      <c r="K183" s="1114">
        <f t="shared" si="122"/>
        <v>165066.1</v>
      </c>
      <c r="L183" s="1114">
        <f t="shared" si="122"/>
        <v>194507.1</v>
      </c>
      <c r="M183" s="1114">
        <f t="shared" si="122"/>
        <v>226894.30000000002</v>
      </c>
      <c r="N183" s="1114">
        <f t="shared" si="122"/>
        <v>281473.8</v>
      </c>
      <c r="O183" s="1114">
        <f t="shared" si="122"/>
        <v>306883</v>
      </c>
      <c r="P183" s="1114">
        <f t="shared" si="122"/>
        <v>297220</v>
      </c>
      <c r="Q183" s="1114">
        <f t="shared" si="122"/>
        <v>297842</v>
      </c>
      <c r="R183" s="1114">
        <f t="shared" si="122"/>
        <v>290422</v>
      </c>
      <c r="S183" s="1114">
        <f t="shared" si="122"/>
        <v>271985</v>
      </c>
      <c r="T183" s="1114">
        <f t="shared" si="122"/>
        <v>292900.5</v>
      </c>
      <c r="U183" s="1114">
        <f t="shared" si="122"/>
        <v>297705.09999999998</v>
      </c>
      <c r="V183" s="1114">
        <f t="shared" si="122"/>
        <v>261835.79999999996</v>
      </c>
      <c r="W183" s="1114">
        <f t="shared" si="122"/>
        <v>251657.89600000001</v>
      </c>
      <c r="X183" s="1114">
        <f t="shared" si="122"/>
        <v>228418.02499999999</v>
      </c>
      <c r="Y183" s="1114">
        <f t="shared" ca="1" si="122"/>
        <v>225298.83104395133</v>
      </c>
      <c r="Z183" s="1114">
        <f t="shared" ca="1" si="122"/>
        <v>219191.6766473293</v>
      </c>
      <c r="AA183" s="1114">
        <f t="shared" ca="1" si="122"/>
        <v>220246.37117927853</v>
      </c>
      <c r="AB183" s="1114">
        <f t="shared" ca="1" si="122"/>
        <v>222247.53329446702</v>
      </c>
      <c r="AC183" s="1114">
        <f t="shared" ca="1" si="122"/>
        <v>225579.1722413229</v>
      </c>
      <c r="AD183" s="1114">
        <f ca="1">SUM(AD177:AD181)</f>
        <v>231013.89416747045</v>
      </c>
      <c r="AE183" s="1114">
        <f ca="1">SUM(AE177:AE181)</f>
        <v>237974.47500896061</v>
      </c>
      <c r="AF183" s="1114">
        <f ca="1">SUM(AF177:AF181)</f>
        <v>246207.05902486053</v>
      </c>
      <c r="AG183" s="1114">
        <f ca="1">SUM(AG177:AG181)</f>
        <v>255046.82525668375</v>
      </c>
      <c r="AH183" s="1114">
        <f ca="1">SUM(AH177:AH181)</f>
        <v>264540.73191684851</v>
      </c>
      <c r="AI183" s="685"/>
      <c r="AJ183" s="685"/>
      <c r="AK183" s="685"/>
      <c r="AL183" s="685"/>
      <c r="AM183" s="685"/>
      <c r="AN183" s="685"/>
      <c r="AO183" s="685"/>
      <c r="AP183" s="685"/>
      <c r="AQ183" s="685"/>
      <c r="AR183" s="685"/>
      <c r="AS183" s="685"/>
      <c r="AT183" s="685"/>
      <c r="AU183" s="685"/>
      <c r="AV183" s="685"/>
      <c r="AW183" s="685"/>
      <c r="AX183" s="685"/>
      <c r="AY183" s="685"/>
      <c r="AZ183" s="685"/>
      <c r="BA183" s="685"/>
      <c r="BB183" s="685"/>
      <c r="BC183" s="685"/>
      <c r="BD183" s="685"/>
    </row>
    <row r="184" spans="1:56">
      <c r="A184" s="685"/>
      <c r="B184" s="1115"/>
      <c r="C184" s="1113"/>
      <c r="D184" s="1114"/>
      <c r="E184" s="1113"/>
      <c r="F184" s="1114"/>
      <c r="G184" s="1114"/>
      <c r="H184" s="1114"/>
      <c r="I184" s="1114"/>
      <c r="J184" s="1113"/>
      <c r="K184" s="1113"/>
      <c r="L184" s="1113"/>
      <c r="M184" s="1113"/>
      <c r="N184" s="1113"/>
      <c r="O184" s="1113"/>
      <c r="P184" s="1113"/>
      <c r="Q184" s="1113"/>
      <c r="R184" s="1113"/>
      <c r="S184" s="1113"/>
      <c r="T184" s="1113"/>
      <c r="U184" s="1113"/>
      <c r="V184" s="1113"/>
      <c r="W184" s="1113"/>
      <c r="X184" s="1113"/>
      <c r="Y184" s="1113"/>
      <c r="Z184" s="1113"/>
      <c r="AA184" s="1113"/>
      <c r="AB184" s="1113"/>
      <c r="AC184" s="1113"/>
      <c r="AD184" s="1113"/>
      <c r="AE184" s="1113"/>
      <c r="AF184" s="1113"/>
      <c r="AG184" s="1113"/>
      <c r="AH184" s="1113"/>
      <c r="AI184" s="685"/>
      <c r="AJ184" s="685"/>
      <c r="AK184" s="685"/>
      <c r="AL184" s="685"/>
      <c r="AM184" s="685"/>
      <c r="AN184" s="685"/>
      <c r="AO184" s="685"/>
      <c r="AP184" s="685"/>
      <c r="AQ184" s="685"/>
      <c r="AR184" s="685"/>
      <c r="AS184" s="685"/>
      <c r="AT184" s="685"/>
      <c r="AU184" s="685"/>
      <c r="AV184" s="685"/>
      <c r="AW184" s="685"/>
      <c r="AX184" s="685"/>
      <c r="AY184" s="685"/>
      <c r="AZ184" s="685"/>
      <c r="BA184" s="685"/>
      <c r="BB184" s="685"/>
      <c r="BC184" s="685"/>
      <c r="BD184" s="685"/>
    </row>
    <row r="185" spans="1:56">
      <c r="A185" s="685"/>
      <c r="B185" s="1115" t="s">
        <v>261</v>
      </c>
      <c r="C185" s="1123"/>
      <c r="D185" s="1123">
        <f t="shared" ref="D185:AC185" si="123">D353</f>
        <v>0</v>
      </c>
      <c r="E185" s="1123">
        <f t="shared" si="123"/>
        <v>0</v>
      </c>
      <c r="F185" s="1123">
        <f t="shared" si="123"/>
        <v>0</v>
      </c>
      <c r="G185" s="1123">
        <f t="shared" si="123"/>
        <v>0</v>
      </c>
      <c r="H185" s="1123">
        <f t="shared" si="123"/>
        <v>0</v>
      </c>
      <c r="I185" s="1123">
        <f t="shared" si="123"/>
        <v>24368</v>
      </c>
      <c r="J185" s="1123">
        <f t="shared" si="123"/>
        <v>27144</v>
      </c>
      <c r="K185" s="1123">
        <f t="shared" si="123"/>
        <v>27277</v>
      </c>
      <c r="L185" s="1123">
        <f t="shared" si="123"/>
        <v>29674</v>
      </c>
      <c r="M185" s="1123">
        <f t="shared" si="123"/>
        <v>25995.9</v>
      </c>
      <c r="N185" s="1123">
        <f t="shared" si="123"/>
        <v>27452.5</v>
      </c>
      <c r="O185" s="1123">
        <f t="shared" si="123"/>
        <v>30383.9</v>
      </c>
      <c r="P185" s="1123">
        <f t="shared" si="123"/>
        <v>28701</v>
      </c>
      <c r="Q185" s="1123">
        <f t="shared" si="123"/>
        <v>24815</v>
      </c>
      <c r="R185" s="1123">
        <f t="shared" si="123"/>
        <v>20967.099999999999</v>
      </c>
      <c r="S185" s="1123">
        <f t="shared" si="123"/>
        <v>20254.3</v>
      </c>
      <c r="T185" s="1123">
        <f t="shared" si="123"/>
        <v>28325.3</v>
      </c>
      <c r="U185" s="1123">
        <f t="shared" si="123"/>
        <v>16416.2</v>
      </c>
      <c r="V185" s="1123">
        <f t="shared" si="123"/>
        <v>10781.800000000005</v>
      </c>
      <c r="W185" s="1123">
        <f t="shared" si="123"/>
        <v>10180.427</v>
      </c>
      <c r="X185" s="1123">
        <f t="shared" si="123"/>
        <v>8744.3829999999998</v>
      </c>
      <c r="Y185" s="1123">
        <f t="shared" si="123"/>
        <v>9276.8687360000004</v>
      </c>
      <c r="Z185" s="1123">
        <f t="shared" si="123"/>
        <v>8655.0953999999983</v>
      </c>
      <c r="AA185" s="1123">
        <f t="shared" si="123"/>
        <v>8276.9019769999977</v>
      </c>
      <c r="AB185" s="1123">
        <f t="shared" si="123"/>
        <v>7851.696354501998</v>
      </c>
      <c r="AC185" s="1123">
        <f t="shared" si="123"/>
        <v>7452.3131718187587</v>
      </c>
      <c r="AD185" s="1123">
        <f>AD353</f>
        <v>7319.386597330762</v>
      </c>
      <c r="AE185" s="1123">
        <f>AE353</f>
        <v>7297.7233226880144</v>
      </c>
      <c r="AF185" s="1123">
        <f>AF353</f>
        <v>7337.7171999120037</v>
      </c>
      <c r="AG185" s="1123">
        <f>AG353</f>
        <v>7347.8722623994809</v>
      </c>
      <c r="AH185" s="1123">
        <f>AH353</f>
        <v>7343.5220967268378</v>
      </c>
      <c r="AI185" s="685"/>
      <c r="AJ185" s="685"/>
      <c r="AK185" s="685"/>
      <c r="AL185" s="685"/>
      <c r="AM185" s="685"/>
      <c r="AN185" s="685"/>
      <c r="AO185" s="685"/>
      <c r="AP185" s="685"/>
      <c r="AQ185" s="685"/>
      <c r="AR185" s="685"/>
      <c r="AS185" s="685"/>
      <c r="AT185" s="685"/>
      <c r="AU185" s="685"/>
      <c r="AV185" s="685"/>
      <c r="AW185" s="685"/>
      <c r="AX185" s="685"/>
      <c r="AY185" s="685"/>
      <c r="AZ185" s="685"/>
      <c r="BA185" s="685"/>
      <c r="BB185" s="685"/>
      <c r="BC185" s="685"/>
      <c r="BD185" s="685"/>
    </row>
    <row r="186" spans="1:56">
      <c r="A186" s="685"/>
      <c r="B186" s="1115" t="s">
        <v>262</v>
      </c>
      <c r="C186" s="1123"/>
      <c r="D186" s="1123">
        <f t="shared" ref="D186:AC186" si="124">D350</f>
        <v>0</v>
      </c>
      <c r="E186" s="1123">
        <f t="shared" si="124"/>
        <v>0</v>
      </c>
      <c r="F186" s="1123">
        <f t="shared" si="124"/>
        <v>0</v>
      </c>
      <c r="G186" s="1123">
        <f t="shared" si="124"/>
        <v>0</v>
      </c>
      <c r="H186" s="1123">
        <f t="shared" si="124"/>
        <v>0</v>
      </c>
      <c r="I186" s="1123">
        <f t="shared" si="124"/>
        <v>7472</v>
      </c>
      <c r="J186" s="1123">
        <f t="shared" si="124"/>
        <v>7688</v>
      </c>
      <c r="K186" s="1123">
        <f t="shared" si="124"/>
        <v>8594</v>
      </c>
      <c r="L186" s="1123">
        <f t="shared" si="124"/>
        <v>10186</v>
      </c>
      <c r="M186" s="1123">
        <f t="shared" si="124"/>
        <v>17142</v>
      </c>
      <c r="N186" s="1123">
        <f t="shared" si="124"/>
        <v>17361.5</v>
      </c>
      <c r="O186" s="1123">
        <f t="shared" si="124"/>
        <v>22878.1</v>
      </c>
      <c r="P186" s="1123">
        <f t="shared" si="124"/>
        <v>19960</v>
      </c>
      <c r="Q186" s="1123">
        <f t="shared" si="124"/>
        <v>22030</v>
      </c>
      <c r="R186" s="1123">
        <f t="shared" si="124"/>
        <v>20910</v>
      </c>
      <c r="S186" s="1123">
        <f t="shared" si="124"/>
        <v>21890</v>
      </c>
      <c r="T186" s="1123">
        <f t="shared" si="124"/>
        <v>22588.5</v>
      </c>
      <c r="U186" s="1123">
        <f t="shared" si="124"/>
        <v>16180.5</v>
      </c>
      <c r="V186" s="1123">
        <f t="shared" si="124"/>
        <v>13673.6</v>
      </c>
      <c r="W186" s="1123">
        <f t="shared" si="124"/>
        <v>11329.869000000001</v>
      </c>
      <c r="X186" s="1123">
        <f t="shared" si="124"/>
        <v>14039.754000000001</v>
      </c>
      <c r="Y186" s="1123">
        <f t="shared" si="124"/>
        <v>14846.364433482277</v>
      </c>
      <c r="Z186" s="1123">
        <f t="shared" si="124"/>
        <v>14039.754000000001</v>
      </c>
      <c r="AA186" s="1123">
        <f t="shared" si="124"/>
        <v>13611.462264669783</v>
      </c>
      <c r="AB186" s="1123">
        <f t="shared" si="124"/>
        <v>13092.7969398275</v>
      </c>
      <c r="AC186" s="1123">
        <f t="shared" si="124"/>
        <v>12514.333560614237</v>
      </c>
      <c r="AD186" s="1123">
        <f>AD350</f>
        <v>12378.286991532173</v>
      </c>
      <c r="AE186" s="1123">
        <f>AE350</f>
        <v>12429.805478647004</v>
      </c>
      <c r="AF186" s="1123">
        <f>AF350</f>
        <v>12587.837949321178</v>
      </c>
      <c r="AG186" s="1123">
        <f>AG350</f>
        <v>12696.601393068957</v>
      </c>
      <c r="AH186" s="1123">
        <f>AH350</f>
        <v>12781.705671342876</v>
      </c>
      <c r="AI186" s="685"/>
      <c r="AJ186" s="685"/>
      <c r="AK186" s="685"/>
      <c r="AL186" s="685"/>
      <c r="AM186" s="685"/>
      <c r="AN186" s="685"/>
      <c r="AO186" s="685"/>
      <c r="AP186" s="685"/>
      <c r="AQ186" s="685"/>
      <c r="AR186" s="685"/>
      <c r="AS186" s="685"/>
      <c r="AT186" s="685"/>
      <c r="AU186" s="685"/>
      <c r="AV186" s="685"/>
      <c r="AW186" s="685"/>
      <c r="AX186" s="685"/>
      <c r="AY186" s="685"/>
      <c r="AZ186" s="685"/>
      <c r="BA186" s="685"/>
      <c r="BB186" s="685"/>
      <c r="BC186" s="685"/>
      <c r="BD186" s="685"/>
    </row>
    <row r="187" spans="1:56">
      <c r="A187" s="685"/>
      <c r="B187" s="1115" t="s">
        <v>263</v>
      </c>
      <c r="C187" s="1158"/>
      <c r="D187" s="1158">
        <f t="shared" ref="D187:AC187" si="125">D311</f>
        <v>0</v>
      </c>
      <c r="E187" s="1158">
        <f t="shared" si="125"/>
        <v>0</v>
      </c>
      <c r="F187" s="1158">
        <f t="shared" si="125"/>
        <v>0</v>
      </c>
      <c r="G187" s="1158">
        <f t="shared" si="125"/>
        <v>0</v>
      </c>
      <c r="H187" s="1158">
        <f t="shared" si="125"/>
        <v>1433</v>
      </c>
      <c r="I187" s="1158">
        <f t="shared" si="125"/>
        <v>1469</v>
      </c>
      <c r="J187" s="1158">
        <f t="shared" si="125"/>
        <v>1170</v>
      </c>
      <c r="K187" s="1158">
        <f t="shared" si="125"/>
        <v>375</v>
      </c>
      <c r="L187" s="1158">
        <f t="shared" si="125"/>
        <v>313</v>
      </c>
      <c r="M187" s="1158">
        <f t="shared" si="125"/>
        <v>337.1</v>
      </c>
      <c r="N187" s="1158">
        <f t="shared" si="125"/>
        <v>4164</v>
      </c>
      <c r="O187" s="1158">
        <f t="shared" si="125"/>
        <v>4164</v>
      </c>
      <c r="P187" s="1158">
        <f t="shared" si="125"/>
        <v>2104</v>
      </c>
      <c r="Q187" s="1158">
        <f t="shared" si="125"/>
        <v>2108</v>
      </c>
      <c r="R187" s="1158">
        <f t="shared" si="125"/>
        <v>491.9</v>
      </c>
      <c r="S187" s="1158">
        <f t="shared" si="125"/>
        <v>1894.7</v>
      </c>
      <c r="T187" s="1158">
        <f t="shared" si="125"/>
        <v>5584.7999999999993</v>
      </c>
      <c r="U187" s="1158">
        <f t="shared" si="125"/>
        <v>2373.1999999999998</v>
      </c>
      <c r="V187" s="1158">
        <f t="shared" si="125"/>
        <v>11268.9</v>
      </c>
      <c r="W187" s="1158">
        <f t="shared" si="125"/>
        <v>5792.8</v>
      </c>
      <c r="X187" s="1158">
        <f t="shared" si="125"/>
        <v>5320.9</v>
      </c>
      <c r="Y187" s="1158">
        <f t="shared" si="125"/>
        <v>5320.9</v>
      </c>
      <c r="Z187" s="1158">
        <f t="shared" si="125"/>
        <v>5320.9</v>
      </c>
      <c r="AA187" s="1158">
        <f t="shared" si="125"/>
        <v>5320.9</v>
      </c>
      <c r="AB187" s="1158">
        <f t="shared" si="125"/>
        <v>5320.9</v>
      </c>
      <c r="AC187" s="1158">
        <f t="shared" si="125"/>
        <v>5320.9</v>
      </c>
      <c r="AD187" s="1158">
        <f>AD311</f>
        <v>5320.9</v>
      </c>
      <c r="AE187" s="1158">
        <f>AE311</f>
        <v>5320.9</v>
      </c>
      <c r="AF187" s="1158">
        <f>AF311</f>
        <v>5320.9</v>
      </c>
      <c r="AG187" s="1158">
        <f>AG311</f>
        <v>5320.9</v>
      </c>
      <c r="AH187" s="1158">
        <f>AH311</f>
        <v>5320.9</v>
      </c>
      <c r="AI187" s="685"/>
      <c r="AJ187" s="685"/>
      <c r="AK187" s="685"/>
      <c r="AL187" s="685"/>
      <c r="AM187" s="685"/>
      <c r="AN187" s="685"/>
      <c r="AO187" s="685"/>
      <c r="AP187" s="685"/>
      <c r="AQ187" s="685"/>
      <c r="AR187" s="685"/>
      <c r="AS187" s="685"/>
      <c r="AT187" s="685"/>
      <c r="AU187" s="685"/>
      <c r="AV187" s="685"/>
      <c r="AW187" s="685"/>
      <c r="AX187" s="685"/>
      <c r="AY187" s="685"/>
      <c r="AZ187" s="685"/>
      <c r="BA187" s="685"/>
      <c r="BB187" s="685"/>
      <c r="BC187" s="685"/>
      <c r="BD187" s="685"/>
    </row>
    <row r="188" spans="1:56">
      <c r="A188" s="685"/>
      <c r="B188" s="1382" t="s">
        <v>264</v>
      </c>
      <c r="C188" s="1123"/>
      <c r="D188" s="1123">
        <f t="shared" ref="D188:AC188" si="126">SUM(D185:D187)</f>
        <v>0</v>
      </c>
      <c r="E188" s="1123">
        <f t="shared" si="126"/>
        <v>0</v>
      </c>
      <c r="F188" s="1123">
        <f t="shared" si="126"/>
        <v>0</v>
      </c>
      <c r="G188" s="1123">
        <f t="shared" si="126"/>
        <v>0</v>
      </c>
      <c r="H188" s="1123">
        <f t="shared" si="126"/>
        <v>1433</v>
      </c>
      <c r="I188" s="1123">
        <f t="shared" si="126"/>
        <v>33309</v>
      </c>
      <c r="J188" s="1123">
        <f t="shared" si="126"/>
        <v>36002</v>
      </c>
      <c r="K188" s="1123">
        <f t="shared" si="126"/>
        <v>36246</v>
      </c>
      <c r="L188" s="1123">
        <f t="shared" si="126"/>
        <v>40173</v>
      </c>
      <c r="M188" s="1123">
        <f t="shared" si="126"/>
        <v>43475</v>
      </c>
      <c r="N188" s="1123">
        <f t="shared" si="126"/>
        <v>48978</v>
      </c>
      <c r="O188" s="1123">
        <f t="shared" si="126"/>
        <v>57426</v>
      </c>
      <c r="P188" s="1123">
        <f t="shared" si="126"/>
        <v>50765</v>
      </c>
      <c r="Q188" s="1123">
        <f t="shared" si="126"/>
        <v>48953</v>
      </c>
      <c r="R188" s="1123">
        <f t="shared" si="126"/>
        <v>42369</v>
      </c>
      <c r="S188" s="1123">
        <f t="shared" si="126"/>
        <v>44039</v>
      </c>
      <c r="T188" s="1123">
        <f t="shared" si="126"/>
        <v>56498.600000000006</v>
      </c>
      <c r="U188" s="1123">
        <f t="shared" si="126"/>
        <v>34969.9</v>
      </c>
      <c r="V188" s="1123">
        <f t="shared" si="126"/>
        <v>35724.300000000003</v>
      </c>
      <c r="W188" s="1123">
        <f t="shared" si="126"/>
        <v>27303.096000000001</v>
      </c>
      <c r="X188" s="1123">
        <f t="shared" si="126"/>
        <v>28105.037000000004</v>
      </c>
      <c r="Y188" s="1123">
        <f t="shared" si="126"/>
        <v>29444.13316948228</v>
      </c>
      <c r="Z188" s="1123">
        <f t="shared" si="126"/>
        <v>28015.749400000001</v>
      </c>
      <c r="AA188" s="1123">
        <f t="shared" si="126"/>
        <v>27209.264241669778</v>
      </c>
      <c r="AB188" s="1123">
        <f t="shared" si="126"/>
        <v>26265.3932943295</v>
      </c>
      <c r="AC188" s="1123">
        <f t="shared" si="126"/>
        <v>25287.546732432995</v>
      </c>
      <c r="AD188" s="1123">
        <f>SUM(AD185:AD187)</f>
        <v>25018.573588862935</v>
      </c>
      <c r="AE188" s="1123">
        <f>SUM(AE185:AE187)</f>
        <v>25048.428801335016</v>
      </c>
      <c r="AF188" s="1123">
        <f>SUM(AF185:AF187)</f>
        <v>25246.455149233181</v>
      </c>
      <c r="AG188" s="1123">
        <f>SUM(AG185:AG187)</f>
        <v>25365.373655468436</v>
      </c>
      <c r="AH188" s="1123">
        <f>SUM(AH185:AH187)</f>
        <v>25446.127768069717</v>
      </c>
      <c r="AI188" s="685"/>
      <c r="AJ188" s="685"/>
      <c r="AK188" s="685"/>
      <c r="AL188" s="685"/>
      <c r="AM188" s="685"/>
      <c r="AN188" s="685"/>
      <c r="AO188" s="685"/>
      <c r="AP188" s="685"/>
      <c r="AQ188" s="685"/>
      <c r="AR188" s="685"/>
      <c r="AS188" s="685"/>
      <c r="AT188" s="685"/>
      <c r="AU188" s="685"/>
      <c r="AV188" s="685"/>
      <c r="AW188" s="685"/>
      <c r="AX188" s="685"/>
      <c r="AY188" s="685"/>
      <c r="AZ188" s="685"/>
      <c r="BA188" s="685"/>
      <c r="BB188" s="685"/>
      <c r="BC188" s="685"/>
      <c r="BD188" s="685"/>
    </row>
    <row r="189" spans="1:56">
      <c r="A189" s="685"/>
      <c r="B189" s="1115"/>
      <c r="C189" s="1113"/>
      <c r="D189" s="1114"/>
      <c r="E189" s="1113"/>
      <c r="F189" s="1113"/>
      <c r="G189" s="1113"/>
      <c r="H189" s="1113"/>
      <c r="I189" s="1113"/>
      <c r="J189" s="1113"/>
      <c r="K189" s="1113"/>
      <c r="L189" s="1113"/>
      <c r="M189" s="1113"/>
      <c r="N189" s="1113"/>
      <c r="O189" s="1113"/>
      <c r="P189" s="1113"/>
      <c r="Q189" s="1113"/>
      <c r="R189" s="1113"/>
      <c r="S189" s="1113"/>
      <c r="T189" s="1113"/>
      <c r="U189" s="1113"/>
      <c r="V189" s="1113"/>
      <c r="W189" s="1113"/>
      <c r="X189" s="1113"/>
      <c r="Y189" s="1113"/>
      <c r="Z189" s="1113"/>
      <c r="AA189" s="1113"/>
      <c r="AB189" s="1113"/>
      <c r="AC189" s="1113"/>
      <c r="AD189" s="1113"/>
      <c r="AE189" s="1113"/>
      <c r="AF189" s="1113"/>
      <c r="AG189" s="1113"/>
      <c r="AH189" s="1113"/>
      <c r="AI189" s="685"/>
      <c r="AJ189" s="685"/>
      <c r="AK189" s="685"/>
      <c r="AL189" s="685"/>
      <c r="AM189" s="685"/>
      <c r="AN189" s="685"/>
      <c r="AO189" s="685"/>
      <c r="AP189" s="685"/>
      <c r="AQ189" s="685"/>
      <c r="AR189" s="685"/>
      <c r="AS189" s="685"/>
      <c r="AT189" s="685"/>
      <c r="AU189" s="685"/>
      <c r="AV189" s="685"/>
      <c r="AW189" s="685"/>
      <c r="AX189" s="685"/>
      <c r="AY189" s="685"/>
      <c r="AZ189" s="685"/>
      <c r="BA189" s="685"/>
      <c r="BB189" s="685"/>
      <c r="BC189" s="685"/>
      <c r="BD189" s="685"/>
    </row>
    <row r="190" spans="1:56">
      <c r="A190" s="685"/>
      <c r="B190" s="1115" t="s">
        <v>265</v>
      </c>
      <c r="C190" s="1123"/>
      <c r="D190" s="1123">
        <f t="shared" ref="D190:AC190" si="127">D312</f>
        <v>0</v>
      </c>
      <c r="E190" s="1123">
        <f t="shared" si="127"/>
        <v>0</v>
      </c>
      <c r="F190" s="1123">
        <f t="shared" si="127"/>
        <v>0</v>
      </c>
      <c r="G190" s="1123">
        <f t="shared" si="127"/>
        <v>0</v>
      </c>
      <c r="H190" s="1123">
        <f t="shared" si="127"/>
        <v>41983</v>
      </c>
      <c r="I190" s="1123">
        <f t="shared" si="127"/>
        <v>46496</v>
      </c>
      <c r="J190" s="1123">
        <f t="shared" si="127"/>
        <v>55657</v>
      </c>
      <c r="K190" s="1123">
        <f t="shared" si="127"/>
        <v>52616</v>
      </c>
      <c r="L190" s="1123">
        <f t="shared" si="127"/>
        <v>60864</v>
      </c>
      <c r="M190" s="1123">
        <f t="shared" si="127"/>
        <v>80660.5</v>
      </c>
      <c r="N190" s="1123">
        <f t="shared" si="127"/>
        <v>112051.8</v>
      </c>
      <c r="O190" s="1123">
        <f t="shared" si="127"/>
        <v>134078.39999999999</v>
      </c>
      <c r="P190" s="1123">
        <f t="shared" si="127"/>
        <v>125238</v>
      </c>
      <c r="Q190" s="1123">
        <f t="shared" si="127"/>
        <v>127758.7</v>
      </c>
      <c r="R190" s="1123">
        <f t="shared" si="127"/>
        <v>131132.80000000002</v>
      </c>
      <c r="S190" s="1123">
        <f t="shared" si="127"/>
        <v>129950.6</v>
      </c>
      <c r="T190" s="1123">
        <f t="shared" si="127"/>
        <v>129887.9</v>
      </c>
      <c r="U190" s="1123">
        <f t="shared" si="127"/>
        <v>111236.5</v>
      </c>
      <c r="V190" s="1123">
        <f t="shared" si="127"/>
        <v>84558.517999999996</v>
      </c>
      <c r="W190" s="1123">
        <f t="shared" si="127"/>
        <v>102543</v>
      </c>
      <c r="X190" s="1123">
        <f t="shared" si="127"/>
        <v>86109.3</v>
      </c>
      <c r="Y190" s="1123">
        <f t="shared" si="127"/>
        <v>86980.502734149064</v>
      </c>
      <c r="Z190" s="1123">
        <f t="shared" si="127"/>
        <v>81269.427548832042</v>
      </c>
      <c r="AA190" s="1123">
        <f t="shared" si="127"/>
        <v>82499.470859808702</v>
      </c>
      <c r="AB190" s="1123">
        <f t="shared" si="127"/>
        <v>83754.115037004871</v>
      </c>
      <c r="AC190" s="1123">
        <f t="shared" si="127"/>
        <v>85033.852097744966</v>
      </c>
      <c r="AD190" s="1123">
        <f>AD312</f>
        <v>86339.18389969987</v>
      </c>
      <c r="AE190" s="1123">
        <f>AE312</f>
        <v>87670.622337693858</v>
      </c>
      <c r="AF190" s="1123">
        <f>AF312</f>
        <v>89028.689544447741</v>
      </c>
      <c r="AG190" s="1123">
        <f>AG312</f>
        <v>90413.918095336703</v>
      </c>
      <c r="AH190" s="1123">
        <f>AH312</f>
        <v>91826.851217243442</v>
      </c>
      <c r="AI190" s="685"/>
      <c r="AJ190" s="685"/>
      <c r="AK190" s="685"/>
      <c r="AL190" s="685"/>
      <c r="AM190" s="685"/>
      <c r="AN190" s="685"/>
      <c r="AO190" s="685"/>
      <c r="AP190" s="685"/>
      <c r="AQ190" s="685"/>
      <c r="AR190" s="685"/>
      <c r="AS190" s="685"/>
      <c r="AT190" s="685"/>
      <c r="AU190" s="685"/>
      <c r="AV190" s="685"/>
      <c r="AW190" s="685"/>
      <c r="AX190" s="685"/>
      <c r="AY190" s="685"/>
      <c r="AZ190" s="685"/>
      <c r="BA190" s="685"/>
      <c r="BB190" s="685"/>
      <c r="BC190" s="685"/>
      <c r="BD190" s="685"/>
    </row>
    <row r="191" spans="1:56">
      <c r="A191" s="685"/>
      <c r="B191" s="1115" t="s">
        <v>266</v>
      </c>
      <c r="C191" s="1123"/>
      <c r="D191" s="1123">
        <f>D372</f>
        <v>0</v>
      </c>
      <c r="E191" s="1123">
        <f>E372</f>
        <v>0</v>
      </c>
      <c r="F191" s="1123">
        <f>F372</f>
        <v>0</v>
      </c>
      <c r="G191" s="1123">
        <f>G372</f>
        <v>0</v>
      </c>
      <c r="H191" s="1123">
        <f t="shared" ref="H191:AC191" si="128">H372+H369</f>
        <v>0</v>
      </c>
      <c r="I191" s="1123">
        <f t="shared" si="128"/>
        <v>4808</v>
      </c>
      <c r="J191" s="1123">
        <f t="shared" si="128"/>
        <v>4545</v>
      </c>
      <c r="K191" s="1123">
        <f t="shared" si="128"/>
        <v>7670</v>
      </c>
      <c r="L191" s="1123">
        <f t="shared" si="128"/>
        <v>14562</v>
      </c>
      <c r="M191" s="1123">
        <f t="shared" si="128"/>
        <v>14843.5</v>
      </c>
      <c r="N191" s="1123">
        <f t="shared" si="128"/>
        <v>20922.199999999997</v>
      </c>
      <c r="O191" s="1123">
        <f t="shared" si="128"/>
        <v>20584.899999999994</v>
      </c>
      <c r="P191" s="1123">
        <f t="shared" si="128"/>
        <v>21560</v>
      </c>
      <c r="Q191" s="1123">
        <f t="shared" si="128"/>
        <v>16349.300000000003</v>
      </c>
      <c r="R191" s="1123">
        <f t="shared" si="128"/>
        <v>11420.199999999983</v>
      </c>
      <c r="S191" s="1123">
        <f t="shared" si="128"/>
        <v>9685.3999999999942</v>
      </c>
      <c r="T191" s="1123">
        <f t="shared" si="128"/>
        <v>10727.299999999988</v>
      </c>
      <c r="U191" s="1123">
        <f t="shared" si="128"/>
        <v>9107</v>
      </c>
      <c r="V191" s="1123">
        <f t="shared" si="128"/>
        <v>8526.1820000000007</v>
      </c>
      <c r="W191" s="1123">
        <f t="shared" si="128"/>
        <v>10116.175000000003</v>
      </c>
      <c r="X191" s="1123">
        <f t="shared" si="128"/>
        <v>11674.827000000005</v>
      </c>
      <c r="Y191" s="1123">
        <f t="shared" si="128"/>
        <v>11674.822815138938</v>
      </c>
      <c r="Z191" s="1123">
        <f t="shared" si="128"/>
        <v>11674.844294834757</v>
      </c>
      <c r="AA191" s="1123">
        <f t="shared" si="128"/>
        <v>11674.869917061435</v>
      </c>
      <c r="AB191" s="1123">
        <f t="shared" si="128"/>
        <v>11674.869012978905</v>
      </c>
      <c r="AC191" s="1123">
        <f t="shared" si="128"/>
        <v>11674.853037303687</v>
      </c>
      <c r="AD191" s="1123">
        <f>AD372+AD369</f>
        <v>11674.828547565699</v>
      </c>
      <c r="AE191" s="1123">
        <f>AE372+AE369</f>
        <v>11674.808313638967</v>
      </c>
      <c r="AF191" s="1123">
        <f>AF372+AF369</f>
        <v>11674.790170915061</v>
      </c>
      <c r="AG191" s="1123">
        <f>AG372+AG369</f>
        <v>11674.790744513386</v>
      </c>
      <c r="AH191" s="1123">
        <f>AH372+AH369</f>
        <v>11674.779658554724</v>
      </c>
      <c r="AI191" s="685"/>
      <c r="AJ191" s="685"/>
      <c r="AK191" s="685"/>
      <c r="AL191" s="685"/>
      <c r="AM191" s="685"/>
      <c r="AN191" s="685"/>
      <c r="AO191" s="685"/>
      <c r="AP191" s="685"/>
      <c r="AQ191" s="685"/>
      <c r="AR191" s="685"/>
      <c r="AS191" s="685"/>
      <c r="AT191" s="685"/>
      <c r="AU191" s="685"/>
      <c r="AV191" s="685"/>
      <c r="AW191" s="685"/>
      <c r="AX191" s="685"/>
      <c r="AY191" s="685"/>
      <c r="AZ191" s="685"/>
      <c r="BA191" s="685"/>
      <c r="BB191" s="685"/>
      <c r="BC191" s="685"/>
      <c r="BD191" s="685"/>
    </row>
    <row r="192" spans="1:56">
      <c r="A192" s="685"/>
      <c r="B192" s="1115"/>
      <c r="C192" s="1113"/>
      <c r="D192" s="1114"/>
      <c r="E192" s="1113"/>
      <c r="F192" s="1113"/>
      <c r="G192" s="1113"/>
      <c r="H192" s="1113"/>
      <c r="I192" s="1113"/>
      <c r="J192" s="1113"/>
      <c r="K192" s="1113"/>
      <c r="L192" s="1113"/>
      <c r="M192" s="1113"/>
      <c r="N192" s="1113"/>
      <c r="O192" s="1113"/>
      <c r="P192" s="1113"/>
      <c r="Q192" s="1113"/>
      <c r="R192" s="1113"/>
      <c r="S192" s="1113"/>
      <c r="T192" s="1113"/>
      <c r="U192" s="1113"/>
      <c r="V192" s="1113"/>
      <c r="W192" s="1113"/>
      <c r="X192" s="1113"/>
      <c r="Y192" s="1113"/>
      <c r="Z192" s="1113"/>
      <c r="AA192" s="1113"/>
      <c r="AB192" s="1113"/>
      <c r="AC192" s="1113"/>
      <c r="AD192" s="1113"/>
      <c r="AE192" s="1113"/>
      <c r="AF192" s="1113"/>
      <c r="AG192" s="1113"/>
      <c r="AH192" s="1113"/>
      <c r="AI192" s="685"/>
      <c r="AJ192" s="685"/>
      <c r="AK192" s="685"/>
      <c r="AL192" s="685"/>
      <c r="AM192" s="685"/>
      <c r="AN192" s="685"/>
      <c r="AO192" s="685"/>
      <c r="AP192" s="685"/>
      <c r="AQ192" s="685"/>
      <c r="AR192" s="685"/>
      <c r="AS192" s="685"/>
      <c r="AT192" s="685"/>
      <c r="AU192" s="685"/>
      <c r="AV192" s="685"/>
      <c r="AW192" s="685"/>
      <c r="AX192" s="685"/>
      <c r="AY192" s="685"/>
      <c r="AZ192" s="685"/>
      <c r="BA192" s="685"/>
      <c r="BB192" s="685"/>
      <c r="BC192" s="685"/>
      <c r="BD192" s="685"/>
    </row>
    <row r="193" spans="1:56">
      <c r="A193" s="685"/>
      <c r="B193" s="1115" t="s">
        <v>267</v>
      </c>
      <c r="C193" s="1123"/>
      <c r="D193" s="1123">
        <f t="shared" ref="D193:AC193" si="129">D459</f>
        <v>0</v>
      </c>
      <c r="E193" s="1123">
        <f t="shared" si="129"/>
        <v>0</v>
      </c>
      <c r="F193" s="1123">
        <f t="shared" si="129"/>
        <v>0</v>
      </c>
      <c r="G193" s="1123">
        <f t="shared" si="129"/>
        <v>0</v>
      </c>
      <c r="H193" s="1123">
        <f t="shared" si="129"/>
        <v>0</v>
      </c>
      <c r="I193" s="1123">
        <f t="shared" si="129"/>
        <v>6793</v>
      </c>
      <c r="J193" s="1123">
        <f t="shared" si="129"/>
        <v>7197</v>
      </c>
      <c r="K193" s="1123">
        <f t="shared" si="129"/>
        <v>7891</v>
      </c>
      <c r="L193" s="1123">
        <f t="shared" si="129"/>
        <v>10234</v>
      </c>
      <c r="M193" s="1123">
        <f t="shared" si="129"/>
        <v>11110</v>
      </c>
      <c r="N193" s="1123">
        <f t="shared" si="129"/>
        <v>12138.8</v>
      </c>
      <c r="O193" s="1123">
        <f t="shared" si="129"/>
        <v>12589.5</v>
      </c>
      <c r="P193" s="1123">
        <f t="shared" si="129"/>
        <v>13995</v>
      </c>
      <c r="Q193" s="1123">
        <f t="shared" si="129"/>
        <v>15070</v>
      </c>
      <c r="R193" s="1123">
        <f t="shared" si="129"/>
        <v>14874</v>
      </c>
      <c r="S193" s="1123">
        <f t="shared" si="129"/>
        <v>14510.1</v>
      </c>
      <c r="T193" s="1123">
        <f t="shared" si="129"/>
        <v>15299.2</v>
      </c>
      <c r="U193" s="1123">
        <f t="shared" si="129"/>
        <v>15619.3</v>
      </c>
      <c r="V193" s="1123">
        <f t="shared" si="129"/>
        <v>15400.9</v>
      </c>
      <c r="W193" s="1123">
        <f t="shared" si="129"/>
        <v>9241.5689999999995</v>
      </c>
      <c r="X193" s="1123">
        <f t="shared" si="129"/>
        <v>9472.723</v>
      </c>
      <c r="Y193" s="1123">
        <f t="shared" si="129"/>
        <v>9595.1750499999998</v>
      </c>
      <c r="Z193" s="1123">
        <f t="shared" si="129"/>
        <v>9723.7497025000011</v>
      </c>
      <c r="AA193" s="1123">
        <f t="shared" si="129"/>
        <v>9858.7530876250021</v>
      </c>
      <c r="AB193" s="1123">
        <f t="shared" si="129"/>
        <v>10000.506642006252</v>
      </c>
      <c r="AC193" s="1123">
        <f t="shared" si="129"/>
        <v>10149.347874106565</v>
      </c>
      <c r="AD193" s="1123">
        <f>AD459</f>
        <v>10305.631167811893</v>
      </c>
      <c r="AE193" s="1123">
        <f>AE459</f>
        <v>10469.728626202486</v>
      </c>
      <c r="AF193" s="1123">
        <f>AF459</f>
        <v>10642.03095751261</v>
      </c>
      <c r="AG193" s="1123">
        <f>AG459</f>
        <v>10822.948405388241</v>
      </c>
      <c r="AH193" s="1123">
        <f>AH459</f>
        <v>11012.911725657654</v>
      </c>
      <c r="AI193" s="685"/>
      <c r="AJ193" s="685"/>
      <c r="AK193" s="685"/>
      <c r="AL193" s="685"/>
      <c r="AM193" s="685"/>
      <c r="AN193" s="685"/>
      <c r="AO193" s="685"/>
      <c r="AP193" s="685"/>
      <c r="AQ193" s="685"/>
      <c r="AR193" s="685"/>
      <c r="AS193" s="685"/>
      <c r="AT193" s="685"/>
      <c r="AU193" s="685"/>
      <c r="AV193" s="685"/>
      <c r="AW193" s="685"/>
      <c r="AX193" s="685"/>
      <c r="AY193" s="685"/>
      <c r="AZ193" s="685"/>
      <c r="BA193" s="685"/>
      <c r="BB193" s="685"/>
      <c r="BC193" s="685"/>
      <c r="BD193" s="685"/>
    </row>
    <row r="194" spans="1:56">
      <c r="A194" s="685"/>
      <c r="B194" s="1115" t="s">
        <v>268</v>
      </c>
      <c r="C194" s="1123"/>
      <c r="D194" s="1123">
        <f t="shared" ref="D194:AC194" si="130">D464</f>
        <v>0</v>
      </c>
      <c r="E194" s="1123">
        <f t="shared" si="130"/>
        <v>0</v>
      </c>
      <c r="F194" s="1123">
        <f t="shared" si="130"/>
        <v>0</v>
      </c>
      <c r="G194" s="1123">
        <f t="shared" si="130"/>
        <v>0</v>
      </c>
      <c r="H194" s="1123">
        <f t="shared" si="130"/>
        <v>0</v>
      </c>
      <c r="I194" s="1123">
        <f t="shared" si="130"/>
        <v>45064</v>
      </c>
      <c r="J194" s="1123">
        <f t="shared" si="130"/>
        <v>51660</v>
      </c>
      <c r="K194" s="1123">
        <f t="shared" si="130"/>
        <v>60644</v>
      </c>
      <c r="L194" s="1123">
        <f t="shared" si="130"/>
        <v>68675</v>
      </c>
      <c r="M194" s="1123">
        <f t="shared" si="130"/>
        <v>76805</v>
      </c>
      <c r="N194" s="1123">
        <f t="shared" si="130"/>
        <v>87382.5</v>
      </c>
      <c r="O194" s="1123">
        <f t="shared" si="130"/>
        <v>82204.2</v>
      </c>
      <c r="P194" s="1123">
        <f t="shared" si="130"/>
        <v>85662</v>
      </c>
      <c r="Q194" s="1123">
        <f t="shared" si="130"/>
        <v>89710</v>
      </c>
      <c r="R194" s="1123">
        <f t="shared" si="130"/>
        <v>90627</v>
      </c>
      <c r="S194" s="1123">
        <f t="shared" si="130"/>
        <v>73801</v>
      </c>
      <c r="T194" s="1123">
        <f t="shared" si="130"/>
        <v>80487.5</v>
      </c>
      <c r="U194" s="1123">
        <f t="shared" si="130"/>
        <v>126772.4</v>
      </c>
      <c r="V194" s="1123">
        <f t="shared" si="130"/>
        <v>117625.9</v>
      </c>
      <c r="W194" s="1123">
        <f t="shared" si="130"/>
        <v>102454.056</v>
      </c>
      <c r="X194" s="1123">
        <f t="shared" si="130"/>
        <v>93056.138000000006</v>
      </c>
      <c r="Y194" s="1123">
        <f t="shared" ca="1" si="130"/>
        <v>92742.547290319955</v>
      </c>
      <c r="Z194" s="1123">
        <f t="shared" ca="1" si="130"/>
        <v>94151.890677792093</v>
      </c>
      <c r="AA194" s="1123">
        <f t="shared" ca="1" si="130"/>
        <v>94987.691812469871</v>
      </c>
      <c r="AB194" s="1123">
        <f t="shared" ca="1" si="130"/>
        <v>96912.84136094623</v>
      </c>
      <c r="AC194" s="1123">
        <f t="shared" ca="1" si="130"/>
        <v>100179.61350525948</v>
      </c>
      <c r="AD194" s="1123">
        <f ca="1">AD464</f>
        <v>104817.32665413816</v>
      </c>
      <c r="AE194" s="1123">
        <f ca="1">AE464</f>
        <v>110655.40622033409</v>
      </c>
      <c r="AF194" s="1123">
        <f ca="1">AF464</f>
        <v>117570.30367551235</v>
      </c>
      <c r="AG194" s="1123">
        <f ca="1">AG464</f>
        <v>125142.17519383825</v>
      </c>
      <c r="AH194" s="1123">
        <f ca="1">AH464</f>
        <v>133374.78458030327</v>
      </c>
      <c r="AI194" s="685"/>
      <c r="AJ194" s="685"/>
      <c r="AK194" s="685"/>
      <c r="AL194" s="685"/>
      <c r="AM194" s="685"/>
      <c r="AN194" s="685"/>
      <c r="AO194" s="685"/>
      <c r="AP194" s="685"/>
      <c r="AQ194" s="685"/>
      <c r="AR194" s="685"/>
      <c r="AS194" s="685"/>
      <c r="AT194" s="685"/>
      <c r="AU194" s="685"/>
      <c r="AV194" s="685"/>
      <c r="AW194" s="685"/>
      <c r="AX194" s="685"/>
      <c r="AY194" s="685"/>
      <c r="AZ194" s="685"/>
      <c r="BA194" s="685"/>
      <c r="BB194" s="685"/>
      <c r="BC194" s="685"/>
      <c r="BD194" s="685"/>
    </row>
    <row r="195" spans="1:56">
      <c r="A195" s="685"/>
      <c r="B195" s="1115"/>
      <c r="C195" s="1113"/>
      <c r="D195" s="1165"/>
      <c r="E195" s="1113"/>
      <c r="F195" s="1113"/>
      <c r="G195" s="1113"/>
      <c r="H195" s="1113"/>
      <c r="I195" s="1113"/>
      <c r="J195" s="1113"/>
      <c r="K195" s="1113"/>
      <c r="L195" s="1113"/>
      <c r="M195" s="1113"/>
      <c r="N195" s="1113"/>
      <c r="O195" s="1113"/>
      <c r="P195" s="1113"/>
      <c r="Q195" s="1113"/>
      <c r="R195" s="1113"/>
      <c r="S195" s="1113"/>
      <c r="T195" s="1113"/>
      <c r="U195" s="1113"/>
      <c r="V195" s="1113"/>
      <c r="W195" s="1113"/>
      <c r="X195" s="1113"/>
      <c r="Y195" s="1113"/>
      <c r="Z195" s="1113"/>
      <c r="AA195" s="1113"/>
      <c r="AB195" s="1113"/>
      <c r="AC195" s="1113"/>
      <c r="AD195" s="1113"/>
      <c r="AE195" s="1113"/>
      <c r="AF195" s="1113"/>
      <c r="AG195" s="1113"/>
      <c r="AH195" s="1113"/>
      <c r="AI195" s="685"/>
      <c r="AJ195" s="685"/>
      <c r="AK195" s="685"/>
      <c r="AL195" s="685"/>
      <c r="AM195" s="685"/>
      <c r="AN195" s="685"/>
      <c r="AO195" s="685"/>
      <c r="AP195" s="685"/>
      <c r="AQ195" s="685"/>
      <c r="AR195" s="685"/>
      <c r="AS195" s="685"/>
      <c r="AT195" s="685"/>
      <c r="AU195" s="685"/>
      <c r="AV195" s="685"/>
      <c r="AW195" s="685"/>
      <c r="AX195" s="685"/>
      <c r="AY195" s="685"/>
      <c r="AZ195" s="685"/>
      <c r="BA195" s="685"/>
      <c r="BB195" s="685"/>
      <c r="BC195" s="685"/>
      <c r="BD195" s="685"/>
    </row>
    <row r="196" spans="1:56">
      <c r="A196" s="685"/>
      <c r="B196" s="1113" t="s">
        <v>269</v>
      </c>
      <c r="C196" s="1114"/>
      <c r="D196" s="1114">
        <f t="shared" ref="D196:AC196" si="131">SUM(D188:D194)</f>
        <v>0</v>
      </c>
      <c r="E196" s="1114">
        <f t="shared" si="131"/>
        <v>0</v>
      </c>
      <c r="F196" s="1114">
        <f t="shared" si="131"/>
        <v>0</v>
      </c>
      <c r="G196" s="1114">
        <f t="shared" si="131"/>
        <v>0</v>
      </c>
      <c r="H196" s="1114">
        <f t="shared" si="131"/>
        <v>43416</v>
      </c>
      <c r="I196" s="1114">
        <f t="shared" si="131"/>
        <v>136470</v>
      </c>
      <c r="J196" s="1114">
        <f t="shared" si="131"/>
        <v>155061</v>
      </c>
      <c r="K196" s="1114">
        <f t="shared" si="131"/>
        <v>165067</v>
      </c>
      <c r="L196" s="1114">
        <f t="shared" si="131"/>
        <v>194508</v>
      </c>
      <c r="M196" s="1114">
        <f t="shared" si="131"/>
        <v>226894</v>
      </c>
      <c r="N196" s="1114">
        <f t="shared" si="131"/>
        <v>281473.3</v>
      </c>
      <c r="O196" s="1114">
        <f t="shared" si="131"/>
        <v>306883</v>
      </c>
      <c r="P196" s="1114">
        <f t="shared" si="131"/>
        <v>297220</v>
      </c>
      <c r="Q196" s="1114">
        <f t="shared" si="131"/>
        <v>297841</v>
      </c>
      <c r="R196" s="1114">
        <f t="shared" si="131"/>
        <v>290423</v>
      </c>
      <c r="S196" s="1114">
        <f t="shared" si="131"/>
        <v>271986.09999999998</v>
      </c>
      <c r="T196" s="1114">
        <f t="shared" si="131"/>
        <v>292900.5</v>
      </c>
      <c r="U196" s="1114">
        <f t="shared" si="131"/>
        <v>297705.09999999998</v>
      </c>
      <c r="V196" s="1114">
        <f t="shared" si="131"/>
        <v>261835.8</v>
      </c>
      <c r="W196" s="1114">
        <f t="shared" si="131"/>
        <v>251657.89600000001</v>
      </c>
      <c r="X196" s="1114">
        <f t="shared" si="131"/>
        <v>228418.02500000002</v>
      </c>
      <c r="Y196" s="1114">
        <f t="shared" ca="1" si="131"/>
        <v>230437.18105909022</v>
      </c>
      <c r="Z196" s="1114">
        <f t="shared" ca="1" si="131"/>
        <v>224835.66162395891</v>
      </c>
      <c r="AA196" s="1114">
        <f t="shared" ca="1" si="131"/>
        <v>226230.04991863476</v>
      </c>
      <c r="AB196" s="1114">
        <f t="shared" ca="1" si="131"/>
        <v>228607.72534726578</v>
      </c>
      <c r="AC196" s="1114">
        <f t="shared" ca="1" si="131"/>
        <v>232325.21324684771</v>
      </c>
      <c r="AD196" s="1114">
        <f ca="1">SUM(AD188:AD194)</f>
        <v>238155.54385807857</v>
      </c>
      <c r="AE196" s="1114">
        <f ca="1">SUM(AE188:AE194)</f>
        <v>245518.99429920441</v>
      </c>
      <c r="AF196" s="1114">
        <f ca="1">SUM(AF188:AF194)</f>
        <v>254162.26949762093</v>
      </c>
      <c r="AG196" s="1114">
        <f ca="1">SUM(AG188:AG194)</f>
        <v>263419.20609454502</v>
      </c>
      <c r="AH196" s="1114">
        <f ca="1">SUM(AH188:AH194)</f>
        <v>273335.4549498288</v>
      </c>
      <c r="AI196" s="685"/>
      <c r="AJ196" s="685"/>
      <c r="AK196" s="685"/>
      <c r="AL196" s="685"/>
      <c r="AM196" s="685"/>
      <c r="AN196" s="685"/>
      <c r="AO196" s="685"/>
      <c r="AP196" s="685"/>
      <c r="AQ196" s="685"/>
      <c r="AR196" s="685"/>
      <c r="AS196" s="685"/>
      <c r="AT196" s="685"/>
      <c r="AU196" s="685"/>
      <c r="AV196" s="685"/>
      <c r="AW196" s="685"/>
      <c r="AX196" s="685"/>
      <c r="AY196" s="685"/>
      <c r="AZ196" s="685"/>
      <c r="BA196" s="685"/>
      <c r="BB196" s="685"/>
      <c r="BC196" s="685"/>
      <c r="BD196" s="685"/>
    </row>
    <row r="197" spans="1:56">
      <c r="A197" s="685"/>
      <c r="B197" s="1115" t="s">
        <v>270</v>
      </c>
      <c r="C197" s="1123"/>
      <c r="D197" s="1123">
        <f t="shared" ref="D197:AC197" si="132">D196-D183</f>
        <v>0</v>
      </c>
      <c r="E197" s="1123">
        <f t="shared" si="132"/>
        <v>0</v>
      </c>
      <c r="F197" s="1123">
        <f t="shared" si="132"/>
        <v>0</v>
      </c>
      <c r="G197" s="1123">
        <f t="shared" si="132"/>
        <v>0</v>
      </c>
      <c r="H197" s="1123">
        <f t="shared" si="132"/>
        <v>576.90000000000146</v>
      </c>
      <c r="I197" s="1123">
        <f t="shared" si="132"/>
        <v>-1.1000000000058208</v>
      </c>
      <c r="J197" s="1123">
        <f t="shared" si="132"/>
        <v>-0.10000000000582077</v>
      </c>
      <c r="K197" s="1123">
        <f t="shared" si="132"/>
        <v>0.89999999999417923</v>
      </c>
      <c r="L197" s="1123">
        <f t="shared" si="132"/>
        <v>0.89999999999417923</v>
      </c>
      <c r="M197" s="1123">
        <f t="shared" si="132"/>
        <v>-0.3000000000174623</v>
      </c>
      <c r="N197" s="1123">
        <f t="shared" si="132"/>
        <v>-0.5</v>
      </c>
      <c r="O197" s="1123">
        <f t="shared" si="132"/>
        <v>0</v>
      </c>
      <c r="P197" s="1123">
        <f t="shared" si="132"/>
        <v>0</v>
      </c>
      <c r="Q197" s="1123">
        <f t="shared" si="132"/>
        <v>-1</v>
      </c>
      <c r="R197" s="1123">
        <f t="shared" si="132"/>
        <v>1</v>
      </c>
      <c r="S197" s="1123">
        <f t="shared" si="132"/>
        <v>1.0999999999767169</v>
      </c>
      <c r="T197" s="1123">
        <f t="shared" si="132"/>
        <v>0</v>
      </c>
      <c r="U197" s="1123">
        <f t="shared" si="132"/>
        <v>0</v>
      </c>
      <c r="V197" s="1123">
        <f t="shared" si="132"/>
        <v>0</v>
      </c>
      <c r="W197" s="1123">
        <f t="shared" si="132"/>
        <v>0</v>
      </c>
      <c r="X197" s="1123">
        <f t="shared" si="132"/>
        <v>0</v>
      </c>
      <c r="Y197" s="1123">
        <f t="shared" ca="1" si="132"/>
        <v>5138.3500151388871</v>
      </c>
      <c r="Z197" s="1123">
        <f t="shared" ca="1" si="132"/>
        <v>5643.9849766296102</v>
      </c>
      <c r="AA197" s="1123">
        <f t="shared" ca="1" si="132"/>
        <v>5983.6787393562263</v>
      </c>
      <c r="AB197" s="1123">
        <f t="shared" ca="1" si="132"/>
        <v>6360.1920527987531</v>
      </c>
      <c r="AC197" s="1123">
        <f t="shared" ca="1" si="132"/>
        <v>6746.0410055248067</v>
      </c>
      <c r="AD197" s="1123">
        <f ca="1">AD196-AD183</f>
        <v>7141.6496906081156</v>
      </c>
      <c r="AE197" s="1123">
        <f ca="1">AE196-AE183</f>
        <v>7544.5192902437993</v>
      </c>
      <c r="AF197" s="1123">
        <f ca="1">AF196-AF183</f>
        <v>7955.2104727604019</v>
      </c>
      <c r="AG197" s="1123">
        <f ca="1">AG196-AG183</f>
        <v>8372.3808378612739</v>
      </c>
      <c r="AH197" s="1123">
        <f ca="1">AH196-AH183</f>
        <v>8794.7230329802842</v>
      </c>
      <c r="AI197" s="685"/>
      <c r="AJ197" s="685"/>
      <c r="AK197" s="685"/>
      <c r="AL197" s="685"/>
      <c r="AM197" s="685"/>
      <c r="AN197" s="685"/>
      <c r="AO197" s="685"/>
      <c r="AP197" s="685"/>
      <c r="AQ197" s="685"/>
      <c r="AR197" s="685"/>
      <c r="AS197" s="685"/>
      <c r="AT197" s="685"/>
      <c r="AU197" s="685"/>
      <c r="AV197" s="685"/>
      <c r="AW197" s="685"/>
      <c r="AX197" s="685"/>
      <c r="AY197" s="685"/>
      <c r="AZ197" s="685"/>
      <c r="BA197" s="685"/>
      <c r="BB197" s="685"/>
      <c r="BC197" s="685"/>
      <c r="BD197" s="685"/>
    </row>
    <row r="198" spans="1:56">
      <c r="A198" s="685"/>
      <c r="B198" s="1115"/>
      <c r="C198" s="1123"/>
      <c r="D198" s="1123"/>
      <c r="E198" s="1123"/>
      <c r="F198" s="1123"/>
      <c r="G198" s="1123"/>
      <c r="H198" s="1123"/>
      <c r="I198" s="1123"/>
      <c r="J198" s="1123"/>
      <c r="K198" s="1123"/>
      <c r="L198" s="1123"/>
      <c r="M198" s="1124"/>
      <c r="N198" s="1123"/>
      <c r="O198" s="1123"/>
      <c r="P198" s="1123"/>
      <c r="Q198" s="1123"/>
      <c r="R198" s="1123"/>
      <c r="S198" s="1123"/>
      <c r="T198" s="1123"/>
      <c r="U198" s="1123"/>
      <c r="V198" s="1123"/>
      <c r="W198" s="1123"/>
      <c r="X198" s="1123"/>
      <c r="Y198" s="1123"/>
      <c r="Z198" s="1123"/>
      <c r="AA198" s="1123"/>
      <c r="AB198" s="1123"/>
      <c r="AC198" s="1123"/>
      <c r="AD198" s="1123"/>
      <c r="AE198" s="1123"/>
      <c r="AF198" s="1123"/>
      <c r="AG198" s="1123"/>
      <c r="AH198" s="1123"/>
      <c r="AI198" s="685"/>
      <c r="AJ198" s="685"/>
      <c r="AK198" s="685"/>
      <c r="AL198" s="685"/>
      <c r="AM198" s="685"/>
      <c r="AN198" s="685"/>
      <c r="AO198" s="685"/>
      <c r="AP198" s="685"/>
      <c r="AQ198" s="685"/>
      <c r="AR198" s="685"/>
      <c r="AS198" s="685"/>
      <c r="AT198" s="685"/>
      <c r="AU198" s="685"/>
      <c r="AV198" s="685"/>
      <c r="AW198" s="685"/>
      <c r="AX198" s="685"/>
      <c r="AY198" s="685"/>
      <c r="AZ198" s="685"/>
      <c r="BA198" s="685"/>
      <c r="BB198" s="685"/>
      <c r="BC198" s="685"/>
      <c r="BD198" s="685"/>
    </row>
    <row r="199" spans="1:56">
      <c r="A199" s="685"/>
      <c r="B199" s="1113" t="s">
        <v>271</v>
      </c>
      <c r="C199" s="1114"/>
      <c r="D199" s="1114">
        <f>D190+D187-D173</f>
        <v>0</v>
      </c>
      <c r="E199" s="1114">
        <f t="shared" ref="E199:AC199" si="133">E221</f>
        <v>0</v>
      </c>
      <c r="F199" s="1114">
        <f t="shared" si="133"/>
        <v>0</v>
      </c>
      <c r="G199" s="1114">
        <f t="shared" si="133"/>
        <v>0</v>
      </c>
      <c r="H199" s="1114">
        <f t="shared" si="133"/>
        <v>576.90000000000146</v>
      </c>
      <c r="I199" s="1114">
        <f t="shared" si="133"/>
        <v>12718</v>
      </c>
      <c r="J199" s="1114">
        <f t="shared" si="133"/>
        <v>31773</v>
      </c>
      <c r="K199" s="1114">
        <f t="shared" si="133"/>
        <v>25610</v>
      </c>
      <c r="L199" s="1114">
        <f t="shared" si="133"/>
        <v>34993</v>
      </c>
      <c r="M199" s="1114">
        <f t="shared" si="133"/>
        <v>40507.000000000007</v>
      </c>
      <c r="N199" s="1114">
        <f t="shared" si="133"/>
        <v>55481</v>
      </c>
      <c r="O199" s="1114">
        <f t="shared" si="133"/>
        <v>78405.899999999994</v>
      </c>
      <c r="P199" s="1114">
        <f t="shared" si="133"/>
        <v>79273</v>
      </c>
      <c r="Q199" s="1114">
        <f t="shared" si="133"/>
        <v>83317.7</v>
      </c>
      <c r="R199" s="1114">
        <f t="shared" si="133"/>
        <v>104172.40000000001</v>
      </c>
      <c r="S199" s="1114">
        <f t="shared" si="133"/>
        <v>102787.20000000001</v>
      </c>
      <c r="T199" s="1114">
        <f t="shared" si="133"/>
        <v>109644.49999999999</v>
      </c>
      <c r="U199" s="1114">
        <f t="shared" si="133"/>
        <v>62478.7</v>
      </c>
      <c r="V199" s="1114">
        <f t="shared" si="133"/>
        <v>63241.117999999988</v>
      </c>
      <c r="W199" s="1114">
        <f>W221</f>
        <v>62142.627</v>
      </c>
      <c r="X199" s="1114">
        <f t="shared" si="133"/>
        <v>55054.5</v>
      </c>
      <c r="Y199" s="1114">
        <f t="shared" ca="1" si="133"/>
        <v>54653.494928780616</v>
      </c>
      <c r="Z199" s="1114">
        <f t="shared" ca="1" si="133"/>
        <v>55342.041321279292</v>
      </c>
      <c r="AA199" s="1114">
        <f t="shared" ca="1" si="133"/>
        <v>55795.884496091167</v>
      </c>
      <c r="AB199" s="1114">
        <f t="shared" ca="1" si="133"/>
        <v>54288.499316489833</v>
      </c>
      <c r="AC199" s="1114">
        <f t="shared" ca="1" si="133"/>
        <v>52366.418746178511</v>
      </c>
      <c r="AD199" s="1114">
        <f ca="1">AD221</f>
        <v>50049.977498695029</v>
      </c>
      <c r="AE199" s="1114">
        <f ca="1">AE221</f>
        <v>47444.193638901423</v>
      </c>
      <c r="AF199" s="1114">
        <f ca="1">AF221</f>
        <v>44541.47810606267</v>
      </c>
      <c r="AG199" s="1114">
        <f ca="1">AG221</f>
        <v>41607.88530329262</v>
      </c>
      <c r="AH199" s="1114">
        <f ca="1">AH221</f>
        <v>38726.404307851932</v>
      </c>
      <c r="AI199" s="685"/>
      <c r="AJ199" s="685"/>
      <c r="AK199" s="685"/>
      <c r="AL199" s="685"/>
      <c r="AM199" s="685"/>
      <c r="AN199" s="685"/>
      <c r="AO199" s="685"/>
      <c r="AP199" s="685"/>
      <c r="AQ199" s="685"/>
      <c r="AR199" s="685"/>
      <c r="AS199" s="685"/>
      <c r="AT199" s="685"/>
      <c r="AU199" s="685"/>
      <c r="AV199" s="685"/>
      <c r="AW199" s="685"/>
      <c r="AX199" s="685"/>
      <c r="AY199" s="685"/>
      <c r="AZ199" s="685"/>
      <c r="BA199" s="685"/>
      <c r="BB199" s="685"/>
      <c r="BC199" s="685"/>
      <c r="BD199" s="685"/>
    </row>
    <row r="200" spans="1:56">
      <c r="A200" s="685"/>
      <c r="B200" s="1115" t="s">
        <v>272</v>
      </c>
      <c r="C200" s="1123"/>
      <c r="D200" s="1123">
        <f t="shared" ref="D200:AE200" si="134">D199-C199</f>
        <v>0</v>
      </c>
      <c r="E200" s="1123">
        <f t="shared" si="134"/>
        <v>0</v>
      </c>
      <c r="F200" s="1123">
        <f t="shared" si="134"/>
        <v>0</v>
      </c>
      <c r="G200" s="1123">
        <f t="shared" si="134"/>
        <v>0</v>
      </c>
      <c r="H200" s="1123">
        <f t="shared" si="134"/>
        <v>576.90000000000146</v>
      </c>
      <c r="I200" s="1123">
        <f t="shared" si="134"/>
        <v>12141.099999999999</v>
      </c>
      <c r="J200" s="1123">
        <f t="shared" si="134"/>
        <v>19055</v>
      </c>
      <c r="K200" s="1123">
        <f t="shared" si="134"/>
        <v>-6163</v>
      </c>
      <c r="L200" s="1123">
        <f t="shared" si="134"/>
        <v>9383</v>
      </c>
      <c r="M200" s="1123">
        <f t="shared" si="134"/>
        <v>5514.0000000000073</v>
      </c>
      <c r="N200" s="1123">
        <f t="shared" si="134"/>
        <v>14973.999999999993</v>
      </c>
      <c r="O200" s="1123">
        <f t="shared" si="134"/>
        <v>22924.899999999994</v>
      </c>
      <c r="P200" s="1123">
        <f t="shared" si="134"/>
        <v>867.10000000000582</v>
      </c>
      <c r="Q200" s="1123">
        <f t="shared" si="134"/>
        <v>4044.6999999999971</v>
      </c>
      <c r="R200" s="1123">
        <f t="shared" si="134"/>
        <v>20854.700000000012</v>
      </c>
      <c r="S200" s="1123">
        <f t="shared" si="134"/>
        <v>-1385.1999999999971</v>
      </c>
      <c r="T200" s="1123">
        <f t="shared" si="134"/>
        <v>6857.2999999999738</v>
      </c>
      <c r="U200" s="1123">
        <f t="shared" si="134"/>
        <v>-47165.799999999988</v>
      </c>
      <c r="V200" s="1123">
        <f t="shared" si="134"/>
        <v>762.41799999999057</v>
      </c>
      <c r="W200" s="1123">
        <f t="shared" si="134"/>
        <v>-1098.4909999999873</v>
      </c>
      <c r="X200" s="1123">
        <f t="shared" si="134"/>
        <v>-7088.1270000000004</v>
      </c>
      <c r="Y200" s="1123">
        <f t="shared" ca="1" si="134"/>
        <v>-401.00507121938426</v>
      </c>
      <c r="Z200" s="1123">
        <f t="shared" ca="1" si="134"/>
        <v>688.54639249867614</v>
      </c>
      <c r="AA200" s="1123">
        <f t="shared" ca="1" si="134"/>
        <v>453.84317481187463</v>
      </c>
      <c r="AB200" s="1123">
        <f t="shared" ca="1" si="134"/>
        <v>-1507.3851796013332</v>
      </c>
      <c r="AC200" s="1123">
        <f t="shared" ca="1" si="134"/>
        <v>-1922.0805703113219</v>
      </c>
      <c r="AD200" s="1123">
        <f t="shared" ca="1" si="134"/>
        <v>-2316.4412474834826</v>
      </c>
      <c r="AE200" s="1123">
        <f t="shared" ca="1" si="134"/>
        <v>-2605.7838597936061</v>
      </c>
      <c r="AF200" s="1123">
        <f ca="1">AF199-AE199</f>
        <v>-2902.7155328387526</v>
      </c>
      <c r="AG200" s="1123">
        <f ca="1">AG199-AF199</f>
        <v>-2933.5928027700502</v>
      </c>
      <c r="AH200" s="1123">
        <f ca="1">AH199-AG199</f>
        <v>-2881.4809954406883</v>
      </c>
      <c r="AI200" s="685"/>
      <c r="AJ200" s="685"/>
      <c r="AK200" s="685"/>
      <c r="AL200" s="685"/>
      <c r="AM200" s="685"/>
      <c r="AN200" s="685"/>
      <c r="AO200" s="685"/>
      <c r="AP200" s="685"/>
      <c r="AQ200" s="685"/>
      <c r="AR200" s="685"/>
      <c r="AS200" s="685"/>
      <c r="AT200" s="685"/>
      <c r="AU200" s="685"/>
      <c r="AV200" s="685"/>
      <c r="AW200" s="685"/>
      <c r="AX200" s="685"/>
      <c r="AY200" s="685"/>
      <c r="AZ200" s="685"/>
      <c r="BA200" s="685"/>
      <c r="BB200" s="685"/>
      <c r="BC200" s="685"/>
      <c r="BD200" s="685"/>
    </row>
    <row r="201" spans="1:56">
      <c r="A201" s="685"/>
      <c r="B201" s="1115"/>
      <c r="C201" s="1115"/>
      <c r="D201" s="1115"/>
      <c r="E201" s="1115"/>
      <c r="F201" s="1115"/>
      <c r="G201" s="1115"/>
      <c r="H201" s="1123"/>
      <c r="I201" s="1123"/>
      <c r="J201" s="1123"/>
      <c r="K201" s="1123"/>
      <c r="L201" s="1123"/>
      <c r="M201" s="1123"/>
      <c r="N201" s="1123"/>
      <c r="O201" s="1123"/>
      <c r="P201" s="1123"/>
      <c r="Q201" s="1124"/>
      <c r="R201" s="1123"/>
      <c r="S201" s="1123"/>
      <c r="T201" s="1123"/>
      <c r="U201" s="1123"/>
      <c r="V201" s="1129"/>
      <c r="W201" s="1129"/>
      <c r="X201" s="1129"/>
      <c r="Y201" s="1129"/>
      <c r="Z201" s="1129"/>
      <c r="AA201" s="1123"/>
      <c r="AB201" s="1123"/>
      <c r="AC201" s="1123"/>
      <c r="AD201" s="1123"/>
      <c r="AE201" s="1123"/>
      <c r="AF201" s="1123"/>
      <c r="AG201" s="1123"/>
      <c r="AH201" s="1123"/>
      <c r="AI201" s="685"/>
      <c r="AJ201" s="685"/>
      <c r="AK201" s="685"/>
      <c r="AL201" s="685"/>
      <c r="AM201" s="685"/>
      <c r="AN201" s="685"/>
      <c r="AO201" s="685"/>
      <c r="AP201" s="685"/>
      <c r="AQ201" s="685"/>
      <c r="AR201" s="685"/>
      <c r="AS201" s="685"/>
      <c r="AT201" s="685"/>
      <c r="AU201" s="685"/>
      <c r="AV201" s="685"/>
      <c r="AW201" s="685"/>
      <c r="AX201" s="685"/>
      <c r="AY201" s="685"/>
      <c r="AZ201" s="685"/>
      <c r="BA201" s="685"/>
      <c r="BB201" s="685"/>
      <c r="BC201" s="685"/>
      <c r="BD201" s="685"/>
    </row>
    <row r="202" spans="1:56">
      <c r="A202" s="685"/>
      <c r="B202" s="1115"/>
      <c r="C202" s="1115"/>
      <c r="D202" s="1115"/>
      <c r="E202" s="1115"/>
      <c r="F202" s="1115"/>
      <c r="G202" s="1115"/>
      <c r="H202" s="1123"/>
      <c r="I202" s="1123"/>
      <c r="J202" s="1123"/>
      <c r="K202" s="1123"/>
      <c r="L202" s="1123"/>
      <c r="M202" s="1123"/>
      <c r="N202" s="1123"/>
      <c r="O202" s="1123"/>
      <c r="P202" s="1123"/>
      <c r="Q202" s="1124"/>
      <c r="R202" s="1123"/>
      <c r="S202" s="1123"/>
      <c r="T202" s="1123"/>
      <c r="U202" s="1123"/>
      <c r="V202" s="1123"/>
      <c r="W202" s="1123"/>
      <c r="X202" s="1123"/>
      <c r="Y202" s="1123"/>
      <c r="Z202" s="1123"/>
      <c r="AA202" s="1123"/>
      <c r="AB202" s="1123"/>
      <c r="AC202" s="1123"/>
      <c r="AD202" s="1123"/>
      <c r="AE202" s="1123"/>
      <c r="AF202" s="1123"/>
      <c r="AG202" s="1123"/>
      <c r="AH202" s="1123"/>
      <c r="AI202" s="685"/>
      <c r="AJ202" s="685"/>
      <c r="AK202" s="685"/>
      <c r="AL202" s="685"/>
      <c r="AM202" s="685"/>
      <c r="AN202" s="685"/>
      <c r="AO202" s="685"/>
      <c r="AP202" s="685"/>
      <c r="AQ202" s="685"/>
      <c r="AR202" s="685"/>
      <c r="AS202" s="685"/>
      <c r="AT202" s="685"/>
      <c r="AU202" s="685"/>
      <c r="AV202" s="685"/>
      <c r="AW202" s="685"/>
      <c r="AX202" s="685"/>
      <c r="AY202" s="685"/>
      <c r="AZ202" s="685"/>
      <c r="BA202" s="685"/>
      <c r="BB202" s="685"/>
      <c r="BC202" s="685"/>
      <c r="BD202" s="685"/>
    </row>
    <row r="203" spans="1:56">
      <c r="A203" s="685"/>
      <c r="B203" s="1115"/>
      <c r="C203" s="1115"/>
      <c r="D203" s="1115"/>
      <c r="E203" s="1115"/>
      <c r="F203" s="1115"/>
      <c r="G203" s="1115"/>
      <c r="H203" s="1123"/>
      <c r="I203" s="1123"/>
      <c r="J203" s="1123"/>
      <c r="K203" s="1123"/>
      <c r="L203" s="1123"/>
      <c r="M203" s="1123"/>
      <c r="N203" s="1123"/>
      <c r="O203" s="1123"/>
      <c r="P203" s="1123"/>
      <c r="Q203" s="1124"/>
      <c r="R203" s="1123"/>
      <c r="S203" s="1123"/>
      <c r="T203" s="1123"/>
      <c r="U203" s="1123"/>
      <c r="V203" s="1123"/>
      <c r="W203" s="1123"/>
      <c r="X203" s="1123"/>
      <c r="Y203" s="1123"/>
      <c r="AA203" s="1123"/>
      <c r="AB203" s="1123"/>
      <c r="AC203" s="1123"/>
      <c r="AD203" s="1123"/>
      <c r="AE203" s="1124"/>
      <c r="AF203" s="1123"/>
      <c r="AG203" s="1123"/>
      <c r="AH203" s="1123"/>
      <c r="AI203" s="685"/>
      <c r="AJ203" s="685"/>
      <c r="AK203" s="685"/>
      <c r="AL203" s="685"/>
      <c r="AM203" s="1123"/>
      <c r="AN203" s="685"/>
      <c r="AO203" s="685"/>
      <c r="AP203" s="685"/>
      <c r="AQ203" s="685"/>
      <c r="AR203" s="685"/>
      <c r="AS203" s="685"/>
      <c r="AT203" s="685"/>
      <c r="AU203" s="685"/>
      <c r="AV203" s="685"/>
      <c r="AW203" s="685"/>
      <c r="AX203" s="685"/>
      <c r="AY203" s="685"/>
      <c r="AZ203" s="685"/>
      <c r="BA203" s="685"/>
      <c r="BB203" s="685"/>
      <c r="BC203" s="685"/>
      <c r="BD203" s="685"/>
    </row>
    <row r="204" spans="1:56">
      <c r="A204" s="685"/>
      <c r="B204" s="1115"/>
      <c r="C204" s="1115"/>
      <c r="D204" s="1115"/>
      <c r="E204" s="1115"/>
      <c r="F204" s="1115"/>
      <c r="G204" s="1115"/>
      <c r="H204" s="1123"/>
      <c r="I204" s="1123"/>
      <c r="J204" s="1123"/>
      <c r="K204" s="1123"/>
      <c r="L204" s="1123"/>
      <c r="M204" s="1123"/>
      <c r="N204" s="1123"/>
      <c r="O204" s="1123"/>
      <c r="P204" s="1123"/>
      <c r="Q204" s="1124"/>
      <c r="R204" s="1123"/>
      <c r="S204" s="1123"/>
      <c r="T204" s="1123"/>
      <c r="U204" s="1134"/>
      <c r="V204" s="1123"/>
      <c r="W204" s="1123"/>
      <c r="X204" s="1123"/>
      <c r="Y204" s="1123"/>
      <c r="Z204" s="1123"/>
      <c r="AA204" s="1123"/>
      <c r="AB204" s="1123"/>
      <c r="AC204" s="1123"/>
      <c r="AD204" s="1123"/>
      <c r="AE204" s="1123"/>
      <c r="AF204" s="1123"/>
      <c r="AG204" s="1123"/>
      <c r="AH204" s="1123"/>
      <c r="AI204" s="685"/>
      <c r="AJ204" s="685"/>
      <c r="AK204" s="685"/>
      <c r="AL204" s="685"/>
      <c r="AM204" s="1123"/>
      <c r="AN204" s="685"/>
      <c r="AO204" s="685"/>
      <c r="AP204" s="685"/>
      <c r="AQ204" s="685"/>
      <c r="AR204" s="685"/>
      <c r="AS204" s="685"/>
      <c r="AT204" s="685"/>
      <c r="AU204" s="685"/>
      <c r="AV204" s="685"/>
      <c r="AW204" s="685"/>
      <c r="AX204" s="685"/>
      <c r="AY204" s="685"/>
      <c r="AZ204" s="685"/>
      <c r="BA204" s="685"/>
      <c r="BB204" s="685"/>
      <c r="BC204" s="685"/>
      <c r="BD204" s="685"/>
    </row>
    <row r="205" spans="1:56">
      <c r="A205" s="685"/>
      <c r="B205" s="1115"/>
      <c r="C205" s="1115"/>
      <c r="D205" s="1115"/>
      <c r="E205" s="1115"/>
      <c r="F205" s="1115"/>
      <c r="G205" s="1115"/>
      <c r="H205" s="1123"/>
      <c r="I205" s="1123"/>
      <c r="J205" s="1123"/>
      <c r="K205" s="1123"/>
      <c r="L205" s="1123"/>
      <c r="M205" s="1123"/>
      <c r="N205" s="1123"/>
      <c r="O205" s="1123"/>
      <c r="P205" s="1123"/>
      <c r="Q205" s="1124"/>
      <c r="R205" s="1123"/>
      <c r="S205" s="1123"/>
      <c r="T205" s="1123"/>
      <c r="U205" s="1123"/>
      <c r="V205" s="1123"/>
      <c r="W205" s="1123"/>
      <c r="X205" s="1129"/>
      <c r="Y205" s="1123"/>
      <c r="Z205" s="1123"/>
      <c r="AA205" s="1123"/>
      <c r="AB205" s="1618"/>
      <c r="AC205" s="1123"/>
      <c r="AD205" s="1123"/>
      <c r="AE205" s="1123"/>
      <c r="AF205" s="1123"/>
      <c r="AG205" s="1123"/>
      <c r="AH205" s="1123"/>
      <c r="AI205" s="685"/>
      <c r="AJ205" s="685"/>
      <c r="AK205" s="685"/>
      <c r="AL205" s="685"/>
      <c r="AM205" s="1123"/>
      <c r="AN205" s="685"/>
      <c r="AO205" s="685"/>
      <c r="AP205" s="685"/>
      <c r="AQ205" s="685"/>
      <c r="AR205" s="685"/>
      <c r="AS205" s="685"/>
      <c r="AT205" s="685"/>
      <c r="AU205" s="685"/>
      <c r="AV205" s="685"/>
      <c r="AW205" s="685"/>
      <c r="AX205" s="685"/>
      <c r="AY205" s="685"/>
      <c r="AZ205" s="685"/>
      <c r="BA205" s="685"/>
      <c r="BB205" s="685"/>
      <c r="BC205" s="685"/>
      <c r="BD205" s="685"/>
    </row>
    <row r="206" spans="1:56">
      <c r="A206" s="685"/>
      <c r="B206" s="1112" t="s">
        <v>273</v>
      </c>
      <c r="C206" s="1112">
        <v>2004</v>
      </c>
      <c r="D206" s="1112">
        <f t="shared" ref="D206:AE206" si="135">C206+1</f>
        <v>2005</v>
      </c>
      <c r="E206" s="1112">
        <f t="shared" si="135"/>
        <v>2006</v>
      </c>
      <c r="F206" s="1112">
        <f t="shared" si="135"/>
        <v>2007</v>
      </c>
      <c r="G206" s="1112">
        <f t="shared" si="135"/>
        <v>2008</v>
      </c>
      <c r="H206" s="1112">
        <f t="shared" si="135"/>
        <v>2009</v>
      </c>
      <c r="I206" s="1112">
        <f t="shared" si="135"/>
        <v>2010</v>
      </c>
      <c r="J206" s="1112">
        <f t="shared" si="135"/>
        <v>2011</v>
      </c>
      <c r="K206" s="1112">
        <f t="shared" si="135"/>
        <v>2012</v>
      </c>
      <c r="L206" s="1112">
        <f t="shared" si="135"/>
        <v>2013</v>
      </c>
      <c r="M206" s="1112">
        <f t="shared" si="135"/>
        <v>2014</v>
      </c>
      <c r="N206" s="1112">
        <f t="shared" si="135"/>
        <v>2015</v>
      </c>
      <c r="O206" s="1112">
        <f t="shared" si="135"/>
        <v>2016</v>
      </c>
      <c r="P206" s="1112">
        <f t="shared" si="135"/>
        <v>2017</v>
      </c>
      <c r="Q206" s="1112">
        <f t="shared" si="135"/>
        <v>2018</v>
      </c>
      <c r="R206" s="1112">
        <f t="shared" si="135"/>
        <v>2019</v>
      </c>
      <c r="S206" s="1112">
        <f t="shared" si="135"/>
        <v>2020</v>
      </c>
      <c r="T206" s="1112">
        <f t="shared" si="135"/>
        <v>2021</v>
      </c>
      <c r="U206" s="1112">
        <f t="shared" si="135"/>
        <v>2022</v>
      </c>
      <c r="V206" s="1112">
        <f t="shared" si="135"/>
        <v>2023</v>
      </c>
      <c r="W206" s="1112">
        <f t="shared" si="135"/>
        <v>2024</v>
      </c>
      <c r="X206" s="1112">
        <f t="shared" si="135"/>
        <v>2025</v>
      </c>
      <c r="Y206" s="1112">
        <f t="shared" si="135"/>
        <v>2026</v>
      </c>
      <c r="Z206" s="1112">
        <f t="shared" si="135"/>
        <v>2027</v>
      </c>
      <c r="AA206" s="1112">
        <f t="shared" si="135"/>
        <v>2028</v>
      </c>
      <c r="AB206" s="1112">
        <f t="shared" si="135"/>
        <v>2029</v>
      </c>
      <c r="AC206" s="1112">
        <f t="shared" si="135"/>
        <v>2030</v>
      </c>
      <c r="AD206" s="1112">
        <f t="shared" si="135"/>
        <v>2031</v>
      </c>
      <c r="AE206" s="1112">
        <f t="shared" si="135"/>
        <v>2032</v>
      </c>
      <c r="AF206" s="1112">
        <f>AE206+1</f>
        <v>2033</v>
      </c>
      <c r="AG206" s="1112">
        <f>AF206+1</f>
        <v>2034</v>
      </c>
      <c r="AH206" s="1112">
        <f>AG206+1</f>
        <v>2035</v>
      </c>
      <c r="AI206" s="685"/>
      <c r="AJ206" s="685"/>
      <c r="AK206" s="685"/>
      <c r="AL206" s="685"/>
      <c r="AM206" s="1123"/>
      <c r="AN206" s="685"/>
      <c r="AO206" s="685"/>
      <c r="AP206" s="685"/>
      <c r="AQ206" s="685"/>
      <c r="AR206" s="685"/>
      <c r="AS206" s="685"/>
      <c r="AT206" s="685"/>
      <c r="AU206" s="685"/>
      <c r="AV206" s="685"/>
      <c r="AW206" s="685"/>
      <c r="AX206" s="685"/>
      <c r="AY206" s="685"/>
      <c r="AZ206" s="685"/>
      <c r="BA206" s="685"/>
      <c r="BB206" s="685"/>
      <c r="BC206" s="685"/>
      <c r="BD206" s="685"/>
    </row>
    <row r="207" spans="1:56">
      <c r="A207" s="685"/>
      <c r="B207" s="1115" t="s">
        <v>36</v>
      </c>
      <c r="C207" s="1123"/>
      <c r="D207" s="1123"/>
      <c r="E207" s="1123"/>
      <c r="F207" s="1123"/>
      <c r="G207" s="1123"/>
      <c r="H207" s="1123">
        <f t="shared" ref="H207:AC207" si="136">H117</f>
        <v>13346.45</v>
      </c>
      <c r="I207" s="1123">
        <f t="shared" si="136"/>
        <v>8799.0699999999979</v>
      </c>
      <c r="J207" s="1123">
        <f t="shared" si="136"/>
        <v>13794.86</v>
      </c>
      <c r="K207" s="1123">
        <f t="shared" si="136"/>
        <v>15019.84</v>
      </c>
      <c r="L207" s="1123">
        <f t="shared" si="136"/>
        <v>13432.048890624999</v>
      </c>
      <c r="M207" s="1123">
        <f t="shared" si="136"/>
        <v>13062.938999999998</v>
      </c>
      <c r="N207" s="1123">
        <f t="shared" si="136"/>
        <v>6897.6019999999999</v>
      </c>
      <c r="O207" s="1123">
        <f t="shared" si="136"/>
        <v>5664.8199999999979</v>
      </c>
      <c r="P207" s="1123">
        <f t="shared" si="136"/>
        <v>16059.169999999998</v>
      </c>
      <c r="Q207" s="1123">
        <f t="shared" si="136"/>
        <v>17911.550000000003</v>
      </c>
      <c r="R207" s="1123">
        <f t="shared" si="136"/>
        <v>19150.974999999999</v>
      </c>
      <c r="S207" s="1123">
        <f t="shared" si="136"/>
        <v>18631.987999999998</v>
      </c>
      <c r="T207" s="1123">
        <f t="shared" si="136"/>
        <v>20291.507729586941</v>
      </c>
      <c r="U207" s="1123">
        <f t="shared" si="136"/>
        <v>8321.8700000000008</v>
      </c>
      <c r="V207" s="1123">
        <f t="shared" si="136"/>
        <v>9621.2200000000012</v>
      </c>
      <c r="W207" s="1123">
        <f>W117</f>
        <v>8670.1159999999982</v>
      </c>
      <c r="X207" s="1123">
        <f t="shared" si="136"/>
        <v>9198.8000000000011</v>
      </c>
      <c r="Y207" s="1123">
        <f t="shared" si="136"/>
        <v>7404.8307492568201</v>
      </c>
      <c r="Z207" s="1123">
        <f t="shared" si="136"/>
        <v>10071.919423375959</v>
      </c>
      <c r="AA207" s="1123">
        <f t="shared" si="136"/>
        <v>10426.606368897445</v>
      </c>
      <c r="AB207" s="1123">
        <f t="shared" si="136"/>
        <v>10749.44059880524</v>
      </c>
      <c r="AC207" s="1123">
        <f t="shared" si="136"/>
        <v>11260.825599834565</v>
      </c>
      <c r="AD207" s="1123">
        <f>AD117</f>
        <v>11889.48850420682</v>
      </c>
      <c r="AE207" s="1123">
        <f>AE117</f>
        <v>12371.961494875617</v>
      </c>
      <c r="AF207" s="1123">
        <f>AF117</f>
        <v>12856.907371558325</v>
      </c>
      <c r="AG207" s="1123">
        <f>AG117</f>
        <v>12971.641909765904</v>
      </c>
      <c r="AH207" s="1123">
        <f>AH117</f>
        <v>13176.153290609634</v>
      </c>
      <c r="AI207" s="685"/>
      <c r="AJ207" s="685"/>
      <c r="AK207" s="685"/>
      <c r="AL207" s="795"/>
      <c r="AM207" s="1123"/>
      <c r="AN207" s="685"/>
      <c r="AO207" s="685"/>
      <c r="AP207" s="685"/>
      <c r="AQ207" s="685"/>
      <c r="AR207" s="685"/>
      <c r="AS207" s="685"/>
      <c r="AT207" s="685"/>
      <c r="AU207" s="685"/>
      <c r="AV207" s="685"/>
      <c r="AW207" s="685"/>
      <c r="AX207" s="685"/>
      <c r="AY207" s="685"/>
      <c r="AZ207" s="685"/>
      <c r="BA207" s="685"/>
      <c r="BB207" s="685"/>
      <c r="BC207" s="685"/>
      <c r="BD207" s="685"/>
    </row>
    <row r="208" spans="1:56">
      <c r="A208" s="685"/>
      <c r="B208" s="1115" t="s">
        <v>274</v>
      </c>
      <c r="C208" s="1123"/>
      <c r="D208" s="1123"/>
      <c r="E208" s="1123"/>
      <c r="F208" s="1123"/>
      <c r="G208" s="1123"/>
      <c r="H208" s="1123">
        <f t="shared" ref="H208:X208" si="137">-H282</f>
        <v>-2973</v>
      </c>
      <c r="I208" s="1123">
        <f t="shared" si="137"/>
        <v>-3028</v>
      </c>
      <c r="J208" s="1123">
        <f t="shared" si="137"/>
        <v>-4143</v>
      </c>
      <c r="K208" s="1123">
        <f t="shared" si="137"/>
        <v>-3350.5</v>
      </c>
      <c r="L208" s="1123">
        <f t="shared" si="137"/>
        <v>885</v>
      </c>
      <c r="M208" s="1123">
        <f t="shared" si="137"/>
        <v>-4329</v>
      </c>
      <c r="N208" s="1123">
        <f t="shared" si="137"/>
        <v>1702</v>
      </c>
      <c r="O208" s="1123">
        <f t="shared" si="137"/>
        <v>-9532.1</v>
      </c>
      <c r="P208" s="1123">
        <f t="shared" si="137"/>
        <v>-5305</v>
      </c>
      <c r="Q208" s="1123">
        <f t="shared" si="137"/>
        <v>-8779.6</v>
      </c>
      <c r="R208" s="1123">
        <f t="shared" si="137"/>
        <v>-8810.8000000000011</v>
      </c>
      <c r="S208" s="1123">
        <f t="shared" si="137"/>
        <v>-5584.2</v>
      </c>
      <c r="T208" s="1123">
        <f t="shared" si="137"/>
        <v>-11918</v>
      </c>
      <c r="U208" s="1123">
        <f t="shared" si="137"/>
        <v>-9206.2000000000007</v>
      </c>
      <c r="V208" s="1123">
        <f t="shared" si="137"/>
        <v>-4751.5079999999998</v>
      </c>
      <c r="W208" s="1123">
        <f t="shared" si="137"/>
        <v>-4695.1710000000003</v>
      </c>
      <c r="X208" s="1123">
        <f t="shared" si="137"/>
        <v>-4140.2860000000001</v>
      </c>
      <c r="Y208" s="1123">
        <f>-Y148</f>
        <v>-4812.8646437269408</v>
      </c>
      <c r="Z208" s="1123">
        <f t="shared" ref="Z208:AH208" si="138">-Z148</f>
        <v>-4512.8813375383452</v>
      </c>
      <c r="AA208" s="1123">
        <f t="shared" si="138"/>
        <v>-4543.1872679744629</v>
      </c>
      <c r="AB208" s="1123">
        <f t="shared" si="138"/>
        <v>-4494.0337368389701</v>
      </c>
      <c r="AC208" s="1123">
        <f t="shared" si="138"/>
        <v>-4309.7974294223168</v>
      </c>
      <c r="AD208" s="1123">
        <f t="shared" si="138"/>
        <v>-4142.1443259662392</v>
      </c>
      <c r="AE208" s="1123">
        <f t="shared" si="138"/>
        <v>-4001.888358113727</v>
      </c>
      <c r="AF208" s="1123">
        <f t="shared" si="138"/>
        <v>-3899.1288779927181</v>
      </c>
      <c r="AG208" s="1123">
        <f t="shared" si="138"/>
        <v>-3849.2659235696874</v>
      </c>
      <c r="AH208" s="1123">
        <f t="shared" si="138"/>
        <v>-3864.8289532308404</v>
      </c>
      <c r="AI208" s="685"/>
      <c r="AJ208" s="685"/>
      <c r="AK208" s="685"/>
      <c r="AL208" s="837"/>
      <c r="AM208" s="1123"/>
      <c r="AN208" s="685"/>
      <c r="AO208" s="685"/>
      <c r="AP208" s="685"/>
      <c r="AQ208" s="685"/>
      <c r="AR208" s="685"/>
      <c r="AS208" s="685"/>
      <c r="AT208" s="685"/>
      <c r="AU208" s="685"/>
      <c r="AV208" s="685"/>
      <c r="AW208" s="685"/>
      <c r="AX208" s="685"/>
      <c r="AY208" s="685"/>
      <c r="AZ208" s="685"/>
      <c r="BA208" s="685"/>
      <c r="BB208" s="685"/>
      <c r="BC208" s="685"/>
      <c r="BD208" s="685"/>
    </row>
    <row r="209" spans="1:56">
      <c r="A209" s="685"/>
      <c r="B209" s="1115" t="s">
        <v>275</v>
      </c>
      <c r="C209" s="1123"/>
      <c r="D209" s="1123"/>
      <c r="E209" s="1123"/>
      <c r="F209" s="1123"/>
      <c r="G209" s="1123"/>
      <c r="H209" s="1123">
        <f t="shared" ref="H209:AC209" si="139">-H405</f>
        <v>-3121</v>
      </c>
      <c r="I209" s="1123">
        <f t="shared" si="139"/>
        <v>-3259</v>
      </c>
      <c r="J209" s="1123">
        <f t="shared" si="139"/>
        <v>-3410</v>
      </c>
      <c r="K209" s="1123">
        <f t="shared" si="139"/>
        <v>-4053</v>
      </c>
      <c r="L209" s="1123">
        <f t="shared" si="139"/>
        <v>-3728.9999999999995</v>
      </c>
      <c r="M209" s="1123">
        <f t="shared" si="139"/>
        <v>-2983</v>
      </c>
      <c r="N209" s="1123">
        <f t="shared" si="139"/>
        <v>-4396.5599999999995</v>
      </c>
      <c r="O209" s="1123">
        <f t="shared" si="139"/>
        <v>-7269</v>
      </c>
      <c r="P209" s="1123">
        <f t="shared" si="139"/>
        <v>-6420</v>
      </c>
      <c r="Q209" s="1123">
        <f t="shared" si="139"/>
        <v>-6723</v>
      </c>
      <c r="R209" s="1123">
        <f t="shared" si="139"/>
        <v>-4593.5</v>
      </c>
      <c r="S209" s="1123">
        <f t="shared" si="139"/>
        <v>-8681</v>
      </c>
      <c r="T209" s="1123">
        <f t="shared" si="139"/>
        <v>-9166</v>
      </c>
      <c r="U209" s="1123">
        <f t="shared" si="139"/>
        <v>-12188</v>
      </c>
      <c r="V209" s="1123">
        <f t="shared" si="139"/>
        <v>-7014.3090000000002</v>
      </c>
      <c r="W209" s="1123">
        <f t="shared" si="139"/>
        <v>-812.21500000000003</v>
      </c>
      <c r="X209" s="1123">
        <f t="shared" si="139"/>
        <v>24</v>
      </c>
      <c r="Y209" s="1123">
        <f t="shared" ca="1" si="139"/>
        <v>-379.22947558088572</v>
      </c>
      <c r="Z209" s="1123">
        <f t="shared" ca="1" si="139"/>
        <v>-524.12781779395857</v>
      </c>
      <c r="AA209" s="1123">
        <f t="shared" ca="1" si="139"/>
        <v>-690.44706195240747</v>
      </c>
      <c r="AB209" s="1123">
        <f t="shared" ca="1" si="139"/>
        <v>-1024.6090420678022</v>
      </c>
      <c r="AC209" s="1123">
        <f t="shared" ca="1" si="139"/>
        <v>-1470.0542013679806</v>
      </c>
      <c r="AD209" s="1123">
        <f ca="1">-AD405</f>
        <v>-1909.000972037298</v>
      </c>
      <c r="AE209" s="1123">
        <f ca="1">-AE405</f>
        <v>-2288.7643789927924</v>
      </c>
      <c r="AF209" s="1123">
        <f ca="1">-AF405</f>
        <v>-2626.8758117473003</v>
      </c>
      <c r="AG209" s="1123">
        <f ca="1">-AG405</f>
        <v>-2806.698137755031</v>
      </c>
      <c r="AH209" s="1123">
        <f ca="1">-AH405</f>
        <v>-3069.3465803506142</v>
      </c>
      <c r="AI209" s="685"/>
      <c r="AJ209" s="685"/>
      <c r="AK209" s="685"/>
      <c r="AL209" s="837"/>
      <c r="AM209" s="1123"/>
      <c r="AN209" s="685"/>
      <c r="AO209" s="685"/>
      <c r="AP209" s="685"/>
      <c r="AQ209" s="685"/>
      <c r="AR209" s="685"/>
      <c r="AS209" s="685"/>
      <c r="AT209" s="685"/>
      <c r="AU209" s="685"/>
      <c r="AV209" s="685"/>
      <c r="AW209" s="685"/>
      <c r="AX209" s="685"/>
      <c r="AY209" s="685"/>
      <c r="AZ209" s="685"/>
      <c r="BA209" s="685"/>
      <c r="BB209" s="685"/>
      <c r="BC209" s="685"/>
      <c r="BD209" s="685"/>
    </row>
    <row r="210" spans="1:56">
      <c r="A210" s="685"/>
      <c r="B210" s="1115" t="s">
        <v>276</v>
      </c>
      <c r="C210" s="1123"/>
      <c r="D210" s="1123"/>
      <c r="E210" s="1123"/>
      <c r="F210" s="1123"/>
      <c r="G210" s="1123"/>
      <c r="H210" s="1123">
        <f t="shared" ref="H210:AH210" si="140">H357</f>
        <v>0</v>
      </c>
      <c r="I210" s="1123">
        <f t="shared" si="140"/>
        <v>7312</v>
      </c>
      <c r="J210" s="1123">
        <f t="shared" si="140"/>
        <v>1914</v>
      </c>
      <c r="K210" s="1123">
        <f t="shared" si="140"/>
        <v>-612</v>
      </c>
      <c r="L210" s="1123">
        <f t="shared" si="140"/>
        <v>3956</v>
      </c>
      <c r="M210" s="1123">
        <f t="shared" si="140"/>
        <v>-7848.8999999999978</v>
      </c>
      <c r="N210" s="1123">
        <f t="shared" si="140"/>
        <v>10889.599999999993</v>
      </c>
      <c r="O210" s="1123">
        <f t="shared" si="140"/>
        <v>1519.0999999999976</v>
      </c>
      <c r="P210" s="1123">
        <f t="shared" si="140"/>
        <v>-7444.7999999999938</v>
      </c>
      <c r="Q210" s="1123">
        <f t="shared" si="140"/>
        <v>11570.000000000002</v>
      </c>
      <c r="R210" s="1123">
        <f t="shared" si="140"/>
        <v>-19953.599999999999</v>
      </c>
      <c r="S210" s="1123">
        <f t="shared" si="140"/>
        <v>381.99999999999932</v>
      </c>
      <c r="T210" s="1123">
        <f t="shared" si="140"/>
        <v>-3773.1779999999999</v>
      </c>
      <c r="U210" s="1123">
        <f t="shared" si="140"/>
        <v>-4201.4210000000003</v>
      </c>
      <c r="V210" s="1123">
        <f t="shared" si="140"/>
        <v>-2519.424</v>
      </c>
      <c r="W210" s="1123">
        <f t="shared" si="140"/>
        <v>4108.4750000000004</v>
      </c>
      <c r="X210" s="1123">
        <f t="shared" si="140"/>
        <v>396.71699999999987</v>
      </c>
      <c r="Y210" s="1123">
        <f t="shared" si="140"/>
        <v>-30.588769185279034</v>
      </c>
      <c r="Z210" s="1123">
        <f t="shared" si="140"/>
        <v>-58.698830814722442</v>
      </c>
      <c r="AA210" s="1123">
        <f t="shared" si="140"/>
        <v>-79.213708709820025</v>
      </c>
      <c r="AB210" s="1123">
        <f t="shared" si="140"/>
        <v>-63.138372906999734</v>
      </c>
      <c r="AC210" s="1123">
        <f t="shared" si="140"/>
        <v>4.4275882884833209</v>
      </c>
      <c r="AD210" s="1123">
        <f t="shared" si="140"/>
        <v>-37.955878116856866</v>
      </c>
      <c r="AE210" s="1123">
        <f t="shared" si="140"/>
        <v>-57.627037862176508</v>
      </c>
      <c r="AF210" s="1123">
        <f t="shared" si="140"/>
        <v>-70.324625406715313</v>
      </c>
      <c r="AG210" s="1123">
        <f t="shared" si="140"/>
        <v>-65.769968640789102</v>
      </c>
      <c r="AH210" s="1123">
        <f t="shared" si="140"/>
        <v>-63.759327008878131</v>
      </c>
      <c r="AI210" s="685"/>
      <c r="AJ210" s="685"/>
      <c r="AK210" s="685"/>
      <c r="AL210" s="685"/>
      <c r="AM210" s="1123"/>
      <c r="AN210" s="685"/>
      <c r="AO210" s="685"/>
      <c r="AP210" s="685"/>
      <c r="AQ210" s="685"/>
      <c r="AR210" s="685"/>
      <c r="AS210" s="685"/>
      <c r="AT210" s="685"/>
      <c r="AU210" s="685"/>
      <c r="AV210" s="685"/>
      <c r="AW210" s="685"/>
      <c r="AX210" s="685"/>
      <c r="AY210" s="685"/>
      <c r="AZ210" s="685"/>
      <c r="BA210" s="685"/>
      <c r="BB210" s="685"/>
      <c r="BC210" s="685"/>
      <c r="BD210" s="685"/>
    </row>
    <row r="211" spans="1:56">
      <c r="A211" s="685"/>
      <c r="B211" s="1115" t="s">
        <v>277</v>
      </c>
      <c r="C211" s="1123"/>
      <c r="D211" s="1123"/>
      <c r="E211" s="1123"/>
      <c r="F211" s="1123"/>
      <c r="G211" s="1123"/>
      <c r="H211" s="1123"/>
      <c r="I211" s="1123">
        <f t="shared" ref="I211:AC211" si="141">I367+I370</f>
        <v>0</v>
      </c>
      <c r="J211" s="1123">
        <f t="shared" si="141"/>
        <v>0</v>
      </c>
      <c r="K211" s="1123">
        <f t="shared" si="141"/>
        <v>0</v>
      </c>
      <c r="L211" s="1123">
        <f t="shared" si="141"/>
        <v>0</v>
      </c>
      <c r="M211" s="1123">
        <f t="shared" si="141"/>
        <v>0</v>
      </c>
      <c r="N211" s="1123">
        <f t="shared" si="141"/>
        <v>0</v>
      </c>
      <c r="O211" s="1123">
        <f t="shared" si="141"/>
        <v>0</v>
      </c>
      <c r="P211" s="1123">
        <f t="shared" si="141"/>
        <v>0</v>
      </c>
      <c r="Q211" s="1123">
        <f t="shared" si="141"/>
        <v>0</v>
      </c>
      <c r="R211" s="1123">
        <f t="shared" si="141"/>
        <v>0</v>
      </c>
      <c r="S211" s="1123">
        <f t="shared" si="141"/>
        <v>0</v>
      </c>
      <c r="T211" s="1123">
        <f t="shared" si="141"/>
        <v>0</v>
      </c>
      <c r="U211" s="1123">
        <f t="shared" si="141"/>
        <v>0</v>
      </c>
      <c r="V211" s="1123">
        <f t="shared" si="141"/>
        <v>0</v>
      </c>
      <c r="W211" s="1123">
        <f t="shared" si="141"/>
        <v>0</v>
      </c>
      <c r="X211" s="1123">
        <f t="shared" si="141"/>
        <v>0</v>
      </c>
      <c r="Y211" s="1123">
        <f t="shared" si="141"/>
        <v>0</v>
      </c>
      <c r="Z211" s="1123">
        <f t="shared" si="141"/>
        <v>0</v>
      </c>
      <c r="AA211" s="1123">
        <f t="shared" si="141"/>
        <v>0</v>
      </c>
      <c r="AB211" s="1123">
        <f t="shared" si="141"/>
        <v>0</v>
      </c>
      <c r="AC211" s="1123">
        <f t="shared" si="141"/>
        <v>0</v>
      </c>
      <c r="AD211" s="1123">
        <f>AD367+AD370</f>
        <v>0</v>
      </c>
      <c r="AE211" s="1123">
        <f>AE367+AE370</f>
        <v>0</v>
      </c>
      <c r="AF211" s="1123">
        <f>AF367+AF370</f>
        <v>0</v>
      </c>
      <c r="AG211" s="1123">
        <f>AG367+AG370</f>
        <v>0</v>
      </c>
      <c r="AH211" s="1123">
        <f>AH367+AH370</f>
        <v>0</v>
      </c>
      <c r="AI211" s="685"/>
      <c r="AJ211" s="685"/>
      <c r="AK211" s="685"/>
      <c r="AL211" s="685"/>
      <c r="AM211" s="1123"/>
      <c r="AN211" s="685"/>
      <c r="AO211" s="685"/>
      <c r="AP211" s="685"/>
      <c r="AQ211" s="685"/>
      <c r="AR211" s="685"/>
      <c r="AS211" s="685"/>
      <c r="AT211" s="685"/>
      <c r="AU211" s="685"/>
      <c r="AV211" s="685"/>
      <c r="AW211" s="685"/>
      <c r="AX211" s="685"/>
      <c r="AY211" s="685"/>
      <c r="AZ211" s="685"/>
      <c r="BA211" s="685"/>
      <c r="BB211" s="685"/>
      <c r="BC211" s="685"/>
      <c r="BD211" s="685"/>
    </row>
    <row r="212" spans="1:56">
      <c r="A212" s="685"/>
      <c r="B212" s="1115" t="s">
        <v>278</v>
      </c>
      <c r="C212" s="1123"/>
      <c r="D212" s="1123"/>
      <c r="E212" s="1123"/>
      <c r="F212" s="1123"/>
      <c r="G212" s="1123"/>
      <c r="H212" s="1123">
        <f t="shared" ref="H212:AC212" si="142">-H584</f>
        <v>0</v>
      </c>
      <c r="I212" s="1123">
        <f t="shared" si="142"/>
        <v>-1066.6543162393161</v>
      </c>
      <c r="J212" s="1123">
        <f t="shared" si="142"/>
        <v>-1084.2353846153844</v>
      </c>
      <c r="K212" s="1123">
        <f t="shared" si="142"/>
        <v>-1094.060811965812</v>
      </c>
      <c r="L212" s="1123">
        <f t="shared" si="142"/>
        <v>-1098.0747435897435</v>
      </c>
      <c r="M212" s="1123">
        <f t="shared" si="142"/>
        <v>0</v>
      </c>
      <c r="N212" s="1123">
        <f t="shared" si="142"/>
        <v>-1084.1938034188033</v>
      </c>
      <c r="O212" s="1123">
        <f t="shared" si="142"/>
        <v>-1084.1938034188033</v>
      </c>
      <c r="P212" s="1123">
        <f t="shared" si="142"/>
        <v>-1084.1938034188033</v>
      </c>
      <c r="Q212" s="1123">
        <f t="shared" si="142"/>
        <v>-1068.8679914529912</v>
      </c>
      <c r="R212" s="1123">
        <f t="shared" si="142"/>
        <v>0</v>
      </c>
      <c r="S212" s="1123">
        <f t="shared" si="142"/>
        <v>-1068.8679914529912</v>
      </c>
      <c r="T212" s="1123">
        <f t="shared" si="142"/>
        <v>-1053.3920000000001</v>
      </c>
      <c r="U212" s="1123">
        <f t="shared" si="142"/>
        <v>-1053.3920000000001</v>
      </c>
      <c r="V212" s="1123">
        <f t="shared" si="142"/>
        <v>-1027.354</v>
      </c>
      <c r="W212" s="1123">
        <f t="shared" si="142"/>
        <v>-1018.954</v>
      </c>
      <c r="X212" s="1123">
        <f t="shared" si="142"/>
        <v>-1018.954</v>
      </c>
      <c r="Y212" s="1123">
        <f t="shared" si="142"/>
        <v>0</v>
      </c>
      <c r="Z212" s="1123">
        <f t="shared" si="142"/>
        <v>-1244.0848717948718</v>
      </c>
      <c r="AA212" s="1123">
        <f t="shared" si="142"/>
        <v>-1244.0848717948718</v>
      </c>
      <c r="AB212" s="1123">
        <f t="shared" si="142"/>
        <v>-1244.0848717948718</v>
      </c>
      <c r="AC212" s="1123">
        <f t="shared" si="142"/>
        <v>-1244.0848717948718</v>
      </c>
      <c r="AD212" s="1123">
        <f>-AD584</f>
        <v>-1244.0848717948718</v>
      </c>
      <c r="AE212" s="1123">
        <f>-AE584</f>
        <v>-1244.0848717948718</v>
      </c>
      <c r="AF212" s="1123">
        <f>-AF584</f>
        <v>-1244.0848717948718</v>
      </c>
      <c r="AG212" s="1123">
        <f>-AG584</f>
        <v>-1244.0848717948718</v>
      </c>
      <c r="AH212" s="1123">
        <f>-AH584</f>
        <v>-1244.0848717948718</v>
      </c>
      <c r="AI212" s="685"/>
      <c r="AJ212" s="685"/>
      <c r="AK212" s="685"/>
      <c r="AL212" s="685"/>
      <c r="AM212" s="1123"/>
      <c r="AN212" s="685"/>
      <c r="AO212" s="685"/>
      <c r="AP212" s="685"/>
      <c r="AQ212" s="685"/>
      <c r="AR212" s="685"/>
      <c r="AS212" s="685"/>
      <c r="AT212" s="685"/>
      <c r="AU212" s="685"/>
      <c r="AV212" s="685"/>
      <c r="AW212" s="685"/>
      <c r="AX212" s="685"/>
      <c r="AY212" s="685"/>
      <c r="AZ212" s="685"/>
      <c r="BA212" s="685"/>
      <c r="BB212" s="685"/>
      <c r="BC212" s="685"/>
      <c r="BD212" s="685"/>
    </row>
    <row r="213" spans="1:56">
      <c r="A213" s="685"/>
      <c r="B213" s="1115" t="s">
        <v>279</v>
      </c>
      <c r="C213" s="1123"/>
      <c r="D213" s="1123"/>
      <c r="E213" s="1123"/>
      <c r="F213" s="1123"/>
      <c r="G213" s="1123"/>
      <c r="H213" s="1123">
        <f>-H466</f>
        <v>-76.3</v>
      </c>
      <c r="I213" s="1123">
        <f>-I466</f>
        <v>-243.55799999999999</v>
      </c>
      <c r="J213" s="1123">
        <f>-J466</f>
        <v>-2649</v>
      </c>
      <c r="K213" s="1123" t="e">
        <f>-(#REF!+#REF!)</f>
        <v>#REF!</v>
      </c>
      <c r="L213" s="1123" t="e">
        <f>-(#REF!+#REF!)</f>
        <v>#REF!</v>
      </c>
      <c r="M213" s="1123" t="e">
        <f>-(#REF!+#REF!)</f>
        <v>#REF!</v>
      </c>
      <c r="N213" s="1123">
        <f t="shared" ref="N213:AC213" si="143">-N456</f>
        <v>0</v>
      </c>
      <c r="O213" s="1123">
        <f t="shared" si="143"/>
        <v>0</v>
      </c>
      <c r="P213" s="1123">
        <f t="shared" si="143"/>
        <v>0</v>
      </c>
      <c r="Q213" s="1123">
        <f t="shared" si="143"/>
        <v>-1270</v>
      </c>
      <c r="R213" s="1123">
        <f t="shared" si="143"/>
        <v>-1594</v>
      </c>
      <c r="S213" s="1123">
        <f t="shared" si="143"/>
        <v>-1420</v>
      </c>
      <c r="T213" s="1123">
        <f t="shared" si="143"/>
        <v>-328.774</v>
      </c>
      <c r="U213" s="1123">
        <f t="shared" si="143"/>
        <v>0</v>
      </c>
      <c r="V213" s="1123">
        <f t="shared" si="143"/>
        <v>0</v>
      </c>
      <c r="W213" s="1123">
        <f t="shared" si="143"/>
        <v>0</v>
      </c>
      <c r="X213" s="1123">
        <f t="shared" si="143"/>
        <v>-116.621</v>
      </c>
      <c r="Y213" s="1123">
        <f t="shared" si="143"/>
        <v>-122.45205</v>
      </c>
      <c r="Z213" s="1123">
        <f t="shared" si="143"/>
        <v>-128.57465250000001</v>
      </c>
      <c r="AA213" s="1123">
        <f t="shared" si="143"/>
        <v>-135.00338512500002</v>
      </c>
      <c r="AB213" s="1123">
        <f t="shared" si="143"/>
        <v>-141.75355438125004</v>
      </c>
      <c r="AC213" s="1123">
        <f t="shared" si="143"/>
        <v>-148.84123210031254</v>
      </c>
      <c r="AD213" s="1123">
        <f>-AD456</f>
        <v>-156.28329370532816</v>
      </c>
      <c r="AE213" s="1123">
        <f>-AE456</f>
        <v>-164.09745839059457</v>
      </c>
      <c r="AF213" s="1123">
        <f>-AF456</f>
        <v>-172.30233131012432</v>
      </c>
      <c r="AG213" s="1123">
        <f>-AG456</f>
        <v>-180.91744787563053</v>
      </c>
      <c r="AH213" s="1123">
        <f>-AH456</f>
        <v>-189.96332026941207</v>
      </c>
      <c r="AI213" s="685"/>
      <c r="AJ213" s="685"/>
      <c r="AK213" s="685"/>
      <c r="AL213" s="685"/>
      <c r="AM213" s="1123"/>
      <c r="AN213" s="685"/>
      <c r="AO213" s="685"/>
      <c r="AP213" s="685"/>
      <c r="AQ213" s="685"/>
      <c r="AR213" s="685"/>
      <c r="AS213" s="685"/>
      <c r="AT213" s="685"/>
      <c r="AU213" s="685"/>
      <c r="AV213" s="685"/>
      <c r="AW213" s="685"/>
      <c r="AX213" s="685"/>
      <c r="AY213" s="685"/>
      <c r="AZ213" s="685"/>
      <c r="BA213" s="685"/>
      <c r="BB213" s="685"/>
      <c r="BC213" s="685"/>
      <c r="BD213" s="685"/>
    </row>
    <row r="214" spans="1:56">
      <c r="A214" s="685"/>
      <c r="B214" s="1115" t="s">
        <v>280</v>
      </c>
      <c r="C214" s="1123"/>
      <c r="D214" s="1123"/>
      <c r="E214" s="1123"/>
      <c r="F214" s="1123"/>
      <c r="G214" s="1123"/>
      <c r="H214" s="1123">
        <f>-H469</f>
        <v>-705.1</v>
      </c>
      <c r="I214" s="1123">
        <f>-I469</f>
        <v>-1274</v>
      </c>
      <c r="J214" s="1123">
        <f t="shared" ref="J214:AC214" si="144">J469</f>
        <v>0</v>
      </c>
      <c r="K214" s="1123">
        <f t="shared" si="144"/>
        <v>0</v>
      </c>
      <c r="L214" s="1123">
        <f t="shared" si="144"/>
        <v>0</v>
      </c>
      <c r="M214" s="1123">
        <f t="shared" si="144"/>
        <v>0</v>
      </c>
      <c r="N214" s="1123">
        <f t="shared" si="144"/>
        <v>0</v>
      </c>
      <c r="O214" s="1123">
        <f t="shared" si="144"/>
        <v>0</v>
      </c>
      <c r="P214" s="1123">
        <f t="shared" si="144"/>
        <v>0</v>
      </c>
      <c r="Q214" s="1123">
        <f t="shared" si="144"/>
        <v>0</v>
      </c>
      <c r="R214" s="1123">
        <f t="shared" si="144"/>
        <v>-1367.5213675213674</v>
      </c>
      <c r="S214" s="1123">
        <f t="shared" si="144"/>
        <v>394.87179487179486</v>
      </c>
      <c r="T214" s="1123">
        <f t="shared" si="144"/>
        <v>-1278</v>
      </c>
      <c r="U214" s="1123">
        <f t="shared" si="144"/>
        <v>-629</v>
      </c>
      <c r="V214" s="1123">
        <f t="shared" si="144"/>
        <v>-1197.0820000000001</v>
      </c>
      <c r="W214" s="1123">
        <f t="shared" si="144"/>
        <v>0</v>
      </c>
      <c r="X214" s="1123">
        <f t="shared" si="144"/>
        <v>0</v>
      </c>
      <c r="Y214" s="1123">
        <f t="shared" si="144"/>
        <v>0</v>
      </c>
      <c r="Z214" s="1123">
        <f t="shared" si="144"/>
        <v>0</v>
      </c>
      <c r="AA214" s="1123">
        <f t="shared" si="144"/>
        <v>0</v>
      </c>
      <c r="AB214" s="1123">
        <f t="shared" si="144"/>
        <v>0</v>
      </c>
      <c r="AC214" s="1123">
        <f t="shared" si="144"/>
        <v>0</v>
      </c>
      <c r="AD214" s="1123">
        <f>AD469</f>
        <v>0</v>
      </c>
      <c r="AE214" s="1123">
        <f>AE469</f>
        <v>0</v>
      </c>
      <c r="AF214" s="1123">
        <f>AF469</f>
        <v>0</v>
      </c>
      <c r="AG214" s="1123">
        <f>AG469</f>
        <v>0</v>
      </c>
      <c r="AH214" s="1123">
        <f>AH469</f>
        <v>0</v>
      </c>
      <c r="AI214" s="685"/>
      <c r="AJ214" s="685"/>
      <c r="AK214" s="685"/>
      <c r="AL214" s="685"/>
      <c r="AM214" s="1123"/>
      <c r="AN214" s="685"/>
      <c r="AO214" s="685"/>
      <c r="AP214" s="685"/>
      <c r="AQ214" s="685"/>
      <c r="AR214" s="685"/>
      <c r="AS214" s="685"/>
      <c r="AT214" s="685"/>
      <c r="AU214" s="685"/>
      <c r="AV214" s="685"/>
      <c r="AW214" s="685"/>
      <c r="AX214" s="685"/>
      <c r="AY214" s="685"/>
      <c r="AZ214" s="685"/>
      <c r="BA214" s="685"/>
      <c r="BB214" s="685"/>
      <c r="BC214" s="685"/>
      <c r="BD214" s="685"/>
    </row>
    <row r="215" spans="1:56">
      <c r="A215" s="685"/>
      <c r="B215" s="1115" t="s">
        <v>8110</v>
      </c>
      <c r="C215" s="1123"/>
      <c r="D215" s="1123"/>
      <c r="E215" s="1123"/>
      <c r="F215" s="1123"/>
      <c r="G215" s="1123"/>
      <c r="H215" s="1123"/>
      <c r="I215" s="1123"/>
      <c r="J215" s="1123"/>
      <c r="K215" s="1123"/>
      <c r="L215" s="1123"/>
      <c r="M215" s="1123"/>
      <c r="N215" s="1123">
        <f t="shared" ref="N215:AC215" si="145">-N261</f>
        <v>-1634.8</v>
      </c>
      <c r="O215" s="1123">
        <f t="shared" si="145"/>
        <v>-2788</v>
      </c>
      <c r="P215" s="1123">
        <f t="shared" si="145"/>
        <v>-1649</v>
      </c>
      <c r="Q215" s="1123">
        <f t="shared" si="145"/>
        <v>-7779</v>
      </c>
      <c r="R215" s="1123">
        <f t="shared" si="145"/>
        <v>-2107</v>
      </c>
      <c r="S215" s="1123">
        <f t="shared" si="145"/>
        <v>-1235</v>
      </c>
      <c r="T215" s="1123">
        <f t="shared" si="145"/>
        <v>-1899.4</v>
      </c>
      <c r="U215" s="1123">
        <f t="shared" si="145"/>
        <v>-1807</v>
      </c>
      <c r="V215" s="1123">
        <f t="shared" si="145"/>
        <v>-1869.7070000000001</v>
      </c>
      <c r="W215" s="1123">
        <f t="shared" si="145"/>
        <v>-1378.854</v>
      </c>
      <c r="X215" s="1123">
        <f t="shared" si="145"/>
        <v>-1287.1099999999999</v>
      </c>
      <c r="Y215" s="1123">
        <f t="shared" si="145"/>
        <v>-1287.1099999999999</v>
      </c>
      <c r="Z215" s="1123">
        <f t="shared" si="145"/>
        <v>-1287.1099999999999</v>
      </c>
      <c r="AA215" s="1123">
        <f t="shared" si="145"/>
        <v>-1287.1099999999999</v>
      </c>
      <c r="AB215" s="1123">
        <f t="shared" si="145"/>
        <v>-1287.1099999999999</v>
      </c>
      <c r="AC215" s="1123">
        <f t="shared" si="145"/>
        <v>-1287.1099999999999</v>
      </c>
      <c r="AD215" s="1123">
        <f>-AD261</f>
        <v>-1287.1099999999999</v>
      </c>
      <c r="AE215" s="1123">
        <f>-AE261</f>
        <v>-1287.1099999999999</v>
      </c>
      <c r="AF215" s="1123">
        <f>-AF261</f>
        <v>-1287.1099999999999</v>
      </c>
      <c r="AG215" s="1123">
        <f>-AG261</f>
        <v>-1287.1099999999999</v>
      </c>
      <c r="AH215" s="1123">
        <f>-AH261</f>
        <v>-1287.1099999999999</v>
      </c>
      <c r="AI215" s="685"/>
      <c r="AJ215" s="685"/>
      <c r="AK215" s="685"/>
      <c r="AL215" s="685"/>
      <c r="AM215" s="1123"/>
      <c r="AN215" s="685"/>
      <c r="AO215" s="685"/>
      <c r="AP215" s="685"/>
      <c r="AQ215" s="685"/>
      <c r="AR215" s="685"/>
      <c r="AS215" s="685"/>
      <c r="AT215" s="685"/>
      <c r="AU215" s="685"/>
      <c r="AV215" s="685"/>
      <c r="AW215" s="685"/>
      <c r="AX215" s="685"/>
      <c r="AY215" s="685"/>
      <c r="AZ215" s="685"/>
      <c r="BA215" s="685"/>
      <c r="BB215" s="685"/>
      <c r="BC215" s="685"/>
      <c r="BD215" s="685"/>
    </row>
    <row r="216" spans="1:56">
      <c r="A216" s="685"/>
      <c r="B216" s="1115" t="s">
        <v>157</v>
      </c>
      <c r="C216" s="1123"/>
      <c r="D216" s="1123"/>
      <c r="E216" s="1123"/>
      <c r="F216" s="1123"/>
      <c r="G216" s="1123"/>
      <c r="H216" s="1123"/>
      <c r="I216" s="1123"/>
      <c r="J216" s="1123"/>
      <c r="K216" s="1123"/>
      <c r="L216" s="1123"/>
      <c r="M216" s="1123"/>
      <c r="N216" s="1123"/>
      <c r="O216" s="1123"/>
      <c r="P216" s="1123"/>
      <c r="Q216" s="1123"/>
      <c r="R216" s="1123">
        <f t="shared" ref="R216:AC216" si="146">-R246</f>
        <v>-600</v>
      </c>
      <c r="S216" s="1123">
        <f t="shared" si="146"/>
        <v>-208</v>
      </c>
      <c r="T216" s="1123">
        <f t="shared" si="146"/>
        <v>-216</v>
      </c>
      <c r="U216" s="1123">
        <f t="shared" si="146"/>
        <v>-249</v>
      </c>
      <c r="V216" s="1123">
        <f t="shared" si="146"/>
        <v>-1345.002</v>
      </c>
      <c r="W216" s="1123">
        <f t="shared" si="146"/>
        <v>-1267.0160000000001</v>
      </c>
      <c r="X216" s="1123">
        <f t="shared" si="146"/>
        <v>-1500.9170000000001</v>
      </c>
      <c r="Y216" s="1123">
        <f t="shared" si="146"/>
        <v>-1545.9445100000003</v>
      </c>
      <c r="Z216" s="1123">
        <f t="shared" si="146"/>
        <v>-1592.3228453000004</v>
      </c>
      <c r="AA216" s="1123">
        <f t="shared" si="146"/>
        <v>-1640.0925306590004</v>
      </c>
      <c r="AB216" s="1123">
        <f t="shared" si="146"/>
        <v>-1689.2953065787706</v>
      </c>
      <c r="AC216" s="1123">
        <f t="shared" si="146"/>
        <v>-1739.9741657761338</v>
      </c>
      <c r="AD216" s="1123">
        <f>-AD246</f>
        <v>-1792.1733907494179</v>
      </c>
      <c r="AE216" s="1123">
        <f>-AE246</f>
        <v>-1845.9385924719004</v>
      </c>
      <c r="AF216" s="1123">
        <f>-AF246</f>
        <v>-1901.3167502460574</v>
      </c>
      <c r="AG216" s="1123">
        <f>-AG246</f>
        <v>-1958.3562527534391</v>
      </c>
      <c r="AH216" s="1123">
        <f>-AH246</f>
        <v>-2017.1069403360423</v>
      </c>
      <c r="AI216" s="685"/>
      <c r="AJ216" s="685"/>
      <c r="AK216" s="685"/>
      <c r="AL216" s="685"/>
      <c r="AM216" s="1123"/>
      <c r="AN216" s="685"/>
      <c r="AO216" s="685"/>
      <c r="AP216" s="685"/>
      <c r="AQ216" s="685"/>
      <c r="AR216" s="685"/>
      <c r="AS216" s="685"/>
      <c r="AT216" s="685"/>
      <c r="AU216" s="685"/>
      <c r="AV216" s="685"/>
      <c r="AW216" s="685"/>
      <c r="AX216" s="685"/>
      <c r="AY216" s="685"/>
      <c r="AZ216" s="685"/>
      <c r="BA216" s="685"/>
      <c r="BB216" s="685"/>
      <c r="BC216" s="685"/>
      <c r="BD216" s="685"/>
    </row>
    <row r="217" spans="1:56">
      <c r="A217" s="685"/>
      <c r="B217" s="1115" t="s">
        <v>281</v>
      </c>
      <c r="C217" s="1123"/>
      <c r="D217" s="1123"/>
      <c r="E217" s="1123"/>
      <c r="F217" s="1123"/>
      <c r="G217" s="1123"/>
      <c r="H217" s="1123"/>
      <c r="I217" s="1123"/>
      <c r="J217" s="1123"/>
      <c r="K217" s="1123"/>
      <c r="L217" s="1123"/>
      <c r="M217" s="1123"/>
      <c r="N217" s="1123"/>
      <c r="O217" s="1123"/>
      <c r="P217" s="1123"/>
      <c r="Q217" s="1123"/>
      <c r="R217" s="1123">
        <f t="shared" ref="R217:AC217" si="147">-R321</f>
        <v>-11168</v>
      </c>
      <c r="S217" s="1123">
        <f t="shared" si="147"/>
        <v>69238.400000000009</v>
      </c>
      <c r="T217" s="1123">
        <f t="shared" si="147"/>
        <v>0</v>
      </c>
      <c r="U217" s="1123">
        <f t="shared" si="147"/>
        <v>-45716.1708</v>
      </c>
      <c r="V217" s="1123">
        <f t="shared" si="147"/>
        <v>9257.3790000000026</v>
      </c>
      <c r="W217" s="1123">
        <f t="shared" si="147"/>
        <v>-8684.5740000000005</v>
      </c>
      <c r="X217" s="1123">
        <f t="shared" si="147"/>
        <v>8599.7789999999968</v>
      </c>
      <c r="Y217" s="1123">
        <f t="shared" si="147"/>
        <v>365.84235951056905</v>
      </c>
      <c r="Z217" s="1123">
        <f t="shared" si="147"/>
        <v>-723.55488880979101</v>
      </c>
      <c r="AA217" s="1123">
        <f t="shared" si="147"/>
        <v>-738.02598658599163</v>
      </c>
      <c r="AB217" s="1123">
        <f t="shared" si="147"/>
        <v>-752.78650631770574</v>
      </c>
      <c r="AC217" s="1123">
        <f t="shared" si="147"/>
        <v>-767.84223644405722</v>
      </c>
      <c r="AD217" s="1123">
        <f>-AD321</f>
        <v>-783.19908117294256</v>
      </c>
      <c r="AE217" s="1123">
        <f>-AE321</f>
        <v>-798.86306279639246</v>
      </c>
      <c r="AF217" s="1123">
        <f>-AF321</f>
        <v>-814.84032405233006</v>
      </c>
      <c r="AG217" s="1123">
        <f>-AG321</f>
        <v>-831.13713053337699</v>
      </c>
      <c r="AH217" s="1123">
        <f>-AH321</f>
        <v>-847.75987314404335</v>
      </c>
      <c r="AI217" s="685"/>
      <c r="AJ217" s="685"/>
      <c r="AK217" s="685"/>
      <c r="AL217" s="685"/>
      <c r="AM217" s="1123"/>
      <c r="AN217" s="685"/>
      <c r="AO217" s="685"/>
      <c r="AP217" s="685"/>
      <c r="AQ217" s="685"/>
      <c r="AR217" s="685"/>
      <c r="AS217" s="685"/>
      <c r="AT217" s="685"/>
      <c r="AU217" s="685"/>
      <c r="AV217" s="685"/>
      <c r="AW217" s="685"/>
      <c r="AX217" s="685"/>
      <c r="AY217" s="685"/>
      <c r="AZ217" s="685"/>
      <c r="BA217" s="685"/>
      <c r="BB217" s="685"/>
      <c r="BC217" s="685"/>
      <c r="BD217" s="685"/>
    </row>
    <row r="218" spans="1:56">
      <c r="A218" s="685"/>
      <c r="B218" s="1115" t="s">
        <v>8111</v>
      </c>
      <c r="C218" s="1123"/>
      <c r="D218" s="1123"/>
      <c r="E218" s="1123"/>
      <c r="F218" s="1123"/>
      <c r="G218" s="1123"/>
      <c r="H218" s="1123"/>
      <c r="I218" s="1123"/>
      <c r="J218" s="1123"/>
      <c r="K218" s="1123"/>
      <c r="L218" s="1123"/>
      <c r="M218" s="1123"/>
      <c r="N218" s="1123"/>
      <c r="O218" s="1123"/>
      <c r="P218" s="1123"/>
      <c r="Q218" s="1123"/>
      <c r="R218" s="1123"/>
      <c r="S218" s="1123"/>
      <c r="T218" s="1123"/>
      <c r="U218" s="1123">
        <f t="shared" ref="U218:AC218" si="148">U436</f>
        <v>0</v>
      </c>
      <c r="V218" s="1123">
        <f t="shared" si="148"/>
        <v>716.90499999999997</v>
      </c>
      <c r="W218" s="1123">
        <f t="shared" si="148"/>
        <v>777.83799999999997</v>
      </c>
      <c r="X218" s="1123">
        <f t="shared" si="148"/>
        <v>780.077</v>
      </c>
      <c r="Y218" s="1123">
        <f t="shared" si="148"/>
        <v>808.52141094509921</v>
      </c>
      <c r="Z218" s="1123">
        <f t="shared" si="148"/>
        <v>1082.1194286770522</v>
      </c>
      <c r="AA218" s="1123">
        <f t="shared" si="148"/>
        <v>1283.3698690922374</v>
      </c>
      <c r="AB218" s="1123">
        <f t="shared" si="148"/>
        <v>1454.7559716824653</v>
      </c>
      <c r="AC218" s="1123">
        <f t="shared" si="148"/>
        <v>1624.5315190939439</v>
      </c>
      <c r="AD218" s="1123">
        <f>AD436</f>
        <v>1778.9045568196175</v>
      </c>
      <c r="AE218" s="1123">
        <f>AE436</f>
        <v>1922.1961253404465</v>
      </c>
      <c r="AF218" s="1123">
        <f>AF436</f>
        <v>2061.7917538305483</v>
      </c>
      <c r="AG218" s="1123">
        <f>AG436</f>
        <v>2185.2906259269716</v>
      </c>
      <c r="AH218" s="1123">
        <f>AH436</f>
        <v>2289.287570965756</v>
      </c>
      <c r="AI218" s="685"/>
      <c r="AJ218" s="685"/>
      <c r="AK218" s="685"/>
      <c r="AL218" s="685"/>
      <c r="AM218" s="1123"/>
      <c r="AN218" s="685"/>
      <c r="AO218" s="685"/>
      <c r="AP218" s="685"/>
      <c r="AQ218" s="685"/>
      <c r="AR218" s="685"/>
      <c r="AS218" s="685"/>
      <c r="AT218" s="685"/>
      <c r="AU218" s="685"/>
      <c r="AV218" s="685"/>
      <c r="AW218" s="685"/>
      <c r="AX218" s="685"/>
      <c r="AY218" s="685"/>
      <c r="AZ218" s="685"/>
      <c r="BA218" s="685"/>
      <c r="BB218" s="685"/>
      <c r="BC218" s="685"/>
      <c r="BD218" s="685"/>
    </row>
    <row r="219" spans="1:56">
      <c r="A219" s="685"/>
      <c r="B219" s="1115" t="s">
        <v>282</v>
      </c>
      <c r="C219" s="1158"/>
      <c r="D219" s="1158"/>
      <c r="E219" s="1158"/>
      <c r="F219" s="1158"/>
      <c r="G219" s="1158"/>
      <c r="H219" s="1158">
        <f t="shared" ref="H219:U219" si="149">-H496</f>
        <v>0</v>
      </c>
      <c r="I219" s="1158">
        <f t="shared" si="149"/>
        <v>-13966</v>
      </c>
      <c r="J219" s="1158">
        <f t="shared" si="149"/>
        <v>-19299</v>
      </c>
      <c r="K219" s="1158">
        <f t="shared" si="149"/>
        <v>0</v>
      </c>
      <c r="L219" s="1158">
        <f t="shared" si="149"/>
        <v>-11122.5</v>
      </c>
      <c r="M219" s="1158">
        <f t="shared" si="149"/>
        <v>-6015</v>
      </c>
      <c r="N219" s="1158">
        <f t="shared" si="149"/>
        <v>-879</v>
      </c>
      <c r="O219" s="1158">
        <f t="shared" si="149"/>
        <v>-6750</v>
      </c>
      <c r="P219" s="1158">
        <f t="shared" si="149"/>
        <v>0</v>
      </c>
      <c r="Q219" s="1158">
        <f t="shared" si="149"/>
        <v>4057.7800000000007</v>
      </c>
      <c r="R219" s="1158">
        <f t="shared" si="149"/>
        <v>-9500</v>
      </c>
      <c r="S219" s="1158">
        <f t="shared" si="149"/>
        <v>0</v>
      </c>
      <c r="T219" s="1158">
        <f t="shared" si="149"/>
        <v>5206</v>
      </c>
      <c r="U219" s="1158">
        <f t="shared" si="149"/>
        <v>45247.5</v>
      </c>
      <c r="V219" s="1158">
        <f>-V200-SUM(V207:V218)</f>
        <v>-633.53599999999392</v>
      </c>
      <c r="W219" s="1158">
        <f>-W200-SUM(W207:W218)</f>
        <v>5398.8459999999905</v>
      </c>
      <c r="X219" s="1158">
        <f>-X200-SUM(X207:X218)</f>
        <v>-3847.3579999999965</v>
      </c>
      <c r="Y219" s="1158">
        <f t="shared" ref="Y219:AC219" si="150">-Y496</f>
        <v>0</v>
      </c>
      <c r="Z219" s="1158">
        <f t="shared" si="150"/>
        <v>-1771.23</v>
      </c>
      <c r="AA219" s="1158">
        <f t="shared" si="150"/>
        <v>-1806.6545999999998</v>
      </c>
      <c r="AB219" s="1158">
        <f t="shared" si="150"/>
        <v>0</v>
      </c>
      <c r="AC219" s="1158">
        <f t="shared" si="150"/>
        <v>0</v>
      </c>
      <c r="AD219" s="1158">
        <f>-AD496</f>
        <v>0</v>
      </c>
      <c r="AE219" s="1158">
        <f>-AE496</f>
        <v>0</v>
      </c>
      <c r="AF219" s="1158">
        <f>-AF496</f>
        <v>0</v>
      </c>
      <c r="AG219" s="1158">
        <f>-AG496</f>
        <v>0</v>
      </c>
      <c r="AH219" s="1158">
        <f>-AH496</f>
        <v>0</v>
      </c>
      <c r="AI219" s="685"/>
      <c r="AJ219" s="685"/>
      <c r="AK219" s="685"/>
      <c r="AL219" s="685"/>
      <c r="AM219" s="685"/>
      <c r="AN219" s="685"/>
      <c r="AO219" s="685"/>
      <c r="AP219" s="685"/>
      <c r="AQ219" s="685"/>
      <c r="AR219" s="685"/>
      <c r="AS219" s="685"/>
      <c r="AT219" s="685"/>
      <c r="AU219" s="685"/>
      <c r="AV219" s="685"/>
      <c r="AW219" s="685"/>
      <c r="AX219" s="685"/>
      <c r="AY219" s="685"/>
      <c r="AZ219" s="685"/>
      <c r="BA219" s="685"/>
      <c r="BB219" s="685"/>
      <c r="BC219" s="685"/>
      <c r="BD219" s="685"/>
    </row>
    <row r="220" spans="1:56">
      <c r="A220" s="685"/>
      <c r="B220" s="1113" t="s">
        <v>272</v>
      </c>
      <c r="C220" s="1114"/>
      <c r="D220" s="1114">
        <f t="shared" ref="D220:AC220" si="151">SUM(D207:D219)</f>
        <v>0</v>
      </c>
      <c r="E220" s="1114">
        <f t="shared" si="151"/>
        <v>0</v>
      </c>
      <c r="F220" s="1114">
        <f t="shared" si="151"/>
        <v>0</v>
      </c>
      <c r="G220" s="1114">
        <f t="shared" si="151"/>
        <v>0</v>
      </c>
      <c r="H220" s="1114">
        <f t="shared" si="151"/>
        <v>6471.05</v>
      </c>
      <c r="I220" s="1114">
        <f t="shared" si="151"/>
        <v>-6726.1423162393185</v>
      </c>
      <c r="J220" s="1114">
        <f t="shared" si="151"/>
        <v>-14876.375384615385</v>
      </c>
      <c r="K220" s="1114" t="e">
        <f t="shared" si="151"/>
        <v>#REF!</v>
      </c>
      <c r="L220" s="1114" t="e">
        <f t="shared" si="151"/>
        <v>#REF!</v>
      </c>
      <c r="M220" s="1114" t="e">
        <f t="shared" si="151"/>
        <v>#REF!</v>
      </c>
      <c r="N220" s="1114">
        <f t="shared" si="151"/>
        <v>11494.648196581191</v>
      </c>
      <c r="O220" s="1114">
        <f t="shared" si="151"/>
        <v>-20239.373803418806</v>
      </c>
      <c r="P220" s="1114">
        <f t="shared" si="151"/>
        <v>-5843.8238034187989</v>
      </c>
      <c r="Q220" s="1114">
        <f t="shared" si="151"/>
        <v>7918.8620085470138</v>
      </c>
      <c r="R220" s="1114">
        <f t="shared" si="151"/>
        <v>-40543.44636752137</v>
      </c>
      <c r="S220" s="1114">
        <f t="shared" si="151"/>
        <v>70450.191803418813</v>
      </c>
      <c r="T220" s="1114">
        <f t="shared" si="151"/>
        <v>-4135.2362704130592</v>
      </c>
      <c r="U220" s="1114">
        <f t="shared" si="151"/>
        <v>-21480.813800000004</v>
      </c>
      <c r="V220" s="1114">
        <f t="shared" si="151"/>
        <v>-762.41799999999057</v>
      </c>
      <c r="W220" s="1114">
        <f t="shared" si="151"/>
        <v>1098.4909999999873</v>
      </c>
      <c r="X220" s="1114">
        <f t="shared" si="151"/>
        <v>7088.1270000000004</v>
      </c>
      <c r="Y220" s="1114">
        <f t="shared" ca="1" si="151"/>
        <v>401.00507121938278</v>
      </c>
      <c r="Z220" s="1114">
        <f t="shared" ca="1" si="151"/>
        <v>-688.54639249867887</v>
      </c>
      <c r="AA220" s="1114">
        <f t="shared" ca="1" si="151"/>
        <v>-453.84317481187168</v>
      </c>
      <c r="AB220" s="1114">
        <f t="shared" ca="1" si="151"/>
        <v>1507.3851796013362</v>
      </c>
      <c r="AC220" s="1114">
        <f t="shared" ca="1" si="151"/>
        <v>1922.0805703113192</v>
      </c>
      <c r="AD220" s="1114">
        <f ca="1">SUM(AD207:AD219)</f>
        <v>2316.4412474834826</v>
      </c>
      <c r="AE220" s="1114">
        <f ca="1">SUM(AE207:AE219)</f>
        <v>2605.7838597936084</v>
      </c>
      <c r="AF220" s="1114">
        <f ca="1">SUM(AF207:AF219)</f>
        <v>2902.7155328387562</v>
      </c>
      <c r="AG220" s="1114">
        <f ca="1">SUM(AG207:AG219)</f>
        <v>2933.5928027700511</v>
      </c>
      <c r="AH220" s="1114">
        <f ca="1">SUM(AH207:AH219)</f>
        <v>2881.4809954406878</v>
      </c>
      <c r="AI220" s="685"/>
      <c r="AJ220" s="685"/>
      <c r="AK220" s="685"/>
      <c r="AL220" s="685"/>
      <c r="AM220" s="685"/>
      <c r="AN220" s="685"/>
      <c r="AO220" s="685"/>
      <c r="AP220" s="685"/>
      <c r="AQ220" s="685"/>
      <c r="AR220" s="685"/>
      <c r="AS220" s="685"/>
      <c r="AT220" s="685"/>
      <c r="AU220" s="685"/>
      <c r="AV220" s="685"/>
      <c r="AW220" s="685"/>
      <c r="AX220" s="685"/>
      <c r="AY220" s="685"/>
      <c r="AZ220" s="685"/>
      <c r="BA220" s="685"/>
      <c r="BB220" s="685"/>
      <c r="BC220" s="685"/>
      <c r="BD220" s="685"/>
    </row>
    <row r="221" spans="1:56">
      <c r="A221" s="685"/>
      <c r="B221" s="1113" t="s">
        <v>271</v>
      </c>
      <c r="C221" s="1114"/>
      <c r="D221" s="1114">
        <f t="shared" ref="D221:V221" si="152">D308</f>
        <v>0</v>
      </c>
      <c r="E221" s="1114">
        <f t="shared" si="152"/>
        <v>0</v>
      </c>
      <c r="F221" s="1114">
        <f t="shared" si="152"/>
        <v>0</v>
      </c>
      <c r="G221" s="1114">
        <f t="shared" si="152"/>
        <v>0</v>
      </c>
      <c r="H221" s="1114">
        <f t="shared" si="152"/>
        <v>576.90000000000146</v>
      </c>
      <c r="I221" s="1114">
        <f t="shared" si="152"/>
        <v>12718</v>
      </c>
      <c r="J221" s="1114">
        <f t="shared" si="152"/>
        <v>31773</v>
      </c>
      <c r="K221" s="1114">
        <f t="shared" si="152"/>
        <v>25610</v>
      </c>
      <c r="L221" s="1114">
        <f t="shared" si="152"/>
        <v>34993</v>
      </c>
      <c r="M221" s="1114">
        <f t="shared" si="152"/>
        <v>40507.000000000007</v>
      </c>
      <c r="N221" s="1114">
        <f t="shared" si="152"/>
        <v>55481</v>
      </c>
      <c r="O221" s="1114">
        <f t="shared" si="152"/>
        <v>78405.899999999994</v>
      </c>
      <c r="P221" s="1114">
        <f t="shared" si="152"/>
        <v>79273</v>
      </c>
      <c r="Q221" s="1114">
        <f t="shared" si="152"/>
        <v>83317.7</v>
      </c>
      <c r="R221" s="1114">
        <f t="shared" si="152"/>
        <v>104172.40000000001</v>
      </c>
      <c r="S221" s="1114">
        <f t="shared" si="152"/>
        <v>102787.20000000001</v>
      </c>
      <c r="T221" s="1114">
        <f t="shared" si="152"/>
        <v>109644.49999999999</v>
      </c>
      <c r="U221" s="1114">
        <f t="shared" si="152"/>
        <v>62478.7</v>
      </c>
      <c r="V221" s="1114">
        <f t="shared" si="152"/>
        <v>63241.117999999988</v>
      </c>
      <c r="W221" s="1114">
        <f>W308</f>
        <v>62142.627</v>
      </c>
      <c r="X221" s="1114">
        <f>X308</f>
        <v>55054.5</v>
      </c>
      <c r="Y221" s="1114">
        <f ca="1">X221-Y220</f>
        <v>54653.494928780616</v>
      </c>
      <c r="Z221" s="1114">
        <f t="shared" ref="Z221:AE221" ca="1" si="153">Y221-Z220</f>
        <v>55342.041321279292</v>
      </c>
      <c r="AA221" s="1114">
        <f t="shared" ca="1" si="153"/>
        <v>55795.884496091167</v>
      </c>
      <c r="AB221" s="1114">
        <f t="shared" ca="1" si="153"/>
        <v>54288.499316489833</v>
      </c>
      <c r="AC221" s="1114">
        <f t="shared" ca="1" si="153"/>
        <v>52366.418746178511</v>
      </c>
      <c r="AD221" s="1114">
        <f t="shared" ca="1" si="153"/>
        <v>50049.977498695029</v>
      </c>
      <c r="AE221" s="1114">
        <f t="shared" ca="1" si="153"/>
        <v>47444.193638901423</v>
      </c>
      <c r="AF221" s="1114">
        <f ca="1">AE221-AF220</f>
        <v>44541.47810606267</v>
      </c>
      <c r="AG221" s="1114">
        <f ca="1">AF221-AG220</f>
        <v>41607.88530329262</v>
      </c>
      <c r="AH221" s="1114">
        <f ca="1">AG221-AH220</f>
        <v>38726.404307851932</v>
      </c>
      <c r="AI221" s="685"/>
      <c r="AJ221" s="685"/>
      <c r="AK221" s="685"/>
      <c r="AL221" s="685"/>
      <c r="AM221" s="685"/>
      <c r="AN221" s="685"/>
      <c r="AO221" s="685"/>
      <c r="AP221" s="685"/>
      <c r="AQ221" s="685"/>
      <c r="AR221" s="685"/>
      <c r="AS221" s="685"/>
      <c r="AT221" s="685"/>
      <c r="AU221" s="685"/>
      <c r="AV221" s="685"/>
      <c r="AW221" s="685"/>
      <c r="AX221" s="685"/>
      <c r="AY221" s="685"/>
      <c r="AZ221" s="685"/>
      <c r="BA221" s="685"/>
      <c r="BB221" s="685"/>
      <c r="BC221" s="685"/>
      <c r="BD221" s="685"/>
    </row>
    <row r="222" spans="1:56">
      <c r="A222" s="685"/>
      <c r="B222" s="1115" t="s">
        <v>283</v>
      </c>
      <c r="C222" s="1123"/>
      <c r="D222" s="1123">
        <f t="shared" ref="D222:AC222" si="154">D220+D200</f>
        <v>0</v>
      </c>
      <c r="E222" s="1123">
        <f t="shared" si="154"/>
        <v>0</v>
      </c>
      <c r="F222" s="1123">
        <f t="shared" si="154"/>
        <v>0</v>
      </c>
      <c r="G222" s="1123">
        <f t="shared" si="154"/>
        <v>0</v>
      </c>
      <c r="H222" s="1123">
        <f t="shared" si="154"/>
        <v>7047.9500000000016</v>
      </c>
      <c r="I222" s="1123">
        <f t="shared" si="154"/>
        <v>5414.9576837606801</v>
      </c>
      <c r="J222" s="1123">
        <f t="shared" si="154"/>
        <v>4178.624615384615</v>
      </c>
      <c r="K222" s="1123" t="e">
        <f t="shared" si="154"/>
        <v>#REF!</v>
      </c>
      <c r="L222" s="1123" t="e">
        <f t="shared" si="154"/>
        <v>#REF!</v>
      </c>
      <c r="M222" s="1123" t="e">
        <f t="shared" si="154"/>
        <v>#REF!</v>
      </c>
      <c r="N222" s="1123">
        <f t="shared" si="154"/>
        <v>26468.648196581184</v>
      </c>
      <c r="O222" s="1123">
        <f t="shared" si="154"/>
        <v>2685.5261965811878</v>
      </c>
      <c r="P222" s="1123">
        <f t="shared" si="154"/>
        <v>-4976.7238034187931</v>
      </c>
      <c r="Q222" s="1123">
        <f t="shared" si="154"/>
        <v>11963.562008547011</v>
      </c>
      <c r="R222" s="1123">
        <f t="shared" si="154"/>
        <v>-19688.746367521358</v>
      </c>
      <c r="S222" s="1123">
        <f t="shared" si="154"/>
        <v>69064.991803418816</v>
      </c>
      <c r="T222" s="1123">
        <f t="shared" si="154"/>
        <v>2722.0637295869146</v>
      </c>
      <c r="U222" s="1123">
        <f t="shared" si="154"/>
        <v>-68646.613799999992</v>
      </c>
      <c r="V222" s="1123">
        <f t="shared" si="154"/>
        <v>0</v>
      </c>
      <c r="W222" s="1123">
        <f t="shared" si="154"/>
        <v>0</v>
      </c>
      <c r="X222" s="1123">
        <f t="shared" si="154"/>
        <v>0</v>
      </c>
      <c r="Y222" s="1123">
        <f t="shared" ca="1" si="154"/>
        <v>-1.4779288903810084E-12</v>
      </c>
      <c r="Z222" s="1123">
        <f t="shared" ca="1" si="154"/>
        <v>-2.7284841053187847E-12</v>
      </c>
      <c r="AA222" s="1123">
        <f t="shared" ca="1" si="154"/>
        <v>2.9558577807620168E-12</v>
      </c>
      <c r="AB222" s="1123">
        <f t="shared" ca="1" si="154"/>
        <v>2.9558577807620168E-12</v>
      </c>
      <c r="AC222" s="1123">
        <f t="shared" ca="1" si="154"/>
        <v>-2.7284841053187847E-12</v>
      </c>
      <c r="AD222" s="1123">
        <f ca="1">AD220+AD200</f>
        <v>0</v>
      </c>
      <c r="AE222" s="1123">
        <f ca="1">AE220+AE200</f>
        <v>0</v>
      </c>
      <c r="AF222" s="1123">
        <f ca="1">AF220+AF200</f>
        <v>3.637978807091713E-12</v>
      </c>
      <c r="AG222" s="1123">
        <f ca="1">AG220+AG200</f>
        <v>0</v>
      </c>
      <c r="AH222" s="1123">
        <f ca="1">AH220+AH200</f>
        <v>0</v>
      </c>
      <c r="AI222" s="685"/>
      <c r="AJ222" s="685"/>
      <c r="AK222" s="685"/>
      <c r="AL222" s="685"/>
      <c r="AM222" s="685"/>
      <c r="AN222" s="685"/>
      <c r="AO222" s="685"/>
      <c r="AP222" s="685"/>
      <c r="AQ222" s="685"/>
      <c r="AR222" s="685"/>
      <c r="AS222" s="685"/>
      <c r="AT222" s="685"/>
      <c r="AU222" s="685"/>
      <c r="AV222" s="685"/>
      <c r="AW222" s="685"/>
      <c r="AX222" s="685"/>
      <c r="AY222" s="685"/>
      <c r="AZ222" s="685"/>
      <c r="BA222" s="685"/>
      <c r="BB222" s="685"/>
      <c r="BC222" s="685"/>
      <c r="BD222" s="685"/>
    </row>
    <row r="223" spans="1:56">
      <c r="A223" s="685"/>
      <c r="B223" s="1115"/>
      <c r="C223" s="1115"/>
      <c r="D223" s="1164"/>
      <c r="E223" s="1115"/>
      <c r="F223" s="1115"/>
      <c r="G223" s="1115"/>
      <c r="H223" s="1115"/>
      <c r="I223" s="1123"/>
      <c r="J223" s="1124"/>
      <c r="K223" s="1115"/>
      <c r="L223" s="1115"/>
      <c r="M223" s="1115"/>
      <c r="N223" s="1124">
        <f t="shared" ref="N223:AH223" si="155">N221/N63</f>
        <v>1.7136829620111633</v>
      </c>
      <c r="O223" s="1124">
        <f t="shared" si="155"/>
        <v>2.3350447764750033</v>
      </c>
      <c r="P223" s="1124">
        <f t="shared" si="155"/>
        <v>2.418334350213545</v>
      </c>
      <c r="Q223" s="1124">
        <f t="shared" si="155"/>
        <v>2.2781516166518556</v>
      </c>
      <c r="R223" s="1124">
        <f t="shared" si="155"/>
        <v>2.725734664988579</v>
      </c>
      <c r="S223" s="1124">
        <f t="shared" si="155"/>
        <v>2.6484515708458845</v>
      </c>
      <c r="T223" s="1124">
        <f t="shared" si="155"/>
        <v>2.5146898278962238</v>
      </c>
      <c r="U223" s="1124">
        <f t="shared" si="155"/>
        <v>2.4466880717167077</v>
      </c>
      <c r="V223" s="1124">
        <f t="shared" si="155"/>
        <v>2.6214369564676714</v>
      </c>
      <c r="W223" s="1124">
        <f t="shared" si="155"/>
        <v>3.5124672620689474</v>
      </c>
      <c r="X223" s="1124">
        <f t="shared" si="155"/>
        <v>2.5743965509179159</v>
      </c>
      <c r="Y223" s="1124">
        <f t="shared" ca="1" si="155"/>
        <v>2.5205645237098397</v>
      </c>
      <c r="Z223" s="1124">
        <f t="shared" ca="1" si="155"/>
        <v>2.6054160451757591</v>
      </c>
      <c r="AA223" s="1124">
        <f t="shared" ca="1" si="155"/>
        <v>2.6925228829771521</v>
      </c>
      <c r="AB223" s="1124">
        <f t="shared" ca="1" si="155"/>
        <v>2.615455844652895</v>
      </c>
      <c r="AC223" s="1124">
        <f t="shared" ca="1" si="155"/>
        <v>2.4813709762436278</v>
      </c>
      <c r="AD223" s="1124">
        <f t="shared" ca="1" si="155"/>
        <v>2.3132639886629347</v>
      </c>
      <c r="AE223" s="1124">
        <f t="shared" ca="1" si="155"/>
        <v>2.147840240528772</v>
      </c>
      <c r="AF223" s="1124">
        <f t="shared" ca="1" si="155"/>
        <v>1.9791523603142704</v>
      </c>
      <c r="AG223" s="1124">
        <f t="shared" ca="1" si="155"/>
        <v>1.8486323731493677</v>
      </c>
      <c r="AH223" s="1124">
        <f t="shared" ca="1" si="155"/>
        <v>1.7011869141118268</v>
      </c>
      <c r="AI223" s="685"/>
      <c r="AJ223" s="685"/>
      <c r="AK223" s="685"/>
      <c r="AL223" s="685"/>
      <c r="AM223" s="685"/>
      <c r="AN223" s="685"/>
      <c r="AO223" s="685"/>
      <c r="AP223" s="685"/>
      <c r="AQ223" s="685"/>
      <c r="AR223" s="685"/>
      <c r="AS223" s="685"/>
      <c r="AT223" s="685"/>
      <c r="AU223" s="685"/>
      <c r="AV223" s="685"/>
      <c r="AW223" s="685"/>
      <c r="AX223" s="685"/>
      <c r="AY223" s="685"/>
      <c r="AZ223" s="685"/>
      <c r="BA223" s="685"/>
      <c r="BB223" s="685"/>
      <c r="BC223" s="685"/>
      <c r="BD223" s="685"/>
    </row>
    <row r="224" spans="1:56">
      <c r="A224" s="685"/>
      <c r="B224" s="1115"/>
      <c r="C224" s="1115"/>
      <c r="D224" s="1164"/>
      <c r="E224" s="1115"/>
      <c r="F224" s="1115"/>
      <c r="G224" s="1115"/>
      <c r="H224" s="1115"/>
      <c r="I224" s="1123"/>
      <c r="J224" s="1124"/>
      <c r="K224" s="1115"/>
      <c r="L224" s="1115"/>
      <c r="M224" s="1115"/>
      <c r="N224" s="1115"/>
      <c r="O224" s="1115"/>
      <c r="P224" s="1115"/>
      <c r="Q224" s="1115"/>
      <c r="R224" s="1115"/>
      <c r="S224" s="1115"/>
      <c r="T224" s="1115"/>
      <c r="U224" s="1115"/>
      <c r="V224" s="1115"/>
      <c r="W224" s="1124">
        <f>W328/W63</f>
        <v>3.3714586285700858</v>
      </c>
      <c r="X224" s="1115"/>
      <c r="Y224" s="1115"/>
      <c r="Z224" s="1115"/>
      <c r="AA224" s="1115"/>
      <c r="AB224" s="1115"/>
      <c r="AC224" s="1115"/>
      <c r="AD224" s="1115"/>
      <c r="AE224" s="1115"/>
      <c r="AF224" s="1115"/>
      <c r="AG224" s="1115"/>
      <c r="AH224" s="1115"/>
      <c r="AI224" s="685"/>
      <c r="AJ224" s="685"/>
      <c r="AK224" s="685"/>
      <c r="AL224" s="685"/>
      <c r="AM224" s="685"/>
      <c r="AN224" s="685"/>
      <c r="AO224" s="685"/>
      <c r="AP224" s="685"/>
      <c r="AQ224" s="685"/>
      <c r="AR224" s="685"/>
      <c r="AS224" s="685"/>
      <c r="AT224" s="685"/>
      <c r="AU224" s="685"/>
      <c r="AV224" s="685"/>
      <c r="AW224" s="685"/>
      <c r="AX224" s="685"/>
      <c r="AY224" s="685"/>
      <c r="AZ224" s="685"/>
      <c r="BA224" s="685"/>
      <c r="BB224" s="685"/>
      <c r="BC224" s="685"/>
      <c r="BD224" s="685"/>
    </row>
    <row r="225" spans="1:56">
      <c r="A225" s="685"/>
      <c r="B225" s="1115"/>
      <c r="C225" s="1115"/>
      <c r="D225" s="1164"/>
      <c r="E225" s="1115"/>
      <c r="F225" s="1115"/>
      <c r="G225" s="1115"/>
      <c r="H225" s="1115"/>
      <c r="I225" s="1123"/>
      <c r="J225" s="1124"/>
      <c r="K225" s="1115"/>
      <c r="L225" s="1115"/>
      <c r="M225" s="1115"/>
      <c r="N225" s="1115"/>
      <c r="O225" s="1115"/>
      <c r="P225" s="1115"/>
      <c r="Q225" s="1115"/>
      <c r="R225" s="1115"/>
      <c r="S225" s="1115"/>
      <c r="T225" s="1115"/>
      <c r="U225" s="1115"/>
      <c r="V225" s="1115"/>
      <c r="W225" s="1115"/>
      <c r="X225" s="1115"/>
      <c r="Y225" s="1115"/>
      <c r="Z225" s="1115"/>
      <c r="AA225" s="1115"/>
      <c r="AB225" s="1115"/>
      <c r="AC225" s="1115"/>
      <c r="AD225" s="1115"/>
      <c r="AE225" s="1115"/>
      <c r="AF225" s="1115"/>
      <c r="AG225" s="1115"/>
      <c r="AH225" s="1115"/>
      <c r="AI225" s="685"/>
      <c r="AJ225" s="685"/>
      <c r="AK225" s="685"/>
      <c r="AL225" s="685"/>
      <c r="AM225" s="685"/>
      <c r="AN225" s="685"/>
      <c r="AO225" s="685"/>
      <c r="AP225" s="685"/>
      <c r="AQ225" s="685"/>
      <c r="AR225" s="685"/>
      <c r="AS225" s="685"/>
      <c r="AT225" s="685"/>
      <c r="AU225" s="685"/>
      <c r="AV225" s="685"/>
      <c r="AW225" s="685"/>
      <c r="AX225" s="685"/>
      <c r="AY225" s="685"/>
      <c r="AZ225" s="685"/>
      <c r="BA225" s="685"/>
      <c r="BB225" s="685"/>
      <c r="BC225" s="685"/>
      <c r="BD225" s="685"/>
    </row>
    <row r="226" spans="1:56">
      <c r="A226" s="685"/>
      <c r="B226" s="1115"/>
      <c r="C226" s="1115"/>
      <c r="D226" s="1164"/>
      <c r="E226" s="1115"/>
      <c r="F226" s="1115"/>
      <c r="G226" s="1115"/>
      <c r="H226" s="1115"/>
      <c r="I226" s="1123"/>
      <c r="J226" s="1124"/>
      <c r="K226" s="1115"/>
      <c r="L226" s="1115"/>
      <c r="M226" s="1115"/>
      <c r="N226" s="1115"/>
      <c r="O226" s="1115"/>
      <c r="P226" s="1115"/>
      <c r="Q226" s="1115"/>
      <c r="R226" s="1115"/>
      <c r="S226" s="1115"/>
      <c r="T226" s="1115"/>
      <c r="U226" s="1115"/>
      <c r="V226" s="1115"/>
      <c r="W226" s="1115"/>
      <c r="X226" s="1115"/>
      <c r="Y226" s="1115"/>
      <c r="Z226" s="1115"/>
      <c r="AA226" s="1115"/>
      <c r="AB226" s="1115"/>
      <c r="AC226" s="1115"/>
      <c r="AD226" s="1115"/>
      <c r="AE226" s="1115"/>
      <c r="AF226" s="1115"/>
      <c r="AG226" s="1115"/>
      <c r="AH226" s="1115"/>
      <c r="AI226" s="685"/>
      <c r="AJ226" s="685"/>
      <c r="AK226" s="685"/>
      <c r="AL226" s="685"/>
      <c r="AM226" s="685"/>
      <c r="AN226" s="685"/>
      <c r="AO226" s="685"/>
      <c r="AP226" s="685"/>
      <c r="AQ226" s="685"/>
      <c r="AR226" s="685"/>
      <c r="AS226" s="685"/>
      <c r="AT226" s="685"/>
      <c r="AU226" s="685"/>
      <c r="AV226" s="685"/>
      <c r="AW226" s="685"/>
      <c r="AX226" s="685"/>
      <c r="AY226" s="685"/>
      <c r="AZ226" s="685"/>
      <c r="BA226" s="685"/>
      <c r="BB226" s="685"/>
      <c r="BC226" s="685"/>
      <c r="BD226" s="685"/>
    </row>
    <row r="227" spans="1:56">
      <c r="A227" s="685"/>
      <c r="B227" s="1112" t="s">
        <v>236</v>
      </c>
      <c r="C227" s="1112">
        <v>2004</v>
      </c>
      <c r="D227" s="1112">
        <f t="shared" ref="D227:AE227" si="156">C227+1</f>
        <v>2005</v>
      </c>
      <c r="E227" s="1112">
        <f t="shared" si="156"/>
        <v>2006</v>
      </c>
      <c r="F227" s="1112">
        <f t="shared" si="156"/>
        <v>2007</v>
      </c>
      <c r="G227" s="1112">
        <f t="shared" si="156"/>
        <v>2008</v>
      </c>
      <c r="H227" s="1112">
        <f t="shared" si="156"/>
        <v>2009</v>
      </c>
      <c r="I227" s="1112">
        <f t="shared" si="156"/>
        <v>2010</v>
      </c>
      <c r="J227" s="1112">
        <f t="shared" si="156"/>
        <v>2011</v>
      </c>
      <c r="K227" s="1112">
        <f t="shared" si="156"/>
        <v>2012</v>
      </c>
      <c r="L227" s="1112">
        <f t="shared" si="156"/>
        <v>2013</v>
      </c>
      <c r="M227" s="1112">
        <f t="shared" si="156"/>
        <v>2014</v>
      </c>
      <c r="N227" s="1112">
        <f t="shared" si="156"/>
        <v>2015</v>
      </c>
      <c r="O227" s="1112">
        <f t="shared" si="156"/>
        <v>2016</v>
      </c>
      <c r="P227" s="1112">
        <f t="shared" si="156"/>
        <v>2017</v>
      </c>
      <c r="Q227" s="1112">
        <f t="shared" si="156"/>
        <v>2018</v>
      </c>
      <c r="R227" s="1112">
        <f t="shared" si="156"/>
        <v>2019</v>
      </c>
      <c r="S227" s="1112">
        <f t="shared" si="156"/>
        <v>2020</v>
      </c>
      <c r="T227" s="1112">
        <f t="shared" si="156"/>
        <v>2021</v>
      </c>
      <c r="U227" s="1112">
        <f t="shared" si="156"/>
        <v>2022</v>
      </c>
      <c r="V227" s="1112">
        <f t="shared" si="156"/>
        <v>2023</v>
      </c>
      <c r="W227" s="1112">
        <f t="shared" si="156"/>
        <v>2024</v>
      </c>
      <c r="X227" s="1112">
        <f t="shared" si="156"/>
        <v>2025</v>
      </c>
      <c r="Y227" s="1112">
        <f t="shared" si="156"/>
        <v>2026</v>
      </c>
      <c r="Z227" s="1112">
        <f t="shared" si="156"/>
        <v>2027</v>
      </c>
      <c r="AA227" s="1112">
        <f t="shared" si="156"/>
        <v>2028</v>
      </c>
      <c r="AB227" s="1112">
        <f t="shared" si="156"/>
        <v>2029</v>
      </c>
      <c r="AC227" s="1112">
        <f t="shared" si="156"/>
        <v>2030</v>
      </c>
      <c r="AD227" s="1112">
        <f t="shared" si="156"/>
        <v>2031</v>
      </c>
      <c r="AE227" s="1112">
        <f t="shared" si="156"/>
        <v>2032</v>
      </c>
      <c r="AF227" s="1112">
        <f>AE227+1</f>
        <v>2033</v>
      </c>
      <c r="AG227" s="1112">
        <f>AF227+1</f>
        <v>2034</v>
      </c>
      <c r="AH227" s="1112">
        <f>AG227+1</f>
        <v>2035</v>
      </c>
      <c r="AI227" s="685"/>
      <c r="AJ227" s="685"/>
      <c r="AK227" s="685"/>
      <c r="AL227" s="685"/>
      <c r="AM227" s="685"/>
      <c r="AN227" s="685"/>
      <c r="AO227" s="685"/>
      <c r="AP227" s="685"/>
      <c r="AQ227" s="685"/>
      <c r="AR227" s="685"/>
      <c r="AS227" s="685"/>
      <c r="AT227" s="685"/>
      <c r="AU227" s="685"/>
      <c r="AV227" s="685"/>
      <c r="AW227" s="685"/>
      <c r="AX227" s="685"/>
      <c r="AY227" s="685"/>
      <c r="AZ227" s="685"/>
      <c r="BA227" s="685"/>
      <c r="BB227" s="685"/>
      <c r="BC227" s="685"/>
      <c r="BD227" s="685"/>
    </row>
    <row r="228" spans="1:56">
      <c r="A228" s="685"/>
      <c r="B228" s="1115" t="s">
        <v>236</v>
      </c>
      <c r="C228" s="1166"/>
      <c r="D228" s="1167"/>
      <c r="E228" s="1167"/>
      <c r="F228" s="1167"/>
      <c r="G228" s="1167"/>
      <c r="H228" s="1167">
        <v>4390</v>
      </c>
      <c r="I228" s="1167">
        <v>5697</v>
      </c>
      <c r="J228" s="1167">
        <v>6501</v>
      </c>
      <c r="K228" s="1168">
        <f t="shared" ref="K228:U228" si="157">K231+K232</f>
        <v>7122.2916099069244</v>
      </c>
      <c r="L228" s="1168">
        <f t="shared" si="157"/>
        <v>8426.7308289351131</v>
      </c>
      <c r="M228" s="1168">
        <f t="shared" si="157"/>
        <v>9411.8212326843186</v>
      </c>
      <c r="N228" s="1168">
        <f t="shared" si="157"/>
        <v>11222.332339055185</v>
      </c>
      <c r="O228" s="1168">
        <f t="shared" si="157"/>
        <v>12681.492375298647</v>
      </c>
      <c r="P228" s="1168">
        <f t="shared" si="157"/>
        <v>13775.112009065635</v>
      </c>
      <c r="Q228" s="1168">
        <f t="shared" si="157"/>
        <v>15461.690203840175</v>
      </c>
      <c r="R228" s="1168">
        <f t="shared" si="157"/>
        <v>15598.453258756492</v>
      </c>
      <c r="S228" s="1168">
        <f t="shared" si="157"/>
        <v>15664.841174858946</v>
      </c>
      <c r="T228" s="1168">
        <f t="shared" si="157"/>
        <v>16057.827405879905</v>
      </c>
      <c r="U228" s="1168">
        <f t="shared" si="157"/>
        <v>15135.795108159535</v>
      </c>
      <c r="V228" s="1193">
        <v>17634</v>
      </c>
      <c r="W228" s="1193">
        <v>16258</v>
      </c>
      <c r="X228" s="1193">
        <v>14258</v>
      </c>
      <c r="Y228" s="1168">
        <f t="shared" ref="Y228:AH228" si="158">Y231+Y232</f>
        <v>13953.961219733854</v>
      </c>
      <c r="Z228" s="1168">
        <f t="shared" si="158"/>
        <v>14028.502288162032</v>
      </c>
      <c r="AA228" s="1168">
        <f t="shared" si="158"/>
        <v>13371.182595606751</v>
      </c>
      <c r="AB228" s="1168">
        <f t="shared" si="158"/>
        <v>12664.208529554813</v>
      </c>
      <c r="AC228" s="1168">
        <f t="shared" si="158"/>
        <v>12053.423684546047</v>
      </c>
      <c r="AD228" s="1168">
        <f t="shared" si="158"/>
        <v>11545.267342408524</v>
      </c>
      <c r="AE228" s="1168">
        <f t="shared" si="158"/>
        <v>11131.769480421153</v>
      </c>
      <c r="AF228" s="1168">
        <f t="shared" si="158"/>
        <v>10806.594692997816</v>
      </c>
      <c r="AG228" s="1168">
        <f t="shared" si="158"/>
        <v>10540.34165419529</v>
      </c>
      <c r="AH228" s="1168">
        <f t="shared" si="158"/>
        <v>10309.394220941171</v>
      </c>
      <c r="AI228" s="685"/>
      <c r="AJ228" s="685"/>
      <c r="AK228" s="685"/>
      <c r="AL228" s="685"/>
      <c r="AM228" s="685"/>
      <c r="AN228" s="685"/>
      <c r="AO228" s="685"/>
      <c r="AP228" s="685"/>
      <c r="AQ228" s="685"/>
      <c r="AR228" s="685"/>
      <c r="AS228" s="685"/>
      <c r="AT228" s="685"/>
      <c r="AU228" s="685"/>
      <c r="AV228" s="685"/>
      <c r="AW228" s="685"/>
      <c r="AX228" s="685"/>
      <c r="AY228" s="685"/>
      <c r="AZ228" s="685"/>
      <c r="BA228" s="685"/>
      <c r="BB228" s="685"/>
      <c r="BC228" s="685"/>
      <c r="BD228" s="685"/>
    </row>
    <row r="229" spans="1:56">
      <c r="A229" s="685"/>
      <c r="B229" s="1115" t="s">
        <v>192</v>
      </c>
      <c r="C229" s="1117"/>
      <c r="D229" s="1123" t="e">
        <f>D228/#REF!-1</f>
        <v>#REF!</v>
      </c>
      <c r="E229" s="1117" t="e">
        <f t="shared" ref="E229:AE229" si="159">E228/D228-1</f>
        <v>#DIV/0!</v>
      </c>
      <c r="F229" s="1117" t="e">
        <f t="shared" si="159"/>
        <v>#DIV/0!</v>
      </c>
      <c r="G229" s="1117" t="e">
        <f t="shared" si="159"/>
        <v>#DIV/0!</v>
      </c>
      <c r="H229" s="1117" t="e">
        <f t="shared" si="159"/>
        <v>#DIV/0!</v>
      </c>
      <c r="I229" s="1117">
        <f t="shared" si="159"/>
        <v>0.29772209567198171</v>
      </c>
      <c r="J229" s="1117">
        <f t="shared" si="159"/>
        <v>0.1411269088994207</v>
      </c>
      <c r="K229" s="1117">
        <f t="shared" si="159"/>
        <v>9.5568621736182857E-2</v>
      </c>
      <c r="L229" s="1117">
        <f t="shared" si="159"/>
        <v>0.18314880806252676</v>
      </c>
      <c r="M229" s="1117">
        <f t="shared" si="159"/>
        <v>0.1169006609736094</v>
      </c>
      <c r="N229" s="1117">
        <f t="shared" si="159"/>
        <v>0.19236564970906223</v>
      </c>
      <c r="O229" s="1117">
        <f t="shared" si="159"/>
        <v>0.13002288581005517</v>
      </c>
      <c r="P229" s="1117">
        <f t="shared" si="159"/>
        <v>8.6237455450997924E-2</v>
      </c>
      <c r="Q229" s="1117">
        <f t="shared" si="159"/>
        <v>0.1224366229228897</v>
      </c>
      <c r="R229" s="1117">
        <f t="shared" si="159"/>
        <v>8.8452849017988111E-3</v>
      </c>
      <c r="S229" s="1117">
        <f t="shared" si="159"/>
        <v>4.2560576360470836E-3</v>
      </c>
      <c r="T229" s="1117">
        <f t="shared" si="159"/>
        <v>2.5087150685681792E-2</v>
      </c>
      <c r="U229" s="1117">
        <f t="shared" si="159"/>
        <v>-5.7419492339464862E-2</v>
      </c>
      <c r="V229" s="1117">
        <f t="shared" si="159"/>
        <v>0.16505276888253539</v>
      </c>
      <c r="W229" s="1117">
        <f t="shared" si="159"/>
        <v>-7.8031076329817428E-2</v>
      </c>
      <c r="X229" s="1117">
        <f t="shared" si="159"/>
        <v>-0.12301636117603643</v>
      </c>
      <c r="Y229" s="1117">
        <f t="shared" si="159"/>
        <v>-2.132408334031044E-2</v>
      </c>
      <c r="Z229" s="1117">
        <f t="shared" si="159"/>
        <v>5.341928879862623E-3</v>
      </c>
      <c r="AA229" s="1117">
        <f t="shared" si="159"/>
        <v>-4.6856013496890503E-2</v>
      </c>
      <c r="AB229" s="1117">
        <f t="shared" si="159"/>
        <v>-5.2872964750643847E-2</v>
      </c>
      <c r="AC229" s="1117">
        <f t="shared" si="159"/>
        <v>-4.8229215713193607E-2</v>
      </c>
      <c r="AD229" s="1117">
        <f t="shared" si="159"/>
        <v>-4.2158672542892628E-2</v>
      </c>
      <c r="AE229" s="1117">
        <f t="shared" si="159"/>
        <v>-3.5815356173563351E-2</v>
      </c>
      <c r="AF229" s="1117">
        <f>AF228/AE228-1</f>
        <v>-2.9211419441919184E-2</v>
      </c>
      <c r="AG229" s="1117">
        <f>AG228/AF228-1</f>
        <v>-2.4638014690700483E-2</v>
      </c>
      <c r="AH229" s="1117">
        <f>AH228/AG228-1</f>
        <v>-2.1910810942470493E-2</v>
      </c>
      <c r="AI229" s="685"/>
      <c r="AJ229" s="685"/>
      <c r="AK229" s="685"/>
      <c r="AL229" s="685"/>
      <c r="AM229" s="685"/>
      <c r="AN229" s="685"/>
      <c r="AO229" s="685"/>
      <c r="AP229" s="685"/>
      <c r="AQ229" s="685"/>
      <c r="AR229" s="685"/>
      <c r="AS229" s="685"/>
      <c r="AT229" s="685"/>
      <c r="AU229" s="685"/>
      <c r="AV229" s="685"/>
      <c r="AW229" s="685"/>
      <c r="AX229" s="685"/>
      <c r="AY229" s="685"/>
      <c r="AZ229" s="685"/>
      <c r="BA229" s="685"/>
      <c r="BB229" s="685"/>
      <c r="BC229" s="685"/>
      <c r="BD229" s="685"/>
    </row>
    <row r="230" spans="1:56">
      <c r="A230" s="685"/>
      <c r="B230" s="1115" t="s">
        <v>284</v>
      </c>
      <c r="C230" s="1117"/>
      <c r="D230" s="1117" t="e">
        <f t="shared" ref="D230:AC230" si="160">D228/D238</f>
        <v>#DIV/0!</v>
      </c>
      <c r="E230" s="1117" t="e">
        <f t="shared" si="160"/>
        <v>#DIV/0!</v>
      </c>
      <c r="F230" s="1117" t="e">
        <f t="shared" si="160"/>
        <v>#DIV/0!</v>
      </c>
      <c r="G230" s="1117" t="e">
        <f t="shared" si="160"/>
        <v>#DIV/0!</v>
      </c>
      <c r="H230" s="1117" t="e">
        <f t="shared" si="160"/>
        <v>#DIV/0!</v>
      </c>
      <c r="I230" s="1117">
        <f t="shared" si="160"/>
        <v>0.14739211425023285</v>
      </c>
      <c r="J230" s="1117">
        <f t="shared" si="160"/>
        <v>0.15665437721390876</v>
      </c>
      <c r="K230" s="1117">
        <f t="shared" si="160"/>
        <v>0.14726736575288804</v>
      </c>
      <c r="L230" s="1117">
        <f t="shared" si="160"/>
        <v>0.15757820405103387</v>
      </c>
      <c r="M230" s="1117">
        <f t="shared" si="160"/>
        <v>0.15375526820584384</v>
      </c>
      <c r="N230" s="1117">
        <f t="shared" si="160"/>
        <v>0.14748896808165121</v>
      </c>
      <c r="O230" s="1117">
        <f t="shared" si="160"/>
        <v>0.14612775196348901</v>
      </c>
      <c r="P230" s="1117">
        <f t="shared" si="160"/>
        <v>0.16069892684397613</v>
      </c>
      <c r="Q230" s="1117">
        <f t="shared" si="160"/>
        <v>0.17702266013120885</v>
      </c>
      <c r="R230" s="1117">
        <f t="shared" si="160"/>
        <v>0.1871911730460763</v>
      </c>
      <c r="S230" s="1117">
        <f t="shared" si="160"/>
        <v>0.18808944304859213</v>
      </c>
      <c r="T230" s="1117">
        <f t="shared" si="160"/>
        <v>0.18263698667206429</v>
      </c>
      <c r="U230" s="1117">
        <f t="shared" si="160"/>
        <v>0.18405225798015887</v>
      </c>
      <c r="V230" s="1117">
        <f t="shared" si="160"/>
        <v>0.22651805246370815</v>
      </c>
      <c r="W230" s="1117">
        <f t="shared" si="160"/>
        <v>0.2553709058210854</v>
      </c>
      <c r="X230" s="1117">
        <f t="shared" si="160"/>
        <v>0.23489988170983656</v>
      </c>
      <c r="Y230" s="1117">
        <f t="shared" si="160"/>
        <v>0.22866932180155661</v>
      </c>
      <c r="Z230" s="1117">
        <f t="shared" si="160"/>
        <v>0.24119216016779324</v>
      </c>
      <c r="AA230" s="1117">
        <f t="shared" si="160"/>
        <v>0.24272441657744687</v>
      </c>
      <c r="AB230" s="1117">
        <f t="shared" si="160"/>
        <v>0.24154014900540557</v>
      </c>
      <c r="AC230" s="1117">
        <f t="shared" si="160"/>
        <v>0.2400093318858405</v>
      </c>
      <c r="AD230" s="1117">
        <f>AD228/AD238</f>
        <v>0.23843032403346359</v>
      </c>
      <c r="AE230" s="1117">
        <f>AE228/AE238</f>
        <v>0.23680836554903512</v>
      </c>
      <c r="AF230" s="1117">
        <f>AF228/AF238</f>
        <v>0.23569798753508492</v>
      </c>
      <c r="AG230" s="1117">
        <f>AG228/AG238</f>
        <v>0.23504079139975562</v>
      </c>
      <c r="AH230" s="1117">
        <f>AH228/AH238</f>
        <v>0.23364844552929723</v>
      </c>
      <c r="AI230" s="685"/>
      <c r="AJ230" s="685"/>
      <c r="AK230" s="685"/>
      <c r="AL230" s="685"/>
      <c r="AM230" s="685"/>
      <c r="AN230" s="685"/>
      <c r="AO230" s="685"/>
      <c r="AP230" s="685"/>
      <c r="AQ230" s="685"/>
      <c r="AR230" s="685"/>
      <c r="AS230" s="685"/>
      <c r="AT230" s="685"/>
      <c r="AU230" s="685"/>
      <c r="AV230" s="685"/>
      <c r="AW230" s="685"/>
      <c r="AX230" s="685"/>
      <c r="AY230" s="685"/>
      <c r="AZ230" s="685"/>
      <c r="BA230" s="685"/>
      <c r="BB230" s="685"/>
      <c r="BC230" s="685"/>
      <c r="BD230" s="685"/>
    </row>
    <row r="231" spans="1:56">
      <c r="A231" s="685"/>
      <c r="B231" s="1115" t="s">
        <v>285</v>
      </c>
      <c r="C231" s="1166"/>
      <c r="D231" s="1167">
        <v>0</v>
      </c>
      <c r="E231" s="1167">
        <v>0</v>
      </c>
      <c r="F231" s="1167">
        <v>0</v>
      </c>
      <c r="G231" s="1167">
        <v>0</v>
      </c>
      <c r="H231" s="1167">
        <v>0</v>
      </c>
      <c r="I231" s="1167">
        <v>0</v>
      </c>
      <c r="J231" s="1167">
        <v>0</v>
      </c>
      <c r="K231" s="1167">
        <v>0</v>
      </c>
      <c r="L231" s="1167">
        <v>0</v>
      </c>
      <c r="M231" s="1167">
        <v>0</v>
      </c>
      <c r="N231" s="1167">
        <v>0</v>
      </c>
      <c r="O231" s="1167">
        <v>0</v>
      </c>
      <c r="P231" s="1167">
        <v>0</v>
      </c>
      <c r="Q231" s="1167">
        <v>0</v>
      </c>
      <c r="R231" s="1167">
        <v>0</v>
      </c>
      <c r="S231" s="1167">
        <v>0</v>
      </c>
      <c r="T231" s="1167">
        <v>0</v>
      </c>
      <c r="U231" s="1167">
        <v>0</v>
      </c>
      <c r="V231" s="1167">
        <v>0</v>
      </c>
      <c r="W231" s="1167">
        <v>0</v>
      </c>
      <c r="X231" s="1167">
        <v>0</v>
      </c>
      <c r="Y231" s="1167">
        <v>0</v>
      </c>
      <c r="Z231" s="1167">
        <v>0</v>
      </c>
      <c r="AA231" s="1167">
        <v>0</v>
      </c>
      <c r="AB231" s="1167">
        <v>0</v>
      </c>
      <c r="AC231" s="1167">
        <v>0</v>
      </c>
      <c r="AD231" s="1167">
        <v>0</v>
      </c>
      <c r="AE231" s="1167">
        <v>0</v>
      </c>
      <c r="AF231" s="1167">
        <v>0</v>
      </c>
      <c r="AG231" s="1167">
        <v>0</v>
      </c>
      <c r="AH231" s="1167">
        <v>0</v>
      </c>
      <c r="AI231" s="685"/>
      <c r="AJ231" s="685"/>
      <c r="AK231" s="685"/>
      <c r="AL231" s="685"/>
      <c r="AM231" s="685"/>
      <c r="AN231" s="685"/>
      <c r="AO231" s="685"/>
      <c r="AP231" s="685"/>
      <c r="AQ231" s="685"/>
      <c r="AR231" s="685"/>
      <c r="AS231" s="685"/>
      <c r="AT231" s="685"/>
      <c r="AU231" s="685"/>
      <c r="AV231" s="685"/>
      <c r="AW231" s="685"/>
      <c r="AX231" s="685"/>
      <c r="AY231" s="685"/>
      <c r="AZ231" s="685"/>
      <c r="BA231" s="685"/>
      <c r="BB231" s="685"/>
      <c r="BC231" s="685"/>
      <c r="BD231" s="685"/>
    </row>
    <row r="232" spans="1:56">
      <c r="A232" s="685"/>
      <c r="B232" s="1115" t="s">
        <v>286</v>
      </c>
      <c r="C232" s="1123"/>
      <c r="D232" s="1123">
        <f t="shared" ref="D232:J232" si="161">D228-D231</f>
        <v>0</v>
      </c>
      <c r="E232" s="1123">
        <f t="shared" si="161"/>
        <v>0</v>
      </c>
      <c r="F232" s="1123">
        <f t="shared" si="161"/>
        <v>0</v>
      </c>
      <c r="G232" s="1123">
        <f t="shared" si="161"/>
        <v>0</v>
      </c>
      <c r="H232" s="1123">
        <f t="shared" si="161"/>
        <v>4390</v>
      </c>
      <c r="I232" s="1123">
        <f t="shared" si="161"/>
        <v>5697</v>
      </c>
      <c r="J232" s="1123">
        <f t="shared" si="161"/>
        <v>6501</v>
      </c>
      <c r="K232" s="1168">
        <f t="shared" ref="K232:U232" si="162">J238/K233*2</f>
        <v>7122.2916099069244</v>
      </c>
      <c r="L232" s="1168">
        <f t="shared" si="162"/>
        <v>8426.7308289351131</v>
      </c>
      <c r="M232" s="1168">
        <f t="shared" si="162"/>
        <v>9411.8212326843186</v>
      </c>
      <c r="N232" s="1168">
        <f t="shared" si="162"/>
        <v>11222.332339055185</v>
      </c>
      <c r="O232" s="1168">
        <f t="shared" si="162"/>
        <v>12681.492375298647</v>
      </c>
      <c r="P232" s="1168">
        <f t="shared" si="162"/>
        <v>13775.112009065635</v>
      </c>
      <c r="Q232" s="1168">
        <f t="shared" si="162"/>
        <v>15461.690203840175</v>
      </c>
      <c r="R232" s="1168">
        <f t="shared" si="162"/>
        <v>15598.453258756492</v>
      </c>
      <c r="S232" s="1168">
        <f t="shared" si="162"/>
        <v>15664.841174858946</v>
      </c>
      <c r="T232" s="1168">
        <f t="shared" si="162"/>
        <v>16057.827405879905</v>
      </c>
      <c r="U232" s="1168">
        <f t="shared" si="162"/>
        <v>15135.795108159535</v>
      </c>
      <c r="V232" s="1166">
        <f>V228-V231</f>
        <v>17634</v>
      </c>
      <c r="W232" s="1166">
        <f>W228-W231</f>
        <v>16258</v>
      </c>
      <c r="X232" s="1166">
        <f>X228-X231</f>
        <v>14258</v>
      </c>
      <c r="Y232" s="1168">
        <f t="shared" ref="Y232:AE232" si="163">X238/Y233*2</f>
        <v>13953.961219733854</v>
      </c>
      <c r="Z232" s="1168">
        <f t="shared" si="163"/>
        <v>14028.502288162032</v>
      </c>
      <c r="AA232" s="1168">
        <f t="shared" si="163"/>
        <v>13371.182595606751</v>
      </c>
      <c r="AB232" s="1168">
        <f t="shared" si="163"/>
        <v>12664.208529554813</v>
      </c>
      <c r="AC232" s="1168">
        <f t="shared" si="163"/>
        <v>12053.423684546047</v>
      </c>
      <c r="AD232" s="1168">
        <f t="shared" si="163"/>
        <v>11545.267342408524</v>
      </c>
      <c r="AE232" s="1168">
        <f t="shared" si="163"/>
        <v>11131.769480421153</v>
      </c>
      <c r="AF232" s="1168">
        <f>AE238/AF233*2</f>
        <v>10806.594692997816</v>
      </c>
      <c r="AG232" s="1168">
        <f>AF238/AG233*2</f>
        <v>10540.34165419529</v>
      </c>
      <c r="AH232" s="1168">
        <f>AG238/AH233*2</f>
        <v>10309.394220941171</v>
      </c>
      <c r="AI232" s="685"/>
      <c r="AJ232" s="685"/>
      <c r="AK232" s="685"/>
      <c r="AL232" s="685"/>
      <c r="AM232" s="685"/>
      <c r="AN232" s="685"/>
      <c r="AO232" s="685"/>
      <c r="AP232" s="685"/>
      <c r="AQ232" s="685"/>
      <c r="AR232" s="685"/>
      <c r="AS232" s="685"/>
      <c r="AT232" s="685"/>
      <c r="AU232" s="685"/>
      <c r="AV232" s="685"/>
      <c r="AW232" s="685"/>
      <c r="AX232" s="685"/>
      <c r="AY232" s="685"/>
      <c r="AZ232" s="685"/>
      <c r="BA232" s="685"/>
      <c r="BB232" s="685"/>
      <c r="BC232" s="685"/>
      <c r="BD232" s="685"/>
    </row>
    <row r="233" spans="1:56">
      <c r="A233" s="685"/>
      <c r="B233" s="1115" t="s">
        <v>287</v>
      </c>
      <c r="C233" s="1169"/>
      <c r="D233" s="1169" t="e">
        <f>#REF!/D232*2</f>
        <v>#REF!</v>
      </c>
      <c r="E233" s="1169" t="e">
        <f t="shared" ref="E233:J233" si="164">D238/E232*2</f>
        <v>#DIV/0!</v>
      </c>
      <c r="F233" s="1169" t="e">
        <f t="shared" si="164"/>
        <v>#DIV/0!</v>
      </c>
      <c r="G233" s="1169" t="e">
        <f t="shared" si="164"/>
        <v>#DIV/0!</v>
      </c>
      <c r="H233" s="1169">
        <f t="shared" si="164"/>
        <v>0</v>
      </c>
      <c r="I233" s="1169">
        <f t="shared" si="164"/>
        <v>0</v>
      </c>
      <c r="J233" s="1169">
        <f t="shared" si="164"/>
        <v>11.891093677895709</v>
      </c>
      <c r="K233" s="1169">
        <f t="shared" ref="K233:AE233" si="165">J233*(1+K234)</f>
        <v>11.653271804337795</v>
      </c>
      <c r="L233" s="1169">
        <f t="shared" si="165"/>
        <v>11.478472727272727</v>
      </c>
      <c r="M233" s="1169">
        <f t="shared" si="165"/>
        <v>11.363688</v>
      </c>
      <c r="N233" s="1169">
        <f t="shared" si="165"/>
        <v>10.90914048</v>
      </c>
      <c r="O233" s="1169">
        <f t="shared" si="165"/>
        <v>12.000054528</v>
      </c>
      <c r="P233" s="1169">
        <f t="shared" si="165"/>
        <v>12.600057254399999</v>
      </c>
      <c r="Q233" s="1169">
        <f t="shared" si="165"/>
        <v>11.088050383872</v>
      </c>
      <c r="R233" s="1169">
        <f t="shared" si="165"/>
        <v>11.19893088771072</v>
      </c>
      <c r="S233" s="1169">
        <f t="shared" si="165"/>
        <v>10.638984343325184</v>
      </c>
      <c r="T233" s="1169">
        <f t="shared" si="165"/>
        <v>10.373009734742054</v>
      </c>
      <c r="U233" s="1169">
        <f t="shared" si="165"/>
        <v>11.617770902911101</v>
      </c>
      <c r="V233" s="1169">
        <f t="shared" si="165"/>
        <v>9.6427498494162123</v>
      </c>
      <c r="W233" s="1169">
        <f t="shared" si="165"/>
        <v>9.9802460941457785</v>
      </c>
      <c r="X233" s="1169">
        <f t="shared" si="165"/>
        <v>9.1818264066141158</v>
      </c>
      <c r="Y233" s="1169">
        <f t="shared" si="165"/>
        <v>8.6997805202668754</v>
      </c>
      <c r="Z233" s="1169">
        <f t="shared" si="165"/>
        <v>8.6997805202668754</v>
      </c>
      <c r="AA233" s="1169">
        <f t="shared" si="165"/>
        <v>8.6997805202668754</v>
      </c>
      <c r="AB233" s="1169">
        <f t="shared" si="165"/>
        <v>8.6997805202668754</v>
      </c>
      <c r="AC233" s="1169">
        <f t="shared" si="165"/>
        <v>8.6997805202668754</v>
      </c>
      <c r="AD233" s="1169">
        <f t="shared" si="165"/>
        <v>8.6997805202668754</v>
      </c>
      <c r="AE233" s="1169">
        <f t="shared" si="165"/>
        <v>8.6997805202668754</v>
      </c>
      <c r="AF233" s="1169">
        <f>AE233*(1+AF234)</f>
        <v>8.6997805202668754</v>
      </c>
      <c r="AG233" s="1169">
        <f>AF233*(1+AG234)</f>
        <v>8.6997805202668754</v>
      </c>
      <c r="AH233" s="1169">
        <f>AG233*(1+AH234)</f>
        <v>8.6997805202668754</v>
      </c>
      <c r="AI233" s="685"/>
      <c r="AJ233" s="685"/>
      <c r="AK233" s="685"/>
      <c r="AL233" s="685"/>
      <c r="AM233" s="685"/>
      <c r="AN233" s="685"/>
      <c r="AO233" s="685"/>
      <c r="AP233" s="685"/>
      <c r="AQ233" s="685"/>
      <c r="AR233" s="685"/>
      <c r="AS233" s="685"/>
      <c r="AT233" s="685"/>
      <c r="AU233" s="685"/>
      <c r="AV233" s="685"/>
      <c r="AW233" s="685"/>
      <c r="AX233" s="685"/>
      <c r="AY233" s="685"/>
      <c r="AZ233" s="685"/>
      <c r="BA233" s="685"/>
      <c r="BB233" s="685"/>
      <c r="BC233" s="685"/>
      <c r="BD233" s="685"/>
    </row>
    <row r="234" spans="1:56">
      <c r="A234" s="685"/>
      <c r="B234" s="1115" t="s">
        <v>192</v>
      </c>
      <c r="C234" s="1170"/>
      <c r="D234" s="1571" t="e">
        <f>D233/#REF!-1</f>
        <v>#REF!</v>
      </c>
      <c r="E234" s="1170" t="e">
        <f t="shared" ref="E234:J234" si="166">E233/D233-1</f>
        <v>#DIV/0!</v>
      </c>
      <c r="F234" s="1170" t="e">
        <f t="shared" si="166"/>
        <v>#DIV/0!</v>
      </c>
      <c r="G234" s="1170" t="e">
        <f t="shared" si="166"/>
        <v>#DIV/0!</v>
      </c>
      <c r="H234" s="1170" t="e">
        <f t="shared" si="166"/>
        <v>#DIV/0!</v>
      </c>
      <c r="I234" s="1170" t="e">
        <f t="shared" si="166"/>
        <v>#DIV/0!</v>
      </c>
      <c r="J234" s="1170" t="e">
        <f t="shared" si="166"/>
        <v>#DIV/0!</v>
      </c>
      <c r="K234" s="1171">
        <v>-0.02</v>
      </c>
      <c r="L234" s="1171">
        <v>-1.4999999999999999E-2</v>
      </c>
      <c r="M234" s="1171">
        <v>-0.01</v>
      </c>
      <c r="N234" s="1171">
        <v>-0.04</v>
      </c>
      <c r="O234" s="1171">
        <v>0.1</v>
      </c>
      <c r="P234" s="1171">
        <v>0.05</v>
      </c>
      <c r="Q234" s="1171">
        <v>-0.12</v>
      </c>
      <c r="R234" s="1171">
        <v>0.01</v>
      </c>
      <c r="S234" s="1171">
        <v>-0.05</v>
      </c>
      <c r="T234" s="1171">
        <v>-2.5000000000000001E-2</v>
      </c>
      <c r="U234" s="1171">
        <v>0.12</v>
      </c>
      <c r="V234" s="1171">
        <v>-0.17</v>
      </c>
      <c r="W234" s="1171">
        <v>3.5000000000000003E-2</v>
      </c>
      <c r="X234" s="1171">
        <v>-0.08</v>
      </c>
      <c r="Y234" s="1171">
        <v>-5.2499999999999998E-2</v>
      </c>
      <c r="Z234" s="1171">
        <v>0</v>
      </c>
      <c r="AA234" s="1171">
        <v>0</v>
      </c>
      <c r="AB234" s="1171">
        <v>0</v>
      </c>
      <c r="AC234" s="1171">
        <v>0</v>
      </c>
      <c r="AD234" s="1171">
        <v>0</v>
      </c>
      <c r="AE234" s="1171">
        <v>0</v>
      </c>
      <c r="AF234" s="1171">
        <v>0</v>
      </c>
      <c r="AG234" s="1171">
        <v>0</v>
      </c>
      <c r="AH234" s="1171">
        <v>0</v>
      </c>
      <c r="AI234" s="685"/>
      <c r="AJ234" s="685"/>
      <c r="AK234" s="685"/>
      <c r="AL234" s="685"/>
      <c r="AM234" s="685"/>
      <c r="AN234" s="685"/>
      <c r="AO234" s="685"/>
      <c r="AP234" s="685"/>
      <c r="AQ234" s="685"/>
      <c r="AR234" s="685"/>
      <c r="AS234" s="685"/>
      <c r="AT234" s="685"/>
      <c r="AU234" s="685"/>
      <c r="AV234" s="685"/>
      <c r="AW234" s="685"/>
      <c r="AX234" s="685"/>
      <c r="AY234" s="685"/>
      <c r="AZ234" s="685"/>
      <c r="BA234" s="685"/>
      <c r="BB234" s="685"/>
      <c r="BC234" s="685"/>
      <c r="BD234" s="685"/>
    </row>
    <row r="235" spans="1:56">
      <c r="A235" s="685"/>
      <c r="B235" s="1115"/>
      <c r="C235" s="1115"/>
      <c r="D235" s="1115"/>
      <c r="E235" s="1115"/>
      <c r="F235" s="1172"/>
      <c r="G235" s="1115"/>
      <c r="H235" s="1115"/>
      <c r="I235" s="1115"/>
      <c r="J235" s="1115"/>
      <c r="K235" s="1115"/>
      <c r="L235" s="1115"/>
      <c r="M235" s="1115"/>
      <c r="N235" s="1115"/>
      <c r="O235" s="1115"/>
      <c r="P235" s="1115"/>
      <c r="Q235" s="1115"/>
      <c r="R235" s="1115"/>
      <c r="S235" s="1115"/>
      <c r="T235" s="1115"/>
      <c r="U235" s="1115"/>
      <c r="V235" s="1115"/>
      <c r="W235" s="1115"/>
      <c r="X235" s="1115"/>
      <c r="Y235" s="1115"/>
      <c r="Z235" s="1115"/>
      <c r="AA235" s="1115"/>
      <c r="AB235" s="1115"/>
      <c r="AC235" s="1115"/>
      <c r="AD235" s="1115"/>
      <c r="AE235" s="1115"/>
      <c r="AF235" s="1115"/>
      <c r="AG235" s="1115"/>
      <c r="AH235" s="1115"/>
      <c r="AI235" s="685"/>
      <c r="AJ235" s="685"/>
      <c r="AK235" s="837"/>
      <c r="AL235" s="837"/>
      <c r="AM235" s="685"/>
      <c r="AN235" s="685"/>
      <c r="AO235" s="685"/>
      <c r="AP235" s="685"/>
      <c r="AQ235" s="685"/>
      <c r="AR235" s="685"/>
      <c r="AS235" s="685"/>
      <c r="AT235" s="685"/>
      <c r="AU235" s="685"/>
      <c r="AV235" s="685"/>
      <c r="AW235" s="685"/>
      <c r="AX235" s="685"/>
      <c r="AY235" s="685"/>
      <c r="AZ235" s="685"/>
      <c r="BA235" s="685"/>
      <c r="BB235" s="685"/>
      <c r="BC235" s="685"/>
      <c r="BD235" s="685"/>
    </row>
    <row r="236" spans="1:56">
      <c r="A236" s="685"/>
      <c r="B236" s="1115" t="s">
        <v>288</v>
      </c>
      <c r="C236" s="1166">
        <f>C237+C238</f>
        <v>0</v>
      </c>
      <c r="D236" s="1166">
        <f>D237+D238</f>
        <v>0</v>
      </c>
      <c r="E236" s="1166">
        <f>E237+E238</f>
        <v>0</v>
      </c>
      <c r="F236" s="1166">
        <f>F237+F238</f>
        <v>0</v>
      </c>
      <c r="G236" s="1166">
        <f>G237+G238</f>
        <v>0</v>
      </c>
      <c r="H236" s="1125"/>
      <c r="I236" s="1125">
        <v>68605</v>
      </c>
      <c r="J236" s="1125">
        <v>76040</v>
      </c>
      <c r="K236" s="1123">
        <f>J236+K87</f>
        <v>87633.96</v>
      </c>
      <c r="L236" s="1123">
        <f>K236+L87</f>
        <v>102407.48800000001</v>
      </c>
      <c r="M236" s="1123">
        <f>L236+M87</f>
        <v>119352.44900000001</v>
      </c>
      <c r="N236" s="1123">
        <f t="shared" ref="N236:T236" si="167">M236+N87+N496</f>
        <v>145709.147</v>
      </c>
      <c r="O236" s="1123">
        <f t="shared" si="167"/>
        <v>180372.22700000001</v>
      </c>
      <c r="P236" s="1123">
        <f t="shared" si="167"/>
        <v>197093.057</v>
      </c>
      <c r="Q236" s="1123">
        <f t="shared" si="167"/>
        <v>211696.22700000001</v>
      </c>
      <c r="R236" s="1123">
        <f t="shared" si="167"/>
        <v>240263.35200000001</v>
      </c>
      <c r="S236" s="1123">
        <f t="shared" si="167"/>
        <v>260441.66400000002</v>
      </c>
      <c r="T236" s="1123">
        <f t="shared" si="167"/>
        <v>278545.75627041305</v>
      </c>
      <c r="U236" s="1174">
        <v>232638</v>
      </c>
      <c r="V236" s="1174">
        <v>242172</v>
      </c>
      <c r="W236" s="1174">
        <v>231921</v>
      </c>
      <c r="X236" s="1174">
        <v>240426</v>
      </c>
      <c r="Y236" s="1123">
        <f t="shared" ref="Y236:AE236" si="168">X236+Y87+Y496</f>
        <v>254704.2066872695</v>
      </c>
      <c r="Z236" s="1963">
        <f>Y236+Z87+Z496-Z487</f>
        <v>265873.44044699142</v>
      </c>
      <c r="AA236" s="1963">
        <f>Z236+AA87+AA496-AA487</f>
        <v>276169.36343851191</v>
      </c>
      <c r="AB236" s="1123">
        <f t="shared" si="168"/>
        <v>286176.72491972597</v>
      </c>
      <c r="AC236" s="1123">
        <f t="shared" si="168"/>
        <v>296019.72428098298</v>
      </c>
      <c r="AD236" s="1123">
        <f t="shared" si="168"/>
        <v>305766.32130094664</v>
      </c>
      <c r="AE236" s="1123">
        <f t="shared" si="168"/>
        <v>315483.61614071409</v>
      </c>
      <c r="AF236" s="1123">
        <f>AE236+AF87+AF496</f>
        <v>325132.03933349386</v>
      </c>
      <c r="AG236" s="1123">
        <f>AF236+AG87+AG496</f>
        <v>334667.78499717423</v>
      </c>
      <c r="AH236" s="1123">
        <f>AG236+AH87+AH496</f>
        <v>344255.97581631847</v>
      </c>
      <c r="AI236" s="685"/>
      <c r="AJ236" s="685"/>
      <c r="AK236" s="837"/>
      <c r="AL236" s="837"/>
      <c r="AM236" s="685"/>
      <c r="AN236" s="685"/>
      <c r="AO236" s="685"/>
      <c r="AP236" s="685"/>
      <c r="AQ236" s="685"/>
      <c r="AR236" s="685"/>
      <c r="AS236" s="685"/>
      <c r="AT236" s="685"/>
      <c r="AU236" s="685"/>
      <c r="AV236" s="685"/>
      <c r="AW236" s="685"/>
      <c r="AX236" s="685"/>
      <c r="AY236" s="685"/>
      <c r="AZ236" s="685"/>
      <c r="BA236" s="685"/>
      <c r="BB236" s="685"/>
      <c r="BC236" s="685"/>
      <c r="BD236" s="685"/>
    </row>
    <row r="237" spans="1:56">
      <c r="A237" s="685"/>
      <c r="B237" s="1115" t="s">
        <v>289</v>
      </c>
      <c r="C237" s="1167"/>
      <c r="D237" s="1167"/>
      <c r="E237" s="1125"/>
      <c r="F237" s="1125"/>
      <c r="G237" s="1125"/>
      <c r="H237" s="1123"/>
      <c r="I237" s="1123">
        <f t="shared" ref="I237:X237" si="169">I236-I238</f>
        <v>29953</v>
      </c>
      <c r="J237" s="1123">
        <f t="shared" si="169"/>
        <v>34541</v>
      </c>
      <c r="K237" s="1123">
        <f t="shared" si="169"/>
        <v>39270.960000000006</v>
      </c>
      <c r="L237" s="1123">
        <f t="shared" si="169"/>
        <v>48930.988000000012</v>
      </c>
      <c r="M237" s="1123">
        <f t="shared" si="169"/>
        <v>58139.449000000008</v>
      </c>
      <c r="N237" s="1123">
        <f t="shared" si="169"/>
        <v>69619.846999999994</v>
      </c>
      <c r="O237" s="1123">
        <f t="shared" si="169"/>
        <v>93588.627000000008</v>
      </c>
      <c r="P237" s="1123">
        <f t="shared" si="169"/>
        <v>111373.057</v>
      </c>
      <c r="Q237" s="1123">
        <f t="shared" si="169"/>
        <v>124353.22700000001</v>
      </c>
      <c r="R237" s="1123">
        <f t="shared" si="169"/>
        <v>156934.35200000001</v>
      </c>
      <c r="S237" s="1123">
        <f t="shared" si="169"/>
        <v>177157.66400000002</v>
      </c>
      <c r="T237" s="1123">
        <f t="shared" si="169"/>
        <v>190623.65627041305</v>
      </c>
      <c r="U237" s="1123">
        <f t="shared" si="169"/>
        <v>150401.60000000001</v>
      </c>
      <c r="V237" s="1123">
        <f t="shared" si="169"/>
        <v>164323.9</v>
      </c>
      <c r="W237" s="1123">
        <f t="shared" si="169"/>
        <v>168256.739</v>
      </c>
      <c r="X237" s="1123">
        <f t="shared" si="169"/>
        <v>179727.8</v>
      </c>
      <c r="Y237" s="1123">
        <f t="shared" ref="Y237:AE237" si="170">X237+Y228</f>
        <v>193681.76121973383</v>
      </c>
      <c r="Z237" s="1123">
        <f t="shared" si="170"/>
        <v>207710.26350789587</v>
      </c>
      <c r="AA237" s="1123">
        <f t="shared" si="170"/>
        <v>221081.44610350262</v>
      </c>
      <c r="AB237" s="1123">
        <f t="shared" si="170"/>
        <v>233745.65463305742</v>
      </c>
      <c r="AC237" s="1123">
        <f t="shared" si="170"/>
        <v>245799.07831760347</v>
      </c>
      <c r="AD237" s="1123">
        <f t="shared" si="170"/>
        <v>257344.34566001201</v>
      </c>
      <c r="AE237" s="1123">
        <f t="shared" si="170"/>
        <v>268476.11514043319</v>
      </c>
      <c r="AF237" s="1123">
        <f>AE237+AF228</f>
        <v>279282.709833431</v>
      </c>
      <c r="AG237" s="1123">
        <f>AF237+AG228</f>
        <v>289823.05148762628</v>
      </c>
      <c r="AH237" s="1123">
        <f>AG237+AH228</f>
        <v>300132.44570856745</v>
      </c>
      <c r="AI237" s="685"/>
      <c r="AJ237" s="685"/>
      <c r="AK237" s="685"/>
      <c r="AL237" s="685"/>
      <c r="AM237" s="685"/>
      <c r="AN237" s="685"/>
      <c r="AO237" s="685"/>
      <c r="AP237" s="685"/>
      <c r="AQ237" s="685"/>
      <c r="AR237" s="685"/>
      <c r="AS237" s="685"/>
      <c r="AT237" s="685"/>
      <c r="AU237" s="685"/>
      <c r="AV237" s="685"/>
      <c r="AW237" s="685"/>
      <c r="AX237" s="685"/>
      <c r="AY237" s="685"/>
      <c r="AZ237" s="685"/>
      <c r="BA237" s="685"/>
      <c r="BB237" s="685"/>
      <c r="BC237" s="685"/>
      <c r="BD237" s="685"/>
    </row>
    <row r="238" spans="1:56">
      <c r="A238" s="685"/>
      <c r="B238" s="1115" t="s">
        <v>257</v>
      </c>
      <c r="C238" s="1173"/>
      <c r="D238" s="1173"/>
      <c r="E238" s="1173"/>
      <c r="F238" s="1173"/>
      <c r="G238" s="1173"/>
      <c r="H238" s="1173"/>
      <c r="I238" s="1173">
        <v>38652</v>
      </c>
      <c r="J238" s="1173">
        <v>41499</v>
      </c>
      <c r="K238" s="1173">
        <v>48363</v>
      </c>
      <c r="L238" s="1173">
        <v>53476.5</v>
      </c>
      <c r="M238" s="1173">
        <v>61213</v>
      </c>
      <c r="N238" s="1173">
        <v>76089.3</v>
      </c>
      <c r="O238" s="1173">
        <v>86783.6</v>
      </c>
      <c r="P238" s="1173">
        <v>85720</v>
      </c>
      <c r="Q238" s="1173">
        <v>87343</v>
      </c>
      <c r="R238" s="1173">
        <v>83329</v>
      </c>
      <c r="S238" s="1173">
        <v>83284</v>
      </c>
      <c r="T238" s="1173">
        <v>87922.1</v>
      </c>
      <c r="U238" s="1173">
        <v>82236.399999999994</v>
      </c>
      <c r="V238" s="1173">
        <v>77848.100000000006</v>
      </c>
      <c r="W238" s="1173">
        <v>63664.260999999999</v>
      </c>
      <c r="X238" s="1173">
        <v>60698.2</v>
      </c>
      <c r="Y238" s="1114">
        <f t="shared" ref="Y238:AH238" si="171">Y236-Y237</f>
        <v>61022.445467535668</v>
      </c>
      <c r="Z238" s="1114">
        <f t="shared" si="171"/>
        <v>58163.176939095545</v>
      </c>
      <c r="AA238" s="1114">
        <f t="shared" si="171"/>
        <v>55087.91733500929</v>
      </c>
      <c r="AB238" s="1114">
        <f t="shared" si="171"/>
        <v>52431.070286668546</v>
      </c>
      <c r="AC238" s="1114">
        <f t="shared" si="171"/>
        <v>50220.645963379502</v>
      </c>
      <c r="AD238" s="1114">
        <f t="shared" si="171"/>
        <v>48421.97564093463</v>
      </c>
      <c r="AE238" s="1114">
        <f t="shared" si="171"/>
        <v>47007.501000280899</v>
      </c>
      <c r="AF238" s="1114">
        <f t="shared" si="171"/>
        <v>45849.329500062857</v>
      </c>
      <c r="AG238" s="1114">
        <f t="shared" si="171"/>
        <v>44844.73350954795</v>
      </c>
      <c r="AH238" s="1114">
        <f t="shared" si="171"/>
        <v>44123.530107751023</v>
      </c>
      <c r="AI238" s="685"/>
      <c r="AJ238" s="685"/>
      <c r="AK238" s="685"/>
      <c r="AL238" s="685"/>
      <c r="AM238" s="685"/>
      <c r="AN238" s="685"/>
      <c r="AO238" s="685"/>
      <c r="AP238" s="685"/>
      <c r="AQ238" s="685"/>
      <c r="AR238" s="685"/>
      <c r="AS238" s="685"/>
      <c r="AT238" s="685"/>
      <c r="AU238" s="685"/>
      <c r="AV238" s="685"/>
      <c r="AW238" s="685"/>
      <c r="AX238" s="685"/>
      <c r="AY238" s="685"/>
      <c r="AZ238" s="685"/>
      <c r="BA238" s="685"/>
      <c r="BB238" s="685"/>
      <c r="BC238" s="685"/>
      <c r="BD238" s="685"/>
    </row>
    <row r="239" spans="1:56">
      <c r="A239" s="685"/>
      <c r="B239" s="1115" t="s">
        <v>192</v>
      </c>
      <c r="C239" s="1118"/>
      <c r="D239" s="1118" t="e">
        <f>D238/#REF!-1</f>
        <v>#REF!</v>
      </c>
      <c r="E239" s="1118" t="e">
        <f t="shared" ref="E239:AE239" si="172">E238/D238-1</f>
        <v>#DIV/0!</v>
      </c>
      <c r="F239" s="1118" t="e">
        <f t="shared" si="172"/>
        <v>#DIV/0!</v>
      </c>
      <c r="G239" s="1118" t="e">
        <f t="shared" si="172"/>
        <v>#DIV/0!</v>
      </c>
      <c r="H239" s="1118" t="e">
        <f t="shared" si="172"/>
        <v>#DIV/0!</v>
      </c>
      <c r="I239" s="1118" t="e">
        <f t="shared" si="172"/>
        <v>#DIV/0!</v>
      </c>
      <c r="J239" s="1118">
        <f t="shared" si="172"/>
        <v>7.3657249301459116E-2</v>
      </c>
      <c r="K239" s="1118">
        <f t="shared" si="172"/>
        <v>0.165401575941589</v>
      </c>
      <c r="L239" s="1118">
        <f t="shared" si="172"/>
        <v>0.10573165436387311</v>
      </c>
      <c r="M239" s="1118">
        <f t="shared" si="172"/>
        <v>0.14467102372069984</v>
      </c>
      <c r="N239" s="1118">
        <f t="shared" si="172"/>
        <v>0.24302517439106075</v>
      </c>
      <c r="O239" s="1118">
        <f t="shared" si="172"/>
        <v>0.14054932822354793</v>
      </c>
      <c r="P239" s="1118">
        <f t="shared" si="172"/>
        <v>-1.2255771827856976E-2</v>
      </c>
      <c r="Q239" s="1118">
        <f t="shared" si="172"/>
        <v>1.8933737750816526E-2</v>
      </c>
      <c r="R239" s="1118">
        <f t="shared" si="172"/>
        <v>-4.5956745245755215E-2</v>
      </c>
      <c r="S239" s="1118">
        <f t="shared" si="172"/>
        <v>-5.4002808146025316E-4</v>
      </c>
      <c r="T239" s="1118">
        <f t="shared" si="172"/>
        <v>5.5690168579799249E-2</v>
      </c>
      <c r="U239" s="1118">
        <f t="shared" si="172"/>
        <v>-6.4667472683204941E-2</v>
      </c>
      <c r="V239" s="1118">
        <f t="shared" si="172"/>
        <v>-5.3362014874191788E-2</v>
      </c>
      <c r="W239" s="1118">
        <f t="shared" si="172"/>
        <v>-0.18219891044225878</v>
      </c>
      <c r="X239" s="1118">
        <f t="shared" si="172"/>
        <v>-4.6589105934960906E-2</v>
      </c>
      <c r="Y239" s="1118">
        <f t="shared" si="172"/>
        <v>5.341928879862623E-3</v>
      </c>
      <c r="Z239" s="1118">
        <f t="shared" si="172"/>
        <v>-4.6856013496890614E-2</v>
      </c>
      <c r="AA239" s="1118">
        <f t="shared" si="172"/>
        <v>-5.2872964750643736E-2</v>
      </c>
      <c r="AB239" s="1118">
        <f t="shared" si="172"/>
        <v>-4.8229215713193718E-2</v>
      </c>
      <c r="AC239" s="1118">
        <f t="shared" si="172"/>
        <v>-4.2158672542892628E-2</v>
      </c>
      <c r="AD239" s="1118">
        <f t="shared" si="172"/>
        <v>-3.5815356173563573E-2</v>
      </c>
      <c r="AE239" s="1118">
        <f t="shared" si="172"/>
        <v>-2.9211419441919073E-2</v>
      </c>
      <c r="AF239" s="1118">
        <f>AF238/AE238-1</f>
        <v>-2.4638014690700594E-2</v>
      </c>
      <c r="AG239" s="1118">
        <f>AG238/AF238-1</f>
        <v>-2.1910810942470382E-2</v>
      </c>
      <c r="AH239" s="1118">
        <f>AH238/AG238-1</f>
        <v>-1.6082231855461315E-2</v>
      </c>
      <c r="AI239" s="685"/>
      <c r="AJ239" s="685"/>
      <c r="AK239" s="685"/>
      <c r="AL239" s="685"/>
      <c r="AM239" s="685"/>
      <c r="AN239" s="685"/>
      <c r="AO239" s="685"/>
      <c r="AP239" s="685"/>
      <c r="AQ239" s="685"/>
      <c r="AR239" s="685"/>
      <c r="AS239" s="685"/>
      <c r="AT239" s="685"/>
      <c r="AU239" s="685"/>
      <c r="AV239" s="685"/>
      <c r="AW239" s="685"/>
      <c r="AX239" s="685"/>
      <c r="AY239" s="685"/>
      <c r="AZ239" s="685"/>
      <c r="BA239" s="685"/>
      <c r="BB239" s="685"/>
      <c r="BC239" s="685"/>
      <c r="BD239" s="685"/>
    </row>
    <row r="240" spans="1:56">
      <c r="A240" s="685"/>
      <c r="B240" s="1115"/>
      <c r="C240" s="1115"/>
      <c r="D240" s="1115"/>
      <c r="E240" s="1115"/>
      <c r="F240" s="1115"/>
      <c r="G240" s="1115"/>
      <c r="H240" s="1115"/>
      <c r="I240" s="1115"/>
      <c r="J240" s="1115"/>
      <c r="K240" s="1115"/>
      <c r="L240" s="1115"/>
      <c r="M240" s="1115"/>
      <c r="N240" s="1115"/>
      <c r="O240" s="1115"/>
      <c r="P240" s="1115"/>
      <c r="Q240" s="1115"/>
      <c r="R240" s="1115"/>
      <c r="S240" s="1115"/>
      <c r="T240" s="1115"/>
      <c r="U240" s="1115"/>
      <c r="V240" s="1115"/>
      <c r="W240" s="1115"/>
      <c r="X240" s="1115"/>
      <c r="Y240" s="1115"/>
      <c r="Z240" s="1115"/>
      <c r="AA240" s="1115"/>
      <c r="AB240" s="1115"/>
      <c r="AC240" s="1115"/>
      <c r="AD240" s="1115"/>
      <c r="AE240" s="1115"/>
      <c r="AF240" s="1115"/>
      <c r="AG240" s="1115"/>
      <c r="AH240" s="1115"/>
      <c r="AI240" s="685"/>
      <c r="AJ240" s="685"/>
      <c r="AK240" s="685"/>
      <c r="AL240" s="685"/>
      <c r="AM240" s="685"/>
      <c r="AN240" s="685"/>
      <c r="AO240" s="685"/>
      <c r="AP240" s="685"/>
      <c r="AQ240" s="685"/>
      <c r="AR240" s="685"/>
      <c r="AS240" s="685"/>
      <c r="AT240" s="685"/>
      <c r="AU240" s="685"/>
      <c r="AV240" s="685"/>
      <c r="AW240" s="685"/>
      <c r="AX240" s="685"/>
      <c r="AY240" s="685"/>
      <c r="AZ240" s="685"/>
      <c r="BA240" s="685"/>
      <c r="BB240" s="685"/>
      <c r="BC240" s="685"/>
      <c r="BD240" s="685"/>
    </row>
    <row r="241" spans="1:56">
      <c r="A241" s="685"/>
      <c r="B241" s="1115" t="s">
        <v>290</v>
      </c>
      <c r="C241" s="1117"/>
      <c r="D241" s="1117"/>
      <c r="E241" s="1117"/>
      <c r="F241" s="1117"/>
      <c r="G241" s="1117"/>
      <c r="H241" s="1117"/>
      <c r="I241" s="1117">
        <f t="shared" ref="I241:AC241" si="173">I87/I228</f>
        <v>2.241342812006319</v>
      </c>
      <c r="J241" s="1117">
        <f t="shared" si="173"/>
        <v>1.5136194431625902</v>
      </c>
      <c r="K241" s="1117">
        <f t="shared" si="173"/>
        <v>1.6278412391698622</v>
      </c>
      <c r="L241" s="1117">
        <f t="shared" si="173"/>
        <v>1.753174309219858</v>
      </c>
      <c r="M241" s="1117">
        <f t="shared" si="173"/>
        <v>1.800391293149028</v>
      </c>
      <c r="N241" s="1117">
        <f t="shared" si="173"/>
        <v>2.270267644038154</v>
      </c>
      <c r="O241" s="1117">
        <f t="shared" si="173"/>
        <v>2.2010879456403609</v>
      </c>
      <c r="P241" s="1117">
        <f t="shared" si="173"/>
        <v>1.2138434873702468</v>
      </c>
      <c r="Q241" s="1117">
        <f t="shared" si="173"/>
        <v>1.2069152695457082</v>
      </c>
      <c r="R241" s="1117">
        <f t="shared" si="173"/>
        <v>1.2223728009247521</v>
      </c>
      <c r="S241" s="1117">
        <f t="shared" si="173"/>
        <v>1.2881274552840587</v>
      </c>
      <c r="T241" s="1117">
        <f t="shared" si="173"/>
        <v>1.4516342517093932</v>
      </c>
      <c r="U241" s="1117">
        <f t="shared" si="173"/>
        <v>1.1373145498461485</v>
      </c>
      <c r="V241" s="1117">
        <f t="shared" si="173"/>
        <v>0.82246682545083372</v>
      </c>
      <c r="W241" s="1117">
        <f t="shared" si="173"/>
        <v>0.55957067289949558</v>
      </c>
      <c r="X241" s="1117">
        <f t="shared" si="173"/>
        <v>0.85472015710478333</v>
      </c>
      <c r="Y241" s="1117">
        <f t="shared" si="173"/>
        <v>1.0232368044048386</v>
      </c>
      <c r="Z241" s="1117">
        <f t="shared" si="173"/>
        <v>0.79618148326119353</v>
      </c>
      <c r="AA241" s="1117">
        <f t="shared" si="173"/>
        <v>0.7700084056067954</v>
      </c>
      <c r="AB241" s="1117">
        <f t="shared" si="173"/>
        <v>0.79020820431530303</v>
      </c>
      <c r="AC241" s="1117">
        <f t="shared" si="173"/>
        <v>0.81661440092551951</v>
      </c>
      <c r="AD241" s="1117">
        <f>AD87/AD228</f>
        <v>0.84420713101740841</v>
      </c>
      <c r="AE241" s="1117">
        <f>AE87/AE228</f>
        <v>0.87293353108492422</v>
      </c>
      <c r="AF241" s="1117">
        <f>AF87/AF228</f>
        <v>0.89282733986789842</v>
      </c>
      <c r="AG241" s="1117">
        <f>AG87/AG228</f>
        <v>0.9046903768897242</v>
      </c>
      <c r="AH241" s="1117">
        <f>AH87/AH228</f>
        <v>0.93004405629072062</v>
      </c>
      <c r="AI241" s="685"/>
      <c r="AJ241" s="685"/>
      <c r="AK241" s="685"/>
      <c r="AL241" s="685"/>
      <c r="AM241" s="685"/>
      <c r="AN241" s="685"/>
      <c r="AO241" s="685"/>
      <c r="AP241" s="685"/>
      <c r="AQ241" s="685"/>
      <c r="AR241" s="685"/>
      <c r="AS241" s="685"/>
      <c r="AT241" s="685"/>
      <c r="AU241" s="685"/>
      <c r="AV241" s="685"/>
      <c r="AW241" s="685"/>
      <c r="AX241" s="685"/>
      <c r="AY241" s="685"/>
      <c r="AZ241" s="685"/>
      <c r="BA241" s="685"/>
      <c r="BB241" s="685"/>
      <c r="BC241" s="685"/>
      <c r="BD241" s="685"/>
    </row>
    <row r="242" spans="1:56">
      <c r="A242" s="685"/>
      <c r="B242" s="1115"/>
      <c r="C242" s="1117"/>
      <c r="D242" s="1117"/>
      <c r="E242" s="1117"/>
      <c r="F242" s="1117"/>
      <c r="G242" s="1117"/>
      <c r="H242" s="1117"/>
      <c r="I242" s="1117"/>
      <c r="J242" s="1117"/>
      <c r="K242" s="1117"/>
      <c r="L242" s="1117"/>
      <c r="M242" s="1117"/>
      <c r="N242" s="1117"/>
      <c r="O242" s="1117"/>
      <c r="P242" s="1117"/>
      <c r="Q242" s="1117"/>
      <c r="R242" s="1117"/>
      <c r="S242" s="1117"/>
      <c r="T242" s="1117"/>
      <c r="U242" s="1117"/>
      <c r="V242" s="1117"/>
      <c r="W242" s="1117"/>
      <c r="X242" s="1117"/>
      <c r="Y242" s="1117"/>
      <c r="Z242" s="1117"/>
      <c r="AA242" s="1117"/>
      <c r="AB242" s="1117"/>
      <c r="AC242" s="1117"/>
      <c r="AD242" s="1117"/>
      <c r="AE242" s="1117"/>
      <c r="AF242" s="1117"/>
      <c r="AG242" s="1117"/>
      <c r="AH242" s="1117"/>
      <c r="AI242" s="685"/>
      <c r="AJ242" s="685"/>
      <c r="AK242" s="685"/>
      <c r="AL242" s="685"/>
      <c r="AM242" s="685"/>
      <c r="AN242" s="685"/>
      <c r="AO242" s="685"/>
      <c r="AP242" s="685"/>
      <c r="AQ242" s="685"/>
      <c r="AR242" s="685"/>
      <c r="AS242" s="685"/>
      <c r="AT242" s="685"/>
      <c r="AU242" s="685"/>
      <c r="AV242" s="685"/>
      <c r="AW242" s="685"/>
      <c r="AX242" s="685"/>
      <c r="AY242" s="685"/>
      <c r="AZ242" s="685"/>
      <c r="BA242" s="685"/>
      <c r="BB242" s="685"/>
      <c r="BC242" s="685"/>
      <c r="BD242" s="685"/>
    </row>
    <row r="243" spans="1:56">
      <c r="A243" s="685"/>
      <c r="B243" s="1115" t="s">
        <v>291</v>
      </c>
      <c r="C243" s="1117"/>
      <c r="D243" s="1117"/>
      <c r="E243" s="1117"/>
      <c r="F243" s="1117"/>
      <c r="G243" s="1117"/>
      <c r="H243" s="1117"/>
      <c r="I243" s="1117"/>
      <c r="J243" s="1117"/>
      <c r="K243" s="1117"/>
      <c r="L243" s="1117"/>
      <c r="M243" s="1117"/>
      <c r="N243" s="1117"/>
      <c r="O243" s="1117"/>
      <c r="P243" s="1117"/>
      <c r="Q243" s="1167">
        <v>4700</v>
      </c>
      <c r="R243" s="1126">
        <f>Q243</f>
        <v>4700</v>
      </c>
      <c r="S243" s="1126">
        <f>R243</f>
        <v>4700</v>
      </c>
      <c r="T243" s="1174">
        <f>1478.4+8202.2</f>
        <v>9680.6</v>
      </c>
      <c r="U243" s="1174">
        <f>1373.2+6995.8</f>
        <v>8369</v>
      </c>
      <c r="V243" s="1174">
        <f>1280.9+6010.6</f>
        <v>7291.5</v>
      </c>
      <c r="W243" s="1174">
        <f>1242.957+4143.682</f>
        <v>5386.6390000000001</v>
      </c>
      <c r="X243" s="1174">
        <f>1583.871+3852.117</f>
        <v>5435.9880000000003</v>
      </c>
      <c r="Y243" s="1123">
        <f t="shared" ref="Y243:AE243" si="174">X243</f>
        <v>5435.9880000000003</v>
      </c>
      <c r="Z243" s="1123">
        <f t="shared" si="174"/>
        <v>5435.9880000000003</v>
      </c>
      <c r="AA243" s="1123">
        <f t="shared" si="174"/>
        <v>5435.9880000000003</v>
      </c>
      <c r="AB243" s="1123">
        <f t="shared" si="174"/>
        <v>5435.9880000000003</v>
      </c>
      <c r="AC243" s="1123">
        <f t="shared" si="174"/>
        <v>5435.9880000000003</v>
      </c>
      <c r="AD243" s="1123">
        <f t="shared" si="174"/>
        <v>5435.9880000000003</v>
      </c>
      <c r="AE243" s="1123">
        <f t="shared" si="174"/>
        <v>5435.9880000000003</v>
      </c>
      <c r="AF243" s="1123">
        <f>AE243</f>
        <v>5435.9880000000003</v>
      </c>
      <c r="AG243" s="1123">
        <f>AF243</f>
        <v>5435.9880000000003</v>
      </c>
      <c r="AH243" s="1123">
        <f>AG243</f>
        <v>5435.9880000000003</v>
      </c>
      <c r="AI243" s="685"/>
      <c r="AJ243" s="685"/>
      <c r="AK243" s="685"/>
      <c r="AL243" s="685"/>
      <c r="AM243" s="685"/>
      <c r="AN243" s="685"/>
      <c r="AO243" s="685"/>
      <c r="AP243" s="685"/>
      <c r="AQ243" s="685"/>
      <c r="AR243" s="685"/>
      <c r="AS243" s="685"/>
      <c r="AT243" s="685"/>
      <c r="AU243" s="685"/>
      <c r="AV243" s="685"/>
      <c r="AW243" s="685"/>
      <c r="AX243" s="685"/>
      <c r="AY243" s="685"/>
      <c r="AZ243" s="685"/>
      <c r="BA243" s="685"/>
      <c r="BB243" s="685"/>
      <c r="BC243" s="685"/>
      <c r="BD243" s="685"/>
    </row>
    <row r="244" spans="1:56">
      <c r="A244" s="685"/>
      <c r="B244" s="1115"/>
      <c r="C244" s="1117"/>
      <c r="D244" s="1117"/>
      <c r="E244" s="1117"/>
      <c r="F244" s="1117"/>
      <c r="G244" s="1117"/>
      <c r="H244" s="1117"/>
      <c r="I244" s="1117"/>
      <c r="J244" s="1117"/>
      <c r="K244" s="1117"/>
      <c r="L244" s="1117"/>
      <c r="M244" s="1117"/>
      <c r="N244" s="1117"/>
      <c r="O244" s="1117"/>
      <c r="P244" s="1117"/>
      <c r="Q244" s="1117"/>
      <c r="R244" s="1123"/>
      <c r="S244" s="1123"/>
      <c r="T244" s="1123"/>
      <c r="U244" s="1123"/>
      <c r="V244" s="1123"/>
      <c r="W244" s="1123"/>
      <c r="X244" s="1123"/>
      <c r="Y244" s="1123"/>
      <c r="Z244" s="1123"/>
      <c r="AA244" s="1123"/>
      <c r="AB244" s="1123"/>
      <c r="AC244" s="1123"/>
      <c r="AD244" s="1123"/>
      <c r="AE244" s="1123"/>
      <c r="AF244" s="1123"/>
      <c r="AG244" s="1123"/>
      <c r="AH244" s="1123"/>
      <c r="AI244" s="685"/>
      <c r="AJ244" s="685"/>
      <c r="AK244" s="685"/>
      <c r="AL244" s="685"/>
      <c r="AM244" s="685"/>
      <c r="AN244" s="685"/>
      <c r="AO244" s="685"/>
      <c r="AP244" s="685"/>
      <c r="AQ244" s="685"/>
      <c r="AR244" s="685"/>
      <c r="AS244" s="685"/>
      <c r="AT244" s="685"/>
      <c r="AU244" s="685"/>
      <c r="AV244" s="685"/>
      <c r="AW244" s="685"/>
      <c r="AX244" s="685"/>
      <c r="AY244" s="685"/>
      <c r="AZ244" s="685"/>
      <c r="BA244" s="685"/>
      <c r="BB244" s="685"/>
      <c r="BC244" s="685"/>
      <c r="BD244" s="685"/>
    </row>
    <row r="245" spans="1:56">
      <c r="A245" s="685"/>
      <c r="B245" s="1115" t="s">
        <v>292</v>
      </c>
      <c r="C245" s="1117"/>
      <c r="D245" s="1117"/>
      <c r="E245" s="1117"/>
      <c r="F245" s="1117"/>
      <c r="G245" s="1117"/>
      <c r="H245" s="1117"/>
      <c r="I245" s="1117"/>
      <c r="J245" s="1117"/>
      <c r="K245" s="1117"/>
      <c r="L245" s="1117"/>
      <c r="M245" s="1117"/>
      <c r="N245" s="1117"/>
      <c r="O245" s="1117"/>
      <c r="P245" s="1117"/>
      <c r="Q245" s="1175"/>
      <c r="R245" s="1167">
        <v>200</v>
      </c>
      <c r="S245" s="1167">
        <v>461</v>
      </c>
      <c r="T245" s="1167">
        <v>431</v>
      </c>
      <c r="U245" s="1167">
        <v>450</v>
      </c>
      <c r="V245" s="1167">
        <v>448.6</v>
      </c>
      <c r="W245" s="1167">
        <v>300.28399999999999</v>
      </c>
      <c r="X245" s="1167">
        <v>308.75299999999999</v>
      </c>
      <c r="Y245" s="1126">
        <f t="shared" ref="Y245:AE246" si="175">X245*1.03</f>
        <v>318.01558999999997</v>
      </c>
      <c r="Z245" s="1126">
        <f t="shared" si="175"/>
        <v>327.5560577</v>
      </c>
      <c r="AA245" s="1126">
        <f t="shared" si="175"/>
        <v>337.382739431</v>
      </c>
      <c r="AB245" s="1126">
        <f t="shared" si="175"/>
        <v>347.50422161392999</v>
      </c>
      <c r="AC245" s="1126">
        <f t="shared" si="175"/>
        <v>357.9293482623479</v>
      </c>
      <c r="AD245" s="1126">
        <f t="shared" si="175"/>
        <v>368.66722871021835</v>
      </c>
      <c r="AE245" s="1126">
        <f t="shared" si="175"/>
        <v>379.72724557152492</v>
      </c>
      <c r="AF245" s="1126">
        <f t="shared" ref="AF245:AH246" si="176">AE245*1.03</f>
        <v>391.11906293867065</v>
      </c>
      <c r="AG245" s="1126">
        <f t="shared" si="176"/>
        <v>402.85263482683081</v>
      </c>
      <c r="AH245" s="1126">
        <f t="shared" si="176"/>
        <v>414.93821387163575</v>
      </c>
      <c r="AI245" s="685"/>
      <c r="AJ245" s="685"/>
      <c r="AK245" s="685"/>
      <c r="AL245" s="685"/>
      <c r="AM245" s="685"/>
      <c r="AN245" s="685"/>
      <c r="AO245" s="685"/>
      <c r="AP245" s="685"/>
      <c r="AQ245" s="685"/>
      <c r="AR245" s="685"/>
      <c r="AS245" s="685"/>
      <c r="AT245" s="685"/>
      <c r="AU245" s="685"/>
      <c r="AV245" s="685"/>
      <c r="AW245" s="685"/>
      <c r="AX245" s="685"/>
      <c r="AY245" s="685"/>
      <c r="AZ245" s="685"/>
      <c r="BA245" s="685"/>
      <c r="BB245" s="685"/>
      <c r="BC245" s="685"/>
      <c r="BD245" s="685"/>
    </row>
    <row r="246" spans="1:56">
      <c r="A246" s="685"/>
      <c r="B246" s="1115" t="s">
        <v>293</v>
      </c>
      <c r="C246" s="1117"/>
      <c r="D246" s="1117"/>
      <c r="E246" s="1117"/>
      <c r="F246" s="1117"/>
      <c r="G246" s="1117"/>
      <c r="H246" s="1117"/>
      <c r="I246" s="1117"/>
      <c r="J246" s="1117"/>
      <c r="K246" s="1117"/>
      <c r="L246" s="1117"/>
      <c r="M246" s="1117"/>
      <c r="N246" s="1117"/>
      <c r="O246" s="1117"/>
      <c r="P246" s="1117"/>
      <c r="Q246" s="1175"/>
      <c r="R246" s="1123">
        <f t="shared" ref="R246:X246" si="177">R247-R245</f>
        <v>600</v>
      </c>
      <c r="S246" s="1123">
        <f t="shared" si="177"/>
        <v>208</v>
      </c>
      <c r="T246" s="1123">
        <f t="shared" si="177"/>
        <v>216</v>
      </c>
      <c r="U246" s="1123">
        <f t="shared" si="177"/>
        <v>249</v>
      </c>
      <c r="V246" s="1123">
        <f t="shared" si="177"/>
        <v>1345.002</v>
      </c>
      <c r="W246" s="1123">
        <f t="shared" si="177"/>
        <v>1267.0160000000001</v>
      </c>
      <c r="X246" s="1123">
        <f t="shared" si="177"/>
        <v>1500.9170000000001</v>
      </c>
      <c r="Y246" s="1126">
        <f t="shared" si="175"/>
        <v>1545.9445100000003</v>
      </c>
      <c r="Z246" s="1126">
        <f t="shared" si="175"/>
        <v>1592.3228453000004</v>
      </c>
      <c r="AA246" s="1126">
        <f t="shared" si="175"/>
        <v>1640.0925306590004</v>
      </c>
      <c r="AB246" s="1126">
        <f t="shared" si="175"/>
        <v>1689.2953065787706</v>
      </c>
      <c r="AC246" s="1126">
        <f t="shared" si="175"/>
        <v>1739.9741657761338</v>
      </c>
      <c r="AD246" s="1126">
        <f t="shared" si="175"/>
        <v>1792.1733907494179</v>
      </c>
      <c r="AE246" s="1126">
        <f t="shared" si="175"/>
        <v>1845.9385924719004</v>
      </c>
      <c r="AF246" s="1126">
        <f t="shared" si="176"/>
        <v>1901.3167502460574</v>
      </c>
      <c r="AG246" s="1126">
        <f t="shared" si="176"/>
        <v>1958.3562527534391</v>
      </c>
      <c r="AH246" s="1126">
        <f t="shared" si="176"/>
        <v>2017.1069403360423</v>
      </c>
      <c r="AI246" s="685"/>
      <c r="AJ246" s="685"/>
      <c r="AK246" s="685"/>
      <c r="AL246" s="685"/>
      <c r="AM246" s="685"/>
      <c r="AN246" s="685"/>
      <c r="AO246" s="685"/>
      <c r="AP246" s="685"/>
      <c r="AQ246" s="685"/>
      <c r="AR246" s="685"/>
      <c r="AS246" s="685"/>
      <c r="AT246" s="685"/>
      <c r="AU246" s="685"/>
      <c r="AV246" s="685"/>
      <c r="AW246" s="685"/>
      <c r="AX246" s="685"/>
      <c r="AY246" s="685"/>
      <c r="AZ246" s="685"/>
      <c r="BA246" s="685"/>
      <c r="BB246" s="685"/>
      <c r="BC246" s="685"/>
      <c r="BD246" s="685"/>
    </row>
    <row r="247" spans="1:56">
      <c r="A247" s="685"/>
      <c r="B247" s="1115" t="s">
        <v>294</v>
      </c>
      <c r="C247" s="1117"/>
      <c r="D247" s="1117"/>
      <c r="E247" s="1117"/>
      <c r="F247" s="1117"/>
      <c r="G247" s="1117"/>
      <c r="H247" s="1117"/>
      <c r="I247" s="1117"/>
      <c r="J247" s="1117"/>
      <c r="K247" s="1117"/>
      <c r="L247" s="1117"/>
      <c r="M247" s="1117"/>
      <c r="N247" s="1117"/>
      <c r="O247" s="1117"/>
      <c r="P247" s="1117"/>
      <c r="Q247" s="1117"/>
      <c r="R247" s="1167">
        <v>800</v>
      </c>
      <c r="S247" s="1167">
        <f>669</f>
        <v>669</v>
      </c>
      <c r="T247" s="1167">
        <f>647</f>
        <v>647</v>
      </c>
      <c r="U247" s="1167">
        <f>699</f>
        <v>699</v>
      </c>
      <c r="V247" s="1167">
        <f>1793.602</f>
        <v>1793.6020000000001</v>
      </c>
      <c r="W247" s="1167">
        <v>1567.3</v>
      </c>
      <c r="X247" s="1167">
        <v>1809.67</v>
      </c>
      <c r="Y247" s="1123">
        <f t="shared" ref="Y247:AH247" si="178">Y245+Y246</f>
        <v>1863.9601000000002</v>
      </c>
      <c r="Z247" s="1123">
        <f t="shared" si="178"/>
        <v>1919.8789030000003</v>
      </c>
      <c r="AA247" s="1123">
        <f t="shared" si="178"/>
        <v>1977.4752700900003</v>
      </c>
      <c r="AB247" s="1123">
        <f t="shared" si="178"/>
        <v>2036.7995281927006</v>
      </c>
      <c r="AC247" s="1123">
        <f t="shared" si="178"/>
        <v>2097.9035140384817</v>
      </c>
      <c r="AD247" s="1123">
        <f t="shared" si="178"/>
        <v>2160.8406194596364</v>
      </c>
      <c r="AE247" s="1123">
        <f t="shared" si="178"/>
        <v>2225.6658380434255</v>
      </c>
      <c r="AF247" s="1123">
        <f t="shared" si="178"/>
        <v>2292.435813184728</v>
      </c>
      <c r="AG247" s="1123">
        <f t="shared" si="178"/>
        <v>2361.2088875802701</v>
      </c>
      <c r="AH247" s="1123">
        <f t="shared" si="178"/>
        <v>2432.045154207678</v>
      </c>
      <c r="AI247" s="685"/>
      <c r="AJ247" s="685"/>
      <c r="AK247" s="685"/>
      <c r="AL247" s="685"/>
      <c r="AM247" s="685"/>
      <c r="AN247" s="685"/>
      <c r="AO247" s="685"/>
      <c r="AP247" s="685"/>
      <c r="AQ247" s="685"/>
      <c r="AR247" s="685"/>
      <c r="AS247" s="685"/>
      <c r="AT247" s="685"/>
      <c r="AU247" s="685"/>
      <c r="AV247" s="685"/>
      <c r="AW247" s="685"/>
      <c r="AX247" s="685"/>
      <c r="AY247" s="685"/>
      <c r="AZ247" s="685"/>
      <c r="BA247" s="685"/>
      <c r="BB247" s="685"/>
      <c r="BC247" s="685"/>
      <c r="BD247" s="685"/>
    </row>
    <row r="248" spans="1:56">
      <c r="A248" s="685"/>
      <c r="B248" s="1115"/>
      <c r="C248" s="1115"/>
      <c r="D248" s="1115"/>
      <c r="E248" s="1115"/>
      <c r="F248" s="1115"/>
      <c r="G248" s="1115"/>
      <c r="H248" s="1115"/>
      <c r="I248" s="1115"/>
      <c r="J248" s="1115"/>
      <c r="K248" s="1115"/>
      <c r="L248" s="1115"/>
      <c r="M248" s="1115"/>
      <c r="N248" s="1115"/>
      <c r="O248" s="1115"/>
      <c r="P248" s="1115"/>
      <c r="Q248" s="1115"/>
      <c r="R248" s="1115"/>
      <c r="S248" s="1115"/>
      <c r="T248" s="1115"/>
      <c r="U248" s="1115"/>
      <c r="V248" s="1115"/>
      <c r="W248" s="1115"/>
      <c r="X248" s="1115"/>
      <c r="Y248" s="1115"/>
      <c r="Z248" s="1115"/>
      <c r="AA248" s="1115"/>
      <c r="AB248" s="1115"/>
      <c r="AC248" s="1115"/>
      <c r="AD248" s="1115"/>
      <c r="AE248" s="1115"/>
      <c r="AF248" s="1115"/>
      <c r="AG248" s="1115"/>
      <c r="AH248" s="1115"/>
      <c r="AI248" s="685"/>
      <c r="AJ248" s="685"/>
      <c r="AK248" s="685"/>
      <c r="AL248" s="685"/>
      <c r="AM248" s="685"/>
      <c r="AN248" s="685"/>
      <c r="AO248" s="685"/>
      <c r="AP248" s="685"/>
      <c r="AQ248" s="685"/>
      <c r="AR248" s="685"/>
      <c r="AS248" s="685"/>
      <c r="AT248" s="685"/>
      <c r="AU248" s="685"/>
      <c r="AV248" s="685"/>
      <c r="AW248" s="685"/>
      <c r="AX248" s="685"/>
      <c r="AY248" s="685"/>
      <c r="AZ248" s="685"/>
      <c r="BA248" s="685"/>
      <c r="BB248" s="685"/>
      <c r="BC248" s="685"/>
      <c r="BD248" s="685"/>
    </row>
    <row r="249" spans="1:56">
      <c r="A249" s="685"/>
      <c r="B249" s="1115"/>
      <c r="C249" s="1115"/>
      <c r="D249" s="1115"/>
      <c r="E249" s="1115"/>
      <c r="F249" s="1115"/>
      <c r="G249" s="1115"/>
      <c r="H249" s="1115"/>
      <c r="I249" s="1115"/>
      <c r="J249" s="1115"/>
      <c r="K249" s="1115"/>
      <c r="L249" s="1115"/>
      <c r="M249" s="1115"/>
      <c r="N249" s="1115"/>
      <c r="O249" s="1115"/>
      <c r="P249" s="1115"/>
      <c r="Q249" s="1115"/>
      <c r="R249" s="1115"/>
      <c r="S249" s="1115"/>
      <c r="T249" s="1115"/>
      <c r="U249" s="1115"/>
      <c r="V249" s="1115"/>
      <c r="W249" s="1115"/>
      <c r="X249" s="1115"/>
      <c r="Y249" s="1115"/>
      <c r="Z249" s="1115"/>
      <c r="AA249" s="1115"/>
      <c r="AB249" s="1115"/>
      <c r="AC249" s="1115"/>
      <c r="AD249" s="1115"/>
      <c r="AE249" s="1115"/>
      <c r="AF249" s="1115"/>
      <c r="AG249" s="1115"/>
      <c r="AH249" s="1115"/>
      <c r="AI249" s="685"/>
      <c r="AJ249" s="685"/>
      <c r="AK249" s="685"/>
      <c r="AL249" s="685"/>
      <c r="AM249" s="685"/>
      <c r="AN249" s="685"/>
      <c r="AO249" s="685"/>
      <c r="AP249" s="685"/>
      <c r="AQ249" s="685"/>
      <c r="AR249" s="685"/>
      <c r="AS249" s="685"/>
      <c r="AT249" s="685"/>
      <c r="AU249" s="685"/>
      <c r="AV249" s="685"/>
      <c r="AW249" s="685"/>
      <c r="AX249" s="685"/>
      <c r="AY249" s="685"/>
      <c r="AZ249" s="685"/>
      <c r="BA249" s="685"/>
      <c r="BB249" s="685"/>
      <c r="BC249" s="685"/>
      <c r="BD249" s="685"/>
    </row>
    <row r="250" spans="1:56">
      <c r="A250" s="685"/>
      <c r="B250" s="1115"/>
      <c r="C250" s="1115"/>
      <c r="D250" s="1115"/>
      <c r="E250" s="1115"/>
      <c r="F250" s="1115"/>
      <c r="G250" s="1115"/>
      <c r="H250" s="1115"/>
      <c r="I250" s="1115"/>
      <c r="J250" s="1115"/>
      <c r="K250" s="1115"/>
      <c r="L250" s="1115"/>
      <c r="M250" s="1115"/>
      <c r="N250" s="1115"/>
      <c r="O250" s="1115"/>
      <c r="P250" s="1115"/>
      <c r="Q250" s="1115"/>
      <c r="R250" s="1115"/>
      <c r="S250" s="1115"/>
      <c r="T250" s="1115"/>
      <c r="U250" s="1115"/>
      <c r="V250" s="1115"/>
      <c r="W250" s="1115"/>
      <c r="X250" s="1115"/>
      <c r="Y250" s="1115"/>
      <c r="Z250" s="1115"/>
      <c r="AA250" s="1115"/>
      <c r="AB250" s="1115"/>
      <c r="AC250" s="1115"/>
      <c r="AD250" s="1115"/>
      <c r="AE250" s="1115"/>
      <c r="AF250" s="1115"/>
      <c r="AG250" s="1115"/>
      <c r="AH250" s="1115"/>
      <c r="AI250" s="685"/>
      <c r="AJ250" s="685"/>
      <c r="AK250" s="685"/>
      <c r="AL250" s="685"/>
      <c r="AM250" s="685"/>
      <c r="AN250" s="685"/>
      <c r="AO250" s="685"/>
      <c r="AP250" s="685"/>
      <c r="AQ250" s="685"/>
      <c r="AR250" s="685"/>
      <c r="AS250" s="685"/>
      <c r="AT250" s="685"/>
      <c r="AU250" s="685"/>
      <c r="AV250" s="685"/>
      <c r="AW250" s="685"/>
      <c r="AX250" s="685"/>
      <c r="AY250" s="685"/>
      <c r="AZ250" s="685"/>
      <c r="BA250" s="685"/>
      <c r="BB250" s="685"/>
      <c r="BC250" s="685"/>
      <c r="BD250" s="685"/>
    </row>
    <row r="251" spans="1:56">
      <c r="A251" s="685"/>
      <c r="B251" s="1112" t="s">
        <v>237</v>
      </c>
      <c r="C251" s="1112">
        <v>2004</v>
      </c>
      <c r="D251" s="1112">
        <f t="shared" ref="D251:AE251" si="179">C251+1</f>
        <v>2005</v>
      </c>
      <c r="E251" s="1112">
        <f t="shared" si="179"/>
        <v>2006</v>
      </c>
      <c r="F251" s="1112">
        <f t="shared" si="179"/>
        <v>2007</v>
      </c>
      <c r="G251" s="1112">
        <f t="shared" si="179"/>
        <v>2008</v>
      </c>
      <c r="H251" s="1112">
        <f t="shared" si="179"/>
        <v>2009</v>
      </c>
      <c r="I251" s="1112">
        <f t="shared" si="179"/>
        <v>2010</v>
      </c>
      <c r="J251" s="1112">
        <f t="shared" si="179"/>
        <v>2011</v>
      </c>
      <c r="K251" s="1112">
        <f t="shared" si="179"/>
        <v>2012</v>
      </c>
      <c r="L251" s="1112">
        <f t="shared" si="179"/>
        <v>2013</v>
      </c>
      <c r="M251" s="1112">
        <f t="shared" si="179"/>
        <v>2014</v>
      </c>
      <c r="N251" s="1112">
        <f t="shared" si="179"/>
        <v>2015</v>
      </c>
      <c r="O251" s="1112">
        <f t="shared" si="179"/>
        <v>2016</v>
      </c>
      <c r="P251" s="1112">
        <f t="shared" si="179"/>
        <v>2017</v>
      </c>
      <c r="Q251" s="1112">
        <f t="shared" si="179"/>
        <v>2018</v>
      </c>
      <c r="R251" s="1112">
        <f t="shared" si="179"/>
        <v>2019</v>
      </c>
      <c r="S251" s="1112">
        <f t="shared" si="179"/>
        <v>2020</v>
      </c>
      <c r="T251" s="1112">
        <f t="shared" si="179"/>
        <v>2021</v>
      </c>
      <c r="U251" s="1112">
        <f t="shared" si="179"/>
        <v>2022</v>
      </c>
      <c r="V251" s="1112">
        <f t="shared" si="179"/>
        <v>2023</v>
      </c>
      <c r="W251" s="1112">
        <f t="shared" si="179"/>
        <v>2024</v>
      </c>
      <c r="X251" s="1112">
        <f t="shared" si="179"/>
        <v>2025</v>
      </c>
      <c r="Y251" s="1112">
        <f t="shared" si="179"/>
        <v>2026</v>
      </c>
      <c r="Z251" s="1112">
        <f t="shared" si="179"/>
        <v>2027</v>
      </c>
      <c r="AA251" s="1112">
        <f t="shared" si="179"/>
        <v>2028</v>
      </c>
      <c r="AB251" s="1112">
        <f t="shared" si="179"/>
        <v>2029</v>
      </c>
      <c r="AC251" s="1112">
        <f t="shared" si="179"/>
        <v>2030</v>
      </c>
      <c r="AD251" s="1112">
        <f t="shared" si="179"/>
        <v>2031</v>
      </c>
      <c r="AE251" s="1112">
        <f t="shared" si="179"/>
        <v>2032</v>
      </c>
      <c r="AF251" s="1112">
        <f>AE251+1</f>
        <v>2033</v>
      </c>
      <c r="AG251" s="1112">
        <f>AF251+1</f>
        <v>2034</v>
      </c>
      <c r="AH251" s="1112">
        <f>AG251+1</f>
        <v>2035</v>
      </c>
      <c r="AI251" s="685"/>
      <c r="AJ251" s="685"/>
      <c r="AK251" s="685"/>
      <c r="AL251" s="685"/>
      <c r="AM251" s="685"/>
      <c r="AN251" s="685"/>
      <c r="AO251" s="685"/>
      <c r="AP251" s="685"/>
      <c r="AQ251" s="685"/>
      <c r="AR251" s="685"/>
      <c r="AS251" s="685"/>
      <c r="AT251" s="685"/>
      <c r="AU251" s="685"/>
      <c r="AV251" s="685"/>
      <c r="AW251" s="685"/>
      <c r="AX251" s="685"/>
      <c r="AY251" s="685"/>
      <c r="AZ251" s="685"/>
      <c r="BA251" s="685"/>
      <c r="BB251" s="685"/>
      <c r="BC251" s="685"/>
      <c r="BD251" s="685"/>
    </row>
    <row r="252" spans="1:56">
      <c r="A252" s="685"/>
      <c r="B252" s="1115" t="s">
        <v>237</v>
      </c>
      <c r="C252" s="1166"/>
      <c r="D252" s="1167"/>
      <c r="E252" s="1167"/>
      <c r="F252" s="1167"/>
      <c r="G252" s="1167"/>
      <c r="H252" s="1167">
        <f>4930-H228</f>
        <v>540</v>
      </c>
      <c r="I252" s="1167">
        <f>6579-I228</f>
        <v>882</v>
      </c>
      <c r="J252" s="1167">
        <f>7429.7-J228</f>
        <v>928.69999999999982</v>
      </c>
      <c r="K252" s="1167">
        <f>8474-K228</f>
        <v>1351.7083900930756</v>
      </c>
      <c r="L252" s="1167">
        <f>9846-L228</f>
        <v>1419.2691710648869</v>
      </c>
      <c r="M252" s="1167">
        <f>11563-M228</f>
        <v>2151.1787673156814</v>
      </c>
      <c r="N252" s="1167">
        <f>14660.9-N228</f>
        <v>3438.5676609448146</v>
      </c>
      <c r="O252" s="1167">
        <f>16979.8-O228</f>
        <v>4298.3076247013523</v>
      </c>
      <c r="P252" s="1167">
        <f>18536-P228</f>
        <v>4760.887990934365</v>
      </c>
      <c r="Q252" s="1167">
        <f>19834-Q228</f>
        <v>4372.3097961598251</v>
      </c>
      <c r="R252" s="1167">
        <f>21008-R228</f>
        <v>5409.5467412435082</v>
      </c>
      <c r="S252" s="1167">
        <f>21261-S228</f>
        <v>5596.158825141054</v>
      </c>
      <c r="T252" s="1167">
        <f>21418.3-T228</f>
        <v>5360.4725941200941</v>
      </c>
      <c r="U252" s="1167">
        <f>21117.4-U228</f>
        <v>5981.6048918404667</v>
      </c>
      <c r="V252" s="1167">
        <f>21554.4-V228</f>
        <v>3920.4000000000015</v>
      </c>
      <c r="W252" s="1167">
        <f>20510.9-W228</f>
        <v>4252.9000000000015</v>
      </c>
      <c r="X252" s="1167">
        <f>17160.5-X228</f>
        <v>2902.5</v>
      </c>
      <c r="Y252" s="1123">
        <f t="shared" ref="Y252:AH252" si="180">Y254+Y253</f>
        <v>3069.4746399999999</v>
      </c>
      <c r="Z252" s="1123">
        <f t="shared" si="180"/>
        <v>3109.8158106000001</v>
      </c>
      <c r="AA252" s="1123">
        <f t="shared" si="180"/>
        <v>3128.7026294460006</v>
      </c>
      <c r="AB252" s="1123">
        <f t="shared" si="180"/>
        <v>3127.5681423956307</v>
      </c>
      <c r="AC252" s="1123">
        <f t="shared" si="180"/>
        <v>3108.1311777558371</v>
      </c>
      <c r="AD252" s="1123">
        <f t="shared" si="180"/>
        <v>3072.3305129792666</v>
      </c>
      <c r="AE252" s="1123">
        <f t="shared" si="180"/>
        <v>3022.2577095505603</v>
      </c>
      <c r="AF252" s="1123">
        <f t="shared" si="180"/>
        <v>2960.091073386362</v>
      </c>
      <c r="AG252" s="1123">
        <f t="shared" si="180"/>
        <v>2888.0329564663621</v>
      </c>
      <c r="AH252" s="1123">
        <f t="shared" si="180"/>
        <v>2808.252293427498</v>
      </c>
      <c r="AI252" s="685"/>
      <c r="AJ252" s="685"/>
      <c r="AK252" s="685"/>
      <c r="AL252" s="685"/>
      <c r="AM252" s="685"/>
      <c r="AN252" s="685"/>
      <c r="AO252" s="685"/>
      <c r="AP252" s="685"/>
      <c r="AQ252" s="685"/>
      <c r="AR252" s="685"/>
      <c r="AS252" s="685"/>
      <c r="AT252" s="685"/>
      <c r="AU252" s="685"/>
      <c r="AV252" s="685"/>
      <c r="AW252" s="685"/>
      <c r="AX252" s="685"/>
      <c r="AY252" s="685"/>
      <c r="AZ252" s="685"/>
      <c r="BA252" s="685"/>
      <c r="BB252" s="685"/>
      <c r="BC252" s="685"/>
      <c r="BD252" s="685"/>
    </row>
    <row r="253" spans="1:56">
      <c r="A253" s="685"/>
      <c r="B253" s="1115" t="s">
        <v>295</v>
      </c>
      <c r="C253" s="1166"/>
      <c r="D253" s="1167">
        <v>0</v>
      </c>
      <c r="E253" s="1167">
        <v>0</v>
      </c>
      <c r="F253" s="1167">
        <v>0</v>
      </c>
      <c r="G253" s="1167">
        <v>0</v>
      </c>
      <c r="H253" s="1167">
        <v>0</v>
      </c>
      <c r="I253" s="1167">
        <v>0</v>
      </c>
      <c r="J253" s="1167">
        <v>0</v>
      </c>
      <c r="K253" s="1167">
        <v>0</v>
      </c>
      <c r="L253" s="1167">
        <v>0</v>
      </c>
      <c r="M253" s="1167">
        <v>0</v>
      </c>
      <c r="N253" s="1167">
        <v>0</v>
      </c>
      <c r="O253" s="1167">
        <v>0</v>
      </c>
      <c r="P253" s="1167">
        <v>0</v>
      </c>
      <c r="Q253" s="1167">
        <v>0</v>
      </c>
      <c r="R253" s="1167">
        <v>0</v>
      </c>
      <c r="S253" s="1167">
        <v>0</v>
      </c>
      <c r="T253" s="1167">
        <v>0</v>
      </c>
      <c r="U253" s="1167">
        <v>0</v>
      </c>
      <c r="V253" s="1167">
        <v>0</v>
      </c>
      <c r="W253" s="1167">
        <v>0</v>
      </c>
      <c r="X253" s="1167">
        <v>0</v>
      </c>
      <c r="Y253" s="1167">
        <v>0</v>
      </c>
      <c r="Z253" s="1167">
        <v>0</v>
      </c>
      <c r="AA253" s="1167">
        <v>0</v>
      </c>
      <c r="AB253" s="1167">
        <v>0</v>
      </c>
      <c r="AC253" s="1167">
        <v>0</v>
      </c>
      <c r="AD253" s="1167">
        <v>0</v>
      </c>
      <c r="AE253" s="1167">
        <v>0</v>
      </c>
      <c r="AF253" s="1167">
        <v>0</v>
      </c>
      <c r="AG253" s="1167">
        <v>0</v>
      </c>
      <c r="AH253" s="1167">
        <v>0</v>
      </c>
      <c r="AI253" s="685"/>
      <c r="AJ253" s="685"/>
      <c r="AK253" s="685"/>
      <c r="AL253" s="685"/>
      <c r="AM253" s="685"/>
      <c r="AN253" s="685"/>
      <c r="AO253" s="685"/>
      <c r="AP253" s="685"/>
      <c r="AQ253" s="685"/>
      <c r="AR253" s="685"/>
      <c r="AS253" s="685"/>
      <c r="AT253" s="685"/>
      <c r="AU253" s="685"/>
      <c r="AV253" s="685"/>
      <c r="AW253" s="685"/>
      <c r="AX253" s="685"/>
      <c r="AY253" s="685"/>
      <c r="AZ253" s="685"/>
      <c r="BA253" s="685"/>
      <c r="BB253" s="685"/>
      <c r="BC253" s="685"/>
      <c r="BD253" s="685"/>
    </row>
    <row r="254" spans="1:56">
      <c r="A254" s="685"/>
      <c r="B254" s="1115" t="s">
        <v>296</v>
      </c>
      <c r="C254" s="1123"/>
      <c r="D254" s="1123">
        <f t="shared" ref="D254:X254" si="181">D252-D253</f>
        <v>0</v>
      </c>
      <c r="E254" s="1123">
        <f t="shared" si="181"/>
        <v>0</v>
      </c>
      <c r="F254" s="1123">
        <f t="shared" si="181"/>
        <v>0</v>
      </c>
      <c r="G254" s="1123">
        <f t="shared" si="181"/>
        <v>0</v>
      </c>
      <c r="H254" s="1123">
        <f t="shared" si="181"/>
        <v>540</v>
      </c>
      <c r="I254" s="1123">
        <f t="shared" si="181"/>
        <v>882</v>
      </c>
      <c r="J254" s="1123">
        <f t="shared" si="181"/>
        <v>928.69999999999982</v>
      </c>
      <c r="K254" s="1123">
        <f t="shared" si="181"/>
        <v>1351.7083900930756</v>
      </c>
      <c r="L254" s="1123">
        <f t="shared" si="181"/>
        <v>1419.2691710648869</v>
      </c>
      <c r="M254" s="1123">
        <f t="shared" si="181"/>
        <v>2151.1787673156814</v>
      </c>
      <c r="N254" s="1123">
        <f t="shared" si="181"/>
        <v>3438.5676609448146</v>
      </c>
      <c r="O254" s="1123">
        <f t="shared" si="181"/>
        <v>4298.3076247013523</v>
      </c>
      <c r="P254" s="1123">
        <f t="shared" si="181"/>
        <v>4760.887990934365</v>
      </c>
      <c r="Q254" s="1123">
        <f t="shared" si="181"/>
        <v>4372.3097961598251</v>
      </c>
      <c r="R254" s="1123">
        <f t="shared" si="181"/>
        <v>5409.5467412435082</v>
      </c>
      <c r="S254" s="1123">
        <f t="shared" si="181"/>
        <v>5596.158825141054</v>
      </c>
      <c r="T254" s="1123">
        <f t="shared" si="181"/>
        <v>5360.4725941200941</v>
      </c>
      <c r="U254" s="1123">
        <f t="shared" si="181"/>
        <v>5981.6048918404667</v>
      </c>
      <c r="V254" s="1123">
        <f t="shared" si="181"/>
        <v>3920.4000000000015</v>
      </c>
      <c r="W254" s="1123">
        <f t="shared" si="181"/>
        <v>4252.9000000000015</v>
      </c>
      <c r="X254" s="1123">
        <f t="shared" si="181"/>
        <v>2902.5</v>
      </c>
      <c r="Y254" s="1168">
        <f t="shared" ref="Y254:AE254" si="182">Y255*X259</f>
        <v>3069.4746399999999</v>
      </c>
      <c r="Z254" s="1168">
        <f t="shared" si="182"/>
        <v>3109.8158106000001</v>
      </c>
      <c r="AA254" s="1168">
        <f t="shared" si="182"/>
        <v>3128.7026294460006</v>
      </c>
      <c r="AB254" s="1168">
        <f t="shared" si="182"/>
        <v>3127.5681423956307</v>
      </c>
      <c r="AC254" s="1168">
        <f t="shared" si="182"/>
        <v>3108.1311777558371</v>
      </c>
      <c r="AD254" s="1168">
        <f t="shared" si="182"/>
        <v>3072.3305129792666</v>
      </c>
      <c r="AE254" s="1168">
        <f t="shared" si="182"/>
        <v>3022.2577095505603</v>
      </c>
      <c r="AF254" s="1168">
        <f>AF255*AE259</f>
        <v>2960.091073386362</v>
      </c>
      <c r="AG254" s="1168">
        <f>AG255*AF259</f>
        <v>2888.0329564663621</v>
      </c>
      <c r="AH254" s="1168">
        <f>AH255*AG259</f>
        <v>2808.252293427498</v>
      </c>
      <c r="AI254" s="685"/>
      <c r="AJ254" s="685"/>
      <c r="AK254" s="685"/>
      <c r="AL254" s="685"/>
      <c r="AM254" s="685"/>
      <c r="AN254" s="685"/>
      <c r="AO254" s="685"/>
      <c r="AP254" s="685"/>
      <c r="AQ254" s="685"/>
      <c r="AR254" s="685"/>
      <c r="AS254" s="685"/>
      <c r="AT254" s="685"/>
      <c r="AU254" s="685"/>
      <c r="AV254" s="685"/>
      <c r="AW254" s="685"/>
      <c r="AX254" s="685"/>
      <c r="AY254" s="685"/>
      <c r="AZ254" s="685"/>
      <c r="BA254" s="685"/>
      <c r="BB254" s="685"/>
      <c r="BC254" s="685"/>
      <c r="BD254" s="685"/>
    </row>
    <row r="255" spans="1:56">
      <c r="A255" s="685"/>
      <c r="B255" s="1115" t="s">
        <v>297</v>
      </c>
      <c r="C255" s="1117"/>
      <c r="D255" s="1123" t="e">
        <f>D254/#REF!</f>
        <v>#REF!</v>
      </c>
      <c r="E255" s="1117" t="e">
        <f t="shared" ref="E255:X255" si="183">E254/D259</f>
        <v>#DIV/0!</v>
      </c>
      <c r="F255" s="1117" t="e">
        <f t="shared" si="183"/>
        <v>#DIV/0!</v>
      </c>
      <c r="G255" s="1117" t="e">
        <f t="shared" si="183"/>
        <v>#DIV/0!</v>
      </c>
      <c r="H255" s="1117" t="e">
        <f t="shared" si="183"/>
        <v>#DIV/0!</v>
      </c>
      <c r="I255" s="1117" t="e">
        <f t="shared" si="183"/>
        <v>#DIV/0!</v>
      </c>
      <c r="J255" s="1117">
        <f t="shared" si="183"/>
        <v>9.068450346645833E-2</v>
      </c>
      <c r="K255" s="1117">
        <f t="shared" si="183"/>
        <v>0.11396243066293531</v>
      </c>
      <c r="L255" s="1117">
        <f t="shared" si="183"/>
        <v>0.12755182628425335</v>
      </c>
      <c r="M255" s="1117">
        <f t="shared" si="183"/>
        <v>0.18899831025440883</v>
      </c>
      <c r="N255" s="1117">
        <f t="shared" si="183"/>
        <v>0.12710955422685252</v>
      </c>
      <c r="O255" s="1117">
        <f t="shared" si="183"/>
        <v>0.11279782148099794</v>
      </c>
      <c r="P255" s="1117">
        <f t="shared" si="183"/>
        <v>0.12653691054856184</v>
      </c>
      <c r="Q255" s="1117">
        <f t="shared" si="183"/>
        <v>0.12183547792124795</v>
      </c>
      <c r="R255" s="1117">
        <f t="shared" si="183"/>
        <v>0.12561644857058119</v>
      </c>
      <c r="S255" s="1117">
        <f t="shared" si="183"/>
        <v>0.12915504223824814</v>
      </c>
      <c r="T255" s="1117">
        <f t="shared" si="183"/>
        <v>0.12547335316979763</v>
      </c>
      <c r="U255" s="1117">
        <f t="shared" si="183"/>
        <v>0.14155667946583711</v>
      </c>
      <c r="V255" s="1117">
        <f t="shared" si="183"/>
        <v>9.5332352547813332E-2</v>
      </c>
      <c r="W255" s="1117">
        <f t="shared" si="183"/>
        <v>0.10527371065757396</v>
      </c>
      <c r="X255" s="1117">
        <f t="shared" si="183"/>
        <v>7.4562472421197484E-2</v>
      </c>
      <c r="Y255" s="1171">
        <v>0.08</v>
      </c>
      <c r="Z255" s="1171">
        <f>Y255+0.5%</f>
        <v>8.5000000000000006E-2</v>
      </c>
      <c r="AA255" s="1171">
        <f t="shared" ref="AA255:AH255" si="184">Z255+0.5%</f>
        <v>9.0000000000000011E-2</v>
      </c>
      <c r="AB255" s="1171">
        <f t="shared" si="184"/>
        <v>9.5000000000000015E-2</v>
      </c>
      <c r="AC255" s="1171">
        <f t="shared" si="184"/>
        <v>0.10000000000000002</v>
      </c>
      <c r="AD255" s="1171">
        <f t="shared" si="184"/>
        <v>0.10500000000000002</v>
      </c>
      <c r="AE255" s="1171">
        <f t="shared" si="184"/>
        <v>0.11000000000000003</v>
      </c>
      <c r="AF255" s="1171">
        <f t="shared" si="184"/>
        <v>0.11500000000000003</v>
      </c>
      <c r="AG255" s="1171">
        <f t="shared" si="184"/>
        <v>0.12000000000000004</v>
      </c>
      <c r="AH255" s="1171">
        <f t="shared" si="184"/>
        <v>0.12500000000000003</v>
      </c>
      <c r="AI255" s="685"/>
      <c r="AJ255" s="685"/>
      <c r="AK255" s="685"/>
      <c r="AL255" s="685"/>
      <c r="AM255" s="685"/>
      <c r="AN255" s="685"/>
      <c r="AO255" s="685"/>
      <c r="AP255" s="685"/>
      <c r="AQ255" s="685"/>
      <c r="AR255" s="685"/>
      <c r="AS255" s="685"/>
      <c r="AT255" s="685"/>
      <c r="AU255" s="685"/>
      <c r="AV255" s="685"/>
      <c r="AW255" s="685"/>
      <c r="AX255" s="685"/>
      <c r="AY255" s="685"/>
      <c r="AZ255" s="685"/>
      <c r="BA255" s="685"/>
      <c r="BB255" s="685"/>
      <c r="BC255" s="685"/>
      <c r="BD255" s="685"/>
    </row>
    <row r="256" spans="1:56">
      <c r="A256" s="685"/>
      <c r="B256" s="1115"/>
      <c r="C256" s="1115"/>
      <c r="D256" s="1115"/>
      <c r="E256" s="1115"/>
      <c r="F256" s="1115"/>
      <c r="G256" s="1115"/>
      <c r="H256" s="1115"/>
      <c r="I256" s="1115"/>
      <c r="J256" s="1115"/>
      <c r="K256" s="1115"/>
      <c r="L256" s="1115"/>
      <c r="M256" s="1115"/>
      <c r="N256" s="1115"/>
      <c r="O256" s="1115"/>
      <c r="P256" s="1115"/>
      <c r="Q256" s="1115"/>
      <c r="R256" s="1115"/>
      <c r="S256" s="1115"/>
      <c r="T256" s="1115"/>
      <c r="U256" s="1115"/>
      <c r="V256" s="1115"/>
      <c r="W256" s="1115"/>
      <c r="X256" s="1115"/>
      <c r="Y256" s="1115"/>
      <c r="Z256" s="1115"/>
      <c r="AA256" s="1115"/>
      <c r="AB256" s="1115"/>
      <c r="AC256" s="1115"/>
      <c r="AD256" s="1115"/>
      <c r="AE256" s="1115"/>
      <c r="AF256" s="1115"/>
      <c r="AG256" s="1115"/>
      <c r="AH256" s="1115"/>
      <c r="AI256" s="685"/>
      <c r="AJ256" s="685"/>
      <c r="AK256" s="685"/>
      <c r="AL256" s="685"/>
      <c r="AM256" s="685"/>
      <c r="AN256" s="685"/>
      <c r="AO256" s="685"/>
      <c r="AP256" s="685"/>
      <c r="AQ256" s="685"/>
      <c r="AR256" s="685"/>
      <c r="AS256" s="685"/>
      <c r="AT256" s="685"/>
      <c r="AU256" s="685"/>
      <c r="AV256" s="685"/>
      <c r="AW256" s="685"/>
      <c r="AX256" s="685"/>
      <c r="AY256" s="685"/>
      <c r="AZ256" s="685"/>
      <c r="BA256" s="685"/>
      <c r="BB256" s="685"/>
      <c r="BC256" s="685"/>
      <c r="BD256" s="685"/>
    </row>
    <row r="257" spans="1:56">
      <c r="A257" s="685"/>
      <c r="B257" s="1115" t="s">
        <v>298</v>
      </c>
      <c r="C257" s="1166">
        <f>C258+C259</f>
        <v>0</v>
      </c>
      <c r="D257" s="1166">
        <f>D258+D259</f>
        <v>0</v>
      </c>
      <c r="E257" s="1166">
        <f>E258+E259</f>
        <v>0</v>
      </c>
      <c r="F257" s="1166">
        <f>F258+F259</f>
        <v>0</v>
      </c>
      <c r="G257" s="1166">
        <f>G258+G259</f>
        <v>0</v>
      </c>
      <c r="H257" s="1123"/>
      <c r="I257" s="1123">
        <f>I258+I259</f>
        <v>13221</v>
      </c>
      <c r="J257" s="1123">
        <f>J258+J259</f>
        <v>15749</v>
      </c>
      <c r="K257" s="1123">
        <f t="shared" ref="K257:T257" si="185">J257+K261+K262</f>
        <v>15749.4</v>
      </c>
      <c r="L257" s="1123">
        <f t="shared" si="185"/>
        <v>15370.176890625</v>
      </c>
      <c r="M257" s="1123">
        <f t="shared" si="185"/>
        <v>15660.176890625</v>
      </c>
      <c r="N257" s="1123">
        <f t="shared" si="185"/>
        <v>16263.976890624999</v>
      </c>
      <c r="O257" s="1123">
        <f t="shared" si="185"/>
        <v>19051.976890624999</v>
      </c>
      <c r="P257" s="1123">
        <f t="shared" si="185"/>
        <v>20700.976890624999</v>
      </c>
      <c r="Q257" s="1123">
        <f t="shared" si="185"/>
        <v>28479.976890624999</v>
      </c>
      <c r="R257" s="1123">
        <f t="shared" si="185"/>
        <v>30586.976890624999</v>
      </c>
      <c r="S257" s="1123">
        <f t="shared" si="185"/>
        <v>31821.976890624999</v>
      </c>
      <c r="T257" s="1123">
        <f t="shared" si="185"/>
        <v>33721.376890624997</v>
      </c>
      <c r="U257" s="1174">
        <v>67311</v>
      </c>
      <c r="V257" s="1174">
        <v>66614</v>
      </c>
      <c r="W257" s="1174">
        <v>68918.301999999996</v>
      </c>
      <c r="X257" s="1174">
        <v>70015.520999999993</v>
      </c>
      <c r="Y257" s="1123">
        <f t="shared" ref="Y257:AE257" si="186">X257+Y261+Y262</f>
        <v>71302.630999999994</v>
      </c>
      <c r="Z257" s="1123">
        <f t="shared" si="186"/>
        <v>72589.740999999995</v>
      </c>
      <c r="AA257" s="1123">
        <f t="shared" si="186"/>
        <v>73876.850999999995</v>
      </c>
      <c r="AB257" s="1123">
        <f t="shared" si="186"/>
        <v>75163.960999999996</v>
      </c>
      <c r="AC257" s="1123">
        <f t="shared" si="186"/>
        <v>76451.070999999996</v>
      </c>
      <c r="AD257" s="1123">
        <f t="shared" si="186"/>
        <v>77738.180999999997</v>
      </c>
      <c r="AE257" s="1123">
        <f t="shared" si="186"/>
        <v>79025.290999999997</v>
      </c>
      <c r="AF257" s="1123">
        <f>AE257+AF261+AF262</f>
        <v>80312.400999999998</v>
      </c>
      <c r="AG257" s="1123">
        <f>AF257+AG261+AG262</f>
        <v>81599.510999999999</v>
      </c>
      <c r="AH257" s="1123">
        <f>AG257+AH261+AH262</f>
        <v>82886.620999999999</v>
      </c>
      <c r="AI257" s="685"/>
      <c r="AJ257" s="685"/>
      <c r="AK257" s="685"/>
      <c r="AL257" s="685"/>
      <c r="AM257" s="685"/>
      <c r="AN257" s="685"/>
      <c r="AO257" s="685"/>
      <c r="AP257" s="685"/>
      <c r="AQ257" s="685"/>
      <c r="AR257" s="685"/>
      <c r="AS257" s="685"/>
      <c r="AT257" s="685"/>
      <c r="AU257" s="685"/>
      <c r="AV257" s="685"/>
      <c r="AW257" s="685"/>
      <c r="AX257" s="685"/>
      <c r="AY257" s="685"/>
      <c r="AZ257" s="685"/>
      <c r="BA257" s="685"/>
      <c r="BB257" s="685"/>
      <c r="BC257" s="685"/>
      <c r="BD257" s="685"/>
    </row>
    <row r="258" spans="1:56">
      <c r="A258" s="685"/>
      <c r="B258" s="1115" t="s">
        <v>299</v>
      </c>
      <c r="C258" s="1167"/>
      <c r="D258" s="1167"/>
      <c r="E258" s="1167"/>
      <c r="F258" s="1167"/>
      <c r="G258" s="1167"/>
      <c r="H258" s="1167"/>
      <c r="I258" s="1167">
        <v>2980</v>
      </c>
      <c r="J258" s="1167">
        <v>3888</v>
      </c>
      <c r="K258" s="1123">
        <f t="shared" ref="K258:X258" si="187">K257-K259</f>
        <v>4622.3999999999996</v>
      </c>
      <c r="L258" s="1123">
        <f t="shared" si="187"/>
        <v>3988.1768906249999</v>
      </c>
      <c r="M258" s="1123">
        <f t="shared" si="187"/>
        <v>-11391.823109375</v>
      </c>
      <c r="N258" s="1123">
        <f t="shared" si="187"/>
        <v>-21842.323109375004</v>
      </c>
      <c r="O258" s="1123">
        <f t="shared" si="187"/>
        <v>-18572.523109375001</v>
      </c>
      <c r="P258" s="1123">
        <f t="shared" si="187"/>
        <v>-15186.023109375001</v>
      </c>
      <c r="Q258" s="1123">
        <f t="shared" si="187"/>
        <v>-14584.023109375001</v>
      </c>
      <c r="R258" s="1123">
        <f t="shared" si="187"/>
        <v>-12742.023109375001</v>
      </c>
      <c r="S258" s="1123">
        <f t="shared" si="187"/>
        <v>-10900.023109375001</v>
      </c>
      <c r="T258" s="1123">
        <f t="shared" si="187"/>
        <v>-8534.5231093750044</v>
      </c>
      <c r="U258" s="1123">
        <f t="shared" si="187"/>
        <v>26187.5</v>
      </c>
      <c r="V258" s="1123">
        <f t="shared" si="187"/>
        <v>26215.5</v>
      </c>
      <c r="W258" s="1123">
        <f t="shared" si="187"/>
        <v>29991.212999999996</v>
      </c>
      <c r="X258" s="1123">
        <f t="shared" si="187"/>
        <v>31647.087999999996</v>
      </c>
      <c r="Y258" s="1123">
        <f t="shared" ref="Y258:AE258" si="188">X258+Y252</f>
        <v>34716.562639999996</v>
      </c>
      <c r="Z258" s="1123">
        <f t="shared" si="188"/>
        <v>37826.378450599994</v>
      </c>
      <c r="AA258" s="1123">
        <f t="shared" si="188"/>
        <v>40955.081080045995</v>
      </c>
      <c r="AB258" s="1123">
        <f t="shared" si="188"/>
        <v>44082.649222441629</v>
      </c>
      <c r="AC258" s="1123">
        <f t="shared" si="188"/>
        <v>47190.780400197465</v>
      </c>
      <c r="AD258" s="1123">
        <f t="shared" si="188"/>
        <v>50263.11091317673</v>
      </c>
      <c r="AE258" s="1123">
        <f t="shared" si="188"/>
        <v>53285.368622727292</v>
      </c>
      <c r="AF258" s="1123">
        <f>AE258+AF252</f>
        <v>56245.459696113656</v>
      </c>
      <c r="AG258" s="1123">
        <f>AF258+AG252</f>
        <v>59133.492652580018</v>
      </c>
      <c r="AH258" s="1123">
        <f>AG258+AH252</f>
        <v>61941.744946007515</v>
      </c>
      <c r="AI258" s="685"/>
      <c r="AJ258" s="685"/>
      <c r="AK258" s="685"/>
      <c r="AL258" s="685"/>
      <c r="AM258" s="685"/>
      <c r="AN258" s="685"/>
      <c r="AO258" s="685"/>
      <c r="AP258" s="685"/>
      <c r="AQ258" s="685"/>
      <c r="AR258" s="685"/>
      <c r="AS258" s="685"/>
      <c r="AT258" s="685"/>
      <c r="AU258" s="685"/>
      <c r="AV258" s="685"/>
      <c r="AW258" s="685"/>
      <c r="AX258" s="685"/>
      <c r="AY258" s="685"/>
      <c r="AZ258" s="685"/>
      <c r="BA258" s="685"/>
      <c r="BB258" s="685"/>
      <c r="BC258" s="685"/>
      <c r="BD258" s="685"/>
    </row>
    <row r="259" spans="1:56">
      <c r="A259" s="685"/>
      <c r="B259" s="1113" t="s">
        <v>258</v>
      </c>
      <c r="C259" s="1173"/>
      <c r="D259" s="1173"/>
      <c r="E259" s="1173"/>
      <c r="F259" s="1173"/>
      <c r="G259" s="1173"/>
      <c r="H259" s="1173"/>
      <c r="I259" s="1173">
        <v>10241</v>
      </c>
      <c r="J259" s="1173">
        <v>11861</v>
      </c>
      <c r="K259" s="1173">
        <v>11127</v>
      </c>
      <c r="L259" s="1173">
        <v>11382</v>
      </c>
      <c r="M259" s="1173">
        <v>27052</v>
      </c>
      <c r="N259" s="1173">
        <v>38106.300000000003</v>
      </c>
      <c r="O259" s="1173">
        <v>37624.5</v>
      </c>
      <c r="P259" s="1173">
        <v>35887</v>
      </c>
      <c r="Q259" s="1173">
        <v>43064</v>
      </c>
      <c r="R259" s="1173">
        <v>43329</v>
      </c>
      <c r="S259" s="1173">
        <v>42722</v>
      </c>
      <c r="T259" s="1173">
        <v>42255.9</v>
      </c>
      <c r="U259" s="1173">
        <v>41123.5</v>
      </c>
      <c r="V259" s="1173">
        <v>40398.5</v>
      </c>
      <c r="W259" s="1173">
        <v>38927.089</v>
      </c>
      <c r="X259" s="1173">
        <v>38368.432999999997</v>
      </c>
      <c r="Y259" s="1114">
        <f t="shared" ref="Y259:AH259" si="189">Y257-Y258</f>
        <v>36586.068359999997</v>
      </c>
      <c r="Z259" s="1114">
        <f t="shared" si="189"/>
        <v>34763.362549400001</v>
      </c>
      <c r="AA259" s="1114">
        <f t="shared" si="189"/>
        <v>32921.769919954</v>
      </c>
      <c r="AB259" s="1114">
        <f t="shared" si="189"/>
        <v>31081.311777558367</v>
      </c>
      <c r="AC259" s="1114">
        <f t="shared" si="189"/>
        <v>29260.290599802531</v>
      </c>
      <c r="AD259" s="1114">
        <f t="shared" si="189"/>
        <v>27475.070086823267</v>
      </c>
      <c r="AE259" s="1114">
        <f t="shared" si="189"/>
        <v>25739.922377272705</v>
      </c>
      <c r="AF259" s="1114">
        <f t="shared" si="189"/>
        <v>24066.941303886342</v>
      </c>
      <c r="AG259" s="1114">
        <f t="shared" si="189"/>
        <v>22466.01834741998</v>
      </c>
      <c r="AH259" s="1114">
        <f t="shared" si="189"/>
        <v>20944.876053992484</v>
      </c>
      <c r="AI259" s="685"/>
      <c r="AJ259" s="685"/>
      <c r="AK259" s="685"/>
      <c r="AL259" s="685"/>
      <c r="AM259" s="685"/>
      <c r="AN259" s="685"/>
      <c r="AO259" s="685"/>
      <c r="AP259" s="685"/>
      <c r="AQ259" s="685"/>
      <c r="AR259" s="685"/>
      <c r="AS259" s="685"/>
      <c r="AT259" s="685"/>
      <c r="AU259" s="685"/>
      <c r="AV259" s="685"/>
      <c r="AW259" s="685"/>
      <c r="AX259" s="685"/>
      <c r="AY259" s="685"/>
      <c r="AZ259" s="685"/>
      <c r="BA259" s="685"/>
      <c r="BB259" s="685"/>
      <c r="BC259" s="685"/>
      <c r="BD259" s="685"/>
    </row>
    <row r="260" spans="1:56">
      <c r="A260" s="685"/>
      <c r="B260" s="1115"/>
      <c r="C260" s="1115"/>
      <c r="D260" s="1115"/>
      <c r="E260" s="1115"/>
      <c r="F260" s="1115"/>
      <c r="G260" s="1115"/>
      <c r="H260" s="1115"/>
      <c r="I260" s="1115"/>
      <c r="J260" s="1115"/>
      <c r="K260" s="1115"/>
      <c r="L260" s="1115"/>
      <c r="M260" s="1115"/>
      <c r="N260" s="1115"/>
      <c r="O260" s="1115"/>
      <c r="P260" s="1115"/>
      <c r="Q260" s="1115"/>
      <c r="R260" s="1115"/>
      <c r="S260" s="1115"/>
      <c r="T260" s="1115"/>
      <c r="U260" s="1115"/>
      <c r="V260" s="1115"/>
      <c r="W260" s="1115"/>
      <c r="X260" s="1115"/>
      <c r="Y260" s="1115"/>
      <c r="Z260" s="1115"/>
      <c r="AA260" s="1115"/>
      <c r="AB260" s="1115"/>
      <c r="AC260" s="1115"/>
      <c r="AD260" s="1115"/>
      <c r="AE260" s="1115"/>
      <c r="AF260" s="1115"/>
      <c r="AG260" s="1115"/>
      <c r="AH260" s="1115"/>
      <c r="AI260" s="685"/>
      <c r="AJ260" s="685"/>
      <c r="AK260" s="685"/>
      <c r="AL260" s="685"/>
      <c r="AM260" s="685"/>
      <c r="AN260" s="685"/>
      <c r="AO260" s="685"/>
      <c r="AP260" s="685"/>
      <c r="AQ260" s="685"/>
      <c r="AR260" s="685"/>
      <c r="AS260" s="685"/>
      <c r="AT260" s="685"/>
      <c r="AU260" s="685"/>
      <c r="AV260" s="685"/>
      <c r="AW260" s="685"/>
      <c r="AX260" s="685"/>
      <c r="AY260" s="685"/>
      <c r="AZ260" s="685"/>
      <c r="BA260" s="685"/>
      <c r="BB260" s="685"/>
      <c r="BC260" s="685"/>
      <c r="BD260" s="685"/>
    </row>
    <row r="261" spans="1:56">
      <c r="A261" s="685"/>
      <c r="B261" s="1115" t="s">
        <v>300</v>
      </c>
      <c r="C261" s="1167">
        <v>0</v>
      </c>
      <c r="D261" s="1167">
        <v>0</v>
      </c>
      <c r="E261" s="1167">
        <v>0</v>
      </c>
      <c r="F261" s="1167">
        <v>0</v>
      </c>
      <c r="G261" s="1167">
        <v>0</v>
      </c>
      <c r="H261" s="1167">
        <v>0</v>
      </c>
      <c r="I261" s="1167">
        <f>-I215</f>
        <v>0</v>
      </c>
      <c r="J261" s="1167">
        <f>-J215</f>
        <v>0</v>
      </c>
      <c r="K261" s="1167">
        <f>-K215</f>
        <v>0</v>
      </c>
      <c r="L261" s="1167">
        <f>-L215</f>
        <v>0</v>
      </c>
      <c r="M261" s="1167">
        <f>-M215</f>
        <v>0</v>
      </c>
      <c r="N261" s="1167">
        <f>Analysis!C2181</f>
        <v>1634.8</v>
      </c>
      <c r="O261" s="1167">
        <f>Analysis!D2181</f>
        <v>2788</v>
      </c>
      <c r="P261" s="1167">
        <f>Analysis!E2181</f>
        <v>1649</v>
      </c>
      <c r="Q261" s="1167">
        <f>Analysis!F2181</f>
        <v>7779</v>
      </c>
      <c r="R261" s="1167">
        <v>2107</v>
      </c>
      <c r="S261" s="1167">
        <v>1235</v>
      </c>
      <c r="T261" s="1167">
        <v>1899.4</v>
      </c>
      <c r="U261" s="1167">
        <v>1807</v>
      </c>
      <c r="V261" s="1167">
        <v>1869.7070000000001</v>
      </c>
      <c r="W261" s="1167">
        <v>1378.854</v>
      </c>
      <c r="X261" s="1167">
        <v>1287.1099999999999</v>
      </c>
      <c r="Y261" s="1177">
        <f t="shared" ref="Y261:AE261" si="190">X261</f>
        <v>1287.1099999999999</v>
      </c>
      <c r="Z261" s="1177">
        <f t="shared" si="190"/>
        <v>1287.1099999999999</v>
      </c>
      <c r="AA261" s="1177">
        <f t="shared" si="190"/>
        <v>1287.1099999999999</v>
      </c>
      <c r="AB261" s="1177">
        <f t="shared" si="190"/>
        <v>1287.1099999999999</v>
      </c>
      <c r="AC261" s="1177">
        <f t="shared" si="190"/>
        <v>1287.1099999999999</v>
      </c>
      <c r="AD261" s="1177">
        <f t="shared" si="190"/>
        <v>1287.1099999999999</v>
      </c>
      <c r="AE261" s="1177">
        <f t="shared" si="190"/>
        <v>1287.1099999999999</v>
      </c>
      <c r="AF261" s="1177">
        <f>AE261</f>
        <v>1287.1099999999999</v>
      </c>
      <c r="AG261" s="1177">
        <f>AF261</f>
        <v>1287.1099999999999</v>
      </c>
      <c r="AH261" s="1177">
        <f>AG261</f>
        <v>1287.1099999999999</v>
      </c>
      <c r="AI261" s="685"/>
      <c r="AJ261" s="685"/>
      <c r="AK261" s="685"/>
      <c r="AL261" s="685"/>
      <c r="AM261" s="685"/>
      <c r="AN261" s="685"/>
      <c r="AO261" s="685"/>
      <c r="AP261" s="685"/>
      <c r="AQ261" s="685"/>
      <c r="AR261" s="685"/>
      <c r="AS261" s="685"/>
      <c r="AT261" s="685"/>
      <c r="AU261" s="685"/>
      <c r="AV261" s="685"/>
      <c r="AW261" s="685"/>
      <c r="AX261" s="685"/>
      <c r="AY261" s="685"/>
      <c r="AZ261" s="685"/>
      <c r="BA261" s="685"/>
      <c r="BB261" s="685"/>
      <c r="BC261" s="685"/>
      <c r="BD261" s="685"/>
    </row>
    <row r="262" spans="1:56">
      <c r="A262" s="685"/>
      <c r="B262" s="1115" t="s">
        <v>107</v>
      </c>
      <c r="C262" s="1167"/>
      <c r="D262" s="1167"/>
      <c r="E262" s="1167"/>
      <c r="F262" s="1167"/>
      <c r="G262" s="1167"/>
      <c r="H262" s="1167"/>
      <c r="I262" s="1167">
        <v>0</v>
      </c>
      <c r="J262" s="1167">
        <f>J150+J151</f>
        <v>46</v>
      </c>
      <c r="K262" s="1167">
        <f>-K150-K151</f>
        <v>0.39999999999997726</v>
      </c>
      <c r="L262" s="1167">
        <f t="shared" ref="L262:V262" si="191">L150+L151</f>
        <v>-379.22310937500009</v>
      </c>
      <c r="M262" s="1167">
        <f t="shared" si="191"/>
        <v>290</v>
      </c>
      <c r="N262" s="1167">
        <f t="shared" si="191"/>
        <v>-1031</v>
      </c>
      <c r="O262" s="1167">
        <f t="shared" si="191"/>
        <v>0</v>
      </c>
      <c r="P262" s="1167">
        <f t="shared" si="191"/>
        <v>0</v>
      </c>
      <c r="Q262" s="1167">
        <f t="shared" si="191"/>
        <v>0</v>
      </c>
      <c r="R262" s="1167">
        <f t="shared" si="191"/>
        <v>0</v>
      </c>
      <c r="S262" s="1167">
        <f t="shared" si="191"/>
        <v>0</v>
      </c>
      <c r="T262" s="1167">
        <f t="shared" si="191"/>
        <v>0</v>
      </c>
      <c r="U262" s="1167">
        <f t="shared" si="191"/>
        <v>0</v>
      </c>
      <c r="V262" s="1167">
        <f t="shared" si="191"/>
        <v>0</v>
      </c>
      <c r="W262" s="1167">
        <v>-701.7</v>
      </c>
      <c r="X262" s="1167">
        <f t="shared" ref="X262:AC262" si="192">X150+X151</f>
        <v>0</v>
      </c>
      <c r="Y262" s="1167">
        <f t="shared" si="192"/>
        <v>0</v>
      </c>
      <c r="Z262" s="1167">
        <f t="shared" si="192"/>
        <v>0</v>
      </c>
      <c r="AA262" s="1167">
        <f t="shared" si="192"/>
        <v>0</v>
      </c>
      <c r="AB262" s="1167">
        <f t="shared" si="192"/>
        <v>0</v>
      </c>
      <c r="AC262" s="1167">
        <f t="shared" si="192"/>
        <v>0</v>
      </c>
      <c r="AD262" s="1167">
        <f>AD150+AD151</f>
        <v>0</v>
      </c>
      <c r="AE262" s="1167">
        <f>AE150+AE151</f>
        <v>0</v>
      </c>
      <c r="AF262" s="1167">
        <f>AF150+AF151</f>
        <v>0</v>
      </c>
      <c r="AG262" s="1167">
        <f>AG150+AG151</f>
        <v>0</v>
      </c>
      <c r="AH262" s="1167">
        <f>AH150+AH151</f>
        <v>0</v>
      </c>
      <c r="AI262" s="685"/>
      <c r="AJ262" s="685"/>
      <c r="AK262" s="685"/>
      <c r="AL262" s="685"/>
      <c r="AM262" s="685"/>
      <c r="AN262" s="685"/>
      <c r="AO262" s="685"/>
      <c r="AP262" s="685"/>
      <c r="AQ262" s="685"/>
      <c r="AR262" s="685"/>
      <c r="AS262" s="685"/>
      <c r="AT262" s="685"/>
      <c r="AU262" s="685"/>
      <c r="AV262" s="685"/>
      <c r="AW262" s="685"/>
      <c r="AX262" s="685"/>
      <c r="AY262" s="685"/>
      <c r="AZ262" s="685"/>
      <c r="BA262" s="685"/>
      <c r="BB262" s="685"/>
      <c r="BC262" s="685"/>
      <c r="BD262" s="685"/>
    </row>
    <row r="263" spans="1:56">
      <c r="A263" s="685"/>
      <c r="B263" s="1115"/>
      <c r="C263" s="1115"/>
      <c r="D263" s="1115"/>
      <c r="E263" s="1115"/>
      <c r="F263" s="1115"/>
      <c r="G263" s="1115"/>
      <c r="H263" s="1115"/>
      <c r="I263" s="1115"/>
      <c r="J263" s="1115"/>
      <c r="K263" s="1115"/>
      <c r="L263" s="1115"/>
      <c r="M263" s="1115"/>
      <c r="N263" s="1115"/>
      <c r="O263" s="1115"/>
      <c r="P263" s="1115"/>
      <c r="Q263" s="1115"/>
      <c r="R263" s="1115"/>
      <c r="S263" s="1115"/>
      <c r="T263" s="1115"/>
      <c r="U263" s="1115"/>
      <c r="V263" s="1115"/>
      <c r="W263" s="1115"/>
      <c r="X263" s="1115"/>
      <c r="Y263" s="1115"/>
      <c r="Z263" s="1115"/>
      <c r="AA263" s="1115"/>
      <c r="AB263" s="1115"/>
      <c r="AC263" s="1115"/>
      <c r="AD263" s="1115"/>
      <c r="AE263" s="1115"/>
      <c r="AF263" s="1115"/>
      <c r="AG263" s="1115"/>
      <c r="AH263" s="1115"/>
      <c r="AI263" s="685"/>
      <c r="AJ263" s="685"/>
      <c r="AK263" s="685"/>
      <c r="AL263" s="685"/>
      <c r="AM263" s="685"/>
      <c r="AN263" s="685"/>
      <c r="AO263" s="685"/>
      <c r="AP263" s="685"/>
      <c r="AQ263" s="685"/>
      <c r="AR263" s="685"/>
      <c r="AS263" s="685"/>
      <c r="AT263" s="685"/>
      <c r="AU263" s="685"/>
      <c r="AV263" s="685"/>
      <c r="AW263" s="685"/>
      <c r="AX263" s="685"/>
      <c r="AY263" s="685"/>
      <c r="AZ263" s="685"/>
      <c r="BA263" s="685"/>
      <c r="BB263" s="685"/>
      <c r="BC263" s="685"/>
      <c r="BD263" s="685"/>
    </row>
    <row r="264" spans="1:56">
      <c r="A264" s="685"/>
      <c r="B264" s="1115" t="s">
        <v>301</v>
      </c>
      <c r="C264" s="1115"/>
      <c r="D264" s="1115"/>
      <c r="E264" s="1115"/>
      <c r="F264" s="1115"/>
      <c r="G264" s="1115"/>
      <c r="H264" s="1115"/>
      <c r="I264" s="1123">
        <f t="shared" ref="I264:AC264" si="193">I261*0.72</f>
        <v>0</v>
      </c>
      <c r="J264" s="1123">
        <f t="shared" si="193"/>
        <v>0</v>
      </c>
      <c r="K264" s="1123">
        <f t="shared" si="193"/>
        <v>0</v>
      </c>
      <c r="L264" s="1123">
        <f t="shared" si="193"/>
        <v>0</v>
      </c>
      <c r="M264" s="1123">
        <f t="shared" si="193"/>
        <v>0</v>
      </c>
      <c r="N264" s="1123">
        <f t="shared" si="193"/>
        <v>1177.0559999999998</v>
      </c>
      <c r="O264" s="1123">
        <f t="shared" si="193"/>
        <v>2007.36</v>
      </c>
      <c r="P264" s="1123">
        <f t="shared" si="193"/>
        <v>1187.28</v>
      </c>
      <c r="Q264" s="1123">
        <f t="shared" si="193"/>
        <v>5600.88</v>
      </c>
      <c r="R264" s="1123">
        <f t="shared" si="193"/>
        <v>1517.04</v>
      </c>
      <c r="S264" s="1123">
        <f t="shared" si="193"/>
        <v>889.19999999999993</v>
      </c>
      <c r="T264" s="1123">
        <f t="shared" si="193"/>
        <v>1367.568</v>
      </c>
      <c r="U264" s="1123">
        <f t="shared" si="193"/>
        <v>1301.04</v>
      </c>
      <c r="V264" s="1123">
        <f t="shared" si="193"/>
        <v>1346.18904</v>
      </c>
      <c r="W264" s="1123">
        <f t="shared" si="193"/>
        <v>992.77487999999994</v>
      </c>
      <c r="X264" s="1123">
        <f t="shared" si="193"/>
        <v>926.71919999999989</v>
      </c>
      <c r="Y264" s="1123">
        <f t="shared" si="193"/>
        <v>926.71919999999989</v>
      </c>
      <c r="Z264" s="1123">
        <f t="shared" si="193"/>
        <v>926.71919999999989</v>
      </c>
      <c r="AA264" s="1123">
        <f t="shared" si="193"/>
        <v>926.71919999999989</v>
      </c>
      <c r="AB264" s="1123">
        <f t="shared" si="193"/>
        <v>926.71919999999989</v>
      </c>
      <c r="AC264" s="1123">
        <f t="shared" si="193"/>
        <v>926.71919999999989</v>
      </c>
      <c r="AD264" s="1123">
        <f>AD261*0.72</f>
        <v>926.71919999999989</v>
      </c>
      <c r="AE264" s="1123">
        <f>AE261*0.72</f>
        <v>926.71919999999989</v>
      </c>
      <c r="AF264" s="1123">
        <f>AF261*0.72</f>
        <v>926.71919999999989</v>
      </c>
      <c r="AG264" s="1123">
        <f>AG261*0.72</f>
        <v>926.71919999999989</v>
      </c>
      <c r="AH264" s="1123">
        <f>AH261*0.72</f>
        <v>926.71919999999989</v>
      </c>
      <c r="AI264" s="685"/>
      <c r="AJ264" s="685"/>
      <c r="AK264" s="685"/>
      <c r="AL264" s="685"/>
      <c r="AM264" s="685"/>
      <c r="AN264" s="685"/>
      <c r="AO264" s="685"/>
      <c r="AP264" s="685"/>
      <c r="AQ264" s="685"/>
      <c r="AR264" s="685"/>
      <c r="AS264" s="685"/>
      <c r="AT264" s="685"/>
      <c r="AU264" s="685"/>
      <c r="AV264" s="685"/>
      <c r="AW264" s="685"/>
      <c r="AX264" s="685"/>
      <c r="AY264" s="685"/>
      <c r="AZ264" s="685"/>
      <c r="BA264" s="685"/>
      <c r="BB264" s="685"/>
      <c r="BC264" s="685"/>
      <c r="BD264" s="685"/>
    </row>
    <row r="265" spans="1:56">
      <c r="A265" s="685"/>
      <c r="B265" s="1115" t="s">
        <v>302</v>
      </c>
      <c r="C265" s="1115"/>
      <c r="D265" s="1115"/>
      <c r="E265" s="1115"/>
      <c r="F265" s="1115"/>
      <c r="G265" s="1115"/>
      <c r="H265" s="1115"/>
      <c r="I265" s="1123">
        <f>NPV(SOP!$L$67,Master!I264:$X264)</f>
        <v>8569.5192494969669</v>
      </c>
      <c r="J265" s="1123">
        <f>NPV(SOP!$L$67,Master!J264:$X264)</f>
        <v>9247.7110029021551</v>
      </c>
      <c r="K265" s="1123">
        <f>NPV(SOP!$L$67,Master!K264:$X264)</f>
        <v>9979.5748516718359</v>
      </c>
      <c r="L265" s="1123">
        <f>NPV(SOP!$L$67,Master!L264:$X264)</f>
        <v>10769.358405433142</v>
      </c>
      <c r="M265" s="1123">
        <f>NPV(SOP!$L$67,Master!M264:$X264)</f>
        <v>11621.645429639122</v>
      </c>
      <c r="N265" s="1123">
        <f>NPV(SOP!$L$67,Master!N264:$AC264)</f>
        <v>14145.90301511367</v>
      </c>
      <c r="O265" s="1123">
        <f>NPV(SOP!$L$67,Master!O264:$AC264)</f>
        <v>14088.353779729765</v>
      </c>
      <c r="P265" s="1123">
        <f>NPV(SOP!$L$67,Master!P264:$AC264)</f>
        <v>13195.946097857577</v>
      </c>
      <c r="Q265" s="1123">
        <f>NPV(SOP!$L$67,Master!Q264:$AC264)</f>
        <v>13052.993272042027</v>
      </c>
      <c r="R265" s="1123">
        <f>NPV(SOP!$L$67,Master!R264:$AC264)</f>
        <v>8485.1271595914332</v>
      </c>
      <c r="S265" s="1123">
        <f>NPV(SOP!$L$67,Master!S264:$AC264)</f>
        <v>7639.6001230014981</v>
      </c>
      <c r="T265" s="1123">
        <f>NPV(SOP!$L$67,Master!T264:$AC264)</f>
        <v>7354.9980767358384</v>
      </c>
      <c r="U265" s="1123">
        <f>NPV(SOP!$L$67,Master!U264:$AC264)</f>
        <v>6569.5046245287112</v>
      </c>
      <c r="V265" s="1123">
        <f>NPV(SOP!$L$67,Master!V264:$AC264)</f>
        <v>5788.3752205139144</v>
      </c>
      <c r="W265" s="1123">
        <f>NPV(SOP!$L$67,Master!W264:$AC264)</f>
        <v>4900.2781954653856</v>
      </c>
      <c r="X265" s="1123">
        <f>NPV(SOP!$L$67,X264:$AH264)</f>
        <v>6643.5067768611452</v>
      </c>
      <c r="Y265" s="1123">
        <f>NPV(SOP!$L$67,Z264:$AH264)</f>
        <v>5809.8712823917558</v>
      </c>
      <c r="Z265" s="1123">
        <f>NPV(SOP!$L$67,AA264:$AH264)</f>
        <v>5342.9452956802388</v>
      </c>
      <c r="AA265" s="1123">
        <f>NPV(SOP!$L$67,AB264:$AH264)</f>
        <v>4839.0667863803737</v>
      </c>
      <c r="AB265" s="1123">
        <f>NPV(SOP!$L$67,AC264:$AH264)</f>
        <v>4295.3113318545165</v>
      </c>
      <c r="AC265" s="1123">
        <f>NPV(SOP!$L$67,AD264:$AH264)</f>
        <v>3708.523070657483</v>
      </c>
      <c r="AD265" s="1123">
        <f>NPV(SOP!$L$67,$AE264:AH264)</f>
        <v>3075.2963864693161</v>
      </c>
      <c r="AE265" s="1123">
        <f>NPV(SOP!$L$67,$AF264:AH264)</f>
        <v>2391.9561424944977</v>
      </c>
      <c r="AF265" s="1123">
        <f>NPV(SOP!$L$67,$AG264:AH264)</f>
        <v>1654.5363516115121</v>
      </c>
      <c r="AG265" s="1123">
        <f>NPV(SOP!$L$67,$AH264:AH264)</f>
        <v>858.75715847804724</v>
      </c>
      <c r="AH265" s="1123">
        <v>0</v>
      </c>
      <c r="AI265" s="685"/>
      <c r="AJ265" s="685"/>
      <c r="AK265" s="685"/>
      <c r="AL265" s="685"/>
      <c r="AM265" s="685"/>
      <c r="AN265" s="685"/>
      <c r="AO265" s="685"/>
      <c r="AP265" s="685"/>
      <c r="AQ265" s="685"/>
      <c r="AR265" s="685"/>
      <c r="AS265" s="685"/>
      <c r="AT265" s="685"/>
      <c r="AU265" s="685"/>
      <c r="AV265" s="685"/>
      <c r="AW265" s="685"/>
      <c r="AX265" s="685"/>
      <c r="AY265" s="685"/>
      <c r="AZ265" s="685"/>
      <c r="BA265" s="685"/>
      <c r="BB265" s="685"/>
      <c r="BC265" s="685"/>
      <c r="BD265" s="685"/>
    </row>
    <row r="266" spans="1:56">
      <c r="A266" s="685"/>
      <c r="B266" s="1115"/>
      <c r="C266" s="1115"/>
      <c r="D266" s="1115"/>
      <c r="E266" s="1115"/>
      <c r="F266" s="1115"/>
      <c r="G266" s="1115"/>
      <c r="H266" s="1115"/>
      <c r="I266" s="1115"/>
      <c r="J266" s="1115"/>
      <c r="K266" s="1115"/>
      <c r="L266" s="1115"/>
      <c r="M266" s="1115"/>
      <c r="N266" s="1115"/>
      <c r="O266" s="1115"/>
      <c r="P266" s="1115"/>
      <c r="Q266" s="1115"/>
      <c r="R266" s="1115"/>
      <c r="S266" s="1115"/>
      <c r="T266" s="1115"/>
      <c r="U266" s="1115"/>
      <c r="V266" s="1115"/>
      <c r="W266" s="1115"/>
      <c r="X266" s="1115"/>
      <c r="Y266" s="1115"/>
      <c r="Z266" s="1115"/>
      <c r="AA266" s="1115"/>
      <c r="AB266" s="1115"/>
      <c r="AC266" s="1115"/>
      <c r="AD266" s="1115"/>
      <c r="AE266" s="1115"/>
      <c r="AF266" s="1115"/>
      <c r="AG266" s="1115"/>
      <c r="AH266" s="1115"/>
      <c r="AI266" s="685"/>
      <c r="AJ266" s="685"/>
      <c r="AK266" s="685"/>
      <c r="AL266" s="685"/>
      <c r="AM266" s="685"/>
      <c r="AN266" s="685"/>
      <c r="AO266" s="685"/>
      <c r="AP266" s="685"/>
      <c r="AQ266" s="685"/>
      <c r="AR266" s="685"/>
      <c r="AS266" s="685"/>
      <c r="AT266" s="685"/>
      <c r="AU266" s="685"/>
      <c r="AV266" s="685"/>
      <c r="AW266" s="685"/>
      <c r="AX266" s="685"/>
      <c r="AY266" s="685"/>
      <c r="AZ266" s="685"/>
      <c r="BA266" s="685"/>
      <c r="BB266" s="685"/>
      <c r="BC266" s="685"/>
      <c r="BD266" s="685"/>
    </row>
    <row r="267" spans="1:56">
      <c r="A267" s="685"/>
      <c r="B267" s="1115" t="s">
        <v>303</v>
      </c>
      <c r="C267" s="1166">
        <f t="shared" ref="C267:H267" si="194">C268+C269</f>
        <v>0</v>
      </c>
      <c r="D267" s="1166">
        <f t="shared" si="194"/>
        <v>0</v>
      </c>
      <c r="E267" s="1166">
        <f t="shared" si="194"/>
        <v>0</v>
      </c>
      <c r="F267" s="1166">
        <f t="shared" si="194"/>
        <v>0</v>
      </c>
      <c r="G267" s="1166">
        <f t="shared" si="194"/>
        <v>0</v>
      </c>
      <c r="H267" s="1123">
        <f t="shared" si="194"/>
        <v>0</v>
      </c>
      <c r="I267" s="1123">
        <f t="shared" ref="I267:AE267" si="195">H267+I271</f>
        <v>0</v>
      </c>
      <c r="J267" s="1123">
        <f t="shared" si="195"/>
        <v>0</v>
      </c>
      <c r="K267" s="1123">
        <f t="shared" si="195"/>
        <v>0</v>
      </c>
      <c r="L267" s="1123">
        <f t="shared" si="195"/>
        <v>0</v>
      </c>
      <c r="M267" s="1123">
        <f t="shared" si="195"/>
        <v>0</v>
      </c>
      <c r="N267" s="1123">
        <f t="shared" si="195"/>
        <v>0</v>
      </c>
      <c r="O267" s="1123">
        <f t="shared" si="195"/>
        <v>0</v>
      </c>
      <c r="P267" s="1123">
        <f t="shared" si="195"/>
        <v>0</v>
      </c>
      <c r="Q267" s="1123">
        <f t="shared" si="195"/>
        <v>0</v>
      </c>
      <c r="R267" s="1123">
        <f t="shared" si="195"/>
        <v>0</v>
      </c>
      <c r="S267" s="1123">
        <f t="shared" si="195"/>
        <v>0</v>
      </c>
      <c r="T267" s="1123">
        <f t="shared" si="195"/>
        <v>0</v>
      </c>
      <c r="U267" s="1123">
        <f t="shared" si="195"/>
        <v>0</v>
      </c>
      <c r="V267" s="1123">
        <f t="shared" si="195"/>
        <v>0</v>
      </c>
      <c r="W267" s="1123">
        <f t="shared" si="195"/>
        <v>0</v>
      </c>
      <c r="X267" s="1123">
        <f t="shared" si="195"/>
        <v>0</v>
      </c>
      <c r="Y267" s="1123">
        <f t="shared" si="195"/>
        <v>0</v>
      </c>
      <c r="Z267" s="1123">
        <f t="shared" si="195"/>
        <v>0</v>
      </c>
      <c r="AA267" s="1123">
        <f t="shared" si="195"/>
        <v>0</v>
      </c>
      <c r="AB267" s="1123">
        <f t="shared" si="195"/>
        <v>0</v>
      </c>
      <c r="AC267" s="1123">
        <f t="shared" si="195"/>
        <v>0</v>
      </c>
      <c r="AD267" s="1123">
        <f t="shared" si="195"/>
        <v>0</v>
      </c>
      <c r="AE267" s="1123">
        <f t="shared" si="195"/>
        <v>0</v>
      </c>
      <c r="AF267" s="1123">
        <f>AE267+AF271</f>
        <v>0</v>
      </c>
      <c r="AG267" s="1123">
        <f>AF267+AG271</f>
        <v>0</v>
      </c>
      <c r="AH267" s="1123">
        <f>AG267+AH271</f>
        <v>0</v>
      </c>
      <c r="AI267" s="685"/>
      <c r="AJ267" s="685"/>
      <c r="AK267" s="685"/>
      <c r="AL267" s="685"/>
      <c r="AM267" s="685"/>
      <c r="AN267" s="685"/>
      <c r="AO267" s="685"/>
      <c r="AP267" s="685"/>
      <c r="AQ267" s="685"/>
      <c r="AR267" s="685"/>
      <c r="AS267" s="685"/>
      <c r="AT267" s="685"/>
      <c r="AU267" s="685"/>
      <c r="AV267" s="685"/>
      <c r="AW267" s="685"/>
      <c r="AX267" s="685"/>
      <c r="AY267" s="685"/>
      <c r="AZ267" s="685"/>
      <c r="BA267" s="685"/>
      <c r="BB267" s="685"/>
      <c r="BC267" s="685"/>
      <c r="BD267" s="685"/>
    </row>
    <row r="268" spans="1:56">
      <c r="A268" s="685"/>
      <c r="B268" s="1115" t="s">
        <v>304</v>
      </c>
      <c r="C268" s="1167"/>
      <c r="D268" s="1167"/>
      <c r="E268" s="1167"/>
      <c r="F268" s="1167"/>
      <c r="G268" s="1167"/>
      <c r="H268" s="1167"/>
      <c r="I268" s="1167"/>
      <c r="J268" s="1167"/>
      <c r="K268" s="1123">
        <f t="shared" ref="K268:AE268" si="196">J268</f>
        <v>0</v>
      </c>
      <c r="L268" s="1123">
        <f t="shared" si="196"/>
        <v>0</v>
      </c>
      <c r="M268" s="1123">
        <f t="shared" si="196"/>
        <v>0</v>
      </c>
      <c r="N268" s="1123">
        <f t="shared" si="196"/>
        <v>0</v>
      </c>
      <c r="O268" s="1123">
        <f t="shared" si="196"/>
        <v>0</v>
      </c>
      <c r="P268" s="1123">
        <f t="shared" si="196"/>
        <v>0</v>
      </c>
      <c r="Q268" s="1123">
        <f t="shared" si="196"/>
        <v>0</v>
      </c>
      <c r="R268" s="1123">
        <f t="shared" si="196"/>
        <v>0</v>
      </c>
      <c r="S268" s="1123">
        <f t="shared" si="196"/>
        <v>0</v>
      </c>
      <c r="T268" s="1123">
        <f t="shared" si="196"/>
        <v>0</v>
      </c>
      <c r="U268" s="1123">
        <f t="shared" si="196"/>
        <v>0</v>
      </c>
      <c r="V268" s="1123">
        <f t="shared" si="196"/>
        <v>0</v>
      </c>
      <c r="W268" s="1123">
        <f t="shared" si="196"/>
        <v>0</v>
      </c>
      <c r="X268" s="1123">
        <f t="shared" si="196"/>
        <v>0</v>
      </c>
      <c r="Y268" s="1123">
        <f t="shared" si="196"/>
        <v>0</v>
      </c>
      <c r="Z268" s="1123">
        <f t="shared" si="196"/>
        <v>0</v>
      </c>
      <c r="AA268" s="1123">
        <f t="shared" si="196"/>
        <v>0</v>
      </c>
      <c r="AB268" s="1123">
        <f t="shared" si="196"/>
        <v>0</v>
      </c>
      <c r="AC268" s="1123">
        <f t="shared" si="196"/>
        <v>0</v>
      </c>
      <c r="AD268" s="1123">
        <f t="shared" si="196"/>
        <v>0</v>
      </c>
      <c r="AE268" s="1123">
        <f t="shared" si="196"/>
        <v>0</v>
      </c>
      <c r="AF268" s="1123">
        <f>AE268</f>
        <v>0</v>
      </c>
      <c r="AG268" s="1123">
        <f>AF268</f>
        <v>0</v>
      </c>
      <c r="AH268" s="1123">
        <f>AG268</f>
        <v>0</v>
      </c>
      <c r="AI268" s="685"/>
      <c r="AJ268" s="685"/>
      <c r="AK268" s="685"/>
      <c r="AL268" s="685"/>
      <c r="AM268" s="685"/>
      <c r="AN268" s="685"/>
      <c r="AO268" s="685"/>
      <c r="AP268" s="685"/>
      <c r="AQ268" s="685"/>
      <c r="AR268" s="685"/>
      <c r="AS268" s="685"/>
      <c r="AT268" s="685"/>
      <c r="AU268" s="685"/>
      <c r="AV268" s="685"/>
      <c r="AW268" s="685"/>
      <c r="AX268" s="685"/>
      <c r="AY268" s="685"/>
      <c r="AZ268" s="685"/>
      <c r="BA268" s="685"/>
      <c r="BB268" s="685"/>
      <c r="BC268" s="685"/>
      <c r="BD268" s="685"/>
    </row>
    <row r="269" spans="1:56">
      <c r="A269" s="685"/>
      <c r="B269" s="1113" t="s">
        <v>305</v>
      </c>
      <c r="C269" s="1173"/>
      <c r="D269" s="1173"/>
      <c r="E269" s="1173"/>
      <c r="F269" s="1173"/>
      <c r="G269" s="1173"/>
      <c r="H269" s="1173"/>
      <c r="I269" s="1173"/>
      <c r="J269" s="1173"/>
      <c r="K269" s="1114">
        <f t="shared" ref="K269:AC269" si="197">K267-K268</f>
        <v>0</v>
      </c>
      <c r="L269" s="1114">
        <f t="shared" si="197"/>
        <v>0</v>
      </c>
      <c r="M269" s="1114">
        <f t="shared" si="197"/>
        <v>0</v>
      </c>
      <c r="N269" s="1114">
        <f t="shared" si="197"/>
        <v>0</v>
      </c>
      <c r="O269" s="1114">
        <f t="shared" si="197"/>
        <v>0</v>
      </c>
      <c r="P269" s="1114">
        <f t="shared" si="197"/>
        <v>0</v>
      </c>
      <c r="Q269" s="1114">
        <f t="shared" si="197"/>
        <v>0</v>
      </c>
      <c r="R269" s="1114">
        <f t="shared" si="197"/>
        <v>0</v>
      </c>
      <c r="S269" s="1114">
        <f t="shared" si="197"/>
        <v>0</v>
      </c>
      <c r="T269" s="1114">
        <f t="shared" si="197"/>
        <v>0</v>
      </c>
      <c r="U269" s="1114">
        <f t="shared" si="197"/>
        <v>0</v>
      </c>
      <c r="V269" s="1114">
        <f t="shared" si="197"/>
        <v>0</v>
      </c>
      <c r="W269" s="1114">
        <f t="shared" si="197"/>
        <v>0</v>
      </c>
      <c r="X269" s="1114">
        <f t="shared" si="197"/>
        <v>0</v>
      </c>
      <c r="Y269" s="1114">
        <f t="shared" si="197"/>
        <v>0</v>
      </c>
      <c r="Z269" s="1114">
        <f t="shared" si="197"/>
        <v>0</v>
      </c>
      <c r="AA269" s="1114">
        <f t="shared" si="197"/>
        <v>0</v>
      </c>
      <c r="AB269" s="1114">
        <f t="shared" si="197"/>
        <v>0</v>
      </c>
      <c r="AC269" s="1114">
        <f t="shared" si="197"/>
        <v>0</v>
      </c>
      <c r="AD269" s="1114">
        <f>AD267-AD268</f>
        <v>0</v>
      </c>
      <c r="AE269" s="1114">
        <f>AE267-AE268</f>
        <v>0</v>
      </c>
      <c r="AF269" s="1114">
        <f>AF267-AF268</f>
        <v>0</v>
      </c>
      <c r="AG269" s="1114">
        <f>AG267-AG268</f>
        <v>0</v>
      </c>
      <c r="AH269" s="1114">
        <f>AH267-AH268</f>
        <v>0</v>
      </c>
      <c r="AI269" s="685"/>
      <c r="AJ269" s="685"/>
      <c r="AK269" s="685"/>
      <c r="AL269" s="685"/>
      <c r="AM269" s="685"/>
      <c r="AN269" s="685"/>
      <c r="AO269" s="685"/>
      <c r="AP269" s="685"/>
      <c r="AQ269" s="685"/>
      <c r="AR269" s="685"/>
      <c r="AS269" s="685"/>
      <c r="AT269" s="685"/>
      <c r="AU269" s="685"/>
      <c r="AV269" s="685"/>
      <c r="AW269" s="685"/>
      <c r="AX269" s="685"/>
      <c r="AY269" s="685"/>
      <c r="AZ269" s="685"/>
      <c r="BA269" s="685"/>
      <c r="BB269" s="685"/>
      <c r="BC269" s="685"/>
      <c r="BD269" s="685"/>
    </row>
    <row r="270" spans="1:56">
      <c r="A270" s="685"/>
      <c r="B270" s="1115"/>
      <c r="C270" s="1115"/>
      <c r="D270" s="1115"/>
      <c r="E270" s="1115"/>
      <c r="F270" s="1115"/>
      <c r="G270" s="1115"/>
      <c r="H270" s="1115"/>
      <c r="I270" s="1115"/>
      <c r="J270" s="1115"/>
      <c r="K270" s="1115"/>
      <c r="L270" s="1115"/>
      <c r="M270" s="1115"/>
      <c r="N270" s="1115"/>
      <c r="O270" s="1115"/>
      <c r="P270" s="1115"/>
      <c r="Q270" s="1115"/>
      <c r="R270" s="1115"/>
      <c r="S270" s="1115"/>
      <c r="T270" s="1115"/>
      <c r="U270" s="1115"/>
      <c r="V270" s="1115"/>
      <c r="W270" s="1115"/>
      <c r="X270" s="1115"/>
      <c r="Y270" s="1115"/>
      <c r="Z270" s="1115"/>
      <c r="AA270" s="1115"/>
      <c r="AB270" s="1115"/>
      <c r="AC270" s="1115"/>
      <c r="AD270" s="1115"/>
      <c r="AE270" s="1115"/>
      <c r="AF270" s="1115"/>
      <c r="AG270" s="1115"/>
      <c r="AH270" s="1115"/>
      <c r="AI270" s="685"/>
      <c r="AJ270" s="685"/>
      <c r="AK270" s="685"/>
      <c r="AL270" s="685"/>
      <c r="AM270" s="685"/>
      <c r="AN270" s="685"/>
      <c r="AO270" s="685"/>
      <c r="AP270" s="685"/>
      <c r="AQ270" s="685"/>
      <c r="AR270" s="685"/>
      <c r="AS270" s="685"/>
      <c r="AT270" s="685"/>
      <c r="AU270" s="685"/>
      <c r="AV270" s="685"/>
      <c r="AW270" s="685"/>
      <c r="AX270" s="685"/>
      <c r="AY270" s="685"/>
      <c r="AZ270" s="685"/>
      <c r="BA270" s="685"/>
      <c r="BB270" s="685"/>
      <c r="BC270" s="685"/>
      <c r="BD270" s="685"/>
    </row>
    <row r="271" spans="1:56">
      <c r="A271" s="685"/>
      <c r="B271" s="1115" t="s">
        <v>306</v>
      </c>
      <c r="C271" s="1167">
        <v>0</v>
      </c>
      <c r="D271" s="1167">
        <v>0</v>
      </c>
      <c r="E271" s="1167">
        <v>0</v>
      </c>
      <c r="F271" s="1167">
        <v>0</v>
      </c>
      <c r="G271" s="1167">
        <v>0</v>
      </c>
      <c r="H271" s="1167">
        <v>0</v>
      </c>
      <c r="I271" s="1167">
        <v>0</v>
      </c>
      <c r="J271" s="1167">
        <v>0</v>
      </c>
      <c r="K271" s="1167">
        <v>0</v>
      </c>
      <c r="L271" s="1167">
        <v>0</v>
      </c>
      <c r="M271" s="1167">
        <v>0</v>
      </c>
      <c r="N271" s="1167">
        <v>0</v>
      </c>
      <c r="O271" s="1167">
        <v>0</v>
      </c>
      <c r="P271" s="1167">
        <v>0</v>
      </c>
      <c r="Q271" s="1167">
        <v>0</v>
      </c>
      <c r="R271" s="1167">
        <v>0</v>
      </c>
      <c r="S271" s="1167">
        <v>0</v>
      </c>
      <c r="T271" s="1167">
        <v>0</v>
      </c>
      <c r="U271" s="1167">
        <v>0</v>
      </c>
      <c r="V271" s="1167">
        <v>0</v>
      </c>
      <c r="W271" s="1167">
        <v>0</v>
      </c>
      <c r="X271" s="1167">
        <v>0</v>
      </c>
      <c r="Y271" s="1167">
        <v>0</v>
      </c>
      <c r="Z271" s="1167">
        <v>0</v>
      </c>
      <c r="AA271" s="1167">
        <v>0</v>
      </c>
      <c r="AB271" s="1167">
        <v>0</v>
      </c>
      <c r="AC271" s="1167">
        <v>0</v>
      </c>
      <c r="AD271" s="1167">
        <v>0</v>
      </c>
      <c r="AE271" s="1167">
        <v>0</v>
      </c>
      <c r="AF271" s="1167">
        <v>0</v>
      </c>
      <c r="AG271" s="1167">
        <v>0</v>
      </c>
      <c r="AH271" s="1167">
        <v>0</v>
      </c>
      <c r="AI271" s="685"/>
      <c r="AJ271" s="685"/>
      <c r="AK271" s="685"/>
      <c r="AL271" s="685"/>
      <c r="AM271" s="685"/>
      <c r="AN271" s="685"/>
      <c r="AO271" s="685"/>
      <c r="AP271" s="685"/>
      <c r="AQ271" s="685"/>
      <c r="AR271" s="685"/>
      <c r="AS271" s="685"/>
      <c r="AT271" s="685"/>
      <c r="AU271" s="685"/>
      <c r="AV271" s="685"/>
      <c r="AW271" s="685"/>
      <c r="AX271" s="685"/>
      <c r="AY271" s="685"/>
      <c r="AZ271" s="685"/>
      <c r="BA271" s="685"/>
      <c r="BB271" s="685"/>
      <c r="BC271" s="685"/>
      <c r="BD271" s="685"/>
    </row>
    <row r="272" spans="1:56">
      <c r="A272" s="685"/>
      <c r="B272" s="1115" t="s">
        <v>307</v>
      </c>
      <c r="C272" s="1167">
        <v>0</v>
      </c>
      <c r="D272" s="1167">
        <v>0</v>
      </c>
      <c r="E272" s="1167">
        <v>0</v>
      </c>
      <c r="F272" s="1167">
        <v>0</v>
      </c>
      <c r="G272" s="1167">
        <v>0</v>
      </c>
      <c r="H272" s="1167">
        <v>0</v>
      </c>
      <c r="I272" s="1167">
        <v>0</v>
      </c>
      <c r="J272" s="1167">
        <v>0</v>
      </c>
      <c r="K272" s="1167">
        <v>0</v>
      </c>
      <c r="L272" s="1167">
        <v>0</v>
      </c>
      <c r="M272" s="1167">
        <v>0</v>
      </c>
      <c r="N272" s="1167">
        <v>0</v>
      </c>
      <c r="O272" s="1167">
        <v>0</v>
      </c>
      <c r="P272" s="1167">
        <v>0</v>
      </c>
      <c r="Q272" s="1167">
        <v>0</v>
      </c>
      <c r="R272" s="1167">
        <v>0</v>
      </c>
      <c r="S272" s="1167">
        <v>0</v>
      </c>
      <c r="T272" s="1167">
        <v>0</v>
      </c>
      <c r="U272" s="1167">
        <v>0</v>
      </c>
      <c r="V272" s="1167">
        <v>0</v>
      </c>
      <c r="W272" s="1167">
        <v>0</v>
      </c>
      <c r="X272" s="1167">
        <v>0</v>
      </c>
      <c r="Y272" s="1167">
        <v>0</v>
      </c>
      <c r="Z272" s="1167">
        <v>0</v>
      </c>
      <c r="AA272" s="1167">
        <v>0</v>
      </c>
      <c r="AB272" s="1167">
        <v>0</v>
      </c>
      <c r="AC272" s="1167">
        <v>0</v>
      </c>
      <c r="AD272" s="1167">
        <v>0</v>
      </c>
      <c r="AE272" s="1167">
        <v>0</v>
      </c>
      <c r="AF272" s="1167">
        <v>0</v>
      </c>
      <c r="AG272" s="1167">
        <v>0</v>
      </c>
      <c r="AH272" s="1167">
        <v>0</v>
      </c>
      <c r="AI272" s="685"/>
      <c r="AJ272" s="685"/>
      <c r="AK272" s="685"/>
      <c r="AL272" s="685"/>
      <c r="AM272" s="685"/>
      <c r="AN272" s="685"/>
      <c r="AO272" s="685"/>
      <c r="AP272" s="685"/>
      <c r="AQ272" s="685"/>
      <c r="AR272" s="685"/>
      <c r="AS272" s="685"/>
      <c r="AT272" s="685"/>
      <c r="AU272" s="685"/>
      <c r="AV272" s="685"/>
      <c r="AW272" s="685"/>
      <c r="AX272" s="685"/>
      <c r="AY272" s="685"/>
      <c r="AZ272" s="685"/>
      <c r="BA272" s="685"/>
      <c r="BB272" s="685"/>
      <c r="BC272" s="685"/>
      <c r="BD272" s="685"/>
    </row>
    <row r="273" spans="1:56">
      <c r="A273" s="685"/>
      <c r="B273" s="1115"/>
      <c r="C273" s="1115"/>
      <c r="D273" s="1115"/>
      <c r="E273" s="1115"/>
      <c r="F273" s="1115"/>
      <c r="G273" s="1115"/>
      <c r="H273" s="1115"/>
      <c r="I273" s="1115"/>
      <c r="J273" s="1115"/>
      <c r="K273" s="1115"/>
      <c r="L273" s="1115"/>
      <c r="M273" s="1115"/>
      <c r="N273" s="1115"/>
      <c r="O273" s="1115"/>
      <c r="P273" s="1115"/>
      <c r="Q273" s="1115"/>
      <c r="R273" s="1115"/>
      <c r="S273" s="1115"/>
      <c r="T273" s="1115"/>
      <c r="U273" s="1115"/>
      <c r="V273" s="1115"/>
      <c r="W273" s="1115"/>
      <c r="X273" s="1115"/>
      <c r="Y273" s="1115"/>
      <c r="Z273" s="1115"/>
      <c r="AA273" s="1115"/>
      <c r="AB273" s="1115"/>
      <c r="AC273" s="1115"/>
      <c r="AD273" s="1115"/>
      <c r="AE273" s="1115"/>
      <c r="AF273" s="1115"/>
      <c r="AG273" s="1115"/>
      <c r="AH273" s="1115"/>
      <c r="AI273" s="685"/>
      <c r="AJ273" s="685"/>
      <c r="AK273" s="685"/>
      <c r="AL273" s="685"/>
      <c r="AM273" s="685"/>
      <c r="AN273" s="685"/>
      <c r="AO273" s="685"/>
      <c r="AP273" s="685"/>
      <c r="AQ273" s="685"/>
      <c r="AR273" s="685"/>
      <c r="AS273" s="685"/>
      <c r="AT273" s="685"/>
      <c r="AU273" s="685"/>
      <c r="AV273" s="685"/>
      <c r="AW273" s="685"/>
      <c r="AX273" s="685"/>
      <c r="AY273" s="685"/>
      <c r="AZ273" s="685"/>
      <c r="BA273" s="685"/>
      <c r="BB273" s="685"/>
      <c r="BC273" s="685"/>
      <c r="BD273" s="685"/>
    </row>
    <row r="274" spans="1:56">
      <c r="A274" s="685"/>
      <c r="B274" s="1113" t="s">
        <v>308</v>
      </c>
      <c r="C274" s="1115"/>
      <c r="D274" s="1115"/>
      <c r="E274" s="1115"/>
      <c r="F274" s="1115"/>
      <c r="G274" s="1115"/>
      <c r="H274" s="1115"/>
      <c r="I274" s="1115"/>
      <c r="J274" s="1115"/>
      <c r="K274" s="1115"/>
      <c r="L274" s="1115"/>
      <c r="M274" s="1115"/>
      <c r="N274" s="1115"/>
      <c r="O274" s="1115"/>
      <c r="P274" s="1115"/>
      <c r="Q274" s="1115"/>
      <c r="R274" s="1115"/>
      <c r="S274" s="1115"/>
      <c r="T274" s="1115"/>
      <c r="U274" s="1115"/>
      <c r="V274" s="1115"/>
      <c r="W274" s="1115"/>
      <c r="X274" s="1115"/>
      <c r="Y274" s="1115"/>
      <c r="Z274" s="1115"/>
      <c r="AA274" s="1115"/>
      <c r="AB274" s="1115"/>
      <c r="AC274" s="1115"/>
      <c r="AD274" s="1115"/>
      <c r="AE274" s="1115"/>
      <c r="AF274" s="1115"/>
      <c r="AG274" s="1115"/>
      <c r="AH274" s="1115"/>
      <c r="AI274" s="685"/>
      <c r="AJ274" s="685"/>
      <c r="AK274" s="685"/>
      <c r="AL274" s="685"/>
      <c r="AM274" s="685"/>
      <c r="AN274" s="685"/>
      <c r="AO274" s="685"/>
      <c r="AP274" s="685"/>
      <c r="AQ274" s="685"/>
      <c r="AR274" s="685"/>
      <c r="AS274" s="685"/>
      <c r="AT274" s="685"/>
      <c r="AU274" s="685"/>
      <c r="AV274" s="685"/>
      <c r="AW274" s="685"/>
      <c r="AX274" s="685"/>
      <c r="AY274" s="685"/>
      <c r="AZ274" s="685"/>
      <c r="BA274" s="685"/>
      <c r="BB274" s="685"/>
      <c r="BC274" s="685"/>
      <c r="BD274" s="685"/>
    </row>
    <row r="275" spans="1:56">
      <c r="A275" s="685"/>
      <c r="B275" s="1115" t="s">
        <v>309</v>
      </c>
      <c r="C275" s="1123">
        <f t="shared" ref="C275:AC275" si="198">C238</f>
        <v>0</v>
      </c>
      <c r="D275" s="1123">
        <f t="shared" si="198"/>
        <v>0</v>
      </c>
      <c r="E275" s="1123">
        <f t="shared" si="198"/>
        <v>0</v>
      </c>
      <c r="F275" s="1123">
        <f t="shared" si="198"/>
        <v>0</v>
      </c>
      <c r="G275" s="1123">
        <f t="shared" si="198"/>
        <v>0</v>
      </c>
      <c r="H275" s="1123">
        <f t="shared" si="198"/>
        <v>0</v>
      </c>
      <c r="I275" s="1123">
        <f t="shared" si="198"/>
        <v>38652</v>
      </c>
      <c r="J275" s="1123">
        <f t="shared" si="198"/>
        <v>41499</v>
      </c>
      <c r="K275" s="1123">
        <f t="shared" si="198"/>
        <v>48363</v>
      </c>
      <c r="L275" s="1123">
        <f t="shared" si="198"/>
        <v>53476.5</v>
      </c>
      <c r="M275" s="1123">
        <f t="shared" si="198"/>
        <v>61213</v>
      </c>
      <c r="N275" s="1123">
        <f t="shared" si="198"/>
        <v>76089.3</v>
      </c>
      <c r="O275" s="1123">
        <f t="shared" si="198"/>
        <v>86783.6</v>
      </c>
      <c r="P275" s="1123">
        <f t="shared" si="198"/>
        <v>85720</v>
      </c>
      <c r="Q275" s="1123">
        <f t="shared" si="198"/>
        <v>87343</v>
      </c>
      <c r="R275" s="1123">
        <f t="shared" si="198"/>
        <v>83329</v>
      </c>
      <c r="S275" s="1123">
        <f t="shared" si="198"/>
        <v>83284</v>
      </c>
      <c r="T275" s="1123">
        <f t="shared" si="198"/>
        <v>87922.1</v>
      </c>
      <c r="U275" s="1123">
        <f t="shared" si="198"/>
        <v>82236.399999999994</v>
      </c>
      <c r="V275" s="1123">
        <f t="shared" si="198"/>
        <v>77848.100000000006</v>
      </c>
      <c r="W275" s="1123">
        <f t="shared" si="198"/>
        <v>63664.260999999999</v>
      </c>
      <c r="X275" s="1123">
        <f t="shared" si="198"/>
        <v>60698.2</v>
      </c>
      <c r="Y275" s="1123">
        <f t="shared" si="198"/>
        <v>61022.445467535668</v>
      </c>
      <c r="Z275" s="1123">
        <f t="shared" si="198"/>
        <v>58163.176939095545</v>
      </c>
      <c r="AA275" s="1123">
        <f t="shared" si="198"/>
        <v>55087.91733500929</v>
      </c>
      <c r="AB275" s="1123">
        <f t="shared" si="198"/>
        <v>52431.070286668546</v>
      </c>
      <c r="AC275" s="1123">
        <f t="shared" si="198"/>
        <v>50220.645963379502</v>
      </c>
      <c r="AD275" s="1123">
        <f>AD238</f>
        <v>48421.97564093463</v>
      </c>
      <c r="AE275" s="1123">
        <f>AE238</f>
        <v>47007.501000280899</v>
      </c>
      <c r="AF275" s="1123">
        <f>AF238</f>
        <v>45849.329500062857</v>
      </c>
      <c r="AG275" s="1123">
        <f>AG238</f>
        <v>44844.73350954795</v>
      </c>
      <c r="AH275" s="1123">
        <f>AH238</f>
        <v>44123.530107751023</v>
      </c>
      <c r="AI275" s="685"/>
      <c r="AJ275" s="685"/>
      <c r="AK275" s="685"/>
      <c r="AL275" s="685"/>
      <c r="AM275" s="685"/>
      <c r="AN275" s="685"/>
      <c r="AO275" s="685"/>
      <c r="AP275" s="685"/>
      <c r="AQ275" s="685"/>
      <c r="AR275" s="685"/>
      <c r="AS275" s="685"/>
      <c r="AT275" s="685"/>
      <c r="AU275" s="685"/>
      <c r="AV275" s="685"/>
      <c r="AW275" s="685"/>
      <c r="AX275" s="685"/>
      <c r="AY275" s="685"/>
      <c r="AZ275" s="685"/>
      <c r="BA275" s="685"/>
      <c r="BB275" s="685"/>
      <c r="BC275" s="685"/>
      <c r="BD275" s="685"/>
    </row>
    <row r="276" spans="1:56">
      <c r="A276" s="685"/>
      <c r="B276" s="1115" t="s">
        <v>310</v>
      </c>
      <c r="C276" s="1158">
        <f t="shared" ref="C276:AC276" si="199">C259</f>
        <v>0</v>
      </c>
      <c r="D276" s="1158">
        <f t="shared" si="199"/>
        <v>0</v>
      </c>
      <c r="E276" s="1158">
        <f t="shared" si="199"/>
        <v>0</v>
      </c>
      <c r="F276" s="1158">
        <f t="shared" si="199"/>
        <v>0</v>
      </c>
      <c r="G276" s="1158">
        <f t="shared" si="199"/>
        <v>0</v>
      </c>
      <c r="H276" s="1158">
        <f t="shared" si="199"/>
        <v>0</v>
      </c>
      <c r="I276" s="1158">
        <f t="shared" si="199"/>
        <v>10241</v>
      </c>
      <c r="J276" s="1158">
        <f t="shared" si="199"/>
        <v>11861</v>
      </c>
      <c r="K276" s="1158">
        <f t="shared" si="199"/>
        <v>11127</v>
      </c>
      <c r="L276" s="1158">
        <f t="shared" si="199"/>
        <v>11382</v>
      </c>
      <c r="M276" s="1158">
        <f t="shared" si="199"/>
        <v>27052</v>
      </c>
      <c r="N276" s="1158">
        <f t="shared" si="199"/>
        <v>38106.300000000003</v>
      </c>
      <c r="O276" s="1158">
        <f t="shared" si="199"/>
        <v>37624.5</v>
      </c>
      <c r="P276" s="1158">
        <f t="shared" si="199"/>
        <v>35887</v>
      </c>
      <c r="Q276" s="1158">
        <f t="shared" si="199"/>
        <v>43064</v>
      </c>
      <c r="R276" s="1158">
        <f t="shared" si="199"/>
        <v>43329</v>
      </c>
      <c r="S276" s="1158">
        <f t="shared" si="199"/>
        <v>42722</v>
      </c>
      <c r="T276" s="1158">
        <f t="shared" si="199"/>
        <v>42255.9</v>
      </c>
      <c r="U276" s="1158">
        <f t="shared" si="199"/>
        <v>41123.5</v>
      </c>
      <c r="V276" s="1158">
        <f t="shared" si="199"/>
        <v>40398.5</v>
      </c>
      <c r="W276" s="1158">
        <f t="shared" si="199"/>
        <v>38927.089</v>
      </c>
      <c r="X276" s="1158">
        <f t="shared" si="199"/>
        <v>38368.432999999997</v>
      </c>
      <c r="Y276" s="1158">
        <f t="shared" si="199"/>
        <v>36586.068359999997</v>
      </c>
      <c r="Z276" s="1158">
        <f t="shared" si="199"/>
        <v>34763.362549400001</v>
      </c>
      <c r="AA276" s="1158">
        <f t="shared" si="199"/>
        <v>32921.769919954</v>
      </c>
      <c r="AB276" s="1158">
        <f t="shared" si="199"/>
        <v>31081.311777558367</v>
      </c>
      <c r="AC276" s="1158">
        <f t="shared" si="199"/>
        <v>29260.290599802531</v>
      </c>
      <c r="AD276" s="1158">
        <f>AD259</f>
        <v>27475.070086823267</v>
      </c>
      <c r="AE276" s="1158">
        <f>AE259</f>
        <v>25739.922377272705</v>
      </c>
      <c r="AF276" s="1158">
        <f>AF259</f>
        <v>24066.941303886342</v>
      </c>
      <c r="AG276" s="1158">
        <f>AG259</f>
        <v>22466.01834741998</v>
      </c>
      <c r="AH276" s="1158">
        <f>AH259</f>
        <v>20944.876053992484</v>
      </c>
      <c r="AI276" s="685"/>
      <c r="AJ276" s="685"/>
      <c r="AK276" s="685"/>
      <c r="AL276" s="685"/>
      <c r="AM276" s="685"/>
      <c r="AN276" s="685"/>
      <c r="AO276" s="685"/>
      <c r="AP276" s="685"/>
      <c r="AQ276" s="685"/>
      <c r="AR276" s="685"/>
      <c r="AS276" s="685"/>
      <c r="AT276" s="685"/>
      <c r="AU276" s="685"/>
      <c r="AV276" s="685"/>
      <c r="AW276" s="685"/>
      <c r="AX276" s="685"/>
      <c r="AY276" s="685"/>
      <c r="AZ276" s="685"/>
      <c r="BA276" s="685"/>
      <c r="BB276" s="685"/>
      <c r="BC276" s="685"/>
      <c r="BD276" s="685"/>
    </row>
    <row r="277" spans="1:56">
      <c r="A277" s="685"/>
      <c r="B277" s="1115" t="s">
        <v>85</v>
      </c>
      <c r="C277" s="1123">
        <f t="shared" ref="C277:AC277" si="200">C275+C276</f>
        <v>0</v>
      </c>
      <c r="D277" s="1123">
        <f t="shared" si="200"/>
        <v>0</v>
      </c>
      <c r="E277" s="1123">
        <f t="shared" si="200"/>
        <v>0</v>
      </c>
      <c r="F277" s="1123">
        <f t="shared" si="200"/>
        <v>0</v>
      </c>
      <c r="G277" s="1123">
        <f t="shared" si="200"/>
        <v>0</v>
      </c>
      <c r="H277" s="1123">
        <f t="shared" si="200"/>
        <v>0</v>
      </c>
      <c r="I277" s="1123">
        <f t="shared" si="200"/>
        <v>48893</v>
      </c>
      <c r="J277" s="1123">
        <f t="shared" si="200"/>
        <v>53360</v>
      </c>
      <c r="K277" s="1123">
        <f t="shared" si="200"/>
        <v>59490</v>
      </c>
      <c r="L277" s="1123">
        <f t="shared" si="200"/>
        <v>64858.5</v>
      </c>
      <c r="M277" s="1123">
        <f t="shared" si="200"/>
        <v>88265</v>
      </c>
      <c r="N277" s="1123">
        <f t="shared" si="200"/>
        <v>114195.6</v>
      </c>
      <c r="O277" s="1123">
        <f t="shared" si="200"/>
        <v>124408.1</v>
      </c>
      <c r="P277" s="1123">
        <f t="shared" si="200"/>
        <v>121607</v>
      </c>
      <c r="Q277" s="1123">
        <f t="shared" si="200"/>
        <v>130407</v>
      </c>
      <c r="R277" s="1123">
        <f t="shared" si="200"/>
        <v>126658</v>
      </c>
      <c r="S277" s="1123">
        <f t="shared" si="200"/>
        <v>126006</v>
      </c>
      <c r="T277" s="1123">
        <f t="shared" si="200"/>
        <v>130178</v>
      </c>
      <c r="U277" s="1123">
        <f t="shared" si="200"/>
        <v>123359.9</v>
      </c>
      <c r="V277" s="1123">
        <f t="shared" si="200"/>
        <v>118246.6</v>
      </c>
      <c r="W277" s="1123">
        <f t="shared" si="200"/>
        <v>102591.35</v>
      </c>
      <c r="X277" s="1123">
        <f t="shared" si="200"/>
        <v>99066.633000000002</v>
      </c>
      <c r="Y277" s="1123">
        <f t="shared" si="200"/>
        <v>97608.513827535673</v>
      </c>
      <c r="Z277" s="1123">
        <f t="shared" si="200"/>
        <v>92926.539488495546</v>
      </c>
      <c r="AA277" s="1123">
        <f t="shared" si="200"/>
        <v>88009.687254963297</v>
      </c>
      <c r="AB277" s="1123">
        <f t="shared" si="200"/>
        <v>83512.382064226913</v>
      </c>
      <c r="AC277" s="1123">
        <f t="shared" si="200"/>
        <v>79480.93656318204</v>
      </c>
      <c r="AD277" s="1123">
        <f>AD275+AD276</f>
        <v>75897.045727757897</v>
      </c>
      <c r="AE277" s="1123">
        <f>AE275+AE276</f>
        <v>72747.423377553612</v>
      </c>
      <c r="AF277" s="1123">
        <f>AF275+AF276</f>
        <v>69916.270803949199</v>
      </c>
      <c r="AG277" s="1123">
        <f>AG275+AG276</f>
        <v>67310.751856967923</v>
      </c>
      <c r="AH277" s="1123">
        <f>AH275+AH276</f>
        <v>65068.406161743507</v>
      </c>
      <c r="AI277" s="685"/>
      <c r="AJ277" s="685"/>
      <c r="AK277" s="685"/>
      <c r="AL277" s="685"/>
      <c r="AM277" s="685"/>
      <c r="AN277" s="685"/>
      <c r="AO277" s="685"/>
      <c r="AP277" s="685"/>
      <c r="AQ277" s="685"/>
      <c r="AR277" s="685"/>
      <c r="AS277" s="685"/>
      <c r="AT277" s="685"/>
      <c r="AU277" s="685"/>
      <c r="AV277" s="685"/>
      <c r="AW277" s="685"/>
      <c r="AX277" s="685"/>
      <c r="AY277" s="685"/>
      <c r="AZ277" s="685"/>
      <c r="BA277" s="685"/>
      <c r="BB277" s="685"/>
      <c r="BC277" s="685"/>
      <c r="BD277" s="685"/>
    </row>
    <row r="278" spans="1:56">
      <c r="A278" s="685"/>
      <c r="B278" s="1115"/>
      <c r="C278" s="1115"/>
      <c r="D278" s="1115"/>
      <c r="E278" s="1115"/>
      <c r="F278" s="1115"/>
      <c r="G278" s="1115"/>
      <c r="H278" s="1115"/>
      <c r="I278" s="1115"/>
      <c r="J278" s="1115"/>
      <c r="K278" s="1115"/>
      <c r="L278" s="1115"/>
      <c r="M278" s="1115"/>
      <c r="N278" s="1115"/>
      <c r="O278" s="1115"/>
      <c r="P278" s="1115"/>
      <c r="Q278" s="1115"/>
      <c r="R278" s="1115"/>
      <c r="S278" s="1115"/>
      <c r="T278" s="1115"/>
      <c r="U278" s="1115"/>
      <c r="V278" s="1178"/>
      <c r="W278" s="1178"/>
      <c r="X278" s="1178"/>
      <c r="Y278" s="1178"/>
      <c r="Z278" s="1178"/>
      <c r="AA278" s="1178"/>
      <c r="AB278" s="1178"/>
      <c r="AC278" s="1178"/>
      <c r="AD278" s="1178"/>
      <c r="AE278" s="1178"/>
      <c r="AF278" s="1178"/>
      <c r="AG278" s="1178"/>
      <c r="AH278" s="1178"/>
      <c r="AI278" s="685"/>
      <c r="AJ278" s="685"/>
      <c r="AK278" s="685"/>
      <c r="AL278" s="685"/>
      <c r="AM278" s="685"/>
      <c r="AN278" s="685"/>
      <c r="AO278" s="685"/>
      <c r="AP278" s="685"/>
      <c r="AQ278" s="685"/>
      <c r="AR278" s="685"/>
      <c r="AS278" s="685"/>
      <c r="AT278" s="685"/>
      <c r="AU278" s="685"/>
      <c r="AV278" s="685"/>
      <c r="AW278" s="685"/>
      <c r="AX278" s="685"/>
      <c r="AY278" s="685"/>
      <c r="AZ278" s="685"/>
      <c r="BA278" s="685"/>
      <c r="BB278" s="685"/>
      <c r="BC278" s="685"/>
      <c r="BD278" s="685"/>
    </row>
    <row r="279" spans="1:56">
      <c r="A279" s="685"/>
      <c r="B279" s="1115"/>
      <c r="C279" s="1115"/>
      <c r="D279" s="1115"/>
      <c r="E279" s="1115"/>
      <c r="F279" s="1115"/>
      <c r="G279" s="1115"/>
      <c r="H279" s="1115"/>
      <c r="I279" s="1115"/>
      <c r="J279" s="1115"/>
      <c r="K279" s="1115"/>
      <c r="L279" s="1115"/>
      <c r="M279" s="1115"/>
      <c r="N279" s="1115"/>
      <c r="O279" s="1115"/>
      <c r="P279" s="1115"/>
      <c r="Q279" s="1115"/>
      <c r="R279" s="1115"/>
      <c r="S279" s="1115"/>
      <c r="T279" s="1115"/>
      <c r="U279" s="1115"/>
      <c r="V279" s="1178"/>
      <c r="W279" s="1178"/>
      <c r="X279" s="1178"/>
      <c r="Y279" s="1178"/>
      <c r="Z279" s="1178"/>
      <c r="AA279" s="1178"/>
      <c r="AB279" s="1178"/>
      <c r="AC279" s="1178"/>
      <c r="AD279" s="1178"/>
      <c r="AE279" s="1178"/>
      <c r="AF279" s="1178"/>
      <c r="AG279" s="1178"/>
      <c r="AH279" s="1178"/>
      <c r="AI279" s="685"/>
      <c r="AJ279" s="685"/>
      <c r="AK279" s="685"/>
      <c r="AL279" s="685"/>
      <c r="AM279" s="685"/>
      <c r="AN279" s="685"/>
      <c r="AO279" s="685"/>
      <c r="AP279" s="685"/>
      <c r="AQ279" s="685"/>
      <c r="AR279" s="685"/>
      <c r="AS279" s="685"/>
      <c r="AT279" s="685"/>
      <c r="AU279" s="685"/>
      <c r="AV279" s="685"/>
      <c r="AW279" s="685"/>
      <c r="AX279" s="685"/>
      <c r="AY279" s="685"/>
      <c r="AZ279" s="685"/>
      <c r="BA279" s="685"/>
      <c r="BB279" s="685"/>
      <c r="BC279" s="685"/>
      <c r="BD279" s="685"/>
    </row>
    <row r="280" spans="1:56">
      <c r="A280" s="685"/>
      <c r="B280" s="1115"/>
      <c r="C280" s="1115"/>
      <c r="D280" s="1115"/>
      <c r="E280" s="1115"/>
      <c r="F280" s="1115"/>
      <c r="G280" s="1115"/>
      <c r="H280" s="1115"/>
      <c r="I280" s="1115"/>
      <c r="J280" s="1115"/>
      <c r="K280" s="1115"/>
      <c r="L280" s="1115"/>
      <c r="M280" s="1115"/>
      <c r="N280" s="1115"/>
      <c r="O280" s="1115"/>
      <c r="P280" s="1115"/>
      <c r="Q280" s="1115"/>
      <c r="R280" s="1115"/>
      <c r="S280" s="1115"/>
      <c r="T280" s="1115"/>
      <c r="U280" s="1115"/>
      <c r="V280" s="1178"/>
      <c r="W280" s="1178"/>
      <c r="X280" s="1178"/>
      <c r="Y280" s="1178"/>
      <c r="Z280" s="1178"/>
      <c r="AA280" s="1178"/>
      <c r="AB280" s="1178"/>
      <c r="AC280" s="1178"/>
      <c r="AD280" s="1178"/>
      <c r="AE280" s="1178"/>
      <c r="AF280" s="1178"/>
      <c r="AG280" s="1178"/>
      <c r="AH280" s="1178"/>
      <c r="AI280" s="685"/>
      <c r="AJ280" s="685"/>
      <c r="AK280" s="685"/>
      <c r="AL280" s="685"/>
      <c r="AM280" s="685"/>
      <c r="AN280" s="685"/>
      <c r="AO280" s="685"/>
      <c r="AP280" s="685"/>
      <c r="AQ280" s="685"/>
      <c r="AR280" s="685"/>
      <c r="AS280" s="685"/>
      <c r="AT280" s="685"/>
      <c r="AU280" s="685"/>
      <c r="AV280" s="685"/>
      <c r="AW280" s="685"/>
      <c r="AX280" s="685"/>
      <c r="AY280" s="685"/>
      <c r="AZ280" s="685"/>
      <c r="BA280" s="685"/>
      <c r="BB280" s="685"/>
      <c r="BC280" s="685"/>
      <c r="BD280" s="685"/>
    </row>
    <row r="281" spans="1:56">
      <c r="A281" s="685"/>
      <c r="B281" s="1112" t="s">
        <v>311</v>
      </c>
      <c r="C281" s="1112">
        <v>2004</v>
      </c>
      <c r="D281" s="1112">
        <f t="shared" ref="D281:AE281" si="201">C281+1</f>
        <v>2005</v>
      </c>
      <c r="E281" s="1112">
        <f t="shared" si="201"/>
        <v>2006</v>
      </c>
      <c r="F281" s="1112">
        <f t="shared" si="201"/>
        <v>2007</v>
      </c>
      <c r="G281" s="1112">
        <f t="shared" si="201"/>
        <v>2008</v>
      </c>
      <c r="H281" s="1112">
        <f t="shared" si="201"/>
        <v>2009</v>
      </c>
      <c r="I281" s="1112">
        <f t="shared" si="201"/>
        <v>2010</v>
      </c>
      <c r="J281" s="1112">
        <f t="shared" si="201"/>
        <v>2011</v>
      </c>
      <c r="K281" s="1112">
        <f t="shared" si="201"/>
        <v>2012</v>
      </c>
      <c r="L281" s="1112">
        <f t="shared" si="201"/>
        <v>2013</v>
      </c>
      <c r="M281" s="1112">
        <f t="shared" si="201"/>
        <v>2014</v>
      </c>
      <c r="N281" s="1112">
        <f t="shared" si="201"/>
        <v>2015</v>
      </c>
      <c r="O281" s="1112">
        <f t="shared" si="201"/>
        <v>2016</v>
      </c>
      <c r="P281" s="1112">
        <f t="shared" si="201"/>
        <v>2017</v>
      </c>
      <c r="Q281" s="1112">
        <f t="shared" si="201"/>
        <v>2018</v>
      </c>
      <c r="R281" s="1112">
        <f t="shared" si="201"/>
        <v>2019</v>
      </c>
      <c r="S281" s="1112">
        <f t="shared" si="201"/>
        <v>2020</v>
      </c>
      <c r="T281" s="1112">
        <f t="shared" si="201"/>
        <v>2021</v>
      </c>
      <c r="U281" s="1112">
        <f t="shared" si="201"/>
        <v>2022</v>
      </c>
      <c r="V281" s="1112">
        <f t="shared" si="201"/>
        <v>2023</v>
      </c>
      <c r="W281" s="1112">
        <f t="shared" si="201"/>
        <v>2024</v>
      </c>
      <c r="X281" s="1112">
        <f t="shared" si="201"/>
        <v>2025</v>
      </c>
      <c r="Y281" s="1112">
        <f t="shared" si="201"/>
        <v>2026</v>
      </c>
      <c r="Z281" s="1112">
        <f t="shared" si="201"/>
        <v>2027</v>
      </c>
      <c r="AA281" s="1112">
        <f t="shared" si="201"/>
        <v>2028</v>
      </c>
      <c r="AB281" s="1112">
        <f t="shared" si="201"/>
        <v>2029</v>
      </c>
      <c r="AC281" s="1112">
        <f t="shared" si="201"/>
        <v>2030</v>
      </c>
      <c r="AD281" s="1112">
        <f t="shared" si="201"/>
        <v>2031</v>
      </c>
      <c r="AE281" s="1112">
        <f t="shared" si="201"/>
        <v>2032</v>
      </c>
      <c r="AF281" s="1112">
        <f>AE281+1</f>
        <v>2033</v>
      </c>
      <c r="AG281" s="1112">
        <f>AF281+1</f>
        <v>2034</v>
      </c>
      <c r="AH281" s="1112">
        <f>AG281+1</f>
        <v>2035</v>
      </c>
      <c r="AI281" s="685"/>
      <c r="AJ281" s="685"/>
      <c r="AK281" s="685"/>
      <c r="AL281" s="685"/>
      <c r="AM281" s="685"/>
      <c r="AN281" s="685"/>
      <c r="AO281" s="685"/>
      <c r="AP281" s="685"/>
      <c r="AQ281" s="685"/>
      <c r="AR281" s="685"/>
      <c r="AS281" s="685"/>
      <c r="AT281" s="685"/>
      <c r="AU281" s="685"/>
      <c r="AV281" s="685"/>
      <c r="AW281" s="685"/>
      <c r="AX281" s="685"/>
      <c r="AY281" s="685"/>
      <c r="AZ281" s="685"/>
      <c r="BA281" s="685"/>
      <c r="BB281" s="685"/>
      <c r="BC281" s="685"/>
      <c r="BD281" s="685"/>
    </row>
    <row r="282" spans="1:56">
      <c r="A282" s="685"/>
      <c r="B282" s="1115" t="s">
        <v>312</v>
      </c>
      <c r="C282" s="1166"/>
      <c r="D282" s="1166">
        <f>SUM(D292:D293)+SUM(D287:D288)</f>
        <v>0</v>
      </c>
      <c r="E282" s="1166">
        <f>SUM(E292:E293)+SUM(E287:E288)</f>
        <v>0</v>
      </c>
      <c r="F282" s="1166">
        <f>SUM(F292:F293)+SUM(F287:F288)</f>
        <v>0</v>
      </c>
      <c r="G282" s="1166">
        <f>SUM(G292:G293)+SUM(G287:G288)</f>
        <v>0</v>
      </c>
      <c r="H282" s="1166">
        <f t="shared" ref="H282:AC282" si="202">H284-H283</f>
        <v>2973</v>
      </c>
      <c r="I282" s="1166">
        <f t="shared" si="202"/>
        <v>3028</v>
      </c>
      <c r="J282" s="1166">
        <f t="shared" si="202"/>
        <v>4143</v>
      </c>
      <c r="K282" s="1166">
        <f t="shared" si="202"/>
        <v>3350.5</v>
      </c>
      <c r="L282" s="1166">
        <f t="shared" si="202"/>
        <v>-885</v>
      </c>
      <c r="M282" s="1166">
        <f t="shared" si="202"/>
        <v>4329</v>
      </c>
      <c r="N282" s="1166">
        <f t="shared" si="202"/>
        <v>-1702</v>
      </c>
      <c r="O282" s="1166">
        <f t="shared" si="202"/>
        <v>9532.1</v>
      </c>
      <c r="P282" s="1166">
        <f t="shared" si="202"/>
        <v>5305</v>
      </c>
      <c r="Q282" s="1166">
        <f t="shared" si="202"/>
        <v>8779.6</v>
      </c>
      <c r="R282" s="1166">
        <f t="shared" si="202"/>
        <v>8810.8000000000011</v>
      </c>
      <c r="S282" s="1166">
        <f t="shared" si="202"/>
        <v>5584.2</v>
      </c>
      <c r="T282" s="1166">
        <f t="shared" si="202"/>
        <v>11918</v>
      </c>
      <c r="U282" s="1166">
        <f t="shared" si="202"/>
        <v>9206.2000000000007</v>
      </c>
      <c r="V282" s="1166">
        <f t="shared" si="202"/>
        <v>4751.5079999999998</v>
      </c>
      <c r="W282" s="1166">
        <f t="shared" si="202"/>
        <v>4695.1710000000003</v>
      </c>
      <c r="X282" s="1166">
        <f t="shared" si="202"/>
        <v>4140.2860000000001</v>
      </c>
      <c r="Y282" s="1166">
        <f t="shared" ca="1" si="202"/>
        <v>4924.8469309388947</v>
      </c>
      <c r="Z282" s="1166">
        <f t="shared" ca="1" si="202"/>
        <v>4615.7161782476887</v>
      </c>
      <c r="AA282" s="1166">
        <f t="shared" ca="1" si="202"/>
        <v>4613.7850159312093</v>
      </c>
      <c r="AB282" s="1166">
        <f t="shared" ca="1" si="202"/>
        <v>4595.4749098079837</v>
      </c>
      <c r="AC282" s="1166">
        <f t="shared" ca="1" si="202"/>
        <v>4428.9120458826455</v>
      </c>
      <c r="AD282" s="1166">
        <f ca="1">AD284-AD283</f>
        <v>4350.8856183158296</v>
      </c>
      <c r="AE282" s="1166">
        <f ca="1">AE284-AE283</f>
        <v>4287.0098197252555</v>
      </c>
      <c r="AF282" s="1166">
        <f ca="1">AF284-AF283</f>
        <v>4244.6069348497886</v>
      </c>
      <c r="AG282" s="1166">
        <f ca="1">AG284-AG283</f>
        <v>4232.8495949682838</v>
      </c>
      <c r="AH282" s="1166">
        <f ca="1">AH284-AH283</f>
        <v>4119.0057626952748</v>
      </c>
      <c r="AI282" s="685"/>
      <c r="AJ282" s="685"/>
      <c r="AK282" s="685"/>
      <c r="AL282" s="685"/>
      <c r="AM282" s="685"/>
      <c r="AN282" s="685"/>
      <c r="AO282" s="685"/>
      <c r="AP282" s="685"/>
      <c r="AQ282" s="685"/>
      <c r="AR282" s="685"/>
      <c r="AS282" s="685"/>
      <c r="AT282" s="685"/>
      <c r="AU282" s="685"/>
      <c r="AV282" s="685"/>
      <c r="AW282" s="685"/>
      <c r="AX282" s="685"/>
      <c r="AY282" s="685"/>
      <c r="AZ282" s="685"/>
      <c r="BA282" s="685"/>
      <c r="BB282" s="685"/>
      <c r="BC282" s="685"/>
      <c r="BD282" s="685"/>
    </row>
    <row r="283" spans="1:56">
      <c r="A283" s="685"/>
      <c r="B283" s="1115" t="s">
        <v>313</v>
      </c>
      <c r="C283" s="1166"/>
      <c r="D283" s="1166">
        <f>D288+D293</f>
        <v>0</v>
      </c>
      <c r="E283" s="1166">
        <f>E288+E293</f>
        <v>0</v>
      </c>
      <c r="F283" s="1166">
        <f>F288+F293</f>
        <v>0</v>
      </c>
      <c r="G283" s="1166">
        <f>G288+G293</f>
        <v>0</v>
      </c>
      <c r="H283" s="1167">
        <v>-890</v>
      </c>
      <c r="I283" s="1167">
        <v>-461</v>
      </c>
      <c r="J283" s="1167">
        <v>-977</v>
      </c>
      <c r="K283" s="1167">
        <f>127.4-152.9</f>
        <v>-25.5</v>
      </c>
      <c r="L283" s="1167">
        <v>4558</v>
      </c>
      <c r="M283" s="1167">
        <v>-105</v>
      </c>
      <c r="N283" s="1167">
        <f>2195+4718</f>
        <v>6913</v>
      </c>
      <c r="O283" s="1167">
        <f>-2490.3-43.4</f>
        <v>-2533.7000000000003</v>
      </c>
      <c r="P283" s="1167">
        <v>1672</v>
      </c>
      <c r="Q283" s="1167">
        <f>220-859.6</f>
        <v>-639.6</v>
      </c>
      <c r="R283" s="1167">
        <v>0</v>
      </c>
      <c r="S283" s="1167"/>
      <c r="T283" s="1167"/>
      <c r="U283" s="1167">
        <v>0</v>
      </c>
      <c r="V283" s="1167"/>
      <c r="W283" s="1167"/>
      <c r="X283" s="1167">
        <v>0</v>
      </c>
      <c r="Y283" s="1167">
        <v>0</v>
      </c>
      <c r="Z283" s="1167">
        <v>0</v>
      </c>
      <c r="AA283" s="1167">
        <v>0</v>
      </c>
      <c r="AB283" s="1167">
        <v>0</v>
      </c>
      <c r="AC283" s="1167">
        <v>0</v>
      </c>
      <c r="AD283" s="1167">
        <v>0</v>
      </c>
      <c r="AE283" s="1167">
        <v>0</v>
      </c>
      <c r="AF283" s="1167">
        <v>0</v>
      </c>
      <c r="AG283" s="1167">
        <v>0</v>
      </c>
      <c r="AH283" s="1167">
        <v>0</v>
      </c>
      <c r="AI283" s="685"/>
      <c r="AJ283" s="685"/>
      <c r="AK283" s="685"/>
      <c r="AL283" s="685"/>
      <c r="AM283" s="685"/>
      <c r="AN283" s="685"/>
      <c r="AO283" s="685"/>
      <c r="AP283" s="685"/>
      <c r="AQ283" s="685"/>
      <c r="AR283" s="685"/>
      <c r="AS283" s="685"/>
      <c r="AT283" s="685"/>
      <c r="AU283" s="685"/>
      <c r="AV283" s="685"/>
      <c r="AW283" s="685"/>
      <c r="AX283" s="685"/>
      <c r="AY283" s="685"/>
      <c r="AZ283" s="685"/>
      <c r="BA283" s="685"/>
      <c r="BB283" s="685"/>
      <c r="BC283" s="685"/>
      <c r="BD283" s="685"/>
    </row>
    <row r="284" spans="1:56">
      <c r="A284" s="685"/>
      <c r="B284" s="1115" t="s">
        <v>314</v>
      </c>
      <c r="C284" s="1123"/>
      <c r="D284" s="1123">
        <f>D282-D283</f>
        <v>0</v>
      </c>
      <c r="E284" s="1123">
        <f>E282-E283</f>
        <v>0</v>
      </c>
      <c r="F284" s="1123">
        <f>F282-F283</f>
        <v>0</v>
      </c>
      <c r="G284" s="1123">
        <f>G282-G283</f>
        <v>0</v>
      </c>
      <c r="H284" s="1123">
        <f t="shared" ref="H284:AH284" si="203">SUM(H292:H293)-SUM(H287:H288)</f>
        <v>2083</v>
      </c>
      <c r="I284" s="1123">
        <f t="shared" si="203"/>
        <v>2567</v>
      </c>
      <c r="J284" s="1123">
        <f t="shared" si="203"/>
        <v>3166</v>
      </c>
      <c r="K284" s="1123">
        <f t="shared" si="203"/>
        <v>3325</v>
      </c>
      <c r="L284" s="1123">
        <f t="shared" si="203"/>
        <v>3673</v>
      </c>
      <c r="M284" s="1123">
        <f t="shared" si="203"/>
        <v>4224</v>
      </c>
      <c r="N284" s="1123">
        <f t="shared" si="203"/>
        <v>5211</v>
      </c>
      <c r="O284" s="1123">
        <f t="shared" si="203"/>
        <v>6998.4</v>
      </c>
      <c r="P284" s="1123">
        <f t="shared" si="203"/>
        <v>6977</v>
      </c>
      <c r="Q284" s="1123">
        <f t="shared" si="203"/>
        <v>8140</v>
      </c>
      <c r="R284" s="1123">
        <f t="shared" si="203"/>
        <v>8810.8000000000011</v>
      </c>
      <c r="S284" s="1123">
        <f t="shared" si="203"/>
        <v>5584.2</v>
      </c>
      <c r="T284" s="1123">
        <f t="shared" si="203"/>
        <v>11918</v>
      </c>
      <c r="U284" s="1123">
        <f t="shared" si="203"/>
        <v>9206.2000000000007</v>
      </c>
      <c r="V284" s="1123">
        <f t="shared" si="203"/>
        <v>4751.5079999999998</v>
      </c>
      <c r="W284" s="1123">
        <f t="shared" si="203"/>
        <v>4695.1710000000003</v>
      </c>
      <c r="X284" s="1123">
        <f>SUM(X292:X293)-SUM(X287:X288)</f>
        <v>4140.2860000000001</v>
      </c>
      <c r="Y284" s="1123">
        <f t="shared" ca="1" si="203"/>
        <v>4924.8469309388947</v>
      </c>
      <c r="Z284" s="1123">
        <f t="shared" ca="1" si="203"/>
        <v>4615.7161782476887</v>
      </c>
      <c r="AA284" s="1123">
        <f t="shared" ca="1" si="203"/>
        <v>4613.7850159312093</v>
      </c>
      <c r="AB284" s="1123">
        <f t="shared" ca="1" si="203"/>
        <v>4595.4749098079837</v>
      </c>
      <c r="AC284" s="1123">
        <f t="shared" ca="1" si="203"/>
        <v>4428.9120458826455</v>
      </c>
      <c r="AD284" s="1123">
        <f t="shared" ca="1" si="203"/>
        <v>4350.8856183158296</v>
      </c>
      <c r="AE284" s="1123">
        <f t="shared" ca="1" si="203"/>
        <v>4287.0098197252555</v>
      </c>
      <c r="AF284" s="1123">
        <f t="shared" ca="1" si="203"/>
        <v>4244.6069348497886</v>
      </c>
      <c r="AG284" s="1123">
        <f t="shared" ca="1" si="203"/>
        <v>4232.8495949682838</v>
      </c>
      <c r="AH284" s="1123">
        <f t="shared" ca="1" si="203"/>
        <v>4119.0057626952748</v>
      </c>
      <c r="AI284" s="685"/>
      <c r="AJ284" s="685"/>
      <c r="AK284" s="685"/>
      <c r="AL284" s="685"/>
      <c r="AM284" s="685"/>
      <c r="AN284" s="685"/>
      <c r="AO284" s="685"/>
      <c r="AP284" s="685"/>
      <c r="AQ284" s="685"/>
      <c r="AR284" s="685"/>
      <c r="AS284" s="685"/>
      <c r="AT284" s="685"/>
      <c r="AU284" s="685"/>
      <c r="AV284" s="685"/>
      <c r="AW284" s="685"/>
      <c r="AX284" s="685"/>
      <c r="AY284" s="685"/>
      <c r="AZ284" s="685"/>
      <c r="BA284" s="685"/>
      <c r="BB284" s="685"/>
      <c r="BC284" s="685"/>
      <c r="BD284" s="685"/>
    </row>
    <row r="285" spans="1:56">
      <c r="A285" s="685"/>
      <c r="B285" s="1115" t="s">
        <v>192</v>
      </c>
      <c r="C285" s="1117"/>
      <c r="D285" s="1123" t="e">
        <f>D284/#REF!-1</f>
        <v>#REF!</v>
      </c>
      <c r="E285" s="1117" t="e">
        <f t="shared" ref="E285:AE285" si="204">E284/D284-1</f>
        <v>#DIV/0!</v>
      </c>
      <c r="F285" s="1117" t="e">
        <f t="shared" si="204"/>
        <v>#DIV/0!</v>
      </c>
      <c r="G285" s="1117" t="e">
        <f t="shared" si="204"/>
        <v>#DIV/0!</v>
      </c>
      <c r="H285" s="1117" t="e">
        <f t="shared" si="204"/>
        <v>#DIV/0!</v>
      </c>
      <c r="I285" s="1117">
        <f t="shared" si="204"/>
        <v>0.2323571771483437</v>
      </c>
      <c r="J285" s="1117">
        <f t="shared" si="204"/>
        <v>0.23334631865991429</v>
      </c>
      <c r="K285" s="1117">
        <f t="shared" si="204"/>
        <v>5.0221099178774375E-2</v>
      </c>
      <c r="L285" s="1117">
        <f t="shared" si="204"/>
        <v>0.10466165413533846</v>
      </c>
      <c r="M285" s="1117">
        <f t="shared" si="204"/>
        <v>0.15001361285053094</v>
      </c>
      <c r="N285" s="1117">
        <f t="shared" si="204"/>
        <v>0.23366477272727271</v>
      </c>
      <c r="O285" s="1117">
        <f t="shared" si="204"/>
        <v>0.34300518134715019</v>
      </c>
      <c r="P285" s="1117">
        <f t="shared" si="204"/>
        <v>-3.0578417924096435E-3</v>
      </c>
      <c r="Q285" s="1117">
        <f t="shared" si="204"/>
        <v>0.16669055467966176</v>
      </c>
      <c r="R285" s="1117">
        <f t="shared" si="204"/>
        <v>8.2407862407862575E-2</v>
      </c>
      <c r="S285" s="1117">
        <f t="shared" si="204"/>
        <v>-0.36620965179098386</v>
      </c>
      <c r="T285" s="1117">
        <f t="shared" si="204"/>
        <v>1.134235879803732</v>
      </c>
      <c r="U285" s="1117">
        <f t="shared" si="204"/>
        <v>-0.22753817754656813</v>
      </c>
      <c r="V285" s="1117">
        <f t="shared" si="204"/>
        <v>-0.48387955942734251</v>
      </c>
      <c r="W285" s="1117">
        <f t="shared" si="204"/>
        <v>-1.185665687609061E-2</v>
      </c>
      <c r="X285" s="1117">
        <f t="shared" si="204"/>
        <v>-0.11818206408243703</v>
      </c>
      <c r="Y285" s="1117">
        <f t="shared" ca="1" si="204"/>
        <v>0.18949438056667933</v>
      </c>
      <c r="Z285" s="1117">
        <f t="shared" ca="1" si="204"/>
        <v>-6.2769616401513573E-2</v>
      </c>
      <c r="AA285" s="1117">
        <f t="shared" ca="1" si="204"/>
        <v>-4.1838844545516451E-4</v>
      </c>
      <c r="AB285" s="1117">
        <f t="shared" ca="1" si="204"/>
        <v>-3.9685650848493292E-3</v>
      </c>
      <c r="AC285" s="1117">
        <f t="shared" ca="1" si="204"/>
        <v>-3.6244972977623746E-2</v>
      </c>
      <c r="AD285" s="1117">
        <f t="shared" ca="1" si="204"/>
        <v>-1.7617515714576815E-2</v>
      </c>
      <c r="AE285" s="1117">
        <f t="shared" ca="1" si="204"/>
        <v>-1.468110269819034E-2</v>
      </c>
      <c r="AF285" s="1117">
        <f ca="1">AF284/AE284-1</f>
        <v>-9.8910165030096087E-3</v>
      </c>
      <c r="AG285" s="1117">
        <f ca="1">AG284/AF284-1</f>
        <v>-2.7699478566490798E-3</v>
      </c>
      <c r="AH285" s="1117">
        <f ca="1">AH284/AG284-1</f>
        <v>-2.6895317142460851E-2</v>
      </c>
      <c r="AI285" s="685"/>
      <c r="AJ285" s="685"/>
      <c r="AK285" s="685"/>
      <c r="AL285" s="685"/>
      <c r="AM285" s="685"/>
      <c r="AN285" s="685"/>
      <c r="AO285" s="685"/>
      <c r="AP285" s="685"/>
      <c r="AQ285" s="685"/>
      <c r="AR285" s="685"/>
      <c r="AS285" s="685"/>
      <c r="AT285" s="685"/>
      <c r="AU285" s="685"/>
      <c r="AV285" s="685"/>
      <c r="AW285" s="685"/>
      <c r="AX285" s="685"/>
      <c r="AY285" s="685"/>
      <c r="AZ285" s="685"/>
      <c r="BA285" s="685"/>
      <c r="BB285" s="685"/>
      <c r="BC285" s="685"/>
      <c r="BD285" s="685"/>
    </row>
    <row r="286" spans="1:56">
      <c r="A286" s="685"/>
      <c r="B286" s="1115"/>
      <c r="C286" s="1115"/>
      <c r="D286" s="1115"/>
      <c r="E286" s="1115"/>
      <c r="F286" s="1115"/>
      <c r="G286" s="1115"/>
      <c r="H286" s="1115"/>
      <c r="I286" s="1115"/>
      <c r="J286" s="1115"/>
      <c r="K286" s="1115"/>
      <c r="L286" s="1115"/>
      <c r="M286" s="1115"/>
      <c r="N286" s="1124"/>
      <c r="O286" s="1115"/>
      <c r="P286" s="1115"/>
      <c r="Q286" s="1115"/>
      <c r="R286" s="1115"/>
      <c r="S286" s="1115"/>
      <c r="T286" s="1115"/>
      <c r="U286" s="1115"/>
      <c r="V286" s="1115"/>
      <c r="W286" s="1115"/>
      <c r="X286" s="1115"/>
      <c r="Y286" s="1115"/>
      <c r="Z286" s="1115"/>
      <c r="AA286" s="1115"/>
      <c r="AB286" s="1115"/>
      <c r="AC286" s="1115"/>
      <c r="AD286" s="1115"/>
      <c r="AE286" s="1115"/>
      <c r="AF286" s="1115"/>
      <c r="AG286" s="1115"/>
      <c r="AH286" s="1115"/>
      <c r="AI286" s="685"/>
      <c r="AJ286" s="685"/>
      <c r="AK286" s="685"/>
      <c r="AL286" s="685"/>
      <c r="AM286" s="685"/>
      <c r="AN286" s="685"/>
      <c r="AO286" s="685"/>
      <c r="AP286" s="685"/>
      <c r="AQ286" s="685"/>
      <c r="AR286" s="685"/>
      <c r="AS286" s="685"/>
      <c r="AT286" s="685"/>
      <c r="AU286" s="685"/>
      <c r="AV286" s="685"/>
      <c r="AW286" s="685"/>
      <c r="AX286" s="685"/>
      <c r="AY286" s="685"/>
      <c r="AZ286" s="685"/>
      <c r="BA286" s="685"/>
      <c r="BB286" s="685"/>
      <c r="BC286" s="685"/>
      <c r="BD286" s="685"/>
    </row>
    <row r="287" spans="1:56">
      <c r="A287" s="685"/>
      <c r="B287" s="1115" t="s">
        <v>315</v>
      </c>
      <c r="C287" s="1167"/>
      <c r="D287" s="1167"/>
      <c r="E287" s="1167"/>
      <c r="F287" s="1167"/>
      <c r="G287" s="1167"/>
      <c r="H287" s="1167">
        <v>1053</v>
      </c>
      <c r="I287" s="1167">
        <v>1048</v>
      </c>
      <c r="J287" s="1167">
        <v>1147</v>
      </c>
      <c r="K287" s="1167">
        <v>1044</v>
      </c>
      <c r="L287" s="1167">
        <v>1130</v>
      </c>
      <c r="M287" s="1167">
        <v>1328</v>
      </c>
      <c r="N287" s="1167">
        <v>1028</v>
      </c>
      <c r="O287" s="1167">
        <v>1499.5</v>
      </c>
      <c r="P287" s="1167">
        <v>2269</v>
      </c>
      <c r="Q287" s="1167">
        <v>1567</v>
      </c>
      <c r="R287" s="1167">
        <v>2464.4</v>
      </c>
      <c r="S287" s="1167">
        <v>1131.8</v>
      </c>
      <c r="T287" s="1167">
        <v>560</v>
      </c>
      <c r="U287" s="1179">
        <v>2151.1</v>
      </c>
      <c r="V287" s="1179">
        <v>3180.192</v>
      </c>
      <c r="W287" s="1179">
        <v>3343.8560000000002</v>
      </c>
      <c r="X287" s="1179">
        <v>2666.8339999999998</v>
      </c>
      <c r="Y287" s="1180">
        <f t="shared" ref="Y287:AE287" ca="1" si="205">Y289*AVERAGE(X307:Y307)</f>
        <v>2405.767253674474</v>
      </c>
      <c r="Z287" s="1180">
        <f t="shared" ca="1" si="205"/>
        <v>2153.0060635287873</v>
      </c>
      <c r="AA287" s="1180">
        <f t="shared" ca="1" si="205"/>
        <v>1898.183177738108</v>
      </c>
      <c r="AB287" s="1180">
        <f t="shared" ca="1" si="205"/>
        <v>1920.8163099216863</v>
      </c>
      <c r="AC287" s="1180">
        <f t="shared" ca="1" si="205"/>
        <v>2001.3083494822406</v>
      </c>
      <c r="AD287" s="1180">
        <f t="shared" ca="1" si="205"/>
        <v>1989.9609938142821</v>
      </c>
      <c r="AE287" s="1180">
        <f t="shared" ca="1" si="205"/>
        <v>1961.0422897454384</v>
      </c>
      <c r="AF287" s="1180">
        <f ca="1">AF289*AVERAGE(AE307:AF307)</f>
        <v>1907.1088027435501</v>
      </c>
      <c r="AG287" s="1180">
        <f ca="1">AG289*AVERAGE(AF307:AG307)</f>
        <v>1818.8632740325099</v>
      </c>
      <c r="AH287" s="1180">
        <f ca="1">AH289*AVERAGE(AG307:AH307)</f>
        <v>1828.9095451483283</v>
      </c>
      <c r="AI287" s="685"/>
      <c r="AJ287" s="685"/>
      <c r="AK287" s="685"/>
      <c r="AL287" s="685"/>
      <c r="AM287" s="685"/>
      <c r="AN287" s="685"/>
      <c r="AO287" s="685"/>
      <c r="AP287" s="685"/>
      <c r="AQ287" s="685"/>
      <c r="AR287" s="685"/>
      <c r="AS287" s="685"/>
      <c r="AT287" s="685"/>
      <c r="AU287" s="685"/>
      <c r="AV287" s="685"/>
      <c r="AW287" s="685"/>
      <c r="AX287" s="685"/>
      <c r="AY287" s="685"/>
      <c r="AZ287" s="685"/>
      <c r="BA287" s="685"/>
      <c r="BB287" s="685"/>
      <c r="BC287" s="685"/>
      <c r="BD287" s="685"/>
    </row>
    <row r="288" spans="1:56">
      <c r="A288" s="685"/>
      <c r="B288" s="1115" t="s">
        <v>316</v>
      </c>
      <c r="C288" s="1167"/>
      <c r="D288" s="1167"/>
      <c r="E288" s="1167"/>
      <c r="F288" s="1167"/>
      <c r="G288" s="1167"/>
      <c r="H288" s="1167">
        <v>0</v>
      </c>
      <c r="I288" s="1167">
        <v>0</v>
      </c>
      <c r="J288" s="1167">
        <v>0</v>
      </c>
      <c r="K288" s="1167">
        <v>0</v>
      </c>
      <c r="L288" s="1167">
        <v>0</v>
      </c>
      <c r="M288" s="1167">
        <v>0</v>
      </c>
      <c r="N288" s="1167">
        <v>0</v>
      </c>
      <c r="O288" s="1167">
        <v>0</v>
      </c>
      <c r="P288" s="1167">
        <v>0</v>
      </c>
      <c r="Q288" s="1167">
        <v>0</v>
      </c>
      <c r="R288" s="1167">
        <v>0</v>
      </c>
      <c r="S288" s="1167">
        <f>89+3697</f>
        <v>3786</v>
      </c>
      <c r="T288" s="1167">
        <v>0</v>
      </c>
      <c r="U288" s="1167">
        <v>0</v>
      </c>
      <c r="V288" s="1167">
        <v>0</v>
      </c>
      <c r="W288" s="1167">
        <v>773.72699999999998</v>
      </c>
      <c r="X288" s="1167">
        <f>302.287+399.193</f>
        <v>701.48</v>
      </c>
      <c r="Y288" s="1167">
        <v>-286.89999999999998</v>
      </c>
      <c r="Z288" s="1167">
        <v>0</v>
      </c>
      <c r="AA288" s="1167">
        <v>0</v>
      </c>
      <c r="AB288" s="1167">
        <v>0</v>
      </c>
      <c r="AC288" s="1167">
        <v>0</v>
      </c>
      <c r="AD288" s="1167">
        <v>0</v>
      </c>
      <c r="AE288" s="1167">
        <v>0</v>
      </c>
      <c r="AF288" s="1167">
        <v>0</v>
      </c>
      <c r="AG288" s="1167">
        <v>0</v>
      </c>
      <c r="AH288" s="1167">
        <v>0</v>
      </c>
      <c r="AI288" s="685"/>
      <c r="AJ288" s="685"/>
      <c r="AK288" s="685"/>
      <c r="AL288" s="685"/>
      <c r="AM288" s="685"/>
      <c r="AN288" s="685"/>
      <c r="AO288" s="685"/>
      <c r="AP288" s="685"/>
      <c r="AQ288" s="685"/>
      <c r="AR288" s="685"/>
      <c r="AS288" s="685"/>
      <c r="AT288" s="685"/>
      <c r="AU288" s="685"/>
      <c r="AV288" s="685"/>
      <c r="AW288" s="685"/>
      <c r="AX288" s="685"/>
      <c r="AY288" s="685"/>
      <c r="AZ288" s="685"/>
      <c r="BA288" s="685"/>
      <c r="BB288" s="685"/>
      <c r="BC288" s="685"/>
      <c r="BD288" s="685"/>
    </row>
    <row r="289" spans="1:56">
      <c r="A289" s="685"/>
      <c r="B289" s="1115" t="s">
        <v>317</v>
      </c>
      <c r="C289" s="1118"/>
      <c r="D289" s="1118" t="e">
        <f>D287/AVERAGE(D325:D325)</f>
        <v>#DIV/0!</v>
      </c>
      <c r="E289" s="1118" t="e">
        <f t="shared" ref="E289:X289" si="206">E287/AVERAGE(D325:E325)</f>
        <v>#DIV/0!</v>
      </c>
      <c r="F289" s="1118" t="e">
        <f t="shared" si="206"/>
        <v>#DIV/0!</v>
      </c>
      <c r="G289" s="1118" t="e">
        <f t="shared" si="206"/>
        <v>#DIV/0!</v>
      </c>
      <c r="H289" s="1118">
        <f t="shared" si="206"/>
        <v>2.4580348326645518E-2</v>
      </c>
      <c r="I289" s="1118">
        <f t="shared" si="206"/>
        <v>2.6842165250921736E-2</v>
      </c>
      <c r="J289" s="1118">
        <f t="shared" si="206"/>
        <v>3.8042486857597715E-2</v>
      </c>
      <c r="K289" s="1118">
        <f t="shared" si="206"/>
        <v>3.982073042814914E-2</v>
      </c>
      <c r="L289" s="1118">
        <f t="shared" si="206"/>
        <v>4.2191729674227574E-2</v>
      </c>
      <c r="M289" s="1118">
        <f t="shared" si="206"/>
        <v>3.9835259604107109E-2</v>
      </c>
      <c r="N289" s="1118">
        <f t="shared" si="206"/>
        <v>2.0311107686410725E-2</v>
      </c>
      <c r="O289" s="1118">
        <f t="shared" si="206"/>
        <v>2.4873249272422213E-2</v>
      </c>
      <c r="P289" s="1118">
        <f t="shared" si="206"/>
        <v>4.2055316920824239E-2</v>
      </c>
      <c r="Q289" s="1118">
        <f t="shared" si="206"/>
        <v>3.3122661650003174E-2</v>
      </c>
      <c r="R289" s="1118">
        <f t="shared" si="206"/>
        <v>6.6604235331000947E-2</v>
      </c>
      <c r="S289" s="1118">
        <f t="shared" si="206"/>
        <v>4.0056343611087522E-2</v>
      </c>
      <c r="T289" s="1118">
        <f t="shared" si="206"/>
        <v>2.0405820760371896E-2</v>
      </c>
      <c r="U289" s="1118">
        <f t="shared" si="206"/>
        <v>5.5902348257258393E-2</v>
      </c>
      <c r="V289" s="1118">
        <f t="shared" si="206"/>
        <v>7.5974547674136639E-2</v>
      </c>
      <c r="W289" s="1118">
        <f t="shared" si="206"/>
        <v>8.4891555443636954E-2</v>
      </c>
      <c r="X289" s="1118">
        <f t="shared" si="206"/>
        <v>6.4596594409130431E-2</v>
      </c>
      <c r="Y289" s="1181">
        <v>6.5000000000000002E-2</v>
      </c>
      <c r="Z289" s="1181">
        <v>6.25E-2</v>
      </c>
      <c r="AA289" s="1181">
        <v>0.06</v>
      </c>
      <c r="AB289" s="1181">
        <v>5.7500000000000002E-2</v>
      </c>
      <c r="AC289" s="1181">
        <v>5.5E-2</v>
      </c>
      <c r="AD289" s="1181">
        <v>0.05</v>
      </c>
      <c r="AE289" s="1181">
        <v>4.4999999999999998E-2</v>
      </c>
      <c r="AF289" s="1181">
        <v>0.04</v>
      </c>
      <c r="AG289" s="1181">
        <v>3.5000000000000003E-2</v>
      </c>
      <c r="AH289" s="1181">
        <v>3.2500000000000001E-2</v>
      </c>
      <c r="AI289" s="685"/>
      <c r="AJ289" s="795"/>
      <c r="AK289" s="685"/>
      <c r="AL289" s="685"/>
      <c r="AM289" s="685"/>
      <c r="AN289" s="685"/>
      <c r="AO289" s="685"/>
      <c r="AP289" s="685"/>
      <c r="AQ289" s="685"/>
      <c r="AR289" s="685"/>
      <c r="AS289" s="685"/>
      <c r="AT289" s="685"/>
      <c r="AU289" s="685"/>
      <c r="AV289" s="685"/>
      <c r="AW289" s="685"/>
      <c r="AX289" s="685"/>
      <c r="AY289" s="685"/>
      <c r="AZ289" s="685"/>
      <c r="BA289" s="685"/>
      <c r="BB289" s="685"/>
      <c r="BC289" s="685"/>
      <c r="BD289" s="685"/>
    </row>
    <row r="290" spans="1:56">
      <c r="A290" s="685"/>
      <c r="B290" s="1115" t="s">
        <v>205</v>
      </c>
      <c r="C290" s="1118"/>
      <c r="D290" s="1118" t="e">
        <f>D289-#REF!</f>
        <v>#DIV/0!</v>
      </c>
      <c r="E290" s="1118" t="e">
        <f t="shared" ref="E290:AE290" si="207">E289-D289</f>
        <v>#DIV/0!</v>
      </c>
      <c r="F290" s="1118" t="e">
        <f t="shared" si="207"/>
        <v>#DIV/0!</v>
      </c>
      <c r="G290" s="1118" t="e">
        <f t="shared" si="207"/>
        <v>#DIV/0!</v>
      </c>
      <c r="H290" s="1118" t="e">
        <f t="shared" si="207"/>
        <v>#DIV/0!</v>
      </c>
      <c r="I290" s="1118">
        <f t="shared" si="207"/>
        <v>2.2618169242762179E-3</v>
      </c>
      <c r="J290" s="1118">
        <f t="shared" si="207"/>
        <v>1.1200321606675979E-2</v>
      </c>
      <c r="K290" s="1118">
        <f t="shared" si="207"/>
        <v>1.7782435705514243E-3</v>
      </c>
      <c r="L290" s="1118">
        <f t="shared" si="207"/>
        <v>2.370999246078434E-3</v>
      </c>
      <c r="M290" s="1118">
        <f t="shared" si="207"/>
        <v>-2.3564700701204644E-3</v>
      </c>
      <c r="N290" s="1118">
        <f t="shared" si="207"/>
        <v>-1.9524151917696384E-2</v>
      </c>
      <c r="O290" s="1118">
        <f t="shared" si="207"/>
        <v>4.5621415860114881E-3</v>
      </c>
      <c r="P290" s="1118">
        <f t="shared" si="207"/>
        <v>1.7182067648402025E-2</v>
      </c>
      <c r="Q290" s="1118">
        <f t="shared" si="207"/>
        <v>-8.9326552708210646E-3</v>
      </c>
      <c r="R290" s="1118">
        <f t="shared" si="207"/>
        <v>3.3481573680997773E-2</v>
      </c>
      <c r="S290" s="1118">
        <f t="shared" si="207"/>
        <v>-2.6547891719913425E-2</v>
      </c>
      <c r="T290" s="1118">
        <f t="shared" si="207"/>
        <v>-1.9650522850715627E-2</v>
      </c>
      <c r="U290" s="1118">
        <f t="shared" si="207"/>
        <v>3.5496527496886497E-2</v>
      </c>
      <c r="V290" s="1118">
        <f t="shared" si="207"/>
        <v>2.0072199416878246E-2</v>
      </c>
      <c r="W290" s="1118">
        <f t="shared" si="207"/>
        <v>8.9170077695003153E-3</v>
      </c>
      <c r="X290" s="1118">
        <f t="shared" si="207"/>
        <v>-2.0294961034506523E-2</v>
      </c>
      <c r="Y290" s="1118">
        <f t="shared" si="207"/>
        <v>4.0340559086957106E-4</v>
      </c>
      <c r="Z290" s="1118">
        <f t="shared" si="207"/>
        <v>-2.5000000000000022E-3</v>
      </c>
      <c r="AA290" s="1118">
        <f t="shared" si="207"/>
        <v>-2.5000000000000022E-3</v>
      </c>
      <c r="AB290" s="1118">
        <f t="shared" si="207"/>
        <v>-2.4999999999999953E-3</v>
      </c>
      <c r="AC290" s="1118">
        <f t="shared" si="207"/>
        <v>-2.5000000000000022E-3</v>
      </c>
      <c r="AD290" s="1118">
        <f t="shared" si="207"/>
        <v>-4.9999999999999975E-3</v>
      </c>
      <c r="AE290" s="1118">
        <f t="shared" si="207"/>
        <v>-5.0000000000000044E-3</v>
      </c>
      <c r="AF290" s="1118">
        <f>AF289-AE289</f>
        <v>-4.9999999999999975E-3</v>
      </c>
      <c r="AG290" s="1118">
        <f>AG289-AF289</f>
        <v>-4.9999999999999975E-3</v>
      </c>
      <c r="AH290" s="1118">
        <f>AH289-AG289</f>
        <v>-2.5000000000000022E-3</v>
      </c>
      <c r="AI290" s="685"/>
      <c r="AJ290" s="685"/>
      <c r="AK290" s="685"/>
      <c r="AL290" s="685"/>
      <c r="AM290" s="685"/>
      <c r="AN290" s="685"/>
      <c r="AO290" s="685"/>
      <c r="AP290" s="685"/>
      <c r="AQ290" s="685"/>
      <c r="AR290" s="685"/>
      <c r="AS290" s="685"/>
      <c r="AT290" s="685"/>
      <c r="AU290" s="685"/>
      <c r="AV290" s="685"/>
      <c r="AW290" s="685"/>
      <c r="AX290" s="685"/>
      <c r="AY290" s="685"/>
      <c r="AZ290" s="685"/>
      <c r="BA290" s="685"/>
      <c r="BB290" s="685"/>
      <c r="BC290" s="685"/>
      <c r="BD290" s="685"/>
    </row>
    <row r="291" spans="1:56">
      <c r="A291" s="685"/>
      <c r="B291" s="1115"/>
      <c r="C291" s="1115"/>
      <c r="D291" s="1115"/>
      <c r="E291" s="1115"/>
      <c r="F291" s="1115"/>
      <c r="G291" s="1115"/>
      <c r="H291" s="1115"/>
      <c r="I291" s="1115"/>
      <c r="J291" s="1115"/>
      <c r="K291" s="1115"/>
      <c r="L291" s="1115"/>
      <c r="M291" s="1115"/>
      <c r="N291" s="1115"/>
      <c r="O291" s="1115"/>
      <c r="P291" s="1115"/>
      <c r="Q291" s="1115"/>
      <c r="R291" s="1115"/>
      <c r="S291" s="1115"/>
      <c r="T291" s="1115"/>
      <c r="U291" s="1115"/>
      <c r="V291" s="1115"/>
      <c r="W291" s="1115"/>
      <c r="X291" s="1115"/>
      <c r="Y291" s="1115"/>
      <c r="Z291" s="1115"/>
      <c r="AA291" s="1115"/>
      <c r="AB291" s="1115"/>
      <c r="AC291" s="1115"/>
      <c r="AD291" s="1115"/>
      <c r="AE291" s="1115"/>
      <c r="AF291" s="1115"/>
      <c r="AG291" s="1115"/>
      <c r="AH291" s="1115"/>
      <c r="AI291" s="685"/>
      <c r="AJ291" s="685"/>
      <c r="AK291" s="685"/>
      <c r="AL291" s="685"/>
      <c r="AM291" s="685"/>
      <c r="AN291" s="685"/>
      <c r="AO291" s="685"/>
      <c r="AP291" s="685"/>
      <c r="AQ291" s="685"/>
      <c r="AR291" s="685"/>
      <c r="AS291" s="685"/>
      <c r="AT291" s="685"/>
      <c r="AU291" s="685"/>
      <c r="AV291" s="685"/>
      <c r="AW291" s="685"/>
      <c r="AX291" s="685"/>
      <c r="AY291" s="685"/>
      <c r="AZ291" s="685"/>
      <c r="BA291" s="685"/>
      <c r="BB291" s="685"/>
      <c r="BC291" s="685"/>
      <c r="BD291" s="685"/>
    </row>
    <row r="292" spans="1:56">
      <c r="A292" s="685"/>
      <c r="B292" s="1115" t="s">
        <v>318</v>
      </c>
      <c r="C292" s="1167"/>
      <c r="D292" s="1167"/>
      <c r="E292" s="1167"/>
      <c r="F292" s="1167"/>
      <c r="G292" s="1167"/>
      <c r="H292" s="1167">
        <v>3136</v>
      </c>
      <c r="I292" s="1167">
        <v>3615</v>
      </c>
      <c r="J292" s="1167">
        <v>4313</v>
      </c>
      <c r="K292" s="1167">
        <v>4369</v>
      </c>
      <c r="L292" s="1167">
        <v>4803</v>
      </c>
      <c r="M292" s="1167">
        <v>5552</v>
      </c>
      <c r="N292" s="1167">
        <v>6239</v>
      </c>
      <c r="O292" s="1167">
        <v>8497.9</v>
      </c>
      <c r="P292" s="1167">
        <v>9246</v>
      </c>
      <c r="Q292" s="1167">
        <v>9707</v>
      </c>
      <c r="R292" s="1167">
        <v>11275.2</v>
      </c>
      <c r="S292" s="1167">
        <v>10502</v>
      </c>
      <c r="T292" s="1167">
        <v>9106</v>
      </c>
      <c r="U292" s="1167">
        <v>9455.6</v>
      </c>
      <c r="V292" s="1167">
        <v>7654.3</v>
      </c>
      <c r="W292" s="1167">
        <v>7975.5540000000001</v>
      </c>
      <c r="X292" s="1167">
        <v>7508.6</v>
      </c>
      <c r="Y292" s="1123">
        <f t="shared" ref="Y292:AE292" si="208">Y294*AVERAGE(X306:Y306)</f>
        <v>7043.7141846133691</v>
      </c>
      <c r="Z292" s="1123">
        <f t="shared" si="208"/>
        <v>6768.722241776476</v>
      </c>
      <c r="AA292" s="1123">
        <f t="shared" si="208"/>
        <v>6511.9681936693178</v>
      </c>
      <c r="AB292" s="1123">
        <f t="shared" si="208"/>
        <v>6516.29121972967</v>
      </c>
      <c r="AC292" s="1123">
        <f t="shared" si="208"/>
        <v>6430.2203953648859</v>
      </c>
      <c r="AD292" s="1123">
        <f t="shared" si="208"/>
        <v>6340.8466121301117</v>
      </c>
      <c r="AE292" s="1123">
        <f t="shared" si="208"/>
        <v>6248.0521094706937</v>
      </c>
      <c r="AF292" s="1123">
        <f>AF294*AVERAGE(AE306:AF306)</f>
        <v>6151.7157375933384</v>
      </c>
      <c r="AG292" s="1123">
        <f>AG294*AVERAGE(AF306:AG306)</f>
        <v>6051.7128690007939</v>
      </c>
      <c r="AH292" s="1123">
        <f>AH294*AVERAGE(AG306:AH306)</f>
        <v>5947.9153078436029</v>
      </c>
      <c r="AI292" s="685"/>
      <c r="AJ292" s="685"/>
      <c r="AK292" s="685"/>
      <c r="AL292" s="685"/>
      <c r="AM292" s="685"/>
      <c r="AN292" s="685"/>
      <c r="AO292" s="685"/>
      <c r="AP292" s="685"/>
      <c r="AQ292" s="685"/>
      <c r="AR292" s="685"/>
      <c r="AS292" s="685"/>
      <c r="AT292" s="685"/>
      <c r="AU292" s="685"/>
      <c r="AV292" s="685"/>
      <c r="AW292" s="685"/>
      <c r="AX292" s="685"/>
      <c r="AY292" s="685"/>
      <c r="AZ292" s="685"/>
      <c r="BA292" s="685"/>
      <c r="BB292" s="685"/>
      <c r="BC292" s="685"/>
      <c r="BD292" s="685"/>
    </row>
    <row r="293" spans="1:56">
      <c r="A293" s="685"/>
      <c r="B293" s="1115" t="s">
        <v>319</v>
      </c>
      <c r="C293" s="1167"/>
      <c r="D293" s="1167"/>
      <c r="E293" s="1167"/>
      <c r="F293" s="1167"/>
      <c r="G293" s="1167"/>
      <c r="H293" s="1167"/>
      <c r="I293" s="1167">
        <v>0</v>
      </c>
      <c r="J293" s="1167">
        <v>0</v>
      </c>
      <c r="K293" s="1167">
        <v>0</v>
      </c>
      <c r="L293" s="1167">
        <v>0</v>
      </c>
      <c r="M293" s="1167">
        <v>0</v>
      </c>
      <c r="N293" s="1167">
        <v>0</v>
      </c>
      <c r="O293" s="1167">
        <v>0</v>
      </c>
      <c r="P293" s="1167">
        <v>0</v>
      </c>
      <c r="Q293" s="1167">
        <v>0</v>
      </c>
      <c r="R293" s="1167">
        <v>0</v>
      </c>
      <c r="S293" s="1167">
        <v>0</v>
      </c>
      <c r="T293" s="1167">
        <f>2189+1183</f>
        <v>3372</v>
      </c>
      <c r="U293" s="1167">
        <f>110.7+1791</f>
        <v>1901.7</v>
      </c>
      <c r="V293" s="1167">
        <f>134.9+142.5</f>
        <v>277.39999999999998</v>
      </c>
      <c r="W293" s="1167">
        <f>837.2</f>
        <v>837.2</v>
      </c>
      <c r="X293" s="1167">
        <v>0</v>
      </c>
      <c r="Y293" s="1167">
        <v>0</v>
      </c>
      <c r="Z293" s="1167">
        <v>0</v>
      </c>
      <c r="AA293" s="1167">
        <v>0</v>
      </c>
      <c r="AB293" s="1167">
        <v>0</v>
      </c>
      <c r="AC293" s="1167">
        <v>0</v>
      </c>
      <c r="AD293" s="1167">
        <v>0</v>
      </c>
      <c r="AE293" s="1167">
        <v>0</v>
      </c>
      <c r="AF293" s="1167">
        <v>0</v>
      </c>
      <c r="AG293" s="1167">
        <v>0</v>
      </c>
      <c r="AH293" s="1167">
        <v>0</v>
      </c>
      <c r="AI293" s="685"/>
      <c r="AJ293" s="685"/>
      <c r="AK293" s="685"/>
      <c r="AL293" s="685"/>
      <c r="AM293" s="685"/>
      <c r="AN293" s="685"/>
      <c r="AO293" s="685"/>
      <c r="AP293" s="685"/>
      <c r="AQ293" s="685"/>
      <c r="AR293" s="685"/>
      <c r="AS293" s="685"/>
      <c r="AT293" s="685"/>
      <c r="AU293" s="685"/>
      <c r="AV293" s="685"/>
      <c r="AW293" s="685"/>
      <c r="AX293" s="685"/>
      <c r="AY293" s="685"/>
      <c r="AZ293" s="685"/>
      <c r="BA293" s="685"/>
      <c r="BB293" s="685"/>
      <c r="BC293" s="685"/>
      <c r="BD293" s="685"/>
    </row>
    <row r="294" spans="1:56">
      <c r="A294" s="685"/>
      <c r="B294" s="1115" t="s">
        <v>320</v>
      </c>
      <c r="C294" s="1118"/>
      <c r="D294" s="1118" t="e">
        <f>D292/AVERAGE(D306:D306)</f>
        <v>#DIV/0!</v>
      </c>
      <c r="E294" s="1118" t="e">
        <f t="shared" ref="E294:X294" si="209">E292/AVERAGE(D306:E306)</f>
        <v>#DIV/0!</v>
      </c>
      <c r="F294" s="1118" t="e">
        <f t="shared" si="209"/>
        <v>#DIV/0!</v>
      </c>
      <c r="G294" s="1118" t="e">
        <f t="shared" si="209"/>
        <v>#DIV/0!</v>
      </c>
      <c r="H294" s="1118">
        <f t="shared" si="209"/>
        <v>0.14446287083103004</v>
      </c>
      <c r="I294" s="1118">
        <f t="shared" si="209"/>
        <v>7.9119291756492044E-2</v>
      </c>
      <c r="J294" s="1118">
        <f t="shared" si="209"/>
        <v>8.2315443927017326E-2</v>
      </c>
      <c r="K294" s="1118">
        <f t="shared" si="209"/>
        <v>7.9568012529822069E-2</v>
      </c>
      <c r="L294" s="1118">
        <f t="shared" si="209"/>
        <v>8.4139163338238385E-2</v>
      </c>
      <c r="M294" s="1118">
        <f t="shared" si="209"/>
        <v>7.8101151682508682E-2</v>
      </c>
      <c r="N294" s="1118">
        <f t="shared" si="209"/>
        <v>6.3271562682860286E-2</v>
      </c>
      <c r="O294" s="1118">
        <f t="shared" si="209"/>
        <v>6.6792109666735044E-2</v>
      </c>
      <c r="P294" s="1118">
        <f t="shared" si="209"/>
        <v>6.9627583547828859E-2</v>
      </c>
      <c r="Q294" s="1118">
        <f t="shared" si="209"/>
        <v>7.5479561927726396E-2</v>
      </c>
      <c r="R294" s="1118">
        <f t="shared" si="209"/>
        <v>8.6237635348619487E-2</v>
      </c>
      <c r="S294" s="1118">
        <f t="shared" si="209"/>
        <v>7.9720651307549253E-2</v>
      </c>
      <c r="T294" s="1118">
        <f t="shared" si="209"/>
        <v>6.812859590450325E-2</v>
      </c>
      <c r="U294" s="1118">
        <f t="shared" si="209"/>
        <v>7.5923469502461843E-2</v>
      </c>
      <c r="V294" s="1118">
        <f t="shared" si="209"/>
        <v>7.3094015741755961E-2</v>
      </c>
      <c r="W294" s="1118">
        <f t="shared" si="209"/>
        <v>7.8129195632094708E-2</v>
      </c>
      <c r="X294" s="1118">
        <f t="shared" si="209"/>
        <v>7.517395352562499E-2</v>
      </c>
      <c r="Y294" s="1118">
        <f t="shared" ref="Y294:AE294" si="210">X294+Y295</f>
        <v>7.6673953525624991E-2</v>
      </c>
      <c r="Z294" s="1118">
        <f t="shared" si="210"/>
        <v>7.567395352562499E-2</v>
      </c>
      <c r="AA294" s="1118">
        <f t="shared" si="210"/>
        <v>7.4673953525624989E-2</v>
      </c>
      <c r="AB294" s="1118">
        <f t="shared" si="210"/>
        <v>7.3673953525624988E-2</v>
      </c>
      <c r="AC294" s="1118">
        <f t="shared" si="210"/>
        <v>7.1673953525624987E-2</v>
      </c>
      <c r="AD294" s="1118">
        <f t="shared" si="210"/>
        <v>6.9673953525624985E-2</v>
      </c>
      <c r="AE294" s="1118">
        <f t="shared" si="210"/>
        <v>6.7673953525624983E-2</v>
      </c>
      <c r="AF294" s="1118">
        <f>AE294+AF295</f>
        <v>6.5673953525624981E-2</v>
      </c>
      <c r="AG294" s="1118">
        <f>AF294+AG295</f>
        <v>6.3673953525624979E-2</v>
      </c>
      <c r="AH294" s="1118">
        <f>AG294+AH295</f>
        <v>6.1673953525624978E-2</v>
      </c>
      <c r="AI294" s="685"/>
      <c r="AJ294" s="685"/>
      <c r="AK294" s="685"/>
      <c r="AL294" s="685"/>
      <c r="AM294" s="685"/>
      <c r="AN294" s="685"/>
      <c r="AO294" s="685"/>
      <c r="AP294" s="685"/>
      <c r="AQ294" s="685"/>
      <c r="AR294" s="685"/>
      <c r="AS294" s="685"/>
      <c r="AT294" s="685"/>
      <c r="AU294" s="685"/>
      <c r="AV294" s="685"/>
      <c r="AW294" s="685"/>
      <c r="AX294" s="685"/>
      <c r="AY294" s="685"/>
      <c r="AZ294" s="685"/>
      <c r="BA294" s="685"/>
      <c r="BB294" s="685"/>
      <c r="BC294" s="685"/>
      <c r="BD294" s="685"/>
    </row>
    <row r="295" spans="1:56">
      <c r="A295" s="685"/>
      <c r="B295" s="1115" t="s">
        <v>205</v>
      </c>
      <c r="C295" s="1118"/>
      <c r="D295" s="1118" t="e">
        <f>D294-#REF!</f>
        <v>#DIV/0!</v>
      </c>
      <c r="E295" s="1118" t="e">
        <f t="shared" ref="E295:X295" si="211">E294-D294</f>
        <v>#DIV/0!</v>
      </c>
      <c r="F295" s="1118" t="e">
        <f t="shared" si="211"/>
        <v>#DIV/0!</v>
      </c>
      <c r="G295" s="1118" t="e">
        <f t="shared" si="211"/>
        <v>#DIV/0!</v>
      </c>
      <c r="H295" s="1118" t="e">
        <f t="shared" si="211"/>
        <v>#DIV/0!</v>
      </c>
      <c r="I295" s="1118">
        <f t="shared" si="211"/>
        <v>-6.5343579074538E-2</v>
      </c>
      <c r="J295" s="1118">
        <f t="shared" si="211"/>
        <v>3.1961521705252821E-3</v>
      </c>
      <c r="K295" s="1118">
        <f t="shared" si="211"/>
        <v>-2.7474313971952574E-3</v>
      </c>
      <c r="L295" s="1118">
        <f t="shared" si="211"/>
        <v>4.571150808416316E-3</v>
      </c>
      <c r="M295" s="1118">
        <f t="shared" si="211"/>
        <v>-6.0380116557297026E-3</v>
      </c>
      <c r="N295" s="1118">
        <f t="shared" si="211"/>
        <v>-1.4829588999648396E-2</v>
      </c>
      <c r="O295" s="1118">
        <f t="shared" si="211"/>
        <v>3.5205469838747588E-3</v>
      </c>
      <c r="P295" s="1118">
        <f t="shared" si="211"/>
        <v>2.835473881093814E-3</v>
      </c>
      <c r="Q295" s="1118">
        <f t="shared" si="211"/>
        <v>5.8519783798975378E-3</v>
      </c>
      <c r="R295" s="1118">
        <f t="shared" si="211"/>
        <v>1.0758073420893091E-2</v>
      </c>
      <c r="S295" s="1118">
        <f t="shared" si="211"/>
        <v>-6.516984041070234E-3</v>
      </c>
      <c r="T295" s="1118">
        <f t="shared" si="211"/>
        <v>-1.1592055403046003E-2</v>
      </c>
      <c r="U295" s="1118">
        <f t="shared" si="211"/>
        <v>7.7948735979585931E-3</v>
      </c>
      <c r="V295" s="1118">
        <f t="shared" si="211"/>
        <v>-2.8294537607058828E-3</v>
      </c>
      <c r="W295" s="1118">
        <f t="shared" si="211"/>
        <v>5.0351798903387479E-3</v>
      </c>
      <c r="X295" s="1118">
        <f t="shared" si="211"/>
        <v>-2.9552421064697187E-3</v>
      </c>
      <c r="Y295" s="1182">
        <v>1.5E-3</v>
      </c>
      <c r="Z295" s="1182">
        <v>-1E-3</v>
      </c>
      <c r="AA295" s="1182">
        <v>-1E-3</v>
      </c>
      <c r="AB295" s="1182">
        <v>-1E-3</v>
      </c>
      <c r="AC295" s="1182">
        <v>-2E-3</v>
      </c>
      <c r="AD295" s="1182">
        <v>-2E-3</v>
      </c>
      <c r="AE295" s="1182">
        <v>-2E-3</v>
      </c>
      <c r="AF295" s="1182">
        <v>-2E-3</v>
      </c>
      <c r="AG295" s="1182">
        <v>-2E-3</v>
      </c>
      <c r="AH295" s="1182">
        <v>-2E-3</v>
      </c>
      <c r="AI295" s="685"/>
      <c r="AJ295" s="685"/>
      <c r="AK295" s="685"/>
      <c r="AL295" s="685"/>
      <c r="AM295" s="685"/>
      <c r="AN295" s="685"/>
      <c r="AO295" s="685"/>
      <c r="AP295" s="685"/>
      <c r="AQ295" s="685"/>
      <c r="AR295" s="685"/>
      <c r="AS295" s="685"/>
      <c r="AT295" s="685"/>
      <c r="AU295" s="685"/>
      <c r="AV295" s="685"/>
      <c r="AW295" s="685"/>
      <c r="AX295" s="685"/>
      <c r="AY295" s="685"/>
      <c r="AZ295" s="685"/>
      <c r="BA295" s="685"/>
      <c r="BB295" s="685"/>
      <c r="BC295" s="685"/>
      <c r="BD295" s="685"/>
    </row>
    <row r="296" spans="1:56">
      <c r="A296" s="685"/>
      <c r="B296" s="1115"/>
      <c r="C296" s="1115"/>
      <c r="D296" s="1115"/>
      <c r="E296" s="1115"/>
      <c r="F296" s="1115"/>
      <c r="G296" s="1115"/>
      <c r="H296" s="1115"/>
      <c r="I296" s="1115"/>
      <c r="J296" s="1115"/>
      <c r="K296" s="1115"/>
      <c r="L296" s="1115"/>
      <c r="M296" s="1115"/>
      <c r="N296" s="1115"/>
      <c r="O296" s="1115"/>
      <c r="P296" s="1115"/>
      <c r="Q296" s="1115"/>
      <c r="R296" s="1115"/>
      <c r="S296" s="1115"/>
      <c r="T296" s="1115"/>
      <c r="U296" s="1115"/>
      <c r="V296" s="1115"/>
      <c r="W296" s="1115"/>
      <c r="X296" s="1115"/>
      <c r="Y296" s="1115"/>
      <c r="Z296" s="1115"/>
      <c r="AA296" s="1115"/>
      <c r="AB296" s="1115"/>
      <c r="AC296" s="1115"/>
      <c r="AD296" s="1115"/>
      <c r="AE296" s="1115"/>
      <c r="AF296" s="1115"/>
      <c r="AG296" s="1115"/>
      <c r="AH296" s="1115"/>
      <c r="AI296" s="685"/>
      <c r="AJ296" s="685"/>
      <c r="AK296" s="685"/>
      <c r="AL296" s="685"/>
      <c r="AM296" s="685"/>
      <c r="AN296" s="685"/>
      <c r="AO296" s="685"/>
      <c r="AP296" s="685"/>
      <c r="AQ296" s="685"/>
      <c r="AR296" s="685"/>
      <c r="AS296" s="685"/>
      <c r="AT296" s="685"/>
      <c r="AU296" s="685"/>
      <c r="AV296" s="685"/>
      <c r="AW296" s="685"/>
      <c r="AX296" s="685"/>
      <c r="AY296" s="685"/>
      <c r="AZ296" s="685"/>
      <c r="BA296" s="685"/>
      <c r="BB296" s="685"/>
      <c r="BC296" s="685"/>
      <c r="BD296" s="685"/>
    </row>
    <row r="297" spans="1:56">
      <c r="A297" s="685"/>
      <c r="B297" s="1115"/>
      <c r="C297" s="1115"/>
      <c r="D297" s="1115"/>
      <c r="E297" s="1115"/>
      <c r="F297" s="1115"/>
      <c r="G297" s="1115"/>
      <c r="H297" s="1115"/>
      <c r="I297" s="1115"/>
      <c r="J297" s="1115"/>
      <c r="K297" s="1115"/>
      <c r="L297" s="1115"/>
      <c r="M297" s="1115"/>
      <c r="N297" s="1115"/>
      <c r="O297" s="1115"/>
      <c r="P297" s="1115"/>
      <c r="Q297" s="1115"/>
      <c r="R297" s="1115"/>
      <c r="S297" s="1115"/>
      <c r="T297" s="1115"/>
      <c r="U297" s="1115"/>
      <c r="V297" s="1115"/>
      <c r="W297" s="1115"/>
      <c r="X297" s="1115"/>
      <c r="Y297" s="1115"/>
      <c r="Z297" s="1115"/>
      <c r="AA297" s="1115"/>
      <c r="AB297" s="1115"/>
      <c r="AC297" s="1115"/>
      <c r="AD297" s="1115"/>
      <c r="AE297" s="1115"/>
      <c r="AF297" s="1115"/>
      <c r="AG297" s="1115"/>
      <c r="AH297" s="1115"/>
      <c r="AI297" s="685"/>
      <c r="AJ297" s="685"/>
      <c r="AK297" s="685"/>
      <c r="AL297" s="685"/>
      <c r="AM297" s="685"/>
      <c r="AN297" s="685"/>
      <c r="AO297" s="685"/>
      <c r="AP297" s="685"/>
      <c r="AQ297" s="685"/>
      <c r="AR297" s="685"/>
      <c r="AS297" s="685"/>
      <c r="AT297" s="685"/>
      <c r="AU297" s="685"/>
      <c r="AV297" s="685"/>
      <c r="AW297" s="685"/>
      <c r="AX297" s="685"/>
      <c r="AY297" s="685"/>
      <c r="AZ297" s="685"/>
      <c r="BA297" s="685"/>
      <c r="BB297" s="685"/>
      <c r="BC297" s="685"/>
      <c r="BD297" s="685"/>
    </row>
    <row r="298" spans="1:56">
      <c r="A298" s="685"/>
      <c r="B298" s="1115" t="s">
        <v>321</v>
      </c>
      <c r="C298" s="1118"/>
      <c r="D298" s="1118" t="e">
        <f t="shared" ref="D298:AC298" si="212">D284/D300</f>
        <v>#DIV/0!</v>
      </c>
      <c r="E298" s="1118" t="e">
        <f t="shared" si="212"/>
        <v>#DIV/0!</v>
      </c>
      <c r="F298" s="1118" t="e">
        <f t="shared" si="212"/>
        <v>#DIV/0!</v>
      </c>
      <c r="G298" s="1118" t="e">
        <f t="shared" si="212"/>
        <v>#DIV/0!</v>
      </c>
      <c r="H298" s="1118">
        <f t="shared" si="212"/>
        <v>7.2213555208874842</v>
      </c>
      <c r="I298" s="1118">
        <f t="shared" si="212"/>
        <v>0.38616311517950486</v>
      </c>
      <c r="J298" s="1118">
        <f t="shared" si="212"/>
        <v>0.14232091883751771</v>
      </c>
      <c r="K298" s="1118">
        <f t="shared" si="212"/>
        <v>0.11588798076085252</v>
      </c>
      <c r="L298" s="1118">
        <f t="shared" si="212"/>
        <v>0.12121512136362886</v>
      </c>
      <c r="M298" s="1118">
        <f t="shared" si="212"/>
        <v>0.11189403973509934</v>
      </c>
      <c r="N298" s="1118">
        <f t="shared" si="212"/>
        <v>0.10857607200900113</v>
      </c>
      <c r="O298" s="1118">
        <f t="shared" si="212"/>
        <v>0.10454196788483414</v>
      </c>
      <c r="P298" s="1118">
        <f t="shared" si="212"/>
        <v>8.8496304832162073E-2</v>
      </c>
      <c r="Q298" s="1118">
        <f t="shared" si="212"/>
        <v>0.10012872814988802</v>
      </c>
      <c r="R298" s="1118">
        <f t="shared" si="212"/>
        <v>9.3986829171246913E-2</v>
      </c>
      <c r="S298" s="1118">
        <f t="shared" si="212"/>
        <v>5.3964155323067871E-2</v>
      </c>
      <c r="T298" s="1118">
        <f t="shared" si="212"/>
        <v>0.11220547592473251</v>
      </c>
      <c r="U298" s="1118">
        <f t="shared" si="212"/>
        <v>0.10697221525047178</v>
      </c>
      <c r="V298" s="1118">
        <f t="shared" si="212"/>
        <v>7.5588846302656915E-2</v>
      </c>
      <c r="W298" s="1118">
        <f t="shared" si="212"/>
        <v>7.4892818044316675E-2</v>
      </c>
      <c r="X298" s="1118">
        <f t="shared" si="212"/>
        <v>7.0655076723851767E-2</v>
      </c>
      <c r="Y298" s="1118">
        <f t="shared" ca="1" si="212"/>
        <v>8.9781003365086903E-2</v>
      </c>
      <c r="Z298" s="1118">
        <f t="shared" ca="1" si="212"/>
        <v>8.392551799110258E-2</v>
      </c>
      <c r="AA298" s="1118">
        <f t="shared" ca="1" si="212"/>
        <v>8.3028092921455104E-2</v>
      </c>
      <c r="AB298" s="1118">
        <f t="shared" ca="1" si="212"/>
        <v>8.3490041923326638E-2</v>
      </c>
      <c r="AC298" s="1118">
        <f t="shared" ca="1" si="212"/>
        <v>8.3051248387445264E-2</v>
      </c>
      <c r="AD298" s="1118">
        <f ca="1">AD284/AD300</f>
        <v>8.4964630231921745E-2</v>
      </c>
      <c r="AE298" s="1118">
        <f ca="1">AE284/AE300</f>
        <v>8.7943920538077494E-2</v>
      </c>
      <c r="AF298" s="1118">
        <f ca="1">AF284/AF300</f>
        <v>9.2288436977841976E-2</v>
      </c>
      <c r="AG298" s="1118">
        <f ca="1">AG284/AG300</f>
        <v>9.8267692933610762E-2</v>
      </c>
      <c r="AH298" s="1118">
        <f ca="1">AH284/AH300</f>
        <v>0.10254664060971187</v>
      </c>
      <c r="AI298" s="685"/>
      <c r="AJ298" s="685"/>
      <c r="AK298" s="685"/>
      <c r="AL298" s="685"/>
      <c r="AM298" s="685"/>
      <c r="AN298" s="685"/>
      <c r="AO298" s="685"/>
      <c r="AP298" s="685"/>
      <c r="AQ298" s="685"/>
      <c r="AR298" s="685"/>
      <c r="AS298" s="685"/>
      <c r="AT298" s="685"/>
      <c r="AU298" s="685"/>
      <c r="AV298" s="685"/>
      <c r="AW298" s="685"/>
      <c r="AX298" s="685"/>
      <c r="AY298" s="685"/>
      <c r="AZ298" s="685"/>
      <c r="BA298" s="685"/>
      <c r="BB298" s="685"/>
      <c r="BC298" s="685"/>
      <c r="BD298" s="685"/>
    </row>
    <row r="299" spans="1:56">
      <c r="A299" s="685"/>
      <c r="B299" s="1115" t="s">
        <v>205</v>
      </c>
      <c r="C299" s="1118"/>
      <c r="D299" s="1118" t="e">
        <f>D298-#REF!</f>
        <v>#DIV/0!</v>
      </c>
      <c r="E299" s="1118" t="e">
        <f t="shared" ref="E299:AE299" si="213">E298-D298</f>
        <v>#DIV/0!</v>
      </c>
      <c r="F299" s="1118" t="e">
        <f t="shared" si="213"/>
        <v>#DIV/0!</v>
      </c>
      <c r="G299" s="1118" t="e">
        <f t="shared" si="213"/>
        <v>#DIV/0!</v>
      </c>
      <c r="H299" s="1118" t="e">
        <f t="shared" si="213"/>
        <v>#DIV/0!</v>
      </c>
      <c r="I299" s="1118">
        <f t="shared" si="213"/>
        <v>-6.8351924057079794</v>
      </c>
      <c r="J299" s="1118">
        <f t="shared" si="213"/>
        <v>-0.24384219634198714</v>
      </c>
      <c r="K299" s="1118">
        <f t="shared" si="213"/>
        <v>-2.6432938076665191E-2</v>
      </c>
      <c r="L299" s="1118">
        <f t="shared" si="213"/>
        <v>5.3271406027763368E-3</v>
      </c>
      <c r="M299" s="1118">
        <f t="shared" si="213"/>
        <v>-9.3210816285295151E-3</v>
      </c>
      <c r="N299" s="1118">
        <f t="shared" si="213"/>
        <v>-3.3179677260982143E-3</v>
      </c>
      <c r="O299" s="1118">
        <f t="shared" si="213"/>
        <v>-4.0341041241669928E-3</v>
      </c>
      <c r="P299" s="1118">
        <f t="shared" si="213"/>
        <v>-1.6045663052672063E-2</v>
      </c>
      <c r="Q299" s="1118">
        <f t="shared" si="213"/>
        <v>1.1632423317725946E-2</v>
      </c>
      <c r="R299" s="1118">
        <f t="shared" si="213"/>
        <v>-6.1418989786411055E-3</v>
      </c>
      <c r="S299" s="1118">
        <f t="shared" si="213"/>
        <v>-4.0022673848179043E-2</v>
      </c>
      <c r="T299" s="1118">
        <f t="shared" si="213"/>
        <v>5.8241320601664641E-2</v>
      </c>
      <c r="U299" s="1118">
        <f t="shared" si="213"/>
        <v>-5.233260674260734E-3</v>
      </c>
      <c r="V299" s="1118">
        <f t="shared" si="213"/>
        <v>-3.1383368947814863E-2</v>
      </c>
      <c r="W299" s="1118">
        <f t="shared" si="213"/>
        <v>-6.960282583402394E-4</v>
      </c>
      <c r="X299" s="1118">
        <f t="shared" si="213"/>
        <v>-4.2377413204649078E-3</v>
      </c>
      <c r="Y299" s="1118">
        <f t="shared" ca="1" si="213"/>
        <v>1.9125926641235136E-2</v>
      </c>
      <c r="Z299" s="1118">
        <f t="shared" ca="1" si="213"/>
        <v>-5.8554853739843232E-3</v>
      </c>
      <c r="AA299" s="1118">
        <f t="shared" ca="1" si="213"/>
        <v>-8.9742506964747559E-4</v>
      </c>
      <c r="AB299" s="1118">
        <f t="shared" ca="1" si="213"/>
        <v>4.6194900187153387E-4</v>
      </c>
      <c r="AC299" s="1118">
        <f t="shared" ca="1" si="213"/>
        <v>-4.3879353588137382E-4</v>
      </c>
      <c r="AD299" s="1118">
        <f t="shared" ca="1" si="213"/>
        <v>1.9133818444764805E-3</v>
      </c>
      <c r="AE299" s="1118">
        <f t="shared" ca="1" si="213"/>
        <v>2.9792903061557491E-3</v>
      </c>
      <c r="AF299" s="1118">
        <f ca="1">AF298-AE298</f>
        <v>4.3445164397644814E-3</v>
      </c>
      <c r="AG299" s="1118">
        <f ca="1">AG298-AF298</f>
        <v>5.9792559557687863E-3</v>
      </c>
      <c r="AH299" s="1118">
        <f ca="1">AH298-AG298</f>
        <v>4.2789476761011108E-3</v>
      </c>
      <c r="AI299" s="685"/>
      <c r="AJ299" s="685"/>
      <c r="AK299" s="685"/>
      <c r="AL299" s="685"/>
      <c r="AM299" s="685"/>
      <c r="AN299" s="685"/>
      <c r="AO299" s="685"/>
      <c r="AP299" s="685"/>
      <c r="AQ299" s="685"/>
      <c r="AR299" s="685"/>
      <c r="AS299" s="685"/>
      <c r="AT299" s="685"/>
      <c r="AU299" s="685"/>
      <c r="AV299" s="685"/>
      <c r="AW299" s="685"/>
      <c r="AX299" s="685"/>
      <c r="AY299" s="685"/>
      <c r="AZ299" s="685"/>
      <c r="BA299" s="685"/>
      <c r="BB299" s="685"/>
      <c r="BC299" s="685"/>
      <c r="BD299" s="685"/>
    </row>
    <row r="300" spans="1:56">
      <c r="A300" s="685"/>
      <c r="B300" s="1115" t="s">
        <v>322</v>
      </c>
      <c r="C300" s="1123"/>
      <c r="D300" s="1123">
        <f>AVERAGE(D308:D308)</f>
        <v>0</v>
      </c>
      <c r="E300" s="1123">
        <f t="shared" ref="E300:AE300" si="214">AVERAGE(D308:E308)</f>
        <v>0</v>
      </c>
      <c r="F300" s="1123">
        <f t="shared" si="214"/>
        <v>0</v>
      </c>
      <c r="G300" s="1123">
        <f t="shared" si="214"/>
        <v>0</v>
      </c>
      <c r="H300" s="1123">
        <f t="shared" si="214"/>
        <v>288.45000000000073</v>
      </c>
      <c r="I300" s="1123">
        <f t="shared" si="214"/>
        <v>6647.4500000000007</v>
      </c>
      <c r="J300" s="1123">
        <f t="shared" si="214"/>
        <v>22245.5</v>
      </c>
      <c r="K300" s="1123">
        <f t="shared" si="214"/>
        <v>28691.5</v>
      </c>
      <c r="L300" s="1123">
        <f t="shared" si="214"/>
        <v>30301.5</v>
      </c>
      <c r="M300" s="1123">
        <f t="shared" si="214"/>
        <v>37750</v>
      </c>
      <c r="N300" s="1123">
        <f t="shared" si="214"/>
        <v>47994</v>
      </c>
      <c r="O300" s="1123">
        <f t="shared" si="214"/>
        <v>66943.45</v>
      </c>
      <c r="P300" s="1123">
        <f t="shared" si="214"/>
        <v>78839.45</v>
      </c>
      <c r="Q300" s="1123">
        <f t="shared" si="214"/>
        <v>81295.350000000006</v>
      </c>
      <c r="R300" s="1123">
        <f t="shared" si="214"/>
        <v>93745.05</v>
      </c>
      <c r="S300" s="1123">
        <f t="shared" si="214"/>
        <v>103479.80000000002</v>
      </c>
      <c r="T300" s="1123">
        <f t="shared" si="214"/>
        <v>106215.85</v>
      </c>
      <c r="U300" s="1123">
        <f t="shared" si="214"/>
        <v>86061.599999999991</v>
      </c>
      <c r="V300" s="1123">
        <f t="shared" si="214"/>
        <v>62859.908999999992</v>
      </c>
      <c r="W300" s="1123">
        <f t="shared" si="214"/>
        <v>62691.872499999998</v>
      </c>
      <c r="X300" s="1123">
        <f t="shared" si="214"/>
        <v>58598.563500000004</v>
      </c>
      <c r="Y300" s="1123">
        <f t="shared" ca="1" si="214"/>
        <v>54853.997464390312</v>
      </c>
      <c r="Z300" s="1123">
        <f t="shared" ca="1" si="214"/>
        <v>54997.76812502995</v>
      </c>
      <c r="AA300" s="1123">
        <f t="shared" ca="1" si="214"/>
        <v>55568.962908685229</v>
      </c>
      <c r="AB300" s="1123">
        <f t="shared" ca="1" si="214"/>
        <v>55042.1919062905</v>
      </c>
      <c r="AC300" s="1123">
        <f t="shared" ca="1" si="214"/>
        <v>53327.459031334176</v>
      </c>
      <c r="AD300" s="1123">
        <f t="shared" ca="1" si="214"/>
        <v>51208.19812243677</v>
      </c>
      <c r="AE300" s="1123">
        <f t="shared" ca="1" si="214"/>
        <v>48747.085568798226</v>
      </c>
      <c r="AF300" s="1123">
        <f ca="1">AVERAGE(AE308:AF308)</f>
        <v>45992.835872482043</v>
      </c>
      <c r="AG300" s="1123">
        <f ca="1">AVERAGE(AF308:AG308)</f>
        <v>43074.681704677641</v>
      </c>
      <c r="AH300" s="1123">
        <f ca="1">AVERAGE(AG308:AH308)</f>
        <v>40167.144805572272</v>
      </c>
      <c r="AI300" s="685"/>
      <c r="AJ300" s="685"/>
      <c r="AK300" s="685"/>
      <c r="AL300" s="685"/>
      <c r="AM300" s="685"/>
      <c r="AN300" s="685"/>
      <c r="AO300" s="685"/>
      <c r="AP300" s="685"/>
      <c r="AQ300" s="685"/>
      <c r="AR300" s="685"/>
      <c r="AS300" s="685"/>
      <c r="AT300" s="685"/>
      <c r="AU300" s="685"/>
      <c r="AV300" s="685"/>
      <c r="AW300" s="685"/>
      <c r="AX300" s="685"/>
      <c r="AY300" s="685"/>
      <c r="AZ300" s="685"/>
      <c r="BA300" s="685"/>
      <c r="BB300" s="685"/>
      <c r="BC300" s="685"/>
      <c r="BD300" s="685"/>
    </row>
    <row r="301" spans="1:56">
      <c r="A301" s="685"/>
      <c r="B301" s="1115"/>
      <c r="C301" s="1115"/>
      <c r="D301" s="1115"/>
      <c r="E301" s="1115"/>
      <c r="F301" s="1115"/>
      <c r="G301" s="1115"/>
      <c r="H301" s="1115"/>
      <c r="I301" s="1115"/>
      <c r="J301" s="1115"/>
      <c r="K301" s="1115"/>
      <c r="L301" s="1124"/>
      <c r="M301" s="1124"/>
      <c r="N301" s="1115"/>
      <c r="O301" s="1115"/>
      <c r="P301" s="1115"/>
      <c r="Q301" s="1115"/>
      <c r="R301" s="1115"/>
      <c r="S301" s="1115"/>
      <c r="T301" s="1115"/>
      <c r="V301" s="1115"/>
      <c r="W301" s="1115"/>
      <c r="X301" s="1115"/>
      <c r="Y301" s="1115"/>
      <c r="Z301" s="1115"/>
      <c r="AA301" s="1115"/>
      <c r="AB301" s="1115"/>
      <c r="AC301" s="1115"/>
      <c r="AD301" s="1115"/>
      <c r="AE301" s="1115"/>
      <c r="AF301" s="1115"/>
      <c r="AG301" s="1115"/>
      <c r="AH301" s="1115"/>
      <c r="AI301" s="685"/>
      <c r="AJ301" s="685"/>
      <c r="AK301" s="685"/>
      <c r="AL301" s="685"/>
      <c r="AM301" s="685"/>
      <c r="AN301" s="685"/>
      <c r="AO301" s="685"/>
      <c r="AP301" s="685"/>
      <c r="AQ301" s="685"/>
      <c r="AR301" s="685"/>
      <c r="AS301" s="685"/>
      <c r="AT301" s="685"/>
      <c r="AU301" s="685"/>
      <c r="AV301" s="685"/>
      <c r="AW301" s="685"/>
      <c r="AX301" s="685"/>
      <c r="AY301" s="685"/>
      <c r="AZ301" s="685"/>
      <c r="BA301" s="685"/>
      <c r="BB301" s="685"/>
      <c r="BC301" s="685"/>
      <c r="BD301" s="685"/>
    </row>
    <row r="302" spans="1:56">
      <c r="A302" s="685"/>
      <c r="B302" s="1115" t="s">
        <v>8067</v>
      </c>
      <c r="C302" s="1115"/>
      <c r="D302" s="1115"/>
      <c r="E302" s="1115"/>
      <c r="F302" s="1115"/>
      <c r="G302" s="1115"/>
      <c r="H302" s="1115"/>
      <c r="I302" s="1115"/>
      <c r="J302" s="1115"/>
      <c r="K302" s="1115"/>
      <c r="L302" s="1124"/>
      <c r="M302" s="1124"/>
      <c r="N302" s="1115"/>
      <c r="O302" s="1115"/>
      <c r="P302" s="1115"/>
      <c r="Q302" s="1115"/>
      <c r="R302" s="1115"/>
      <c r="S302" s="1965">
        <v>461.89499999999998</v>
      </c>
      <c r="T302" s="1965">
        <v>431.41899999999998</v>
      </c>
      <c r="U302" s="1965">
        <v>358.99700000000001</v>
      </c>
      <c r="V302" s="1965">
        <v>347.36500000000001</v>
      </c>
      <c r="W302" s="1965">
        <v>291.80200000000002</v>
      </c>
      <c r="X302" s="1965">
        <v>308.75299999999999</v>
      </c>
      <c r="Y302" s="1179">
        <f t="shared" ref="Y302:AH302" si="215">X302</f>
        <v>308.75299999999999</v>
      </c>
      <c r="Z302" s="1179">
        <f t="shared" si="215"/>
        <v>308.75299999999999</v>
      </c>
      <c r="AA302" s="1179">
        <f t="shared" si="215"/>
        <v>308.75299999999999</v>
      </c>
      <c r="AB302" s="1179">
        <f t="shared" si="215"/>
        <v>308.75299999999999</v>
      </c>
      <c r="AC302" s="1179">
        <f t="shared" si="215"/>
        <v>308.75299999999999</v>
      </c>
      <c r="AD302" s="1179">
        <f t="shared" si="215"/>
        <v>308.75299999999999</v>
      </c>
      <c r="AE302" s="1179">
        <f t="shared" si="215"/>
        <v>308.75299999999999</v>
      </c>
      <c r="AF302" s="1179">
        <f t="shared" si="215"/>
        <v>308.75299999999999</v>
      </c>
      <c r="AG302" s="1179">
        <f t="shared" si="215"/>
        <v>308.75299999999999</v>
      </c>
      <c r="AH302" s="1179">
        <f t="shared" si="215"/>
        <v>308.75299999999999</v>
      </c>
      <c r="AI302" s="685"/>
      <c r="AJ302" s="685"/>
      <c r="AK302" s="685"/>
      <c r="AL302" s="685"/>
      <c r="AM302" s="685"/>
      <c r="AN302" s="685"/>
      <c r="AO302" s="685"/>
      <c r="AP302" s="685"/>
      <c r="AQ302" s="685"/>
      <c r="AR302" s="685"/>
      <c r="AS302" s="685"/>
      <c r="AT302" s="685"/>
      <c r="AU302" s="685"/>
      <c r="AV302" s="685"/>
      <c r="AW302" s="685"/>
      <c r="AX302" s="685"/>
      <c r="AY302" s="685"/>
      <c r="AZ302" s="685"/>
      <c r="BA302" s="685"/>
      <c r="BB302" s="685"/>
      <c r="BC302" s="685"/>
      <c r="BD302" s="685"/>
    </row>
    <row r="303" spans="1:56">
      <c r="A303" s="685"/>
      <c r="B303" s="1115"/>
      <c r="C303" s="1115"/>
      <c r="D303" s="1115"/>
      <c r="E303" s="1115"/>
      <c r="F303" s="1115"/>
      <c r="G303" s="1115"/>
      <c r="H303" s="1115"/>
      <c r="I303" s="1115"/>
      <c r="J303" s="1115"/>
      <c r="K303" s="1115"/>
      <c r="L303" s="1124"/>
      <c r="M303" s="1124"/>
      <c r="N303" s="1115"/>
      <c r="O303" s="1115"/>
      <c r="P303" s="1115"/>
      <c r="Q303" s="1115"/>
      <c r="R303" s="1115"/>
      <c r="S303" s="1123">
        <f t="shared" ref="S303:X303" si="216">S292-S302</f>
        <v>10040.105</v>
      </c>
      <c r="T303" s="1123">
        <f t="shared" si="216"/>
        <v>8674.5810000000001</v>
      </c>
      <c r="U303" s="1123">
        <f t="shared" si="216"/>
        <v>9096.603000000001</v>
      </c>
      <c r="V303" s="1123">
        <f t="shared" si="216"/>
        <v>7306.9350000000004</v>
      </c>
      <c r="W303" s="1123">
        <f t="shared" si="216"/>
        <v>7683.7520000000004</v>
      </c>
      <c r="X303" s="1123">
        <f t="shared" si="216"/>
        <v>7199.8470000000007</v>
      </c>
      <c r="Y303" s="1123">
        <f t="shared" ref="Y303:AH303" si="217">Y292-Y302</f>
        <v>6734.9611846133694</v>
      </c>
      <c r="Z303" s="1123">
        <f t="shared" si="217"/>
        <v>6459.9692417764763</v>
      </c>
      <c r="AA303" s="1123">
        <f t="shared" si="217"/>
        <v>6203.2151936693181</v>
      </c>
      <c r="AB303" s="1123">
        <f t="shared" si="217"/>
        <v>6207.5382197296703</v>
      </c>
      <c r="AC303" s="1123">
        <f t="shared" si="217"/>
        <v>6121.4673953648862</v>
      </c>
      <c r="AD303" s="1123">
        <f t="shared" si="217"/>
        <v>6032.093612130112</v>
      </c>
      <c r="AE303" s="1123">
        <f t="shared" si="217"/>
        <v>5939.299109470694</v>
      </c>
      <c r="AF303" s="1123">
        <f t="shared" si="217"/>
        <v>5842.9627375933387</v>
      </c>
      <c r="AG303" s="1123">
        <f t="shared" si="217"/>
        <v>5742.9598690007942</v>
      </c>
      <c r="AH303" s="1123">
        <f t="shared" si="217"/>
        <v>5639.1623078436032</v>
      </c>
      <c r="AI303" s="685"/>
      <c r="AJ303" s="685"/>
      <c r="AK303" s="685"/>
      <c r="AL303" s="685"/>
      <c r="AM303" s="685"/>
      <c r="AN303" s="685"/>
      <c r="AO303" s="685"/>
      <c r="AP303" s="685"/>
      <c r="AQ303" s="685"/>
      <c r="AR303" s="685"/>
      <c r="AS303" s="685"/>
      <c r="AT303" s="685"/>
      <c r="AU303" s="685"/>
      <c r="AV303" s="685"/>
      <c r="AW303" s="685"/>
      <c r="AX303" s="685"/>
      <c r="AY303" s="685"/>
      <c r="AZ303" s="685"/>
      <c r="BA303" s="685"/>
      <c r="BB303" s="685"/>
      <c r="BC303" s="685"/>
      <c r="BD303" s="685"/>
    </row>
    <row r="304" spans="1:56">
      <c r="A304" s="685"/>
      <c r="B304" s="1115"/>
      <c r="C304" s="1115"/>
      <c r="D304" s="1115"/>
      <c r="E304" s="1115"/>
      <c r="F304" s="1115"/>
      <c r="G304" s="1115"/>
      <c r="H304" s="1115"/>
      <c r="I304" s="1115"/>
      <c r="J304" s="1115"/>
      <c r="K304" s="1115"/>
      <c r="L304" s="1124"/>
      <c r="M304" s="1124"/>
      <c r="N304" s="1115"/>
      <c r="O304" s="1115"/>
      <c r="P304" s="1115"/>
      <c r="Q304" s="1115"/>
      <c r="R304" s="1115"/>
      <c r="S304" s="1115"/>
      <c r="T304" s="1115"/>
      <c r="U304" s="1805"/>
      <c r="V304" s="1115"/>
      <c r="W304" s="1115"/>
      <c r="X304" s="1115"/>
      <c r="Y304" s="1115"/>
      <c r="Z304" s="1115"/>
      <c r="AA304" s="1115"/>
      <c r="AB304" s="1115"/>
      <c r="AC304" s="1115"/>
      <c r="AD304" s="1115"/>
      <c r="AE304" s="1115"/>
      <c r="AF304" s="1115"/>
      <c r="AG304" s="1115"/>
      <c r="AH304" s="1115"/>
      <c r="AI304" s="685"/>
      <c r="AJ304" s="685"/>
      <c r="AK304" s="685"/>
      <c r="AL304" s="685"/>
      <c r="AM304" s="685"/>
      <c r="AN304" s="685"/>
      <c r="AO304" s="685"/>
      <c r="AP304" s="685"/>
      <c r="AQ304" s="685"/>
      <c r="AR304" s="685"/>
      <c r="AS304" s="685"/>
      <c r="AT304" s="685"/>
      <c r="AU304" s="685"/>
      <c r="AV304" s="685"/>
      <c r="AW304" s="685"/>
      <c r="AX304" s="685"/>
      <c r="AY304" s="685"/>
      <c r="AZ304" s="685"/>
      <c r="BA304" s="685"/>
      <c r="BB304" s="685"/>
      <c r="BC304" s="685"/>
      <c r="BD304" s="685"/>
    </row>
    <row r="305" spans="1:56">
      <c r="A305" s="685"/>
      <c r="B305" s="1115"/>
      <c r="C305" s="1115"/>
      <c r="D305" s="1115"/>
      <c r="E305" s="1115"/>
      <c r="F305" s="1115"/>
      <c r="G305" s="1115"/>
      <c r="H305" s="1115"/>
      <c r="I305" s="1115"/>
      <c r="J305" s="1115"/>
      <c r="K305" s="1115"/>
      <c r="L305" s="1124"/>
      <c r="M305" s="1124"/>
      <c r="N305" s="1115"/>
      <c r="O305" s="1115"/>
      <c r="P305" s="1115"/>
      <c r="Q305" s="1115"/>
      <c r="R305" s="1115"/>
      <c r="S305" s="1115"/>
      <c r="T305" s="1115"/>
      <c r="U305" s="1805" t="s">
        <v>323</v>
      </c>
      <c r="V305" s="1115"/>
      <c r="W305" s="1115"/>
      <c r="X305" s="1115"/>
      <c r="Y305" s="1115"/>
      <c r="Z305" s="1115"/>
      <c r="AA305" s="1115"/>
      <c r="AB305" s="1115"/>
      <c r="AC305" s="1115"/>
      <c r="AD305" s="1115"/>
      <c r="AE305" s="1115"/>
      <c r="AF305" s="1115"/>
      <c r="AG305" s="1115"/>
      <c r="AH305" s="1115"/>
      <c r="AI305" s="685"/>
      <c r="AJ305" s="685"/>
      <c r="AK305" s="685"/>
      <c r="AL305" s="685"/>
      <c r="AM305" s="685"/>
      <c r="AN305" s="685"/>
      <c r="AO305" s="685"/>
      <c r="AP305" s="685"/>
      <c r="AQ305" s="685"/>
      <c r="AR305" s="685"/>
      <c r="AS305" s="685"/>
      <c r="AT305" s="685"/>
      <c r="AU305" s="685"/>
      <c r="AV305" s="685"/>
      <c r="AW305" s="685"/>
      <c r="AX305" s="685"/>
      <c r="AY305" s="685"/>
      <c r="AZ305" s="685"/>
      <c r="BA305" s="685"/>
      <c r="BB305" s="685"/>
      <c r="BC305" s="685"/>
      <c r="BD305" s="685"/>
    </row>
    <row r="306" spans="1:56">
      <c r="A306" s="685"/>
      <c r="B306" s="1115" t="s">
        <v>324</v>
      </c>
      <c r="C306" s="1166"/>
      <c r="D306" s="1123">
        <f>D312</f>
        <v>0</v>
      </c>
      <c r="E306" s="1123">
        <f>E312</f>
        <v>0</v>
      </c>
      <c r="F306" s="1123">
        <f>F312</f>
        <v>0</v>
      </c>
      <c r="G306" s="1123">
        <f>G312</f>
        <v>0</v>
      </c>
      <c r="H306" s="1123">
        <f t="shared" ref="H306:AC306" si="218">H312+H311</f>
        <v>43416</v>
      </c>
      <c r="I306" s="1123">
        <f t="shared" si="218"/>
        <v>47965</v>
      </c>
      <c r="J306" s="1123">
        <f t="shared" si="218"/>
        <v>56827</v>
      </c>
      <c r="K306" s="1123">
        <f t="shared" si="218"/>
        <v>52991</v>
      </c>
      <c r="L306" s="1123">
        <f t="shared" si="218"/>
        <v>61177</v>
      </c>
      <c r="M306" s="1123">
        <f t="shared" si="218"/>
        <v>80997.600000000006</v>
      </c>
      <c r="N306" s="1123">
        <f t="shared" si="218"/>
        <v>116215.8</v>
      </c>
      <c r="O306" s="1123">
        <f t="shared" si="218"/>
        <v>138242.4</v>
      </c>
      <c r="P306" s="1123">
        <f t="shared" si="218"/>
        <v>127342</v>
      </c>
      <c r="Q306" s="1123">
        <f t="shared" si="218"/>
        <v>129866.7</v>
      </c>
      <c r="R306" s="1123">
        <f t="shared" si="218"/>
        <v>131624.70000000001</v>
      </c>
      <c r="S306" s="1123">
        <f t="shared" si="218"/>
        <v>131845.30000000002</v>
      </c>
      <c r="T306" s="1123">
        <f t="shared" si="218"/>
        <v>135472.69999999998</v>
      </c>
      <c r="U306" s="1123">
        <f t="shared" si="218"/>
        <v>113609.7</v>
      </c>
      <c r="V306" s="1123">
        <f t="shared" si="218"/>
        <v>95827.417999999991</v>
      </c>
      <c r="W306" s="1123">
        <f t="shared" si="218"/>
        <v>108335.8</v>
      </c>
      <c r="X306" s="1123">
        <f t="shared" si="218"/>
        <v>91430.2</v>
      </c>
      <c r="Y306" s="1123">
        <f>Y312+Y311</f>
        <v>92301.402734149058</v>
      </c>
      <c r="Z306" s="1123">
        <f t="shared" si="218"/>
        <v>86590.327548832036</v>
      </c>
      <c r="AA306" s="1123">
        <f t="shared" si="218"/>
        <v>87820.370859808696</v>
      </c>
      <c r="AB306" s="1123">
        <f t="shared" si="218"/>
        <v>89075.015037004865</v>
      </c>
      <c r="AC306" s="1123">
        <f t="shared" si="218"/>
        <v>90354.75209774496</v>
      </c>
      <c r="AD306" s="1123">
        <f>AD312+AD311</f>
        <v>91660.083899699865</v>
      </c>
      <c r="AE306" s="1123">
        <f>AE312+AE311</f>
        <v>92991.522337693852</v>
      </c>
      <c r="AF306" s="1123">
        <f>AF312+AF311</f>
        <v>94349.589544447736</v>
      </c>
      <c r="AG306" s="1123">
        <f>AG312+AG311</f>
        <v>95734.818095336697</v>
      </c>
      <c r="AH306" s="1123">
        <f>AH312+AH311</f>
        <v>97147.751217243436</v>
      </c>
      <c r="AI306" s="685"/>
      <c r="AJ306" s="685"/>
      <c r="AK306" s="685"/>
      <c r="AL306" s="685"/>
      <c r="AM306" s="685"/>
      <c r="AN306" s="685"/>
      <c r="AO306" s="685"/>
      <c r="AP306" s="685"/>
      <c r="AQ306" s="685"/>
      <c r="AR306" s="685"/>
      <c r="AS306" s="685"/>
      <c r="AT306" s="685"/>
      <c r="AU306" s="685"/>
      <c r="AV306" s="685"/>
      <c r="AW306" s="685"/>
      <c r="AX306" s="685"/>
      <c r="AY306" s="685"/>
      <c r="AZ306" s="685"/>
      <c r="BA306" s="685"/>
      <c r="BB306" s="685"/>
      <c r="BC306" s="685"/>
      <c r="BD306" s="685"/>
    </row>
    <row r="307" spans="1:56">
      <c r="A307" s="685"/>
      <c r="B307" s="1115" t="s">
        <v>325</v>
      </c>
      <c r="C307" s="1183"/>
      <c r="D307" s="1183">
        <f t="shared" ref="D307:X307" si="219">D325</f>
        <v>0</v>
      </c>
      <c r="E307" s="1183">
        <f t="shared" si="219"/>
        <v>0</v>
      </c>
      <c r="F307" s="1183">
        <f t="shared" si="219"/>
        <v>0</v>
      </c>
      <c r="G307" s="1183">
        <f t="shared" si="219"/>
        <v>0</v>
      </c>
      <c r="H307" s="1183">
        <f t="shared" si="219"/>
        <v>42839.1</v>
      </c>
      <c r="I307" s="1183">
        <f t="shared" si="219"/>
        <v>35247</v>
      </c>
      <c r="J307" s="1183">
        <f t="shared" si="219"/>
        <v>25054</v>
      </c>
      <c r="K307" s="1183">
        <f t="shared" si="219"/>
        <v>27381</v>
      </c>
      <c r="L307" s="1183">
        <f t="shared" si="219"/>
        <v>26184</v>
      </c>
      <c r="M307" s="1183">
        <f t="shared" si="219"/>
        <v>40490.6</v>
      </c>
      <c r="N307" s="1183">
        <f t="shared" si="219"/>
        <v>60734.8</v>
      </c>
      <c r="O307" s="1183">
        <f t="shared" si="219"/>
        <v>59836.499999999993</v>
      </c>
      <c r="P307" s="1183">
        <f t="shared" si="219"/>
        <v>48069</v>
      </c>
      <c r="Q307" s="1183">
        <f t="shared" si="219"/>
        <v>46549</v>
      </c>
      <c r="R307" s="1183">
        <f t="shared" si="219"/>
        <v>27452.3</v>
      </c>
      <c r="S307" s="1183">
        <f t="shared" si="219"/>
        <v>29058.1</v>
      </c>
      <c r="T307" s="1183">
        <f t="shared" si="219"/>
        <v>25828.2</v>
      </c>
      <c r="U307" s="1183">
        <f t="shared" si="219"/>
        <v>51131</v>
      </c>
      <c r="V307" s="1183">
        <f t="shared" si="219"/>
        <v>32586.3</v>
      </c>
      <c r="W307" s="1183">
        <f t="shared" si="219"/>
        <v>46193.173000000003</v>
      </c>
      <c r="X307" s="1183">
        <f t="shared" si="219"/>
        <v>36375.699999999997</v>
      </c>
      <c r="Y307" s="1183">
        <f t="shared" ref="Y307:AH307" ca="1" si="220">Y306-Y308</f>
        <v>37647.907805368442</v>
      </c>
      <c r="Z307" s="1183">
        <f t="shared" ca="1" si="220"/>
        <v>31248.286227552744</v>
      </c>
      <c r="AA307" s="1183">
        <f t="shared" ca="1" si="220"/>
        <v>32024.486363717529</v>
      </c>
      <c r="AB307" s="1183">
        <f t="shared" ca="1" si="220"/>
        <v>34786.515720515032</v>
      </c>
      <c r="AC307" s="1183">
        <f t="shared" ca="1" si="220"/>
        <v>37988.333351566449</v>
      </c>
      <c r="AD307" s="1183">
        <f t="shared" ca="1" si="220"/>
        <v>41610.106401004836</v>
      </c>
      <c r="AE307" s="1183">
        <f t="shared" ca="1" si="220"/>
        <v>45547.328698792429</v>
      </c>
      <c r="AF307" s="1183">
        <f t="shared" ca="1" si="220"/>
        <v>49808.111438385065</v>
      </c>
      <c r="AG307" s="1183">
        <f t="shared" ca="1" si="220"/>
        <v>54126.932792044077</v>
      </c>
      <c r="AH307" s="1183">
        <f t="shared" ca="1" si="220"/>
        <v>58421.346909391505</v>
      </c>
      <c r="AI307" s="1189"/>
      <c r="AJ307" s="685"/>
      <c r="AK307" s="685"/>
      <c r="AL307" s="685"/>
      <c r="AM307" s="685"/>
      <c r="AN307" s="685"/>
      <c r="AO307" s="685"/>
      <c r="AP307" s="685"/>
      <c r="AQ307" s="685"/>
      <c r="AR307" s="685"/>
      <c r="AS307" s="685"/>
      <c r="AT307" s="685"/>
      <c r="AU307" s="685"/>
      <c r="AV307" s="685"/>
      <c r="AW307" s="685"/>
      <c r="AX307" s="685"/>
      <c r="AY307" s="685"/>
      <c r="AZ307" s="685"/>
      <c r="BA307" s="685"/>
      <c r="BB307" s="685"/>
      <c r="BC307" s="685"/>
      <c r="BD307" s="685"/>
    </row>
    <row r="308" spans="1:56">
      <c r="A308" s="685"/>
      <c r="B308" s="1113" t="s">
        <v>271</v>
      </c>
      <c r="C308" s="1114"/>
      <c r="D308" s="1114">
        <f t="shared" ref="D308:V308" si="221">D306-D307</f>
        <v>0</v>
      </c>
      <c r="E308" s="1114">
        <f t="shared" si="221"/>
        <v>0</v>
      </c>
      <c r="F308" s="1114">
        <f t="shared" si="221"/>
        <v>0</v>
      </c>
      <c r="G308" s="1114">
        <f t="shared" si="221"/>
        <v>0</v>
      </c>
      <c r="H308" s="1114">
        <f t="shared" si="221"/>
        <v>576.90000000000146</v>
      </c>
      <c r="I308" s="1114">
        <f t="shared" si="221"/>
        <v>12718</v>
      </c>
      <c r="J308" s="1114">
        <f t="shared" si="221"/>
        <v>31773</v>
      </c>
      <c r="K308" s="1114">
        <f t="shared" si="221"/>
        <v>25610</v>
      </c>
      <c r="L308" s="1114">
        <f t="shared" si="221"/>
        <v>34993</v>
      </c>
      <c r="M308" s="1114">
        <f t="shared" si="221"/>
        <v>40507.000000000007</v>
      </c>
      <c r="N308" s="1114">
        <f t="shared" si="221"/>
        <v>55481</v>
      </c>
      <c r="O308" s="1114">
        <f t="shared" si="221"/>
        <v>78405.899999999994</v>
      </c>
      <c r="P308" s="1114">
        <f t="shared" si="221"/>
        <v>79273</v>
      </c>
      <c r="Q308" s="1114">
        <f t="shared" si="221"/>
        <v>83317.7</v>
      </c>
      <c r="R308" s="1114">
        <f t="shared" si="221"/>
        <v>104172.40000000001</v>
      </c>
      <c r="S308" s="1114">
        <f t="shared" si="221"/>
        <v>102787.20000000001</v>
      </c>
      <c r="T308" s="1114">
        <f t="shared" si="221"/>
        <v>109644.49999999999</v>
      </c>
      <c r="U308" s="1114">
        <f t="shared" si="221"/>
        <v>62478.7</v>
      </c>
      <c r="V308" s="1114">
        <f t="shared" si="221"/>
        <v>63241.117999999988</v>
      </c>
      <c r="W308" s="1114">
        <f>W306-W307</f>
        <v>62142.627</v>
      </c>
      <c r="X308" s="1114">
        <f>X306-X307</f>
        <v>55054.5</v>
      </c>
      <c r="Y308" s="1114">
        <f ca="1">Y221</f>
        <v>54653.494928780616</v>
      </c>
      <c r="Z308" s="1114">
        <f t="shared" ref="Z308:AH308" ca="1" si="222">Z221</f>
        <v>55342.041321279292</v>
      </c>
      <c r="AA308" s="1114">
        <f t="shared" ca="1" si="222"/>
        <v>55795.884496091167</v>
      </c>
      <c r="AB308" s="1114">
        <f t="shared" ca="1" si="222"/>
        <v>54288.499316489833</v>
      </c>
      <c r="AC308" s="1114">
        <f t="shared" ca="1" si="222"/>
        <v>52366.418746178511</v>
      </c>
      <c r="AD308" s="1114">
        <f t="shared" ca="1" si="222"/>
        <v>50049.977498695029</v>
      </c>
      <c r="AE308" s="1114">
        <f t="shared" ca="1" si="222"/>
        <v>47444.193638901423</v>
      </c>
      <c r="AF308" s="1114">
        <f t="shared" ca="1" si="222"/>
        <v>44541.47810606267</v>
      </c>
      <c r="AG308" s="1114">
        <f t="shared" ca="1" si="222"/>
        <v>41607.88530329262</v>
      </c>
      <c r="AH308" s="1114">
        <f t="shared" ca="1" si="222"/>
        <v>38726.404307851932</v>
      </c>
      <c r="AI308" s="685"/>
      <c r="AJ308" s="685"/>
      <c r="AK308" s="685"/>
      <c r="AL308" s="685"/>
      <c r="AM308" s="685"/>
      <c r="AN308" s="685"/>
      <c r="AO308" s="685"/>
      <c r="AP308" s="685"/>
      <c r="AQ308" s="685"/>
      <c r="AR308" s="685"/>
      <c r="AS308" s="685"/>
      <c r="AT308" s="685"/>
      <c r="AU308" s="685"/>
      <c r="AV308" s="685"/>
      <c r="AW308" s="685"/>
      <c r="AX308" s="685"/>
      <c r="AY308" s="685"/>
      <c r="AZ308" s="685"/>
      <c r="BA308" s="685"/>
      <c r="BB308" s="685"/>
      <c r="BC308" s="685"/>
      <c r="BD308" s="685"/>
    </row>
    <row r="309" spans="1:56">
      <c r="A309" s="685"/>
      <c r="B309" s="1115" t="s">
        <v>326</v>
      </c>
      <c r="C309" s="1117"/>
      <c r="D309" s="1117">
        <v>0</v>
      </c>
      <c r="E309" s="1117">
        <v>0</v>
      </c>
      <c r="F309" s="1117">
        <v>0</v>
      </c>
      <c r="G309" s="1117">
        <v>0</v>
      </c>
      <c r="H309" s="1117">
        <v>0</v>
      </c>
      <c r="I309" s="1117">
        <v>6.2926463499544747</v>
      </c>
      <c r="J309" s="1117">
        <f t="shared" ref="J309:AC309" si="223">J307/J132</f>
        <v>0.40034195409186418</v>
      </c>
      <c r="K309" s="1117">
        <f t="shared" si="223"/>
        <v>0.39516296629836173</v>
      </c>
      <c r="L309" s="1117">
        <f t="shared" si="223"/>
        <v>0.3548275189176297</v>
      </c>
      <c r="M309" s="1117">
        <f t="shared" si="223"/>
        <v>0.50538453089427648</v>
      </c>
      <c r="N309" s="1117">
        <f t="shared" si="223"/>
        <v>0.68976059601144779</v>
      </c>
      <c r="O309" s="1117">
        <f t="shared" si="223"/>
        <v>0.62143644962892342</v>
      </c>
      <c r="P309" s="1117">
        <f t="shared" si="223"/>
        <v>0.50988066825775658</v>
      </c>
      <c r="Q309" s="1117">
        <f t="shared" si="223"/>
        <v>0.4594709308064357</v>
      </c>
      <c r="R309" s="1117">
        <f t="shared" si="223"/>
        <v>0.27274849827025371</v>
      </c>
      <c r="S309" s="1117">
        <f t="shared" si="223"/>
        <v>0.29914153325722187</v>
      </c>
      <c r="T309" s="1117">
        <f t="shared" si="223"/>
        <v>0.24949527539127025</v>
      </c>
      <c r="U309" s="1117">
        <f t="shared" si="223"/>
        <v>0.67699327124483288</v>
      </c>
      <c r="V309" s="1117">
        <f t="shared" si="223"/>
        <v>0.44174091983098335</v>
      </c>
      <c r="W309" s="1117">
        <f t="shared" si="223"/>
        <v>0.74192952092666109</v>
      </c>
      <c r="X309" s="1117">
        <f t="shared" si="223"/>
        <v>0.61781270487209183</v>
      </c>
      <c r="Y309" s="1117">
        <f t="shared" ca="1" si="223"/>
        <v>0.65953984316207215</v>
      </c>
      <c r="Z309" s="1117">
        <f t="shared" ca="1" si="223"/>
        <v>0.56911331370804918</v>
      </c>
      <c r="AA309" s="1117">
        <f t="shared" ca="1" si="223"/>
        <v>0.61021013996625484</v>
      </c>
      <c r="AB309" s="1117">
        <f t="shared" ca="1" si="223"/>
        <v>0.67012428587681661</v>
      </c>
      <c r="AC309" s="1117">
        <f t="shared" ca="1" si="223"/>
        <v>0.72877066367875898</v>
      </c>
      <c r="AD309" s="1117">
        <f ca="1">AD307/AD132</f>
        <v>0.78822944959081176</v>
      </c>
      <c r="AE309" s="1117">
        <f ca="1">AE307/AE132</f>
        <v>0.85542196924103664</v>
      </c>
      <c r="AF309" s="1117">
        <f ca="1">AF307/AF132</f>
        <v>0.92921505201165311</v>
      </c>
      <c r="AG309" s="1117">
        <f ca="1">AG307/AG132</f>
        <v>1.0217185153832642</v>
      </c>
      <c r="AH309" s="1117">
        <f ca="1">AH307/AH132</f>
        <v>1.0967493912088229</v>
      </c>
      <c r="AI309" s="685"/>
      <c r="AJ309" s="685"/>
      <c r="AK309" s="685"/>
      <c r="AL309" s="685"/>
      <c r="AM309" s="685"/>
      <c r="AN309" s="685"/>
      <c r="AO309" s="685"/>
      <c r="AP309" s="685"/>
      <c r="AQ309" s="685"/>
      <c r="AR309" s="685"/>
      <c r="AS309" s="685"/>
      <c r="AT309" s="685"/>
      <c r="AU309" s="685"/>
      <c r="AV309" s="685"/>
      <c r="AW309" s="685"/>
      <c r="AX309" s="685"/>
      <c r="AY309" s="685"/>
      <c r="AZ309" s="685"/>
      <c r="BA309" s="685"/>
      <c r="BB309" s="685"/>
      <c r="BC309" s="685"/>
      <c r="BD309" s="685"/>
    </row>
    <row r="310" spans="1:56">
      <c r="A310" s="685"/>
      <c r="B310" s="1115"/>
      <c r="C310" s="1115"/>
      <c r="D310" s="1115"/>
      <c r="E310" s="1115"/>
      <c r="F310" s="1115"/>
      <c r="G310" s="1115"/>
      <c r="H310" s="1123"/>
      <c r="I310" s="1123"/>
      <c r="J310" s="1115"/>
      <c r="K310" s="1115"/>
      <c r="L310" s="1115"/>
      <c r="M310" s="1115"/>
      <c r="N310" s="1115"/>
      <c r="O310" s="1115"/>
      <c r="P310" s="1115"/>
      <c r="Q310" s="1115"/>
      <c r="R310" s="1115"/>
      <c r="S310" s="1115"/>
      <c r="T310" s="1115"/>
      <c r="U310" s="1115"/>
      <c r="V310" s="1115"/>
      <c r="W310" s="1124"/>
      <c r="X310" s="1124"/>
      <c r="Y310" s="1124"/>
      <c r="Z310" s="1115"/>
      <c r="AA310" s="1115"/>
      <c r="AB310" s="1115"/>
      <c r="AC310" s="1115"/>
      <c r="AD310" s="1115"/>
      <c r="AE310" s="1115"/>
      <c r="AF310" s="1115"/>
      <c r="AG310" s="1115"/>
      <c r="AH310" s="1115"/>
      <c r="AI310" s="685"/>
      <c r="AJ310" s="685"/>
      <c r="AK310" s="685"/>
      <c r="AL310" s="685"/>
      <c r="AM310" s="685"/>
      <c r="AN310" s="685"/>
      <c r="AO310" s="685"/>
      <c r="AP310" s="685"/>
      <c r="AQ310" s="685"/>
      <c r="AR310" s="685"/>
      <c r="AS310" s="685"/>
      <c r="AT310" s="685"/>
      <c r="AU310" s="685"/>
      <c r="AV310" s="685"/>
      <c r="AW310" s="685"/>
      <c r="AX310" s="685"/>
      <c r="AY310" s="685"/>
      <c r="AZ310" s="685"/>
      <c r="BA310" s="685"/>
      <c r="BB310" s="685"/>
      <c r="BC310" s="685"/>
      <c r="BD310" s="685"/>
    </row>
    <row r="311" spans="1:56">
      <c r="A311" s="685"/>
      <c r="B311" s="1184" t="s">
        <v>327</v>
      </c>
      <c r="C311" s="1166"/>
      <c r="D311" s="1167"/>
      <c r="E311" s="1167"/>
      <c r="F311" s="1167"/>
      <c r="G311" s="1167"/>
      <c r="H311" s="1167">
        <v>1433</v>
      </c>
      <c r="I311" s="1167">
        <v>1469</v>
      </c>
      <c r="J311" s="1167">
        <v>1170</v>
      </c>
      <c r="K311" s="1167">
        <v>375</v>
      </c>
      <c r="L311" s="1167">
        <v>313</v>
      </c>
      <c r="M311" s="1167">
        <v>337.1</v>
      </c>
      <c r="N311" s="1167">
        <v>4164</v>
      </c>
      <c r="O311" s="1167">
        <f>N311</f>
        <v>4164</v>
      </c>
      <c r="P311" s="1167">
        <v>2104</v>
      </c>
      <c r="Q311" s="1167">
        <v>2108</v>
      </c>
      <c r="R311" s="1167">
        <v>491.9</v>
      </c>
      <c r="S311" s="1948">
        <f>617+1277.7</f>
        <v>1894.7</v>
      </c>
      <c r="T311" s="1948">
        <f>4106.4+1478.4</f>
        <v>5584.7999999999993</v>
      </c>
      <c r="U311" s="1948">
        <f>1000+1373.2</f>
        <v>2373.1999999999998</v>
      </c>
      <c r="V311" s="1948">
        <f>9988+1280.9</f>
        <v>11268.9</v>
      </c>
      <c r="W311" s="1948">
        <f>4549.8+1243</f>
        <v>5792.8</v>
      </c>
      <c r="X311" s="1948">
        <f>3737+1583.9</f>
        <v>5320.9</v>
      </c>
      <c r="Y311" s="1167">
        <f t="shared" ref="Y311:AE311" si="224">X311</f>
        <v>5320.9</v>
      </c>
      <c r="Z311" s="1167">
        <f t="shared" si="224"/>
        <v>5320.9</v>
      </c>
      <c r="AA311" s="1167">
        <f t="shared" si="224"/>
        <v>5320.9</v>
      </c>
      <c r="AB311" s="1167">
        <f t="shared" si="224"/>
        <v>5320.9</v>
      </c>
      <c r="AC311" s="1167">
        <f t="shared" si="224"/>
        <v>5320.9</v>
      </c>
      <c r="AD311" s="1167">
        <f t="shared" si="224"/>
        <v>5320.9</v>
      </c>
      <c r="AE311" s="1167">
        <f t="shared" si="224"/>
        <v>5320.9</v>
      </c>
      <c r="AF311" s="1167">
        <f>AE311</f>
        <v>5320.9</v>
      </c>
      <c r="AG311" s="1167">
        <f>AF311</f>
        <v>5320.9</v>
      </c>
      <c r="AH311" s="1167">
        <f>AG311</f>
        <v>5320.9</v>
      </c>
      <c r="AI311" s="685"/>
      <c r="AJ311" s="685"/>
      <c r="AK311" s="685"/>
      <c r="AL311" s="685"/>
      <c r="AM311" s="685"/>
      <c r="AN311" s="685"/>
      <c r="AO311" s="685"/>
      <c r="AP311" s="685"/>
      <c r="AQ311" s="685"/>
      <c r="AR311" s="685"/>
      <c r="AS311" s="685"/>
      <c r="AT311" s="685"/>
      <c r="AU311" s="685"/>
      <c r="AV311" s="685"/>
      <c r="AW311" s="685"/>
      <c r="AX311" s="685"/>
      <c r="AY311" s="685"/>
      <c r="AZ311" s="685"/>
      <c r="BA311" s="685"/>
      <c r="BB311" s="685"/>
      <c r="BC311" s="685"/>
      <c r="BD311" s="685"/>
    </row>
    <row r="312" spans="1:56">
      <c r="A312" s="685"/>
      <c r="B312" s="1184" t="s">
        <v>328</v>
      </c>
      <c r="C312" s="1166"/>
      <c r="D312" s="1167"/>
      <c r="E312" s="1167"/>
      <c r="F312" s="1167"/>
      <c r="G312" s="1167"/>
      <c r="H312" s="1167">
        <v>41983</v>
      </c>
      <c r="I312" s="1167">
        <v>46496</v>
      </c>
      <c r="J312" s="1167">
        <v>55657</v>
      </c>
      <c r="K312" s="1167">
        <v>52616</v>
      </c>
      <c r="L312" s="1167">
        <v>60864</v>
      </c>
      <c r="M312" s="1167">
        <v>80660.5</v>
      </c>
      <c r="N312" s="1167">
        <f>110410.6+5805.2-N311</f>
        <v>112051.8</v>
      </c>
      <c r="O312" s="1167">
        <f>126997.6+6391.8+4853-O311</f>
        <v>134078.39999999999</v>
      </c>
      <c r="P312" s="1167">
        <f>122300.1+5041.9-P311</f>
        <v>125238</v>
      </c>
      <c r="Q312" s="1167">
        <f>121972+5317.9+2576.8-Q311</f>
        <v>127758.7</v>
      </c>
      <c r="R312" s="1167">
        <f>120937+9363.6+1324.1-R311</f>
        <v>131132.80000000002</v>
      </c>
      <c r="S312" s="1948">
        <f>121936+8014.6</f>
        <v>129950.6</v>
      </c>
      <c r="T312" s="1948">
        <f>121685.7+8202.2</f>
        <v>129887.9</v>
      </c>
      <c r="U312" s="1948">
        <f>104240.7+6995.8</f>
        <v>111236.5</v>
      </c>
      <c r="V312" s="1948">
        <f>78547.9+6010.618</f>
        <v>84558.517999999996</v>
      </c>
      <c r="W312" s="1948">
        <f>98399.3+4143.7</f>
        <v>102543</v>
      </c>
      <c r="X312" s="1948">
        <f>82257.2+3852.1</f>
        <v>86109.3</v>
      </c>
      <c r="Y312" s="1166">
        <f t="shared" ref="Y312:AH312" si="225">Y314+Y315-Y311</f>
        <v>86980.502734149064</v>
      </c>
      <c r="Z312" s="1166">
        <f t="shared" si="225"/>
        <v>81269.427548832042</v>
      </c>
      <c r="AA312" s="1166">
        <f t="shared" si="225"/>
        <v>82499.470859808702</v>
      </c>
      <c r="AB312" s="1166">
        <f t="shared" si="225"/>
        <v>83754.115037004871</v>
      </c>
      <c r="AC312" s="1166">
        <f t="shared" si="225"/>
        <v>85033.852097744966</v>
      </c>
      <c r="AD312" s="1166">
        <f t="shared" si="225"/>
        <v>86339.18389969987</v>
      </c>
      <c r="AE312" s="1166">
        <f t="shared" si="225"/>
        <v>87670.622337693858</v>
      </c>
      <c r="AF312" s="1166">
        <f t="shared" si="225"/>
        <v>89028.689544447741</v>
      </c>
      <c r="AG312" s="1166">
        <f t="shared" si="225"/>
        <v>90413.918095336703</v>
      </c>
      <c r="AH312" s="1166">
        <f t="shared" si="225"/>
        <v>91826.851217243442</v>
      </c>
      <c r="AI312" s="685"/>
      <c r="AJ312" s="685"/>
      <c r="AK312" s="685"/>
      <c r="AL312" s="685"/>
      <c r="AM312" s="685"/>
      <c r="AN312" s="685"/>
      <c r="AO312" s="685"/>
      <c r="AP312" s="685"/>
      <c r="AQ312" s="685"/>
      <c r="AR312" s="685"/>
      <c r="AS312" s="685"/>
      <c r="AT312" s="685"/>
      <c r="AU312" s="685"/>
      <c r="AV312" s="685"/>
      <c r="AW312" s="685"/>
      <c r="AX312" s="685"/>
      <c r="AY312" s="685"/>
      <c r="AZ312" s="685"/>
      <c r="BA312" s="685"/>
      <c r="BB312" s="685"/>
      <c r="BC312" s="685"/>
      <c r="BD312" s="685"/>
    </row>
    <row r="313" spans="1:56">
      <c r="A313" s="685"/>
      <c r="B313" s="1184"/>
      <c r="C313" s="1166"/>
      <c r="D313" s="1167"/>
      <c r="E313" s="1167"/>
      <c r="F313" s="1167"/>
      <c r="G313" s="1167"/>
      <c r="H313" s="1167"/>
      <c r="I313" s="1166"/>
      <c r="J313" s="1166"/>
      <c r="K313" s="1166"/>
      <c r="L313" s="1166"/>
      <c r="M313" s="1166"/>
      <c r="N313" s="1166"/>
      <c r="O313" s="1166"/>
      <c r="P313" s="1166"/>
      <c r="Q313" s="1166"/>
      <c r="R313" s="1166"/>
      <c r="S313" s="1166"/>
      <c r="T313" s="1166"/>
      <c r="U313" s="1166"/>
      <c r="V313" s="1166"/>
      <c r="W313" s="1166"/>
      <c r="X313" s="1166"/>
      <c r="Y313" s="1166"/>
      <c r="Z313" s="1166"/>
      <c r="AA313" s="1166"/>
      <c r="AB313" s="1166"/>
      <c r="AC313" s="1166"/>
      <c r="AD313" s="1166"/>
      <c r="AE313" s="1166"/>
      <c r="AF313" s="1166"/>
      <c r="AG313" s="1166"/>
      <c r="AH313" s="1166"/>
      <c r="AI313" s="685"/>
      <c r="AJ313" s="685"/>
      <c r="AK313" s="685"/>
      <c r="AL313" s="685"/>
      <c r="AM313" s="685"/>
      <c r="AN313" s="685"/>
      <c r="AO313" s="685"/>
      <c r="AP313" s="685"/>
      <c r="AQ313" s="685"/>
      <c r="AR313" s="685"/>
      <c r="AS313" s="685"/>
      <c r="AT313" s="685"/>
      <c r="AU313" s="685"/>
      <c r="AV313" s="685"/>
      <c r="AW313" s="685"/>
      <c r="AX313" s="685"/>
      <c r="AY313" s="685"/>
      <c r="AZ313" s="685"/>
      <c r="BA313" s="685"/>
      <c r="BB313" s="685"/>
      <c r="BC313" s="685"/>
      <c r="BD313" s="685"/>
    </row>
    <row r="314" spans="1:56">
      <c r="A314" s="685"/>
      <c r="B314" s="1184" t="s">
        <v>329</v>
      </c>
      <c r="C314" s="1166"/>
      <c r="D314" s="1167"/>
      <c r="E314" s="1167"/>
      <c r="F314" s="1167"/>
      <c r="G314" s="1167"/>
      <c r="H314" s="1167"/>
      <c r="I314" s="1166"/>
      <c r="J314" s="1166"/>
      <c r="K314" s="1166"/>
      <c r="L314" s="1166"/>
      <c r="M314" s="1166"/>
      <c r="N314" s="1166"/>
      <c r="O314" s="1166"/>
      <c r="P314" s="1166"/>
      <c r="Q314" s="1166">
        <f>Q312-Q315</f>
        <v>55170.7</v>
      </c>
      <c r="R314" s="1166">
        <f>R312-R315</f>
        <v>44584.800000000017</v>
      </c>
      <c r="S314" s="1166">
        <f>R314</f>
        <v>44584.800000000017</v>
      </c>
      <c r="T314" s="1166">
        <f>S314</f>
        <v>44584.800000000017</v>
      </c>
      <c r="U314" s="1964">
        <v>29047.031999999999</v>
      </c>
      <c r="V314" s="1964">
        <v>27771.205999999998</v>
      </c>
      <c r="W314" s="1964">
        <v>27716.23</v>
      </c>
      <c r="X314" s="1964">
        <v>25088.162</v>
      </c>
      <c r="Y314" s="1193">
        <f>X314+6917</f>
        <v>32005.162</v>
      </c>
      <c r="Z314" s="1193">
        <f>Y314-6917</f>
        <v>25088.162</v>
      </c>
      <c r="AA314" s="1193">
        <f t="shared" ref="AA314:AE314" si="226">Z314</f>
        <v>25088.162</v>
      </c>
      <c r="AB314" s="1193">
        <f t="shared" si="226"/>
        <v>25088.162</v>
      </c>
      <c r="AC314" s="1193">
        <f t="shared" si="226"/>
        <v>25088.162</v>
      </c>
      <c r="AD314" s="1193">
        <f t="shared" si="226"/>
        <v>25088.162</v>
      </c>
      <c r="AE314" s="1193">
        <f t="shared" si="226"/>
        <v>25088.162</v>
      </c>
      <c r="AF314" s="1193">
        <f>AE314</f>
        <v>25088.162</v>
      </c>
      <c r="AG314" s="1193">
        <f>AF314</f>
        <v>25088.162</v>
      </c>
      <c r="AH314" s="1193">
        <f>AG314</f>
        <v>25088.162</v>
      </c>
      <c r="AI314" s="685"/>
      <c r="AJ314" s="685"/>
      <c r="AK314" s="685"/>
      <c r="AL314" s="685"/>
      <c r="AM314" s="685"/>
      <c r="AN314" s="685"/>
      <c r="AO314" s="685"/>
      <c r="AP314" s="685"/>
      <c r="AQ314" s="685"/>
      <c r="AR314" s="685"/>
      <c r="AS314" s="685"/>
      <c r="AT314" s="685"/>
      <c r="AU314" s="685"/>
      <c r="AV314" s="685"/>
      <c r="AW314" s="685"/>
      <c r="AX314" s="685"/>
      <c r="AY314" s="685"/>
      <c r="AZ314" s="685"/>
      <c r="BA314" s="685"/>
      <c r="BB314" s="685"/>
      <c r="BC314" s="685"/>
      <c r="BD314" s="685"/>
    </row>
    <row r="315" spans="1:56">
      <c r="A315" s="685"/>
      <c r="B315" s="1184" t="s">
        <v>330</v>
      </c>
      <c r="C315" s="1166"/>
      <c r="D315" s="1166"/>
      <c r="E315" s="1166"/>
      <c r="F315" s="1166"/>
      <c r="G315" s="1166"/>
      <c r="H315" s="1166"/>
      <c r="I315" s="1166"/>
      <c r="J315" s="1166"/>
      <c r="K315" s="1166"/>
      <c r="L315" s="1166"/>
      <c r="M315" s="1166"/>
      <c r="N315" s="1166"/>
      <c r="O315" s="1166"/>
      <c r="P315" s="1166"/>
      <c r="Q315" s="1193">
        <f>6031+11786+11705+19368+5867+17831</f>
        <v>72588</v>
      </c>
      <c r="R315" s="1166">
        <v>86548</v>
      </c>
      <c r="S315" s="1166">
        <v>0</v>
      </c>
      <c r="T315" s="1166">
        <v>0</v>
      </c>
      <c r="U315" s="1964">
        <v>76193.618000000002</v>
      </c>
      <c r="V315" s="1964">
        <v>60764.652999999998</v>
      </c>
      <c r="W315" s="1964">
        <v>75238.942999999999</v>
      </c>
      <c r="X315" s="1964">
        <v>60905.978000000003</v>
      </c>
      <c r="Y315" s="1166">
        <f t="shared" ref="Y315:AH315" si="227">Y318*Y317</f>
        <v>60296.240734149054</v>
      </c>
      <c r="Z315" s="1166">
        <f t="shared" si="227"/>
        <v>61502.165548832039</v>
      </c>
      <c r="AA315" s="1166">
        <f t="shared" si="227"/>
        <v>62732.208859808692</v>
      </c>
      <c r="AB315" s="1166">
        <f t="shared" si="227"/>
        <v>63986.853037004868</v>
      </c>
      <c r="AC315" s="1166">
        <f t="shared" si="227"/>
        <v>65266.590097744964</v>
      </c>
      <c r="AD315" s="1166">
        <f t="shared" si="227"/>
        <v>66571.921899699868</v>
      </c>
      <c r="AE315" s="1166">
        <f t="shared" si="227"/>
        <v>67903.360337693855</v>
      </c>
      <c r="AF315" s="1166">
        <f t="shared" si="227"/>
        <v>69261.427544447739</v>
      </c>
      <c r="AG315" s="1166">
        <f t="shared" si="227"/>
        <v>70646.656095336701</v>
      </c>
      <c r="AH315" s="1166">
        <f t="shared" si="227"/>
        <v>72059.58921724344</v>
      </c>
      <c r="AI315" s="685"/>
      <c r="AJ315" s="685"/>
      <c r="AK315" s="685"/>
      <c r="AL315" s="685"/>
      <c r="AM315" s="685"/>
      <c r="AN315" s="685"/>
      <c r="AO315" s="685"/>
      <c r="AP315" s="685"/>
      <c r="AQ315" s="685"/>
      <c r="AR315" s="685"/>
      <c r="AS315" s="685"/>
      <c r="AT315" s="685"/>
      <c r="AU315" s="685"/>
      <c r="AV315" s="685"/>
      <c r="AW315" s="685"/>
      <c r="AX315" s="685"/>
      <c r="AY315" s="685"/>
      <c r="AZ315" s="685"/>
      <c r="BA315" s="685"/>
      <c r="BB315" s="685"/>
      <c r="BC315" s="685"/>
      <c r="BD315" s="685"/>
    </row>
    <row r="316" spans="1:56">
      <c r="A316" s="685"/>
      <c r="B316" s="1184" t="s">
        <v>331</v>
      </c>
      <c r="C316" s="1166"/>
      <c r="D316" s="1166"/>
      <c r="E316" s="1166"/>
      <c r="F316" s="1166"/>
      <c r="G316" s="1166"/>
      <c r="H316" s="1166"/>
      <c r="I316" s="1166"/>
      <c r="J316" s="1166"/>
      <c r="K316" s="1166"/>
      <c r="L316" s="1166"/>
      <c r="M316" s="1166"/>
      <c r="N316" s="1166"/>
      <c r="O316" s="1166"/>
      <c r="P316" s="1166"/>
      <c r="Q316" s="1185">
        <f>Q315/Q312</f>
        <v>0.56816482947932312</v>
      </c>
      <c r="R316" s="1186">
        <v>0.66</v>
      </c>
      <c r="S316" s="1186">
        <f>R316</f>
        <v>0.66</v>
      </c>
      <c r="T316" s="1186">
        <f>S316</f>
        <v>0.66</v>
      </c>
      <c r="U316" s="1185">
        <f t="shared" ref="U316:AC316" si="228">U315/U312</f>
        <v>0.68496957383592616</v>
      </c>
      <c r="V316" s="1185">
        <f t="shared" si="228"/>
        <v>0.71861066675742824</v>
      </c>
      <c r="W316" s="1185">
        <f t="shared" si="228"/>
        <v>0.73373065933315784</v>
      </c>
      <c r="X316" s="1185">
        <f t="shared" si="228"/>
        <v>0.70731010471575084</v>
      </c>
      <c r="Y316" s="1185">
        <f t="shared" si="228"/>
        <v>0.6932155924465172</v>
      </c>
      <c r="Z316" s="1185">
        <f t="shared" si="228"/>
        <v>0.75676878014032367</v>
      </c>
      <c r="AA316" s="1185">
        <f t="shared" si="228"/>
        <v>0.76039528746080676</v>
      </c>
      <c r="AB316" s="1185">
        <f t="shared" si="228"/>
        <v>0.76398458760782939</v>
      </c>
      <c r="AC316" s="1185">
        <f t="shared" si="228"/>
        <v>0.76753655735508874</v>
      </c>
      <c r="AD316" s="1185">
        <f>AD315/AD312</f>
        <v>0.77105109051107534</v>
      </c>
      <c r="AE316" s="1185">
        <f>AE315/AE312</f>
        <v>0.7745280976350376</v>
      </c>
      <c r="AF316" s="1185">
        <f>AF315/AF312</f>
        <v>0.77796750574284079</v>
      </c>
      <c r="AG316" s="1185">
        <f>AG315/AG312</f>
        <v>0.78136925800343626</v>
      </c>
      <c r="AH316" s="1185">
        <f>AH315/AH312</f>
        <v>0.78473331342664987</v>
      </c>
      <c r="AI316" s="685"/>
      <c r="AJ316" s="685"/>
      <c r="AK316" s="685"/>
      <c r="AL316" s="685"/>
      <c r="AM316" s="685"/>
      <c r="AN316" s="685"/>
      <c r="AO316" s="685"/>
      <c r="AP316" s="685"/>
      <c r="AQ316" s="685"/>
      <c r="AR316" s="685"/>
      <c r="AS316" s="685"/>
      <c r="AT316" s="685"/>
      <c r="AU316" s="685"/>
      <c r="AV316" s="685"/>
      <c r="AW316" s="685"/>
      <c r="AX316" s="685"/>
      <c r="AY316" s="685"/>
      <c r="AZ316" s="685"/>
      <c r="BA316" s="685"/>
      <c r="BB316" s="685"/>
      <c r="BC316" s="685"/>
      <c r="BD316" s="685"/>
    </row>
    <row r="317" spans="1:56">
      <c r="A317" s="685"/>
      <c r="B317" s="1184" t="s">
        <v>332</v>
      </c>
      <c r="C317" s="1166"/>
      <c r="D317" s="1166"/>
      <c r="E317" s="1166"/>
      <c r="F317" s="1166"/>
      <c r="G317" s="1166"/>
      <c r="H317" s="1166"/>
      <c r="I317" s="1166"/>
      <c r="J317" s="1166"/>
      <c r="K317" s="1166"/>
      <c r="L317" s="1166"/>
      <c r="M317" s="1166"/>
      <c r="N317" s="1166"/>
      <c r="O317" s="1166"/>
      <c r="P317" s="1166"/>
      <c r="Q317" s="1187">
        <v>19.7</v>
      </c>
      <c r="R317" s="1187">
        <v>18.899999999999999</v>
      </c>
      <c r="S317" s="1187">
        <v>20</v>
      </c>
      <c r="T317" s="1187">
        <v>20.285521077724361</v>
      </c>
      <c r="U317" s="1187">
        <v>19.45</v>
      </c>
      <c r="V317" s="1187">
        <v>16.9712</v>
      </c>
      <c r="W317" s="1187">
        <v>20.63</v>
      </c>
      <c r="X317" s="1187">
        <v>17.98</v>
      </c>
      <c r="Y317" s="1188">
        <f t="shared" ref="Y317:AH317" si="229">Y8</f>
        <v>17.8</v>
      </c>
      <c r="Z317" s="1188">
        <f t="shared" si="229"/>
        <v>18.156000000000002</v>
      </c>
      <c r="AA317" s="1188">
        <f t="shared" si="229"/>
        <v>18.519120000000004</v>
      </c>
      <c r="AB317" s="1188">
        <f t="shared" si="229"/>
        <v>18.889502400000005</v>
      </c>
      <c r="AC317" s="1188">
        <f t="shared" si="229"/>
        <v>19.267292448000006</v>
      </c>
      <c r="AD317" s="1188">
        <f t="shared" si="229"/>
        <v>19.652638296960006</v>
      </c>
      <c r="AE317" s="1188">
        <f t="shared" si="229"/>
        <v>20.045691062899206</v>
      </c>
      <c r="AF317" s="1188">
        <f t="shared" si="229"/>
        <v>20.446604884157189</v>
      </c>
      <c r="AG317" s="1188">
        <f t="shared" si="229"/>
        <v>20.855536981840334</v>
      </c>
      <c r="AH317" s="1188">
        <f t="shared" si="229"/>
        <v>21.272647721477142</v>
      </c>
      <c r="AI317" s="685"/>
      <c r="AJ317" s="685"/>
      <c r="AK317" s="685"/>
      <c r="AL317" s="685"/>
      <c r="AM317" s="685"/>
      <c r="AN317" s="685"/>
      <c r="AO317" s="685"/>
      <c r="AP317" s="685"/>
      <c r="AQ317" s="685"/>
      <c r="AR317" s="685"/>
      <c r="AS317" s="685"/>
      <c r="AT317" s="685"/>
      <c r="AU317" s="685"/>
      <c r="AV317" s="685"/>
      <c r="AW317" s="685"/>
      <c r="AX317" s="685"/>
      <c r="AY317" s="685"/>
      <c r="AZ317" s="685"/>
      <c r="BA317" s="685"/>
      <c r="BB317" s="685"/>
      <c r="BC317" s="685"/>
      <c r="BD317" s="685"/>
    </row>
    <row r="318" spans="1:56">
      <c r="A318" s="685"/>
      <c r="B318" s="1184" t="s">
        <v>333</v>
      </c>
      <c r="C318" s="1166"/>
      <c r="D318" s="1166"/>
      <c r="E318" s="1166"/>
      <c r="F318" s="1166"/>
      <c r="G318" s="1166"/>
      <c r="H318" s="1166"/>
      <c r="I318" s="1166"/>
      <c r="J318" s="1166"/>
      <c r="K318" s="1166"/>
      <c r="L318" s="1166"/>
      <c r="M318" s="1166"/>
      <c r="N318" s="1166"/>
      <c r="O318" s="1166"/>
      <c r="P318" s="1166"/>
      <c r="Q318" s="1185"/>
      <c r="R318" s="1166">
        <f t="shared" ref="R318:X318" si="230">R315/R317</f>
        <v>4579.25925925926</v>
      </c>
      <c r="S318" s="1166">
        <f t="shared" si="230"/>
        <v>0</v>
      </c>
      <c r="T318" s="1166">
        <f t="shared" si="230"/>
        <v>0</v>
      </c>
      <c r="U318" s="1166">
        <f t="shared" si="230"/>
        <v>3917.4096658097687</v>
      </c>
      <c r="V318" s="1166">
        <f t="shared" si="230"/>
        <v>3580.4570684453661</v>
      </c>
      <c r="W318" s="1166">
        <f t="shared" si="230"/>
        <v>3647.0646146388754</v>
      </c>
      <c r="X318" s="1166">
        <f t="shared" si="230"/>
        <v>3387.4292547274749</v>
      </c>
      <c r="Y318" s="1193">
        <f t="shared" ref="Y318:AE318" si="231">X318</f>
        <v>3387.4292547274749</v>
      </c>
      <c r="Z318" s="1193">
        <f t="shared" si="231"/>
        <v>3387.4292547274749</v>
      </c>
      <c r="AA318" s="1193">
        <f t="shared" si="231"/>
        <v>3387.4292547274749</v>
      </c>
      <c r="AB318" s="1193">
        <f t="shared" si="231"/>
        <v>3387.4292547274749</v>
      </c>
      <c r="AC318" s="1193">
        <f t="shared" si="231"/>
        <v>3387.4292547274749</v>
      </c>
      <c r="AD318" s="1193">
        <f t="shared" si="231"/>
        <v>3387.4292547274749</v>
      </c>
      <c r="AE318" s="1193">
        <f t="shared" si="231"/>
        <v>3387.4292547274749</v>
      </c>
      <c r="AF318" s="1193">
        <f>AE318</f>
        <v>3387.4292547274749</v>
      </c>
      <c r="AG318" s="1193">
        <f>AF318</f>
        <v>3387.4292547274749</v>
      </c>
      <c r="AH318" s="1193">
        <f>AG318</f>
        <v>3387.4292547274749</v>
      </c>
      <c r="AI318" s="685"/>
      <c r="AJ318" s="685"/>
      <c r="AK318" s="685"/>
      <c r="AL318" s="685"/>
      <c r="AM318" s="685"/>
      <c r="AN318" s="685"/>
      <c r="AO318" s="685"/>
      <c r="AP318" s="685"/>
      <c r="AQ318" s="685"/>
      <c r="AR318" s="685"/>
      <c r="AS318" s="685"/>
      <c r="AT318" s="685"/>
      <c r="AU318" s="685"/>
      <c r="AV318" s="685"/>
      <c r="AW318" s="685"/>
      <c r="AX318" s="685"/>
      <c r="AY318" s="685"/>
      <c r="AZ318" s="685"/>
      <c r="BA318" s="685"/>
      <c r="BB318" s="685"/>
      <c r="BC318" s="685"/>
      <c r="BD318" s="685"/>
    </row>
    <row r="319" spans="1:56">
      <c r="A319" s="685"/>
      <c r="B319" s="1184" t="s">
        <v>334</v>
      </c>
      <c r="C319" s="1166"/>
      <c r="D319" s="1166"/>
      <c r="E319" s="1166"/>
      <c r="F319" s="1166"/>
      <c r="G319" s="1166"/>
      <c r="H319" s="1166"/>
      <c r="I319" s="1166"/>
      <c r="J319" s="1166"/>
      <c r="K319" s="1166"/>
      <c r="L319" s="1166"/>
      <c r="M319" s="1166"/>
      <c r="N319" s="1166"/>
      <c r="O319" s="1166"/>
      <c r="P319" s="1166"/>
      <c r="Q319" s="1185"/>
      <c r="R319" s="1166">
        <f t="shared" ref="R319:AE319" si="232">R315-Q315</f>
        <v>13960</v>
      </c>
      <c r="S319" s="1166">
        <f t="shared" si="232"/>
        <v>-86548</v>
      </c>
      <c r="T319" s="1166">
        <f t="shared" si="232"/>
        <v>0</v>
      </c>
      <c r="U319" s="1166">
        <f t="shared" si="232"/>
        <v>76193.618000000002</v>
      </c>
      <c r="V319" s="1166">
        <f t="shared" si="232"/>
        <v>-15428.965000000004</v>
      </c>
      <c r="W319" s="1166">
        <f t="shared" si="232"/>
        <v>14474.29</v>
      </c>
      <c r="X319" s="1166">
        <f t="shared" si="232"/>
        <v>-14332.964999999997</v>
      </c>
      <c r="Y319" s="1166">
        <f t="shared" si="232"/>
        <v>-609.73726585094846</v>
      </c>
      <c r="Z319" s="1166">
        <f t="shared" si="232"/>
        <v>1205.924814682985</v>
      </c>
      <c r="AA319" s="1166">
        <f t="shared" si="232"/>
        <v>1230.0433109766527</v>
      </c>
      <c r="AB319" s="1166">
        <f t="shared" si="232"/>
        <v>1254.6441771961763</v>
      </c>
      <c r="AC319" s="1166">
        <f t="shared" si="232"/>
        <v>1279.7370607400953</v>
      </c>
      <c r="AD319" s="1166">
        <f t="shared" si="232"/>
        <v>1305.3318019549042</v>
      </c>
      <c r="AE319" s="1166">
        <f t="shared" si="232"/>
        <v>1331.4384379939875</v>
      </c>
      <c r="AF319" s="1166">
        <f>AF315-AE315</f>
        <v>1358.0672067538835</v>
      </c>
      <c r="AG319" s="1166">
        <f>AG315-AF315</f>
        <v>1385.2285508889618</v>
      </c>
      <c r="AH319" s="1166">
        <f>AH315-AG315</f>
        <v>1412.933121906739</v>
      </c>
      <c r="AI319" s="685"/>
      <c r="AJ319" s="685"/>
      <c r="AK319" s="685"/>
      <c r="AL319" s="685"/>
      <c r="AM319" s="685"/>
      <c r="AN319" s="685"/>
      <c r="AO319" s="685"/>
      <c r="AP319" s="685"/>
      <c r="AQ319" s="685"/>
      <c r="AR319" s="685"/>
      <c r="AS319" s="685"/>
      <c r="AT319" s="685"/>
      <c r="AU319" s="685"/>
      <c r="AV319" s="685"/>
      <c r="AW319" s="685"/>
      <c r="AX319" s="685"/>
      <c r="AY319" s="685"/>
      <c r="AZ319" s="685"/>
      <c r="BA319" s="685"/>
      <c r="BB319" s="685"/>
      <c r="BC319" s="685"/>
      <c r="BD319" s="685"/>
    </row>
    <row r="320" spans="1:56">
      <c r="A320" s="685"/>
      <c r="B320" s="1184" t="s">
        <v>335</v>
      </c>
      <c r="C320" s="1166"/>
      <c r="D320" s="1166"/>
      <c r="E320" s="1166"/>
      <c r="F320" s="1166"/>
      <c r="G320" s="1166"/>
      <c r="H320" s="1166"/>
      <c r="I320" s="1166"/>
      <c r="J320" s="1166"/>
      <c r="K320" s="1166"/>
      <c r="L320" s="1166"/>
      <c r="M320" s="1166"/>
      <c r="N320" s="1166"/>
      <c r="O320" s="1166"/>
      <c r="P320" s="1166"/>
      <c r="Q320" s="1186">
        <v>0.2</v>
      </c>
      <c r="R320" s="1186">
        <v>0.2</v>
      </c>
      <c r="S320" s="1186">
        <v>0.2</v>
      </c>
      <c r="T320" s="1186">
        <v>0.2</v>
      </c>
      <c r="U320" s="1186">
        <v>0.4</v>
      </c>
      <c r="V320" s="1186">
        <v>0.4</v>
      </c>
      <c r="W320" s="1186">
        <v>0.4</v>
      </c>
      <c r="X320" s="1186">
        <v>0.4</v>
      </c>
      <c r="Y320" s="1186">
        <v>0.4</v>
      </c>
      <c r="Z320" s="1186">
        <v>0.4</v>
      </c>
      <c r="AA320" s="1186">
        <v>0.4</v>
      </c>
      <c r="AB320" s="1186">
        <v>0.4</v>
      </c>
      <c r="AC320" s="1186">
        <v>0.4</v>
      </c>
      <c r="AD320" s="1186">
        <v>0.4</v>
      </c>
      <c r="AE320" s="1186">
        <v>0.4</v>
      </c>
      <c r="AF320" s="1186">
        <v>0.4</v>
      </c>
      <c r="AG320" s="1186">
        <v>0.4</v>
      </c>
      <c r="AH320" s="1186">
        <v>0.4</v>
      </c>
      <c r="AI320" s="685"/>
      <c r="AJ320" s="685"/>
      <c r="AK320" s="685"/>
      <c r="AL320" s="685"/>
      <c r="AM320" s="685"/>
      <c r="AN320" s="685"/>
      <c r="AO320" s="685"/>
      <c r="AP320" s="685"/>
      <c r="AQ320" s="685"/>
      <c r="AR320" s="685"/>
      <c r="AS320" s="685"/>
      <c r="AT320" s="685"/>
      <c r="AU320" s="685"/>
      <c r="AV320" s="685"/>
      <c r="AW320" s="685"/>
      <c r="AX320" s="685"/>
      <c r="AY320" s="685"/>
      <c r="AZ320" s="685"/>
      <c r="BA320" s="685"/>
      <c r="BB320" s="685"/>
      <c r="BC320" s="685"/>
      <c r="BD320" s="685"/>
    </row>
    <row r="321" spans="1:56">
      <c r="A321" s="685"/>
      <c r="B321" s="1184" t="s">
        <v>336</v>
      </c>
      <c r="C321" s="1166"/>
      <c r="D321" s="1166"/>
      <c r="E321" s="1166"/>
      <c r="F321" s="1166"/>
      <c r="G321" s="1166"/>
      <c r="H321" s="1166"/>
      <c r="I321" s="1166"/>
      <c r="J321" s="1166"/>
      <c r="K321" s="1166"/>
      <c r="L321" s="1166"/>
      <c r="M321" s="1166"/>
      <c r="N321" s="1166"/>
      <c r="O321" s="1166"/>
      <c r="P321" s="1166"/>
      <c r="Q321" s="1166"/>
      <c r="R321" s="1166">
        <f t="shared" ref="R321:AC321" si="233">R319*(1-R320)</f>
        <v>11168</v>
      </c>
      <c r="S321" s="1166">
        <f t="shared" si="233"/>
        <v>-69238.400000000009</v>
      </c>
      <c r="T321" s="1166">
        <f t="shared" si="233"/>
        <v>0</v>
      </c>
      <c r="U321" s="1166">
        <f t="shared" si="233"/>
        <v>45716.1708</v>
      </c>
      <c r="V321" s="1166">
        <f t="shared" si="233"/>
        <v>-9257.3790000000026</v>
      </c>
      <c r="W321" s="1166">
        <f t="shared" si="233"/>
        <v>8684.5740000000005</v>
      </c>
      <c r="X321" s="1166">
        <f t="shared" si="233"/>
        <v>-8599.7789999999968</v>
      </c>
      <c r="Y321" s="1166">
        <f t="shared" si="233"/>
        <v>-365.84235951056905</v>
      </c>
      <c r="Z321" s="1166">
        <f t="shared" si="233"/>
        <v>723.55488880979101</v>
      </c>
      <c r="AA321" s="1166">
        <f t="shared" si="233"/>
        <v>738.02598658599163</v>
      </c>
      <c r="AB321" s="1166">
        <f t="shared" si="233"/>
        <v>752.78650631770574</v>
      </c>
      <c r="AC321" s="1166">
        <f t="shared" si="233"/>
        <v>767.84223644405722</v>
      </c>
      <c r="AD321" s="1166">
        <f>AD319*(1-AD320)</f>
        <v>783.19908117294256</v>
      </c>
      <c r="AE321" s="1166">
        <f>AE319*(1-AE320)</f>
        <v>798.86306279639246</v>
      </c>
      <c r="AF321" s="1166">
        <f>AF319*(1-AF320)</f>
        <v>814.84032405233006</v>
      </c>
      <c r="AG321" s="1166">
        <f>AG319*(1-AG320)</f>
        <v>831.13713053337699</v>
      </c>
      <c r="AH321" s="1166">
        <f>AH319*(1-AH320)</f>
        <v>847.75987314404335</v>
      </c>
      <c r="AI321" s="685"/>
      <c r="AJ321" s="685"/>
      <c r="AK321" s="685"/>
      <c r="AL321" s="685"/>
      <c r="AM321" s="685"/>
      <c r="AN321" s="685"/>
      <c r="AO321" s="685"/>
      <c r="AP321" s="685"/>
      <c r="AQ321" s="685"/>
      <c r="AR321" s="685"/>
      <c r="AS321" s="685"/>
      <c r="AT321" s="685"/>
      <c r="AU321" s="685"/>
      <c r="AV321" s="685"/>
      <c r="AW321" s="685"/>
      <c r="AX321" s="685"/>
      <c r="AY321" s="685"/>
      <c r="AZ321" s="685"/>
      <c r="BA321" s="685"/>
      <c r="BB321" s="685"/>
      <c r="BC321" s="685"/>
      <c r="BD321" s="685"/>
    </row>
    <row r="322" spans="1:56">
      <c r="A322" s="685"/>
      <c r="B322" s="1115"/>
      <c r="C322" s="1115"/>
      <c r="D322" s="1115"/>
      <c r="E322" s="1115"/>
      <c r="F322" s="1115"/>
      <c r="G322" s="1115"/>
      <c r="H322" s="1115"/>
      <c r="I322" s="1115"/>
      <c r="J322" s="1115"/>
      <c r="K322" s="1115"/>
      <c r="L322" s="1115"/>
      <c r="M322" s="1115"/>
      <c r="N322" s="1115"/>
      <c r="O322" s="1115"/>
      <c r="P322" s="1115"/>
      <c r="Q322" s="1115"/>
      <c r="R322" s="1115"/>
      <c r="S322" s="1115"/>
      <c r="T322" s="1115"/>
      <c r="U322" s="1115"/>
      <c r="V322" s="1115"/>
      <c r="W322" s="1115"/>
      <c r="X322" s="1115"/>
      <c r="Y322" s="1115"/>
      <c r="Z322" s="1115"/>
      <c r="AA322" s="1115"/>
      <c r="AB322" s="1115"/>
      <c r="AC322" s="1115"/>
      <c r="AD322" s="1115"/>
      <c r="AE322" s="1115"/>
      <c r="AF322" s="1115"/>
      <c r="AG322" s="1115"/>
      <c r="AH322" s="1115"/>
      <c r="AI322" s="685"/>
      <c r="AJ322" s="685"/>
      <c r="AK322" s="685"/>
      <c r="AL322" s="685"/>
      <c r="AM322" s="685"/>
      <c r="AN322" s="685"/>
      <c r="AO322" s="685"/>
      <c r="AP322" s="685"/>
      <c r="AQ322" s="685"/>
      <c r="AR322" s="685"/>
      <c r="AS322" s="685"/>
      <c r="AT322" s="685"/>
      <c r="AU322" s="685"/>
      <c r="AV322" s="685"/>
      <c r="AW322" s="685"/>
      <c r="AX322" s="685"/>
      <c r="AY322" s="685"/>
      <c r="AZ322" s="685"/>
      <c r="BA322" s="685"/>
      <c r="BB322" s="685"/>
      <c r="BC322" s="685"/>
      <c r="BD322" s="685"/>
    </row>
    <row r="323" spans="1:56">
      <c r="A323" s="685"/>
      <c r="B323" s="1115" t="s">
        <v>337</v>
      </c>
      <c r="C323" s="1115"/>
      <c r="D323" s="1115"/>
      <c r="E323" s="1115"/>
      <c r="F323" s="1115"/>
      <c r="G323" s="1115"/>
      <c r="H323" s="1115"/>
      <c r="I323" s="1115"/>
      <c r="J323" s="1115"/>
      <c r="K323" s="1115"/>
      <c r="L323" s="1115"/>
      <c r="M323" s="1115"/>
      <c r="N323" s="1115"/>
      <c r="O323" s="1115"/>
      <c r="P323" s="1115"/>
      <c r="Q323" s="1115"/>
      <c r="R323" s="1115"/>
      <c r="S323" s="1948">
        <v>9292.3510000000006</v>
      </c>
      <c r="T323" s="1948">
        <v>9680.5589999999993</v>
      </c>
      <c r="U323" s="1948">
        <v>8369</v>
      </c>
      <c r="V323" s="1948">
        <v>7291.5</v>
      </c>
      <c r="W323" s="1949">
        <v>5386.6390000000001</v>
      </c>
      <c r="X323" s="1949">
        <v>5435.9880000000003</v>
      </c>
      <c r="Y323" s="1174">
        <f t="shared" ref="Y323:AE323" si="234">X323</f>
        <v>5435.9880000000003</v>
      </c>
      <c r="Z323" s="1174">
        <f t="shared" si="234"/>
        <v>5435.9880000000003</v>
      </c>
      <c r="AA323" s="1174">
        <f t="shared" si="234"/>
        <v>5435.9880000000003</v>
      </c>
      <c r="AB323" s="1174">
        <f t="shared" si="234"/>
        <v>5435.9880000000003</v>
      </c>
      <c r="AC323" s="1174">
        <f t="shared" si="234"/>
        <v>5435.9880000000003</v>
      </c>
      <c r="AD323" s="1174">
        <f t="shared" si="234"/>
        <v>5435.9880000000003</v>
      </c>
      <c r="AE323" s="1174">
        <f t="shared" si="234"/>
        <v>5435.9880000000003</v>
      </c>
      <c r="AF323" s="1174">
        <f>AE323</f>
        <v>5435.9880000000003</v>
      </c>
      <c r="AG323" s="1174">
        <f>AF323</f>
        <v>5435.9880000000003</v>
      </c>
      <c r="AH323" s="1174">
        <f>AG323</f>
        <v>5435.9880000000003</v>
      </c>
      <c r="AI323" s="685"/>
      <c r="AJ323" s="685"/>
      <c r="AK323" s="685"/>
      <c r="AL323" s="685"/>
      <c r="AM323" s="685"/>
      <c r="AN323" s="685"/>
      <c r="AO323" s="685"/>
      <c r="AP323" s="685"/>
      <c r="AQ323" s="685"/>
      <c r="AR323" s="685"/>
      <c r="AS323" s="685"/>
      <c r="AT323" s="685"/>
      <c r="AU323" s="685"/>
      <c r="AV323" s="685"/>
      <c r="AW323" s="685"/>
      <c r="AX323" s="685"/>
      <c r="AY323" s="685"/>
      <c r="AZ323" s="685"/>
      <c r="BA323" s="685"/>
      <c r="BB323" s="685"/>
      <c r="BC323" s="685"/>
      <c r="BD323" s="685"/>
    </row>
    <row r="324" spans="1:56">
      <c r="A324" s="685"/>
      <c r="B324" s="1115"/>
      <c r="C324" s="1115"/>
      <c r="D324" s="1115"/>
      <c r="E324" s="1115"/>
      <c r="F324" s="1115"/>
      <c r="G324" s="1115"/>
      <c r="H324" s="1115"/>
      <c r="I324" s="1115"/>
      <c r="J324" s="1115"/>
      <c r="K324" s="1115"/>
      <c r="L324" s="1115"/>
      <c r="M324" s="1115"/>
      <c r="N324" s="1115"/>
      <c r="O324" s="1115"/>
      <c r="P324" s="1115"/>
      <c r="Q324" s="1115"/>
      <c r="R324" s="1115"/>
      <c r="S324" s="1115"/>
      <c r="T324" s="1115"/>
      <c r="U324" s="1115"/>
      <c r="V324" s="1115"/>
      <c r="W324" s="1115"/>
      <c r="X324" s="1115"/>
      <c r="Y324" s="1115"/>
      <c r="Z324" s="1115"/>
      <c r="AA324" s="1115"/>
      <c r="AB324" s="1115"/>
      <c r="AC324" s="1115"/>
      <c r="AD324" s="1115"/>
      <c r="AE324" s="1115"/>
      <c r="AF324" s="1115"/>
      <c r="AG324" s="1115"/>
      <c r="AH324" s="1115"/>
      <c r="AI324" s="685"/>
      <c r="AJ324" s="685"/>
      <c r="AK324" s="685"/>
      <c r="AL324" s="685"/>
      <c r="AM324" s="685"/>
      <c r="AN324" s="685"/>
      <c r="AO324" s="685"/>
      <c r="AP324" s="685"/>
      <c r="AQ324" s="685"/>
      <c r="AR324" s="685"/>
      <c r="AS324" s="685"/>
      <c r="AT324" s="685"/>
      <c r="AU324" s="685"/>
      <c r="AV324" s="685"/>
      <c r="AW324" s="685"/>
      <c r="AX324" s="685"/>
      <c r="AY324" s="685"/>
      <c r="AZ324" s="685"/>
      <c r="BA324" s="685"/>
      <c r="BB324" s="685"/>
      <c r="BC324" s="685"/>
      <c r="BD324" s="685"/>
    </row>
    <row r="325" spans="1:56">
      <c r="A325" s="685"/>
      <c r="B325" s="1115" t="s">
        <v>338</v>
      </c>
      <c r="C325" s="1189"/>
      <c r="D325" s="1190"/>
      <c r="E325" s="1190"/>
      <c r="F325" s="1190"/>
      <c r="G325" s="1190"/>
      <c r="H325" s="1190">
        <f>38843+3996.1</f>
        <v>42839.1</v>
      </c>
      <c r="I325" s="1190">
        <f>31389+3858</f>
        <v>35247</v>
      </c>
      <c r="J325" s="1190">
        <f>21698+3356</f>
        <v>25054</v>
      </c>
      <c r="K325" s="1190">
        <f>24381+3000</f>
        <v>27381</v>
      </c>
      <c r="L325" s="1167">
        <f>16692+3722+4647+1123</f>
        <v>26184</v>
      </c>
      <c r="M325" s="1167">
        <f>29729+4788.6+4807+429+737</f>
        <v>40490.6</v>
      </c>
      <c r="N325" s="1167">
        <f>N311+N312-49675.8-5805.2</f>
        <v>60734.8</v>
      </c>
      <c r="O325" s="1167">
        <f>47546.1+5498.2+6792.2</f>
        <v>59836.499999999993</v>
      </c>
      <c r="P325" s="1167">
        <f>38735+6014+3320</f>
        <v>48069</v>
      </c>
      <c r="Q325" s="1167">
        <f>32068+31+14450</f>
        <v>46549</v>
      </c>
      <c r="R325" s="1167">
        <v>27452.3</v>
      </c>
      <c r="S325" s="1948">
        <v>29058.1</v>
      </c>
      <c r="T325" s="1948">
        <v>25828.2</v>
      </c>
      <c r="U325" s="1948">
        <v>51131</v>
      </c>
      <c r="V325" s="1948">
        <v>32586.3</v>
      </c>
      <c r="W325" s="1948">
        <v>46193.173000000003</v>
      </c>
      <c r="X325" s="1948">
        <v>36375.699999999997</v>
      </c>
      <c r="Y325" s="1123">
        <f t="shared" ref="Y325:AH325" ca="1" si="235">Y307</f>
        <v>37647.907805368442</v>
      </c>
      <c r="Z325" s="1123">
        <f t="shared" ca="1" si="235"/>
        <v>31248.286227552744</v>
      </c>
      <c r="AA325" s="1123">
        <f t="shared" ca="1" si="235"/>
        <v>32024.486363717529</v>
      </c>
      <c r="AB325" s="1123">
        <f t="shared" ca="1" si="235"/>
        <v>34786.515720515032</v>
      </c>
      <c r="AC325" s="1123">
        <f t="shared" ca="1" si="235"/>
        <v>37988.333351566449</v>
      </c>
      <c r="AD325" s="1123">
        <f t="shared" ca="1" si="235"/>
        <v>41610.106401004836</v>
      </c>
      <c r="AE325" s="1123">
        <f t="shared" ca="1" si="235"/>
        <v>45547.328698792429</v>
      </c>
      <c r="AF325" s="1123">
        <f t="shared" ca="1" si="235"/>
        <v>49808.111438385065</v>
      </c>
      <c r="AG325" s="1123">
        <f t="shared" ca="1" si="235"/>
        <v>54126.932792044077</v>
      </c>
      <c r="AH325" s="1123">
        <f t="shared" ca="1" si="235"/>
        <v>58421.346909391505</v>
      </c>
      <c r="AI325" s="685"/>
      <c r="AJ325" s="685"/>
      <c r="AK325" s="685"/>
      <c r="AL325" s="685"/>
      <c r="AM325" s="685"/>
      <c r="AN325" s="685"/>
      <c r="AO325" s="685"/>
      <c r="AP325" s="685"/>
      <c r="AQ325" s="685"/>
      <c r="AR325" s="685"/>
      <c r="AS325" s="685"/>
      <c r="AT325" s="685"/>
      <c r="AU325" s="685"/>
      <c r="AV325" s="685"/>
      <c r="AW325" s="685"/>
      <c r="AX325" s="685"/>
      <c r="AY325" s="685"/>
      <c r="AZ325" s="685"/>
      <c r="BA325" s="685"/>
      <c r="BB325" s="685"/>
      <c r="BC325" s="685"/>
      <c r="BD325" s="685"/>
    </row>
    <row r="326" spans="1:56">
      <c r="A326" s="685"/>
      <c r="B326" s="1115" t="s">
        <v>339</v>
      </c>
      <c r="C326" s="1115"/>
      <c r="D326" s="1115"/>
      <c r="E326" s="1115"/>
      <c r="F326" s="1115"/>
      <c r="G326" s="1115"/>
      <c r="H326" s="1115"/>
      <c r="I326" s="1115"/>
      <c r="J326" s="1115"/>
      <c r="K326" s="1115"/>
      <c r="L326" s="1115"/>
      <c r="M326" s="1115"/>
      <c r="N326" s="1115"/>
      <c r="O326" s="1115"/>
      <c r="P326" s="1115"/>
      <c r="Q326" s="1115"/>
      <c r="R326" s="1115"/>
      <c r="S326" s="1115"/>
      <c r="T326" s="1115"/>
      <c r="U326" s="1115"/>
      <c r="V326" s="1948">
        <v>2586.6010000000001</v>
      </c>
      <c r="W326" s="1948">
        <v>2494.7109999999998</v>
      </c>
      <c r="X326" s="1948">
        <v>3425.3589999999999</v>
      </c>
      <c r="Y326" s="1115"/>
      <c r="Z326" s="1115"/>
      <c r="AA326" s="1115"/>
      <c r="AB326" s="1115"/>
      <c r="AC326" s="1115"/>
      <c r="AD326" s="1115"/>
      <c r="AE326" s="1115"/>
      <c r="AF326" s="1115"/>
      <c r="AG326" s="1115"/>
      <c r="AH326" s="1115"/>
      <c r="AI326" s="685"/>
      <c r="AJ326" s="685"/>
      <c r="AK326" s="685"/>
      <c r="AL326" s="685"/>
      <c r="AM326" s="685"/>
      <c r="AN326" s="685"/>
      <c r="AO326" s="685"/>
      <c r="AP326" s="685"/>
      <c r="AQ326" s="685"/>
      <c r="AR326" s="685"/>
      <c r="AS326" s="685"/>
      <c r="AT326" s="685"/>
      <c r="AU326" s="685"/>
      <c r="AV326" s="685"/>
      <c r="AW326" s="685"/>
      <c r="AX326" s="685"/>
      <c r="AY326" s="685"/>
      <c r="AZ326" s="685"/>
      <c r="BA326" s="685"/>
      <c r="BB326" s="685"/>
      <c r="BC326" s="685"/>
      <c r="BD326" s="685"/>
    </row>
    <row r="327" spans="1:56">
      <c r="A327" s="685"/>
      <c r="B327" s="1115"/>
      <c r="C327" s="1115"/>
      <c r="D327" s="1115"/>
      <c r="E327" s="1115"/>
      <c r="F327" s="1115"/>
      <c r="G327" s="1115"/>
      <c r="H327" s="1115"/>
      <c r="I327" s="1115"/>
      <c r="J327" s="1115"/>
      <c r="K327" s="1115"/>
      <c r="L327" s="1115"/>
      <c r="M327" s="1115"/>
      <c r="N327" s="1115"/>
      <c r="O327" s="1115"/>
      <c r="P327" s="1115"/>
      <c r="Q327" s="1115"/>
      <c r="R327" s="1115"/>
      <c r="S327" s="1115"/>
      <c r="T327" s="1115"/>
      <c r="U327" s="1115"/>
      <c r="V327" s="1123"/>
      <c r="W327" s="1123"/>
      <c r="X327" s="1115"/>
      <c r="Y327" s="1115"/>
      <c r="Z327" s="1115"/>
      <c r="AA327" s="1115"/>
      <c r="AB327" s="1115"/>
      <c r="AC327" s="1115"/>
      <c r="AD327" s="1115"/>
      <c r="AE327" s="1115"/>
      <c r="AF327" s="1115"/>
      <c r="AG327" s="1115"/>
      <c r="AH327" s="1115"/>
      <c r="AI327" s="685"/>
      <c r="AJ327" s="685"/>
      <c r="AK327" s="685"/>
      <c r="AL327" s="685"/>
      <c r="AM327" s="685"/>
      <c r="AN327" s="685"/>
      <c r="AO327" s="685"/>
      <c r="AP327" s="685"/>
      <c r="AQ327" s="685"/>
      <c r="AR327" s="685"/>
      <c r="AS327" s="685"/>
      <c r="AT327" s="685"/>
      <c r="AU327" s="685"/>
      <c r="AV327" s="685"/>
      <c r="AW327" s="685"/>
      <c r="AX327" s="685"/>
      <c r="AY327" s="685"/>
      <c r="AZ327" s="685"/>
      <c r="BA327" s="685"/>
      <c r="BB327" s="685"/>
      <c r="BC327" s="685"/>
      <c r="BD327" s="685"/>
    </row>
    <row r="328" spans="1:56">
      <c r="A328" s="685"/>
      <c r="B328" s="1115" t="s">
        <v>340</v>
      </c>
      <c r="C328" s="1115"/>
      <c r="D328" s="1115"/>
      <c r="E328" s="1115"/>
      <c r="F328" s="1115"/>
      <c r="G328" s="1115"/>
      <c r="H328" s="1115"/>
      <c r="I328" s="1115"/>
      <c r="J328" s="1115"/>
      <c r="K328" s="1115"/>
      <c r="L328" s="1115"/>
      <c r="M328" s="1115"/>
      <c r="N328" s="1115"/>
      <c r="O328" s="1115"/>
      <c r="P328" s="1115"/>
      <c r="Q328" s="1115"/>
      <c r="R328" s="1115"/>
      <c r="S328" s="1115"/>
      <c r="T328" s="1115"/>
      <c r="U328" s="1115"/>
      <c r="V328" s="1115"/>
      <c r="W328" s="1948">
        <v>59647.9</v>
      </c>
      <c r="X328" s="1948">
        <v>49115.199999999997</v>
      </c>
      <c r="Y328" s="1115"/>
      <c r="Z328" s="1115"/>
      <c r="AA328" s="1115"/>
      <c r="AB328" s="1115"/>
      <c r="AC328" s="1115"/>
      <c r="AD328" s="1115"/>
      <c r="AE328" s="1115"/>
      <c r="AF328" s="1115"/>
      <c r="AG328" s="1115"/>
      <c r="AH328" s="1115"/>
      <c r="AI328" s="685"/>
      <c r="AJ328" s="685"/>
      <c r="AK328" s="685"/>
      <c r="AL328" s="685"/>
      <c r="AM328" s="685"/>
      <c r="AN328" s="685"/>
      <c r="AO328" s="685"/>
      <c r="AP328" s="685"/>
      <c r="AQ328" s="685"/>
      <c r="AR328" s="685"/>
      <c r="AS328" s="685"/>
      <c r="AT328" s="685"/>
      <c r="AU328" s="685"/>
      <c r="AV328" s="685"/>
      <c r="AW328" s="685"/>
      <c r="AX328" s="685"/>
      <c r="AY328" s="685"/>
      <c r="AZ328" s="685"/>
      <c r="BA328" s="685"/>
      <c r="BB328" s="685"/>
      <c r="BC328" s="685"/>
      <c r="BD328" s="685"/>
    </row>
    <row r="329" spans="1:56">
      <c r="A329" s="685"/>
      <c r="B329" s="1115"/>
      <c r="C329" s="1115"/>
      <c r="D329" s="1115"/>
      <c r="E329" s="1115"/>
      <c r="F329" s="1115"/>
      <c r="G329" s="1115"/>
      <c r="H329" s="1115"/>
      <c r="I329" s="1115"/>
      <c r="J329" s="1115"/>
      <c r="K329" s="1115"/>
      <c r="L329" s="1115"/>
      <c r="M329" s="1115"/>
      <c r="N329" s="1115"/>
      <c r="O329" s="1115"/>
      <c r="P329" s="1115"/>
      <c r="Q329" s="1115"/>
      <c r="R329" s="1115"/>
      <c r="S329" s="1115"/>
      <c r="T329" s="1115"/>
      <c r="U329" s="1115"/>
      <c r="V329" s="1115"/>
      <c r="W329" s="1115"/>
      <c r="X329" s="1115"/>
      <c r="Y329" s="1115"/>
      <c r="Z329" s="1115"/>
      <c r="AA329" s="1115"/>
      <c r="AB329" s="1115"/>
      <c r="AC329" s="1115"/>
      <c r="AD329" s="1115"/>
      <c r="AE329" s="1115"/>
      <c r="AF329" s="1115"/>
      <c r="AG329" s="1115"/>
      <c r="AH329" s="1115"/>
      <c r="AI329" s="685"/>
      <c r="AJ329" s="685"/>
      <c r="AK329" s="685"/>
      <c r="AL329" s="685"/>
      <c r="AM329" s="685"/>
      <c r="AN329" s="685"/>
      <c r="AO329" s="685"/>
      <c r="AP329" s="685"/>
      <c r="AQ329" s="685"/>
      <c r="AR329" s="685"/>
      <c r="AS329" s="685"/>
      <c r="AT329" s="685"/>
      <c r="AU329" s="685"/>
      <c r="AV329" s="685"/>
      <c r="AW329" s="685"/>
      <c r="AX329" s="685"/>
      <c r="AY329" s="685"/>
      <c r="AZ329" s="685"/>
      <c r="BA329" s="685"/>
      <c r="BB329" s="685"/>
      <c r="BC329" s="685"/>
      <c r="BD329" s="685"/>
    </row>
    <row r="330" spans="1:56">
      <c r="A330" s="685"/>
      <c r="B330" s="1115" t="s">
        <v>341</v>
      </c>
      <c r="C330" s="1166"/>
      <c r="D330" s="1166">
        <f t="shared" ref="D330:AC330" si="236">D331+D332</f>
        <v>0</v>
      </c>
      <c r="E330" s="1123">
        <f t="shared" si="236"/>
        <v>0</v>
      </c>
      <c r="F330" s="1123">
        <f t="shared" si="236"/>
        <v>0</v>
      </c>
      <c r="G330" s="1123">
        <f t="shared" si="236"/>
        <v>0</v>
      </c>
      <c r="H330" s="1123">
        <f t="shared" si="236"/>
        <v>0</v>
      </c>
      <c r="I330" s="1123">
        <f t="shared" si="236"/>
        <v>27803</v>
      </c>
      <c r="J330" s="1123">
        <f t="shared" si="236"/>
        <v>51041</v>
      </c>
      <c r="K330" s="1123">
        <f t="shared" si="236"/>
        <v>50938</v>
      </c>
      <c r="L330" s="1123">
        <f t="shared" si="236"/>
        <v>76174.5</v>
      </c>
      <c r="M330" s="1123">
        <f t="shared" si="236"/>
        <v>59721.800000000017</v>
      </c>
      <c r="N330" s="1123">
        <f t="shared" si="236"/>
        <v>77339.999999999971</v>
      </c>
      <c r="O330" s="1123">
        <f t="shared" si="236"/>
        <v>86506.099999999977</v>
      </c>
      <c r="P330" s="1123">
        <f t="shared" si="236"/>
        <v>87053</v>
      </c>
      <c r="Q330" s="1123">
        <f t="shared" si="236"/>
        <v>95180</v>
      </c>
      <c r="R330" s="1123">
        <f t="shared" si="236"/>
        <v>95734</v>
      </c>
      <c r="S330" s="1123">
        <f t="shared" si="236"/>
        <v>76460</v>
      </c>
      <c r="T330" s="1123">
        <f t="shared" si="236"/>
        <v>89763.799999999988</v>
      </c>
      <c r="U330" s="1123">
        <f t="shared" si="236"/>
        <v>89421.999999999971</v>
      </c>
      <c r="V330" s="1123">
        <f t="shared" si="236"/>
        <v>78035.399999999965</v>
      </c>
      <c r="W330" s="1123">
        <f t="shared" si="236"/>
        <v>78304.329000000012</v>
      </c>
      <c r="X330" s="1123">
        <f t="shared" si="236"/>
        <v>65709.77900000001</v>
      </c>
      <c r="Y330" s="1123">
        <f t="shared" ca="1" si="236"/>
        <v>67119.38115048944</v>
      </c>
      <c r="Z330" s="1123">
        <f t="shared" ca="1" si="236"/>
        <v>69688.258884599229</v>
      </c>
      <c r="AA330" s="1123">
        <f t="shared" ca="1" si="236"/>
        <v>72344.37740184422</v>
      </c>
      <c r="AB330" s="1123">
        <f t="shared" ca="1" si="236"/>
        <v>75091.959214740695</v>
      </c>
      <c r="AC330" s="1123">
        <f t="shared" ca="1" si="236"/>
        <v>77936.275616960891</v>
      </c>
      <c r="AD330" s="1123">
        <f ca="1">AD331+AD332</f>
        <v>80848.148088883259</v>
      </c>
      <c r="AE330" s="1123">
        <f ca="1">AE331+AE332</f>
        <v>83829.449744151541</v>
      </c>
      <c r="AF330" s="1123">
        <f ca="1">AF331+AF332</f>
        <v>86882.106818449931</v>
      </c>
      <c r="AG330" s="1123">
        <f ca="1">AG331+AG332</f>
        <v>90008.100201736743</v>
      </c>
      <c r="AH330" s="1123">
        <f ca="1">AH331+AH332</f>
        <v>93209.467015216826</v>
      </c>
      <c r="AI330" s="685"/>
      <c r="AJ330" s="685"/>
      <c r="AK330" s="685"/>
      <c r="AL330" s="685"/>
      <c r="AM330" s="685"/>
      <c r="AN330" s="685"/>
      <c r="AO330" s="685"/>
      <c r="AP330" s="685"/>
      <c r="AQ330" s="685"/>
      <c r="AR330" s="685"/>
      <c r="AS330" s="685"/>
      <c r="AT330" s="685"/>
      <c r="AU330" s="685"/>
      <c r="AV330" s="685"/>
      <c r="AW330" s="685"/>
      <c r="AX330" s="685"/>
      <c r="AY330" s="685"/>
      <c r="AZ330" s="685"/>
      <c r="BA330" s="685"/>
      <c r="BB330" s="685"/>
      <c r="BC330" s="685"/>
      <c r="BD330" s="685"/>
    </row>
    <row r="331" spans="1:56">
      <c r="A331" s="685"/>
      <c r="B331" s="1115" t="s">
        <v>342</v>
      </c>
      <c r="C331" s="1166"/>
      <c r="D331" s="1167"/>
      <c r="E331" s="1167"/>
      <c r="F331" s="1167"/>
      <c r="G331" s="1167"/>
      <c r="H331" s="1167"/>
      <c r="I331" s="1167">
        <v>0</v>
      </c>
      <c r="J331" s="1167">
        <v>0</v>
      </c>
      <c r="K331" s="1167">
        <v>0</v>
      </c>
      <c r="L331" s="1167">
        <v>0</v>
      </c>
      <c r="M331" s="1167">
        <v>0</v>
      </c>
      <c r="N331" s="1167">
        <v>0</v>
      </c>
      <c r="O331" s="1167">
        <v>0</v>
      </c>
      <c r="P331" s="1167">
        <v>0</v>
      </c>
      <c r="Q331" s="1167">
        <v>0</v>
      </c>
      <c r="R331" s="1167">
        <v>0</v>
      </c>
      <c r="S331" s="1167">
        <v>0</v>
      </c>
      <c r="T331" s="1167">
        <v>33173.1</v>
      </c>
      <c r="U331" s="1167">
        <v>18452.8</v>
      </c>
      <c r="V331" s="1167">
        <v>18497</v>
      </c>
      <c r="W331" s="1167">
        <v>20630.753000000001</v>
      </c>
      <c r="X331" s="1167">
        <v>14083.041999999999</v>
      </c>
      <c r="Y331" s="1123">
        <f t="shared" ref="Y331:AE331" ca="1" si="237">X331-(Y377-Y405)</f>
        <v>14083.041999999999</v>
      </c>
      <c r="Z331" s="1123">
        <f t="shared" ca="1" si="237"/>
        <v>14083.041999999999</v>
      </c>
      <c r="AA331" s="1123">
        <f t="shared" ca="1" si="237"/>
        <v>14083.041999999999</v>
      </c>
      <c r="AB331" s="1123">
        <f t="shared" ca="1" si="237"/>
        <v>14083.041999999999</v>
      </c>
      <c r="AC331" s="1123">
        <f t="shared" ca="1" si="237"/>
        <v>14083.041999999999</v>
      </c>
      <c r="AD331" s="1123">
        <f t="shared" ca="1" si="237"/>
        <v>14083.041999999999</v>
      </c>
      <c r="AE331" s="1123">
        <f t="shared" ca="1" si="237"/>
        <v>14083.041999999999</v>
      </c>
      <c r="AF331" s="1123">
        <f ca="1">AE331-(AF377-AF405)</f>
        <v>14083.041999999999</v>
      </c>
      <c r="AG331" s="1123">
        <f ca="1">AF331-(AG377-AG405)</f>
        <v>14083.041999999999</v>
      </c>
      <c r="AH331" s="1123">
        <f ca="1">AG331-(AH377-AH405)</f>
        <v>14083.041999999999</v>
      </c>
      <c r="AI331" s="685"/>
      <c r="AJ331" s="685"/>
      <c r="AK331" s="685"/>
      <c r="AL331" s="685"/>
      <c r="AM331" s="685"/>
      <c r="AN331" s="685"/>
      <c r="AO331" s="685"/>
      <c r="AP331" s="685"/>
      <c r="AQ331" s="685"/>
      <c r="AR331" s="685"/>
      <c r="AS331" s="685"/>
      <c r="AT331" s="685"/>
      <c r="AU331" s="685"/>
      <c r="AV331" s="685"/>
      <c r="AW331" s="685"/>
      <c r="AX331" s="685"/>
      <c r="AY331" s="685"/>
      <c r="AZ331" s="685"/>
      <c r="BA331" s="685"/>
      <c r="BB331" s="685"/>
      <c r="BC331" s="685"/>
      <c r="BD331" s="685"/>
    </row>
    <row r="332" spans="1:56">
      <c r="A332" s="685"/>
      <c r="B332" s="1115" t="s">
        <v>107</v>
      </c>
      <c r="C332" s="1166"/>
      <c r="D332" s="1167"/>
      <c r="E332" s="1167"/>
      <c r="F332" s="1167"/>
      <c r="G332" s="1167"/>
      <c r="H332" s="1167"/>
      <c r="I332" s="1167">
        <f>(136471-I177)-I179-I180-I331</f>
        <v>27803</v>
      </c>
      <c r="J332" s="1167">
        <f>(155061-J177)-J179-J180-J331</f>
        <v>51041</v>
      </c>
      <c r="K332" s="1167">
        <f>(165066-K177)-K179-K180-K331</f>
        <v>50938</v>
      </c>
      <c r="L332" s="1167">
        <f>(194507-L177)-L179-L180-L331</f>
        <v>76174.5</v>
      </c>
      <c r="M332" s="1167">
        <f>(226894.2-M177)-M179-M180-M331</f>
        <v>59721.800000000017</v>
      </c>
      <c r="N332" s="1167">
        <f>(281473.7-N177)-N179-N180-N331</f>
        <v>77339.999999999971</v>
      </c>
      <c r="O332" s="1167">
        <f>(306883-O177)-O179-O180-O331-O438</f>
        <v>86506.099999999977</v>
      </c>
      <c r="P332" s="1167">
        <f>(297220-P177)-P179-P180-P331-P438</f>
        <v>87053</v>
      </c>
      <c r="Q332" s="1167">
        <f>(297842-Q177)-Q179-Q180-Q331-Q438</f>
        <v>95180</v>
      </c>
      <c r="R332" s="1167">
        <f>(290422-R177)-R179-R180-R331-R438</f>
        <v>95734</v>
      </c>
      <c r="S332" s="1167">
        <f>(271985-S177)-S179-S180-S331-S438</f>
        <v>76460</v>
      </c>
      <c r="T332" s="1167">
        <f>(292900.5-T177)-T179-T180-T331-T438</f>
        <v>56590.69999999999</v>
      </c>
      <c r="U332" s="1167">
        <f>(297705.1-U177)-U179-U180-U331-U438</f>
        <v>70969.199999999968</v>
      </c>
      <c r="V332" s="1167">
        <f>(261835.8-V177)-V179-V180-V331-V438</f>
        <v>59538.399999999972</v>
      </c>
      <c r="W332" s="1167">
        <f>(251657.896-W177)-W179-W180-W331-W438</f>
        <v>57673.576000000008</v>
      </c>
      <c r="X332" s="1167">
        <f>(228418.025-X177)-X179-X180-X331-X438</f>
        <v>51626.737000000008</v>
      </c>
      <c r="Y332" s="1123">
        <f>X332+Y489+Y488+Y246+Y321+229.5</f>
        <v>53036.339150489439</v>
      </c>
      <c r="Z332" s="1123">
        <f>Y332+Z489+Z488+Z246+Z321+253</f>
        <v>55605.216884599227</v>
      </c>
      <c r="AA332" s="1123">
        <f>Z332+AA489+AA488+AA246+AA321+278</f>
        <v>58261.335401844219</v>
      </c>
      <c r="AB332" s="1123">
        <f>AA332+AB489+AB488+AB246+AB321+305.5</f>
        <v>61008.917214740701</v>
      </c>
      <c r="AC332" s="1123">
        <f t="shared" ref="AC332:AH332" si="238">AB332+AC489+AC488+AC246+AC321+336.5</f>
        <v>63853.23361696089</v>
      </c>
      <c r="AD332" s="1123">
        <f t="shared" si="238"/>
        <v>66765.106088883258</v>
      </c>
      <c r="AE332" s="1123">
        <f t="shared" si="238"/>
        <v>69746.40774415154</v>
      </c>
      <c r="AF332" s="1123">
        <f t="shared" si="238"/>
        <v>72799.06481844993</v>
      </c>
      <c r="AG332" s="1123">
        <f t="shared" si="238"/>
        <v>75925.058201736741</v>
      </c>
      <c r="AH332" s="1123">
        <f t="shared" si="238"/>
        <v>79126.425015216824</v>
      </c>
      <c r="AI332" s="1803"/>
      <c r="AJ332" s="685"/>
      <c r="AK332" s="685"/>
      <c r="AL332" s="685"/>
      <c r="AM332" s="685"/>
      <c r="AN332" s="685"/>
      <c r="AO332" s="685"/>
      <c r="AP332" s="685"/>
      <c r="AQ332" s="685"/>
      <c r="AR332" s="685"/>
      <c r="AS332" s="685"/>
      <c r="AT332" s="685"/>
      <c r="AU332" s="685"/>
      <c r="AV332" s="685"/>
      <c r="AW332" s="685"/>
      <c r="AX332" s="685"/>
      <c r="AY332" s="685"/>
      <c r="AZ332" s="685"/>
      <c r="BA332" s="685"/>
      <c r="BB332" s="685"/>
      <c r="BC332" s="685"/>
      <c r="BD332" s="685"/>
    </row>
    <row r="333" spans="1:56">
      <c r="A333" s="685"/>
      <c r="B333" s="1115"/>
      <c r="C333" s="1115"/>
      <c r="D333" s="1115"/>
      <c r="E333" s="1115"/>
      <c r="F333" s="1115"/>
      <c r="G333" s="1115"/>
      <c r="H333" s="1115"/>
      <c r="I333" s="1115"/>
      <c r="J333" s="1115"/>
      <c r="K333" s="1115"/>
      <c r="L333" s="1115"/>
      <c r="M333" s="1115"/>
      <c r="N333" s="1115"/>
      <c r="O333" s="1115"/>
      <c r="P333" s="1115"/>
      <c r="Q333" s="1115"/>
      <c r="R333" s="1115"/>
      <c r="S333" s="1115"/>
      <c r="T333" s="1115"/>
      <c r="U333" s="1115"/>
      <c r="V333" s="1115"/>
      <c r="W333" s="1115"/>
      <c r="X333" s="1115"/>
      <c r="Y333" s="1115"/>
      <c r="Z333" s="1115"/>
      <c r="AA333" s="1115"/>
      <c r="AB333" s="1115"/>
      <c r="AC333" s="1115"/>
      <c r="AD333" s="1115"/>
      <c r="AE333" s="1115"/>
      <c r="AF333" s="1115"/>
      <c r="AG333" s="1115"/>
      <c r="AH333" s="1115"/>
      <c r="AI333" s="685"/>
      <c r="AJ333" s="685"/>
      <c r="AK333" s="685"/>
      <c r="AL333" s="685"/>
      <c r="AM333" s="685"/>
      <c r="AN333" s="685"/>
      <c r="AO333" s="685"/>
      <c r="AP333" s="685"/>
      <c r="AQ333" s="685"/>
      <c r="AR333" s="685"/>
      <c r="AS333" s="685"/>
      <c r="AT333" s="685"/>
      <c r="AU333" s="685"/>
      <c r="AV333" s="685"/>
      <c r="AW333" s="685"/>
      <c r="AX333" s="685"/>
      <c r="AY333" s="685"/>
      <c r="AZ333" s="685"/>
      <c r="BA333" s="685"/>
      <c r="BB333" s="685"/>
      <c r="BC333" s="685"/>
      <c r="BD333" s="685"/>
    </row>
    <row r="334" spans="1:56">
      <c r="A334" s="685"/>
      <c r="B334" s="1115"/>
      <c r="C334" s="1115"/>
      <c r="D334" s="1115"/>
      <c r="E334" s="1115"/>
      <c r="F334" s="1115"/>
      <c r="G334" s="1115"/>
      <c r="H334" s="1115"/>
      <c r="I334" s="1115"/>
      <c r="J334" s="1115"/>
      <c r="K334" s="1115"/>
      <c r="L334" s="1115"/>
      <c r="M334" s="1115"/>
      <c r="N334" s="1843">
        <f t="shared" ref="N334:X334" si="239">N308/N140</f>
        <v>1.7136829620111633</v>
      </c>
      <c r="O334" s="1843">
        <f t="shared" si="239"/>
        <v>2.3350447764750033</v>
      </c>
      <c r="P334" s="1843">
        <f t="shared" si="239"/>
        <v>2.418334350213545</v>
      </c>
      <c r="Q334" s="1843">
        <f t="shared" si="239"/>
        <v>2.2781516166518556</v>
      </c>
      <c r="R334" s="1843">
        <f t="shared" si="239"/>
        <v>2.725734664988579</v>
      </c>
      <c r="S334" s="1843">
        <f t="shared" si="239"/>
        <v>2.6484515708458845</v>
      </c>
      <c r="T334" s="1843">
        <f t="shared" si="239"/>
        <v>2.5146898278962238</v>
      </c>
      <c r="U334" s="1843">
        <f t="shared" si="239"/>
        <v>2.4466880717167077</v>
      </c>
      <c r="V334" s="1843">
        <f t="shared" si="239"/>
        <v>2.6214369564676714</v>
      </c>
      <c r="W334" s="1843">
        <f t="shared" si="239"/>
        <v>3.5124672620689474</v>
      </c>
      <c r="X334" s="1843">
        <f t="shared" si="239"/>
        <v>2.5743965509179159</v>
      </c>
      <c r="Y334" s="1843">
        <f t="shared" ref="Y334:AH334" ca="1" si="240">Y308/Y140</f>
        <v>2.5205645237098397</v>
      </c>
      <c r="Z334" s="1843">
        <f t="shared" ca="1" si="240"/>
        <v>2.6054160451757591</v>
      </c>
      <c r="AA334" s="1843">
        <f t="shared" ca="1" si="240"/>
        <v>2.6925228829771521</v>
      </c>
      <c r="AB334" s="1843">
        <f t="shared" ca="1" si="240"/>
        <v>2.615455844652895</v>
      </c>
      <c r="AC334" s="1843">
        <f t="shared" ca="1" si="240"/>
        <v>2.4813709762436278</v>
      </c>
      <c r="AD334" s="1843">
        <f t="shared" ca="1" si="240"/>
        <v>2.3132639886629347</v>
      </c>
      <c r="AE334" s="1843">
        <f t="shared" ca="1" si="240"/>
        <v>2.147840240528772</v>
      </c>
      <c r="AF334" s="1843">
        <f t="shared" ca="1" si="240"/>
        <v>1.9791523603142704</v>
      </c>
      <c r="AG334" s="1843">
        <f t="shared" ca="1" si="240"/>
        <v>1.8486323731493677</v>
      </c>
      <c r="AH334" s="1843">
        <f t="shared" ca="1" si="240"/>
        <v>1.7011869141118268</v>
      </c>
      <c r="AI334" s="685"/>
      <c r="AJ334" s="685"/>
      <c r="AK334" s="685"/>
      <c r="AL334" s="685"/>
      <c r="AM334" s="685"/>
      <c r="AN334" s="685"/>
      <c r="AO334" s="685"/>
      <c r="AP334" s="685"/>
      <c r="AQ334" s="685"/>
      <c r="AR334" s="685"/>
      <c r="AS334" s="685"/>
      <c r="AT334" s="685"/>
      <c r="AU334" s="685"/>
      <c r="AV334" s="685"/>
      <c r="AW334" s="685"/>
      <c r="AX334" s="685"/>
      <c r="AY334" s="685"/>
      <c r="AZ334" s="685"/>
      <c r="BA334" s="685"/>
      <c r="BB334" s="685"/>
      <c r="BC334" s="685"/>
      <c r="BD334" s="685"/>
    </row>
    <row r="335" spans="1:56">
      <c r="A335" s="685"/>
      <c r="B335" s="1115"/>
      <c r="C335" s="1115"/>
      <c r="D335" s="1115"/>
      <c r="E335" s="1115"/>
      <c r="F335" s="1115"/>
      <c r="G335" s="1115"/>
      <c r="H335" s="1115"/>
      <c r="I335" s="1115"/>
      <c r="J335" s="1115"/>
      <c r="K335" s="1115"/>
      <c r="L335" s="1115"/>
      <c r="M335" s="1115"/>
      <c r="N335" s="1843">
        <f t="shared" ref="N335:W335" si="241">N306/(N140+N152+N287)</f>
        <v>3.4754879824873579</v>
      </c>
      <c r="O335" s="1843">
        <f t="shared" si="241"/>
        <v>3.8170793664818539</v>
      </c>
      <c r="P335" s="1843">
        <f t="shared" si="241"/>
        <v>3.4452140035712353</v>
      </c>
      <c r="Q335" s="1843">
        <f t="shared" si="241"/>
        <v>3.3581236230489959</v>
      </c>
      <c r="R335" s="1843">
        <f t="shared" si="241"/>
        <v>3.1898501342587662</v>
      </c>
      <c r="S335" s="1843">
        <f t="shared" si="241"/>
        <v>3.8582055266338342</v>
      </c>
      <c r="T335" s="1843">
        <f t="shared" si="241"/>
        <v>2.8388844184038686</v>
      </c>
      <c r="U335" s="1843">
        <f t="shared" si="241"/>
        <v>5.9067642793972919</v>
      </c>
      <c r="V335" s="1843">
        <f t="shared" si="241"/>
        <v>4.5427265778519068</v>
      </c>
      <c r="W335" s="1843">
        <f t="shared" si="241"/>
        <v>5.1951406240596523</v>
      </c>
      <c r="X335" s="1843">
        <f>X306/(X140+X152+X287)</f>
        <v>3.9814383425129458</v>
      </c>
      <c r="Y335" s="1843">
        <f t="shared" ref="Y335:AH335" ca="1" si="242">Y306/(Y140+Y152+Y287)</f>
        <v>3.8025999702211841</v>
      </c>
      <c r="Z335" s="1843">
        <f t="shared" ca="1" si="242"/>
        <v>3.5490154788078474</v>
      </c>
      <c r="AA335" s="1843">
        <f t="shared" ca="1" si="242"/>
        <v>3.6352181401851635</v>
      </c>
      <c r="AB335" s="1843">
        <f t="shared" ca="1" si="242"/>
        <v>3.6118022476106417</v>
      </c>
      <c r="AC335" s="1843">
        <f t="shared" ca="1" si="242"/>
        <v>3.5389716653044232</v>
      </c>
      <c r="AD335" s="1843">
        <f t="shared" ca="1" si="242"/>
        <v>3.4655365566225766</v>
      </c>
      <c r="AE335" s="1843">
        <f t="shared" ca="1" si="242"/>
        <v>3.4140995802256962</v>
      </c>
      <c r="AF335" s="1843">
        <f t="shared" ca="1" si="242"/>
        <v>3.3753681116188781</v>
      </c>
      <c r="AG335" s="1843">
        <f t="shared" ca="1" si="242"/>
        <v>3.3982218722318667</v>
      </c>
      <c r="AH335" s="1843">
        <f t="shared" ca="1" si="242"/>
        <v>3.3863299823919832</v>
      </c>
      <c r="AI335" s="685"/>
      <c r="AJ335" s="685"/>
      <c r="AK335" s="685"/>
      <c r="AL335" s="685"/>
      <c r="AM335" s="685"/>
      <c r="AN335" s="685"/>
      <c r="AO335" s="685"/>
      <c r="AP335" s="685"/>
      <c r="AQ335" s="685"/>
      <c r="AR335" s="685"/>
      <c r="AS335" s="685"/>
      <c r="AT335" s="685"/>
      <c r="AU335" s="685"/>
      <c r="AV335" s="685"/>
      <c r="AW335" s="685"/>
      <c r="AX335" s="685"/>
      <c r="AY335" s="685"/>
      <c r="AZ335" s="685"/>
      <c r="BA335" s="685"/>
      <c r="BB335" s="685"/>
      <c r="BC335" s="685"/>
      <c r="BD335" s="685"/>
    </row>
    <row r="336" spans="1:56">
      <c r="A336" s="685"/>
      <c r="B336" s="1115"/>
      <c r="C336" s="1115"/>
      <c r="D336" s="1115"/>
      <c r="E336" s="1115"/>
      <c r="F336" s="1115"/>
      <c r="G336" s="1115"/>
      <c r="H336" s="1115"/>
      <c r="I336" s="1115"/>
      <c r="J336" s="1115"/>
      <c r="K336" s="1115"/>
      <c r="L336" s="1115"/>
      <c r="M336" s="1115"/>
      <c r="N336" s="1115"/>
      <c r="O336" s="1115"/>
      <c r="P336" s="1115"/>
      <c r="Q336" s="1115"/>
      <c r="R336" s="1115"/>
      <c r="S336" s="1115"/>
      <c r="T336" s="1115"/>
      <c r="U336" s="1115"/>
      <c r="V336" s="1115"/>
      <c r="W336" s="1115"/>
      <c r="X336" s="1115"/>
      <c r="Y336" s="1115"/>
      <c r="Z336" s="1115"/>
      <c r="AA336" s="1115"/>
      <c r="AB336" s="1115"/>
      <c r="AC336" s="1115"/>
      <c r="AD336" s="1115"/>
      <c r="AE336" s="1115"/>
      <c r="AF336" s="1115"/>
      <c r="AG336" s="1115"/>
      <c r="AH336" s="1115"/>
      <c r="AI336" s="685"/>
      <c r="AJ336" s="685"/>
      <c r="AK336" s="685"/>
      <c r="AL336" s="685"/>
      <c r="AM336" s="685"/>
      <c r="AN336" s="685"/>
      <c r="AO336" s="685"/>
      <c r="AP336" s="685"/>
      <c r="AQ336" s="685"/>
      <c r="AR336" s="685"/>
      <c r="AS336" s="685"/>
      <c r="AT336" s="685"/>
      <c r="AU336" s="685"/>
      <c r="AV336" s="685"/>
      <c r="AW336" s="685"/>
      <c r="AX336" s="685"/>
      <c r="AY336" s="685"/>
      <c r="AZ336" s="685"/>
      <c r="BA336" s="685"/>
      <c r="BB336" s="685"/>
      <c r="BC336" s="685"/>
      <c r="BD336" s="685"/>
    </row>
    <row r="337" spans="1:56">
      <c r="A337" s="685"/>
      <c r="B337" s="1115"/>
      <c r="C337" s="1115"/>
      <c r="D337" s="1115"/>
      <c r="E337" s="1115"/>
      <c r="F337" s="1115"/>
      <c r="G337" s="1115"/>
      <c r="H337" s="1115"/>
      <c r="I337" s="1115"/>
      <c r="J337" s="1115"/>
      <c r="K337" s="1115"/>
      <c r="L337" s="1115"/>
      <c r="M337" s="1115"/>
      <c r="N337" s="1115"/>
      <c r="O337" s="1115"/>
      <c r="P337" s="1115"/>
      <c r="Q337" s="1115"/>
      <c r="R337" s="1115"/>
      <c r="S337" s="1115"/>
      <c r="T337" s="1115"/>
      <c r="U337" s="1115"/>
      <c r="V337" s="1115"/>
      <c r="W337" s="1115"/>
      <c r="X337" s="1115"/>
      <c r="Y337" s="1115"/>
      <c r="Z337" s="1115"/>
      <c r="AA337" s="1115"/>
      <c r="AB337" s="1115"/>
      <c r="AC337" s="1115"/>
      <c r="AD337" s="1115"/>
      <c r="AE337" s="1115"/>
      <c r="AF337" s="1115"/>
      <c r="AG337" s="1115"/>
      <c r="AH337" s="1115"/>
      <c r="AI337" s="685"/>
      <c r="AJ337" s="685"/>
      <c r="AK337" s="685"/>
      <c r="AL337" s="685"/>
      <c r="AM337" s="685"/>
      <c r="AN337" s="685"/>
      <c r="AO337" s="685"/>
      <c r="AP337" s="685"/>
      <c r="AQ337" s="685"/>
      <c r="AR337" s="685"/>
      <c r="AS337" s="685"/>
      <c r="AT337" s="685"/>
      <c r="AU337" s="685"/>
      <c r="AV337" s="685"/>
      <c r="AW337" s="685"/>
      <c r="AX337" s="685"/>
      <c r="AY337" s="685"/>
      <c r="AZ337" s="685"/>
      <c r="BA337" s="685"/>
      <c r="BB337" s="685"/>
      <c r="BC337" s="685"/>
      <c r="BD337" s="685"/>
    </row>
    <row r="338" spans="1:56">
      <c r="A338" s="685"/>
      <c r="B338" s="1115"/>
      <c r="C338" s="1115"/>
      <c r="D338" s="1115"/>
      <c r="E338" s="1115"/>
      <c r="F338" s="1115"/>
      <c r="G338" s="1115"/>
      <c r="H338" s="1115"/>
      <c r="I338" s="1115"/>
      <c r="J338" s="1115"/>
      <c r="K338" s="1115"/>
      <c r="L338" s="1115"/>
      <c r="M338" s="1115"/>
      <c r="N338" s="1115"/>
      <c r="O338" s="1115"/>
      <c r="P338" s="1115"/>
      <c r="Q338" s="1115"/>
      <c r="R338" s="1115"/>
      <c r="S338" s="1115"/>
      <c r="T338" s="1115"/>
      <c r="U338" s="1115"/>
      <c r="V338" s="1115"/>
      <c r="W338" s="1115"/>
      <c r="X338" s="1115"/>
      <c r="Y338" s="1115"/>
      <c r="Z338" s="1115"/>
      <c r="AA338" s="1115"/>
      <c r="AB338" s="1115"/>
      <c r="AC338" s="1115"/>
      <c r="AD338" s="1115"/>
      <c r="AE338" s="1115"/>
      <c r="AF338" s="1115"/>
      <c r="AG338" s="1115"/>
      <c r="AH338" s="1115"/>
      <c r="AI338" s="685"/>
      <c r="AJ338" s="685"/>
      <c r="AK338" s="685"/>
      <c r="AL338" s="685"/>
      <c r="AM338" s="685"/>
      <c r="AN338" s="685"/>
      <c r="AO338" s="685"/>
      <c r="AP338" s="685"/>
      <c r="AQ338" s="685"/>
      <c r="AR338" s="685"/>
      <c r="AS338" s="685"/>
      <c r="AT338" s="685"/>
      <c r="AU338" s="685"/>
      <c r="AV338" s="685"/>
      <c r="AW338" s="685"/>
      <c r="AX338" s="685"/>
      <c r="AY338" s="685"/>
      <c r="AZ338" s="685"/>
      <c r="BA338" s="685"/>
      <c r="BB338" s="685"/>
      <c r="BC338" s="685"/>
      <c r="BD338" s="685"/>
    </row>
    <row r="339" spans="1:56">
      <c r="A339" s="685"/>
      <c r="B339" s="1112" t="s">
        <v>343</v>
      </c>
      <c r="C339" s="1112">
        <v>2004</v>
      </c>
      <c r="D339" s="1112">
        <f t="shared" ref="D339:AE339" si="243">C339+1</f>
        <v>2005</v>
      </c>
      <c r="E339" s="1112">
        <f t="shared" si="243"/>
        <v>2006</v>
      </c>
      <c r="F339" s="1112">
        <f t="shared" si="243"/>
        <v>2007</v>
      </c>
      <c r="G339" s="1112">
        <f t="shared" si="243"/>
        <v>2008</v>
      </c>
      <c r="H339" s="1112">
        <f t="shared" si="243"/>
        <v>2009</v>
      </c>
      <c r="I339" s="1112">
        <f t="shared" si="243"/>
        <v>2010</v>
      </c>
      <c r="J339" s="1112">
        <f t="shared" si="243"/>
        <v>2011</v>
      </c>
      <c r="K339" s="1112">
        <f t="shared" si="243"/>
        <v>2012</v>
      </c>
      <c r="L339" s="1112">
        <f t="shared" si="243"/>
        <v>2013</v>
      </c>
      <c r="M339" s="1112">
        <f t="shared" si="243"/>
        <v>2014</v>
      </c>
      <c r="N339" s="1112">
        <f t="shared" si="243"/>
        <v>2015</v>
      </c>
      <c r="O339" s="1112">
        <f t="shared" si="243"/>
        <v>2016</v>
      </c>
      <c r="P339" s="1112">
        <f t="shared" si="243"/>
        <v>2017</v>
      </c>
      <c r="Q339" s="1112">
        <f t="shared" si="243"/>
        <v>2018</v>
      </c>
      <c r="R339" s="1112">
        <f t="shared" si="243"/>
        <v>2019</v>
      </c>
      <c r="S339" s="1112">
        <f t="shared" si="243"/>
        <v>2020</v>
      </c>
      <c r="T339" s="1112">
        <f t="shared" si="243"/>
        <v>2021</v>
      </c>
      <c r="U339" s="1112">
        <f t="shared" si="243"/>
        <v>2022</v>
      </c>
      <c r="V339" s="1112">
        <f t="shared" si="243"/>
        <v>2023</v>
      </c>
      <c r="W339" s="1112">
        <f t="shared" si="243"/>
        <v>2024</v>
      </c>
      <c r="X339" s="1112">
        <f t="shared" si="243"/>
        <v>2025</v>
      </c>
      <c r="Y339" s="1112">
        <f t="shared" si="243"/>
        <v>2026</v>
      </c>
      <c r="Z339" s="1112">
        <f t="shared" si="243"/>
        <v>2027</v>
      </c>
      <c r="AA339" s="1112">
        <f t="shared" si="243"/>
        <v>2028</v>
      </c>
      <c r="AB339" s="1112">
        <f t="shared" si="243"/>
        <v>2029</v>
      </c>
      <c r="AC339" s="1112">
        <f t="shared" si="243"/>
        <v>2030</v>
      </c>
      <c r="AD339" s="1112">
        <f t="shared" si="243"/>
        <v>2031</v>
      </c>
      <c r="AE339" s="1112">
        <f t="shared" si="243"/>
        <v>2032</v>
      </c>
      <c r="AF339" s="1112">
        <f>AE339+1</f>
        <v>2033</v>
      </c>
      <c r="AG339" s="1112">
        <f>AF339+1</f>
        <v>2034</v>
      </c>
      <c r="AH339" s="1112">
        <f>AG339+1</f>
        <v>2035</v>
      </c>
      <c r="AI339" s="685"/>
      <c r="AJ339" s="685"/>
      <c r="AK339" s="685"/>
      <c r="AL339" s="685"/>
      <c r="AM339" s="685"/>
      <c r="AN339" s="685"/>
      <c r="AO339" s="685"/>
      <c r="AP339" s="685"/>
      <c r="AQ339" s="685"/>
      <c r="AR339" s="685"/>
      <c r="AS339" s="685"/>
      <c r="AT339" s="685"/>
      <c r="AU339" s="685"/>
      <c r="AV339" s="685"/>
      <c r="AW339" s="685"/>
      <c r="AX339" s="685"/>
      <c r="AY339" s="685"/>
      <c r="AZ339" s="685"/>
      <c r="BA339" s="685"/>
      <c r="BB339" s="685"/>
      <c r="BC339" s="685"/>
      <c r="BD339" s="685"/>
    </row>
    <row r="340" spans="1:56">
      <c r="A340" s="685"/>
      <c r="B340" s="1115" t="s">
        <v>253</v>
      </c>
      <c r="C340" s="1166"/>
      <c r="D340" s="1167"/>
      <c r="E340" s="1167"/>
      <c r="F340" s="1167"/>
      <c r="G340" s="1167"/>
      <c r="H340" s="1167"/>
      <c r="I340" s="1167">
        <v>1255</v>
      </c>
      <c r="J340" s="1167">
        <v>1384</v>
      </c>
      <c r="K340" s="1167">
        <v>1509</v>
      </c>
      <c r="L340" s="1167">
        <v>2002</v>
      </c>
      <c r="M340" s="1167">
        <v>3336.7</v>
      </c>
      <c r="N340" s="1167">
        <v>1828.3</v>
      </c>
      <c r="O340" s="1167">
        <v>1899.1</v>
      </c>
      <c r="P340" s="1167">
        <v>1493</v>
      </c>
      <c r="Q340" s="1167">
        <v>1026.4000000000001</v>
      </c>
      <c r="R340" s="1167">
        <v>1379</v>
      </c>
      <c r="S340" s="1167">
        <v>1641.3</v>
      </c>
      <c r="T340" s="1167">
        <v>2212.9</v>
      </c>
      <c r="U340" s="1167">
        <v>1448.3</v>
      </c>
      <c r="V340" s="1167">
        <v>1261.3</v>
      </c>
      <c r="W340" s="1167">
        <v>463.22500000000002</v>
      </c>
      <c r="X340" s="1167">
        <v>584.87800000000004</v>
      </c>
      <c r="Y340" s="1123">
        <f t="shared" ref="Y340:AE340" si="244">Y341*W132</f>
        <v>618.48034781280694</v>
      </c>
      <c r="Z340" s="1123">
        <f t="shared" si="244"/>
        <v>584.87800000000004</v>
      </c>
      <c r="AA340" s="1123">
        <f t="shared" si="244"/>
        <v>567.03592003360836</v>
      </c>
      <c r="AB340" s="1123">
        <f t="shared" si="244"/>
        <v>545.42899316985392</v>
      </c>
      <c r="AC340" s="1123">
        <f t="shared" si="244"/>
        <v>521.33095667238433</v>
      </c>
      <c r="AD340" s="1123">
        <f t="shared" si="244"/>
        <v>515.6634324955661</v>
      </c>
      <c r="AE340" s="1123">
        <f t="shared" si="244"/>
        <v>517.80962606183152</v>
      </c>
      <c r="AF340" s="1123">
        <f>AF341*AD132</f>
        <v>524.39305447396532</v>
      </c>
      <c r="AG340" s="1123">
        <f>AG341*AE132</f>
        <v>528.92399892301432</v>
      </c>
      <c r="AH340" s="1123">
        <f>AH341*AF132</f>
        <v>532.46933312675412</v>
      </c>
      <c r="AI340" s="685"/>
      <c r="AJ340" s="685"/>
      <c r="AK340" s="685"/>
      <c r="AL340" s="685"/>
      <c r="AM340" s="685"/>
      <c r="AN340" s="685"/>
      <c r="AO340" s="685"/>
      <c r="AP340" s="685"/>
      <c r="AQ340" s="685"/>
      <c r="AR340" s="685"/>
      <c r="AS340" s="685"/>
      <c r="AT340" s="685"/>
      <c r="AU340" s="685"/>
      <c r="AV340" s="685"/>
      <c r="AW340" s="685"/>
      <c r="AX340" s="685"/>
      <c r="AY340" s="685"/>
      <c r="AZ340" s="685"/>
      <c r="BA340" s="685"/>
      <c r="BB340" s="685"/>
      <c r="BC340" s="685"/>
      <c r="BD340" s="685"/>
    </row>
    <row r="341" spans="1:56">
      <c r="A341" s="685"/>
      <c r="B341" s="1115" t="s">
        <v>344</v>
      </c>
      <c r="C341" s="1118"/>
      <c r="D341" s="1118"/>
      <c r="E341" s="1118"/>
      <c r="F341" s="1118"/>
      <c r="G341" s="1118"/>
      <c r="H341" s="1118">
        <f t="shared" ref="H341:X341" si="245">H340/H132</f>
        <v>0</v>
      </c>
      <c r="I341" s="1118">
        <f t="shared" si="245"/>
        <v>2.1691486566833978E-2</v>
      </c>
      <c r="J341" s="1118">
        <f t="shared" si="245"/>
        <v>2.2115161828975015E-2</v>
      </c>
      <c r="K341" s="1118">
        <f t="shared" si="245"/>
        <v>2.1777908628035053E-2</v>
      </c>
      <c r="L341" s="1118">
        <f t="shared" si="245"/>
        <v>2.7129723986904011E-2</v>
      </c>
      <c r="M341" s="1118">
        <f t="shared" si="245"/>
        <v>4.1647112273834726E-2</v>
      </c>
      <c r="N341" s="1118">
        <f t="shared" si="245"/>
        <v>2.0763866805978286E-2</v>
      </c>
      <c r="O341" s="1118">
        <f t="shared" si="245"/>
        <v>1.9723245201345139E-2</v>
      </c>
      <c r="P341" s="1118">
        <f t="shared" si="245"/>
        <v>1.5836648103951207E-2</v>
      </c>
      <c r="Q341" s="1118">
        <f t="shared" si="245"/>
        <v>1.01312802290001E-2</v>
      </c>
      <c r="R341" s="1118">
        <f t="shared" si="245"/>
        <v>1.3700862190588033E-2</v>
      </c>
      <c r="S341" s="1118">
        <f t="shared" si="245"/>
        <v>1.6896527940060718E-2</v>
      </c>
      <c r="T341" s="1118">
        <f t="shared" si="245"/>
        <v>2.1376173907331597E-2</v>
      </c>
      <c r="U341" s="1118">
        <f t="shared" si="245"/>
        <v>1.9176025400322535E-2</v>
      </c>
      <c r="V341" s="1118">
        <f t="shared" si="245"/>
        <v>1.7098222939788171E-2</v>
      </c>
      <c r="W341" s="1118">
        <f t="shared" si="245"/>
        <v>7.4400670058160454E-3</v>
      </c>
      <c r="X341" s="1118">
        <f t="shared" si="245"/>
        <v>9.9336936251447922E-3</v>
      </c>
      <c r="Y341" s="1191">
        <f t="shared" ref="Y341:AE341" si="246">X341</f>
        <v>9.9336936251447922E-3</v>
      </c>
      <c r="Z341" s="1191">
        <f t="shared" si="246"/>
        <v>9.9336936251447922E-3</v>
      </c>
      <c r="AA341" s="1191">
        <f t="shared" si="246"/>
        <v>9.9336936251447922E-3</v>
      </c>
      <c r="AB341" s="1191">
        <f t="shared" si="246"/>
        <v>9.9336936251447922E-3</v>
      </c>
      <c r="AC341" s="1191">
        <f t="shared" si="246"/>
        <v>9.9336936251447922E-3</v>
      </c>
      <c r="AD341" s="1191">
        <f t="shared" si="246"/>
        <v>9.9336936251447922E-3</v>
      </c>
      <c r="AE341" s="1191">
        <f t="shared" si="246"/>
        <v>9.9336936251447922E-3</v>
      </c>
      <c r="AF341" s="1191">
        <f>AE341</f>
        <v>9.9336936251447922E-3</v>
      </c>
      <c r="AG341" s="1191">
        <f>AF341</f>
        <v>9.9336936251447922E-3</v>
      </c>
      <c r="AH341" s="1191">
        <f>AG341</f>
        <v>9.9336936251447922E-3</v>
      </c>
      <c r="AI341" s="685"/>
      <c r="AJ341" s="685"/>
      <c r="AK341" s="685"/>
      <c r="AL341" s="685"/>
      <c r="AM341" s="685"/>
      <c r="AN341" s="685"/>
      <c r="AO341" s="685"/>
      <c r="AP341" s="685"/>
      <c r="AQ341" s="685"/>
      <c r="AR341" s="685"/>
      <c r="AS341" s="685"/>
      <c r="AT341" s="685"/>
      <c r="AU341" s="685"/>
      <c r="AV341" s="685"/>
      <c r="AW341" s="685"/>
      <c r="AX341" s="685"/>
      <c r="AY341" s="685"/>
      <c r="AZ341" s="685"/>
      <c r="BA341" s="685"/>
      <c r="BB341" s="685"/>
      <c r="BC341" s="685"/>
      <c r="BD341" s="685"/>
    </row>
    <row r="342" spans="1:56">
      <c r="A342" s="685"/>
      <c r="B342" s="1115" t="s">
        <v>345</v>
      </c>
      <c r="C342" s="1123"/>
      <c r="D342" s="1123" t="e">
        <f>#REF!-D340</f>
        <v>#REF!</v>
      </c>
      <c r="E342" s="1123">
        <f t="shared" ref="E342:AE342" si="247">D340-E340</f>
        <v>0</v>
      </c>
      <c r="F342" s="1123">
        <f t="shared" si="247"/>
        <v>0</v>
      </c>
      <c r="G342" s="1123">
        <f t="shared" si="247"/>
        <v>0</v>
      </c>
      <c r="H342" s="1123">
        <f t="shared" si="247"/>
        <v>0</v>
      </c>
      <c r="I342" s="1123">
        <f t="shared" si="247"/>
        <v>-1255</v>
      </c>
      <c r="J342" s="1123">
        <f t="shared" si="247"/>
        <v>-129</v>
      </c>
      <c r="K342" s="1123">
        <f t="shared" si="247"/>
        <v>-125</v>
      </c>
      <c r="L342" s="1123">
        <f t="shared" si="247"/>
        <v>-493</v>
      </c>
      <c r="M342" s="1123">
        <f t="shared" si="247"/>
        <v>-1334.6999999999998</v>
      </c>
      <c r="N342" s="1123">
        <f t="shared" si="247"/>
        <v>1508.3999999999999</v>
      </c>
      <c r="O342" s="1123">
        <f t="shared" si="247"/>
        <v>-70.799999999999955</v>
      </c>
      <c r="P342" s="1123">
        <f t="shared" si="247"/>
        <v>406.09999999999991</v>
      </c>
      <c r="Q342" s="1123">
        <f t="shared" si="247"/>
        <v>466.59999999999991</v>
      </c>
      <c r="R342" s="1123">
        <f t="shared" si="247"/>
        <v>-352.59999999999991</v>
      </c>
      <c r="S342" s="1123">
        <f t="shared" si="247"/>
        <v>-262.29999999999995</v>
      </c>
      <c r="T342" s="1123">
        <f t="shared" si="247"/>
        <v>-571.60000000000014</v>
      </c>
      <c r="U342" s="1123">
        <f t="shared" si="247"/>
        <v>764.60000000000014</v>
      </c>
      <c r="V342" s="1123">
        <f t="shared" si="247"/>
        <v>187</v>
      </c>
      <c r="W342" s="1123">
        <f t="shared" si="247"/>
        <v>798.07499999999993</v>
      </c>
      <c r="X342" s="1123">
        <f t="shared" si="247"/>
        <v>-121.65300000000002</v>
      </c>
      <c r="Y342" s="1123">
        <f t="shared" si="247"/>
        <v>-33.602347812806897</v>
      </c>
      <c r="Z342" s="1123">
        <f t="shared" si="247"/>
        <v>33.602347812806897</v>
      </c>
      <c r="AA342" s="1123">
        <f t="shared" si="247"/>
        <v>17.84207996639168</v>
      </c>
      <c r="AB342" s="1123">
        <f t="shared" si="247"/>
        <v>21.606926863754438</v>
      </c>
      <c r="AC342" s="1123">
        <f t="shared" si="247"/>
        <v>24.098036497469593</v>
      </c>
      <c r="AD342" s="1123">
        <f t="shared" si="247"/>
        <v>5.6675241768182332</v>
      </c>
      <c r="AE342" s="1123">
        <f t="shared" si="247"/>
        <v>-2.1461935662654241</v>
      </c>
      <c r="AF342" s="1123">
        <f>AE340-AF340</f>
        <v>-6.5834284121337987</v>
      </c>
      <c r="AG342" s="1123">
        <f>AF340-AG340</f>
        <v>-4.5309444490490023</v>
      </c>
      <c r="AH342" s="1123">
        <f>AG340-AH340</f>
        <v>-3.5453342037397988</v>
      </c>
      <c r="AI342" s="685"/>
      <c r="AJ342" s="685"/>
      <c r="AK342" s="685"/>
      <c r="AL342" s="685"/>
      <c r="AM342" s="685"/>
      <c r="AN342" s="685"/>
      <c r="AO342" s="685"/>
      <c r="AP342" s="685"/>
      <c r="AQ342" s="685"/>
      <c r="AR342" s="685"/>
      <c r="AS342" s="685"/>
      <c r="AT342" s="685"/>
      <c r="AU342" s="685"/>
      <c r="AV342" s="685"/>
      <c r="AW342" s="685"/>
      <c r="AX342" s="685"/>
      <c r="AY342" s="685"/>
      <c r="AZ342" s="685"/>
      <c r="BA342" s="685"/>
      <c r="BB342" s="685"/>
      <c r="BC342" s="685"/>
      <c r="BD342" s="685"/>
    </row>
    <row r="343" spans="1:56">
      <c r="A343" s="685"/>
      <c r="B343" s="1115" t="s">
        <v>254</v>
      </c>
      <c r="C343" s="1123"/>
      <c r="D343" s="1167"/>
      <c r="E343" s="1167"/>
      <c r="F343" s="1167"/>
      <c r="G343" s="1167"/>
      <c r="H343" s="1167"/>
      <c r="I343" s="1167">
        <v>17701</v>
      </c>
      <c r="J343" s="1167">
        <v>19244</v>
      </c>
      <c r="K343" s="1167">
        <v>18982</v>
      </c>
      <c r="L343" s="1167">
        <v>20734</v>
      </c>
      <c r="M343" s="1167">
        <v>21087</v>
      </c>
      <c r="N343" s="1167">
        <v>21702.1</v>
      </c>
      <c r="O343" s="1167">
        <v>24906.400000000001</v>
      </c>
      <c r="P343" s="1167">
        <v>24727.1</v>
      </c>
      <c r="Q343" s="1167">
        <v>20281</v>
      </c>
      <c r="R343" s="1167">
        <f>14331+10520</f>
        <v>24851</v>
      </c>
      <c r="S343" s="1167">
        <f>12694.7+12651.5</f>
        <v>25346.2</v>
      </c>
      <c r="T343" s="1167">
        <f>13312.9+17746.2</f>
        <v>31059.1</v>
      </c>
      <c r="U343" s="1167">
        <f>8457.3+303</f>
        <v>8760.2999999999993</v>
      </c>
      <c r="V343" s="1167">
        <f>8131.5+342.5</f>
        <v>8474</v>
      </c>
      <c r="W343" s="1167">
        <f>6174+143.2</f>
        <v>6317.2</v>
      </c>
      <c r="X343" s="1167">
        <f>5720.759+70.603</f>
        <v>5791.3620000000001</v>
      </c>
      <c r="Y343" s="1123">
        <f t="shared" ref="Y343:AE343" si="248">Y344*W132</f>
        <v>6124.0867053810753</v>
      </c>
      <c r="Z343" s="1123">
        <f t="shared" si="248"/>
        <v>5791.3620000000001</v>
      </c>
      <c r="AA343" s="1123">
        <f t="shared" si="248"/>
        <v>5614.6927733949269</v>
      </c>
      <c r="AB343" s="1123">
        <f t="shared" si="248"/>
        <v>5400.7446762267537</v>
      </c>
      <c r="AC343" s="1123">
        <f t="shared" si="248"/>
        <v>5162.1300371976595</v>
      </c>
      <c r="AD343" s="1123">
        <f t="shared" si="248"/>
        <v>5106.0111813820777</v>
      </c>
      <c r="AE343" s="1123">
        <f t="shared" si="248"/>
        <v>5127.2624232894732</v>
      </c>
      <c r="AF343" s="1123">
        <f>AF344*AD132</f>
        <v>5192.4504063145687</v>
      </c>
      <c r="AG343" s="1123">
        <f>AG344*AE132</f>
        <v>5237.3150439079354</v>
      </c>
      <c r="AH343" s="1123">
        <f>AH344*AF132</f>
        <v>5272.4203372936317</v>
      </c>
      <c r="AI343" s="685"/>
      <c r="AJ343" s="685"/>
      <c r="AK343" s="685"/>
      <c r="AL343" s="685"/>
      <c r="AM343" s="685"/>
      <c r="AN343" s="685"/>
      <c r="AO343" s="685"/>
      <c r="AP343" s="685"/>
      <c r="AQ343" s="685"/>
      <c r="AR343" s="685"/>
      <c r="AS343" s="685"/>
      <c r="AT343" s="685"/>
      <c r="AU343" s="685"/>
      <c r="AV343" s="685"/>
      <c r="AW343" s="685"/>
      <c r="AX343" s="685"/>
      <c r="AY343" s="685"/>
      <c r="AZ343" s="685"/>
      <c r="BA343" s="685"/>
      <c r="BB343" s="685"/>
      <c r="BC343" s="685"/>
      <c r="BD343" s="685"/>
    </row>
    <row r="344" spans="1:56">
      <c r="A344" s="685"/>
      <c r="B344" s="1115" t="s">
        <v>344</v>
      </c>
      <c r="C344" s="1118"/>
      <c r="D344" s="1118"/>
      <c r="E344" s="1118"/>
      <c r="F344" s="1118"/>
      <c r="G344" s="1118"/>
      <c r="H344" s="1118">
        <f t="shared" ref="H344:X344" si="249">H343/H132</f>
        <v>0</v>
      </c>
      <c r="I344" s="1118">
        <f t="shared" si="249"/>
        <v>0.30594502288408626</v>
      </c>
      <c r="J344" s="1118">
        <f t="shared" si="249"/>
        <v>0.30750301606704855</v>
      </c>
      <c r="K344" s="1118">
        <f t="shared" si="249"/>
        <v>0.27394848348400358</v>
      </c>
      <c r="L344" s="1118">
        <f t="shared" si="249"/>
        <v>0.28097287569653734</v>
      </c>
      <c r="M344" s="1118">
        <f t="shared" si="249"/>
        <v>0.26319796700882697</v>
      </c>
      <c r="N344" s="1118">
        <f t="shared" si="249"/>
        <v>0.24646913187661834</v>
      </c>
      <c r="O344" s="1118">
        <f t="shared" si="249"/>
        <v>0.25866728149269791</v>
      </c>
      <c r="P344" s="1118">
        <f t="shared" si="249"/>
        <v>0.26228692654468311</v>
      </c>
      <c r="Q344" s="1118">
        <f t="shared" si="249"/>
        <v>0.20018754318428586</v>
      </c>
      <c r="R344" s="1118">
        <f t="shared" si="249"/>
        <v>0.24690364488636926</v>
      </c>
      <c r="S344" s="1118">
        <f t="shared" si="249"/>
        <v>0.26092900534598606</v>
      </c>
      <c r="T344" s="1118">
        <f t="shared" si="249"/>
        <v>0.30002472909087746</v>
      </c>
      <c r="U344" s="1118">
        <f t="shared" si="249"/>
        <v>0.11598959836666815</v>
      </c>
      <c r="V344" s="1118">
        <f t="shared" si="249"/>
        <v>0.11487381367776497</v>
      </c>
      <c r="W344" s="1118">
        <f t="shared" si="249"/>
        <v>0.10146341689058475</v>
      </c>
      <c r="X344" s="1118">
        <f t="shared" si="249"/>
        <v>9.8361736602002106E-2</v>
      </c>
      <c r="Y344" s="1191">
        <f t="shared" ref="Y344:AE344" si="250">X344</f>
        <v>9.8361736602002106E-2</v>
      </c>
      <c r="Z344" s="1191">
        <f t="shared" si="250"/>
        <v>9.8361736602002106E-2</v>
      </c>
      <c r="AA344" s="1191">
        <f t="shared" si="250"/>
        <v>9.8361736602002106E-2</v>
      </c>
      <c r="AB344" s="1191">
        <f t="shared" si="250"/>
        <v>9.8361736602002106E-2</v>
      </c>
      <c r="AC344" s="1191">
        <f t="shared" si="250"/>
        <v>9.8361736602002106E-2</v>
      </c>
      <c r="AD344" s="1191">
        <f t="shared" si="250"/>
        <v>9.8361736602002106E-2</v>
      </c>
      <c r="AE344" s="1191">
        <f t="shared" si="250"/>
        <v>9.8361736602002106E-2</v>
      </c>
      <c r="AF344" s="1191">
        <f>AE344</f>
        <v>9.8361736602002106E-2</v>
      </c>
      <c r="AG344" s="1191">
        <f>AF344</f>
        <v>9.8361736602002106E-2</v>
      </c>
      <c r="AH344" s="1191">
        <f>AG344</f>
        <v>9.8361736602002106E-2</v>
      </c>
      <c r="AI344" s="685"/>
      <c r="AJ344" s="685"/>
      <c r="AK344" s="685"/>
      <c r="AL344" s="685"/>
      <c r="AM344" s="685"/>
      <c r="AN344" s="685"/>
      <c r="AO344" s="685"/>
      <c r="AP344" s="685"/>
      <c r="AQ344" s="685"/>
      <c r="AR344" s="685"/>
      <c r="AS344" s="685"/>
      <c r="AT344" s="685"/>
      <c r="AU344" s="685"/>
      <c r="AV344" s="685"/>
      <c r="AW344" s="685"/>
      <c r="AX344" s="685"/>
      <c r="AY344" s="685"/>
      <c r="AZ344" s="685"/>
      <c r="BA344" s="685"/>
      <c r="BB344" s="685"/>
      <c r="BC344" s="685"/>
      <c r="BD344" s="685"/>
    </row>
    <row r="345" spans="1:56">
      <c r="A345" s="685"/>
      <c r="B345" s="1115" t="s">
        <v>346</v>
      </c>
      <c r="C345" s="1123"/>
      <c r="D345" s="1123" t="e">
        <f>#REF!-D343</f>
        <v>#REF!</v>
      </c>
      <c r="E345" s="1123">
        <f t="shared" ref="E345:AE345" si="251">D343-E343</f>
        <v>0</v>
      </c>
      <c r="F345" s="1123">
        <f t="shared" si="251"/>
        <v>0</v>
      </c>
      <c r="G345" s="1123">
        <f t="shared" si="251"/>
        <v>0</v>
      </c>
      <c r="H345" s="1123">
        <f t="shared" si="251"/>
        <v>0</v>
      </c>
      <c r="I345" s="1123">
        <f t="shared" si="251"/>
        <v>-17701</v>
      </c>
      <c r="J345" s="1123">
        <f t="shared" si="251"/>
        <v>-1543</v>
      </c>
      <c r="K345" s="1123">
        <f t="shared" si="251"/>
        <v>262</v>
      </c>
      <c r="L345" s="1123">
        <f t="shared" si="251"/>
        <v>-1752</v>
      </c>
      <c r="M345" s="1123">
        <f t="shared" si="251"/>
        <v>-353</v>
      </c>
      <c r="N345" s="1123">
        <f t="shared" si="251"/>
        <v>-615.09999999999854</v>
      </c>
      <c r="O345" s="1123">
        <f t="shared" si="251"/>
        <v>-3204.3000000000029</v>
      </c>
      <c r="P345" s="1123">
        <f t="shared" si="251"/>
        <v>179.30000000000291</v>
      </c>
      <c r="Q345" s="1123">
        <f t="shared" si="251"/>
        <v>4446.0999999999985</v>
      </c>
      <c r="R345" s="1123">
        <f t="shared" si="251"/>
        <v>-4570</v>
      </c>
      <c r="S345" s="1123">
        <f t="shared" si="251"/>
        <v>-495.20000000000073</v>
      </c>
      <c r="T345" s="1123">
        <f t="shared" si="251"/>
        <v>-5712.8999999999978</v>
      </c>
      <c r="U345" s="1123">
        <f t="shared" si="251"/>
        <v>22298.799999999999</v>
      </c>
      <c r="V345" s="1123">
        <f t="shared" si="251"/>
        <v>286.29999999999927</v>
      </c>
      <c r="W345" s="1123">
        <f t="shared" si="251"/>
        <v>2156.8000000000002</v>
      </c>
      <c r="X345" s="1123">
        <f t="shared" si="251"/>
        <v>525.83799999999974</v>
      </c>
      <c r="Y345" s="1123">
        <f t="shared" si="251"/>
        <v>-332.72470538107518</v>
      </c>
      <c r="Z345" s="1123">
        <f t="shared" si="251"/>
        <v>332.72470538107518</v>
      </c>
      <c r="AA345" s="1123">
        <f t="shared" si="251"/>
        <v>176.66922660507316</v>
      </c>
      <c r="AB345" s="1123">
        <f t="shared" si="251"/>
        <v>213.94809716817326</v>
      </c>
      <c r="AC345" s="1123">
        <f t="shared" si="251"/>
        <v>238.61463902909418</v>
      </c>
      <c r="AD345" s="1123">
        <f t="shared" si="251"/>
        <v>56.11885581558181</v>
      </c>
      <c r="AE345" s="1123">
        <f t="shared" si="251"/>
        <v>-21.251241907395524</v>
      </c>
      <c r="AF345" s="1123">
        <f>AE343-AF343</f>
        <v>-65.187983025095491</v>
      </c>
      <c r="AG345" s="1123">
        <f>AF343-AG343</f>
        <v>-44.864637593366751</v>
      </c>
      <c r="AH345" s="1123">
        <f>AG343-AH343</f>
        <v>-35.105293385696314</v>
      </c>
      <c r="AI345" s="685"/>
      <c r="AJ345" s="685"/>
      <c r="AK345" s="685"/>
      <c r="AL345" s="685"/>
      <c r="AM345" s="685"/>
      <c r="AN345" s="685"/>
      <c r="AO345" s="685"/>
      <c r="AP345" s="685"/>
      <c r="AQ345" s="685"/>
      <c r="AR345" s="685"/>
      <c r="AS345" s="685"/>
      <c r="AT345" s="685"/>
      <c r="AU345" s="685"/>
      <c r="AV345" s="685"/>
      <c r="AW345" s="685"/>
      <c r="AX345" s="685"/>
      <c r="AY345" s="685"/>
      <c r="AZ345" s="685"/>
      <c r="BA345" s="685"/>
      <c r="BB345" s="685"/>
      <c r="BC345" s="685"/>
      <c r="BD345" s="685"/>
    </row>
    <row r="346" spans="1:56">
      <c r="A346" s="685"/>
      <c r="B346" s="1115" t="s">
        <v>347</v>
      </c>
      <c r="C346" s="1166"/>
      <c r="D346" s="1167"/>
      <c r="E346" s="1167"/>
      <c r="F346" s="1167"/>
      <c r="G346" s="1167"/>
      <c r="H346" s="1167"/>
      <c r="I346" s="1167">
        <f>59775-I173-I174-I175</f>
        <v>5572</v>
      </c>
      <c r="J346" s="1167">
        <f>50660-J173-J174-J175</f>
        <v>4978</v>
      </c>
      <c r="K346" s="1167">
        <f>54638-K173-K174-K175</f>
        <v>6766</v>
      </c>
      <c r="L346" s="1167">
        <f>53474-L173-L174-L175</f>
        <v>4554</v>
      </c>
      <c r="M346" s="1167">
        <f>78907.4-M173-M174-M175</f>
        <v>13993.099999999999</v>
      </c>
      <c r="N346" s="1167">
        <f>89938.1-N173-N174-N175</f>
        <v>5672.9000000000051</v>
      </c>
      <c r="O346" s="1167">
        <f>95968.7-O173-O174-O175</f>
        <v>9326.7000000000044</v>
      </c>
      <c r="P346" s="1167">
        <f>87045-P173-P174-P175</f>
        <v>12755.900000000001</v>
      </c>
      <c r="Q346" s="1167">
        <f>72139-Q173-Q174-Q175</f>
        <v>4282.5999999999985</v>
      </c>
      <c r="R346" s="1167">
        <f>68028-R173-R174-R175</f>
        <v>14345.699999999997</v>
      </c>
      <c r="S346" s="1167">
        <f>69519-S173-S174-S175</f>
        <v>13473.399999999998</v>
      </c>
      <c r="T346" s="1167">
        <f>72958.7-T173-T174-T175</f>
        <v>13858.5</v>
      </c>
      <c r="U346" s="1167">
        <f>81533.7-U173-U174-U175</f>
        <v>20194.099999999999</v>
      </c>
      <c r="V346" s="1167">
        <f>62967.2-V173-V174-V175</f>
        <v>20645.599999999999</v>
      </c>
      <c r="W346" s="1167">
        <f>68267.506-W173-W174-W175</f>
        <v>15293.907999999992</v>
      </c>
      <c r="X346" s="1167">
        <f>60216.254-X173-X174-X175</f>
        <v>17464.314000000002</v>
      </c>
      <c r="Y346" s="1123">
        <f t="shared" ref="Y346:AE346" si="252">Y347*W132</f>
        <v>18467.671885473676</v>
      </c>
      <c r="Z346" s="1123">
        <f t="shared" si="252"/>
        <v>17464.314000000002</v>
      </c>
      <c r="AA346" s="1123">
        <f t="shared" si="252"/>
        <v>16931.553856951068</v>
      </c>
      <c r="AB346" s="1123">
        <f t="shared" si="252"/>
        <v>16286.376306549713</v>
      </c>
      <c r="AC346" s="1123">
        <f t="shared" si="252"/>
        <v>15566.814831891292</v>
      </c>
      <c r="AD346" s="1123">
        <f t="shared" si="252"/>
        <v>15397.583946430488</v>
      </c>
      <c r="AE346" s="1123">
        <f t="shared" si="252"/>
        <v>15461.668761291086</v>
      </c>
      <c r="AF346" s="1123">
        <f>AF347*AD132</f>
        <v>15658.248323158736</v>
      </c>
      <c r="AG346" s="1123">
        <f>AG347*AE132</f>
        <v>15793.541215992365</v>
      </c>
      <c r="AH346" s="1123">
        <f>AH347*AF132</f>
        <v>15899.404028013083</v>
      </c>
      <c r="AI346" s="685"/>
      <c r="AJ346" s="685"/>
      <c r="AK346" s="685"/>
      <c r="AL346" s="685"/>
      <c r="AM346" s="685"/>
      <c r="AN346" s="685"/>
      <c r="AO346" s="685"/>
      <c r="AP346" s="685"/>
      <c r="AQ346" s="685"/>
      <c r="AR346" s="685"/>
      <c r="AS346" s="685"/>
      <c r="AT346" s="685"/>
      <c r="AU346" s="685"/>
      <c r="AV346" s="685"/>
      <c r="AW346" s="685"/>
      <c r="AX346" s="685"/>
      <c r="AY346" s="685"/>
      <c r="AZ346" s="685"/>
      <c r="BA346" s="685"/>
      <c r="BB346" s="685"/>
      <c r="BC346" s="685"/>
      <c r="BD346" s="685"/>
    </row>
    <row r="347" spans="1:56">
      <c r="A347" s="685"/>
      <c r="B347" s="1115" t="s">
        <v>344</v>
      </c>
      <c r="C347" s="1118"/>
      <c r="D347" s="1118"/>
      <c r="E347" s="1118"/>
      <c r="F347" s="1118"/>
      <c r="G347" s="1118"/>
      <c r="H347" s="1118">
        <f t="shared" ref="H347:X347" si="253">H346/H132</f>
        <v>0</v>
      </c>
      <c r="I347" s="1118">
        <f t="shared" si="253"/>
        <v>9.6306743546134596E-2</v>
      </c>
      <c r="J347" s="1118">
        <f t="shared" si="253"/>
        <v>7.9544274266356671E-2</v>
      </c>
      <c r="K347" s="1118">
        <f t="shared" si="253"/>
        <v>9.7647004491242667E-2</v>
      </c>
      <c r="L347" s="1118">
        <f t="shared" si="253"/>
        <v>6.1712668849331104E-2</v>
      </c>
      <c r="M347" s="1118">
        <f t="shared" si="253"/>
        <v>0.17465526021488198</v>
      </c>
      <c r="N347" s="1118">
        <f t="shared" si="253"/>
        <v>6.442670240312548E-2</v>
      </c>
      <c r="O347" s="1118">
        <f t="shared" si="253"/>
        <v>9.6863140971715972E-2</v>
      </c>
      <c r="P347" s="1118">
        <f t="shared" si="253"/>
        <v>0.1353052240784938</v>
      </c>
      <c r="Q347" s="1118">
        <f t="shared" si="253"/>
        <v>4.2272233738031767E-2</v>
      </c>
      <c r="R347" s="1118">
        <f t="shared" si="253"/>
        <v>0.14252970176034715</v>
      </c>
      <c r="S347" s="1118">
        <f t="shared" si="253"/>
        <v>0.13870327152111986</v>
      </c>
      <c r="T347" s="1118">
        <f t="shared" si="253"/>
        <v>0.13387035387715437</v>
      </c>
      <c r="U347" s="1118">
        <f t="shared" si="253"/>
        <v>0.26737732136757114</v>
      </c>
      <c r="V347" s="1118">
        <f t="shared" si="253"/>
        <v>0.27987241062847112</v>
      </c>
      <c r="W347" s="1118">
        <f t="shared" si="253"/>
        <v>0.24564239905183441</v>
      </c>
      <c r="X347" s="1118">
        <f t="shared" si="253"/>
        <v>0.29661766154535979</v>
      </c>
      <c r="Y347" s="1191">
        <f t="shared" ref="Y347:AE347" si="254">X347</f>
        <v>0.29661766154535979</v>
      </c>
      <c r="Z347" s="1191">
        <f t="shared" si="254"/>
        <v>0.29661766154535979</v>
      </c>
      <c r="AA347" s="1191">
        <f t="shared" si="254"/>
        <v>0.29661766154535979</v>
      </c>
      <c r="AB347" s="1191">
        <f t="shared" si="254"/>
        <v>0.29661766154535979</v>
      </c>
      <c r="AC347" s="1191">
        <f t="shared" si="254"/>
        <v>0.29661766154535979</v>
      </c>
      <c r="AD347" s="1191">
        <f t="shared" si="254"/>
        <v>0.29661766154535979</v>
      </c>
      <c r="AE347" s="1191">
        <f t="shared" si="254"/>
        <v>0.29661766154535979</v>
      </c>
      <c r="AF347" s="1191">
        <f>AE347</f>
        <v>0.29661766154535979</v>
      </c>
      <c r="AG347" s="1191">
        <f>AF347</f>
        <v>0.29661766154535979</v>
      </c>
      <c r="AH347" s="1191">
        <f>AG347</f>
        <v>0.29661766154535979</v>
      </c>
      <c r="AI347" s="685"/>
      <c r="AJ347" s="685"/>
      <c r="AK347" s="685"/>
      <c r="AL347" s="685"/>
      <c r="AM347" s="685"/>
      <c r="AN347" s="685"/>
      <c r="AO347" s="685"/>
      <c r="AP347" s="685"/>
      <c r="AQ347" s="685"/>
      <c r="AR347" s="685"/>
      <c r="AS347" s="685"/>
      <c r="AT347" s="685"/>
      <c r="AU347" s="685"/>
      <c r="AV347" s="685"/>
      <c r="AW347" s="685"/>
      <c r="AX347" s="685"/>
      <c r="AY347" s="685"/>
      <c r="AZ347" s="685"/>
      <c r="BA347" s="685"/>
      <c r="BB347" s="685"/>
      <c r="BC347" s="685"/>
      <c r="BD347" s="685"/>
    </row>
    <row r="348" spans="1:56">
      <c r="A348" s="685"/>
      <c r="B348" s="1115" t="s">
        <v>348</v>
      </c>
      <c r="C348" s="1123"/>
      <c r="D348" s="1123" t="e">
        <f>#REF!-D346</f>
        <v>#REF!</v>
      </c>
      <c r="E348" s="1123">
        <f t="shared" ref="E348:AE348" si="255">D346-E346</f>
        <v>0</v>
      </c>
      <c r="F348" s="1123">
        <f t="shared" si="255"/>
        <v>0</v>
      </c>
      <c r="G348" s="1123">
        <f t="shared" si="255"/>
        <v>0</v>
      </c>
      <c r="H348" s="1123">
        <f t="shared" si="255"/>
        <v>0</v>
      </c>
      <c r="I348" s="1123">
        <f t="shared" si="255"/>
        <v>-5572</v>
      </c>
      <c r="J348" s="1123">
        <f t="shared" si="255"/>
        <v>594</v>
      </c>
      <c r="K348" s="1123">
        <f t="shared" si="255"/>
        <v>-1788</v>
      </c>
      <c r="L348" s="1123">
        <f t="shared" si="255"/>
        <v>2212</v>
      </c>
      <c r="M348" s="1123">
        <f t="shared" si="255"/>
        <v>-9439.0999999999985</v>
      </c>
      <c r="N348" s="1123">
        <f t="shared" si="255"/>
        <v>8320.1999999999935</v>
      </c>
      <c r="O348" s="1123">
        <f t="shared" si="255"/>
        <v>-3653.7999999999993</v>
      </c>
      <c r="P348" s="1123">
        <f t="shared" si="255"/>
        <v>-3429.1999999999971</v>
      </c>
      <c r="Q348" s="1123">
        <f t="shared" si="255"/>
        <v>8473.3000000000029</v>
      </c>
      <c r="R348" s="1123">
        <f t="shared" si="255"/>
        <v>-10063.099999999999</v>
      </c>
      <c r="S348" s="1123">
        <f t="shared" si="255"/>
        <v>872.29999999999927</v>
      </c>
      <c r="T348" s="1123">
        <f t="shared" si="255"/>
        <v>-385.10000000000218</v>
      </c>
      <c r="U348" s="1123">
        <f t="shared" si="255"/>
        <v>-6335.5999999999985</v>
      </c>
      <c r="V348" s="1123">
        <f t="shared" si="255"/>
        <v>-451.5</v>
      </c>
      <c r="W348" s="1123">
        <f t="shared" si="255"/>
        <v>5351.6920000000064</v>
      </c>
      <c r="X348" s="1123">
        <f t="shared" si="255"/>
        <v>-2170.40600000001</v>
      </c>
      <c r="Y348" s="1123">
        <f t="shared" si="255"/>
        <v>-1003.3578854736734</v>
      </c>
      <c r="Z348" s="1123">
        <f t="shared" si="255"/>
        <v>1003.3578854736734</v>
      </c>
      <c r="AA348" s="1123">
        <f t="shared" si="255"/>
        <v>532.76014304893397</v>
      </c>
      <c r="AB348" s="1123">
        <f t="shared" si="255"/>
        <v>645.17755040135489</v>
      </c>
      <c r="AC348" s="1123">
        <f t="shared" si="255"/>
        <v>719.5614746584215</v>
      </c>
      <c r="AD348" s="1123">
        <f t="shared" si="255"/>
        <v>169.23088546080362</v>
      </c>
      <c r="AE348" s="1123">
        <f t="shared" si="255"/>
        <v>-64.084814860598271</v>
      </c>
      <c r="AF348" s="1123">
        <f>AE346-AF346</f>
        <v>-196.57956186764932</v>
      </c>
      <c r="AG348" s="1123">
        <f>AF346-AG346</f>
        <v>-135.29289283362959</v>
      </c>
      <c r="AH348" s="1123">
        <f>AG346-AH346</f>
        <v>-105.86281202071768</v>
      </c>
      <c r="AI348" s="685"/>
      <c r="AJ348" s="685"/>
      <c r="AK348" s="685"/>
      <c r="AL348" s="685"/>
      <c r="AM348" s="685"/>
      <c r="AN348" s="685"/>
      <c r="AO348" s="685"/>
      <c r="AP348" s="685"/>
      <c r="AQ348" s="685"/>
      <c r="AR348" s="685"/>
      <c r="AS348" s="685"/>
      <c r="AT348" s="685"/>
      <c r="AU348" s="685"/>
      <c r="AV348" s="685"/>
      <c r="AW348" s="685"/>
      <c r="AX348" s="685"/>
      <c r="AY348" s="685"/>
      <c r="AZ348" s="685"/>
      <c r="BA348" s="685"/>
      <c r="BB348" s="685"/>
      <c r="BC348" s="685"/>
      <c r="BD348" s="685"/>
    </row>
    <row r="349" spans="1:56">
      <c r="A349" s="685"/>
      <c r="B349" s="1115"/>
      <c r="C349" s="1115"/>
      <c r="D349" s="1115"/>
      <c r="E349" s="1115"/>
      <c r="F349" s="1115"/>
      <c r="G349" s="1115"/>
      <c r="H349" s="1115"/>
      <c r="I349" s="1115"/>
      <c r="J349" s="1115"/>
      <c r="K349" s="1115"/>
      <c r="L349" s="1115"/>
      <c r="M349" s="1115"/>
      <c r="N349" s="1115"/>
      <c r="O349" s="1115"/>
      <c r="P349" s="1115"/>
      <c r="Q349" s="1115"/>
      <c r="R349" s="1115"/>
      <c r="S349" s="1115"/>
      <c r="T349" s="1115"/>
      <c r="U349" s="1115"/>
      <c r="V349" s="1115"/>
      <c r="W349" s="1115"/>
      <c r="X349" s="1115"/>
      <c r="Y349" s="1115"/>
      <c r="Z349" s="1115"/>
      <c r="AA349" s="1115"/>
      <c r="AB349" s="1115"/>
      <c r="AC349" s="1115"/>
      <c r="AD349" s="1115"/>
      <c r="AE349" s="1115"/>
      <c r="AF349" s="1115"/>
      <c r="AG349" s="1115"/>
      <c r="AH349" s="1115"/>
      <c r="AI349" s="685"/>
      <c r="AJ349" s="685"/>
      <c r="AK349" s="685"/>
      <c r="AL349" s="685"/>
      <c r="AM349" s="685"/>
      <c r="AN349" s="685"/>
      <c r="AO349" s="685"/>
      <c r="AP349" s="685"/>
      <c r="AQ349" s="685"/>
      <c r="AR349" s="685"/>
      <c r="AS349" s="685"/>
      <c r="AT349" s="685"/>
      <c r="AU349" s="685"/>
      <c r="AV349" s="685"/>
      <c r="AW349" s="685"/>
      <c r="AX349" s="685"/>
      <c r="AY349" s="685"/>
      <c r="AZ349" s="685"/>
      <c r="BA349" s="685"/>
      <c r="BB349" s="685"/>
      <c r="BC349" s="685"/>
      <c r="BD349" s="685"/>
    </row>
    <row r="350" spans="1:56">
      <c r="A350" s="685"/>
      <c r="B350" s="1115" t="s">
        <v>262</v>
      </c>
      <c r="C350" s="1166"/>
      <c r="D350" s="1167"/>
      <c r="E350" s="1167"/>
      <c r="F350" s="1167"/>
      <c r="G350" s="1167"/>
      <c r="H350" s="1167"/>
      <c r="I350" s="1167">
        <v>7472</v>
      </c>
      <c r="J350" s="1167">
        <v>7688</v>
      </c>
      <c r="K350" s="1167">
        <v>8594</v>
      </c>
      <c r="L350" s="1167">
        <v>10186</v>
      </c>
      <c r="M350" s="1167">
        <v>17142</v>
      </c>
      <c r="N350" s="1167">
        <v>17361.5</v>
      </c>
      <c r="O350" s="1167">
        <v>22878.1</v>
      </c>
      <c r="P350" s="1167">
        <v>19960</v>
      </c>
      <c r="Q350" s="1167">
        <v>22030</v>
      </c>
      <c r="R350" s="1167">
        <v>20910</v>
      </c>
      <c r="S350" s="1167">
        <v>21890</v>
      </c>
      <c r="T350" s="1167">
        <v>22588.5</v>
      </c>
      <c r="U350" s="1167">
        <v>16180.5</v>
      </c>
      <c r="V350" s="1167">
        <v>13673.6</v>
      </c>
      <c r="W350" s="1167">
        <v>11329.869000000001</v>
      </c>
      <c r="X350" s="1167">
        <v>14039.754000000001</v>
      </c>
      <c r="Y350" s="1123">
        <f t="shared" ref="Y350:AE350" si="256">Y351*W132</f>
        <v>14846.364433482277</v>
      </c>
      <c r="Z350" s="1123">
        <f t="shared" si="256"/>
        <v>14039.754000000001</v>
      </c>
      <c r="AA350" s="1123">
        <f t="shared" si="256"/>
        <v>13611.462264669783</v>
      </c>
      <c r="AB350" s="1123">
        <f t="shared" si="256"/>
        <v>13092.7969398275</v>
      </c>
      <c r="AC350" s="1123">
        <f t="shared" si="256"/>
        <v>12514.333560614237</v>
      </c>
      <c r="AD350" s="1123">
        <f t="shared" si="256"/>
        <v>12378.286991532173</v>
      </c>
      <c r="AE350" s="1123">
        <f t="shared" si="256"/>
        <v>12429.805478647004</v>
      </c>
      <c r="AF350" s="1123">
        <f>AF351*AD132</f>
        <v>12587.837949321178</v>
      </c>
      <c r="AG350" s="1123">
        <f>AG351*AE132</f>
        <v>12696.601393068957</v>
      </c>
      <c r="AH350" s="1123">
        <f>AH351*AF132</f>
        <v>12781.705671342876</v>
      </c>
      <c r="AI350" s="685"/>
      <c r="AJ350" s="685"/>
      <c r="AK350" s="685"/>
      <c r="AL350" s="685"/>
      <c r="AM350" s="685"/>
      <c r="AN350" s="685"/>
      <c r="AO350" s="685"/>
      <c r="AP350" s="685"/>
      <c r="AQ350" s="685"/>
      <c r="AR350" s="685"/>
      <c r="AS350" s="685"/>
      <c r="AT350" s="685"/>
      <c r="AU350" s="685"/>
      <c r="AV350" s="685"/>
      <c r="AW350" s="685"/>
      <c r="AX350" s="685"/>
      <c r="AY350" s="685"/>
      <c r="AZ350" s="685"/>
      <c r="BA350" s="685"/>
      <c r="BB350" s="685"/>
      <c r="BC350" s="685"/>
      <c r="BD350" s="685"/>
    </row>
    <row r="351" spans="1:56">
      <c r="A351" s="685"/>
      <c r="B351" s="1115" t="s">
        <v>344</v>
      </c>
      <c r="C351" s="1118"/>
      <c r="D351" s="1118"/>
      <c r="E351" s="1118"/>
      <c r="F351" s="1118"/>
      <c r="G351" s="1118"/>
      <c r="H351" s="1118">
        <f t="shared" ref="H351:X351" si="257">H350/H132</f>
        <v>0</v>
      </c>
      <c r="I351" s="1118">
        <f t="shared" si="257"/>
        <v>0.12914644432460834</v>
      </c>
      <c r="J351" s="1118">
        <f t="shared" si="257"/>
        <v>0.12284780646037567</v>
      </c>
      <c r="K351" s="1118">
        <f t="shared" si="257"/>
        <v>0.12402872548000879</v>
      </c>
      <c r="L351" s="1118">
        <f t="shared" si="257"/>
        <v>0.13803365061468745</v>
      </c>
      <c r="M351" s="1118">
        <f t="shared" si="257"/>
        <v>0.21395834165435157</v>
      </c>
      <c r="N351" s="1118">
        <f t="shared" si="257"/>
        <v>0.19717326125471313</v>
      </c>
      <c r="O351" s="1118">
        <f t="shared" si="257"/>
        <v>0.23760222002048034</v>
      </c>
      <c r="P351" s="1118">
        <f t="shared" si="257"/>
        <v>0.2117210289047998</v>
      </c>
      <c r="Q351" s="1118">
        <f t="shared" si="257"/>
        <v>0.21745138683249432</v>
      </c>
      <c r="R351" s="1118">
        <f t="shared" si="257"/>
        <v>0.20774838898128772</v>
      </c>
      <c r="S351" s="1118">
        <f t="shared" si="257"/>
        <v>0.22534880680431921</v>
      </c>
      <c r="T351" s="1118">
        <f t="shared" si="257"/>
        <v>0.21820041768980059</v>
      </c>
      <c r="U351" s="1118">
        <f t="shared" si="257"/>
        <v>0.21423577918243372</v>
      </c>
      <c r="V351" s="1118">
        <f t="shared" si="257"/>
        <v>0.18535975675056493</v>
      </c>
      <c r="W351" s="1118">
        <f t="shared" si="257"/>
        <v>0.18197416919880843</v>
      </c>
      <c r="X351" s="1118">
        <f t="shared" si="257"/>
        <v>0.23845419866775822</v>
      </c>
      <c r="Y351" s="1191">
        <f t="shared" ref="Y351:AE351" si="258">X351</f>
        <v>0.23845419866775822</v>
      </c>
      <c r="Z351" s="1191">
        <f t="shared" si="258"/>
        <v>0.23845419866775822</v>
      </c>
      <c r="AA351" s="1191">
        <f t="shared" si="258"/>
        <v>0.23845419866775822</v>
      </c>
      <c r="AB351" s="1191">
        <f t="shared" si="258"/>
        <v>0.23845419866775822</v>
      </c>
      <c r="AC351" s="1191">
        <f t="shared" si="258"/>
        <v>0.23845419866775822</v>
      </c>
      <c r="AD351" s="1191">
        <f t="shared" si="258"/>
        <v>0.23845419866775822</v>
      </c>
      <c r="AE351" s="1191">
        <f t="shared" si="258"/>
        <v>0.23845419866775822</v>
      </c>
      <c r="AF351" s="1191">
        <f>AE351</f>
        <v>0.23845419866775822</v>
      </c>
      <c r="AG351" s="1191">
        <f>AF351</f>
        <v>0.23845419866775822</v>
      </c>
      <c r="AH351" s="1191">
        <f>AG351</f>
        <v>0.23845419866775822</v>
      </c>
      <c r="AI351" s="685"/>
      <c r="AJ351" s="685"/>
      <c r="AK351" s="685"/>
      <c r="AL351" s="685"/>
      <c r="AM351" s="685"/>
      <c r="AN351" s="685"/>
      <c r="AO351" s="685"/>
      <c r="AP351" s="685"/>
      <c r="AQ351" s="685"/>
      <c r="AR351" s="685"/>
      <c r="AS351" s="685"/>
      <c r="AT351" s="685"/>
      <c r="AU351" s="685"/>
      <c r="AV351" s="685"/>
      <c r="AW351" s="685"/>
      <c r="AX351" s="685"/>
      <c r="AY351" s="685"/>
      <c r="AZ351" s="685"/>
      <c r="BA351" s="685"/>
      <c r="BB351" s="685"/>
      <c r="BC351" s="685"/>
      <c r="BD351" s="685"/>
    </row>
    <row r="352" spans="1:56">
      <c r="A352" s="685"/>
      <c r="B352" s="1115" t="s">
        <v>349</v>
      </c>
      <c r="C352" s="1123"/>
      <c r="D352" s="1123" t="e">
        <f>#REF!-D350</f>
        <v>#REF!</v>
      </c>
      <c r="E352" s="1123">
        <f t="shared" ref="E352:AE352" si="259">D350-E350</f>
        <v>0</v>
      </c>
      <c r="F352" s="1123">
        <f t="shared" si="259"/>
        <v>0</v>
      </c>
      <c r="G352" s="1123">
        <f t="shared" si="259"/>
        <v>0</v>
      </c>
      <c r="H352" s="1123">
        <f t="shared" si="259"/>
        <v>0</v>
      </c>
      <c r="I352" s="1123">
        <f t="shared" si="259"/>
        <v>-7472</v>
      </c>
      <c r="J352" s="1123">
        <f t="shared" si="259"/>
        <v>-216</v>
      </c>
      <c r="K352" s="1123">
        <f t="shared" si="259"/>
        <v>-906</v>
      </c>
      <c r="L352" s="1123">
        <f t="shared" si="259"/>
        <v>-1592</v>
      </c>
      <c r="M352" s="1123">
        <f t="shared" si="259"/>
        <v>-6956</v>
      </c>
      <c r="N352" s="1123">
        <f t="shared" si="259"/>
        <v>-219.5</v>
      </c>
      <c r="O352" s="1123">
        <f t="shared" si="259"/>
        <v>-5516.5999999999985</v>
      </c>
      <c r="P352" s="1123">
        <f t="shared" si="259"/>
        <v>2918.0999999999985</v>
      </c>
      <c r="Q352" s="1123">
        <f t="shared" si="259"/>
        <v>-2070</v>
      </c>
      <c r="R352" s="1123">
        <f t="shared" si="259"/>
        <v>1120</v>
      </c>
      <c r="S352" s="1123">
        <f t="shared" si="259"/>
        <v>-980</v>
      </c>
      <c r="T352" s="1123">
        <f t="shared" si="259"/>
        <v>-698.5</v>
      </c>
      <c r="U352" s="1123">
        <f t="shared" si="259"/>
        <v>6408</v>
      </c>
      <c r="V352" s="1123">
        <f t="shared" si="259"/>
        <v>2506.8999999999996</v>
      </c>
      <c r="W352" s="1123">
        <f t="shared" si="259"/>
        <v>2343.7309999999998</v>
      </c>
      <c r="X352" s="1123">
        <f t="shared" si="259"/>
        <v>-2709.8850000000002</v>
      </c>
      <c r="Y352" s="1123">
        <f t="shared" si="259"/>
        <v>-806.61043348227577</v>
      </c>
      <c r="Z352" s="1123">
        <f t="shared" si="259"/>
        <v>806.61043348227577</v>
      </c>
      <c r="AA352" s="1123">
        <f t="shared" si="259"/>
        <v>428.29173533021822</v>
      </c>
      <c r="AB352" s="1123">
        <f t="shared" si="259"/>
        <v>518.66532484228264</v>
      </c>
      <c r="AC352" s="1123">
        <f t="shared" si="259"/>
        <v>578.46337921326267</v>
      </c>
      <c r="AD352" s="1123">
        <f t="shared" si="259"/>
        <v>136.0465690820638</v>
      </c>
      <c r="AE352" s="1123">
        <f t="shared" si="259"/>
        <v>-51.51848711483035</v>
      </c>
      <c r="AF352" s="1123">
        <f>AE350-AF350</f>
        <v>-158.03247067417396</v>
      </c>
      <c r="AG352" s="1123">
        <f>AF350-AG350</f>
        <v>-108.76344374777909</v>
      </c>
      <c r="AH352" s="1123">
        <f>AG350-AH350</f>
        <v>-85.10427827391868</v>
      </c>
      <c r="AI352" s="685"/>
      <c r="AJ352" s="685"/>
      <c r="AK352" s="685"/>
      <c r="AL352" s="685"/>
      <c r="AM352" s="685"/>
      <c r="AN352" s="685"/>
      <c r="AO352" s="685"/>
      <c r="AP352" s="685"/>
      <c r="AQ352" s="685"/>
      <c r="AR352" s="685"/>
      <c r="AS352" s="685"/>
      <c r="AT352" s="685"/>
      <c r="AU352" s="685"/>
      <c r="AV352" s="685"/>
      <c r="AW352" s="685"/>
      <c r="AX352" s="685"/>
      <c r="AY352" s="685"/>
      <c r="AZ352" s="685"/>
      <c r="BA352" s="685"/>
      <c r="BB352" s="685"/>
      <c r="BC352" s="685"/>
      <c r="BD352" s="685"/>
    </row>
    <row r="353" spans="1:56">
      <c r="A353" s="685"/>
      <c r="B353" s="1115" t="s">
        <v>261</v>
      </c>
      <c r="C353" s="1166"/>
      <c r="D353" s="1167"/>
      <c r="E353" s="1167"/>
      <c r="F353" s="1167"/>
      <c r="G353" s="1167"/>
      <c r="H353" s="1167"/>
      <c r="I353" s="1167">
        <f>33309-I186-I187</f>
        <v>24368</v>
      </c>
      <c r="J353" s="1167">
        <f>36002-J186-J187</f>
        <v>27144</v>
      </c>
      <c r="K353" s="1167">
        <f>36246-K186-K187</f>
        <v>27277</v>
      </c>
      <c r="L353" s="1167">
        <f>40173-L186-L187</f>
        <v>29674</v>
      </c>
      <c r="M353" s="1167">
        <f>43475-M186-M187</f>
        <v>25995.9</v>
      </c>
      <c r="N353" s="1167">
        <f>48978-N186-N187</f>
        <v>27452.5</v>
      </c>
      <c r="O353" s="1167">
        <f>57426-O186-O187</f>
        <v>30383.9</v>
      </c>
      <c r="P353" s="1167">
        <f>50765-P186-P187</f>
        <v>28701</v>
      </c>
      <c r="Q353" s="1167">
        <f>48953-Q186-Q187</f>
        <v>24815</v>
      </c>
      <c r="R353" s="1167">
        <f>42369-R186-R187</f>
        <v>20967.099999999999</v>
      </c>
      <c r="S353" s="1167">
        <f>44039-S186-S187</f>
        <v>20254.3</v>
      </c>
      <c r="T353" s="1167">
        <f>56498.6-T186-T187</f>
        <v>28325.3</v>
      </c>
      <c r="U353" s="1167">
        <f>34969.9-U186-U187</f>
        <v>16416.2</v>
      </c>
      <c r="V353" s="1167">
        <f>35724.3-V186-V187</f>
        <v>10781.800000000005</v>
      </c>
      <c r="W353" s="1167">
        <f>27303.096-W186-W187</f>
        <v>10180.427</v>
      </c>
      <c r="X353" s="1167">
        <f>28105.037-X186-X187</f>
        <v>8744.3829999999998</v>
      </c>
      <c r="Y353" s="1123">
        <f t="shared" ref="Y353:AE353" si="260">Y354*W132</f>
        <v>9276.8687360000004</v>
      </c>
      <c r="Z353" s="1123">
        <f t="shared" si="260"/>
        <v>8655.0953999999983</v>
      </c>
      <c r="AA353" s="1123">
        <f t="shared" si="260"/>
        <v>8276.9019769999977</v>
      </c>
      <c r="AB353" s="1123">
        <f t="shared" si="260"/>
        <v>7851.696354501998</v>
      </c>
      <c r="AC353" s="1123">
        <f t="shared" si="260"/>
        <v>7452.3131718187587</v>
      </c>
      <c r="AD353" s="1123">
        <f t="shared" si="260"/>
        <v>7319.386597330762</v>
      </c>
      <c r="AE353" s="1123">
        <f t="shared" si="260"/>
        <v>7297.7233226880144</v>
      </c>
      <c r="AF353" s="1123">
        <f>AF354*AD132</f>
        <v>7337.7171999120037</v>
      </c>
      <c r="AG353" s="1123">
        <f>AG354*AE132</f>
        <v>7347.8722623994809</v>
      </c>
      <c r="AH353" s="1123">
        <f>AH354*AF132</f>
        <v>7343.5220967268378</v>
      </c>
      <c r="AI353" s="685"/>
      <c r="AJ353" s="685"/>
      <c r="AK353" s="685"/>
      <c r="AL353" s="685"/>
      <c r="AM353" s="685"/>
      <c r="AN353" s="685"/>
      <c r="AO353" s="685"/>
      <c r="AP353" s="685"/>
      <c r="AQ353" s="685"/>
      <c r="AR353" s="685"/>
      <c r="AS353" s="685"/>
      <c r="AT353" s="685"/>
      <c r="AU353" s="685"/>
      <c r="AV353" s="685"/>
      <c r="AW353" s="685"/>
      <c r="AX353" s="685"/>
      <c r="AY353" s="685"/>
      <c r="AZ353" s="685"/>
      <c r="BA353" s="685"/>
      <c r="BB353" s="685"/>
      <c r="BC353" s="685"/>
      <c r="BD353" s="685"/>
    </row>
    <row r="354" spans="1:56">
      <c r="A354" s="685"/>
      <c r="B354" s="1115" t="s">
        <v>344</v>
      </c>
      <c r="C354" s="1118"/>
      <c r="D354" s="1118"/>
      <c r="E354" s="1118"/>
      <c r="F354" s="1118"/>
      <c r="G354" s="1118"/>
      <c r="H354" s="1118">
        <f t="shared" ref="H354:X354" si="261">H353/H132</f>
        <v>0</v>
      </c>
      <c r="I354" s="1118">
        <f t="shared" si="261"/>
        <v>0.42117780451044651</v>
      </c>
      <c r="J354" s="1118">
        <f t="shared" si="261"/>
        <v>0.43373840511972389</v>
      </c>
      <c r="K354" s="1118">
        <f t="shared" si="261"/>
        <v>0.39366203687668139</v>
      </c>
      <c r="L354" s="1118">
        <f t="shared" si="261"/>
        <v>0.40212159320049434</v>
      </c>
      <c r="M354" s="1118">
        <f t="shared" si="261"/>
        <v>0.32446853656588254</v>
      </c>
      <c r="N354" s="1118">
        <f t="shared" si="261"/>
        <v>0.31177599600236222</v>
      </c>
      <c r="O354" s="1118">
        <f t="shared" si="261"/>
        <v>0.31555426774427398</v>
      </c>
      <c r="P354" s="1118">
        <f t="shared" si="261"/>
        <v>0.30443914081145584</v>
      </c>
      <c r="Q354" s="1118">
        <f t="shared" si="261"/>
        <v>0.24494126937123681</v>
      </c>
      <c r="R354" s="1118">
        <f t="shared" si="261"/>
        <v>0.20831569806836717</v>
      </c>
      <c r="S354" s="1118">
        <f t="shared" si="261"/>
        <v>0.20850992862753412</v>
      </c>
      <c r="T354" s="1118">
        <f t="shared" si="261"/>
        <v>0.27361676477804675</v>
      </c>
      <c r="U354" s="1118">
        <f t="shared" si="261"/>
        <v>0.21735653398934945</v>
      </c>
      <c r="V354" s="1118">
        <f t="shared" si="261"/>
        <v>0.14615842392151604</v>
      </c>
      <c r="W354" s="1118">
        <f t="shared" si="261"/>
        <v>0.16351245944804105</v>
      </c>
      <c r="X354" s="1118">
        <f t="shared" si="261"/>
        <v>0.14851647978368904</v>
      </c>
      <c r="Y354" s="1171">
        <v>0.14899999999999999</v>
      </c>
      <c r="Z354" s="1171">
        <f>Y354-0.2%</f>
        <v>0.14699999999999999</v>
      </c>
      <c r="AA354" s="1171">
        <f t="shared" ref="AA354:AB354" si="262">Z354-0.2%</f>
        <v>0.14499999999999999</v>
      </c>
      <c r="AB354" s="1171">
        <f t="shared" si="262"/>
        <v>0.14299999999999999</v>
      </c>
      <c r="AC354" s="1171">
        <f>AB354-0.1%</f>
        <v>0.14199999999999999</v>
      </c>
      <c r="AD354" s="1171">
        <f t="shared" ref="AD354:AH354" si="263">AC354-0.1%</f>
        <v>0.14099999999999999</v>
      </c>
      <c r="AE354" s="1171">
        <f t="shared" si="263"/>
        <v>0.13999999999999999</v>
      </c>
      <c r="AF354" s="1171">
        <f t="shared" si="263"/>
        <v>0.13899999999999998</v>
      </c>
      <c r="AG354" s="1171">
        <f t="shared" si="263"/>
        <v>0.13799999999999998</v>
      </c>
      <c r="AH354" s="1171">
        <f t="shared" si="263"/>
        <v>0.13699999999999998</v>
      </c>
      <c r="AI354" s="685"/>
      <c r="AJ354" s="685"/>
      <c r="AK354" s="685"/>
      <c r="AL354" s="685"/>
      <c r="AM354" s="685"/>
      <c r="AN354" s="685"/>
      <c r="AO354" s="685"/>
      <c r="AP354" s="685"/>
      <c r="AQ354" s="685"/>
      <c r="AR354" s="685"/>
      <c r="AS354" s="685"/>
      <c r="AT354" s="685"/>
      <c r="AU354" s="685"/>
      <c r="AV354" s="685"/>
      <c r="AW354" s="685"/>
      <c r="AX354" s="685"/>
      <c r="AY354" s="685"/>
      <c r="AZ354" s="685"/>
      <c r="BA354" s="685"/>
      <c r="BB354" s="685"/>
      <c r="BC354" s="685"/>
      <c r="BD354" s="685"/>
    </row>
    <row r="355" spans="1:56">
      <c r="A355" s="685"/>
      <c r="B355" s="1115" t="s">
        <v>350</v>
      </c>
      <c r="C355" s="1123"/>
      <c r="D355" s="1123" t="e">
        <f>#REF!-D353</f>
        <v>#REF!</v>
      </c>
      <c r="E355" s="1123">
        <f t="shared" ref="E355:AE355" si="264">D353-E353</f>
        <v>0</v>
      </c>
      <c r="F355" s="1123">
        <f t="shared" si="264"/>
        <v>0</v>
      </c>
      <c r="G355" s="1123">
        <f t="shared" si="264"/>
        <v>0</v>
      </c>
      <c r="H355" s="1123">
        <f t="shared" si="264"/>
        <v>0</v>
      </c>
      <c r="I355" s="1123">
        <f t="shared" si="264"/>
        <v>-24368</v>
      </c>
      <c r="J355" s="1123">
        <f t="shared" si="264"/>
        <v>-2776</v>
      </c>
      <c r="K355" s="1123">
        <f t="shared" si="264"/>
        <v>-133</v>
      </c>
      <c r="L355" s="1123">
        <f t="shared" si="264"/>
        <v>-2397</v>
      </c>
      <c r="M355" s="1123">
        <f t="shared" si="264"/>
        <v>3678.0999999999985</v>
      </c>
      <c r="N355" s="1123">
        <f t="shared" si="264"/>
        <v>-1456.5999999999985</v>
      </c>
      <c r="O355" s="1123">
        <f t="shared" si="264"/>
        <v>-2931.4000000000015</v>
      </c>
      <c r="P355" s="1123">
        <f t="shared" si="264"/>
        <v>1682.9000000000015</v>
      </c>
      <c r="Q355" s="1123">
        <f t="shared" si="264"/>
        <v>3886</v>
      </c>
      <c r="R355" s="1123">
        <f t="shared" si="264"/>
        <v>3847.9000000000015</v>
      </c>
      <c r="S355" s="1123">
        <f t="shared" si="264"/>
        <v>712.79999999999927</v>
      </c>
      <c r="T355" s="1123">
        <f t="shared" si="264"/>
        <v>-8071</v>
      </c>
      <c r="U355" s="1123">
        <f t="shared" si="264"/>
        <v>11909.099999999999</v>
      </c>
      <c r="V355" s="1123">
        <f t="shared" si="264"/>
        <v>5634.399999999996</v>
      </c>
      <c r="W355" s="1123">
        <f t="shared" si="264"/>
        <v>601.37300000000505</v>
      </c>
      <c r="X355" s="1123">
        <f t="shared" si="264"/>
        <v>1436.0439999999999</v>
      </c>
      <c r="Y355" s="1123">
        <f t="shared" si="264"/>
        <v>-532.48573600000054</v>
      </c>
      <c r="Z355" s="1123">
        <f t="shared" si="264"/>
        <v>621.77333600000202</v>
      </c>
      <c r="AA355" s="1123">
        <f t="shared" si="264"/>
        <v>378.19342300000062</v>
      </c>
      <c r="AB355" s="1123">
        <f t="shared" si="264"/>
        <v>425.20562249799968</v>
      </c>
      <c r="AC355" s="1123">
        <f t="shared" si="264"/>
        <v>399.38318268323928</v>
      </c>
      <c r="AD355" s="1123">
        <f t="shared" si="264"/>
        <v>132.92657448799673</v>
      </c>
      <c r="AE355" s="1123">
        <f t="shared" si="264"/>
        <v>21.663274642747638</v>
      </c>
      <c r="AF355" s="1123">
        <f>AE353-AF353</f>
        <v>-39.99387722398933</v>
      </c>
      <c r="AG355" s="1123">
        <f>AF353-AG353</f>
        <v>-10.155062487477153</v>
      </c>
      <c r="AH355" s="1123">
        <f>AG353-AH353</f>
        <v>4.3501656726430156</v>
      </c>
      <c r="AI355" s="685"/>
      <c r="AJ355" s="685"/>
      <c r="AK355" s="685"/>
      <c r="AL355" s="685"/>
      <c r="AM355" s="685"/>
      <c r="AN355" s="685"/>
      <c r="AO355" s="685"/>
      <c r="AP355" s="685"/>
      <c r="AQ355" s="685"/>
      <c r="AR355" s="685"/>
      <c r="AS355" s="685"/>
      <c r="AT355" s="685"/>
      <c r="AU355" s="685"/>
      <c r="AV355" s="685"/>
      <c r="AW355" s="685"/>
      <c r="AX355" s="685"/>
      <c r="AY355" s="685"/>
      <c r="AZ355" s="685"/>
      <c r="BA355" s="685"/>
      <c r="BB355" s="685"/>
      <c r="BC355" s="685"/>
      <c r="BD355" s="685"/>
    </row>
    <row r="356" spans="1:56">
      <c r="A356" s="685"/>
      <c r="B356" s="1115"/>
      <c r="C356" s="1123"/>
      <c r="D356" s="1123"/>
      <c r="E356" s="1123"/>
      <c r="F356" s="1123"/>
      <c r="G356" s="1123"/>
      <c r="H356" s="1123"/>
      <c r="I356" s="1123"/>
      <c r="J356" s="1123"/>
      <c r="K356" s="1123"/>
      <c r="L356" s="1123"/>
      <c r="M356" s="1123"/>
      <c r="N356" s="1123"/>
      <c r="O356" s="1123"/>
      <c r="P356" s="1123"/>
      <c r="Q356" s="1123"/>
      <c r="R356" s="1123"/>
      <c r="S356" s="1123"/>
      <c r="T356" s="1123"/>
      <c r="U356" s="1123"/>
      <c r="V356" s="1123"/>
      <c r="W356" s="1123"/>
      <c r="X356" s="1123"/>
      <c r="Y356" s="1123"/>
      <c r="Z356" s="1123"/>
      <c r="AA356" s="1123"/>
      <c r="AB356" s="1123"/>
      <c r="AC356" s="1123"/>
      <c r="AD356" s="1123"/>
      <c r="AE356" s="1123"/>
      <c r="AF356" s="1123"/>
      <c r="AG356" s="1123"/>
      <c r="AH356" s="1123"/>
      <c r="AI356" s="685"/>
      <c r="AJ356" s="685"/>
      <c r="AK356" s="685"/>
      <c r="AL356" s="685"/>
      <c r="AM356" s="685"/>
      <c r="AN356" s="685"/>
      <c r="AO356" s="685"/>
      <c r="AP356" s="685"/>
      <c r="AQ356" s="685"/>
      <c r="AR356" s="685"/>
      <c r="AS356" s="685"/>
      <c r="AT356" s="685"/>
      <c r="AU356" s="685"/>
      <c r="AV356" s="685"/>
      <c r="AW356" s="685"/>
      <c r="AX356" s="685"/>
      <c r="AY356" s="685"/>
      <c r="AZ356" s="685"/>
      <c r="BA356" s="685"/>
      <c r="BB356" s="685"/>
      <c r="BC356" s="685"/>
      <c r="BD356" s="685"/>
    </row>
    <row r="357" spans="1:56">
      <c r="A357" s="685"/>
      <c r="B357" s="1113" t="s">
        <v>351</v>
      </c>
      <c r="C357" s="1114"/>
      <c r="D357" s="1114" t="e">
        <f t="shared" ref="D357:S357" si="265">D342+D345+D348-D352-D355</f>
        <v>#REF!</v>
      </c>
      <c r="E357" s="1114">
        <f t="shared" si="265"/>
        <v>0</v>
      </c>
      <c r="F357" s="1114">
        <f t="shared" si="265"/>
        <v>0</v>
      </c>
      <c r="G357" s="1114">
        <f t="shared" si="265"/>
        <v>0</v>
      </c>
      <c r="H357" s="1114">
        <f t="shared" si="265"/>
        <v>0</v>
      </c>
      <c r="I357" s="1114">
        <f t="shared" si="265"/>
        <v>7312</v>
      </c>
      <c r="J357" s="1114">
        <f t="shared" si="265"/>
        <v>1914</v>
      </c>
      <c r="K357" s="1114">
        <f t="shared" si="265"/>
        <v>-612</v>
      </c>
      <c r="L357" s="1114">
        <f t="shared" si="265"/>
        <v>3956</v>
      </c>
      <c r="M357" s="1114">
        <f t="shared" si="265"/>
        <v>-7848.8999999999978</v>
      </c>
      <c r="N357" s="1114">
        <f t="shared" si="265"/>
        <v>10889.599999999993</v>
      </c>
      <c r="O357" s="1114">
        <f t="shared" si="265"/>
        <v>1519.0999999999976</v>
      </c>
      <c r="P357" s="1114">
        <f t="shared" si="265"/>
        <v>-7444.7999999999938</v>
      </c>
      <c r="Q357" s="1114">
        <f t="shared" si="265"/>
        <v>11570.000000000002</v>
      </c>
      <c r="R357" s="1114">
        <f t="shared" si="265"/>
        <v>-19953.599999999999</v>
      </c>
      <c r="S357" s="1114">
        <f t="shared" si="265"/>
        <v>381.99999999999932</v>
      </c>
      <c r="T357" s="1525">
        <f>-12939.78+9166.602</f>
        <v>-3773.1779999999999</v>
      </c>
      <c r="U357" s="1525">
        <f>-16319.435+12118.014</f>
        <v>-4201.4210000000003</v>
      </c>
      <c r="V357" s="1525">
        <f>-9533.733+7014.309</f>
        <v>-2519.424</v>
      </c>
      <c r="W357" s="1525">
        <f>3296.26+812.215</f>
        <v>4108.4750000000004</v>
      </c>
      <c r="X357" s="1525">
        <f>-1537.373+1934.09</f>
        <v>396.71699999999987</v>
      </c>
      <c r="Y357" s="1114">
        <f t="shared" ref="Y357:AH357" si="266">Y342+Y345+Y348-Y352-Y355</f>
        <v>-30.588769185279034</v>
      </c>
      <c r="Z357" s="1114">
        <f t="shared" si="266"/>
        <v>-58.698830814722442</v>
      </c>
      <c r="AA357" s="1114">
        <f t="shared" si="266"/>
        <v>-79.213708709820025</v>
      </c>
      <c r="AB357" s="1114">
        <f t="shared" si="266"/>
        <v>-63.138372906999734</v>
      </c>
      <c r="AC357" s="1114">
        <f t="shared" si="266"/>
        <v>4.4275882884833209</v>
      </c>
      <c r="AD357" s="1114">
        <f t="shared" si="266"/>
        <v>-37.955878116856866</v>
      </c>
      <c r="AE357" s="1114">
        <f t="shared" si="266"/>
        <v>-57.627037862176508</v>
      </c>
      <c r="AF357" s="1114">
        <f t="shared" si="266"/>
        <v>-70.324625406715313</v>
      </c>
      <c r="AG357" s="1114">
        <f t="shared" si="266"/>
        <v>-65.769968640789102</v>
      </c>
      <c r="AH357" s="1114">
        <f t="shared" si="266"/>
        <v>-63.759327008878131</v>
      </c>
      <c r="AI357" s="1114"/>
      <c r="AJ357" s="685"/>
      <c r="AK357" s="685"/>
      <c r="AL357" s="685"/>
      <c r="AM357" s="685"/>
      <c r="AN357" s="685"/>
      <c r="AO357" s="685"/>
      <c r="AP357" s="685"/>
      <c r="AQ357" s="685"/>
      <c r="AR357" s="685"/>
      <c r="AS357" s="685"/>
      <c r="AT357" s="685"/>
      <c r="AU357" s="685"/>
      <c r="AV357" s="685"/>
      <c r="AW357" s="685"/>
      <c r="AX357" s="685"/>
      <c r="AY357" s="685"/>
      <c r="AZ357" s="685"/>
      <c r="BA357" s="685"/>
      <c r="BB357" s="685"/>
      <c r="BC357" s="685"/>
      <c r="BD357" s="685"/>
    </row>
    <row r="358" spans="1:56">
      <c r="A358" s="685"/>
      <c r="B358" s="1115"/>
      <c r="C358" s="1123"/>
      <c r="D358" s="1123"/>
      <c r="E358" s="1123"/>
      <c r="F358" s="1123"/>
      <c r="G358" s="1123"/>
      <c r="H358" s="1123"/>
      <c r="I358" s="1123">
        <f t="shared" ref="I358:W358" si="267">I342+I345+I348-I352-I355</f>
        <v>7312</v>
      </c>
      <c r="J358" s="1123">
        <f t="shared" si="267"/>
        <v>1914</v>
      </c>
      <c r="K358" s="1123">
        <f t="shared" si="267"/>
        <v>-612</v>
      </c>
      <c r="L358" s="1123">
        <f t="shared" si="267"/>
        <v>3956</v>
      </c>
      <c r="M358" s="1123">
        <f t="shared" si="267"/>
        <v>-7848.8999999999978</v>
      </c>
      <c r="N358" s="1123">
        <f t="shared" si="267"/>
        <v>10889.599999999993</v>
      </c>
      <c r="O358" s="1123">
        <f t="shared" si="267"/>
        <v>1519.0999999999976</v>
      </c>
      <c r="P358" s="1123">
        <f t="shared" si="267"/>
        <v>-7444.7999999999938</v>
      </c>
      <c r="Q358" s="1123">
        <f t="shared" si="267"/>
        <v>11570.000000000002</v>
      </c>
      <c r="R358" s="1123">
        <f t="shared" si="267"/>
        <v>-19953.599999999999</v>
      </c>
      <c r="S358" s="1123">
        <f t="shared" si="267"/>
        <v>381.99999999999932</v>
      </c>
      <c r="T358" s="1123">
        <f t="shared" si="267"/>
        <v>2099.8999999999996</v>
      </c>
      <c r="U358" s="1123">
        <f t="shared" si="267"/>
        <v>-1589.2999999999993</v>
      </c>
      <c r="V358" s="1123">
        <f t="shared" si="267"/>
        <v>-8119.4999999999964</v>
      </c>
      <c r="W358" s="1123">
        <f t="shared" si="267"/>
        <v>5361.4630000000016</v>
      </c>
      <c r="X358" s="1123">
        <f>X342+X345+X348-X352-X355</f>
        <v>-492.38000000000989</v>
      </c>
      <c r="Y358" s="1123">
        <f>Y342+Y345+Y348-Y352-Y355</f>
        <v>-30.588769185279034</v>
      </c>
      <c r="Z358" s="1123">
        <f t="shared" ref="Z358:AH358" si="268">Z342+Z345+Z348-Z352-Z355</f>
        <v>-58.698830814722442</v>
      </c>
      <c r="AA358" s="1123">
        <f t="shared" si="268"/>
        <v>-79.213708709820025</v>
      </c>
      <c r="AB358" s="1123">
        <f t="shared" si="268"/>
        <v>-63.138372906999734</v>
      </c>
      <c r="AC358" s="1123">
        <f t="shared" si="268"/>
        <v>4.4275882884833209</v>
      </c>
      <c r="AD358" s="1123">
        <f t="shared" si="268"/>
        <v>-37.955878116856866</v>
      </c>
      <c r="AE358" s="1123">
        <f t="shared" si="268"/>
        <v>-57.627037862176508</v>
      </c>
      <c r="AF358" s="1123">
        <f t="shared" si="268"/>
        <v>-70.324625406715313</v>
      </c>
      <c r="AG358" s="1123">
        <f t="shared" si="268"/>
        <v>-65.769968640789102</v>
      </c>
      <c r="AH358" s="1123">
        <f t="shared" si="268"/>
        <v>-63.759327008878131</v>
      </c>
      <c r="AI358" s="685"/>
      <c r="AJ358" s="685"/>
      <c r="AK358" s="685"/>
      <c r="AL358" s="685"/>
      <c r="AM358" s="685"/>
      <c r="AN358" s="685"/>
      <c r="AO358" s="685"/>
      <c r="AP358" s="685"/>
      <c r="AQ358" s="685"/>
      <c r="AR358" s="685"/>
      <c r="AS358" s="685"/>
      <c r="AT358" s="685"/>
      <c r="AU358" s="685"/>
      <c r="AV358" s="685"/>
      <c r="AW358" s="685"/>
      <c r="AX358" s="685"/>
      <c r="AY358" s="685"/>
      <c r="AZ358" s="685"/>
      <c r="BA358" s="685"/>
      <c r="BB358" s="685"/>
      <c r="BC358" s="685"/>
      <c r="BD358" s="685"/>
    </row>
    <row r="359" spans="1:56">
      <c r="A359" s="685"/>
      <c r="B359" s="1113"/>
      <c r="C359" s="1114"/>
      <c r="D359" s="1114"/>
      <c r="E359" s="1114"/>
      <c r="F359" s="1114"/>
      <c r="G359" s="1114"/>
      <c r="H359" s="1114"/>
      <c r="I359" s="1114"/>
      <c r="J359" s="1114"/>
      <c r="K359" s="1114"/>
      <c r="L359" s="1114"/>
      <c r="M359" s="1114"/>
      <c r="N359" s="1114"/>
      <c r="O359" s="1114"/>
      <c r="P359" s="1114"/>
      <c r="Q359" s="1114"/>
      <c r="R359" s="1114"/>
      <c r="S359" s="1114"/>
      <c r="T359" s="1114"/>
      <c r="U359" s="1114"/>
      <c r="V359" s="1114"/>
      <c r="W359" s="1114"/>
      <c r="X359" s="1114"/>
      <c r="Y359" s="1114"/>
      <c r="Z359" s="1114"/>
      <c r="AA359" s="1114"/>
      <c r="AB359" s="1114"/>
      <c r="AC359" s="1114"/>
      <c r="AD359" s="1114"/>
      <c r="AE359" s="1114"/>
      <c r="AF359" s="1114"/>
      <c r="AG359" s="1114"/>
      <c r="AH359" s="1114"/>
      <c r="AI359" s="685"/>
      <c r="AJ359" s="685"/>
      <c r="AK359" s="685"/>
      <c r="AL359" s="685"/>
      <c r="AM359" s="685"/>
      <c r="AN359" s="685"/>
      <c r="AO359" s="685"/>
      <c r="AP359" s="685"/>
      <c r="AQ359" s="685"/>
      <c r="AR359" s="685"/>
      <c r="AS359" s="685"/>
      <c r="AT359" s="685"/>
      <c r="AU359" s="685"/>
      <c r="AV359" s="685"/>
      <c r="AW359" s="685"/>
      <c r="AX359" s="685"/>
      <c r="AY359" s="685"/>
      <c r="AZ359" s="685"/>
      <c r="BA359" s="685"/>
      <c r="BB359" s="685"/>
      <c r="BC359" s="685"/>
      <c r="BD359" s="685"/>
    </row>
    <row r="360" spans="1:56">
      <c r="A360" s="685"/>
      <c r="B360" s="1113"/>
      <c r="C360" s="1114"/>
      <c r="D360" s="1114"/>
      <c r="E360" s="1114"/>
      <c r="F360" s="1114"/>
      <c r="G360" s="1114"/>
      <c r="H360" s="1114"/>
      <c r="I360" s="1114"/>
      <c r="J360" s="1114"/>
      <c r="K360" s="1114"/>
      <c r="L360" s="1114"/>
      <c r="M360" s="1114"/>
      <c r="N360" s="1114"/>
      <c r="O360" s="1114"/>
      <c r="P360" s="1114"/>
      <c r="Q360" s="1114"/>
      <c r="R360" s="1114"/>
      <c r="S360" s="1114"/>
      <c r="T360" s="1114"/>
      <c r="U360" s="1114"/>
      <c r="V360" s="1114"/>
      <c r="W360" s="1114"/>
      <c r="X360" s="1114"/>
      <c r="Y360" s="1114"/>
      <c r="Z360" s="1114"/>
      <c r="AA360" s="1114"/>
      <c r="AB360" s="1114"/>
      <c r="AC360" s="1114"/>
      <c r="AD360" s="1114"/>
      <c r="AE360" s="1114"/>
      <c r="AF360" s="1114"/>
      <c r="AG360" s="1114"/>
      <c r="AH360" s="1114"/>
      <c r="AI360" s="685"/>
      <c r="AJ360" s="685"/>
      <c r="AK360" s="685"/>
      <c r="AL360" s="685"/>
      <c r="AM360" s="685"/>
      <c r="AN360" s="685"/>
      <c r="AO360" s="685"/>
      <c r="AP360" s="685"/>
      <c r="AQ360" s="685"/>
      <c r="AR360" s="685"/>
      <c r="AS360" s="685"/>
      <c r="AT360" s="685"/>
      <c r="AU360" s="685"/>
      <c r="AV360" s="685"/>
      <c r="AW360" s="685"/>
      <c r="AX360" s="685"/>
      <c r="AY360" s="685"/>
      <c r="AZ360" s="685"/>
      <c r="BA360" s="685"/>
      <c r="BB360" s="685"/>
      <c r="BC360" s="685"/>
      <c r="BD360" s="685"/>
    </row>
    <row r="361" spans="1:56">
      <c r="A361" s="685"/>
      <c r="B361" s="1112" t="s">
        <v>352</v>
      </c>
      <c r="C361" s="1112">
        <v>2004</v>
      </c>
      <c r="D361" s="1112">
        <f t="shared" ref="D361:AE361" si="269">C361+1</f>
        <v>2005</v>
      </c>
      <c r="E361" s="1112">
        <f t="shared" si="269"/>
        <v>2006</v>
      </c>
      <c r="F361" s="1112">
        <f t="shared" si="269"/>
        <v>2007</v>
      </c>
      <c r="G361" s="1112">
        <f t="shared" si="269"/>
        <v>2008</v>
      </c>
      <c r="H361" s="1112">
        <f t="shared" si="269"/>
        <v>2009</v>
      </c>
      <c r="I361" s="1112">
        <f t="shared" si="269"/>
        <v>2010</v>
      </c>
      <c r="J361" s="1112">
        <f t="shared" si="269"/>
        <v>2011</v>
      </c>
      <c r="K361" s="1112">
        <f t="shared" si="269"/>
        <v>2012</v>
      </c>
      <c r="L361" s="1112">
        <f t="shared" si="269"/>
        <v>2013</v>
      </c>
      <c r="M361" s="1112">
        <f t="shared" si="269"/>
        <v>2014</v>
      </c>
      <c r="N361" s="1112">
        <f t="shared" si="269"/>
        <v>2015</v>
      </c>
      <c r="O361" s="1112">
        <f t="shared" si="269"/>
        <v>2016</v>
      </c>
      <c r="P361" s="1112">
        <f t="shared" si="269"/>
        <v>2017</v>
      </c>
      <c r="Q361" s="1112">
        <f t="shared" si="269"/>
        <v>2018</v>
      </c>
      <c r="R361" s="1112">
        <f t="shared" si="269"/>
        <v>2019</v>
      </c>
      <c r="S361" s="1112">
        <f t="shared" si="269"/>
        <v>2020</v>
      </c>
      <c r="T361" s="1112">
        <f t="shared" si="269"/>
        <v>2021</v>
      </c>
      <c r="U361" s="1112">
        <f t="shared" si="269"/>
        <v>2022</v>
      </c>
      <c r="V361" s="1112">
        <f t="shared" si="269"/>
        <v>2023</v>
      </c>
      <c r="W361" s="1112">
        <f t="shared" si="269"/>
        <v>2024</v>
      </c>
      <c r="X361" s="1112">
        <f t="shared" si="269"/>
        <v>2025</v>
      </c>
      <c r="Y361" s="1112">
        <f t="shared" si="269"/>
        <v>2026</v>
      </c>
      <c r="Z361" s="1112">
        <f t="shared" si="269"/>
        <v>2027</v>
      </c>
      <c r="AA361" s="1112">
        <f t="shared" si="269"/>
        <v>2028</v>
      </c>
      <c r="AB361" s="1112">
        <f t="shared" si="269"/>
        <v>2029</v>
      </c>
      <c r="AC361" s="1112">
        <f t="shared" si="269"/>
        <v>2030</v>
      </c>
      <c r="AD361" s="1112">
        <f t="shared" si="269"/>
        <v>2031</v>
      </c>
      <c r="AE361" s="1112">
        <f t="shared" si="269"/>
        <v>2032</v>
      </c>
      <c r="AF361" s="1112">
        <f>AE361+1</f>
        <v>2033</v>
      </c>
      <c r="AG361" s="1112">
        <f>AF361+1</f>
        <v>2034</v>
      </c>
      <c r="AH361" s="1112">
        <f>AG361+1</f>
        <v>2035</v>
      </c>
      <c r="AI361" s="685"/>
      <c r="AJ361" s="685"/>
      <c r="AK361" s="685"/>
      <c r="AL361" s="685"/>
      <c r="AM361" s="685"/>
      <c r="AN361" s="685"/>
      <c r="AO361" s="685"/>
      <c r="AP361" s="685"/>
      <c r="AQ361" s="685"/>
      <c r="AR361" s="685"/>
      <c r="AS361" s="685"/>
      <c r="AT361" s="685"/>
      <c r="AU361" s="685"/>
      <c r="AV361" s="685"/>
      <c r="AW361" s="685"/>
      <c r="AX361" s="685"/>
      <c r="AY361" s="685"/>
      <c r="AZ361" s="685"/>
      <c r="BA361" s="685"/>
      <c r="BB361" s="685"/>
      <c r="BC361" s="685"/>
      <c r="BD361" s="685"/>
    </row>
    <row r="362" spans="1:56">
      <c r="A362" s="685"/>
      <c r="B362" s="1115" t="s">
        <v>352</v>
      </c>
      <c r="C362" s="1123"/>
      <c r="D362" s="1123">
        <f t="shared" ref="D362:AC362" si="270">D366</f>
        <v>0</v>
      </c>
      <c r="E362" s="1123">
        <f t="shared" si="270"/>
        <v>0</v>
      </c>
      <c r="F362" s="1123">
        <f t="shared" si="270"/>
        <v>0</v>
      </c>
      <c r="G362" s="1123">
        <f t="shared" si="270"/>
        <v>0</v>
      </c>
      <c r="H362" s="1123">
        <f t="shared" si="270"/>
        <v>0</v>
      </c>
      <c r="I362" s="1123">
        <f t="shared" si="270"/>
        <v>0</v>
      </c>
      <c r="J362" s="1123">
        <f t="shared" si="270"/>
        <v>0</v>
      </c>
      <c r="K362" s="1123">
        <f t="shared" si="270"/>
        <v>0</v>
      </c>
      <c r="L362" s="1123">
        <f t="shared" si="270"/>
        <v>0</v>
      </c>
      <c r="M362" s="1123">
        <f t="shared" si="270"/>
        <v>0</v>
      </c>
      <c r="N362" s="1123">
        <f t="shared" si="270"/>
        <v>0</v>
      </c>
      <c r="O362" s="1123">
        <f t="shared" si="270"/>
        <v>0</v>
      </c>
      <c r="P362" s="1123">
        <f t="shared" si="270"/>
        <v>0</v>
      </c>
      <c r="Q362" s="1123">
        <f t="shared" si="270"/>
        <v>0</v>
      </c>
      <c r="R362" s="1123">
        <f t="shared" si="270"/>
        <v>0</v>
      </c>
      <c r="S362" s="1123">
        <f t="shared" si="270"/>
        <v>0</v>
      </c>
      <c r="T362" s="1123">
        <f t="shared" si="270"/>
        <v>0</v>
      </c>
      <c r="U362" s="1123">
        <f t="shared" si="270"/>
        <v>0</v>
      </c>
      <c r="V362" s="1123">
        <f t="shared" si="270"/>
        <v>0</v>
      </c>
      <c r="W362" s="1123">
        <f t="shared" si="270"/>
        <v>0</v>
      </c>
      <c r="X362" s="1123">
        <f>X366</f>
        <v>0</v>
      </c>
      <c r="Y362" s="1123">
        <f t="shared" si="270"/>
        <v>0</v>
      </c>
      <c r="Z362" s="1123">
        <f t="shared" si="270"/>
        <v>0</v>
      </c>
      <c r="AA362" s="1123">
        <f t="shared" si="270"/>
        <v>0</v>
      </c>
      <c r="AB362" s="1123">
        <f t="shared" si="270"/>
        <v>0</v>
      </c>
      <c r="AC362" s="1123">
        <f t="shared" si="270"/>
        <v>0</v>
      </c>
      <c r="AD362" s="1123">
        <f>AD366</f>
        <v>0</v>
      </c>
      <c r="AE362" s="1123">
        <f>AE366</f>
        <v>0</v>
      </c>
      <c r="AF362" s="1123">
        <f>AF366</f>
        <v>0</v>
      </c>
      <c r="AG362" s="1123">
        <f>AG366</f>
        <v>0</v>
      </c>
      <c r="AH362" s="1123">
        <f>AH366</f>
        <v>0</v>
      </c>
      <c r="AI362" s="685"/>
      <c r="AJ362" s="685"/>
      <c r="AK362" s="685"/>
      <c r="AL362" s="685"/>
      <c r="AM362" s="685"/>
      <c r="AN362" s="685"/>
      <c r="AO362" s="685"/>
      <c r="AP362" s="685"/>
      <c r="AQ362" s="685"/>
      <c r="AR362" s="685"/>
      <c r="AS362" s="685"/>
      <c r="AT362" s="685"/>
      <c r="AU362" s="685"/>
      <c r="AV362" s="685"/>
      <c r="AW362" s="685"/>
      <c r="AX362" s="685"/>
      <c r="AY362" s="685"/>
      <c r="AZ362" s="685"/>
      <c r="BA362" s="685"/>
      <c r="BB362" s="685"/>
      <c r="BC362" s="685"/>
      <c r="BD362" s="685"/>
    </row>
    <row r="363" spans="1:56">
      <c r="A363" s="685"/>
      <c r="B363" s="1115" t="s">
        <v>205</v>
      </c>
      <c r="C363" s="1123"/>
      <c r="D363" s="1123" t="e">
        <f>#REF!-D362</f>
        <v>#REF!</v>
      </c>
      <c r="E363" s="1123">
        <f t="shared" ref="E363:AE363" si="271">D362-E362</f>
        <v>0</v>
      </c>
      <c r="F363" s="1123">
        <f t="shared" si="271"/>
        <v>0</v>
      </c>
      <c r="G363" s="1123">
        <f t="shared" si="271"/>
        <v>0</v>
      </c>
      <c r="H363" s="1123">
        <f t="shared" si="271"/>
        <v>0</v>
      </c>
      <c r="I363" s="1123">
        <f t="shared" si="271"/>
        <v>0</v>
      </c>
      <c r="J363" s="1123">
        <f t="shared" si="271"/>
        <v>0</v>
      </c>
      <c r="K363" s="1123">
        <f t="shared" si="271"/>
        <v>0</v>
      </c>
      <c r="L363" s="1123">
        <f t="shared" si="271"/>
        <v>0</v>
      </c>
      <c r="M363" s="1123">
        <f t="shared" si="271"/>
        <v>0</v>
      </c>
      <c r="N363" s="1123">
        <f t="shared" si="271"/>
        <v>0</v>
      </c>
      <c r="O363" s="1123">
        <f t="shared" si="271"/>
        <v>0</v>
      </c>
      <c r="P363" s="1123">
        <f t="shared" si="271"/>
        <v>0</v>
      </c>
      <c r="Q363" s="1123">
        <f t="shared" si="271"/>
        <v>0</v>
      </c>
      <c r="R363" s="1123">
        <f t="shared" si="271"/>
        <v>0</v>
      </c>
      <c r="S363" s="1123">
        <f t="shared" si="271"/>
        <v>0</v>
      </c>
      <c r="T363" s="1123">
        <f t="shared" si="271"/>
        <v>0</v>
      </c>
      <c r="U363" s="1123">
        <f t="shared" si="271"/>
        <v>0</v>
      </c>
      <c r="V363" s="1123">
        <f t="shared" si="271"/>
        <v>0</v>
      </c>
      <c r="W363" s="1123">
        <f t="shared" si="271"/>
        <v>0</v>
      </c>
      <c r="X363" s="1123">
        <f t="shared" si="271"/>
        <v>0</v>
      </c>
      <c r="Y363" s="1123">
        <f t="shared" si="271"/>
        <v>0</v>
      </c>
      <c r="Z363" s="1123">
        <f t="shared" si="271"/>
        <v>0</v>
      </c>
      <c r="AA363" s="1123">
        <f t="shared" si="271"/>
        <v>0</v>
      </c>
      <c r="AB363" s="1123">
        <f t="shared" si="271"/>
        <v>0</v>
      </c>
      <c r="AC363" s="1123">
        <f t="shared" si="271"/>
        <v>0</v>
      </c>
      <c r="AD363" s="1123">
        <f t="shared" si="271"/>
        <v>0</v>
      </c>
      <c r="AE363" s="1123">
        <f t="shared" si="271"/>
        <v>0</v>
      </c>
      <c r="AF363" s="1123">
        <f>AE362-AF362</f>
        <v>0</v>
      </c>
      <c r="AG363" s="1123">
        <f>AF362-AG362</f>
        <v>0</v>
      </c>
      <c r="AH363" s="1123">
        <f>AG362-AH362</f>
        <v>0</v>
      </c>
      <c r="AI363" s="685"/>
      <c r="AJ363" s="685"/>
      <c r="AK363" s="685"/>
      <c r="AL363" s="685"/>
      <c r="AM363" s="685"/>
      <c r="AN363" s="685"/>
      <c r="AO363" s="685"/>
      <c r="AP363" s="685"/>
      <c r="AQ363" s="685"/>
      <c r="AR363" s="685"/>
      <c r="AS363" s="685"/>
      <c r="AT363" s="685"/>
      <c r="AU363" s="685"/>
      <c r="AV363" s="685"/>
      <c r="AW363" s="685"/>
      <c r="AX363" s="685"/>
      <c r="AY363" s="685"/>
      <c r="AZ363" s="685"/>
      <c r="BA363" s="685"/>
      <c r="BB363" s="685"/>
      <c r="BC363" s="685"/>
      <c r="BD363" s="685"/>
    </row>
    <row r="364" spans="1:56">
      <c r="A364" s="685"/>
      <c r="B364" s="1115" t="s">
        <v>353</v>
      </c>
      <c r="C364" s="1123"/>
      <c r="D364" s="1125">
        <v>0</v>
      </c>
      <c r="E364" s="1125">
        <v>0</v>
      </c>
      <c r="F364" s="1125">
        <v>0</v>
      </c>
      <c r="G364" s="1125">
        <v>0</v>
      </c>
      <c r="H364" s="1125">
        <v>0</v>
      </c>
      <c r="I364" s="1125">
        <v>0</v>
      </c>
      <c r="J364" s="1125">
        <v>0</v>
      </c>
      <c r="K364" s="1125">
        <v>0</v>
      </c>
      <c r="L364" s="1125">
        <v>0</v>
      </c>
      <c r="M364" s="1125">
        <v>0</v>
      </c>
      <c r="N364" s="1125">
        <v>0</v>
      </c>
      <c r="O364" s="1125">
        <v>0</v>
      </c>
      <c r="P364" s="1125">
        <v>0</v>
      </c>
      <c r="Q364" s="1125">
        <v>0</v>
      </c>
      <c r="R364" s="1125">
        <v>0</v>
      </c>
      <c r="S364" s="1125">
        <v>0</v>
      </c>
      <c r="T364" s="1125">
        <v>0</v>
      </c>
      <c r="U364" s="1125">
        <v>0</v>
      </c>
      <c r="V364" s="1125">
        <v>0</v>
      </c>
      <c r="W364" s="1125">
        <v>0</v>
      </c>
      <c r="X364" s="1125">
        <v>0</v>
      </c>
      <c r="Y364" s="1125">
        <v>0</v>
      </c>
      <c r="Z364" s="1125">
        <v>0</v>
      </c>
      <c r="AA364" s="1125">
        <v>0</v>
      </c>
      <c r="AB364" s="1125">
        <v>0</v>
      </c>
      <c r="AC364" s="1125">
        <v>0</v>
      </c>
      <c r="AD364" s="1125">
        <v>0</v>
      </c>
      <c r="AE364" s="1125">
        <v>0</v>
      </c>
      <c r="AF364" s="1125">
        <v>0</v>
      </c>
      <c r="AG364" s="1125">
        <v>0</v>
      </c>
      <c r="AH364" s="1125">
        <v>0</v>
      </c>
      <c r="AI364" s="685"/>
      <c r="AJ364" s="685"/>
      <c r="AK364" s="685"/>
      <c r="AL364" s="685"/>
      <c r="AM364" s="685"/>
      <c r="AN364" s="685"/>
      <c r="AO364" s="685"/>
      <c r="AP364" s="685"/>
      <c r="AQ364" s="685"/>
      <c r="AR364" s="685"/>
      <c r="AS364" s="685"/>
      <c r="AT364" s="685"/>
      <c r="AU364" s="685"/>
      <c r="AV364" s="685"/>
      <c r="AW364" s="685"/>
      <c r="AX364" s="685"/>
      <c r="AY364" s="685"/>
      <c r="AZ364" s="685"/>
      <c r="BA364" s="685"/>
      <c r="BB364" s="685"/>
      <c r="BC364" s="685"/>
      <c r="BD364" s="685"/>
    </row>
    <row r="365" spans="1:56">
      <c r="A365" s="685"/>
      <c r="B365" s="1113"/>
      <c r="C365" s="1114"/>
      <c r="D365" s="1114"/>
      <c r="E365" s="1114"/>
      <c r="F365" s="1114"/>
      <c r="G365" s="1114"/>
      <c r="H365" s="1114"/>
      <c r="I365" s="1114"/>
      <c r="J365" s="1114"/>
      <c r="K365" s="1114"/>
      <c r="L365" s="1114"/>
      <c r="M365" s="1114"/>
      <c r="N365" s="1114"/>
      <c r="O365" s="1114"/>
      <c r="P365" s="1114"/>
      <c r="Q365" s="1114"/>
      <c r="R365" s="1114"/>
      <c r="S365" s="1114"/>
      <c r="T365" s="1114"/>
      <c r="U365" s="1114"/>
      <c r="V365" s="1114"/>
      <c r="W365" s="1114"/>
      <c r="X365" s="1114"/>
      <c r="Y365" s="1114"/>
      <c r="Z365" s="1114"/>
      <c r="AA365" s="1114"/>
      <c r="AB365" s="1114"/>
      <c r="AC365" s="1114"/>
      <c r="AD365" s="1114"/>
      <c r="AE365" s="1114"/>
      <c r="AF365" s="1114"/>
      <c r="AG365" s="1114"/>
      <c r="AH365" s="1114"/>
      <c r="AI365" s="685"/>
      <c r="AJ365" s="685"/>
      <c r="AK365" s="685"/>
      <c r="AL365" s="685"/>
      <c r="AM365" s="685"/>
      <c r="AN365" s="685"/>
      <c r="AO365" s="685"/>
      <c r="AP365" s="685"/>
      <c r="AQ365" s="685"/>
      <c r="AR365" s="685"/>
      <c r="AS365" s="685"/>
      <c r="AT365" s="685"/>
      <c r="AU365" s="685"/>
      <c r="AV365" s="685"/>
      <c r="AW365" s="685"/>
      <c r="AX365" s="685"/>
      <c r="AY365" s="685"/>
      <c r="AZ365" s="685"/>
      <c r="BA365" s="685"/>
      <c r="BB365" s="685"/>
      <c r="BC365" s="685"/>
      <c r="BD365" s="685"/>
    </row>
    <row r="366" spans="1:56">
      <c r="A366" s="685"/>
      <c r="B366" s="1115" t="s">
        <v>354</v>
      </c>
      <c r="C366" s="1166"/>
      <c r="D366" s="1167"/>
      <c r="E366" s="1167"/>
      <c r="F366" s="1167"/>
      <c r="G366" s="1167"/>
      <c r="H366" s="1167"/>
      <c r="I366" s="1167"/>
      <c r="J366" s="1167"/>
      <c r="K366" s="1167"/>
      <c r="L366" s="1167"/>
      <c r="M366" s="1167"/>
      <c r="N366" s="1167"/>
      <c r="O366" s="1167"/>
      <c r="P366" s="1167"/>
      <c r="Q366" s="1167"/>
      <c r="R366" s="1167"/>
      <c r="S366" s="1167"/>
      <c r="T366" s="1167"/>
      <c r="U366" s="1167"/>
      <c r="V366" s="1167"/>
      <c r="W366" s="1167"/>
      <c r="X366" s="1167"/>
      <c r="Y366" s="1123">
        <f t="shared" ref="Y366:AE366" si="272">X366+Y367</f>
        <v>0</v>
      </c>
      <c r="Z366" s="1123">
        <f t="shared" si="272"/>
        <v>0</v>
      </c>
      <c r="AA366" s="1123">
        <f t="shared" si="272"/>
        <v>0</v>
      </c>
      <c r="AB366" s="1123">
        <f t="shared" si="272"/>
        <v>0</v>
      </c>
      <c r="AC366" s="1123">
        <f t="shared" si="272"/>
        <v>0</v>
      </c>
      <c r="AD366" s="1123">
        <f t="shared" si="272"/>
        <v>0</v>
      </c>
      <c r="AE366" s="1123">
        <f t="shared" si="272"/>
        <v>0</v>
      </c>
      <c r="AF366" s="1123">
        <f>AE366+AF367</f>
        <v>0</v>
      </c>
      <c r="AG366" s="1123">
        <f>AF366+AG367</f>
        <v>0</v>
      </c>
      <c r="AH366" s="1123">
        <f>AG366+AH367</f>
        <v>0</v>
      </c>
      <c r="AI366" s="685"/>
      <c r="AJ366" s="685"/>
      <c r="AK366" s="685"/>
      <c r="AL366" s="685"/>
      <c r="AM366" s="685"/>
      <c r="AN366" s="685"/>
      <c r="AO366" s="685"/>
      <c r="AP366" s="685"/>
      <c r="AQ366" s="685"/>
      <c r="AR366" s="685"/>
      <c r="AS366" s="685"/>
      <c r="AT366" s="685"/>
      <c r="AU366" s="685"/>
      <c r="AV366" s="685"/>
      <c r="AW366" s="685"/>
      <c r="AX366" s="685"/>
      <c r="AY366" s="685"/>
      <c r="AZ366" s="685"/>
      <c r="BA366" s="685"/>
      <c r="BB366" s="685"/>
      <c r="BC366" s="685"/>
      <c r="BD366" s="685"/>
    </row>
    <row r="367" spans="1:56">
      <c r="A367" s="685"/>
      <c r="B367" s="1115" t="s">
        <v>355</v>
      </c>
      <c r="C367" s="1123"/>
      <c r="D367" s="1123"/>
      <c r="E367" s="1123"/>
      <c r="F367" s="1123"/>
      <c r="G367" s="1123"/>
      <c r="H367" s="1123"/>
      <c r="I367" s="1123"/>
      <c r="J367" s="1123"/>
      <c r="K367" s="1123"/>
      <c r="L367" s="1123"/>
      <c r="M367" s="1123"/>
      <c r="N367" s="1123"/>
      <c r="O367" s="1123"/>
      <c r="P367" s="1123"/>
      <c r="Q367" s="1123"/>
      <c r="R367" s="1123"/>
      <c r="S367" s="1123"/>
      <c r="T367" s="1123"/>
      <c r="U367" s="1123"/>
      <c r="V367" s="1123"/>
      <c r="W367" s="1123"/>
      <c r="X367" s="1123"/>
      <c r="Y367" s="1125"/>
      <c r="Z367" s="1125"/>
      <c r="AA367" s="1125"/>
      <c r="AB367" s="1125"/>
      <c r="AC367" s="1125"/>
      <c r="AD367" s="1125"/>
      <c r="AE367" s="1125"/>
      <c r="AF367" s="1125"/>
      <c r="AG367" s="1125"/>
      <c r="AH367" s="1125"/>
      <c r="AI367" s="685"/>
      <c r="AJ367" s="685"/>
      <c r="AK367" s="685"/>
      <c r="AL367" s="685"/>
      <c r="AM367" s="685"/>
      <c r="AN367" s="685"/>
      <c r="AO367" s="685"/>
      <c r="AP367" s="685"/>
      <c r="AQ367" s="685"/>
      <c r="AR367" s="685"/>
      <c r="AS367" s="685"/>
      <c r="AT367" s="685"/>
      <c r="AU367" s="685"/>
      <c r="AV367" s="685"/>
      <c r="AW367" s="685"/>
      <c r="AX367" s="685"/>
      <c r="AY367" s="685"/>
      <c r="AZ367" s="685"/>
      <c r="BA367" s="685"/>
      <c r="BB367" s="685"/>
      <c r="BC367" s="685"/>
      <c r="BD367" s="685"/>
    </row>
    <row r="368" spans="1:56">
      <c r="A368" s="685"/>
      <c r="B368" s="1113"/>
      <c r="C368" s="1114"/>
      <c r="D368" s="1114"/>
      <c r="E368" s="1114"/>
      <c r="F368" s="1114"/>
      <c r="G368" s="1114"/>
      <c r="H368" s="1114"/>
      <c r="I368" s="1114"/>
      <c r="J368" s="1114"/>
      <c r="K368" s="1114"/>
      <c r="L368" s="1114"/>
      <c r="M368" s="1114"/>
      <c r="N368" s="1114"/>
      <c r="O368" s="1114"/>
      <c r="P368" s="1114"/>
      <c r="Q368" s="1114"/>
      <c r="R368" s="1114"/>
      <c r="S368" s="1114"/>
      <c r="T368" s="1114"/>
      <c r="U368" s="1114"/>
      <c r="V368" s="1114"/>
      <c r="W368" s="1114"/>
      <c r="X368" s="1114"/>
      <c r="Y368" s="1114"/>
      <c r="Z368" s="1114"/>
      <c r="AA368" s="1114"/>
      <c r="AB368" s="1114"/>
      <c r="AC368" s="1114"/>
      <c r="AD368" s="1114"/>
      <c r="AE368" s="1114"/>
      <c r="AF368" s="1114"/>
      <c r="AG368" s="1114"/>
      <c r="AH368" s="1114"/>
      <c r="AI368" s="685"/>
      <c r="AJ368" s="685"/>
      <c r="AK368" s="685"/>
      <c r="AL368" s="685"/>
      <c r="AM368" s="685"/>
      <c r="AN368" s="685"/>
      <c r="AO368" s="685"/>
      <c r="AP368" s="685"/>
      <c r="AQ368" s="685"/>
      <c r="AR368" s="685"/>
      <c r="AS368" s="685"/>
      <c r="AT368" s="685"/>
      <c r="AU368" s="685"/>
      <c r="AV368" s="685"/>
      <c r="AW368" s="685"/>
      <c r="AX368" s="685"/>
      <c r="AY368" s="685"/>
      <c r="AZ368" s="685"/>
      <c r="BA368" s="685"/>
      <c r="BB368" s="685"/>
      <c r="BC368" s="685"/>
      <c r="BD368" s="685"/>
    </row>
    <row r="369" spans="1:56">
      <c r="A369" s="685"/>
      <c r="B369" s="1115" t="s">
        <v>356</v>
      </c>
      <c r="C369" s="1166"/>
      <c r="D369" s="1167"/>
      <c r="E369" s="1167"/>
      <c r="F369" s="1167"/>
      <c r="G369" s="1167"/>
      <c r="H369" s="1167"/>
      <c r="I369" s="1167"/>
      <c r="J369" s="1167"/>
      <c r="K369" s="1167"/>
      <c r="L369" s="1167"/>
      <c r="M369" s="1167"/>
      <c r="N369" s="1167"/>
      <c r="O369" s="1167"/>
      <c r="P369" s="1167"/>
      <c r="Q369" s="1167"/>
      <c r="R369" s="1167"/>
      <c r="S369" s="1167"/>
      <c r="T369" s="1167"/>
      <c r="U369" s="1167"/>
      <c r="V369" s="1167"/>
      <c r="W369" s="1167"/>
      <c r="X369" s="1167"/>
      <c r="Y369" s="1123">
        <f t="shared" ref="Y369:AE369" si="273">X369-Y136+Y370</f>
        <v>-4.184861067070722E-3</v>
      </c>
      <c r="Z369" s="1123">
        <f t="shared" si="273"/>
        <v>1.7294834751582222E-2</v>
      </c>
      <c r="AA369" s="1123">
        <f t="shared" si="273"/>
        <v>4.2917061429942005E-2</v>
      </c>
      <c r="AB369" s="1123">
        <f t="shared" si="273"/>
        <v>4.2012978900405895E-2</v>
      </c>
      <c r="AC369" s="1123">
        <f t="shared" si="273"/>
        <v>2.6037303681269885E-2</v>
      </c>
      <c r="AD369" s="1123">
        <f t="shared" si="273"/>
        <v>1.5475656954148098E-3</v>
      </c>
      <c r="AE369" s="1123">
        <f t="shared" si="273"/>
        <v>-1.8686361037672961E-2</v>
      </c>
      <c r="AF369" s="1123">
        <f>AE369-AF136+AF370</f>
        <v>-3.6829084944547508E-2</v>
      </c>
      <c r="AG369" s="1123">
        <f>AF369-AG136+AG370</f>
        <v>-3.6255486618216093E-2</v>
      </c>
      <c r="AH369" s="1123">
        <f>AG369-AH136+AH370</f>
        <v>-4.7341445280002281E-2</v>
      </c>
      <c r="AI369" s="685"/>
      <c r="AJ369" s="685"/>
      <c r="AK369" s="685"/>
      <c r="AL369" s="685"/>
      <c r="AM369" s="685"/>
      <c r="AN369" s="685"/>
      <c r="AO369" s="685"/>
      <c r="AP369" s="685"/>
      <c r="AQ369" s="685"/>
      <c r="AR369" s="685"/>
      <c r="AS369" s="685"/>
      <c r="AT369" s="685"/>
      <c r="AU369" s="685"/>
      <c r="AV369" s="685"/>
      <c r="AW369" s="685"/>
      <c r="AX369" s="685"/>
      <c r="AY369" s="685"/>
      <c r="AZ369" s="685"/>
      <c r="BA369" s="685"/>
      <c r="BB369" s="685"/>
      <c r="BC369" s="685"/>
      <c r="BD369" s="685"/>
    </row>
    <row r="370" spans="1:56">
      <c r="A370" s="685"/>
      <c r="B370" s="1115" t="s">
        <v>357</v>
      </c>
      <c r="C370" s="1166"/>
      <c r="D370" s="1166"/>
      <c r="E370" s="1166"/>
      <c r="F370" s="1166"/>
      <c r="G370" s="1166"/>
      <c r="H370" s="1166"/>
      <c r="I370" s="1166"/>
      <c r="J370" s="1166"/>
      <c r="K370" s="1166"/>
      <c r="L370" s="1166"/>
      <c r="M370" s="1166"/>
      <c r="N370" s="1166"/>
      <c r="O370" s="1166"/>
      <c r="P370" s="1166"/>
      <c r="Q370" s="1166"/>
      <c r="R370" s="1166"/>
      <c r="S370" s="1166"/>
      <c r="T370" s="1166"/>
      <c r="U370" s="1166"/>
      <c r="V370" s="1166"/>
      <c r="W370" s="1166"/>
      <c r="X370" s="1166"/>
      <c r="Y370" s="1125"/>
      <c r="Z370" s="1125"/>
      <c r="AA370" s="1125"/>
      <c r="AB370" s="1125"/>
      <c r="AC370" s="1125"/>
      <c r="AD370" s="1125"/>
      <c r="AE370" s="1125"/>
      <c r="AF370" s="1125"/>
      <c r="AG370" s="1125"/>
      <c r="AH370" s="1125"/>
      <c r="AI370" s="685"/>
      <c r="AJ370" s="685"/>
      <c r="AK370" s="685"/>
      <c r="AL370" s="685"/>
      <c r="AM370" s="685"/>
      <c r="AN370" s="685"/>
      <c r="AO370" s="685"/>
      <c r="AP370" s="685"/>
      <c r="AQ370" s="685"/>
      <c r="AR370" s="685"/>
      <c r="AS370" s="685"/>
      <c r="AT370" s="685"/>
      <c r="AU370" s="685"/>
      <c r="AV370" s="685"/>
      <c r="AW370" s="685"/>
      <c r="AX370" s="685"/>
      <c r="AY370" s="685"/>
      <c r="AZ370" s="685"/>
      <c r="BA370" s="685"/>
      <c r="BB370" s="685"/>
      <c r="BC370" s="685"/>
      <c r="BD370" s="685"/>
    </row>
    <row r="371" spans="1:56">
      <c r="A371" s="685"/>
      <c r="B371" s="1113"/>
      <c r="C371" s="1114"/>
      <c r="D371" s="1114"/>
      <c r="E371" s="1114"/>
      <c r="F371" s="1114"/>
      <c r="G371" s="1114"/>
      <c r="H371" s="1114"/>
      <c r="I371" s="1114"/>
      <c r="J371" s="1114"/>
      <c r="K371" s="1114"/>
      <c r="L371" s="1114"/>
      <c r="M371" s="1114"/>
      <c r="N371" s="1114"/>
      <c r="O371" s="1114"/>
      <c r="P371" s="1114"/>
      <c r="Q371" s="1114"/>
      <c r="R371" s="1114"/>
      <c r="S371" s="1114"/>
      <c r="T371" s="1114"/>
      <c r="U371" s="1114"/>
      <c r="V371" s="1114"/>
      <c r="W371" s="1114"/>
      <c r="X371" s="1114"/>
      <c r="Y371" s="1114"/>
      <c r="Z371" s="1114"/>
      <c r="AA371" s="1114"/>
      <c r="AB371" s="1114"/>
      <c r="AC371" s="1114"/>
      <c r="AD371" s="1114"/>
      <c r="AE371" s="1114"/>
      <c r="AF371" s="1114"/>
      <c r="AG371" s="1114"/>
      <c r="AH371" s="1114"/>
      <c r="AI371" s="685"/>
      <c r="AJ371" s="685"/>
      <c r="AK371" s="685"/>
      <c r="AL371" s="685"/>
      <c r="AM371" s="685"/>
      <c r="AN371" s="685"/>
      <c r="AO371" s="685"/>
      <c r="AP371" s="685"/>
      <c r="AQ371" s="685"/>
      <c r="AR371" s="685"/>
      <c r="AS371" s="685"/>
      <c r="AT371" s="685"/>
      <c r="AU371" s="685"/>
      <c r="AV371" s="685"/>
      <c r="AW371" s="685"/>
      <c r="AX371" s="685"/>
      <c r="AY371" s="685"/>
      <c r="AZ371" s="685"/>
      <c r="BA371" s="685"/>
      <c r="BB371" s="685"/>
      <c r="BC371" s="685"/>
      <c r="BD371" s="685"/>
    </row>
    <row r="372" spans="1:56">
      <c r="A372" s="685"/>
      <c r="B372" s="1115" t="s">
        <v>266</v>
      </c>
      <c r="C372" s="1123"/>
      <c r="D372" s="1125"/>
      <c r="E372" s="1125"/>
      <c r="F372" s="1125"/>
      <c r="G372" s="1125"/>
      <c r="H372" s="1125"/>
      <c r="I372" s="1125">
        <f>(84613-I188)-I190-I369</f>
        <v>4808</v>
      </c>
      <c r="J372" s="1125">
        <f>(96204-J188)-J190-J369</f>
        <v>4545</v>
      </c>
      <c r="K372" s="1125">
        <f>(96532-K188)-K190-K369</f>
        <v>7670</v>
      </c>
      <c r="L372" s="1125">
        <f>(115599-L188)-L190-L369</f>
        <v>14562</v>
      </c>
      <c r="M372" s="1125">
        <f>(138979-M188)-M190-M369</f>
        <v>14843.5</v>
      </c>
      <c r="N372" s="1125">
        <f>(181952-N188)-N190-N369</f>
        <v>20922.199999999997</v>
      </c>
      <c r="O372" s="1125">
        <f>(212089.3-O188)-O190-O369</f>
        <v>20584.899999999994</v>
      </c>
      <c r="P372" s="1125">
        <f>(197563-P188)-P190-P369</f>
        <v>21560</v>
      </c>
      <c r="Q372" s="1125">
        <f>(193061-Q188)-Q190-Q369</f>
        <v>16349.300000000003</v>
      </c>
      <c r="R372" s="1125">
        <f>(184922-R188)-R190-R369</f>
        <v>11420.199999999983</v>
      </c>
      <c r="S372" s="1125">
        <f>(183675-S188)-S190-S369</f>
        <v>9685.3999999999942</v>
      </c>
      <c r="T372" s="1125">
        <f>(197113.8-T188)-T190-T369</f>
        <v>10727.299999999988</v>
      </c>
      <c r="U372" s="1125">
        <f>(155313.4-U188)-U190-U369</f>
        <v>9107</v>
      </c>
      <c r="V372" s="1125">
        <f>(128809-V188)-V190-V369</f>
        <v>8526.1820000000007</v>
      </c>
      <c r="W372" s="1125">
        <f>(139962.271-W188)-W190-W369</f>
        <v>10116.175000000003</v>
      </c>
      <c r="X372" s="1125">
        <f>(125889.164-X188)-X190-X369</f>
        <v>11674.827000000005</v>
      </c>
      <c r="Y372" s="1123">
        <f t="shared" ref="Y372:AE372" si="274">X372</f>
        <v>11674.827000000005</v>
      </c>
      <c r="Z372" s="1123">
        <f t="shared" si="274"/>
        <v>11674.827000000005</v>
      </c>
      <c r="AA372" s="1123">
        <f t="shared" si="274"/>
        <v>11674.827000000005</v>
      </c>
      <c r="AB372" s="1123">
        <f t="shared" si="274"/>
        <v>11674.827000000005</v>
      </c>
      <c r="AC372" s="1123">
        <f t="shared" si="274"/>
        <v>11674.827000000005</v>
      </c>
      <c r="AD372" s="1123">
        <f t="shared" si="274"/>
        <v>11674.827000000005</v>
      </c>
      <c r="AE372" s="1123">
        <f t="shared" si="274"/>
        <v>11674.827000000005</v>
      </c>
      <c r="AF372" s="1123">
        <f>AE372</f>
        <v>11674.827000000005</v>
      </c>
      <c r="AG372" s="1123">
        <f>AF372</f>
        <v>11674.827000000005</v>
      </c>
      <c r="AH372" s="1123">
        <f>AG372</f>
        <v>11674.827000000005</v>
      </c>
      <c r="AI372" s="685"/>
      <c r="AJ372" s="685"/>
      <c r="AK372" s="685"/>
      <c r="AL372" s="685"/>
      <c r="AM372" s="685"/>
      <c r="AN372" s="685"/>
      <c r="AO372" s="685"/>
      <c r="AP372" s="685"/>
      <c r="AQ372" s="685"/>
      <c r="AR372" s="685"/>
      <c r="AS372" s="685"/>
      <c r="AT372" s="685"/>
      <c r="AU372" s="685"/>
      <c r="AV372" s="685"/>
      <c r="AW372" s="685"/>
      <c r="AX372" s="685"/>
      <c r="AY372" s="685"/>
      <c r="AZ372" s="685"/>
      <c r="BA372" s="685"/>
      <c r="BB372" s="685"/>
      <c r="BC372" s="685"/>
      <c r="BD372" s="685"/>
    </row>
    <row r="373" spans="1:56">
      <c r="A373" s="685"/>
      <c r="B373" s="1113"/>
      <c r="C373" s="1114"/>
      <c r="D373" s="1114"/>
      <c r="E373" s="1114"/>
      <c r="F373" s="1114"/>
      <c r="G373" s="1114"/>
      <c r="H373" s="1114"/>
      <c r="I373" s="1114"/>
      <c r="J373" s="1114"/>
      <c r="K373" s="1114"/>
      <c r="L373" s="1114"/>
      <c r="M373" s="1114"/>
      <c r="N373" s="1114"/>
      <c r="O373" s="1114"/>
      <c r="P373" s="1114"/>
      <c r="Q373" s="1114"/>
      <c r="R373" s="1114"/>
      <c r="S373" s="1114"/>
      <c r="T373" s="1114"/>
      <c r="U373" s="1114"/>
      <c r="V373" s="1114"/>
      <c r="W373" s="1114"/>
      <c r="X373" s="1114"/>
      <c r="Y373" s="1114"/>
      <c r="Z373" s="1114"/>
      <c r="AA373" s="1114"/>
      <c r="AB373" s="1114"/>
      <c r="AC373" s="1114"/>
      <c r="AD373" s="1114"/>
      <c r="AE373" s="1114"/>
      <c r="AF373" s="1114"/>
      <c r="AG373" s="1114"/>
      <c r="AH373" s="1114"/>
      <c r="AI373" s="685"/>
      <c r="AJ373" s="685"/>
      <c r="AK373" s="685"/>
      <c r="AL373" s="685"/>
      <c r="AM373" s="685"/>
      <c r="AN373" s="685"/>
      <c r="AO373" s="685"/>
      <c r="AP373" s="685"/>
      <c r="AQ373" s="685"/>
      <c r="AR373" s="685"/>
      <c r="AS373" s="685"/>
      <c r="AT373" s="685"/>
      <c r="AU373" s="685"/>
      <c r="AV373" s="685"/>
      <c r="AW373" s="685"/>
      <c r="AX373" s="685"/>
      <c r="AY373" s="685"/>
      <c r="AZ373" s="685"/>
      <c r="BA373" s="685"/>
      <c r="BB373" s="685"/>
      <c r="BC373" s="685"/>
      <c r="BD373" s="685"/>
    </row>
    <row r="374" spans="1:56">
      <c r="A374" s="685"/>
      <c r="B374" s="1113"/>
      <c r="C374" s="1114"/>
      <c r="D374" s="1114"/>
      <c r="E374" s="1114"/>
      <c r="F374" s="1114"/>
      <c r="G374" s="1114"/>
      <c r="H374" s="1114"/>
      <c r="I374" s="1114"/>
      <c r="J374" s="1114"/>
      <c r="K374" s="1114"/>
      <c r="L374" s="1114"/>
      <c r="M374" s="1114"/>
      <c r="N374" s="1114"/>
      <c r="O374" s="1114"/>
      <c r="P374" s="1114"/>
      <c r="Q374" s="1114"/>
      <c r="R374" s="1114"/>
      <c r="S374" s="1114"/>
      <c r="T374" s="1114"/>
      <c r="U374" s="1114"/>
      <c r="V374" s="1114"/>
      <c r="W374" s="1114"/>
      <c r="X374" s="1114"/>
      <c r="Y374" s="1114"/>
      <c r="Z374" s="1114"/>
      <c r="AA374" s="1114"/>
      <c r="AB374" s="1114"/>
      <c r="AC374" s="1114"/>
      <c r="AD374" s="1114"/>
      <c r="AE374" s="1114"/>
      <c r="AF374" s="1114"/>
      <c r="AG374" s="1114"/>
      <c r="AH374" s="1114"/>
      <c r="AI374" s="685"/>
      <c r="AJ374" s="685"/>
      <c r="AK374" s="685"/>
      <c r="AL374" s="685"/>
      <c r="AM374" s="685"/>
      <c r="AN374" s="685"/>
      <c r="AO374" s="685"/>
      <c r="AP374" s="685"/>
      <c r="AQ374" s="685"/>
      <c r="AR374" s="685"/>
      <c r="AS374" s="685"/>
      <c r="AT374" s="685"/>
      <c r="AU374" s="685"/>
      <c r="AV374" s="685"/>
      <c r="AW374" s="685"/>
      <c r="AX374" s="685"/>
      <c r="AY374" s="685"/>
      <c r="AZ374" s="685"/>
      <c r="BA374" s="685"/>
      <c r="BB374" s="685"/>
      <c r="BC374" s="685"/>
      <c r="BD374" s="685"/>
    </row>
    <row r="375" spans="1:56">
      <c r="A375" s="685"/>
      <c r="B375" s="1113"/>
      <c r="C375" s="1114"/>
      <c r="D375" s="1114"/>
      <c r="E375" s="1114"/>
      <c r="F375" s="1114"/>
      <c r="G375" s="1114"/>
      <c r="H375" s="1114"/>
      <c r="I375" s="1114"/>
      <c r="J375" s="1114"/>
      <c r="K375" s="1114"/>
      <c r="L375" s="1114"/>
      <c r="M375" s="1114"/>
      <c r="N375" s="1114"/>
      <c r="O375" s="1114"/>
      <c r="P375" s="1114"/>
      <c r="Q375" s="1114"/>
      <c r="R375" s="1114"/>
      <c r="S375" s="1114"/>
      <c r="T375" s="1114"/>
      <c r="U375" s="1114"/>
      <c r="V375" s="1114"/>
      <c r="W375" s="1114"/>
      <c r="X375" s="1114"/>
      <c r="Y375" s="1114"/>
      <c r="Z375" s="1114"/>
      <c r="AA375" s="1114"/>
      <c r="AB375" s="1114"/>
      <c r="AC375" s="1114"/>
      <c r="AD375" s="1114"/>
      <c r="AE375" s="1114"/>
      <c r="AF375" s="1114"/>
      <c r="AG375" s="1114"/>
      <c r="AH375" s="1114"/>
      <c r="AI375" s="685"/>
      <c r="AJ375" s="685"/>
      <c r="AK375" s="685"/>
      <c r="AL375" s="685"/>
      <c r="AM375" s="685"/>
      <c r="AN375" s="685"/>
      <c r="AO375" s="685"/>
      <c r="AP375" s="685"/>
      <c r="AQ375" s="685"/>
      <c r="AR375" s="685"/>
      <c r="AS375" s="685"/>
      <c r="AT375" s="685"/>
      <c r="AU375" s="685"/>
      <c r="AV375" s="685"/>
      <c r="AW375" s="685"/>
      <c r="AX375" s="685"/>
      <c r="AY375" s="685"/>
      <c r="AZ375" s="685"/>
      <c r="BA375" s="685"/>
      <c r="BB375" s="685"/>
      <c r="BC375" s="685"/>
      <c r="BD375" s="685"/>
    </row>
    <row r="376" spans="1:56">
      <c r="A376" s="685"/>
      <c r="B376" s="1112" t="s">
        <v>114</v>
      </c>
      <c r="C376" s="1112">
        <v>2004</v>
      </c>
      <c r="D376" s="1112">
        <f t="shared" ref="D376:AE376" si="275">C376+1</f>
        <v>2005</v>
      </c>
      <c r="E376" s="1112">
        <f t="shared" si="275"/>
        <v>2006</v>
      </c>
      <c r="F376" s="1112">
        <f t="shared" si="275"/>
        <v>2007</v>
      </c>
      <c r="G376" s="1112">
        <f t="shared" si="275"/>
        <v>2008</v>
      </c>
      <c r="H376" s="1112">
        <f t="shared" si="275"/>
        <v>2009</v>
      </c>
      <c r="I376" s="1112">
        <f t="shared" si="275"/>
        <v>2010</v>
      </c>
      <c r="J376" s="1112">
        <f t="shared" si="275"/>
        <v>2011</v>
      </c>
      <c r="K376" s="1112">
        <f t="shared" si="275"/>
        <v>2012</v>
      </c>
      <c r="L376" s="1112">
        <f t="shared" si="275"/>
        <v>2013</v>
      </c>
      <c r="M376" s="1112">
        <f t="shared" si="275"/>
        <v>2014</v>
      </c>
      <c r="N376" s="1112">
        <f t="shared" si="275"/>
        <v>2015</v>
      </c>
      <c r="O376" s="1112">
        <f t="shared" si="275"/>
        <v>2016</v>
      </c>
      <c r="P376" s="1112">
        <f t="shared" si="275"/>
        <v>2017</v>
      </c>
      <c r="Q376" s="1112">
        <f t="shared" si="275"/>
        <v>2018</v>
      </c>
      <c r="R376" s="1112">
        <f t="shared" si="275"/>
        <v>2019</v>
      </c>
      <c r="S376" s="1112">
        <f t="shared" si="275"/>
        <v>2020</v>
      </c>
      <c r="T376" s="1112">
        <f t="shared" si="275"/>
        <v>2021</v>
      </c>
      <c r="U376" s="1112">
        <f t="shared" si="275"/>
        <v>2022</v>
      </c>
      <c r="V376" s="1112">
        <f t="shared" si="275"/>
        <v>2023</v>
      </c>
      <c r="W376" s="1112">
        <f t="shared" si="275"/>
        <v>2024</v>
      </c>
      <c r="X376" s="1112">
        <f t="shared" si="275"/>
        <v>2025</v>
      </c>
      <c r="Y376" s="1112">
        <f t="shared" si="275"/>
        <v>2026</v>
      </c>
      <c r="Z376" s="1112">
        <f t="shared" si="275"/>
        <v>2027</v>
      </c>
      <c r="AA376" s="1112">
        <f t="shared" si="275"/>
        <v>2028</v>
      </c>
      <c r="AB376" s="1112">
        <f t="shared" si="275"/>
        <v>2029</v>
      </c>
      <c r="AC376" s="1112">
        <f t="shared" si="275"/>
        <v>2030</v>
      </c>
      <c r="AD376" s="1112">
        <f t="shared" si="275"/>
        <v>2031</v>
      </c>
      <c r="AE376" s="1112">
        <f t="shared" si="275"/>
        <v>2032</v>
      </c>
      <c r="AF376" s="1112">
        <f>AE376+1</f>
        <v>2033</v>
      </c>
      <c r="AG376" s="1112">
        <f>AF376+1</f>
        <v>2034</v>
      </c>
      <c r="AH376" s="1112">
        <f>AG376+1</f>
        <v>2035</v>
      </c>
      <c r="AI376" s="685"/>
      <c r="AJ376" s="685"/>
      <c r="AK376" s="685"/>
      <c r="AL376" s="685"/>
      <c r="AM376" s="685"/>
      <c r="AN376" s="685"/>
      <c r="AO376" s="685"/>
      <c r="AP376" s="685"/>
      <c r="AQ376" s="685"/>
      <c r="AR376" s="685"/>
      <c r="AS376" s="685"/>
      <c r="AT376" s="685"/>
      <c r="AU376" s="685"/>
      <c r="AV376" s="685"/>
      <c r="AW376" s="685"/>
      <c r="AX376" s="685"/>
      <c r="AY376" s="685"/>
      <c r="AZ376" s="685"/>
      <c r="BA376" s="685"/>
      <c r="BB376" s="685"/>
      <c r="BC376" s="685"/>
      <c r="BD376" s="685"/>
    </row>
    <row r="377" spans="1:56">
      <c r="A377" s="685"/>
      <c r="B377" s="1115" t="s">
        <v>114</v>
      </c>
      <c r="C377" s="1166"/>
      <c r="D377" s="1167"/>
      <c r="E377" s="1167"/>
      <c r="F377" s="1167"/>
      <c r="G377" s="1167"/>
      <c r="H377" s="1167">
        <v>3121</v>
      </c>
      <c r="I377" s="1167">
        <v>3259</v>
      </c>
      <c r="J377" s="1167">
        <v>3410</v>
      </c>
      <c r="K377" s="1167">
        <v>4053</v>
      </c>
      <c r="L377" s="1167">
        <v>3729</v>
      </c>
      <c r="M377" s="1167">
        <v>2983</v>
      </c>
      <c r="N377" s="1167">
        <v>6332.2</v>
      </c>
      <c r="O377" s="1167">
        <v>2872.2</v>
      </c>
      <c r="P377" s="1167">
        <v>4274</v>
      </c>
      <c r="Q377" s="1167">
        <v>4391</v>
      </c>
      <c r="R377" s="1167">
        <v>2776.5</v>
      </c>
      <c r="S377" s="1167">
        <v>5004.6000000000004</v>
      </c>
      <c r="T377" s="1167">
        <v>7493.9</v>
      </c>
      <c r="U377" s="1167">
        <v>-967.4</v>
      </c>
      <c r="V377" s="1167">
        <v>2440.9</v>
      </c>
      <c r="W377" s="1167">
        <v>688.58699999999999</v>
      </c>
      <c r="X377" s="1174">
        <v>-24</v>
      </c>
      <c r="Y377" s="1123">
        <f t="shared" ref="Y377:AE377" ca="1" si="276">Y378+Y379</f>
        <v>379.22947558088572</v>
      </c>
      <c r="Z377" s="1123">
        <f t="shared" ca="1" si="276"/>
        <v>524.12781779395857</v>
      </c>
      <c r="AA377" s="1123">
        <f t="shared" ca="1" si="276"/>
        <v>690.44706195240747</v>
      </c>
      <c r="AB377" s="1123">
        <f t="shared" ca="1" si="276"/>
        <v>1024.6090420678022</v>
      </c>
      <c r="AC377" s="1123">
        <f t="shared" ca="1" si="276"/>
        <v>1470.0542013679806</v>
      </c>
      <c r="AD377" s="1123">
        <f t="shared" ca="1" si="276"/>
        <v>1909.000972037298</v>
      </c>
      <c r="AE377" s="1123">
        <f t="shared" ca="1" si="276"/>
        <v>2288.7643789927924</v>
      </c>
      <c r="AF377" s="1123">
        <f ca="1">AF378+AF379</f>
        <v>2626.8758117473003</v>
      </c>
      <c r="AG377" s="1123">
        <f ca="1">AG378+AG379</f>
        <v>2806.698137755031</v>
      </c>
      <c r="AH377" s="1123">
        <f ca="1">AH378+AH379</f>
        <v>3069.3465803506142</v>
      </c>
      <c r="AI377" s="685"/>
      <c r="AJ377" s="685"/>
      <c r="AK377" s="685"/>
      <c r="AL377" s="685"/>
      <c r="AM377" s="685"/>
      <c r="AN377" s="685"/>
      <c r="AO377" s="685"/>
      <c r="AP377" s="685"/>
      <c r="AQ377" s="685"/>
      <c r="AR377" s="685"/>
      <c r="AS377" s="685"/>
      <c r="AT377" s="685"/>
      <c r="AU377" s="685"/>
      <c r="AV377" s="685"/>
      <c r="AW377" s="685"/>
      <c r="AX377" s="685"/>
      <c r="AY377" s="685"/>
      <c r="AZ377" s="685"/>
      <c r="BA377" s="685"/>
      <c r="BB377" s="685"/>
      <c r="BC377" s="685"/>
      <c r="BD377" s="685"/>
    </row>
    <row r="378" spans="1:56">
      <c r="A378" s="685"/>
      <c r="B378" s="1115" t="s">
        <v>358</v>
      </c>
      <c r="C378" s="1115"/>
      <c r="D378" s="1115"/>
      <c r="E378" s="1115"/>
      <c r="F378" s="1115"/>
      <c r="G378" s="1115"/>
      <c r="H378" s="1115"/>
      <c r="I378" s="1115"/>
      <c r="J378" s="1115"/>
      <c r="K378" s="1115"/>
      <c r="L378" s="1115"/>
      <c r="M378" s="1115"/>
      <c r="N378" s="1167">
        <f>0.28*N283</f>
        <v>1935.64</v>
      </c>
      <c r="O378" s="1167">
        <v>0</v>
      </c>
      <c r="P378" s="1167"/>
      <c r="Q378" s="1167"/>
      <c r="R378" s="1167"/>
      <c r="S378" s="1167">
        <f>0.28*S433</f>
        <v>-1527.5119999999999</v>
      </c>
      <c r="T378" s="1167"/>
      <c r="U378" s="1167"/>
      <c r="V378" s="1167"/>
      <c r="W378" s="1167"/>
      <c r="X378" s="1167"/>
      <c r="Y378" s="1167"/>
      <c r="Z378" s="1167"/>
      <c r="AA378" s="1167"/>
      <c r="AB378" s="1167"/>
      <c r="AC378" s="1167"/>
      <c r="AD378" s="1167"/>
      <c r="AE378" s="1167"/>
      <c r="AF378" s="1167"/>
      <c r="AG378" s="1167"/>
      <c r="AH378" s="1167"/>
      <c r="AI378" s="685"/>
      <c r="AJ378" s="685"/>
      <c r="AK378" s="685"/>
      <c r="AL378" s="685"/>
      <c r="AM378" s="685"/>
      <c r="AN378" s="685"/>
      <c r="AO378" s="685"/>
      <c r="AP378" s="685"/>
      <c r="AQ378" s="685"/>
      <c r="AR378" s="685"/>
      <c r="AS378" s="685"/>
      <c r="AT378" s="685"/>
      <c r="AU378" s="685"/>
      <c r="AV378" s="685"/>
      <c r="AW378" s="685"/>
      <c r="AX378" s="685"/>
      <c r="AY378" s="685"/>
      <c r="AZ378" s="685"/>
      <c r="BA378" s="685"/>
      <c r="BB378" s="685"/>
      <c r="BC378" s="685"/>
      <c r="BD378" s="685"/>
    </row>
    <row r="379" spans="1:56">
      <c r="A379" s="685"/>
      <c r="B379" s="1115" t="s">
        <v>359</v>
      </c>
      <c r="C379" s="1123"/>
      <c r="D379" s="1123">
        <f t="shared" ref="D379:M379" si="277">D377</f>
        <v>0</v>
      </c>
      <c r="E379" s="1123">
        <f t="shared" si="277"/>
        <v>0</v>
      </c>
      <c r="F379" s="1123">
        <f t="shared" si="277"/>
        <v>0</v>
      </c>
      <c r="G379" s="1123">
        <f t="shared" si="277"/>
        <v>0</v>
      </c>
      <c r="H379" s="1123">
        <f t="shared" si="277"/>
        <v>3121</v>
      </c>
      <c r="I379" s="1123">
        <f t="shared" si="277"/>
        <v>3259</v>
      </c>
      <c r="J379" s="1123">
        <f t="shared" si="277"/>
        <v>3410</v>
      </c>
      <c r="K379" s="1123">
        <f t="shared" si="277"/>
        <v>4053</v>
      </c>
      <c r="L379" s="1123">
        <f t="shared" si="277"/>
        <v>3729</v>
      </c>
      <c r="M379" s="1123">
        <f t="shared" si="277"/>
        <v>2983</v>
      </c>
      <c r="N379" s="1123">
        <f t="shared" ref="N379:T379" si="278">N377-N378</f>
        <v>4396.5599999999995</v>
      </c>
      <c r="O379" s="1123">
        <f t="shared" si="278"/>
        <v>2872.2</v>
      </c>
      <c r="P379" s="1123">
        <f t="shared" si="278"/>
        <v>4274</v>
      </c>
      <c r="Q379" s="1123">
        <f t="shared" si="278"/>
        <v>4391</v>
      </c>
      <c r="R379" s="1123">
        <f t="shared" si="278"/>
        <v>2776.5</v>
      </c>
      <c r="S379" s="1123">
        <f t="shared" si="278"/>
        <v>6532.1120000000001</v>
      </c>
      <c r="T379" s="1123">
        <f t="shared" si="278"/>
        <v>7493.9</v>
      </c>
      <c r="U379" s="1123">
        <f t="shared" ref="U379:AC379" si="279">U389</f>
        <v>-967.4</v>
      </c>
      <c r="V379" s="1123">
        <f t="shared" si="279"/>
        <v>2440.9</v>
      </c>
      <c r="W379" s="1123">
        <f t="shared" si="279"/>
        <v>688.58699999999999</v>
      </c>
      <c r="X379" s="1123">
        <f t="shared" si="279"/>
        <v>177.23804000000038</v>
      </c>
      <c r="Y379" s="1123">
        <f t="shared" ca="1" si="279"/>
        <v>379.22947558088572</v>
      </c>
      <c r="Z379" s="1123">
        <f t="shared" ca="1" si="279"/>
        <v>524.12781779395857</v>
      </c>
      <c r="AA379" s="1123">
        <f t="shared" ca="1" si="279"/>
        <v>690.44706195240747</v>
      </c>
      <c r="AB379" s="1123">
        <f t="shared" ca="1" si="279"/>
        <v>1024.6090420678022</v>
      </c>
      <c r="AC379" s="1123">
        <f t="shared" ca="1" si="279"/>
        <v>1470.0542013679806</v>
      </c>
      <c r="AD379" s="1123">
        <f ca="1">AD389</f>
        <v>1909.000972037298</v>
      </c>
      <c r="AE379" s="1123">
        <f ca="1">AE389</f>
        <v>2288.7643789927924</v>
      </c>
      <c r="AF379" s="1123">
        <f ca="1">AF389</f>
        <v>2626.8758117473003</v>
      </c>
      <c r="AG379" s="1123">
        <f ca="1">AG389</f>
        <v>2806.698137755031</v>
      </c>
      <c r="AH379" s="1123">
        <f ca="1">AH389</f>
        <v>3069.3465803506142</v>
      </c>
      <c r="AI379" s="685"/>
      <c r="AJ379" s="685"/>
      <c r="AK379" s="685"/>
      <c r="AL379" s="685"/>
      <c r="AM379" s="685"/>
      <c r="AN379" s="685"/>
      <c r="AO379" s="685"/>
      <c r="AP379" s="685"/>
      <c r="AQ379" s="685"/>
      <c r="AR379" s="685"/>
      <c r="AS379" s="685"/>
      <c r="AT379" s="685"/>
      <c r="AU379" s="685"/>
      <c r="AV379" s="685"/>
      <c r="AW379" s="685"/>
      <c r="AX379" s="685"/>
      <c r="AY379" s="685"/>
      <c r="AZ379" s="685"/>
      <c r="BA379" s="685"/>
      <c r="BB379" s="685"/>
      <c r="BC379" s="685"/>
      <c r="BD379" s="685"/>
    </row>
    <row r="380" spans="1:56">
      <c r="A380" s="685"/>
      <c r="B380" s="1115"/>
      <c r="C380" s="1115"/>
      <c r="D380" s="1115"/>
      <c r="E380" s="1115"/>
      <c r="F380" s="1115"/>
      <c r="G380" s="1115"/>
      <c r="H380" s="1115"/>
      <c r="I380" s="1115"/>
      <c r="J380" s="1115"/>
      <c r="K380" s="1115"/>
      <c r="L380" s="1115"/>
      <c r="M380" s="1115"/>
      <c r="N380" s="1115"/>
      <c r="O380" s="1115"/>
      <c r="P380" s="1115"/>
      <c r="Q380" s="1115"/>
      <c r="R380" s="1115"/>
      <c r="S380" s="1115"/>
      <c r="T380" s="1115"/>
      <c r="U380" s="1115"/>
      <c r="V380" s="1115"/>
      <c r="W380" s="1115"/>
      <c r="X380" s="1115"/>
      <c r="Y380" s="1115"/>
      <c r="Z380" s="1115"/>
      <c r="AA380" s="1115"/>
      <c r="AB380" s="1115"/>
      <c r="AC380" s="1115"/>
      <c r="AD380" s="1115"/>
      <c r="AE380" s="1115"/>
      <c r="AF380" s="1115"/>
      <c r="AG380" s="1115"/>
      <c r="AH380" s="1115"/>
      <c r="AI380" s="685"/>
      <c r="AJ380" s="685"/>
      <c r="AK380" s="685"/>
      <c r="AL380" s="685"/>
      <c r="AM380" s="685"/>
      <c r="AN380" s="685"/>
      <c r="AO380" s="685"/>
      <c r="AP380" s="685"/>
      <c r="AQ380" s="685"/>
      <c r="AR380" s="685"/>
      <c r="AS380" s="685"/>
      <c r="AT380" s="685"/>
      <c r="AU380" s="685"/>
      <c r="AV380" s="685"/>
      <c r="AW380" s="685"/>
      <c r="AX380" s="685"/>
      <c r="AY380" s="685"/>
      <c r="AZ380" s="685"/>
      <c r="BA380" s="685"/>
      <c r="BB380" s="685"/>
      <c r="BC380" s="685"/>
      <c r="BD380" s="685"/>
    </row>
    <row r="381" spans="1:56">
      <c r="A381" s="685"/>
      <c r="B381" s="1115" t="s">
        <v>214</v>
      </c>
      <c r="C381" s="1123"/>
      <c r="D381" s="1123"/>
      <c r="E381" s="1123"/>
      <c r="F381" s="1123"/>
      <c r="G381" s="1123"/>
      <c r="H381" s="1123">
        <f>H140</f>
        <v>20087</v>
      </c>
      <c r="I381" s="1123">
        <f t="shared" ref="I381:AC381" si="280">I135</f>
        <v>23062.899999999998</v>
      </c>
      <c r="J381" s="1123">
        <f t="shared" si="280"/>
        <v>25371.5</v>
      </c>
      <c r="K381" s="1123">
        <f t="shared" si="280"/>
        <v>28413.5</v>
      </c>
      <c r="L381" s="1123">
        <f t="shared" si="280"/>
        <v>29860.399999999998</v>
      </c>
      <c r="M381" s="1123">
        <f t="shared" si="280"/>
        <v>32279.7</v>
      </c>
      <c r="N381" s="1123">
        <f t="shared" si="280"/>
        <v>35695.299999999996</v>
      </c>
      <c r="O381" s="1123">
        <f t="shared" si="280"/>
        <v>38923.199999999997</v>
      </c>
      <c r="P381" s="1123">
        <f t="shared" si="280"/>
        <v>37457</v>
      </c>
      <c r="Q381" s="1123">
        <f t="shared" si="280"/>
        <v>40679</v>
      </c>
      <c r="R381" s="1123">
        <f t="shared" si="280"/>
        <v>41015</v>
      </c>
      <c r="S381" s="1123">
        <f t="shared" si="280"/>
        <v>40511.399999999994</v>
      </c>
      <c r="T381" s="1123">
        <f t="shared" si="280"/>
        <v>43475.5</v>
      </c>
      <c r="U381" s="1123">
        <f t="shared" si="280"/>
        <v>28010.129999999997</v>
      </c>
      <c r="V381" s="1123">
        <f t="shared" si="280"/>
        <v>26411.300000000003</v>
      </c>
      <c r="W381" s="1123">
        <f t="shared" si="280"/>
        <v>23157.915999999997</v>
      </c>
      <c r="X381" s="1123">
        <f t="shared" si="280"/>
        <v>23021.9</v>
      </c>
      <c r="Y381" s="1123">
        <f t="shared" si="280"/>
        <v>23118.243452999999</v>
      </c>
      <c r="Z381" s="1123">
        <f t="shared" si="280"/>
        <v>22621.670615767995</v>
      </c>
      <c r="AA381" s="1123">
        <f t="shared" si="280"/>
        <v>22042.053043407595</v>
      </c>
      <c r="AB381" s="1123">
        <f t="shared" si="280"/>
        <v>22061.980878479248</v>
      </c>
      <c r="AC381" s="1123">
        <f t="shared" si="280"/>
        <v>22414.43591968462</v>
      </c>
      <c r="AD381" s="1123">
        <f>AD135</f>
        <v>22963.359582458434</v>
      </c>
      <c r="AE381" s="1123">
        <f>AE135</f>
        <v>23427.998517795448</v>
      </c>
      <c r="AF381" s="1123">
        <f>AF135</f>
        <v>23853.046226594477</v>
      </c>
      <c r="AG381" s="1123">
        <f>AG135</f>
        <v>23839.364159200995</v>
      </c>
      <c r="AH381" s="1123">
        <f>AH135</f>
        <v>24103.646364793163</v>
      </c>
      <c r="AI381" s="685"/>
      <c r="AJ381" s="685"/>
      <c r="AK381" s="685"/>
      <c r="AL381" s="685"/>
      <c r="AM381" s="685"/>
      <c r="AN381" s="685"/>
      <c r="AO381" s="685"/>
      <c r="AP381" s="685"/>
      <c r="AQ381" s="685"/>
      <c r="AR381" s="685"/>
      <c r="AS381" s="685"/>
      <c r="AT381" s="685"/>
      <c r="AU381" s="685"/>
      <c r="AV381" s="685"/>
      <c r="AW381" s="685"/>
      <c r="AX381" s="685"/>
      <c r="AY381" s="685"/>
      <c r="AZ381" s="685"/>
      <c r="BA381" s="685"/>
      <c r="BB381" s="685"/>
      <c r="BC381" s="685"/>
      <c r="BD381" s="685"/>
    </row>
    <row r="382" spans="1:56">
      <c r="A382" s="685"/>
      <c r="B382" s="1115" t="s">
        <v>360</v>
      </c>
      <c r="C382" s="1123"/>
      <c r="D382" s="1123">
        <f t="shared" ref="D382:AC382" si="281">-D232</f>
        <v>0</v>
      </c>
      <c r="E382" s="1123">
        <f t="shared" si="281"/>
        <v>0</v>
      </c>
      <c r="F382" s="1123">
        <f t="shared" si="281"/>
        <v>0</v>
      </c>
      <c r="G382" s="1123">
        <f t="shared" si="281"/>
        <v>0</v>
      </c>
      <c r="H382" s="1123">
        <f t="shared" si="281"/>
        <v>-4390</v>
      </c>
      <c r="I382" s="1123">
        <f t="shared" si="281"/>
        <v>-5697</v>
      </c>
      <c r="J382" s="1123">
        <f t="shared" si="281"/>
        <v>-6501</v>
      </c>
      <c r="K382" s="1123">
        <f t="shared" si="281"/>
        <v>-7122.2916099069244</v>
      </c>
      <c r="L382" s="1123">
        <f t="shared" si="281"/>
        <v>-8426.7308289351131</v>
      </c>
      <c r="M382" s="1123">
        <f t="shared" si="281"/>
        <v>-9411.8212326843186</v>
      </c>
      <c r="N382" s="1123">
        <f t="shared" si="281"/>
        <v>-11222.332339055185</v>
      </c>
      <c r="O382" s="1123">
        <f t="shared" si="281"/>
        <v>-12681.492375298647</v>
      </c>
      <c r="P382" s="1123">
        <f t="shared" si="281"/>
        <v>-13775.112009065635</v>
      </c>
      <c r="Q382" s="1123">
        <f t="shared" si="281"/>
        <v>-15461.690203840175</v>
      </c>
      <c r="R382" s="1123">
        <f t="shared" si="281"/>
        <v>-15598.453258756492</v>
      </c>
      <c r="S382" s="1123">
        <f t="shared" si="281"/>
        <v>-15664.841174858946</v>
      </c>
      <c r="T382" s="1123">
        <f t="shared" si="281"/>
        <v>-16057.827405879905</v>
      </c>
      <c r="U382" s="1123">
        <f t="shared" si="281"/>
        <v>-15135.795108159535</v>
      </c>
      <c r="V382" s="1123">
        <f t="shared" si="281"/>
        <v>-17634</v>
      </c>
      <c r="W382" s="1123">
        <f t="shared" si="281"/>
        <v>-16258</v>
      </c>
      <c r="X382" s="1123">
        <f t="shared" si="281"/>
        <v>-14258</v>
      </c>
      <c r="Y382" s="1123">
        <f t="shared" si="281"/>
        <v>-13953.961219733854</v>
      </c>
      <c r="Z382" s="1123">
        <f t="shared" si="281"/>
        <v>-14028.502288162032</v>
      </c>
      <c r="AA382" s="1123">
        <f t="shared" si="281"/>
        <v>-13371.182595606751</v>
      </c>
      <c r="AB382" s="1123">
        <f t="shared" si="281"/>
        <v>-12664.208529554813</v>
      </c>
      <c r="AC382" s="1123">
        <f t="shared" si="281"/>
        <v>-12053.423684546047</v>
      </c>
      <c r="AD382" s="1123">
        <f>-AD232</f>
        <v>-11545.267342408524</v>
      </c>
      <c r="AE382" s="1123">
        <f>-AE232</f>
        <v>-11131.769480421153</v>
      </c>
      <c r="AF382" s="1123">
        <f>-AF232</f>
        <v>-10806.594692997816</v>
      </c>
      <c r="AG382" s="1123">
        <f>-AG232</f>
        <v>-10540.34165419529</v>
      </c>
      <c r="AH382" s="1123">
        <f>-AH232</f>
        <v>-10309.394220941171</v>
      </c>
      <c r="AI382" s="685"/>
      <c r="AJ382" s="685"/>
      <c r="AK382" s="685"/>
      <c r="AL382" s="685"/>
      <c r="AM382" s="685"/>
      <c r="AN382" s="685"/>
      <c r="AO382" s="685"/>
      <c r="AP382" s="685"/>
      <c r="AQ382" s="685"/>
      <c r="AR382" s="685"/>
      <c r="AS382" s="685"/>
      <c r="AT382" s="685"/>
      <c r="AU382" s="685"/>
      <c r="AV382" s="685"/>
      <c r="AW382" s="685"/>
      <c r="AX382" s="685"/>
      <c r="AY382" s="685"/>
      <c r="AZ382" s="685"/>
      <c r="BA382" s="685"/>
      <c r="BB382" s="685"/>
      <c r="BC382" s="685"/>
      <c r="BD382" s="685"/>
    </row>
    <row r="383" spans="1:56">
      <c r="A383" s="685"/>
      <c r="B383" s="1115" t="s">
        <v>361</v>
      </c>
      <c r="C383" s="1123"/>
      <c r="D383" s="1123">
        <f t="shared" ref="D383:AC383" si="282">-D254</f>
        <v>0</v>
      </c>
      <c r="E383" s="1123">
        <f t="shared" si="282"/>
        <v>0</v>
      </c>
      <c r="F383" s="1123">
        <f t="shared" si="282"/>
        <v>0</v>
      </c>
      <c r="G383" s="1123">
        <f t="shared" si="282"/>
        <v>0</v>
      </c>
      <c r="H383" s="1123">
        <f t="shared" si="282"/>
        <v>-540</v>
      </c>
      <c r="I383" s="1123">
        <f t="shared" si="282"/>
        <v>-882</v>
      </c>
      <c r="J383" s="1123">
        <f t="shared" si="282"/>
        <v>-928.69999999999982</v>
      </c>
      <c r="K383" s="1123">
        <f t="shared" si="282"/>
        <v>-1351.7083900930756</v>
      </c>
      <c r="L383" s="1123">
        <f t="shared" si="282"/>
        <v>-1419.2691710648869</v>
      </c>
      <c r="M383" s="1123">
        <f t="shared" si="282"/>
        <v>-2151.1787673156814</v>
      </c>
      <c r="N383" s="1123">
        <f t="shared" si="282"/>
        <v>-3438.5676609448146</v>
      </c>
      <c r="O383" s="1123">
        <f t="shared" si="282"/>
        <v>-4298.3076247013523</v>
      </c>
      <c r="P383" s="1123">
        <f t="shared" si="282"/>
        <v>-4760.887990934365</v>
      </c>
      <c r="Q383" s="1123">
        <f t="shared" si="282"/>
        <v>-4372.3097961598251</v>
      </c>
      <c r="R383" s="1123">
        <f t="shared" si="282"/>
        <v>-5409.5467412435082</v>
      </c>
      <c r="S383" s="1123">
        <f t="shared" si="282"/>
        <v>-5596.158825141054</v>
      </c>
      <c r="T383" s="1123">
        <f t="shared" si="282"/>
        <v>-5360.4725941200941</v>
      </c>
      <c r="U383" s="1123">
        <f t="shared" si="282"/>
        <v>-5981.6048918404667</v>
      </c>
      <c r="V383" s="1123">
        <f t="shared" si="282"/>
        <v>-3920.4000000000015</v>
      </c>
      <c r="W383" s="1123">
        <f t="shared" si="282"/>
        <v>-4252.9000000000015</v>
      </c>
      <c r="X383" s="1123">
        <f t="shared" si="282"/>
        <v>-2902.5</v>
      </c>
      <c r="Y383" s="1123">
        <f t="shared" si="282"/>
        <v>-3069.4746399999999</v>
      </c>
      <c r="Z383" s="1123">
        <f t="shared" si="282"/>
        <v>-3109.8158106000001</v>
      </c>
      <c r="AA383" s="1123">
        <f t="shared" si="282"/>
        <v>-3128.7026294460006</v>
      </c>
      <c r="AB383" s="1123">
        <f t="shared" si="282"/>
        <v>-3127.5681423956307</v>
      </c>
      <c r="AC383" s="1123">
        <f t="shared" si="282"/>
        <v>-3108.1311777558371</v>
      </c>
      <c r="AD383" s="1123">
        <f>-AD254</f>
        <v>-3072.3305129792666</v>
      </c>
      <c r="AE383" s="1123">
        <f>-AE254</f>
        <v>-3022.2577095505603</v>
      </c>
      <c r="AF383" s="1123">
        <f>-AF254</f>
        <v>-2960.091073386362</v>
      </c>
      <c r="AG383" s="1123">
        <f>-AG254</f>
        <v>-2888.0329564663621</v>
      </c>
      <c r="AH383" s="1123">
        <f>-AH254</f>
        <v>-2808.252293427498</v>
      </c>
      <c r="AI383" s="685"/>
      <c r="AJ383" s="685"/>
      <c r="AK383" s="685"/>
      <c r="AL383" s="685"/>
      <c r="AM383" s="685"/>
      <c r="AN383" s="685"/>
      <c r="AO383" s="685"/>
      <c r="AP383" s="685"/>
      <c r="AQ383" s="685"/>
      <c r="AR383" s="685"/>
      <c r="AS383" s="685"/>
      <c r="AT383" s="685"/>
      <c r="AU383" s="685"/>
      <c r="AV383" s="685"/>
      <c r="AW383" s="685"/>
      <c r="AX383" s="685"/>
      <c r="AY383" s="685"/>
      <c r="AZ383" s="685"/>
      <c r="BA383" s="685"/>
      <c r="BB383" s="685"/>
      <c r="BC383" s="685"/>
      <c r="BD383" s="685"/>
    </row>
    <row r="384" spans="1:56">
      <c r="A384" s="685"/>
      <c r="B384" s="1115" t="s">
        <v>362</v>
      </c>
      <c r="C384" s="1123"/>
      <c r="D384" s="1123">
        <f>D284</f>
        <v>0</v>
      </c>
      <c r="E384" s="1123">
        <f>E284</f>
        <v>0</v>
      </c>
      <c r="F384" s="1123">
        <f>F284</f>
        <v>0</v>
      </c>
      <c r="G384" s="1123">
        <f>G284</f>
        <v>0</v>
      </c>
      <c r="H384" s="1123">
        <f t="shared" ref="H384:AC384" si="283">-H284</f>
        <v>-2083</v>
      </c>
      <c r="I384" s="1123">
        <f t="shared" si="283"/>
        <v>-2567</v>
      </c>
      <c r="J384" s="1123">
        <f t="shared" si="283"/>
        <v>-3166</v>
      </c>
      <c r="K384" s="1123">
        <f t="shared" si="283"/>
        <v>-3325</v>
      </c>
      <c r="L384" s="1123">
        <f t="shared" si="283"/>
        <v>-3673</v>
      </c>
      <c r="M384" s="1123">
        <f t="shared" si="283"/>
        <v>-4224</v>
      </c>
      <c r="N384" s="1123">
        <f t="shared" si="283"/>
        <v>-5211</v>
      </c>
      <c r="O384" s="1123">
        <f t="shared" si="283"/>
        <v>-6998.4</v>
      </c>
      <c r="P384" s="1123">
        <f t="shared" si="283"/>
        <v>-6977</v>
      </c>
      <c r="Q384" s="1123">
        <f t="shared" si="283"/>
        <v>-8140</v>
      </c>
      <c r="R384" s="1123">
        <f t="shared" si="283"/>
        <v>-8810.8000000000011</v>
      </c>
      <c r="S384" s="1123">
        <f t="shared" si="283"/>
        <v>-5584.2</v>
      </c>
      <c r="T384" s="1123">
        <f t="shared" si="283"/>
        <v>-11918</v>
      </c>
      <c r="U384" s="1123">
        <f t="shared" si="283"/>
        <v>-9206.2000000000007</v>
      </c>
      <c r="V384" s="1123">
        <f t="shared" si="283"/>
        <v>-4751.5079999999998</v>
      </c>
      <c r="W384" s="1123">
        <f t="shared" si="283"/>
        <v>-4695.1710000000003</v>
      </c>
      <c r="X384" s="1123">
        <f t="shared" si="283"/>
        <v>-4140.2860000000001</v>
      </c>
      <c r="Y384" s="1123">
        <f t="shared" ca="1" si="283"/>
        <v>-4924.8469309388947</v>
      </c>
      <c r="Z384" s="1123">
        <f t="shared" ca="1" si="283"/>
        <v>-4615.7161782476887</v>
      </c>
      <c r="AA384" s="1123">
        <f t="shared" ca="1" si="283"/>
        <v>-4613.7850159312093</v>
      </c>
      <c r="AB384" s="1123">
        <f t="shared" ca="1" si="283"/>
        <v>-4595.4749098079837</v>
      </c>
      <c r="AC384" s="1123">
        <f t="shared" ca="1" si="283"/>
        <v>-4428.9120458826455</v>
      </c>
      <c r="AD384" s="1123">
        <f ca="1">-AD284</f>
        <v>-4350.8856183158296</v>
      </c>
      <c r="AE384" s="1123">
        <f ca="1">-AE284</f>
        <v>-4287.0098197252555</v>
      </c>
      <c r="AF384" s="1123">
        <f ca="1">-AF284</f>
        <v>-4244.6069348497886</v>
      </c>
      <c r="AG384" s="1123">
        <f ca="1">-AG284</f>
        <v>-4232.8495949682838</v>
      </c>
      <c r="AH384" s="1123">
        <f ca="1">-AH284</f>
        <v>-4119.0057626952748</v>
      </c>
      <c r="AI384" s="685"/>
      <c r="AJ384" s="685"/>
      <c r="AK384" s="685"/>
      <c r="AL384" s="685"/>
      <c r="AM384" s="685"/>
      <c r="AN384" s="685"/>
      <c r="AO384" s="685"/>
      <c r="AP384" s="685"/>
      <c r="AQ384" s="685"/>
      <c r="AR384" s="685"/>
      <c r="AS384" s="685"/>
      <c r="AT384" s="685"/>
      <c r="AU384" s="685"/>
      <c r="AV384" s="685"/>
      <c r="AW384" s="685"/>
      <c r="AX384" s="685"/>
      <c r="AY384" s="685"/>
      <c r="AZ384" s="685"/>
      <c r="BA384" s="685"/>
      <c r="BB384" s="685"/>
      <c r="BC384" s="685"/>
      <c r="BD384" s="685"/>
    </row>
    <row r="385" spans="1:56">
      <c r="A385" s="685"/>
      <c r="B385" s="1115" t="s">
        <v>177</v>
      </c>
      <c r="C385" s="1123"/>
      <c r="D385" s="1123"/>
      <c r="E385" s="1123"/>
      <c r="F385" s="1123"/>
      <c r="G385" s="1123"/>
      <c r="H385" s="1123"/>
      <c r="I385" s="1123">
        <f t="shared" ref="I385:AC385" si="284">I152</f>
        <v>-212</v>
      </c>
      <c r="J385" s="1123">
        <f t="shared" si="284"/>
        <v>-449</v>
      </c>
      <c r="K385" s="1123">
        <f t="shared" si="284"/>
        <v>-666.6</v>
      </c>
      <c r="L385" s="1123">
        <f t="shared" si="284"/>
        <v>-5659.9</v>
      </c>
      <c r="M385" s="1123">
        <f t="shared" si="284"/>
        <v>-4185.3999999999996</v>
      </c>
      <c r="N385" s="1123">
        <f t="shared" si="284"/>
        <v>35.4</v>
      </c>
      <c r="O385" s="1123">
        <f t="shared" si="284"/>
        <v>1139.4000000000001</v>
      </c>
      <c r="P385" s="1123">
        <f t="shared" si="284"/>
        <v>1913</v>
      </c>
      <c r="Q385" s="1123">
        <f t="shared" si="284"/>
        <v>532.9</v>
      </c>
      <c r="R385" s="1123">
        <f t="shared" si="284"/>
        <v>581.1</v>
      </c>
      <c r="S385" s="1123">
        <f t="shared" si="284"/>
        <v>-5769.4</v>
      </c>
      <c r="T385" s="1123">
        <f t="shared" si="284"/>
        <v>3558.8</v>
      </c>
      <c r="U385" s="1123">
        <f t="shared" si="284"/>
        <v>-8453.2999999999993</v>
      </c>
      <c r="V385" s="1123">
        <f t="shared" si="284"/>
        <v>-6210.1</v>
      </c>
      <c r="W385" s="1123">
        <f t="shared" si="284"/>
        <v>-182.577</v>
      </c>
      <c r="X385" s="1123">
        <f t="shared" si="284"/>
        <v>-1088.1210000000001</v>
      </c>
      <c r="Y385" s="1123">
        <f t="shared" si="284"/>
        <v>184.43032189019857</v>
      </c>
      <c r="Z385" s="1123">
        <f t="shared" si="284"/>
        <v>1004.248724791578</v>
      </c>
      <c r="AA385" s="1123">
        <f t="shared" si="284"/>
        <v>1537.4995616921067</v>
      </c>
      <c r="AB385" s="1123">
        <f t="shared" si="284"/>
        <v>1984.5887106641871</v>
      </c>
      <c r="AC385" s="1123">
        <f t="shared" si="284"/>
        <v>2426.2245648141247</v>
      </c>
      <c r="AD385" s="1123">
        <f>AD152</f>
        <v>2822.984505664107</v>
      </c>
      <c r="AE385" s="1123">
        <f>AE152</f>
        <v>3187.1969883043516</v>
      </c>
      <c r="AF385" s="1123">
        <f>AF152</f>
        <v>3539.9458023084171</v>
      </c>
      <c r="AG385" s="1123">
        <f>AG152</f>
        <v>3845.7819669826222</v>
      </c>
      <c r="AH385" s="1123">
        <f>AH152</f>
        <v>4094.9579849515458</v>
      </c>
      <c r="AI385" s="685"/>
      <c r="AJ385" s="685"/>
      <c r="AK385" s="685"/>
      <c r="AL385" s="685"/>
      <c r="AM385" s="685"/>
      <c r="AN385" s="685"/>
      <c r="AO385" s="685"/>
      <c r="AP385" s="685"/>
      <c r="AQ385" s="685"/>
      <c r="AR385" s="685"/>
      <c r="AS385" s="685"/>
      <c r="AT385" s="685"/>
      <c r="AU385" s="685"/>
      <c r="AV385" s="685"/>
      <c r="AW385" s="685"/>
      <c r="AX385" s="685"/>
      <c r="AY385" s="685"/>
      <c r="AZ385" s="685"/>
      <c r="BA385" s="685"/>
      <c r="BB385" s="685"/>
      <c r="BC385" s="685"/>
      <c r="BD385" s="685"/>
    </row>
    <row r="386" spans="1:56">
      <c r="A386" s="685"/>
      <c r="B386" s="1115" t="s">
        <v>363</v>
      </c>
      <c r="C386" s="1115"/>
      <c r="D386" s="1115"/>
      <c r="E386" s="1115"/>
      <c r="F386" s="1115"/>
      <c r="G386" s="1115"/>
      <c r="H386" s="1115"/>
      <c r="I386" s="1115"/>
      <c r="J386" s="1123">
        <f>J150</f>
        <v>0</v>
      </c>
      <c r="K386" s="1115"/>
      <c r="L386" s="1115"/>
      <c r="M386" s="1115"/>
      <c r="N386" s="1115"/>
      <c r="O386" s="1115"/>
      <c r="P386" s="1115"/>
      <c r="Q386" s="1115"/>
      <c r="R386" s="1115"/>
      <c r="S386" s="1115"/>
      <c r="T386" s="1115"/>
      <c r="U386" s="1115"/>
      <c r="V386" s="1115"/>
      <c r="W386" s="1115"/>
      <c r="X386" s="1199"/>
      <c r="Y386" s="1199"/>
      <c r="Z386" s="1199"/>
      <c r="AA386" s="1199"/>
      <c r="AB386" s="1199"/>
      <c r="AC386" s="1199"/>
      <c r="AD386" s="1199"/>
      <c r="AE386" s="1199"/>
      <c r="AF386" s="1199"/>
      <c r="AG386" s="1199"/>
      <c r="AH386" s="1199"/>
      <c r="AI386" s="685"/>
      <c r="AJ386" s="685"/>
      <c r="AK386" s="685"/>
      <c r="AL386" s="685"/>
      <c r="AM386" s="685"/>
      <c r="AN386" s="685"/>
      <c r="AO386" s="685"/>
      <c r="AP386" s="685"/>
      <c r="AQ386" s="685"/>
      <c r="AR386" s="685"/>
      <c r="AS386" s="685"/>
      <c r="AT386" s="685"/>
      <c r="AU386" s="685"/>
      <c r="AV386" s="685"/>
      <c r="AW386" s="685"/>
      <c r="AX386" s="685"/>
      <c r="AY386" s="685"/>
      <c r="AZ386" s="685"/>
      <c r="BA386" s="685"/>
      <c r="BB386" s="685"/>
      <c r="BC386" s="685"/>
      <c r="BD386" s="685"/>
    </row>
    <row r="387" spans="1:56">
      <c r="A387" s="685"/>
      <c r="B387" s="1382" t="s">
        <v>364</v>
      </c>
      <c r="C387" s="1206"/>
      <c r="D387" s="1206">
        <f t="shared" ref="D387:AC387" si="285">SUM(D381:D386)</f>
        <v>0</v>
      </c>
      <c r="E387" s="1206">
        <f t="shared" si="285"/>
        <v>0</v>
      </c>
      <c r="F387" s="1206">
        <f t="shared" si="285"/>
        <v>0</v>
      </c>
      <c r="G387" s="1206">
        <f t="shared" si="285"/>
        <v>0</v>
      </c>
      <c r="H387" s="1206">
        <f t="shared" si="285"/>
        <v>13074</v>
      </c>
      <c r="I387" s="1206">
        <f t="shared" si="285"/>
        <v>13704.899999999998</v>
      </c>
      <c r="J387" s="1206">
        <f t="shared" si="285"/>
        <v>14326.8</v>
      </c>
      <c r="K387" s="1206">
        <f t="shared" si="285"/>
        <v>15947.9</v>
      </c>
      <c r="L387" s="1206">
        <f t="shared" si="285"/>
        <v>10681.499999999998</v>
      </c>
      <c r="M387" s="1206">
        <f t="shared" si="285"/>
        <v>12307.300000000005</v>
      </c>
      <c r="N387" s="1206">
        <f t="shared" si="285"/>
        <v>15858.799999999994</v>
      </c>
      <c r="O387" s="1206">
        <f t="shared" si="285"/>
        <v>16084.399999999998</v>
      </c>
      <c r="P387" s="1206">
        <f t="shared" si="285"/>
        <v>13857</v>
      </c>
      <c r="Q387" s="1206">
        <f t="shared" si="285"/>
        <v>13237.9</v>
      </c>
      <c r="R387" s="1206">
        <f t="shared" si="285"/>
        <v>11777.3</v>
      </c>
      <c r="S387" s="1206">
        <f t="shared" si="285"/>
        <v>7896.7999999999938</v>
      </c>
      <c r="T387" s="1206">
        <f t="shared" si="285"/>
        <v>13697.999999999996</v>
      </c>
      <c r="U387" s="1206">
        <f t="shared" si="285"/>
        <v>-10766.770000000004</v>
      </c>
      <c r="V387" s="1206">
        <f t="shared" si="285"/>
        <v>-6104.7079999999987</v>
      </c>
      <c r="W387" s="1206">
        <f t="shared" si="285"/>
        <v>-2230.7320000000045</v>
      </c>
      <c r="X387" s="1206">
        <f t="shared" si="285"/>
        <v>632.9930000000013</v>
      </c>
      <c r="Y387" s="1206">
        <f t="shared" ca="1" si="285"/>
        <v>1354.3909842174489</v>
      </c>
      <c r="Z387" s="1206">
        <f t="shared" ca="1" si="285"/>
        <v>1871.885063549852</v>
      </c>
      <c r="AA387" s="1206">
        <f t="shared" ca="1" si="285"/>
        <v>2465.8823641157405</v>
      </c>
      <c r="AB387" s="1206">
        <f t="shared" ca="1" si="285"/>
        <v>3659.3180073850076</v>
      </c>
      <c r="AC387" s="1206">
        <f t="shared" ca="1" si="285"/>
        <v>5250.1935763142155</v>
      </c>
      <c r="AD387" s="1206">
        <f ca="1">SUM(AD381:AD386)</f>
        <v>6817.8606144189207</v>
      </c>
      <c r="AE387" s="1206">
        <f ca="1">SUM(AE381:AE386)</f>
        <v>8174.1584964028298</v>
      </c>
      <c r="AF387" s="1206">
        <f ca="1">SUM(AF381:AF386)</f>
        <v>9381.6993276689282</v>
      </c>
      <c r="AG387" s="1206">
        <f ca="1">SUM(AG381:AG386)</f>
        <v>10023.921920553681</v>
      </c>
      <c r="AH387" s="1206">
        <f ca="1">SUM(AH381:AH386)</f>
        <v>10961.952072680764</v>
      </c>
      <c r="AI387" s="685"/>
      <c r="AJ387" s="795">
        <f>Interims!BW86</f>
        <v>1241.3</v>
      </c>
      <c r="AK387" s="685"/>
      <c r="AL387" s="685"/>
      <c r="AM387" s="685"/>
      <c r="AN387" s="685"/>
      <c r="AO387" s="685"/>
      <c r="AP387" s="685"/>
      <c r="AQ387" s="685"/>
      <c r="AR387" s="685"/>
      <c r="AS387" s="685"/>
      <c r="AT387" s="685"/>
      <c r="AU387" s="685"/>
      <c r="AV387" s="685"/>
      <c r="AW387" s="685"/>
      <c r="AX387" s="685"/>
      <c r="AY387" s="685"/>
      <c r="AZ387" s="685"/>
      <c r="BA387" s="685"/>
      <c r="BB387" s="685"/>
      <c r="BC387" s="685"/>
      <c r="BD387" s="685"/>
    </row>
    <row r="388" spans="1:56">
      <c r="A388" s="685"/>
      <c r="B388" s="1115" t="s">
        <v>365</v>
      </c>
      <c r="C388" s="1117"/>
      <c r="D388" s="1117">
        <v>0.28000000000000003</v>
      </c>
      <c r="E388" s="1117">
        <v>0.28000000000000003</v>
      </c>
      <c r="F388" s="1117">
        <v>0.28000000000000003</v>
      </c>
      <c r="G388" s="1117">
        <v>0.28000000000000003</v>
      </c>
      <c r="H388" s="1117">
        <v>0.28000000000000003</v>
      </c>
      <c r="I388" s="1117">
        <v>0.28000000000000003</v>
      </c>
      <c r="J388" s="1117">
        <v>0.28000000000000003</v>
      </c>
      <c r="K388" s="1117">
        <v>0.25</v>
      </c>
      <c r="L388" s="1117">
        <v>0.25</v>
      </c>
      <c r="M388" s="1117">
        <v>0.25</v>
      </c>
      <c r="N388" s="1117">
        <v>0.25</v>
      </c>
      <c r="O388" s="1117">
        <v>0.25</v>
      </c>
      <c r="P388" s="1117">
        <f t="shared" ref="P388:W388" si="286">P379/P387</f>
        <v>0.30843616944504582</v>
      </c>
      <c r="Q388" s="1117">
        <f t="shared" si="286"/>
        <v>0.33169913656999978</v>
      </c>
      <c r="R388" s="1117">
        <f t="shared" si="286"/>
        <v>0.23575012948638485</v>
      </c>
      <c r="S388" s="1117">
        <f t="shared" si="286"/>
        <v>0.82718468240299936</v>
      </c>
      <c r="T388" s="1117">
        <f t="shared" si="286"/>
        <v>0.54707986567382116</v>
      </c>
      <c r="U388" s="1117">
        <f t="shared" si="286"/>
        <v>8.9850530846298349E-2</v>
      </c>
      <c r="V388" s="1117">
        <f t="shared" si="286"/>
        <v>-0.39983894397569886</v>
      </c>
      <c r="W388" s="1117">
        <f t="shared" si="286"/>
        <v>-0.30868208283200249</v>
      </c>
      <c r="X388" s="1192">
        <v>0.28000000000000003</v>
      </c>
      <c r="Y388" s="1192">
        <v>0.28000000000000003</v>
      </c>
      <c r="Z388" s="1192">
        <v>0.28000000000000003</v>
      </c>
      <c r="AA388" s="1192">
        <v>0.28000000000000003</v>
      </c>
      <c r="AB388" s="1192">
        <v>0.28000000000000003</v>
      </c>
      <c r="AC388" s="1192">
        <v>0.28000000000000003</v>
      </c>
      <c r="AD388" s="1192">
        <v>0.28000000000000003</v>
      </c>
      <c r="AE388" s="1192">
        <v>0.28000000000000003</v>
      </c>
      <c r="AF388" s="1192">
        <v>0.28000000000000003</v>
      </c>
      <c r="AG388" s="1192">
        <v>0.28000000000000003</v>
      </c>
      <c r="AH388" s="1192">
        <v>0.28000000000000003</v>
      </c>
      <c r="AI388" s="685"/>
      <c r="AJ388" s="685"/>
      <c r="AK388" s="685"/>
      <c r="AL388" s="685"/>
      <c r="AM388" s="685"/>
      <c r="AN388" s="685"/>
      <c r="AO388" s="685"/>
      <c r="AP388" s="685"/>
      <c r="AQ388" s="685"/>
      <c r="AR388" s="685"/>
      <c r="AS388" s="685"/>
      <c r="AT388" s="685"/>
      <c r="AU388" s="685"/>
      <c r="AV388" s="685"/>
      <c r="AW388" s="685"/>
      <c r="AX388" s="685"/>
      <c r="AY388" s="685"/>
      <c r="AZ388" s="685"/>
      <c r="BA388" s="685"/>
      <c r="BB388" s="685"/>
      <c r="BC388" s="685"/>
      <c r="BD388" s="685"/>
    </row>
    <row r="389" spans="1:56">
      <c r="A389" s="685"/>
      <c r="B389" s="1115" t="s">
        <v>114</v>
      </c>
      <c r="C389" s="1123"/>
      <c r="D389" s="1123">
        <f>D387*D388</f>
        <v>0</v>
      </c>
      <c r="E389" s="1123">
        <f>E387*E388</f>
        <v>0</v>
      </c>
      <c r="F389" s="1123">
        <f>F387*F388</f>
        <v>0</v>
      </c>
      <c r="G389" s="1123">
        <f>G387*G388</f>
        <v>0</v>
      </c>
      <c r="H389" s="1123">
        <f t="shared" ref="H389:W389" si="287">H377</f>
        <v>3121</v>
      </c>
      <c r="I389" s="1123">
        <f t="shared" si="287"/>
        <v>3259</v>
      </c>
      <c r="J389" s="1123">
        <f t="shared" si="287"/>
        <v>3410</v>
      </c>
      <c r="K389" s="1123">
        <f t="shared" si="287"/>
        <v>4053</v>
      </c>
      <c r="L389" s="1123">
        <f t="shared" si="287"/>
        <v>3729</v>
      </c>
      <c r="M389" s="1123">
        <f t="shared" si="287"/>
        <v>2983</v>
      </c>
      <c r="N389" s="1123">
        <f t="shared" si="287"/>
        <v>6332.2</v>
      </c>
      <c r="O389" s="1123">
        <f t="shared" si="287"/>
        <v>2872.2</v>
      </c>
      <c r="P389" s="1123">
        <f t="shared" si="287"/>
        <v>4274</v>
      </c>
      <c r="Q389" s="1123">
        <f t="shared" si="287"/>
        <v>4391</v>
      </c>
      <c r="R389" s="1123">
        <f t="shared" si="287"/>
        <v>2776.5</v>
      </c>
      <c r="S389" s="1123">
        <f t="shared" si="287"/>
        <v>5004.6000000000004</v>
      </c>
      <c r="T389" s="1123">
        <f t="shared" si="287"/>
        <v>7493.9</v>
      </c>
      <c r="U389" s="1123">
        <f t="shared" si="287"/>
        <v>-967.4</v>
      </c>
      <c r="V389" s="1123">
        <f t="shared" si="287"/>
        <v>2440.9</v>
      </c>
      <c r="W389" s="1123">
        <f t="shared" si="287"/>
        <v>688.58699999999999</v>
      </c>
      <c r="X389" s="1123">
        <f t="shared" ref="X389:AC389" si="288">X388*X387</f>
        <v>177.23804000000038</v>
      </c>
      <c r="Y389" s="1123">
        <f t="shared" ca="1" si="288"/>
        <v>379.22947558088572</v>
      </c>
      <c r="Z389" s="1123">
        <f t="shared" ca="1" si="288"/>
        <v>524.12781779395857</v>
      </c>
      <c r="AA389" s="1123">
        <f t="shared" ca="1" si="288"/>
        <v>690.44706195240747</v>
      </c>
      <c r="AB389" s="1123">
        <f t="shared" ca="1" si="288"/>
        <v>1024.6090420678022</v>
      </c>
      <c r="AC389" s="1123">
        <f t="shared" ca="1" si="288"/>
        <v>1470.0542013679806</v>
      </c>
      <c r="AD389" s="1123">
        <f ca="1">AD388*AD387</f>
        <v>1909.000972037298</v>
      </c>
      <c r="AE389" s="1123">
        <f ca="1">AE388*AE387</f>
        <v>2288.7643789927924</v>
      </c>
      <c r="AF389" s="1123">
        <f ca="1">AF388*AF387</f>
        <v>2626.8758117473003</v>
      </c>
      <c r="AG389" s="1123">
        <f ca="1">AG388*AG387</f>
        <v>2806.698137755031</v>
      </c>
      <c r="AH389" s="1123">
        <f ca="1">AH388*AH387</f>
        <v>3069.3465803506142</v>
      </c>
      <c r="AI389" s="685"/>
      <c r="AJ389" s="685"/>
      <c r="AK389" s="685"/>
      <c r="AL389" s="685"/>
      <c r="AM389" s="685"/>
      <c r="AN389" s="685"/>
      <c r="AO389" s="685"/>
      <c r="AP389" s="685"/>
      <c r="AQ389" s="685"/>
      <c r="AR389" s="685"/>
      <c r="AS389" s="685"/>
      <c r="AT389" s="685"/>
      <c r="AU389" s="685"/>
      <c r="AV389" s="685"/>
      <c r="AW389" s="685"/>
      <c r="AX389" s="685"/>
      <c r="AY389" s="685"/>
      <c r="AZ389" s="685"/>
      <c r="BA389" s="685"/>
      <c r="BB389" s="685"/>
      <c r="BC389" s="685"/>
      <c r="BD389" s="685"/>
    </row>
    <row r="390" spans="1:56">
      <c r="A390" s="685"/>
      <c r="B390" s="1115" t="s">
        <v>365</v>
      </c>
      <c r="C390" s="1117"/>
      <c r="D390" s="1117" t="e">
        <f t="shared" ref="D390:O390" si="289">D379/D387</f>
        <v>#DIV/0!</v>
      </c>
      <c r="E390" s="1117" t="e">
        <f t="shared" si="289"/>
        <v>#DIV/0!</v>
      </c>
      <c r="F390" s="1117" t="e">
        <f t="shared" si="289"/>
        <v>#DIV/0!</v>
      </c>
      <c r="G390" s="1117" t="e">
        <f t="shared" si="289"/>
        <v>#DIV/0!</v>
      </c>
      <c r="H390" s="1117">
        <f t="shared" si="289"/>
        <v>0.23871806639131099</v>
      </c>
      <c r="I390" s="1117">
        <f t="shared" si="289"/>
        <v>0.2377981597822677</v>
      </c>
      <c r="J390" s="1117">
        <f t="shared" si="289"/>
        <v>0.23801546751542565</v>
      </c>
      <c r="K390" s="1117">
        <f t="shared" si="289"/>
        <v>0.25414004351670128</v>
      </c>
      <c r="L390" s="1117">
        <f t="shared" si="289"/>
        <v>0.34910827131020927</v>
      </c>
      <c r="M390" s="1117">
        <f t="shared" si="289"/>
        <v>0.24237647575016444</v>
      </c>
      <c r="N390" s="1117">
        <f t="shared" si="289"/>
        <v>0.27723156859283182</v>
      </c>
      <c r="O390" s="1117">
        <f t="shared" si="289"/>
        <v>0.17857054039939321</v>
      </c>
      <c r="P390" s="1117">
        <f t="shared" ref="P390:AC390" si="290">P377/P387</f>
        <v>0.30843616944504582</v>
      </c>
      <c r="Q390" s="1117">
        <f t="shared" si="290"/>
        <v>0.33169913656999978</v>
      </c>
      <c r="R390" s="1117">
        <f t="shared" si="290"/>
        <v>0.23575012948638485</v>
      </c>
      <c r="S390" s="1117">
        <f t="shared" si="290"/>
        <v>0.63375037990071981</v>
      </c>
      <c r="T390" s="1117">
        <f t="shared" si="290"/>
        <v>0.54707986567382116</v>
      </c>
      <c r="U390" s="1117">
        <f t="shared" si="290"/>
        <v>8.9850530846298349E-2</v>
      </c>
      <c r="V390" s="1117">
        <f t="shared" si="290"/>
        <v>-0.39983894397569886</v>
      </c>
      <c r="W390" s="1117">
        <f t="shared" si="290"/>
        <v>-0.30868208283200249</v>
      </c>
      <c r="X390" s="1117">
        <f t="shared" si="290"/>
        <v>-3.7915111225558497E-2</v>
      </c>
      <c r="Y390" s="1117">
        <f t="shared" ca="1" si="290"/>
        <v>0.28000000000000003</v>
      </c>
      <c r="Z390" s="1117">
        <f t="shared" ca="1" si="290"/>
        <v>0.28000000000000003</v>
      </c>
      <c r="AA390" s="1117">
        <f t="shared" ca="1" si="290"/>
        <v>0.28000000000000003</v>
      </c>
      <c r="AB390" s="1117">
        <f t="shared" ca="1" si="290"/>
        <v>0.28000000000000003</v>
      </c>
      <c r="AC390" s="1117">
        <f t="shared" ca="1" si="290"/>
        <v>0.28000000000000003</v>
      </c>
      <c r="AD390" s="1117">
        <f ca="1">AD377/AD387</f>
        <v>0.28000000000000003</v>
      </c>
      <c r="AE390" s="1117">
        <f ca="1">AE377/AE387</f>
        <v>0.28000000000000003</v>
      </c>
      <c r="AF390" s="1117">
        <f ca="1">AF377/AF387</f>
        <v>0.28000000000000003</v>
      </c>
      <c r="AG390" s="1117">
        <f ca="1">AG377/AG387</f>
        <v>0.28000000000000003</v>
      </c>
      <c r="AH390" s="1117">
        <f ca="1">AH377/AH387</f>
        <v>0.28000000000000003</v>
      </c>
      <c r="AI390" s="685"/>
      <c r="AJ390" s="685"/>
      <c r="AK390" s="685"/>
      <c r="AL390" s="685"/>
      <c r="AM390" s="685"/>
      <c r="AN390" s="685"/>
      <c r="AO390" s="685"/>
      <c r="AP390" s="685"/>
      <c r="AQ390" s="685"/>
      <c r="AR390" s="685"/>
      <c r="AS390" s="685"/>
      <c r="AT390" s="685"/>
      <c r="AU390" s="685"/>
      <c r="AV390" s="685"/>
      <c r="AW390" s="685"/>
      <c r="AX390" s="685"/>
      <c r="AY390" s="685"/>
      <c r="AZ390" s="685"/>
      <c r="BA390" s="685"/>
      <c r="BB390" s="685"/>
      <c r="BC390" s="685"/>
      <c r="BD390" s="685"/>
    </row>
    <row r="391" spans="1:56">
      <c r="A391" s="685"/>
      <c r="B391" s="1115"/>
      <c r="C391" s="1117"/>
      <c r="D391" s="1117"/>
      <c r="E391" s="1117"/>
      <c r="F391" s="1117"/>
      <c r="G391" s="1117"/>
      <c r="H391" s="1117"/>
      <c r="I391" s="1117"/>
      <c r="J391" s="1117"/>
      <c r="K391" s="1117"/>
      <c r="L391" s="1117"/>
      <c r="M391" s="1117"/>
      <c r="N391" s="1117"/>
      <c r="O391" s="1117"/>
      <c r="P391" s="1117"/>
      <c r="Q391" s="1117"/>
      <c r="R391" s="1117"/>
      <c r="S391" s="1117"/>
      <c r="T391" s="1117"/>
      <c r="U391" s="1117"/>
      <c r="V391" s="1117"/>
      <c r="W391" s="1117"/>
      <c r="X391" s="1117"/>
      <c r="Y391" s="1117"/>
      <c r="Z391" s="1117"/>
      <c r="AA391" s="1117"/>
      <c r="AB391" s="1117"/>
      <c r="AC391" s="1117"/>
      <c r="AD391" s="1117"/>
      <c r="AE391" s="1117"/>
      <c r="AF391" s="1117"/>
      <c r="AG391" s="1117"/>
      <c r="AH391" s="1117"/>
      <c r="AI391" s="685"/>
      <c r="AJ391" s="685"/>
      <c r="AK391" s="685"/>
      <c r="AL391" s="685"/>
      <c r="AM391" s="685"/>
      <c r="AN391" s="685"/>
      <c r="AO391" s="685"/>
      <c r="AP391" s="685"/>
      <c r="AQ391" s="685"/>
      <c r="AR391" s="685"/>
      <c r="AS391" s="685"/>
      <c r="AT391" s="685"/>
      <c r="AU391" s="685"/>
      <c r="AV391" s="685"/>
      <c r="AW391" s="685"/>
      <c r="AX391" s="685"/>
      <c r="AY391" s="685"/>
      <c r="AZ391" s="685"/>
      <c r="BA391" s="685"/>
      <c r="BB391" s="685"/>
      <c r="BC391" s="685"/>
      <c r="BD391" s="685"/>
    </row>
    <row r="392" spans="1:56">
      <c r="A392" s="685"/>
      <c r="B392" s="1115" t="s">
        <v>366</v>
      </c>
      <c r="C392" s="1123"/>
      <c r="D392" s="1123">
        <f t="shared" ref="D392:AC392" si="291">D387</f>
        <v>0</v>
      </c>
      <c r="E392" s="1123">
        <f t="shared" si="291"/>
        <v>0</v>
      </c>
      <c r="F392" s="1123">
        <f t="shared" si="291"/>
        <v>0</v>
      </c>
      <c r="G392" s="1123">
        <f t="shared" si="291"/>
        <v>0</v>
      </c>
      <c r="H392" s="1123">
        <f t="shared" si="291"/>
        <v>13074</v>
      </c>
      <c r="I392" s="1123">
        <f t="shared" si="291"/>
        <v>13704.899999999998</v>
      </c>
      <c r="J392" s="1123">
        <f t="shared" si="291"/>
        <v>14326.8</v>
      </c>
      <c r="K392" s="1123">
        <f t="shared" si="291"/>
        <v>15947.9</v>
      </c>
      <c r="L392" s="1123">
        <f t="shared" si="291"/>
        <v>10681.499999999998</v>
      </c>
      <c r="M392" s="1123">
        <f t="shared" si="291"/>
        <v>12307.300000000005</v>
      </c>
      <c r="N392" s="1123">
        <f t="shared" si="291"/>
        <v>15858.799999999994</v>
      </c>
      <c r="O392" s="1123">
        <f t="shared" si="291"/>
        <v>16084.399999999998</v>
      </c>
      <c r="P392" s="1123">
        <f t="shared" si="291"/>
        <v>13857</v>
      </c>
      <c r="Q392" s="1123">
        <f t="shared" si="291"/>
        <v>13237.9</v>
      </c>
      <c r="R392" s="1123">
        <f t="shared" si="291"/>
        <v>11777.3</v>
      </c>
      <c r="S392" s="1123">
        <f t="shared" si="291"/>
        <v>7896.7999999999938</v>
      </c>
      <c r="T392" s="1123">
        <f t="shared" si="291"/>
        <v>13697.999999999996</v>
      </c>
      <c r="U392" s="1123">
        <f t="shared" si="291"/>
        <v>-10766.770000000004</v>
      </c>
      <c r="V392" s="1123">
        <f t="shared" si="291"/>
        <v>-6104.7079999999987</v>
      </c>
      <c r="W392" s="1123">
        <f t="shared" si="291"/>
        <v>-2230.7320000000045</v>
      </c>
      <c r="X392" s="1123">
        <f t="shared" si="291"/>
        <v>632.9930000000013</v>
      </c>
      <c r="Y392" s="1123">
        <f t="shared" ca="1" si="291"/>
        <v>1354.3909842174489</v>
      </c>
      <c r="Z392" s="1123">
        <f t="shared" ca="1" si="291"/>
        <v>1871.885063549852</v>
      </c>
      <c r="AA392" s="1123">
        <f t="shared" ca="1" si="291"/>
        <v>2465.8823641157405</v>
      </c>
      <c r="AB392" s="1123">
        <f t="shared" ca="1" si="291"/>
        <v>3659.3180073850076</v>
      </c>
      <c r="AC392" s="1123">
        <f t="shared" ca="1" si="291"/>
        <v>5250.1935763142155</v>
      </c>
      <c r="AD392" s="1123">
        <f ca="1">AD387</f>
        <v>6817.8606144189207</v>
      </c>
      <c r="AE392" s="1123">
        <f ca="1">AE387</f>
        <v>8174.1584964028298</v>
      </c>
      <c r="AF392" s="1123">
        <f ca="1">AF387</f>
        <v>9381.6993276689282</v>
      </c>
      <c r="AG392" s="1123">
        <f ca="1">AG387</f>
        <v>10023.921920553681</v>
      </c>
      <c r="AH392" s="1123">
        <f ca="1">AH387</f>
        <v>10961.952072680764</v>
      </c>
      <c r="AI392" s="685"/>
      <c r="AJ392" s="685"/>
      <c r="AK392" s="685"/>
      <c r="AL392" s="685"/>
      <c r="AM392" s="685"/>
      <c r="AN392" s="685"/>
      <c r="AO392" s="685"/>
      <c r="AP392" s="685"/>
      <c r="AQ392" s="685"/>
      <c r="AR392" s="685"/>
      <c r="AS392" s="685"/>
      <c r="AT392" s="685"/>
      <c r="AU392" s="685"/>
      <c r="AV392" s="685"/>
      <c r="AW392" s="685"/>
      <c r="AX392" s="685"/>
      <c r="AY392" s="685"/>
      <c r="AZ392" s="685"/>
      <c r="BA392" s="685"/>
      <c r="BB392" s="685"/>
      <c r="BC392" s="685"/>
      <c r="BD392" s="685"/>
    </row>
    <row r="393" spans="1:56">
      <c r="A393" s="685"/>
      <c r="B393" s="1115"/>
      <c r="C393" s="1117"/>
      <c r="D393" s="1117"/>
      <c r="E393" s="1117"/>
      <c r="F393" s="1117"/>
      <c r="G393" s="1117"/>
      <c r="H393" s="1117"/>
      <c r="I393" s="1117"/>
      <c r="J393" s="1117"/>
      <c r="K393" s="1117"/>
      <c r="L393" s="1117"/>
      <c r="M393" s="1117"/>
      <c r="N393" s="1117"/>
      <c r="O393" s="1117"/>
      <c r="P393" s="1117"/>
      <c r="Q393" s="1117"/>
      <c r="R393" s="1117"/>
      <c r="S393" s="1117"/>
      <c r="T393" s="1117"/>
      <c r="U393" s="1117"/>
      <c r="V393" s="1117"/>
      <c r="W393" s="1117"/>
      <c r="X393" s="1117"/>
      <c r="Y393" s="1117"/>
      <c r="Z393" s="1117"/>
      <c r="AA393" s="1117"/>
      <c r="AB393" s="1117"/>
      <c r="AC393" s="1117"/>
      <c r="AD393" s="1117"/>
      <c r="AE393" s="1117"/>
      <c r="AF393" s="1117"/>
      <c r="AG393" s="1117"/>
      <c r="AH393" s="1117"/>
      <c r="AI393" s="685"/>
      <c r="AJ393" s="685"/>
      <c r="AK393" s="685"/>
      <c r="AL393" s="685"/>
      <c r="AM393" s="685"/>
      <c r="AN393" s="685"/>
      <c r="AO393" s="685"/>
      <c r="AP393" s="685"/>
      <c r="AQ393" s="685"/>
      <c r="AR393" s="685"/>
      <c r="AS393" s="685"/>
      <c r="AT393" s="685"/>
      <c r="AU393" s="685"/>
      <c r="AV393" s="685"/>
      <c r="AW393" s="685"/>
      <c r="AX393" s="685"/>
      <c r="AY393" s="685"/>
      <c r="AZ393" s="685"/>
      <c r="BA393" s="685"/>
      <c r="BB393" s="685"/>
      <c r="BC393" s="685"/>
      <c r="BD393" s="685"/>
    </row>
    <row r="394" spans="1:56">
      <c r="A394" s="685"/>
      <c r="B394" s="1115" t="s">
        <v>367</v>
      </c>
      <c r="C394" s="1166"/>
      <c r="D394" s="1123">
        <v>0</v>
      </c>
      <c r="E394" s="1123">
        <v>0</v>
      </c>
      <c r="F394" s="1123">
        <v>0</v>
      </c>
      <c r="G394" s="1123">
        <v>0</v>
      </c>
      <c r="H394" s="1123">
        <v>0</v>
      </c>
      <c r="I394" s="1123">
        <v>0</v>
      </c>
      <c r="J394" s="1123">
        <v>0</v>
      </c>
      <c r="K394" s="1123">
        <v>0</v>
      </c>
      <c r="L394" s="1123">
        <v>0</v>
      </c>
      <c r="M394" s="1123">
        <v>0</v>
      </c>
      <c r="N394" s="1123">
        <v>0</v>
      </c>
      <c r="O394" s="1123">
        <v>0</v>
      </c>
      <c r="P394" s="1123">
        <v>0</v>
      </c>
      <c r="Q394" s="1123">
        <v>0</v>
      </c>
      <c r="R394" s="1123">
        <v>0</v>
      </c>
      <c r="S394" s="1123">
        <v>0</v>
      </c>
      <c r="T394" s="1123">
        <v>0</v>
      </c>
      <c r="U394" s="1123">
        <v>0</v>
      </c>
      <c r="V394" s="1123">
        <v>0</v>
      </c>
      <c r="W394" s="1123">
        <v>0</v>
      </c>
      <c r="X394" s="1123">
        <v>0</v>
      </c>
      <c r="Y394" s="1123">
        <v>0</v>
      </c>
      <c r="Z394" s="1123">
        <v>0</v>
      </c>
      <c r="AA394" s="1123">
        <v>0</v>
      </c>
      <c r="AB394" s="1123">
        <v>0</v>
      </c>
      <c r="AC394" s="1123">
        <v>0</v>
      </c>
      <c r="AD394" s="1123">
        <v>0</v>
      </c>
      <c r="AE394" s="1123">
        <v>0</v>
      </c>
      <c r="AF394" s="1123">
        <v>0</v>
      </c>
      <c r="AG394" s="1123">
        <v>0</v>
      </c>
      <c r="AH394" s="1123">
        <v>0</v>
      </c>
      <c r="AI394" s="685"/>
      <c r="AJ394" s="685"/>
      <c r="AK394" s="685"/>
      <c r="AL394" s="685"/>
      <c r="AM394" s="685"/>
      <c r="AN394" s="685"/>
      <c r="AO394" s="685"/>
      <c r="AP394" s="685"/>
      <c r="AQ394" s="685"/>
      <c r="AR394" s="685"/>
      <c r="AS394" s="685"/>
      <c r="AT394" s="685"/>
      <c r="AU394" s="685"/>
      <c r="AV394" s="685"/>
      <c r="AW394" s="685"/>
      <c r="AX394" s="685"/>
      <c r="AY394" s="685"/>
      <c r="AZ394" s="685"/>
      <c r="BA394" s="685"/>
      <c r="BB394" s="685"/>
      <c r="BC394" s="685"/>
      <c r="BD394" s="685"/>
    </row>
    <row r="395" spans="1:56">
      <c r="A395" s="685"/>
      <c r="B395" s="1115" t="s">
        <v>368</v>
      </c>
      <c r="C395" s="1117"/>
      <c r="D395" s="1157">
        <v>0</v>
      </c>
      <c r="E395" s="1157">
        <f t="shared" ref="E395:AE395" si="292">D394</f>
        <v>0</v>
      </c>
      <c r="F395" s="1157">
        <f t="shared" si="292"/>
        <v>0</v>
      </c>
      <c r="G395" s="1157">
        <f t="shared" si="292"/>
        <v>0</v>
      </c>
      <c r="H395" s="1157">
        <f t="shared" si="292"/>
        <v>0</v>
      </c>
      <c r="I395" s="1157">
        <f t="shared" si="292"/>
        <v>0</v>
      </c>
      <c r="J395" s="1157">
        <f t="shared" si="292"/>
        <v>0</v>
      </c>
      <c r="K395" s="1157">
        <f t="shared" si="292"/>
        <v>0</v>
      </c>
      <c r="L395" s="1157">
        <f t="shared" si="292"/>
        <v>0</v>
      </c>
      <c r="M395" s="1157">
        <f t="shared" si="292"/>
        <v>0</v>
      </c>
      <c r="N395" s="1157">
        <f t="shared" si="292"/>
        <v>0</v>
      </c>
      <c r="O395" s="1157">
        <f t="shared" si="292"/>
        <v>0</v>
      </c>
      <c r="P395" s="1157">
        <f t="shared" si="292"/>
        <v>0</v>
      </c>
      <c r="Q395" s="1157">
        <f t="shared" si="292"/>
        <v>0</v>
      </c>
      <c r="R395" s="1157">
        <f t="shared" si="292"/>
        <v>0</v>
      </c>
      <c r="S395" s="1157">
        <f t="shared" si="292"/>
        <v>0</v>
      </c>
      <c r="T395" s="1157">
        <f t="shared" si="292"/>
        <v>0</v>
      </c>
      <c r="U395" s="1157">
        <f t="shared" si="292"/>
        <v>0</v>
      </c>
      <c r="V395" s="1157">
        <f t="shared" si="292"/>
        <v>0</v>
      </c>
      <c r="W395" s="1157">
        <f t="shared" si="292"/>
        <v>0</v>
      </c>
      <c r="X395" s="1157">
        <f t="shared" si="292"/>
        <v>0</v>
      </c>
      <c r="Y395" s="1157">
        <f t="shared" si="292"/>
        <v>0</v>
      </c>
      <c r="Z395" s="1157">
        <f t="shared" si="292"/>
        <v>0</v>
      </c>
      <c r="AA395" s="1157">
        <f t="shared" si="292"/>
        <v>0</v>
      </c>
      <c r="AB395" s="1157">
        <f t="shared" si="292"/>
        <v>0</v>
      </c>
      <c r="AC395" s="1157">
        <f t="shared" si="292"/>
        <v>0</v>
      </c>
      <c r="AD395" s="1157">
        <f t="shared" si="292"/>
        <v>0</v>
      </c>
      <c r="AE395" s="1157">
        <f t="shared" si="292"/>
        <v>0</v>
      </c>
      <c r="AF395" s="1157">
        <f>AE394</f>
        <v>0</v>
      </c>
      <c r="AG395" s="1157">
        <f>AF394</f>
        <v>0</v>
      </c>
      <c r="AH395" s="1157">
        <f>AG394</f>
        <v>0</v>
      </c>
      <c r="AI395" s="685"/>
      <c r="AJ395" s="685"/>
      <c r="AK395" s="685"/>
      <c r="AL395" s="685"/>
      <c r="AM395" s="685"/>
      <c r="AN395" s="685"/>
      <c r="AO395" s="685"/>
      <c r="AP395" s="685"/>
      <c r="AQ395" s="685"/>
      <c r="AR395" s="685"/>
      <c r="AS395" s="685"/>
      <c r="AT395" s="685"/>
      <c r="AU395" s="685"/>
      <c r="AV395" s="685"/>
      <c r="AW395" s="685"/>
      <c r="AX395" s="685"/>
      <c r="AY395" s="685"/>
      <c r="AZ395" s="685"/>
      <c r="BA395" s="685"/>
      <c r="BB395" s="685"/>
      <c r="BC395" s="685"/>
      <c r="BD395" s="685"/>
    </row>
    <row r="396" spans="1:56">
      <c r="A396" s="685"/>
      <c r="B396" s="1382" t="s">
        <v>369</v>
      </c>
      <c r="C396" s="1519"/>
      <c r="D396" s="1123">
        <f t="shared" ref="D396:AC396" si="293">D392-D395</f>
        <v>0</v>
      </c>
      <c r="E396" s="1123">
        <f t="shared" si="293"/>
        <v>0</v>
      </c>
      <c r="F396" s="1123">
        <f t="shared" si="293"/>
        <v>0</v>
      </c>
      <c r="G396" s="1123">
        <f t="shared" si="293"/>
        <v>0</v>
      </c>
      <c r="H396" s="1123">
        <f t="shared" si="293"/>
        <v>13074</v>
      </c>
      <c r="I396" s="1123">
        <f t="shared" si="293"/>
        <v>13704.899999999998</v>
      </c>
      <c r="J396" s="1123">
        <f t="shared" si="293"/>
        <v>14326.8</v>
      </c>
      <c r="K396" s="1123">
        <f t="shared" si="293"/>
        <v>15947.9</v>
      </c>
      <c r="L396" s="1123">
        <f t="shared" si="293"/>
        <v>10681.499999999998</v>
      </c>
      <c r="M396" s="1123">
        <f t="shared" si="293"/>
        <v>12307.300000000005</v>
      </c>
      <c r="N396" s="1123">
        <f t="shared" si="293"/>
        <v>15858.799999999994</v>
      </c>
      <c r="O396" s="1123">
        <f t="shared" si="293"/>
        <v>16084.399999999998</v>
      </c>
      <c r="P396" s="1123">
        <f t="shared" si="293"/>
        <v>13857</v>
      </c>
      <c r="Q396" s="1123">
        <f t="shared" si="293"/>
        <v>13237.9</v>
      </c>
      <c r="R396" s="1123">
        <f t="shared" si="293"/>
        <v>11777.3</v>
      </c>
      <c r="S396" s="1123">
        <f t="shared" si="293"/>
        <v>7896.7999999999938</v>
      </c>
      <c r="T396" s="1123">
        <f t="shared" si="293"/>
        <v>13697.999999999996</v>
      </c>
      <c r="U396" s="1123">
        <f t="shared" si="293"/>
        <v>-10766.770000000004</v>
      </c>
      <c r="V396" s="1123">
        <f t="shared" si="293"/>
        <v>-6104.7079999999987</v>
      </c>
      <c r="W396" s="1123">
        <f t="shared" si="293"/>
        <v>-2230.7320000000045</v>
      </c>
      <c r="X396" s="1123">
        <f t="shared" si="293"/>
        <v>632.9930000000013</v>
      </c>
      <c r="Y396" s="1123">
        <f t="shared" ca="1" si="293"/>
        <v>1354.3909842174489</v>
      </c>
      <c r="Z396" s="1123">
        <f t="shared" ca="1" si="293"/>
        <v>1871.885063549852</v>
      </c>
      <c r="AA396" s="1123">
        <f t="shared" ca="1" si="293"/>
        <v>2465.8823641157405</v>
      </c>
      <c r="AB396" s="1123">
        <f t="shared" ca="1" si="293"/>
        <v>3659.3180073850076</v>
      </c>
      <c r="AC396" s="1123">
        <f t="shared" ca="1" si="293"/>
        <v>5250.1935763142155</v>
      </c>
      <c r="AD396" s="1123">
        <f ca="1">AD392-AD395</f>
        <v>6817.8606144189207</v>
      </c>
      <c r="AE396" s="1123">
        <f ca="1">AE392-AE395</f>
        <v>8174.1584964028298</v>
      </c>
      <c r="AF396" s="1123">
        <f ca="1">AF392-AF395</f>
        <v>9381.6993276689282</v>
      </c>
      <c r="AG396" s="1123">
        <f ca="1">AG392-AG395</f>
        <v>10023.921920553681</v>
      </c>
      <c r="AH396" s="1123">
        <f ca="1">AH392-AH395</f>
        <v>10961.952072680764</v>
      </c>
      <c r="AI396" s="685"/>
      <c r="AJ396" s="685"/>
      <c r="AK396" s="685"/>
      <c r="AL396" s="685"/>
      <c r="AM396" s="685"/>
      <c r="AN396" s="685"/>
      <c r="AO396" s="685"/>
      <c r="AP396" s="685"/>
      <c r="AQ396" s="685"/>
      <c r="AR396" s="685"/>
      <c r="AS396" s="685"/>
      <c r="AT396" s="685"/>
      <c r="AU396" s="685"/>
      <c r="AV396" s="685"/>
      <c r="AW396" s="685"/>
      <c r="AX396" s="685"/>
      <c r="AY396" s="685"/>
      <c r="AZ396" s="685"/>
      <c r="BA396" s="685"/>
      <c r="BB396" s="685"/>
      <c r="BC396" s="685"/>
      <c r="BD396" s="685"/>
    </row>
    <row r="397" spans="1:56">
      <c r="A397" s="685"/>
      <c r="B397" s="1115"/>
      <c r="C397" s="1117"/>
      <c r="D397" s="1117"/>
      <c r="E397" s="1123"/>
      <c r="F397" s="1123"/>
      <c r="G397" s="1123"/>
      <c r="H397" s="1123"/>
      <c r="I397" s="1123"/>
      <c r="J397" s="1123"/>
      <c r="K397" s="1123"/>
      <c r="L397" s="1123"/>
      <c r="M397" s="1123"/>
      <c r="N397" s="1123"/>
      <c r="O397" s="1123"/>
      <c r="P397" s="1123"/>
      <c r="Q397" s="1123"/>
      <c r="R397" s="1123"/>
      <c r="S397" s="1123"/>
      <c r="T397" s="1123"/>
      <c r="U397" s="1123"/>
      <c r="V397" s="1123"/>
      <c r="W397" s="1123"/>
      <c r="X397" s="1123"/>
      <c r="Y397" s="1123"/>
      <c r="Z397" s="1123"/>
      <c r="AA397" s="1123"/>
      <c r="AB397" s="1123"/>
      <c r="AC397" s="1123"/>
      <c r="AD397" s="1123"/>
      <c r="AE397" s="1123"/>
      <c r="AF397" s="1123"/>
      <c r="AG397" s="1123"/>
      <c r="AH397" s="1123"/>
      <c r="AI397" s="685"/>
      <c r="AJ397" s="685"/>
      <c r="AK397" s="685"/>
      <c r="AL397" s="685"/>
      <c r="AM397" s="685"/>
      <c r="AN397" s="685"/>
      <c r="AO397" s="685"/>
      <c r="AP397" s="685"/>
      <c r="AQ397" s="685"/>
      <c r="AR397" s="685"/>
      <c r="AS397" s="685"/>
      <c r="AT397" s="685"/>
      <c r="AU397" s="685"/>
      <c r="AV397" s="685"/>
      <c r="AW397" s="685"/>
      <c r="AX397" s="685"/>
      <c r="AY397" s="685"/>
      <c r="AZ397" s="685"/>
      <c r="BA397" s="685"/>
      <c r="BB397" s="685"/>
      <c r="BC397" s="685"/>
      <c r="BD397" s="685"/>
    </row>
    <row r="398" spans="1:56">
      <c r="A398" s="685"/>
      <c r="B398" s="1115" t="s">
        <v>370</v>
      </c>
      <c r="C398" s="1117"/>
      <c r="D398" s="1123" t="e">
        <f t="shared" ref="D398:AC398" si="294">D396*D390</f>
        <v>#DIV/0!</v>
      </c>
      <c r="E398" s="1123" t="e">
        <f t="shared" si="294"/>
        <v>#DIV/0!</v>
      </c>
      <c r="F398" s="1123" t="e">
        <f t="shared" si="294"/>
        <v>#DIV/0!</v>
      </c>
      <c r="G398" s="1123" t="e">
        <f t="shared" si="294"/>
        <v>#DIV/0!</v>
      </c>
      <c r="H398" s="1123">
        <f t="shared" si="294"/>
        <v>3121</v>
      </c>
      <c r="I398" s="1123">
        <f t="shared" si="294"/>
        <v>3259</v>
      </c>
      <c r="J398" s="1123">
        <f t="shared" si="294"/>
        <v>3410</v>
      </c>
      <c r="K398" s="1123">
        <f t="shared" si="294"/>
        <v>4053</v>
      </c>
      <c r="L398" s="1123">
        <f t="shared" si="294"/>
        <v>3728.9999999999995</v>
      </c>
      <c r="M398" s="1123">
        <f t="shared" si="294"/>
        <v>2983</v>
      </c>
      <c r="N398" s="1123">
        <f t="shared" si="294"/>
        <v>4396.5599999999995</v>
      </c>
      <c r="O398" s="1123">
        <f t="shared" si="294"/>
        <v>2872.2</v>
      </c>
      <c r="P398" s="1123">
        <f t="shared" si="294"/>
        <v>4274</v>
      </c>
      <c r="Q398" s="1123">
        <f t="shared" si="294"/>
        <v>4391</v>
      </c>
      <c r="R398" s="1123">
        <f t="shared" si="294"/>
        <v>2776.5</v>
      </c>
      <c r="S398" s="1123">
        <f t="shared" si="294"/>
        <v>5004.6000000000004</v>
      </c>
      <c r="T398" s="1123">
        <f t="shared" si="294"/>
        <v>7493.9000000000005</v>
      </c>
      <c r="U398" s="1123">
        <f t="shared" si="294"/>
        <v>-967.40000000000009</v>
      </c>
      <c r="V398" s="1123">
        <f t="shared" si="294"/>
        <v>2440.9</v>
      </c>
      <c r="W398" s="1123">
        <f t="shared" si="294"/>
        <v>688.58699999999999</v>
      </c>
      <c r="X398" s="1123">
        <f t="shared" si="294"/>
        <v>-24</v>
      </c>
      <c r="Y398" s="1123">
        <f t="shared" ca="1" si="294"/>
        <v>379.22947558088572</v>
      </c>
      <c r="Z398" s="1123">
        <f t="shared" ca="1" si="294"/>
        <v>524.12781779395857</v>
      </c>
      <c r="AA398" s="1123">
        <f t="shared" ca="1" si="294"/>
        <v>690.44706195240747</v>
      </c>
      <c r="AB398" s="1123">
        <f t="shared" ca="1" si="294"/>
        <v>1024.6090420678022</v>
      </c>
      <c r="AC398" s="1123">
        <f t="shared" ca="1" si="294"/>
        <v>1470.0542013679806</v>
      </c>
      <c r="AD398" s="1123">
        <f ca="1">AD396*AD390</f>
        <v>1909.000972037298</v>
      </c>
      <c r="AE398" s="1123">
        <f ca="1">AE396*AE390</f>
        <v>2288.7643789927924</v>
      </c>
      <c r="AF398" s="1123">
        <f ca="1">AF396*AF390</f>
        <v>2626.8758117473003</v>
      </c>
      <c r="AG398" s="1123">
        <f ca="1">AG396*AG390</f>
        <v>2806.698137755031</v>
      </c>
      <c r="AH398" s="1123">
        <f ca="1">AH396*AH390</f>
        <v>3069.3465803506142</v>
      </c>
      <c r="AI398" s="685"/>
      <c r="AJ398" s="685"/>
      <c r="AK398" s="685"/>
      <c r="AL398" s="685"/>
      <c r="AM398" s="685"/>
      <c r="AN398" s="685"/>
      <c r="AO398" s="685"/>
      <c r="AP398" s="685"/>
      <c r="AQ398" s="685"/>
      <c r="AR398" s="685"/>
      <c r="AS398" s="685"/>
      <c r="AT398" s="685"/>
      <c r="AU398" s="685"/>
      <c r="AV398" s="685"/>
      <c r="AW398" s="685"/>
      <c r="AX398" s="685"/>
      <c r="AY398" s="685"/>
      <c r="AZ398" s="685"/>
      <c r="BA398" s="685"/>
      <c r="BB398" s="685"/>
      <c r="BC398" s="685"/>
      <c r="BD398" s="685"/>
    </row>
    <row r="399" spans="1:56">
      <c r="A399" s="685"/>
      <c r="B399" s="1115" t="s">
        <v>371</v>
      </c>
      <c r="C399" s="1117"/>
      <c r="D399" s="1123">
        <f t="shared" ref="D399:AC399" si="295">D394*0.39</f>
        <v>0</v>
      </c>
      <c r="E399" s="1123">
        <f t="shared" si="295"/>
        <v>0</v>
      </c>
      <c r="F399" s="1123">
        <f t="shared" si="295"/>
        <v>0</v>
      </c>
      <c r="G399" s="1123">
        <f t="shared" si="295"/>
        <v>0</v>
      </c>
      <c r="H399" s="1123">
        <f t="shared" si="295"/>
        <v>0</v>
      </c>
      <c r="I399" s="1123">
        <f t="shared" si="295"/>
        <v>0</v>
      </c>
      <c r="J399" s="1123">
        <f t="shared" si="295"/>
        <v>0</v>
      </c>
      <c r="K399" s="1123">
        <f t="shared" si="295"/>
        <v>0</v>
      </c>
      <c r="L399" s="1123">
        <f t="shared" si="295"/>
        <v>0</v>
      </c>
      <c r="M399" s="1123">
        <f t="shared" si="295"/>
        <v>0</v>
      </c>
      <c r="N399" s="1123">
        <f t="shared" si="295"/>
        <v>0</v>
      </c>
      <c r="O399" s="1123">
        <f t="shared" si="295"/>
        <v>0</v>
      </c>
      <c r="P399" s="1123">
        <f t="shared" si="295"/>
        <v>0</v>
      </c>
      <c r="Q399" s="1123">
        <f t="shared" si="295"/>
        <v>0</v>
      </c>
      <c r="R399" s="1123">
        <f t="shared" si="295"/>
        <v>0</v>
      </c>
      <c r="S399" s="1123">
        <f t="shared" si="295"/>
        <v>0</v>
      </c>
      <c r="T399" s="1123">
        <f t="shared" si="295"/>
        <v>0</v>
      </c>
      <c r="U399" s="1123">
        <f t="shared" si="295"/>
        <v>0</v>
      </c>
      <c r="V399" s="1123">
        <f t="shared" si="295"/>
        <v>0</v>
      </c>
      <c r="W399" s="1123">
        <f t="shared" si="295"/>
        <v>0</v>
      </c>
      <c r="X399" s="1123">
        <f t="shared" si="295"/>
        <v>0</v>
      </c>
      <c r="Y399" s="1123">
        <f t="shared" si="295"/>
        <v>0</v>
      </c>
      <c r="Z399" s="1123">
        <f t="shared" si="295"/>
        <v>0</v>
      </c>
      <c r="AA399" s="1123">
        <f t="shared" si="295"/>
        <v>0</v>
      </c>
      <c r="AB399" s="1123">
        <f t="shared" si="295"/>
        <v>0</v>
      </c>
      <c r="AC399" s="1123">
        <f t="shared" si="295"/>
        <v>0</v>
      </c>
      <c r="AD399" s="1123">
        <f>AD394*0.39</f>
        <v>0</v>
      </c>
      <c r="AE399" s="1123">
        <f>AE394*0.39</f>
        <v>0</v>
      </c>
      <c r="AF399" s="1123">
        <f>AF394*0.39</f>
        <v>0</v>
      </c>
      <c r="AG399" s="1123">
        <f>AG394*0.39</f>
        <v>0</v>
      </c>
      <c r="AH399" s="1123">
        <f>AH394*0.39</f>
        <v>0</v>
      </c>
      <c r="AI399" s="685"/>
      <c r="AJ399" s="685"/>
      <c r="AK399" s="685"/>
      <c r="AL399" s="685"/>
      <c r="AM399" s="685"/>
      <c r="AN399" s="685"/>
      <c r="AO399" s="685"/>
      <c r="AP399" s="685"/>
      <c r="AQ399" s="685"/>
      <c r="AR399" s="685"/>
      <c r="AS399" s="685"/>
      <c r="AT399" s="685"/>
      <c r="AU399" s="685"/>
      <c r="AV399" s="685"/>
      <c r="AW399" s="685"/>
      <c r="AX399" s="685"/>
      <c r="AY399" s="685"/>
      <c r="AZ399" s="685"/>
      <c r="BA399" s="685"/>
      <c r="BB399" s="685"/>
      <c r="BC399" s="685"/>
      <c r="BD399" s="685"/>
    </row>
    <row r="400" spans="1:56">
      <c r="A400" s="685"/>
      <c r="B400" s="1115" t="s">
        <v>372</v>
      </c>
      <c r="C400" s="1117"/>
      <c r="D400" s="1123" t="e">
        <f>D387*D388+D398</f>
        <v>#DIV/0!</v>
      </c>
      <c r="E400" s="1123" t="e">
        <f t="shared" ref="E400:AC400" si="296">E387*E388-E398</f>
        <v>#DIV/0!</v>
      </c>
      <c r="F400" s="1123" t="e">
        <f t="shared" si="296"/>
        <v>#DIV/0!</v>
      </c>
      <c r="G400" s="1123" t="e">
        <f t="shared" si="296"/>
        <v>#DIV/0!</v>
      </c>
      <c r="H400" s="1123">
        <f t="shared" si="296"/>
        <v>539.72000000000025</v>
      </c>
      <c r="I400" s="1123">
        <f t="shared" si="296"/>
        <v>578.37199999999984</v>
      </c>
      <c r="J400" s="1123">
        <f t="shared" si="296"/>
        <v>601.50400000000036</v>
      </c>
      <c r="K400" s="1123">
        <f t="shared" si="296"/>
        <v>-66.025000000000091</v>
      </c>
      <c r="L400" s="1123">
        <f t="shared" si="296"/>
        <v>-1058.625</v>
      </c>
      <c r="M400" s="1123">
        <f t="shared" si="296"/>
        <v>93.825000000001182</v>
      </c>
      <c r="N400" s="1123">
        <f t="shared" si="296"/>
        <v>-431.86000000000104</v>
      </c>
      <c r="O400" s="1123">
        <f t="shared" si="296"/>
        <v>1148.8999999999996</v>
      </c>
      <c r="P400" s="1123">
        <f t="shared" si="296"/>
        <v>0</v>
      </c>
      <c r="Q400" s="1123">
        <f t="shared" si="296"/>
        <v>0</v>
      </c>
      <c r="R400" s="1123">
        <f t="shared" si="296"/>
        <v>0</v>
      </c>
      <c r="S400" s="1123">
        <f t="shared" si="296"/>
        <v>1527.5119999999997</v>
      </c>
      <c r="T400" s="1123">
        <f t="shared" si="296"/>
        <v>0</v>
      </c>
      <c r="U400" s="1123">
        <f t="shared" si="296"/>
        <v>0</v>
      </c>
      <c r="V400" s="1123">
        <f t="shared" si="296"/>
        <v>0</v>
      </c>
      <c r="W400" s="1123">
        <f t="shared" si="296"/>
        <v>0</v>
      </c>
      <c r="X400" s="1123">
        <f t="shared" si="296"/>
        <v>201.23804000000038</v>
      </c>
      <c r="Y400" s="1123">
        <f t="shared" ca="1" si="296"/>
        <v>0</v>
      </c>
      <c r="Z400" s="1123">
        <f t="shared" ca="1" si="296"/>
        <v>0</v>
      </c>
      <c r="AA400" s="1123">
        <f t="shared" ca="1" si="296"/>
        <v>0</v>
      </c>
      <c r="AB400" s="1123">
        <f t="shared" ca="1" si="296"/>
        <v>0</v>
      </c>
      <c r="AC400" s="1123">
        <f t="shared" ca="1" si="296"/>
        <v>0</v>
      </c>
      <c r="AD400" s="1123">
        <f ca="1">AD387*AD388-AD398</f>
        <v>0</v>
      </c>
      <c r="AE400" s="1123">
        <f ca="1">AE387*AE388-AE398</f>
        <v>0</v>
      </c>
      <c r="AF400" s="1123">
        <f ca="1">AF387*AF388-AF398</f>
        <v>0</v>
      </c>
      <c r="AG400" s="1123">
        <f ca="1">AG387*AG388-AG398</f>
        <v>0</v>
      </c>
      <c r="AH400" s="1123">
        <f ca="1">AH387*AH388-AH398</f>
        <v>0</v>
      </c>
      <c r="AI400" s="685"/>
      <c r="AJ400" s="685"/>
      <c r="AK400" s="685"/>
      <c r="AL400" s="685"/>
      <c r="AM400" s="685"/>
      <c r="AN400" s="685"/>
      <c r="AO400" s="685"/>
      <c r="AP400" s="685"/>
      <c r="AQ400" s="685"/>
      <c r="AR400" s="685"/>
      <c r="AS400" s="685"/>
      <c r="AT400" s="685"/>
      <c r="AU400" s="685"/>
      <c r="AV400" s="685"/>
      <c r="AW400" s="685"/>
      <c r="AX400" s="685"/>
      <c r="AY400" s="685"/>
      <c r="AZ400" s="685"/>
      <c r="BA400" s="685"/>
      <c r="BB400" s="685"/>
      <c r="BC400" s="685"/>
      <c r="BD400" s="685"/>
    </row>
    <row r="401" spans="1:56">
      <c r="A401" s="685"/>
      <c r="B401" s="1115" t="s">
        <v>373</v>
      </c>
      <c r="C401" s="1117"/>
      <c r="D401" s="1123" t="e">
        <f>NPV(7%,D400:T400)</f>
        <v>#DIV/0!</v>
      </c>
      <c r="E401" s="1123" t="e">
        <f>NPV(7%,E400:U400)</f>
        <v>#DIV/0!</v>
      </c>
      <c r="F401" s="1123" t="e">
        <f>NPV(7%,F400:V400)</f>
        <v>#DIV/0!</v>
      </c>
      <c r="G401" s="1123" t="e">
        <f>NPV(7%,G400:W400)</f>
        <v>#DIV/0!</v>
      </c>
      <c r="H401" s="1123">
        <f>NPV(7%,H400:X400)</f>
        <v>1899.6245282011266</v>
      </c>
      <c r="I401" s="1123">
        <f t="shared" ref="I401:AE401" ca="1" si="297">NPV(7%,I400:AI400)</f>
        <v>1492.8782451752058</v>
      </c>
      <c r="J401" s="1123">
        <f t="shared" ca="1" si="297"/>
        <v>1019.0077223374702</v>
      </c>
      <c r="K401" s="1123">
        <f t="shared" ca="1" si="297"/>
        <v>488.83426290109321</v>
      </c>
      <c r="L401" s="1123">
        <f t="shared" ca="1" si="297"/>
        <v>589.07766130416974</v>
      </c>
      <c r="M401" s="1123">
        <f t="shared" ca="1" si="297"/>
        <v>1688.9380975954616</v>
      </c>
      <c r="N401" s="1123">
        <f t="shared" ca="1" si="297"/>
        <v>1713.3387644271427</v>
      </c>
      <c r="O401" s="1123">
        <f t="shared" ca="1" si="297"/>
        <v>2265.1324779370443</v>
      </c>
      <c r="P401" s="1123">
        <f t="shared" ca="1" si="297"/>
        <v>1274.7917513926375</v>
      </c>
      <c r="Q401" s="1123">
        <f t="shared" ca="1" si="297"/>
        <v>1364.0271739901225</v>
      </c>
      <c r="R401" s="1123">
        <f t="shared" ca="1" si="297"/>
        <v>1459.5090761694307</v>
      </c>
      <c r="S401" s="1123">
        <f t="shared" ca="1" si="297"/>
        <v>1561.6747115012913</v>
      </c>
      <c r="T401" s="1123">
        <f t="shared" ca="1" si="297"/>
        <v>143.4799413063819</v>
      </c>
      <c r="U401" s="1123">
        <f t="shared" ca="1" si="297"/>
        <v>153.52353719782863</v>
      </c>
      <c r="V401" s="1123">
        <f t="shared" ca="1" si="297"/>
        <v>164.27018480167666</v>
      </c>
      <c r="W401" s="1123">
        <f t="shared" ca="1" si="297"/>
        <v>175.769097737794</v>
      </c>
      <c r="X401" s="1123">
        <f t="shared" ca="1" si="297"/>
        <v>188.07293457943959</v>
      </c>
      <c r="Y401" s="1123">
        <f t="shared" ca="1" si="297"/>
        <v>0</v>
      </c>
      <c r="Z401" s="1123">
        <f t="shared" ca="1" si="297"/>
        <v>0</v>
      </c>
      <c r="AA401" s="1123">
        <f t="shared" ca="1" si="297"/>
        <v>0</v>
      </c>
      <c r="AB401" s="1123">
        <f t="shared" ca="1" si="297"/>
        <v>0</v>
      </c>
      <c r="AC401" s="1123">
        <f t="shared" ca="1" si="297"/>
        <v>0</v>
      </c>
      <c r="AD401" s="1123">
        <f t="shared" ca="1" si="297"/>
        <v>0</v>
      </c>
      <c r="AE401" s="1123">
        <f t="shared" ca="1" si="297"/>
        <v>0</v>
      </c>
      <c r="AF401" s="1123">
        <f ca="1">NPV(7%,AF400:BF400)</f>
        <v>0</v>
      </c>
      <c r="AG401" s="1123">
        <f ca="1">NPV(7%,AG400:BG400)</f>
        <v>0</v>
      </c>
      <c r="AH401" s="1123">
        <f ca="1">NPV(7%,AH400:BH400)</f>
        <v>0</v>
      </c>
      <c r="AI401" s="685"/>
      <c r="AJ401" s="685"/>
      <c r="AK401" s="685"/>
      <c r="AL401" s="685"/>
      <c r="AM401" s="685"/>
      <c r="AN401" s="685"/>
      <c r="AO401" s="685"/>
      <c r="AP401" s="685"/>
      <c r="AQ401" s="685"/>
      <c r="AR401" s="685"/>
      <c r="AS401" s="685"/>
      <c r="AT401" s="685"/>
      <c r="AU401" s="685"/>
      <c r="AV401" s="685"/>
      <c r="AW401" s="685"/>
      <c r="AX401" s="685"/>
      <c r="AY401" s="685"/>
      <c r="AZ401" s="685"/>
      <c r="BA401" s="685"/>
      <c r="BB401" s="685"/>
      <c r="BC401" s="685"/>
      <c r="BD401" s="685"/>
    </row>
    <row r="402" spans="1:56">
      <c r="A402" s="685"/>
      <c r="B402" s="1115"/>
      <c r="C402" s="1115"/>
      <c r="D402" s="1115"/>
      <c r="E402" s="1115"/>
      <c r="F402" s="1115"/>
      <c r="G402" s="1115"/>
      <c r="H402" s="1115"/>
      <c r="I402" s="1115"/>
      <c r="J402" s="1115"/>
      <c r="K402" s="1115"/>
      <c r="L402" s="1115"/>
      <c r="M402" s="1115"/>
      <c r="N402" s="1115"/>
      <c r="O402" s="1115"/>
      <c r="P402" s="1115"/>
      <c r="Q402" s="1115"/>
      <c r="R402" s="1115"/>
      <c r="S402" s="1115"/>
      <c r="T402" s="1115"/>
      <c r="U402" s="1115"/>
      <c r="V402" s="1115"/>
      <c r="W402" s="1115"/>
      <c r="X402" s="1115"/>
      <c r="Y402" s="1115"/>
      <c r="Z402" s="1115"/>
      <c r="AA402" s="1115"/>
      <c r="AB402" s="1115"/>
      <c r="AC402" s="1115"/>
      <c r="AD402" s="1115"/>
      <c r="AE402" s="1115"/>
      <c r="AF402" s="1115"/>
      <c r="AG402" s="1115"/>
      <c r="AH402" s="1115"/>
      <c r="AI402" s="685"/>
      <c r="AJ402" s="685"/>
      <c r="AK402" s="685"/>
      <c r="AL402" s="685"/>
      <c r="AM402" s="685"/>
      <c r="AN402" s="685"/>
      <c r="AO402" s="685"/>
      <c r="AP402" s="685"/>
      <c r="AQ402" s="685"/>
      <c r="AR402" s="685"/>
      <c r="AS402" s="685"/>
      <c r="AT402" s="685"/>
      <c r="AU402" s="685"/>
      <c r="AV402" s="685"/>
      <c r="AW402" s="685"/>
      <c r="AX402" s="685"/>
      <c r="AY402" s="685"/>
      <c r="AZ402" s="685"/>
      <c r="BA402" s="685"/>
      <c r="BB402" s="685"/>
      <c r="BC402" s="685"/>
      <c r="BD402" s="685"/>
    </row>
    <row r="403" spans="1:56">
      <c r="A403" s="685"/>
      <c r="B403" s="1113" t="s">
        <v>374</v>
      </c>
      <c r="C403" s="1115"/>
      <c r="D403" s="1115"/>
      <c r="E403" s="1115"/>
      <c r="F403" s="1115"/>
      <c r="G403" s="1115"/>
      <c r="H403" s="1115"/>
      <c r="I403" s="1115"/>
      <c r="J403" s="1115"/>
      <c r="K403" s="1115"/>
      <c r="L403" s="1115"/>
      <c r="M403" s="1115"/>
      <c r="N403" s="1115"/>
      <c r="O403" s="1115"/>
      <c r="P403" s="1115"/>
      <c r="Q403" s="1115"/>
      <c r="R403" s="1115"/>
      <c r="S403" s="1115"/>
      <c r="T403" s="1115"/>
      <c r="U403" s="1115"/>
      <c r="V403" s="1115"/>
      <c r="W403" s="1115"/>
      <c r="X403" s="1115"/>
      <c r="Y403" s="1115"/>
      <c r="Z403" s="1115"/>
      <c r="AA403" s="1115"/>
      <c r="AB403" s="1115"/>
      <c r="AC403" s="1115"/>
      <c r="AD403" s="1115"/>
      <c r="AE403" s="1115"/>
      <c r="AF403" s="1115"/>
      <c r="AG403" s="1115"/>
      <c r="AH403" s="1115"/>
      <c r="AI403" s="685"/>
      <c r="AJ403" s="685"/>
      <c r="AK403" s="685"/>
      <c r="AL403" s="685"/>
      <c r="AM403" s="685"/>
      <c r="AN403" s="685"/>
      <c r="AO403" s="685"/>
      <c r="AP403" s="685"/>
      <c r="AQ403" s="685"/>
      <c r="AR403" s="685"/>
      <c r="AS403" s="685"/>
      <c r="AT403" s="685"/>
      <c r="AU403" s="685"/>
      <c r="AV403" s="685"/>
      <c r="AW403" s="685"/>
      <c r="AX403" s="685"/>
      <c r="AY403" s="685"/>
      <c r="AZ403" s="685"/>
      <c r="BA403" s="685"/>
      <c r="BB403" s="685"/>
      <c r="BC403" s="685"/>
      <c r="BD403" s="685"/>
    </row>
    <row r="404" spans="1:56">
      <c r="A404" s="685"/>
      <c r="B404" s="1115" t="s">
        <v>375</v>
      </c>
      <c r="C404" s="1115"/>
      <c r="D404" s="1123" t="e">
        <f t="shared" ref="D404:V404" si="298">D398</f>
        <v>#DIV/0!</v>
      </c>
      <c r="E404" s="1123" t="e">
        <f t="shared" si="298"/>
        <v>#DIV/0!</v>
      </c>
      <c r="F404" s="1123" t="e">
        <f t="shared" si="298"/>
        <v>#DIV/0!</v>
      </c>
      <c r="G404" s="1123" t="e">
        <f t="shared" si="298"/>
        <v>#DIV/0!</v>
      </c>
      <c r="H404" s="1123">
        <f t="shared" si="298"/>
        <v>3121</v>
      </c>
      <c r="I404" s="1123">
        <f t="shared" si="298"/>
        <v>3259</v>
      </c>
      <c r="J404" s="1123">
        <f t="shared" si="298"/>
        <v>3410</v>
      </c>
      <c r="K404" s="1123">
        <f t="shared" si="298"/>
        <v>4053</v>
      </c>
      <c r="L404" s="1123">
        <f t="shared" si="298"/>
        <v>3728.9999999999995</v>
      </c>
      <c r="M404" s="1123">
        <f t="shared" si="298"/>
        <v>2983</v>
      </c>
      <c r="N404" s="1123">
        <f t="shared" si="298"/>
        <v>4396.5599999999995</v>
      </c>
      <c r="O404" s="1123">
        <f t="shared" si="298"/>
        <v>2872.2</v>
      </c>
      <c r="P404" s="1123">
        <f t="shared" si="298"/>
        <v>4274</v>
      </c>
      <c r="Q404" s="1123">
        <f t="shared" si="298"/>
        <v>4391</v>
      </c>
      <c r="R404" s="1123">
        <f t="shared" si="298"/>
        <v>2776.5</v>
      </c>
      <c r="S404" s="1123">
        <f t="shared" si="298"/>
        <v>5004.6000000000004</v>
      </c>
      <c r="T404" s="1123">
        <f t="shared" si="298"/>
        <v>7493.9000000000005</v>
      </c>
      <c r="U404" s="1123">
        <f t="shared" si="298"/>
        <v>-967.40000000000009</v>
      </c>
      <c r="V404" s="1123">
        <f t="shared" si="298"/>
        <v>2440.9</v>
      </c>
      <c r="W404" s="1174">
        <v>3300</v>
      </c>
      <c r="X404" s="1123">
        <f t="shared" ref="X404:AC404" si="299">X398</f>
        <v>-24</v>
      </c>
      <c r="Y404" s="1123">
        <f t="shared" ca="1" si="299"/>
        <v>379.22947558088572</v>
      </c>
      <c r="Z404" s="1123">
        <f t="shared" ca="1" si="299"/>
        <v>524.12781779395857</v>
      </c>
      <c r="AA404" s="1123">
        <f t="shared" ca="1" si="299"/>
        <v>690.44706195240747</v>
      </c>
      <c r="AB404" s="1123">
        <f t="shared" ca="1" si="299"/>
        <v>1024.6090420678022</v>
      </c>
      <c r="AC404" s="1123">
        <f t="shared" ca="1" si="299"/>
        <v>1470.0542013679806</v>
      </c>
      <c r="AD404" s="1123">
        <f ca="1">AD398</f>
        <v>1909.000972037298</v>
      </c>
      <c r="AE404" s="1123">
        <f ca="1">AE398</f>
        <v>2288.7643789927924</v>
      </c>
      <c r="AF404" s="1123">
        <f ca="1">AF398</f>
        <v>2626.8758117473003</v>
      </c>
      <c r="AG404" s="1123">
        <f ca="1">AG398</f>
        <v>2806.698137755031</v>
      </c>
      <c r="AH404" s="1123">
        <f ca="1">AH398</f>
        <v>3069.3465803506142</v>
      </c>
      <c r="AI404" s="685"/>
      <c r="AJ404" s="685"/>
      <c r="AK404" s="685"/>
      <c r="AL404" s="685"/>
      <c r="AM404" s="685"/>
      <c r="AN404" s="685"/>
      <c r="AO404" s="685"/>
      <c r="AP404" s="685"/>
      <c r="AQ404" s="685"/>
      <c r="AR404" s="685"/>
      <c r="AS404" s="685"/>
      <c r="AT404" s="685"/>
      <c r="AU404" s="685"/>
      <c r="AV404" s="685"/>
      <c r="AW404" s="685"/>
      <c r="AX404" s="685"/>
      <c r="AY404" s="685"/>
      <c r="AZ404" s="685"/>
      <c r="BA404" s="685"/>
      <c r="BB404" s="685"/>
      <c r="BC404" s="685"/>
      <c r="BD404" s="685"/>
    </row>
    <row r="405" spans="1:56">
      <c r="A405" s="685"/>
      <c r="B405" s="1115" t="s">
        <v>376</v>
      </c>
      <c r="C405" s="1115"/>
      <c r="D405" s="1168" t="e">
        <f t="shared" ref="D405:N405" si="300">D404</f>
        <v>#DIV/0!</v>
      </c>
      <c r="E405" s="1168" t="e">
        <f t="shared" si="300"/>
        <v>#DIV/0!</v>
      </c>
      <c r="F405" s="1168" t="e">
        <f t="shared" si="300"/>
        <v>#DIV/0!</v>
      </c>
      <c r="G405" s="1168" t="e">
        <f t="shared" si="300"/>
        <v>#DIV/0!</v>
      </c>
      <c r="H405" s="1168">
        <f t="shared" si="300"/>
        <v>3121</v>
      </c>
      <c r="I405" s="1168">
        <f t="shared" si="300"/>
        <v>3259</v>
      </c>
      <c r="J405" s="1168">
        <f t="shared" si="300"/>
        <v>3410</v>
      </c>
      <c r="K405" s="1168">
        <f t="shared" si="300"/>
        <v>4053</v>
      </c>
      <c r="L405" s="1168">
        <f t="shared" si="300"/>
        <v>3728.9999999999995</v>
      </c>
      <c r="M405" s="1168">
        <f t="shared" si="300"/>
        <v>2983</v>
      </c>
      <c r="N405" s="1168">
        <f t="shared" si="300"/>
        <v>4396.5599999999995</v>
      </c>
      <c r="O405" s="1193">
        <v>7269</v>
      </c>
      <c r="P405" s="1193">
        <v>6420</v>
      </c>
      <c r="Q405" s="1193">
        <v>6723</v>
      </c>
      <c r="R405" s="1168">
        <f>R404+R407</f>
        <v>4593.5</v>
      </c>
      <c r="S405" s="1193">
        <v>8681</v>
      </c>
      <c r="T405" s="1193">
        <v>9166</v>
      </c>
      <c r="U405" s="1193">
        <v>12188</v>
      </c>
      <c r="V405" s="1193">
        <v>7014.3090000000002</v>
      </c>
      <c r="W405" s="1193">
        <v>812.21500000000003</v>
      </c>
      <c r="X405" s="1168">
        <f t="shared" ref="X405:AC405" si="301">X404+X407</f>
        <v>-24</v>
      </c>
      <c r="Y405" s="1168">
        <f t="shared" ca="1" si="301"/>
        <v>379.22947558088572</v>
      </c>
      <c r="Z405" s="1168">
        <f t="shared" ca="1" si="301"/>
        <v>524.12781779395857</v>
      </c>
      <c r="AA405" s="1168">
        <f t="shared" ca="1" si="301"/>
        <v>690.44706195240747</v>
      </c>
      <c r="AB405" s="1168">
        <f t="shared" ca="1" si="301"/>
        <v>1024.6090420678022</v>
      </c>
      <c r="AC405" s="1168">
        <f t="shared" ca="1" si="301"/>
        <v>1470.0542013679806</v>
      </c>
      <c r="AD405" s="1168">
        <f ca="1">AD404+AD407</f>
        <v>1909.000972037298</v>
      </c>
      <c r="AE405" s="1168">
        <f ca="1">AE404+AE407</f>
        <v>2288.7643789927924</v>
      </c>
      <c r="AF405" s="1168">
        <f ca="1">AF404+AF407</f>
        <v>2626.8758117473003</v>
      </c>
      <c r="AG405" s="1168">
        <f ca="1">AG404+AG407</f>
        <v>2806.698137755031</v>
      </c>
      <c r="AH405" s="1168">
        <f ca="1">AH404+AH407</f>
        <v>3069.3465803506142</v>
      </c>
      <c r="AI405" s="685"/>
      <c r="AJ405" s="685"/>
      <c r="AK405" s="685"/>
      <c r="AL405" s="685"/>
      <c r="AM405" s="685"/>
      <c r="AN405" s="685"/>
      <c r="AO405" s="685"/>
      <c r="AP405" s="685"/>
      <c r="AQ405" s="685"/>
      <c r="AR405" s="685"/>
      <c r="AS405" s="685"/>
      <c r="AT405" s="685"/>
      <c r="AU405" s="685"/>
      <c r="AV405" s="685"/>
      <c r="AW405" s="685"/>
      <c r="AX405" s="685"/>
      <c r="AY405" s="685"/>
      <c r="AZ405" s="685"/>
      <c r="BA405" s="685"/>
      <c r="BB405" s="685"/>
      <c r="BC405" s="685"/>
      <c r="BD405" s="685"/>
    </row>
    <row r="406" spans="1:56">
      <c r="A406" s="685"/>
      <c r="B406" s="1115"/>
      <c r="C406" s="1115"/>
      <c r="D406" s="1168"/>
      <c r="E406" s="1168"/>
      <c r="F406" s="1168"/>
      <c r="G406" s="1168"/>
      <c r="H406" s="1168"/>
      <c r="I406" s="1168"/>
      <c r="J406" s="1168"/>
      <c r="K406" s="1168"/>
      <c r="L406" s="1168"/>
      <c r="M406" s="1168"/>
      <c r="N406" s="1168"/>
      <c r="O406" s="1168"/>
      <c r="P406" s="1168"/>
      <c r="Q406" s="1168"/>
      <c r="R406" s="1168"/>
      <c r="S406" s="1168"/>
      <c r="T406" s="1168"/>
      <c r="U406" s="1168"/>
      <c r="V406" s="1168"/>
      <c r="W406" s="1168"/>
      <c r="X406" s="1168"/>
      <c r="Y406" s="1168"/>
      <c r="Z406" s="1168"/>
      <c r="AA406" s="1168"/>
      <c r="AB406" s="1168"/>
      <c r="AC406" s="1168"/>
      <c r="AD406" s="1168"/>
      <c r="AE406" s="1168"/>
      <c r="AF406" s="1168"/>
      <c r="AG406" s="1168"/>
      <c r="AH406" s="1168"/>
      <c r="AI406" s="685"/>
      <c r="AJ406" s="685"/>
      <c r="AK406" s="685"/>
      <c r="AL406" s="685"/>
      <c r="AM406" s="685"/>
      <c r="AN406" s="685"/>
      <c r="AO406" s="685"/>
      <c r="AP406" s="685"/>
      <c r="AQ406" s="685"/>
      <c r="AR406" s="685"/>
      <c r="AS406" s="685"/>
      <c r="AT406" s="685"/>
      <c r="AU406" s="685"/>
      <c r="AV406" s="685"/>
      <c r="AW406" s="685"/>
      <c r="AX406" s="685"/>
      <c r="AY406" s="685"/>
      <c r="AZ406" s="685"/>
      <c r="BA406" s="685"/>
      <c r="BB406" s="685"/>
      <c r="BC406" s="685"/>
      <c r="BD406" s="685"/>
    </row>
    <row r="407" spans="1:56">
      <c r="A407" s="685"/>
      <c r="B407" s="1115" t="s">
        <v>377</v>
      </c>
      <c r="C407" s="1115"/>
      <c r="D407" s="1168"/>
      <c r="E407" s="1168"/>
      <c r="F407" s="1168"/>
      <c r="G407" s="1168"/>
      <c r="H407" s="1168"/>
      <c r="I407" s="1167">
        <v>0</v>
      </c>
      <c r="J407" s="1167">
        <v>0</v>
      </c>
      <c r="K407" s="1167">
        <v>0</v>
      </c>
      <c r="L407" s="1167">
        <v>0</v>
      </c>
      <c r="M407" s="1167">
        <v>0</v>
      </c>
      <c r="N407" s="1167">
        <v>0</v>
      </c>
      <c r="O407" s="1167">
        <v>0</v>
      </c>
      <c r="P407" s="1167">
        <v>1204</v>
      </c>
      <c r="Q407" s="1167">
        <v>1801</v>
      </c>
      <c r="R407" s="1167">
        <v>1817</v>
      </c>
      <c r="S407" s="1167">
        <v>1430</v>
      </c>
      <c r="T407" s="1167">
        <v>988</v>
      </c>
      <c r="U407" s="1167">
        <v>606</v>
      </c>
      <c r="V407" s="1167">
        <v>8200</v>
      </c>
      <c r="W407" s="1167"/>
      <c r="X407" s="1167"/>
      <c r="Y407" s="1167"/>
      <c r="Z407" s="1167"/>
      <c r="AA407" s="1167"/>
      <c r="AB407" s="1167"/>
      <c r="AC407" s="1167"/>
      <c r="AD407" s="1167"/>
      <c r="AE407" s="1167"/>
      <c r="AF407" s="1167"/>
      <c r="AG407" s="1167"/>
      <c r="AH407" s="1167"/>
      <c r="AI407" s="685"/>
      <c r="AJ407" s="795"/>
      <c r="AK407" s="685"/>
      <c r="AL407" s="685"/>
      <c r="AM407" s="685"/>
      <c r="AN407" s="685"/>
      <c r="AO407" s="685"/>
      <c r="AP407" s="685"/>
      <c r="AQ407" s="685"/>
      <c r="AR407" s="685"/>
      <c r="AS407" s="685"/>
      <c r="AT407" s="685"/>
      <c r="AU407" s="685"/>
      <c r="AV407" s="685"/>
      <c r="AW407" s="685"/>
      <c r="AX407" s="685"/>
      <c r="AY407" s="685"/>
      <c r="AZ407" s="685"/>
      <c r="BA407" s="685"/>
      <c r="BB407" s="685"/>
      <c r="BC407" s="685"/>
      <c r="BD407" s="685"/>
    </row>
    <row r="408" spans="1:56">
      <c r="A408" s="685"/>
      <c r="B408" s="1115"/>
      <c r="C408" s="1115"/>
      <c r="D408" s="1115"/>
      <c r="E408" s="1115"/>
      <c r="F408" s="1115"/>
      <c r="G408" s="1115"/>
      <c r="H408" s="1115"/>
      <c r="I408" s="1115"/>
      <c r="J408" s="1115"/>
      <c r="K408" s="1115"/>
      <c r="L408" s="1115"/>
      <c r="M408" s="1115"/>
      <c r="N408" s="1115"/>
      <c r="O408" s="1115"/>
      <c r="P408" s="1115"/>
      <c r="Q408" s="1115"/>
      <c r="R408" s="1115"/>
      <c r="S408" s="1115"/>
      <c r="T408" s="1115"/>
      <c r="U408" s="1115"/>
      <c r="V408" s="1115"/>
      <c r="W408" s="1115"/>
      <c r="X408" s="1115"/>
      <c r="Y408" s="1115"/>
      <c r="Z408" s="1115"/>
      <c r="AA408" s="1115"/>
      <c r="AB408" s="1115"/>
      <c r="AC408" s="1115"/>
      <c r="AD408" s="1115"/>
      <c r="AE408" s="1115"/>
      <c r="AF408" s="1115"/>
      <c r="AG408" s="1115"/>
      <c r="AH408" s="1115"/>
      <c r="AI408" s="685"/>
      <c r="AJ408" s="685"/>
      <c r="AK408" s="685"/>
      <c r="AL408" s="685"/>
      <c r="AM408" s="685"/>
      <c r="AN408" s="685"/>
      <c r="AO408" s="685"/>
      <c r="AP408" s="685"/>
      <c r="AQ408" s="685"/>
      <c r="AR408" s="685"/>
      <c r="AS408" s="685"/>
      <c r="AT408" s="685"/>
      <c r="AU408" s="685"/>
      <c r="AV408" s="685"/>
      <c r="AW408" s="685"/>
      <c r="AX408" s="685"/>
      <c r="AY408" s="685"/>
      <c r="AZ408" s="685"/>
      <c r="BA408" s="685"/>
      <c r="BB408" s="685"/>
      <c r="BC408" s="685"/>
      <c r="BD408" s="685"/>
    </row>
    <row r="409" spans="1:56">
      <c r="A409" s="685"/>
      <c r="B409" s="1115"/>
      <c r="C409" s="1115"/>
      <c r="D409" s="1115"/>
      <c r="E409" s="1115"/>
      <c r="F409" s="1115"/>
      <c r="G409" s="1115"/>
      <c r="H409" s="1115"/>
      <c r="I409" s="1115"/>
      <c r="J409" s="1115"/>
      <c r="K409" s="1115"/>
      <c r="L409" s="1115"/>
      <c r="M409" s="1115"/>
      <c r="N409" s="1115"/>
      <c r="O409" s="1115"/>
      <c r="P409" s="1115"/>
      <c r="Q409" s="1115"/>
      <c r="R409" s="1115"/>
      <c r="S409" s="1115"/>
      <c r="T409" s="1115"/>
      <c r="U409" s="1115"/>
      <c r="V409" s="1115"/>
      <c r="W409" s="1115"/>
      <c r="X409" s="1115"/>
      <c r="Y409" s="1115"/>
      <c r="Z409" s="1115"/>
      <c r="AA409" s="1115"/>
      <c r="AB409" s="1115"/>
      <c r="AC409" s="1115"/>
      <c r="AD409" s="1115"/>
      <c r="AE409" s="1115"/>
      <c r="AF409" s="1115"/>
      <c r="AG409" s="1115"/>
      <c r="AH409" s="1115"/>
      <c r="AI409" s="685"/>
      <c r="AJ409" s="685"/>
      <c r="AK409" s="685"/>
      <c r="AL409" s="685"/>
      <c r="AM409" s="685"/>
      <c r="AN409" s="685"/>
      <c r="AO409" s="685"/>
      <c r="AP409" s="685"/>
      <c r="AQ409" s="685"/>
      <c r="AR409" s="685"/>
      <c r="AS409" s="685"/>
      <c r="AT409" s="685"/>
      <c r="AU409" s="685"/>
      <c r="AV409" s="685"/>
      <c r="AW409" s="685"/>
      <c r="AX409" s="685"/>
      <c r="AY409" s="685"/>
      <c r="AZ409" s="685"/>
      <c r="BA409" s="685"/>
      <c r="BB409" s="685"/>
      <c r="BC409" s="685"/>
      <c r="BD409" s="685"/>
    </row>
    <row r="410" spans="1:56">
      <c r="A410" s="685"/>
      <c r="B410" s="1115"/>
      <c r="C410" s="1115"/>
      <c r="D410" s="1115"/>
      <c r="E410" s="1115"/>
      <c r="F410" s="1115"/>
      <c r="G410" s="1115"/>
      <c r="H410" s="1115"/>
      <c r="I410" s="1115"/>
      <c r="J410" s="1115"/>
      <c r="K410" s="1115"/>
      <c r="L410" s="1115"/>
      <c r="M410" s="1115"/>
      <c r="N410" s="1115"/>
      <c r="O410" s="1115"/>
      <c r="P410" s="1115"/>
      <c r="Q410" s="1115"/>
      <c r="R410" s="1115"/>
      <c r="S410" s="1115"/>
      <c r="T410" s="1115"/>
      <c r="U410" s="1115"/>
      <c r="V410" s="1115"/>
      <c r="W410" s="1115"/>
      <c r="X410" s="1115"/>
      <c r="Y410" s="1115"/>
      <c r="Z410" s="1115"/>
      <c r="AA410" s="1115"/>
      <c r="AB410" s="1115"/>
      <c r="AC410" s="1115"/>
      <c r="AD410" s="1115"/>
      <c r="AE410" s="1115"/>
      <c r="AF410" s="1115"/>
      <c r="AG410" s="1115"/>
      <c r="AH410" s="1115"/>
      <c r="AI410" s="685"/>
      <c r="AJ410" s="685"/>
      <c r="AK410" s="685"/>
      <c r="AL410" s="685"/>
      <c r="AM410" s="685"/>
      <c r="AN410" s="685"/>
      <c r="AO410" s="685"/>
      <c r="AP410" s="685"/>
      <c r="AQ410" s="685"/>
      <c r="AR410" s="685"/>
      <c r="AS410" s="685"/>
      <c r="AT410" s="685"/>
      <c r="AU410" s="685"/>
      <c r="AV410" s="685"/>
      <c r="AW410" s="685"/>
      <c r="AX410" s="685"/>
      <c r="AY410" s="685"/>
      <c r="AZ410" s="685"/>
      <c r="BA410" s="685"/>
      <c r="BB410" s="685"/>
      <c r="BC410" s="685"/>
      <c r="BD410" s="685"/>
    </row>
    <row r="411" spans="1:56">
      <c r="A411" s="685"/>
      <c r="B411" s="1112" t="s">
        <v>378</v>
      </c>
      <c r="C411" s="1112">
        <v>2004</v>
      </c>
      <c r="D411" s="1112">
        <f t="shared" ref="D411:AE411" si="302">C411+1</f>
        <v>2005</v>
      </c>
      <c r="E411" s="1112">
        <f t="shared" si="302"/>
        <v>2006</v>
      </c>
      <c r="F411" s="1112">
        <f t="shared" si="302"/>
        <v>2007</v>
      </c>
      <c r="G411" s="1112">
        <f t="shared" si="302"/>
        <v>2008</v>
      </c>
      <c r="H411" s="1112">
        <f t="shared" si="302"/>
        <v>2009</v>
      </c>
      <c r="I411" s="1112">
        <f t="shared" si="302"/>
        <v>2010</v>
      </c>
      <c r="J411" s="1112">
        <f t="shared" si="302"/>
        <v>2011</v>
      </c>
      <c r="K411" s="1112">
        <f t="shared" si="302"/>
        <v>2012</v>
      </c>
      <c r="L411" s="1112">
        <f t="shared" si="302"/>
        <v>2013</v>
      </c>
      <c r="M411" s="1112">
        <f t="shared" si="302"/>
        <v>2014</v>
      </c>
      <c r="N411" s="1112">
        <f t="shared" si="302"/>
        <v>2015</v>
      </c>
      <c r="O411" s="1112">
        <f t="shared" si="302"/>
        <v>2016</v>
      </c>
      <c r="P411" s="1112">
        <f t="shared" si="302"/>
        <v>2017</v>
      </c>
      <c r="Q411" s="1112">
        <f t="shared" si="302"/>
        <v>2018</v>
      </c>
      <c r="R411" s="1112">
        <f t="shared" si="302"/>
        <v>2019</v>
      </c>
      <c r="S411" s="1112">
        <f t="shared" si="302"/>
        <v>2020</v>
      </c>
      <c r="T411" s="1112">
        <f t="shared" si="302"/>
        <v>2021</v>
      </c>
      <c r="U411" s="1112">
        <f t="shared" si="302"/>
        <v>2022</v>
      </c>
      <c r="V411" s="1112">
        <f t="shared" si="302"/>
        <v>2023</v>
      </c>
      <c r="W411" s="1112">
        <f t="shared" si="302"/>
        <v>2024</v>
      </c>
      <c r="X411" s="1112">
        <f t="shared" si="302"/>
        <v>2025</v>
      </c>
      <c r="Y411" s="1112">
        <f t="shared" si="302"/>
        <v>2026</v>
      </c>
      <c r="Z411" s="1112">
        <f t="shared" si="302"/>
        <v>2027</v>
      </c>
      <c r="AA411" s="1112">
        <f t="shared" si="302"/>
        <v>2028</v>
      </c>
      <c r="AB411" s="1112">
        <f t="shared" si="302"/>
        <v>2029</v>
      </c>
      <c r="AC411" s="1112">
        <f t="shared" si="302"/>
        <v>2030</v>
      </c>
      <c r="AD411" s="1112">
        <f t="shared" si="302"/>
        <v>2031</v>
      </c>
      <c r="AE411" s="1112">
        <f t="shared" si="302"/>
        <v>2032</v>
      </c>
      <c r="AF411" s="1112">
        <f>AE411+1</f>
        <v>2033</v>
      </c>
      <c r="AG411" s="1112">
        <f>AF411+1</f>
        <v>2034</v>
      </c>
      <c r="AH411" s="1112">
        <f>AG411+1</f>
        <v>2035</v>
      </c>
      <c r="AI411" s="685"/>
      <c r="AJ411" s="685"/>
      <c r="AK411" s="685"/>
      <c r="AL411" s="685"/>
      <c r="AM411" s="685"/>
      <c r="AN411" s="685"/>
      <c r="AO411" s="685"/>
      <c r="AP411" s="685"/>
      <c r="AQ411" s="685"/>
      <c r="AR411" s="685"/>
      <c r="AS411" s="685"/>
      <c r="AT411" s="685"/>
      <c r="AU411" s="685"/>
      <c r="AV411" s="685"/>
      <c r="AW411" s="685"/>
      <c r="AX411" s="685"/>
      <c r="AY411" s="685"/>
      <c r="AZ411" s="685"/>
      <c r="BA411" s="685"/>
      <c r="BB411" s="685"/>
      <c r="BC411" s="685"/>
      <c r="BD411" s="685"/>
    </row>
    <row r="412" spans="1:56">
      <c r="A412" s="685"/>
      <c r="B412" s="1115" t="s">
        <v>106</v>
      </c>
      <c r="C412" s="1113"/>
      <c r="D412" s="1113"/>
      <c r="E412" s="1113"/>
      <c r="F412" s="1113"/>
      <c r="G412" s="1113"/>
      <c r="H412" s="1113"/>
      <c r="I412" s="1113"/>
      <c r="J412" s="1113"/>
      <c r="K412" s="1146">
        <f>K413*Iusacell!R97*0.5</f>
        <v>-670.75</v>
      </c>
      <c r="L412" s="1146">
        <f>L413*Iusacell!S97</f>
        <v>-950.5</v>
      </c>
      <c r="M412" s="1160">
        <v>-60</v>
      </c>
      <c r="N412" s="1146"/>
      <c r="O412" s="1146"/>
      <c r="P412" s="1146"/>
      <c r="Q412" s="1146"/>
      <c r="R412" s="1146"/>
      <c r="S412" s="1146"/>
      <c r="T412" s="1146"/>
      <c r="U412" s="1146"/>
      <c r="V412" s="1146"/>
      <c r="W412" s="1146"/>
      <c r="X412" s="1146"/>
      <c r="Y412" s="1146"/>
      <c r="Z412" s="1146"/>
      <c r="AA412" s="1146"/>
      <c r="AB412" s="1146"/>
      <c r="AC412" s="1146"/>
      <c r="AD412" s="1146"/>
      <c r="AE412" s="1146"/>
      <c r="AF412" s="1146"/>
      <c r="AG412" s="1146"/>
      <c r="AH412" s="1146"/>
      <c r="AI412" s="685"/>
      <c r="AJ412" s="685"/>
      <c r="AK412" s="685"/>
      <c r="AL412" s="685"/>
      <c r="AM412" s="685"/>
      <c r="AN412" s="685"/>
      <c r="AO412" s="685"/>
      <c r="AP412" s="685"/>
      <c r="AQ412" s="685"/>
      <c r="AR412" s="685"/>
      <c r="AS412" s="685"/>
      <c r="AT412" s="685"/>
      <c r="AU412" s="685"/>
      <c r="AV412" s="685"/>
      <c r="AW412" s="685"/>
      <c r="AX412" s="685"/>
      <c r="AY412" s="685"/>
      <c r="AZ412" s="685"/>
      <c r="BA412" s="685"/>
      <c r="BB412" s="685"/>
      <c r="BC412" s="685"/>
      <c r="BD412" s="685"/>
    </row>
    <row r="413" spans="1:56">
      <c r="A413" s="685"/>
      <c r="B413" s="1115" t="s">
        <v>379</v>
      </c>
      <c r="C413" s="1113"/>
      <c r="D413" s="1113"/>
      <c r="E413" s="1113"/>
      <c r="F413" s="1113"/>
      <c r="G413" s="1113"/>
      <c r="H413" s="1113"/>
      <c r="I413" s="1113"/>
      <c r="J413" s="1113"/>
      <c r="K413" s="1194">
        <v>0.5</v>
      </c>
      <c r="L413" s="1118">
        <f t="shared" ref="L413:AE413" si="303">K413</f>
        <v>0.5</v>
      </c>
      <c r="M413" s="1118">
        <f t="shared" si="303"/>
        <v>0.5</v>
      </c>
      <c r="N413" s="1118">
        <f t="shared" si="303"/>
        <v>0.5</v>
      </c>
      <c r="O413" s="1118">
        <f t="shared" si="303"/>
        <v>0.5</v>
      </c>
      <c r="P413" s="1118">
        <f t="shared" si="303"/>
        <v>0.5</v>
      </c>
      <c r="Q413" s="1118">
        <f t="shared" si="303"/>
        <v>0.5</v>
      </c>
      <c r="R413" s="1118">
        <f t="shared" si="303"/>
        <v>0.5</v>
      </c>
      <c r="S413" s="1118">
        <f t="shared" si="303"/>
        <v>0.5</v>
      </c>
      <c r="T413" s="1118">
        <f t="shared" si="303"/>
        <v>0.5</v>
      </c>
      <c r="U413" s="1118">
        <f t="shared" si="303"/>
        <v>0.5</v>
      </c>
      <c r="V413" s="1118">
        <f t="shared" si="303"/>
        <v>0.5</v>
      </c>
      <c r="W413" s="1118">
        <f t="shared" si="303"/>
        <v>0.5</v>
      </c>
      <c r="X413" s="1118">
        <f t="shared" si="303"/>
        <v>0.5</v>
      </c>
      <c r="Y413" s="1118">
        <f t="shared" si="303"/>
        <v>0.5</v>
      </c>
      <c r="Z413" s="1118">
        <f t="shared" si="303"/>
        <v>0.5</v>
      </c>
      <c r="AA413" s="1118">
        <f t="shared" si="303"/>
        <v>0.5</v>
      </c>
      <c r="AB413" s="1118">
        <f t="shared" si="303"/>
        <v>0.5</v>
      </c>
      <c r="AC413" s="1118">
        <f t="shared" si="303"/>
        <v>0.5</v>
      </c>
      <c r="AD413" s="1118">
        <f t="shared" si="303"/>
        <v>0.5</v>
      </c>
      <c r="AE413" s="1118">
        <f t="shared" si="303"/>
        <v>0.5</v>
      </c>
      <c r="AF413" s="1118">
        <f>AE413</f>
        <v>0.5</v>
      </c>
      <c r="AG413" s="1118">
        <f>AF413</f>
        <v>0.5</v>
      </c>
      <c r="AH413" s="1118">
        <f>AG413</f>
        <v>0.5</v>
      </c>
      <c r="AI413" s="685"/>
      <c r="AJ413" s="685"/>
      <c r="AK413" s="685"/>
      <c r="AL413" s="685"/>
      <c r="AM413" s="685"/>
      <c r="AN413" s="685"/>
      <c r="AO413" s="685"/>
      <c r="AP413" s="685"/>
      <c r="AQ413" s="685"/>
      <c r="AR413" s="685"/>
      <c r="AS413" s="685"/>
      <c r="AT413" s="685"/>
      <c r="AU413" s="685"/>
      <c r="AV413" s="685"/>
      <c r="AW413" s="685"/>
      <c r="AX413" s="685"/>
      <c r="AY413" s="685"/>
      <c r="AZ413" s="685"/>
      <c r="BA413" s="685"/>
      <c r="BB413" s="685"/>
      <c r="BC413" s="685"/>
      <c r="BD413" s="685"/>
    </row>
    <row r="414" spans="1:56">
      <c r="A414" s="685"/>
      <c r="B414" s="1113"/>
      <c r="C414" s="1113"/>
      <c r="D414" s="1113"/>
      <c r="E414" s="1113"/>
      <c r="F414" s="1113"/>
      <c r="G414" s="1113"/>
      <c r="H414" s="1113"/>
      <c r="I414" s="1113"/>
      <c r="J414" s="1113"/>
      <c r="K414" s="1113"/>
      <c r="L414" s="1113"/>
      <c r="M414" s="1113"/>
      <c r="N414" s="1113"/>
      <c r="O414" s="1113"/>
      <c r="P414" s="1113"/>
      <c r="Q414" s="1113"/>
      <c r="R414" s="1113"/>
      <c r="S414" s="1113"/>
      <c r="T414" s="1113"/>
      <c r="U414" s="1113"/>
      <c r="V414" s="1113"/>
      <c r="W414" s="1113"/>
      <c r="X414" s="1113"/>
      <c r="Y414" s="1113"/>
      <c r="Z414" s="1113"/>
      <c r="AA414" s="1113"/>
      <c r="AB414" s="1113"/>
      <c r="AC414" s="1113"/>
      <c r="AD414" s="1113"/>
      <c r="AE414" s="1113"/>
      <c r="AF414" s="1113"/>
      <c r="AG414" s="1113"/>
      <c r="AH414" s="1113"/>
      <c r="AI414" s="685"/>
      <c r="AJ414" s="685"/>
      <c r="AK414" s="685"/>
      <c r="AL414" s="685"/>
      <c r="AM414" s="685"/>
      <c r="AN414" s="685"/>
      <c r="AO414" s="685"/>
      <c r="AP414" s="685"/>
      <c r="AQ414" s="685"/>
      <c r="AR414" s="685"/>
      <c r="AS414" s="685"/>
      <c r="AT414" s="685"/>
      <c r="AU414" s="685"/>
      <c r="AV414" s="685"/>
      <c r="AW414" s="685"/>
      <c r="AX414" s="685"/>
      <c r="AY414" s="685"/>
      <c r="AZ414" s="685"/>
      <c r="BA414" s="685"/>
      <c r="BB414" s="685"/>
      <c r="BC414" s="685"/>
      <c r="BD414" s="685"/>
    </row>
    <row r="415" spans="1:56">
      <c r="A415" s="685"/>
      <c r="B415" s="1115" t="s">
        <v>380</v>
      </c>
      <c r="C415" s="1113"/>
      <c r="D415" s="1113"/>
      <c r="E415" s="1113"/>
      <c r="F415" s="1113"/>
      <c r="G415" s="1113"/>
      <c r="H415" s="1167">
        <v>0</v>
      </c>
      <c r="I415" s="1167">
        <v>1614</v>
      </c>
      <c r="J415" s="1167">
        <v>2443</v>
      </c>
      <c r="K415" s="1113"/>
      <c r="L415" s="1113"/>
      <c r="M415" s="1113"/>
      <c r="N415" s="1113"/>
      <c r="O415" s="1113"/>
      <c r="P415" s="1113"/>
      <c r="Q415" s="1113"/>
      <c r="R415" s="1113"/>
      <c r="S415" s="1113"/>
      <c r="T415" s="1113"/>
      <c r="U415" s="1113"/>
      <c r="V415" s="1113"/>
      <c r="W415" s="1113"/>
      <c r="X415" s="1113"/>
      <c r="Y415" s="1113"/>
      <c r="Z415" s="1113"/>
      <c r="AA415" s="1113"/>
      <c r="AB415" s="1113"/>
      <c r="AC415" s="1113"/>
      <c r="AD415" s="1113"/>
      <c r="AE415" s="1113"/>
      <c r="AF415" s="1113"/>
      <c r="AG415" s="1113"/>
      <c r="AH415" s="1113"/>
      <c r="AI415" s="685"/>
      <c r="AJ415" s="685"/>
      <c r="AK415" s="685"/>
      <c r="AL415" s="685"/>
      <c r="AM415" s="685"/>
      <c r="AN415" s="685"/>
      <c r="AO415" s="685"/>
      <c r="AP415" s="685"/>
      <c r="AQ415" s="685"/>
      <c r="AR415" s="685"/>
      <c r="AS415" s="685"/>
      <c r="AT415" s="685"/>
      <c r="AU415" s="685"/>
      <c r="AV415" s="685"/>
      <c r="AW415" s="685"/>
      <c r="AX415" s="685"/>
      <c r="AY415" s="685"/>
      <c r="AZ415" s="685"/>
      <c r="BA415" s="685"/>
      <c r="BB415" s="685"/>
      <c r="BC415" s="685"/>
      <c r="BD415" s="685"/>
    </row>
    <row r="416" spans="1:56">
      <c r="A416" s="685"/>
      <c r="B416" s="1115" t="s">
        <v>379</v>
      </c>
      <c r="C416" s="1113"/>
      <c r="D416" s="1113"/>
      <c r="E416" s="1113"/>
      <c r="F416" s="1113"/>
      <c r="G416" s="1113"/>
      <c r="H416" s="1194">
        <v>0</v>
      </c>
      <c r="I416" s="1194">
        <v>7.0999999999999994E-2</v>
      </c>
      <c r="J416" s="1194">
        <v>7.0999999999999994E-2</v>
      </c>
      <c r="K416" s="1194">
        <v>7.0999999999999994E-2</v>
      </c>
      <c r="L416" s="1194">
        <v>7.0999999999999994E-2</v>
      </c>
      <c r="M416" s="1194">
        <v>7.0999999999999994E-2</v>
      </c>
      <c r="N416" s="1194">
        <v>7.0999999999999994E-2</v>
      </c>
      <c r="O416" s="1194">
        <v>7.0999999999999994E-2</v>
      </c>
      <c r="P416" s="1194">
        <v>7.0999999999999994E-2</v>
      </c>
      <c r="Q416" s="1194">
        <v>7.0999999999999994E-2</v>
      </c>
      <c r="R416" s="1194">
        <v>7.0999999999999994E-2</v>
      </c>
      <c r="S416" s="1194">
        <v>7.0999999999999994E-2</v>
      </c>
      <c r="T416" s="1194">
        <v>7.0999999999999994E-2</v>
      </c>
      <c r="U416" s="1194">
        <v>7.0999999999999994E-2</v>
      </c>
      <c r="V416" s="1194">
        <v>7.0999999999999994E-2</v>
      </c>
      <c r="W416" s="1194">
        <v>7.0999999999999994E-2</v>
      </c>
      <c r="X416" s="1194">
        <v>7.0999999999999994E-2</v>
      </c>
      <c r="Y416" s="1194">
        <v>7.0999999999999994E-2</v>
      </c>
      <c r="Z416" s="1194">
        <v>7.0999999999999994E-2</v>
      </c>
      <c r="AA416" s="1194">
        <v>7.0999999999999994E-2</v>
      </c>
      <c r="AB416" s="1194">
        <v>7.0999999999999994E-2</v>
      </c>
      <c r="AC416" s="1194">
        <v>7.0999999999999994E-2</v>
      </c>
      <c r="AD416" s="1194">
        <v>7.0999999999999994E-2</v>
      </c>
      <c r="AE416" s="1194">
        <v>7.0999999999999994E-2</v>
      </c>
      <c r="AF416" s="1194">
        <v>7.0999999999999994E-2</v>
      </c>
      <c r="AG416" s="1194">
        <v>7.0999999999999994E-2</v>
      </c>
      <c r="AH416" s="1194">
        <v>7.0999999999999994E-2</v>
      </c>
      <c r="AI416" s="685"/>
      <c r="AJ416" s="685"/>
      <c r="AK416" s="685"/>
      <c r="AL416" s="685"/>
      <c r="AM416" s="685"/>
      <c r="AN416" s="685"/>
      <c r="AO416" s="685"/>
      <c r="AP416" s="685"/>
      <c r="AQ416" s="685"/>
      <c r="AR416" s="685"/>
      <c r="AS416" s="685"/>
      <c r="AT416" s="685"/>
      <c r="AU416" s="685"/>
      <c r="AV416" s="685"/>
      <c r="AW416" s="685"/>
      <c r="AX416" s="685"/>
      <c r="AY416" s="685"/>
      <c r="AZ416" s="685"/>
      <c r="BA416" s="685"/>
      <c r="BB416" s="685"/>
      <c r="BC416" s="685"/>
      <c r="BD416" s="685"/>
    </row>
    <row r="417" spans="1:56">
      <c r="A417" s="685"/>
      <c r="B417" s="1115"/>
      <c r="C417" s="1113"/>
      <c r="D417" s="1113"/>
      <c r="E417" s="1113"/>
      <c r="F417" s="1113"/>
      <c r="G417" s="1113"/>
      <c r="H417" s="1113"/>
      <c r="I417" s="1113"/>
      <c r="J417" s="1113"/>
      <c r="K417" s="1113"/>
      <c r="L417" s="1113"/>
      <c r="M417" s="1113"/>
      <c r="N417" s="1113"/>
      <c r="O417" s="1113"/>
      <c r="P417" s="1113"/>
      <c r="Q417" s="1113"/>
      <c r="R417" s="1113"/>
      <c r="S417" s="1113"/>
      <c r="T417" s="1113"/>
      <c r="U417" s="1113"/>
      <c r="V417" s="1113"/>
      <c r="W417" s="1113"/>
      <c r="X417" s="1113"/>
      <c r="Y417" s="1113"/>
      <c r="Z417" s="1113"/>
      <c r="AA417" s="1113"/>
      <c r="AB417" s="1113"/>
      <c r="AC417" s="1113"/>
      <c r="AD417" s="1113"/>
      <c r="AE417" s="1113"/>
      <c r="AF417" s="1113"/>
      <c r="AG417" s="1113"/>
      <c r="AH417" s="1113"/>
      <c r="AI417" s="685"/>
      <c r="AJ417" s="685"/>
      <c r="AK417" s="685"/>
      <c r="AL417" s="685"/>
      <c r="AM417" s="685"/>
      <c r="AN417" s="685"/>
      <c r="AO417" s="685"/>
      <c r="AP417" s="685"/>
      <c r="AQ417" s="685"/>
      <c r="AR417" s="685"/>
      <c r="AS417" s="685"/>
      <c r="AT417" s="685"/>
      <c r="AU417" s="685"/>
      <c r="AV417" s="685"/>
      <c r="AW417" s="685"/>
      <c r="AX417" s="685"/>
      <c r="AY417" s="685"/>
      <c r="AZ417" s="685"/>
      <c r="BA417" s="685"/>
      <c r="BB417" s="685"/>
      <c r="BC417" s="685"/>
      <c r="BD417" s="685"/>
    </row>
    <row r="418" spans="1:56">
      <c r="A418" s="685"/>
      <c r="B418" s="1115" t="s">
        <v>381</v>
      </c>
      <c r="C418" s="1113"/>
      <c r="D418" s="1113"/>
      <c r="E418" s="1113"/>
      <c r="F418" s="1113"/>
      <c r="G418" s="1113"/>
      <c r="H418" s="1167">
        <v>0</v>
      </c>
      <c r="I418" s="1167">
        <v>723</v>
      </c>
      <c r="J418" s="1167">
        <v>130</v>
      </c>
      <c r="K418" s="1113"/>
      <c r="L418" s="1113"/>
      <c r="M418" s="1113"/>
      <c r="N418" s="1113"/>
      <c r="O418" s="1113"/>
      <c r="P418" s="1113"/>
      <c r="Q418" s="1113"/>
      <c r="R418" s="1113"/>
      <c r="S418" s="1113"/>
      <c r="T418" s="1113"/>
      <c r="U418" s="1113"/>
      <c r="V418" s="1113"/>
      <c r="W418" s="1113"/>
      <c r="X418" s="1113"/>
      <c r="Y418" s="1113"/>
      <c r="Z418" s="1113"/>
      <c r="AA418" s="1113"/>
      <c r="AB418" s="1113"/>
      <c r="AC418" s="1113"/>
      <c r="AD418" s="1113"/>
      <c r="AE418" s="1113"/>
      <c r="AF418" s="1113"/>
      <c r="AG418" s="1113"/>
      <c r="AH418" s="1113"/>
      <c r="AI418" s="685"/>
      <c r="AJ418" s="685"/>
      <c r="AK418" s="685"/>
      <c r="AL418" s="685"/>
      <c r="AM418" s="685"/>
      <c r="AN418" s="685"/>
      <c r="AO418" s="685"/>
      <c r="AP418" s="685"/>
      <c r="AQ418" s="685"/>
      <c r="AR418" s="685"/>
      <c r="AS418" s="685"/>
      <c r="AT418" s="685"/>
      <c r="AU418" s="685"/>
      <c r="AV418" s="685"/>
      <c r="AW418" s="685"/>
      <c r="AX418" s="685"/>
      <c r="AY418" s="685"/>
      <c r="AZ418" s="685"/>
      <c r="BA418" s="685"/>
      <c r="BB418" s="685"/>
      <c r="BC418" s="685"/>
      <c r="BD418" s="685"/>
    </row>
    <row r="419" spans="1:56">
      <c r="A419" s="685"/>
      <c r="B419" s="1115" t="s">
        <v>379</v>
      </c>
      <c r="C419" s="1113"/>
      <c r="D419" s="1113"/>
      <c r="E419" s="1113"/>
      <c r="F419" s="1113"/>
      <c r="G419" s="1113"/>
      <c r="H419" s="1194"/>
      <c r="I419" s="1194">
        <v>0.40500000000000003</v>
      </c>
      <c r="J419" s="1194">
        <v>0.40500000000000003</v>
      </c>
      <c r="K419" s="1194">
        <v>0</v>
      </c>
      <c r="L419" s="1194">
        <v>0</v>
      </c>
      <c r="M419" s="1194">
        <v>0</v>
      </c>
      <c r="N419" s="1194">
        <v>0</v>
      </c>
      <c r="O419" s="1194">
        <v>0</v>
      </c>
      <c r="P419" s="1194">
        <v>0</v>
      </c>
      <c r="Q419" s="1194">
        <v>0</v>
      </c>
      <c r="R419" s="1194">
        <v>0</v>
      </c>
      <c r="S419" s="1194">
        <v>0</v>
      </c>
      <c r="T419" s="1194">
        <v>0</v>
      </c>
      <c r="U419" s="1194">
        <v>0</v>
      </c>
      <c r="V419" s="1194">
        <v>0</v>
      </c>
      <c r="W419" s="1194">
        <v>0</v>
      </c>
      <c r="X419" s="1194">
        <v>0</v>
      </c>
      <c r="Y419" s="1194">
        <v>0</v>
      </c>
      <c r="Z419" s="1194">
        <v>0</v>
      </c>
      <c r="AA419" s="1194">
        <v>0</v>
      </c>
      <c r="AB419" s="1194">
        <v>0</v>
      </c>
      <c r="AC419" s="1194">
        <v>0</v>
      </c>
      <c r="AD419" s="1194">
        <v>0</v>
      </c>
      <c r="AE419" s="1194">
        <v>0</v>
      </c>
      <c r="AF419" s="1194">
        <v>0</v>
      </c>
      <c r="AG419" s="1194">
        <v>0</v>
      </c>
      <c r="AH419" s="1194">
        <v>0</v>
      </c>
      <c r="AI419" s="685"/>
      <c r="AJ419" s="685"/>
      <c r="AK419" s="685"/>
      <c r="AL419" s="685"/>
      <c r="AM419" s="685"/>
      <c r="AN419" s="685"/>
      <c r="AO419" s="685"/>
      <c r="AP419" s="685"/>
      <c r="AQ419" s="685"/>
      <c r="AR419" s="685"/>
      <c r="AS419" s="685"/>
      <c r="AT419" s="685"/>
      <c r="AU419" s="685"/>
      <c r="AV419" s="685"/>
      <c r="AW419" s="685"/>
      <c r="AX419" s="685"/>
      <c r="AY419" s="685"/>
      <c r="AZ419" s="685"/>
      <c r="BA419" s="685"/>
      <c r="BB419" s="685"/>
      <c r="BC419" s="685"/>
      <c r="BD419" s="685"/>
    </row>
    <row r="420" spans="1:56">
      <c r="A420" s="685"/>
      <c r="B420" s="1115"/>
      <c r="C420" s="1113"/>
      <c r="D420" s="1113"/>
      <c r="E420" s="1113"/>
      <c r="F420" s="1113"/>
      <c r="G420" s="1113"/>
      <c r="H420" s="1113"/>
      <c r="I420" s="1113"/>
      <c r="J420" s="1113"/>
      <c r="K420" s="1113"/>
      <c r="L420" s="1113"/>
      <c r="M420" s="1113"/>
      <c r="N420" s="1113"/>
      <c r="O420" s="1113"/>
      <c r="P420" s="1113"/>
      <c r="Q420" s="1113"/>
      <c r="R420" s="1113"/>
      <c r="S420" s="1113"/>
      <c r="T420" s="1113"/>
      <c r="U420" s="1113"/>
      <c r="V420" s="1113"/>
      <c r="W420" s="1113"/>
      <c r="X420" s="1113"/>
      <c r="Y420" s="1113"/>
      <c r="Z420" s="1113"/>
      <c r="AA420" s="1113"/>
      <c r="AB420" s="1113"/>
      <c r="AC420" s="1113"/>
      <c r="AD420" s="1113"/>
      <c r="AE420" s="1113"/>
      <c r="AF420" s="1113"/>
      <c r="AG420" s="1113"/>
      <c r="AH420" s="1113"/>
      <c r="AI420" s="685"/>
      <c r="AJ420" s="685"/>
      <c r="AK420" s="685"/>
      <c r="AL420" s="685"/>
      <c r="AM420" s="685"/>
      <c r="AN420" s="685"/>
      <c r="AO420" s="685"/>
      <c r="AP420" s="685"/>
      <c r="AQ420" s="685"/>
      <c r="AR420" s="685"/>
      <c r="AS420" s="685"/>
      <c r="AT420" s="685"/>
      <c r="AU420" s="685"/>
      <c r="AV420" s="685"/>
      <c r="AW420" s="685"/>
      <c r="AX420" s="685"/>
      <c r="AY420" s="685"/>
      <c r="AZ420" s="685"/>
      <c r="BA420" s="685"/>
      <c r="BB420" s="685"/>
      <c r="BC420" s="685"/>
      <c r="BD420" s="685"/>
    </row>
    <row r="421" spans="1:56">
      <c r="A421" s="685"/>
      <c r="B421" s="1115" t="s">
        <v>382</v>
      </c>
      <c r="C421" s="1113"/>
      <c r="D421" s="1113"/>
      <c r="E421" s="1113"/>
      <c r="F421" s="1113"/>
      <c r="G421" s="1113"/>
      <c r="H421" s="1167"/>
      <c r="I421" s="1167"/>
      <c r="J421" s="1167"/>
      <c r="K421" s="685"/>
      <c r="L421" s="685"/>
      <c r="M421" s="685"/>
      <c r="N421" s="685"/>
      <c r="O421" s="685"/>
      <c r="P421" s="685"/>
      <c r="Q421" s="685"/>
      <c r="R421" s="685"/>
      <c r="S421" s="685"/>
      <c r="T421" s="685"/>
      <c r="U421" s="685"/>
      <c r="V421" s="685"/>
      <c r="W421" s="685"/>
      <c r="X421" s="685"/>
      <c r="Y421" s="685"/>
      <c r="Z421" s="685"/>
      <c r="AA421" s="685"/>
      <c r="AB421" s="685"/>
      <c r="AC421" s="685"/>
      <c r="AD421" s="685"/>
      <c r="AE421" s="685"/>
      <c r="AF421" s="685"/>
      <c r="AG421" s="685"/>
      <c r="AH421" s="685"/>
      <c r="AI421" s="685"/>
      <c r="AJ421" s="685"/>
      <c r="AK421" s="685"/>
      <c r="AL421" s="685"/>
      <c r="AM421" s="685"/>
      <c r="AN421" s="685"/>
      <c r="AO421" s="685"/>
      <c r="AP421" s="685"/>
      <c r="AQ421" s="685"/>
      <c r="AR421" s="685"/>
      <c r="AS421" s="685"/>
      <c r="AT421" s="685"/>
      <c r="AU421" s="685"/>
      <c r="AV421" s="685"/>
      <c r="AW421" s="685"/>
      <c r="AX421" s="685"/>
      <c r="AY421" s="685"/>
      <c r="AZ421" s="685"/>
      <c r="BA421" s="685"/>
      <c r="BB421" s="685"/>
      <c r="BC421" s="685"/>
      <c r="BD421" s="685"/>
    </row>
    <row r="422" spans="1:56">
      <c r="A422" s="685"/>
      <c r="B422" s="1115" t="s">
        <v>379</v>
      </c>
      <c r="C422" s="1113"/>
      <c r="D422" s="1113"/>
      <c r="E422" s="1113"/>
      <c r="F422" s="1113"/>
      <c r="G422" s="1113"/>
      <c r="H422" s="1194"/>
      <c r="I422" s="1194">
        <v>0</v>
      </c>
      <c r="J422" s="1194">
        <v>0</v>
      </c>
      <c r="K422" s="1194">
        <v>0.14000000000000001</v>
      </c>
      <c r="L422" s="1194">
        <v>0.14000000000000001</v>
      </c>
      <c r="M422" s="1194">
        <v>0.14000000000000001</v>
      </c>
      <c r="N422" s="1194">
        <v>0.14000000000000001</v>
      </c>
      <c r="O422" s="1194">
        <v>0.14000000000000001</v>
      </c>
      <c r="P422" s="1194">
        <v>0.14000000000000001</v>
      </c>
      <c r="Q422" s="1194">
        <v>0.14000000000000001</v>
      </c>
      <c r="R422" s="1194">
        <v>0.14000000000000001</v>
      </c>
      <c r="S422" s="1194">
        <v>0.14000000000000001</v>
      </c>
      <c r="T422" s="1194">
        <v>0.14000000000000001</v>
      </c>
      <c r="U422" s="1194">
        <v>0.14000000000000001</v>
      </c>
      <c r="V422" s="1194">
        <v>0.14000000000000001</v>
      </c>
      <c r="W422" s="1194">
        <v>0.14000000000000001</v>
      </c>
      <c r="X422" s="1194">
        <v>0.14000000000000001</v>
      </c>
      <c r="Y422" s="1194">
        <v>0.14000000000000001</v>
      </c>
      <c r="Z422" s="1194">
        <v>0.14000000000000001</v>
      </c>
      <c r="AA422" s="1194">
        <v>0.14000000000000001</v>
      </c>
      <c r="AB422" s="1194">
        <v>0.14000000000000001</v>
      </c>
      <c r="AC422" s="1194">
        <v>0.14000000000000001</v>
      </c>
      <c r="AD422" s="1194">
        <v>0.14000000000000001</v>
      </c>
      <c r="AE422" s="1194">
        <v>0.14000000000000001</v>
      </c>
      <c r="AF422" s="1194">
        <v>0.14000000000000001</v>
      </c>
      <c r="AG422" s="1194">
        <v>0.14000000000000001</v>
      </c>
      <c r="AH422" s="1194">
        <v>0.14000000000000001</v>
      </c>
      <c r="AI422" s="685"/>
      <c r="AJ422" s="685"/>
      <c r="AK422" s="685"/>
      <c r="AL422" s="685"/>
      <c r="AM422" s="685"/>
      <c r="AN422" s="685"/>
      <c r="AO422" s="685"/>
      <c r="AP422" s="685"/>
      <c r="AQ422" s="685"/>
      <c r="AR422" s="685"/>
      <c r="AS422" s="685"/>
      <c r="AT422" s="685"/>
      <c r="AU422" s="685"/>
      <c r="AV422" s="685"/>
      <c r="AW422" s="685"/>
      <c r="AX422" s="685"/>
      <c r="AY422" s="685"/>
      <c r="AZ422" s="685"/>
      <c r="BA422" s="685"/>
      <c r="BB422" s="685"/>
      <c r="BC422" s="685"/>
      <c r="BD422" s="685"/>
    </row>
    <row r="423" spans="1:56">
      <c r="A423" s="685"/>
      <c r="B423" s="1115"/>
      <c r="C423" s="1113"/>
      <c r="D423" s="1113"/>
      <c r="E423" s="1113"/>
      <c r="F423" s="1113"/>
      <c r="G423" s="1113"/>
      <c r="H423" s="1113"/>
      <c r="I423" s="1113"/>
      <c r="J423" s="1113"/>
      <c r="K423" s="1113"/>
      <c r="L423" s="1113"/>
      <c r="M423" s="1113"/>
      <c r="N423" s="1113"/>
      <c r="O423" s="1113"/>
      <c r="P423" s="1113"/>
      <c r="Q423" s="1113"/>
      <c r="R423" s="1113"/>
      <c r="S423" s="1113"/>
      <c r="T423" s="1113"/>
      <c r="U423" s="1113"/>
      <c r="V423" s="1113"/>
      <c r="W423" s="1113"/>
      <c r="X423" s="1113"/>
      <c r="Y423" s="1113"/>
      <c r="Z423" s="1113"/>
      <c r="AA423" s="1113"/>
      <c r="AB423" s="1113"/>
      <c r="AC423" s="1113"/>
      <c r="AD423" s="1113"/>
      <c r="AE423" s="1113"/>
      <c r="AF423" s="1113"/>
      <c r="AG423" s="1113"/>
      <c r="AH423" s="1113"/>
      <c r="AI423" s="685"/>
      <c r="AJ423" s="685"/>
      <c r="AK423" s="685"/>
      <c r="AL423" s="685"/>
      <c r="AM423" s="685"/>
      <c r="AN423" s="685"/>
      <c r="AO423" s="685"/>
      <c r="AP423" s="685"/>
      <c r="AQ423" s="685"/>
      <c r="AR423" s="685"/>
      <c r="AS423" s="685"/>
      <c r="AT423" s="685"/>
      <c r="AU423" s="685"/>
      <c r="AV423" s="685"/>
      <c r="AW423" s="685"/>
      <c r="AX423" s="685"/>
      <c r="AY423" s="685"/>
      <c r="AZ423" s="685"/>
      <c r="BA423" s="685"/>
      <c r="BB423" s="685"/>
      <c r="BC423" s="685"/>
      <c r="BD423" s="685"/>
    </row>
    <row r="424" spans="1:56">
      <c r="A424" s="685"/>
      <c r="B424" s="1115" t="s">
        <v>83</v>
      </c>
      <c r="C424" s="1113"/>
      <c r="D424" s="1113"/>
      <c r="E424" s="1113"/>
      <c r="F424" s="1113"/>
      <c r="G424" s="1113"/>
      <c r="H424" s="1167">
        <v>0</v>
      </c>
      <c r="I424" s="1167">
        <v>35</v>
      </c>
      <c r="J424" s="1167">
        <v>0</v>
      </c>
      <c r="K424" s="1113"/>
      <c r="L424" s="1113"/>
      <c r="M424" s="1113"/>
      <c r="N424" s="1113"/>
      <c r="O424" s="1113"/>
      <c r="P424" s="1113"/>
      <c r="Q424" s="1113"/>
      <c r="R424" s="1113"/>
      <c r="S424" s="1113"/>
      <c r="T424" s="1113"/>
      <c r="U424" s="1113"/>
      <c r="V424" s="1113"/>
      <c r="W424" s="1113"/>
      <c r="X424" s="1113"/>
      <c r="Y424" s="1113"/>
      <c r="Z424" s="1113"/>
      <c r="AA424" s="1113"/>
      <c r="AB424" s="1113"/>
      <c r="AC424" s="1113"/>
      <c r="AD424" s="1113"/>
      <c r="AE424" s="1113"/>
      <c r="AF424" s="1113"/>
      <c r="AG424" s="1113"/>
      <c r="AH424" s="1113"/>
      <c r="AI424" s="685"/>
      <c r="AJ424" s="685"/>
      <c r="AK424" s="685"/>
      <c r="AL424" s="685"/>
      <c r="AM424" s="685"/>
      <c r="AN424" s="685"/>
      <c r="AO424" s="685"/>
      <c r="AP424" s="685"/>
      <c r="AQ424" s="685"/>
      <c r="AR424" s="685"/>
      <c r="AS424" s="685"/>
      <c r="AT424" s="685"/>
      <c r="AU424" s="685"/>
      <c r="AV424" s="685"/>
      <c r="AW424" s="685"/>
      <c r="AX424" s="685"/>
      <c r="AY424" s="685"/>
      <c r="AZ424" s="685"/>
      <c r="BA424" s="685"/>
      <c r="BB424" s="685"/>
      <c r="BC424" s="685"/>
      <c r="BD424" s="685"/>
    </row>
    <row r="425" spans="1:56">
      <c r="A425" s="685"/>
      <c r="B425" s="1115" t="s">
        <v>379</v>
      </c>
      <c r="C425" s="1113"/>
      <c r="D425" s="1113"/>
      <c r="E425" s="1113"/>
      <c r="F425" s="1113"/>
      <c r="G425" s="1113"/>
      <c r="H425" s="1194"/>
      <c r="I425" s="1194">
        <v>0.33300000000000002</v>
      </c>
      <c r="J425" s="1194">
        <v>0.33300000000000002</v>
      </c>
      <c r="K425" s="1194">
        <v>0.33300000000000002</v>
      </c>
      <c r="L425" s="1194">
        <v>0.33300000000000002</v>
      </c>
      <c r="M425" s="1194">
        <v>0.33300000000000002</v>
      </c>
      <c r="N425" s="1194">
        <v>0.33300000000000002</v>
      </c>
      <c r="O425" s="1194">
        <v>0.33300000000000002</v>
      </c>
      <c r="P425" s="1194">
        <v>0.33300000000000002</v>
      </c>
      <c r="Q425" s="1194">
        <v>0.33300000000000002</v>
      </c>
      <c r="R425" s="1194">
        <v>0.33300000000000002</v>
      </c>
      <c r="S425" s="1194">
        <v>0.33300000000000002</v>
      </c>
      <c r="T425" s="1194">
        <v>0.33300000000000002</v>
      </c>
      <c r="U425" s="1194">
        <v>0.33300000000000002</v>
      </c>
      <c r="V425" s="1194">
        <v>0.33300000000000002</v>
      </c>
      <c r="W425" s="1194">
        <v>0.33300000000000002</v>
      </c>
      <c r="X425" s="1194">
        <v>0.33300000000000002</v>
      </c>
      <c r="Y425" s="1194">
        <v>0.33300000000000002</v>
      </c>
      <c r="Z425" s="1194">
        <v>0.33300000000000002</v>
      </c>
      <c r="AA425" s="1194">
        <v>0.33300000000000002</v>
      </c>
      <c r="AB425" s="1194">
        <v>0.33300000000000002</v>
      </c>
      <c r="AC425" s="1194">
        <v>0.33300000000000002</v>
      </c>
      <c r="AD425" s="1194">
        <v>0.33300000000000002</v>
      </c>
      <c r="AE425" s="1194">
        <v>0.33300000000000002</v>
      </c>
      <c r="AF425" s="1194">
        <v>0.33300000000000002</v>
      </c>
      <c r="AG425" s="1194">
        <v>0.33300000000000002</v>
      </c>
      <c r="AH425" s="1194">
        <v>0.33300000000000002</v>
      </c>
      <c r="AI425" s="685"/>
      <c r="AJ425" s="685"/>
      <c r="AK425" s="685"/>
      <c r="AL425" s="685"/>
      <c r="AM425" s="685"/>
      <c r="AN425" s="685"/>
      <c r="AO425" s="685"/>
      <c r="AP425" s="685"/>
      <c r="AQ425" s="685"/>
      <c r="AR425" s="685"/>
      <c r="AS425" s="685"/>
      <c r="AT425" s="685"/>
      <c r="AU425" s="685"/>
      <c r="AV425" s="685"/>
      <c r="AW425" s="685"/>
      <c r="AX425" s="685"/>
      <c r="AY425" s="685"/>
      <c r="AZ425" s="685"/>
      <c r="BA425" s="685"/>
      <c r="BB425" s="685"/>
      <c r="BC425" s="685"/>
      <c r="BD425" s="685"/>
    </row>
    <row r="426" spans="1:56">
      <c r="A426" s="685"/>
      <c r="B426" s="1115"/>
      <c r="C426" s="1113"/>
      <c r="D426" s="1113"/>
      <c r="E426" s="1113"/>
      <c r="F426" s="1113"/>
      <c r="G426" s="1113"/>
      <c r="H426" s="1113"/>
      <c r="I426" s="1113"/>
      <c r="J426" s="1113"/>
      <c r="K426" s="1113"/>
      <c r="L426" s="1113"/>
      <c r="M426" s="1113"/>
      <c r="N426" s="1113"/>
      <c r="O426" s="1113"/>
      <c r="P426" s="1113"/>
      <c r="Q426" s="1113"/>
      <c r="R426" s="1113"/>
      <c r="S426" s="1113"/>
      <c r="T426" s="1113"/>
      <c r="U426" s="1113"/>
      <c r="V426" s="1113"/>
      <c r="W426" s="1113"/>
      <c r="X426" s="1113"/>
      <c r="Y426" s="1113"/>
      <c r="Z426" s="1113"/>
      <c r="AA426" s="1113"/>
      <c r="AB426" s="1113"/>
      <c r="AC426" s="1113"/>
      <c r="AD426" s="1113"/>
      <c r="AE426" s="1113"/>
      <c r="AF426" s="1113"/>
      <c r="AG426" s="1113"/>
      <c r="AH426" s="1113"/>
      <c r="AI426" s="685"/>
      <c r="AJ426" s="685"/>
      <c r="AK426" s="685"/>
      <c r="AL426" s="685"/>
      <c r="AM426" s="685"/>
      <c r="AN426" s="685"/>
      <c r="AO426" s="685"/>
      <c r="AP426" s="685"/>
      <c r="AQ426" s="685"/>
      <c r="AR426" s="685"/>
      <c r="AS426" s="685"/>
      <c r="AT426" s="685"/>
      <c r="AU426" s="685"/>
      <c r="AV426" s="685"/>
      <c r="AW426" s="685"/>
      <c r="AX426" s="685"/>
      <c r="AY426" s="685"/>
      <c r="AZ426" s="685"/>
      <c r="BA426" s="685"/>
      <c r="BB426" s="685"/>
      <c r="BC426" s="685"/>
      <c r="BD426" s="685"/>
    </row>
    <row r="427" spans="1:56">
      <c r="A427" s="685"/>
      <c r="B427" s="1115" t="s">
        <v>383</v>
      </c>
      <c r="C427" s="1113"/>
      <c r="D427" s="1113"/>
      <c r="E427" s="1113"/>
      <c r="F427" s="1113"/>
      <c r="G427" s="1113"/>
      <c r="H427" s="1167">
        <v>0</v>
      </c>
      <c r="I427" s="1167">
        <v>820</v>
      </c>
      <c r="J427" s="1167">
        <v>810</v>
      </c>
      <c r="K427" s="1113"/>
      <c r="L427" s="1113"/>
      <c r="M427" s="1113"/>
      <c r="N427" s="1113"/>
      <c r="O427" s="1113"/>
      <c r="P427" s="1113"/>
      <c r="Q427" s="1113"/>
      <c r="R427" s="1113"/>
      <c r="S427" s="1113"/>
      <c r="T427" s="1113"/>
      <c r="U427" s="1113"/>
      <c r="V427" s="1113"/>
      <c r="W427" s="1113"/>
      <c r="X427" s="1113"/>
      <c r="Y427" s="1113"/>
      <c r="Z427" s="1113"/>
      <c r="AA427" s="1113"/>
      <c r="AB427" s="1113"/>
      <c r="AC427" s="1113"/>
      <c r="AD427" s="1113"/>
      <c r="AE427" s="1113"/>
      <c r="AF427" s="1113"/>
      <c r="AG427" s="1113"/>
      <c r="AH427" s="1113"/>
      <c r="AI427" s="685"/>
      <c r="AJ427" s="685"/>
      <c r="AK427" s="685"/>
      <c r="AL427" s="685"/>
      <c r="AM427" s="685"/>
      <c r="AN427" s="685"/>
      <c r="AO427" s="685"/>
      <c r="AP427" s="685"/>
      <c r="AQ427" s="685"/>
      <c r="AR427" s="685"/>
      <c r="AS427" s="685"/>
      <c r="AT427" s="685"/>
      <c r="AU427" s="685"/>
      <c r="AV427" s="685"/>
      <c r="AW427" s="685"/>
      <c r="AX427" s="685"/>
      <c r="AY427" s="685"/>
      <c r="AZ427" s="685"/>
      <c r="BA427" s="685"/>
      <c r="BB427" s="685"/>
      <c r="BC427" s="685"/>
      <c r="BD427" s="685"/>
    </row>
    <row r="428" spans="1:56">
      <c r="A428" s="685"/>
      <c r="B428" s="1115" t="s">
        <v>379</v>
      </c>
      <c r="C428" s="1113"/>
      <c r="D428" s="1113"/>
      <c r="E428" s="1113"/>
      <c r="F428" s="1113"/>
      <c r="G428" s="1113"/>
      <c r="H428" s="1194"/>
      <c r="I428" s="1194">
        <v>0.4</v>
      </c>
      <c r="J428" s="1194">
        <v>0.4</v>
      </c>
      <c r="K428" s="1194">
        <v>0.4</v>
      </c>
      <c r="L428" s="1194">
        <v>0.4</v>
      </c>
      <c r="M428" s="1194">
        <v>0.4</v>
      </c>
      <c r="N428" s="1194">
        <v>0.4</v>
      </c>
      <c r="O428" s="1194">
        <v>0.4</v>
      </c>
      <c r="P428" s="1194">
        <v>0.4</v>
      </c>
      <c r="Q428" s="1194">
        <v>0.4</v>
      </c>
      <c r="R428" s="1194">
        <v>0.4</v>
      </c>
      <c r="S428" s="1194">
        <v>0.4</v>
      </c>
      <c r="T428" s="1194">
        <v>0.4</v>
      </c>
      <c r="U428" s="1194">
        <v>0.4</v>
      </c>
      <c r="V428" s="1194">
        <v>0.4</v>
      </c>
      <c r="W428" s="1194">
        <v>0.4</v>
      </c>
      <c r="X428" s="1194">
        <v>0.4</v>
      </c>
      <c r="Y428" s="1194">
        <v>0.4</v>
      </c>
      <c r="Z428" s="1194">
        <v>0.4</v>
      </c>
      <c r="AA428" s="1194">
        <v>0.4</v>
      </c>
      <c r="AB428" s="1194">
        <v>0.4</v>
      </c>
      <c r="AC428" s="1194">
        <v>0.4</v>
      </c>
      <c r="AD428" s="1194">
        <v>0.4</v>
      </c>
      <c r="AE428" s="1194">
        <v>0.4</v>
      </c>
      <c r="AF428" s="1194">
        <v>0.4</v>
      </c>
      <c r="AG428" s="1194">
        <v>0.4</v>
      </c>
      <c r="AH428" s="1194">
        <v>0.4</v>
      </c>
      <c r="AI428" s="685"/>
      <c r="AJ428" s="685"/>
      <c r="AK428" s="685"/>
      <c r="AL428" s="685"/>
      <c r="AM428" s="685"/>
      <c r="AN428" s="685"/>
      <c r="AO428" s="685"/>
      <c r="AP428" s="685"/>
      <c r="AQ428" s="685"/>
      <c r="AR428" s="685"/>
      <c r="AS428" s="685"/>
      <c r="AT428" s="685"/>
      <c r="AU428" s="685"/>
      <c r="AV428" s="685"/>
      <c r="AW428" s="685"/>
      <c r="AX428" s="685"/>
      <c r="AY428" s="685"/>
      <c r="AZ428" s="685"/>
      <c r="BA428" s="685"/>
      <c r="BB428" s="685"/>
      <c r="BC428" s="685"/>
      <c r="BD428" s="685"/>
    </row>
    <row r="429" spans="1:56">
      <c r="A429" s="685"/>
      <c r="B429" s="1115"/>
      <c r="C429" s="1113"/>
      <c r="D429" s="1113"/>
      <c r="E429" s="1113"/>
      <c r="F429" s="1113"/>
      <c r="G429" s="1113"/>
      <c r="H429" s="1113"/>
      <c r="I429" s="1113"/>
      <c r="J429" s="1113"/>
      <c r="K429" s="1113"/>
      <c r="L429" s="1113"/>
      <c r="M429" s="1113"/>
      <c r="N429" s="1113"/>
      <c r="O429" s="1113"/>
      <c r="P429" s="1113"/>
      <c r="Q429" s="1113"/>
      <c r="R429" s="1113"/>
      <c r="S429" s="1113"/>
      <c r="T429" s="1113"/>
      <c r="U429" s="1113"/>
      <c r="V429" s="1113"/>
      <c r="W429" s="1113"/>
      <c r="X429" s="1113"/>
      <c r="Y429" s="1113"/>
      <c r="Z429" s="1113"/>
      <c r="AA429" s="1113"/>
      <c r="AB429" s="1113"/>
      <c r="AC429" s="1113"/>
      <c r="AD429" s="1113"/>
      <c r="AE429" s="1113"/>
      <c r="AF429" s="1113"/>
      <c r="AG429" s="1113"/>
      <c r="AH429" s="1113"/>
      <c r="AI429" s="685"/>
      <c r="AJ429" s="685"/>
      <c r="AK429" s="685"/>
      <c r="AL429" s="685"/>
      <c r="AM429" s="685"/>
      <c r="AN429" s="685"/>
      <c r="AO429" s="685"/>
      <c r="AP429" s="685"/>
      <c r="AQ429" s="685"/>
      <c r="AR429" s="685"/>
      <c r="AS429" s="685"/>
      <c r="AT429" s="685"/>
      <c r="AU429" s="685"/>
      <c r="AV429" s="685"/>
      <c r="AW429" s="685"/>
      <c r="AX429" s="685"/>
      <c r="AY429" s="685"/>
      <c r="AZ429" s="685"/>
      <c r="BA429" s="685"/>
      <c r="BB429" s="685"/>
      <c r="BC429" s="685"/>
      <c r="BD429" s="685"/>
    </row>
    <row r="430" spans="1:56">
      <c r="A430" s="685"/>
      <c r="B430" s="1161" t="s">
        <v>107</v>
      </c>
      <c r="C430" s="1195"/>
      <c r="D430" s="1195"/>
      <c r="E430" s="1195"/>
      <c r="F430" s="1195"/>
      <c r="G430" s="1195"/>
      <c r="H430" s="1196">
        <v>0</v>
      </c>
      <c r="I430" s="1196">
        <v>141</v>
      </c>
      <c r="J430" s="1196">
        <v>152</v>
      </c>
      <c r="K430" s="1195"/>
      <c r="L430" s="1195"/>
      <c r="M430" s="1195"/>
      <c r="N430" s="1195"/>
      <c r="O430" s="1195"/>
      <c r="P430" s="1195"/>
      <c r="Q430" s="1195"/>
      <c r="R430" s="1195"/>
      <c r="S430" s="1195"/>
      <c r="T430" s="1195"/>
      <c r="U430" s="1195"/>
      <c r="V430" s="1195"/>
      <c r="W430" s="1195"/>
      <c r="X430" s="1195"/>
      <c r="Y430" s="1195"/>
      <c r="Z430" s="1195"/>
      <c r="AA430" s="1195"/>
      <c r="AB430" s="1195"/>
      <c r="AC430" s="1195"/>
      <c r="AD430" s="1195"/>
      <c r="AE430" s="1195"/>
      <c r="AF430" s="1195"/>
      <c r="AG430" s="1195"/>
      <c r="AH430" s="1195"/>
      <c r="AI430" s="685"/>
      <c r="AJ430" s="685"/>
      <c r="AK430" s="685"/>
      <c r="AL430" s="685"/>
      <c r="AM430" s="685"/>
      <c r="AN430" s="685"/>
      <c r="AO430" s="685"/>
      <c r="AP430" s="685"/>
      <c r="AQ430" s="685"/>
      <c r="AR430" s="685"/>
      <c r="AS430" s="685"/>
      <c r="AT430" s="685"/>
      <c r="AU430" s="685"/>
      <c r="AV430" s="685"/>
      <c r="AW430" s="685"/>
      <c r="AX430" s="685"/>
      <c r="AY430" s="685"/>
      <c r="AZ430" s="685"/>
      <c r="BA430" s="685"/>
      <c r="BB430" s="685"/>
      <c r="BC430" s="685"/>
      <c r="BD430" s="685"/>
    </row>
    <row r="431" spans="1:56">
      <c r="A431" s="685"/>
      <c r="B431" s="1115"/>
      <c r="C431" s="1113"/>
      <c r="D431" s="1113"/>
      <c r="E431" s="1113"/>
      <c r="F431" s="1113"/>
      <c r="G431" s="1113"/>
      <c r="H431" s="1189"/>
      <c r="I431" s="1189"/>
      <c r="J431" s="1189"/>
      <c r="K431" s="1113"/>
      <c r="L431" s="1113"/>
      <c r="M431" s="1113"/>
      <c r="N431" s="1113"/>
      <c r="O431" s="1113"/>
      <c r="P431" s="1113"/>
      <c r="Q431" s="1113"/>
      <c r="R431" s="1113"/>
      <c r="S431" s="1113"/>
      <c r="T431" s="1113"/>
      <c r="U431" s="1113"/>
      <c r="V431" s="1113"/>
      <c r="W431" s="1113"/>
      <c r="X431" s="1113"/>
      <c r="Y431" s="1113"/>
      <c r="Z431" s="1113"/>
      <c r="AA431" s="1113"/>
      <c r="AB431" s="1113"/>
      <c r="AC431" s="1113"/>
      <c r="AD431" s="1113"/>
      <c r="AE431" s="1113"/>
      <c r="AF431" s="1113"/>
      <c r="AG431" s="1113"/>
      <c r="AH431" s="1113"/>
      <c r="AI431" s="685"/>
      <c r="AJ431" s="685"/>
      <c r="AK431" s="685"/>
      <c r="AL431" s="685"/>
      <c r="AM431" s="685"/>
      <c r="AN431" s="685"/>
      <c r="AO431" s="685"/>
      <c r="AP431" s="685"/>
      <c r="AQ431" s="685"/>
      <c r="AR431" s="685"/>
      <c r="AS431" s="685"/>
      <c r="AT431" s="685"/>
      <c r="AU431" s="685"/>
      <c r="AV431" s="685"/>
      <c r="AW431" s="685"/>
      <c r="AX431" s="685"/>
      <c r="AY431" s="685"/>
      <c r="AZ431" s="685"/>
      <c r="BA431" s="685"/>
      <c r="BB431" s="685"/>
      <c r="BC431" s="685"/>
      <c r="BD431" s="685"/>
    </row>
    <row r="432" spans="1:56">
      <c r="A432" s="685"/>
      <c r="B432" s="1115" t="s">
        <v>378</v>
      </c>
      <c r="C432" s="1166"/>
      <c r="D432" s="1166"/>
      <c r="E432" s="1166"/>
      <c r="F432" s="1166"/>
      <c r="G432" s="1166"/>
      <c r="H432" s="1193">
        <v>-715</v>
      </c>
      <c r="I432" s="1193">
        <v>-212</v>
      </c>
      <c r="J432" s="1193">
        <v>-449</v>
      </c>
      <c r="K432" s="1193">
        <v>-666.6</v>
      </c>
      <c r="L432" s="1193">
        <v>-5659.9</v>
      </c>
      <c r="M432" s="1193">
        <f>M434+M433</f>
        <v>-4185.3999999999996</v>
      </c>
      <c r="N432" s="1193">
        <v>35.4</v>
      </c>
      <c r="O432" s="1193">
        <v>1139.4000000000001</v>
      </c>
      <c r="P432" s="1193">
        <v>1913</v>
      </c>
      <c r="Q432" s="1193">
        <v>532.9</v>
      </c>
      <c r="R432" s="1193">
        <v>581.1</v>
      </c>
      <c r="S432" s="1193">
        <v>-5769.4</v>
      </c>
      <c r="T432" s="1193">
        <v>3558.8</v>
      </c>
      <c r="U432" s="1193">
        <v>-8453.2999999999993</v>
      </c>
      <c r="V432" s="1193">
        <v>-6210.1</v>
      </c>
      <c r="W432" s="1193">
        <v>-182.577</v>
      </c>
      <c r="X432" s="1193">
        <v>-1088.1210000000001</v>
      </c>
      <c r="Y432" s="1166">
        <f t="shared" ref="Y432:AH432" si="304">Y433+Y434</f>
        <v>184.43032189019857</v>
      </c>
      <c r="Z432" s="1166">
        <f t="shared" si="304"/>
        <v>1004.248724791578</v>
      </c>
      <c r="AA432" s="1166">
        <f t="shared" si="304"/>
        <v>1537.4995616921067</v>
      </c>
      <c r="AB432" s="1166">
        <f t="shared" si="304"/>
        <v>1984.5887106641871</v>
      </c>
      <c r="AC432" s="1166">
        <f t="shared" si="304"/>
        <v>2426.2245648141247</v>
      </c>
      <c r="AD432" s="1166">
        <f t="shared" si="304"/>
        <v>2822.984505664107</v>
      </c>
      <c r="AE432" s="1166">
        <f t="shared" si="304"/>
        <v>3187.1969883043516</v>
      </c>
      <c r="AF432" s="1166">
        <f t="shared" si="304"/>
        <v>3539.9458023084171</v>
      </c>
      <c r="AG432" s="1166">
        <f t="shared" si="304"/>
        <v>3845.7819669826222</v>
      </c>
      <c r="AH432" s="1166">
        <f t="shared" si="304"/>
        <v>4094.9579849515458</v>
      </c>
      <c r="AI432" s="685"/>
      <c r="AJ432" s="685"/>
      <c r="AK432" s="685"/>
      <c r="AL432" s="685"/>
      <c r="AM432" s="685"/>
      <c r="AN432" s="685"/>
      <c r="AO432" s="685"/>
      <c r="AP432" s="685"/>
      <c r="AQ432" s="685"/>
      <c r="AR432" s="685"/>
      <c r="AS432" s="685"/>
      <c r="AT432" s="685"/>
      <c r="AU432" s="685"/>
      <c r="AV432" s="685"/>
      <c r="AW432" s="685"/>
      <c r="AX432" s="685"/>
      <c r="AY432" s="685"/>
      <c r="AZ432" s="685"/>
      <c r="BA432" s="685"/>
      <c r="BB432" s="685"/>
      <c r="BC432" s="685"/>
      <c r="BD432" s="685"/>
    </row>
    <row r="433" spans="1:56">
      <c r="A433" s="685"/>
      <c r="B433" s="1115" t="s">
        <v>358</v>
      </c>
      <c r="C433" s="1166"/>
      <c r="D433" s="1167">
        <v>0</v>
      </c>
      <c r="E433" s="1167">
        <v>0</v>
      </c>
      <c r="F433" s="1167">
        <v>0</v>
      </c>
      <c r="G433" s="1167">
        <v>0</v>
      </c>
      <c r="H433" s="1167">
        <v>0</v>
      </c>
      <c r="I433" s="1167">
        <v>0</v>
      </c>
      <c r="J433" s="1167">
        <v>0</v>
      </c>
      <c r="K433" s="1167">
        <v>0</v>
      </c>
      <c r="L433" s="1167">
        <v>-4500</v>
      </c>
      <c r="M433" s="1167">
        <f>-320*13.12</f>
        <v>-4198.3999999999996</v>
      </c>
      <c r="N433" s="1167">
        <v>0</v>
      </c>
      <c r="O433" s="1167">
        <v>0</v>
      </c>
      <c r="P433" s="1167">
        <v>0</v>
      </c>
      <c r="Q433" s="1167">
        <v>0</v>
      </c>
      <c r="R433" s="1167">
        <v>0</v>
      </c>
      <c r="S433" s="1167">
        <v>-5455.4</v>
      </c>
      <c r="T433" s="1167">
        <v>0</v>
      </c>
      <c r="U433" s="1167">
        <v>0</v>
      </c>
      <c r="V433" s="1167">
        <v>0</v>
      </c>
      <c r="W433" s="1167">
        <v>0</v>
      </c>
      <c r="X433" s="1167">
        <v>0</v>
      </c>
      <c r="Y433" s="1167">
        <v>0</v>
      </c>
      <c r="Z433" s="1167">
        <v>0</v>
      </c>
      <c r="AA433" s="1167">
        <v>0</v>
      </c>
      <c r="AB433" s="1167">
        <v>0</v>
      </c>
      <c r="AC433" s="1167">
        <v>0</v>
      </c>
      <c r="AD433" s="1167">
        <v>0</v>
      </c>
      <c r="AE433" s="1167">
        <v>0</v>
      </c>
      <c r="AF433" s="1167">
        <v>0</v>
      </c>
      <c r="AG433" s="1167">
        <v>0</v>
      </c>
      <c r="AH433" s="1167">
        <v>0</v>
      </c>
      <c r="AI433" s="685"/>
      <c r="AJ433" s="685"/>
      <c r="AK433" s="685"/>
      <c r="AL433" s="685"/>
      <c r="AM433" s="685"/>
      <c r="AN433" s="685"/>
      <c r="AO433" s="685"/>
      <c r="AP433" s="685"/>
      <c r="AQ433" s="685"/>
      <c r="AR433" s="685"/>
      <c r="AS433" s="685"/>
      <c r="AT433" s="685"/>
      <c r="AU433" s="685"/>
      <c r="AV433" s="685"/>
      <c r="AW433" s="685"/>
      <c r="AX433" s="685"/>
      <c r="AY433" s="685"/>
      <c r="AZ433" s="685"/>
      <c r="BA433" s="685"/>
      <c r="BB433" s="685"/>
      <c r="BC433" s="685"/>
      <c r="BD433" s="685"/>
    </row>
    <row r="434" spans="1:56">
      <c r="A434" s="685"/>
      <c r="B434" s="1115" t="s">
        <v>384</v>
      </c>
      <c r="C434" s="1166"/>
      <c r="D434" s="1125">
        <v>0</v>
      </c>
      <c r="E434" s="1125">
        <v>0</v>
      </c>
      <c r="F434" s="1125">
        <v>0</v>
      </c>
      <c r="G434" s="1125">
        <v>0</v>
      </c>
      <c r="H434" s="1125">
        <f>H432-H433</f>
        <v>-715</v>
      </c>
      <c r="I434" s="1125">
        <f>I432-I433</f>
        <v>-212</v>
      </c>
      <c r="J434" s="1125">
        <f>J432-J433</f>
        <v>-449</v>
      </c>
      <c r="K434" s="1125">
        <f>K432-K433</f>
        <v>-666.6</v>
      </c>
      <c r="L434" s="1125">
        <f>L432-L433</f>
        <v>-1159.8999999999996</v>
      </c>
      <c r="M434" s="1125">
        <v>13</v>
      </c>
      <c r="N434" s="1123">
        <f t="shared" ref="N434:X434" si="305">N432-N433</f>
        <v>35.4</v>
      </c>
      <c r="O434" s="1123">
        <f t="shared" si="305"/>
        <v>1139.4000000000001</v>
      </c>
      <c r="P434" s="1123">
        <f t="shared" si="305"/>
        <v>1913</v>
      </c>
      <c r="Q434" s="1123">
        <f t="shared" si="305"/>
        <v>532.9</v>
      </c>
      <c r="R434" s="1123">
        <f t="shared" si="305"/>
        <v>581.1</v>
      </c>
      <c r="S434" s="1123">
        <f t="shared" si="305"/>
        <v>-314</v>
      </c>
      <c r="T434" s="1123">
        <f t="shared" si="305"/>
        <v>3558.8</v>
      </c>
      <c r="U434" s="1123">
        <f t="shared" si="305"/>
        <v>-8453.2999999999993</v>
      </c>
      <c r="V434" s="1123">
        <f t="shared" si="305"/>
        <v>-6210.1</v>
      </c>
      <c r="W434" s="1123">
        <f t="shared" si="305"/>
        <v>-182.577</v>
      </c>
      <c r="X434" s="1123">
        <f t="shared" si="305"/>
        <v>-1088.1210000000001</v>
      </c>
      <c r="Y434" s="2073">
        <f>VOD!J195*SOP!$C$17*Master!Y7</f>
        <v>184.43032189019857</v>
      </c>
      <c r="Z434" s="2073">
        <f>VOD!K195*SOP!$C$17*Master!Z7</f>
        <v>1004.248724791578</v>
      </c>
      <c r="AA434" s="2073">
        <f>VOD!L195*SOP!$C$17*Master!AA7</f>
        <v>1537.4995616921067</v>
      </c>
      <c r="AB434" s="2073">
        <f>VOD!M195*SOP!$C$17*Master!AB7</f>
        <v>1984.5887106641871</v>
      </c>
      <c r="AC434" s="2073">
        <f>VOD!N195*SOP!$C$17*Master!AC7</f>
        <v>2426.2245648141247</v>
      </c>
      <c r="AD434" s="2073">
        <f>VOD!O195*SOP!$C$17*Master!AD7</f>
        <v>2822.984505664107</v>
      </c>
      <c r="AE434" s="2073">
        <f>VOD!P195*SOP!$C$17*Master!AE7</f>
        <v>3187.1969883043516</v>
      </c>
      <c r="AF434" s="2073">
        <f>VOD!Q195*SOP!$C$17*Master!AF7</f>
        <v>3539.9458023084171</v>
      </c>
      <c r="AG434" s="2073">
        <f>VOD!R195*SOP!$C$17*Master!AG7</f>
        <v>3845.7819669826222</v>
      </c>
      <c r="AH434" s="2073">
        <f>VOD!S195*SOP!$C$17*Master!AH7</f>
        <v>4094.9579849515458</v>
      </c>
      <c r="AI434" s="685"/>
      <c r="AJ434" s="685"/>
      <c r="AK434" s="685"/>
      <c r="AL434" s="685"/>
      <c r="AM434" s="685"/>
      <c r="AN434" s="685"/>
      <c r="AO434" s="685"/>
      <c r="AP434" s="685"/>
      <c r="AQ434" s="685"/>
      <c r="AR434" s="685"/>
      <c r="AS434" s="685"/>
      <c r="AT434" s="685"/>
      <c r="AU434" s="685"/>
      <c r="AV434" s="685"/>
      <c r="AW434" s="685"/>
      <c r="AX434" s="685"/>
      <c r="AY434" s="685"/>
      <c r="AZ434" s="685"/>
      <c r="BA434" s="685"/>
      <c r="BB434" s="685"/>
      <c r="BC434" s="685"/>
      <c r="BD434" s="685"/>
    </row>
    <row r="435" spans="1:56">
      <c r="A435" s="685"/>
      <c r="B435" s="1115"/>
      <c r="C435" s="1115"/>
      <c r="D435" s="1115"/>
      <c r="E435" s="1115"/>
      <c r="F435" s="1115"/>
      <c r="G435" s="1115"/>
      <c r="H435" s="1115"/>
      <c r="I435" s="1115"/>
      <c r="J435" s="1115"/>
      <c r="K435" s="1115"/>
      <c r="L435" s="1115"/>
      <c r="M435" s="1115"/>
      <c r="N435" s="1115"/>
      <c r="O435" s="1115"/>
      <c r="P435" s="1115"/>
      <c r="Q435" s="1115"/>
      <c r="R435" s="1115"/>
      <c r="S435" s="1115"/>
      <c r="T435" s="1115"/>
      <c r="U435" s="1115"/>
      <c r="V435" s="1115"/>
      <c r="W435" s="1115"/>
      <c r="X435" s="1115"/>
      <c r="Y435" s="1115"/>
      <c r="Z435" s="1115"/>
      <c r="AA435" s="1115"/>
      <c r="AB435" s="1115"/>
      <c r="AC435" s="1115"/>
      <c r="AD435" s="1115"/>
      <c r="AE435" s="1115"/>
      <c r="AF435" s="1115"/>
      <c r="AG435" s="1115"/>
      <c r="AH435" s="1115"/>
      <c r="AI435" s="685"/>
      <c r="AJ435" s="685"/>
      <c r="AK435" s="685"/>
      <c r="AL435" s="685"/>
      <c r="AM435" s="685"/>
      <c r="AN435" s="685"/>
      <c r="AO435" s="685"/>
      <c r="AP435" s="685"/>
      <c r="AQ435" s="685"/>
      <c r="AR435" s="685"/>
      <c r="AS435" s="685"/>
      <c r="AT435" s="685"/>
      <c r="AU435" s="685"/>
      <c r="AV435" s="685"/>
      <c r="AW435" s="685"/>
      <c r="AX435" s="685"/>
      <c r="AY435" s="685"/>
      <c r="AZ435" s="685"/>
      <c r="BA435" s="685"/>
      <c r="BB435" s="685"/>
      <c r="BC435" s="685"/>
      <c r="BD435" s="685"/>
    </row>
    <row r="436" spans="1:56">
      <c r="A436" s="685"/>
      <c r="B436" s="1115" t="s">
        <v>385</v>
      </c>
      <c r="C436" s="1115"/>
      <c r="D436" s="1115"/>
      <c r="E436" s="1115"/>
      <c r="F436" s="1115"/>
      <c r="G436" s="1115"/>
      <c r="H436" s="1115"/>
      <c r="I436" s="1115"/>
      <c r="J436" s="1115"/>
      <c r="K436" s="1115"/>
      <c r="L436" s="1115"/>
      <c r="M436" s="1115"/>
      <c r="N436" s="1115"/>
      <c r="O436" s="1115"/>
      <c r="P436" s="1115"/>
      <c r="Q436" s="1115"/>
      <c r="R436" s="1115"/>
      <c r="S436" s="1115"/>
      <c r="T436" s="1115"/>
      <c r="U436" s="1115"/>
      <c r="V436" s="1136">
        <v>716.90499999999997</v>
      </c>
      <c r="W436" s="1136">
        <v>777.83799999999997</v>
      </c>
      <c r="X436" s="1136">
        <v>780.077</v>
      </c>
      <c r="Y436" s="1134">
        <f>(VOD!J203*SOP!$C$17+VOD!J200+VOD!J170)*Y7</f>
        <v>808.52141094509921</v>
      </c>
      <c r="Z436" s="1134">
        <f>(VOD!K203*SOP!$C$17+VOD!K200+VOD!K170)*Z7</f>
        <v>1082.1194286770522</v>
      </c>
      <c r="AA436" s="1134">
        <f>(VOD!L203*SOP!$C$17+VOD!L200+VOD!L170)*AA7</f>
        <v>1283.3698690922374</v>
      </c>
      <c r="AB436" s="1134">
        <f>(VOD!M203*SOP!$C$17+VOD!M200+VOD!M170)*AB7</f>
        <v>1454.7559716824653</v>
      </c>
      <c r="AC436" s="1134">
        <f>(VOD!N203*SOP!$C$17+VOD!N200+VOD!N170)*AC7</f>
        <v>1624.5315190939439</v>
      </c>
      <c r="AD436" s="1134">
        <f>(VOD!O203*SOP!$C$17+VOD!O200+VOD!O170)*AD7</f>
        <v>1778.9045568196175</v>
      </c>
      <c r="AE436" s="1134">
        <f>(VOD!P203*SOP!$C$17+VOD!P200+VOD!P170)*AE7</f>
        <v>1922.1961253404465</v>
      </c>
      <c r="AF436" s="1134">
        <f>(VOD!Q203*SOP!$C$17+VOD!Q200+VOD!Q170)*AF7</f>
        <v>2061.7917538305483</v>
      </c>
      <c r="AG436" s="1134">
        <f>(VOD!R203*SOP!$C$17+VOD!R200+VOD!R170)*AG7</f>
        <v>2185.2906259269716</v>
      </c>
      <c r="AH436" s="1134">
        <f>(VOD!S203*SOP!$C$17+VOD!S200+VOD!S170)*AH7</f>
        <v>2289.287570965756</v>
      </c>
      <c r="AI436" s="685"/>
      <c r="AJ436" s="685"/>
      <c r="AK436" s="685"/>
      <c r="AL436" s="685"/>
      <c r="AM436" s="685"/>
      <c r="AN436" s="685"/>
      <c r="AO436" s="685"/>
      <c r="AP436" s="685"/>
      <c r="AQ436" s="685"/>
      <c r="AR436" s="685"/>
      <c r="AS436" s="685"/>
      <c r="AT436" s="685"/>
      <c r="AU436" s="685"/>
      <c r="AV436" s="685"/>
      <c r="AW436" s="685"/>
      <c r="AX436" s="685"/>
      <c r="AY436" s="685"/>
      <c r="AZ436" s="685"/>
      <c r="BA436" s="685"/>
      <c r="BB436" s="685"/>
      <c r="BC436" s="685"/>
      <c r="BD436" s="685"/>
    </row>
    <row r="437" spans="1:56">
      <c r="A437" s="685"/>
      <c r="B437" s="1115"/>
      <c r="C437" s="1115"/>
      <c r="D437" s="1115"/>
      <c r="E437" s="1115"/>
      <c r="F437" s="1115"/>
      <c r="G437" s="1115"/>
      <c r="H437" s="1115"/>
      <c r="I437" s="1115"/>
      <c r="J437" s="1115"/>
      <c r="K437" s="1115"/>
      <c r="L437" s="1115"/>
      <c r="M437" s="1115"/>
      <c r="N437" s="1115"/>
      <c r="O437" s="1115"/>
      <c r="P437" s="1115"/>
      <c r="Q437" s="1115"/>
      <c r="R437" s="1115"/>
      <c r="S437" s="1115"/>
      <c r="T437" s="1115"/>
      <c r="U437" s="1115"/>
      <c r="V437" s="1115"/>
      <c r="W437" s="1115"/>
      <c r="X437" s="1115"/>
      <c r="Y437" s="1115"/>
      <c r="Z437" s="1115"/>
      <c r="AA437" s="1115"/>
      <c r="AB437" s="1115"/>
      <c r="AC437" s="1115"/>
      <c r="AD437" s="1115"/>
      <c r="AE437" s="1115"/>
      <c r="AF437" s="1115"/>
      <c r="AG437" s="1115"/>
      <c r="AH437" s="1115"/>
      <c r="AI437" s="685"/>
      <c r="AJ437" s="685"/>
      <c r="AK437" s="685"/>
      <c r="AL437" s="685"/>
      <c r="AM437" s="685"/>
      <c r="AN437" s="685"/>
      <c r="AO437" s="685"/>
      <c r="AP437" s="685"/>
      <c r="AQ437" s="685"/>
      <c r="AR437" s="685"/>
      <c r="AS437" s="685"/>
      <c r="AT437" s="685"/>
      <c r="AU437" s="685"/>
      <c r="AV437" s="685"/>
      <c r="AW437" s="685"/>
      <c r="AX437" s="685"/>
      <c r="AY437" s="685"/>
      <c r="AZ437" s="685"/>
      <c r="BA437" s="685"/>
      <c r="BB437" s="685"/>
      <c r="BC437" s="685"/>
      <c r="BD437" s="685"/>
    </row>
    <row r="438" spans="1:56">
      <c r="A438" s="685"/>
      <c r="B438" s="1115" t="s">
        <v>386</v>
      </c>
      <c r="C438" s="1166"/>
      <c r="D438" s="1167">
        <v>0.4</v>
      </c>
      <c r="E438" s="1167">
        <v>0.4</v>
      </c>
      <c r="F438" s="1167">
        <v>0.1</v>
      </c>
      <c r="G438" s="1167">
        <v>0.1</v>
      </c>
      <c r="H438" s="1167">
        <v>0.1</v>
      </c>
      <c r="I438" s="1167">
        <v>0.1</v>
      </c>
      <c r="J438" s="1167">
        <v>0.1</v>
      </c>
      <c r="K438" s="1167">
        <v>0.1</v>
      </c>
      <c r="L438" s="1167">
        <v>0.1</v>
      </c>
      <c r="M438" s="1167">
        <v>0.1</v>
      </c>
      <c r="N438" s="1167">
        <v>0.1</v>
      </c>
      <c r="O438" s="1167">
        <v>0.1</v>
      </c>
      <c r="P438" s="1167">
        <v>1515</v>
      </c>
      <c r="Q438" s="1167">
        <v>116</v>
      </c>
      <c r="R438" s="1167">
        <v>2</v>
      </c>
      <c r="S438" s="1167">
        <v>0</v>
      </c>
      <c r="T438" s="1167">
        <v>0</v>
      </c>
      <c r="U438" s="1167">
        <v>3389.5</v>
      </c>
      <c r="V438" s="1167">
        <v>2586.6</v>
      </c>
      <c r="W438" s="1167">
        <v>2494.7109999999998</v>
      </c>
      <c r="X438" s="1167">
        <v>3425.3589999999999</v>
      </c>
      <c r="Y438" s="1123">
        <f t="shared" ref="Y438:AE438" si="306">X438+Y432</f>
        <v>3609.7893218901986</v>
      </c>
      <c r="Z438" s="1123">
        <f t="shared" si="306"/>
        <v>4614.0380466817769</v>
      </c>
      <c r="AA438" s="1123">
        <f t="shared" si="306"/>
        <v>6151.5376083738838</v>
      </c>
      <c r="AB438" s="1123">
        <f t="shared" si="306"/>
        <v>8136.1263190380705</v>
      </c>
      <c r="AC438" s="1123">
        <f t="shared" si="306"/>
        <v>10562.350883852196</v>
      </c>
      <c r="AD438" s="1123">
        <f t="shared" si="306"/>
        <v>13385.335389516302</v>
      </c>
      <c r="AE438" s="1123">
        <f t="shared" si="306"/>
        <v>16572.532377820655</v>
      </c>
      <c r="AF438" s="1123">
        <f>AE438+AF432</f>
        <v>20112.478180129074</v>
      </c>
      <c r="AG438" s="1123">
        <f>AF438+AG432</f>
        <v>23958.260147111694</v>
      </c>
      <c r="AH438" s="1123">
        <f>AG438+AH432</f>
        <v>28053.218132063241</v>
      </c>
      <c r="AI438" s="685"/>
      <c r="AJ438" s="685"/>
      <c r="AK438" s="685"/>
      <c r="AL438" s="685"/>
      <c r="AM438" s="685"/>
      <c r="AN438" s="685"/>
      <c r="AO438" s="685"/>
      <c r="AP438" s="685"/>
      <c r="AQ438" s="685"/>
      <c r="AR438" s="685"/>
      <c r="AS438" s="685"/>
      <c r="AT438" s="685"/>
      <c r="AU438" s="685"/>
      <c r="AV438" s="685"/>
      <c r="AW438" s="685"/>
      <c r="AX438" s="685"/>
      <c r="AY438" s="685"/>
      <c r="AZ438" s="685"/>
      <c r="BA438" s="685"/>
      <c r="BB438" s="685"/>
      <c r="BC438" s="685"/>
      <c r="BD438" s="685"/>
    </row>
    <row r="439" spans="1:56">
      <c r="A439" s="685"/>
      <c r="B439" s="1115"/>
      <c r="C439" s="1115"/>
      <c r="D439" s="1115"/>
      <c r="E439" s="1115"/>
      <c r="F439" s="1115"/>
      <c r="G439" s="1115"/>
      <c r="H439" s="1115"/>
      <c r="I439" s="1115"/>
      <c r="J439" s="1115"/>
      <c r="K439" s="1115"/>
      <c r="L439" s="1115"/>
      <c r="M439" s="1115"/>
      <c r="N439" s="1115"/>
      <c r="O439" s="1115"/>
      <c r="P439" s="1115"/>
      <c r="Q439" s="1115"/>
      <c r="R439" s="1115"/>
      <c r="S439" s="1115"/>
      <c r="T439" s="1115"/>
      <c r="U439" s="1115"/>
      <c r="V439" s="1115"/>
      <c r="W439" s="1115"/>
      <c r="X439" s="1115"/>
      <c r="Y439" s="1115"/>
      <c r="Z439" s="1115"/>
      <c r="AA439" s="1115"/>
      <c r="AB439" s="1115"/>
      <c r="AC439" s="1115"/>
      <c r="AD439" s="1115"/>
      <c r="AE439" s="1115"/>
      <c r="AF439" s="1115"/>
      <c r="AG439" s="1115"/>
      <c r="AH439" s="1115"/>
      <c r="AI439" s="685"/>
      <c r="AJ439" s="685"/>
      <c r="AK439" s="685"/>
      <c r="AL439" s="685"/>
      <c r="AM439" s="685"/>
      <c r="AN439" s="685"/>
      <c r="AO439" s="685"/>
      <c r="AP439" s="685"/>
      <c r="AQ439" s="685"/>
      <c r="AR439" s="685"/>
      <c r="AS439" s="685"/>
      <c r="AT439" s="685"/>
      <c r="AU439" s="685"/>
      <c r="AV439" s="685"/>
      <c r="AW439" s="685"/>
      <c r="AX439" s="685"/>
      <c r="AY439" s="685"/>
      <c r="AZ439" s="685"/>
      <c r="BA439" s="685"/>
      <c r="BB439" s="685"/>
      <c r="BC439" s="685"/>
      <c r="BD439" s="685"/>
    </row>
    <row r="440" spans="1:56">
      <c r="A440" s="685"/>
      <c r="B440" s="1115"/>
      <c r="C440" s="1115"/>
      <c r="D440" s="1115"/>
      <c r="E440" s="1115"/>
      <c r="F440" s="1115"/>
      <c r="G440" s="1115"/>
      <c r="H440" s="1115"/>
      <c r="I440" s="1115"/>
      <c r="J440" s="1115"/>
      <c r="K440" s="1115"/>
      <c r="L440" s="1115"/>
      <c r="M440" s="1115"/>
      <c r="N440" s="1115"/>
      <c r="O440" s="1115"/>
      <c r="P440" s="1115"/>
      <c r="Q440" s="1115"/>
      <c r="R440" s="1115"/>
      <c r="S440" s="1115"/>
      <c r="T440" s="1115"/>
      <c r="U440" s="1115"/>
      <c r="V440" s="1115"/>
      <c r="W440" s="1115"/>
      <c r="X440" s="1115"/>
      <c r="Y440" s="1115"/>
      <c r="Z440" s="1115"/>
      <c r="AA440" s="1115"/>
      <c r="AB440" s="1115"/>
      <c r="AC440" s="1115"/>
      <c r="AD440" s="1115"/>
      <c r="AE440" s="1115"/>
      <c r="AF440" s="1115"/>
      <c r="AG440" s="1115"/>
      <c r="AH440" s="1115"/>
      <c r="AI440" s="685"/>
      <c r="AJ440" s="685"/>
      <c r="AK440" s="685"/>
      <c r="AL440" s="685"/>
      <c r="AM440" s="685"/>
      <c r="AN440" s="685"/>
      <c r="AO440" s="685"/>
      <c r="AP440" s="685"/>
      <c r="AQ440" s="685"/>
      <c r="AR440" s="685"/>
      <c r="AS440" s="685"/>
      <c r="AT440" s="685"/>
      <c r="AU440" s="685"/>
      <c r="AV440" s="685"/>
      <c r="AW440" s="685"/>
      <c r="AX440" s="685"/>
      <c r="AY440" s="685"/>
      <c r="AZ440" s="685"/>
      <c r="BA440" s="685"/>
      <c r="BB440" s="685"/>
      <c r="BC440" s="685"/>
      <c r="BD440" s="685"/>
    </row>
    <row r="441" spans="1:56">
      <c r="A441" s="685"/>
      <c r="B441" s="1115"/>
      <c r="C441" s="1115"/>
      <c r="D441" s="1115"/>
      <c r="E441" s="1115"/>
      <c r="F441" s="1115"/>
      <c r="G441" s="1115"/>
      <c r="H441" s="1115"/>
      <c r="I441" s="1115"/>
      <c r="J441" s="1115"/>
      <c r="K441" s="1115"/>
      <c r="L441" s="1115"/>
      <c r="M441" s="1115"/>
      <c r="N441" s="1115"/>
      <c r="O441" s="1115"/>
      <c r="P441" s="1115"/>
      <c r="Q441" s="1115"/>
      <c r="R441" s="1115"/>
      <c r="S441" s="1115"/>
      <c r="T441" s="1115"/>
      <c r="U441" s="1115"/>
      <c r="V441" s="1115"/>
      <c r="W441" s="1115"/>
      <c r="X441" s="1115"/>
      <c r="Y441" s="1115"/>
      <c r="Z441" s="1115"/>
      <c r="AA441" s="1115"/>
      <c r="AB441" s="1115"/>
      <c r="AC441" s="1115"/>
      <c r="AD441" s="1115"/>
      <c r="AE441" s="1115"/>
      <c r="AF441" s="1115"/>
      <c r="AG441" s="1115"/>
      <c r="AH441" s="1115"/>
      <c r="AI441" s="685"/>
      <c r="AJ441" s="685"/>
      <c r="AK441" s="685"/>
      <c r="AL441" s="685"/>
      <c r="AM441" s="685"/>
      <c r="AN441" s="685"/>
      <c r="AO441" s="685"/>
      <c r="AP441" s="685"/>
      <c r="AQ441" s="685"/>
      <c r="AR441" s="685"/>
      <c r="AS441" s="685"/>
      <c r="AT441" s="685"/>
      <c r="AU441" s="685"/>
      <c r="AV441" s="685"/>
      <c r="AW441" s="685"/>
      <c r="AX441" s="685"/>
      <c r="AY441" s="685"/>
      <c r="AZ441" s="685"/>
      <c r="BA441" s="685"/>
      <c r="BB441" s="685"/>
      <c r="BC441" s="685"/>
      <c r="BD441" s="685"/>
    </row>
    <row r="442" spans="1:56">
      <c r="A442" s="685"/>
      <c r="B442" s="1112" t="s">
        <v>267</v>
      </c>
      <c r="C442" s="1112">
        <v>2004</v>
      </c>
      <c r="D442" s="1112">
        <f t="shared" ref="D442:AE442" si="307">C442+1</f>
        <v>2005</v>
      </c>
      <c r="E442" s="1112">
        <f t="shared" si="307"/>
        <v>2006</v>
      </c>
      <c r="F442" s="1112">
        <f t="shared" si="307"/>
        <v>2007</v>
      </c>
      <c r="G442" s="1112">
        <f t="shared" si="307"/>
        <v>2008</v>
      </c>
      <c r="H442" s="1112">
        <f t="shared" si="307"/>
        <v>2009</v>
      </c>
      <c r="I442" s="1112">
        <f t="shared" si="307"/>
        <v>2010</v>
      </c>
      <c r="J442" s="1112">
        <f t="shared" si="307"/>
        <v>2011</v>
      </c>
      <c r="K442" s="1112">
        <f t="shared" si="307"/>
        <v>2012</v>
      </c>
      <c r="L442" s="1112">
        <f t="shared" si="307"/>
        <v>2013</v>
      </c>
      <c r="M442" s="1112">
        <f t="shared" si="307"/>
        <v>2014</v>
      </c>
      <c r="N442" s="1112">
        <f t="shared" si="307"/>
        <v>2015</v>
      </c>
      <c r="O442" s="1112">
        <f t="shared" si="307"/>
        <v>2016</v>
      </c>
      <c r="P442" s="1112">
        <f t="shared" si="307"/>
        <v>2017</v>
      </c>
      <c r="Q442" s="1112">
        <f t="shared" si="307"/>
        <v>2018</v>
      </c>
      <c r="R442" s="1112">
        <f t="shared" si="307"/>
        <v>2019</v>
      </c>
      <c r="S442" s="1112">
        <f t="shared" si="307"/>
        <v>2020</v>
      </c>
      <c r="T442" s="1112">
        <f t="shared" si="307"/>
        <v>2021</v>
      </c>
      <c r="U442" s="1112">
        <f t="shared" si="307"/>
        <v>2022</v>
      </c>
      <c r="V442" s="1112">
        <f t="shared" si="307"/>
        <v>2023</v>
      </c>
      <c r="W442" s="1112">
        <f t="shared" si="307"/>
        <v>2024</v>
      </c>
      <c r="X442" s="1112">
        <f t="shared" si="307"/>
        <v>2025</v>
      </c>
      <c r="Y442" s="1112">
        <f t="shared" si="307"/>
        <v>2026</v>
      </c>
      <c r="Z442" s="1112">
        <f t="shared" si="307"/>
        <v>2027</v>
      </c>
      <c r="AA442" s="1112">
        <f t="shared" si="307"/>
        <v>2028</v>
      </c>
      <c r="AB442" s="1112">
        <f t="shared" si="307"/>
        <v>2029</v>
      </c>
      <c r="AC442" s="1112">
        <f t="shared" si="307"/>
        <v>2030</v>
      </c>
      <c r="AD442" s="1112">
        <f t="shared" si="307"/>
        <v>2031</v>
      </c>
      <c r="AE442" s="1112">
        <f t="shared" si="307"/>
        <v>2032</v>
      </c>
      <c r="AF442" s="1112">
        <f>AE442+1</f>
        <v>2033</v>
      </c>
      <c r="AG442" s="1112">
        <f>AF442+1</f>
        <v>2034</v>
      </c>
      <c r="AH442" s="1112">
        <f>AG442+1</f>
        <v>2035</v>
      </c>
      <c r="AI442" s="685"/>
      <c r="AJ442" s="685"/>
      <c r="AK442" s="685"/>
      <c r="AL442" s="685"/>
      <c r="AM442" s="685"/>
      <c r="AN442" s="685"/>
      <c r="AO442" s="685"/>
      <c r="AP442" s="685"/>
      <c r="AQ442" s="685"/>
      <c r="AR442" s="685"/>
      <c r="AS442" s="685"/>
      <c r="AT442" s="685"/>
      <c r="AU442" s="685"/>
      <c r="AV442" s="685"/>
      <c r="AW442" s="685"/>
      <c r="AX442" s="685"/>
      <c r="AY442" s="685"/>
      <c r="AZ442" s="685"/>
      <c r="BA442" s="685"/>
      <c r="BB442" s="685"/>
      <c r="BC442" s="685"/>
      <c r="BD442" s="685"/>
    </row>
    <row r="443" spans="1:56">
      <c r="A443" s="685"/>
      <c r="B443" s="1115" t="s">
        <v>267</v>
      </c>
      <c r="C443" s="1166"/>
      <c r="D443" s="1167">
        <v>0</v>
      </c>
      <c r="E443" s="1167">
        <v>0</v>
      </c>
      <c r="F443" s="1167">
        <v>0</v>
      </c>
      <c r="G443" s="1167">
        <v>0</v>
      </c>
      <c r="H443" s="1167">
        <v>576</v>
      </c>
      <c r="I443" s="1167">
        <v>833</v>
      </c>
      <c r="J443" s="1167">
        <v>1291</v>
      </c>
      <c r="K443" s="1167">
        <v>1309</v>
      </c>
      <c r="L443" s="1167">
        <v>2486</v>
      </c>
      <c r="M443" s="1167">
        <v>1272.9000000000001</v>
      </c>
      <c r="N443" s="1167">
        <v>1426.3</v>
      </c>
      <c r="O443" s="1167">
        <v>1612</v>
      </c>
      <c r="P443" s="1167">
        <v>2053</v>
      </c>
      <c r="Q443" s="1167">
        <v>1606</v>
      </c>
      <c r="R443" s="1167">
        <v>1480.7</v>
      </c>
      <c r="S443" s="1167">
        <v>1566.3</v>
      </c>
      <c r="T443" s="1167">
        <v>1191.7</v>
      </c>
      <c r="U443" s="1167">
        <v>477.6</v>
      </c>
      <c r="V443" s="1167">
        <v>-375.7</v>
      </c>
      <c r="W443" s="1167">
        <v>-62.86</v>
      </c>
      <c r="X443" s="1167">
        <v>233.24199999999999</v>
      </c>
      <c r="Y443" s="1123">
        <f t="shared" ref="Y443:AH443" si="308">Y444+Y445</f>
        <v>244.9041</v>
      </c>
      <c r="Z443" s="1123">
        <f t="shared" si="308"/>
        <v>257.14930500000003</v>
      </c>
      <c r="AA443" s="1123">
        <f t="shared" si="308"/>
        <v>270.00677025000005</v>
      </c>
      <c r="AB443" s="1123">
        <f t="shared" si="308"/>
        <v>283.50710876250008</v>
      </c>
      <c r="AC443" s="1123">
        <f t="shared" si="308"/>
        <v>297.68246420062508</v>
      </c>
      <c r="AD443" s="1123">
        <f t="shared" si="308"/>
        <v>312.56658741065633</v>
      </c>
      <c r="AE443" s="1123">
        <f t="shared" si="308"/>
        <v>328.19491678118914</v>
      </c>
      <c r="AF443" s="1123">
        <f t="shared" si="308"/>
        <v>344.60466262024863</v>
      </c>
      <c r="AG443" s="1123">
        <f t="shared" si="308"/>
        <v>361.83489575126106</v>
      </c>
      <c r="AH443" s="1123">
        <f t="shared" si="308"/>
        <v>379.92664053882413</v>
      </c>
      <c r="AI443" s="685"/>
      <c r="AJ443" s="685"/>
      <c r="AK443" s="685"/>
      <c r="AL443" s="685"/>
      <c r="AM443" s="685"/>
      <c r="AN443" s="685"/>
      <c r="AO443" s="685"/>
      <c r="AP443" s="685"/>
      <c r="AQ443" s="685"/>
      <c r="AR443" s="685"/>
      <c r="AS443" s="685"/>
      <c r="AT443" s="685"/>
      <c r="AU443" s="685"/>
      <c r="AV443" s="685"/>
      <c r="AW443" s="685"/>
      <c r="AX443" s="685"/>
      <c r="AY443" s="685"/>
      <c r="AZ443" s="685"/>
      <c r="BA443" s="685"/>
      <c r="BB443" s="685"/>
      <c r="BC443" s="685"/>
      <c r="BD443" s="685"/>
    </row>
    <row r="444" spans="1:56">
      <c r="A444" s="685"/>
      <c r="B444" s="1115" t="s">
        <v>358</v>
      </c>
      <c r="C444" s="1166"/>
      <c r="D444" s="1167"/>
      <c r="E444" s="1167"/>
      <c r="F444" s="1167"/>
      <c r="G444" s="1167"/>
      <c r="H444" s="1167"/>
      <c r="I444" s="1167"/>
      <c r="J444" s="1173"/>
      <c r="K444" s="1173"/>
      <c r="L444" s="1167">
        <v>1150</v>
      </c>
      <c r="M444" s="1173"/>
      <c r="N444" s="1173"/>
      <c r="O444" s="1173"/>
      <c r="P444" s="1173"/>
      <c r="Q444" s="1173"/>
      <c r="R444" s="1173"/>
      <c r="S444" s="1173"/>
      <c r="T444" s="1173"/>
      <c r="U444" s="1173"/>
      <c r="V444" s="1173"/>
      <c r="W444" s="1173"/>
      <c r="X444" s="1173"/>
      <c r="Y444" s="1173"/>
      <c r="Z444" s="1173"/>
      <c r="AA444" s="1173"/>
      <c r="AB444" s="1173"/>
      <c r="AC444" s="1173"/>
      <c r="AD444" s="1173"/>
      <c r="AE444" s="1173"/>
      <c r="AF444" s="1173"/>
      <c r="AG444" s="1173"/>
      <c r="AH444" s="1173"/>
      <c r="AI444" s="685"/>
      <c r="AJ444" s="685"/>
      <c r="AK444" s="685"/>
      <c r="AL444" s="685"/>
      <c r="AM444" s="685"/>
      <c r="AN444" s="685"/>
      <c r="AO444" s="685"/>
      <c r="AP444" s="685"/>
      <c r="AQ444" s="685"/>
      <c r="AR444" s="685"/>
      <c r="AS444" s="685"/>
      <c r="AT444" s="685"/>
      <c r="AU444" s="685"/>
      <c r="AV444" s="685"/>
      <c r="AW444" s="685"/>
      <c r="AX444" s="685"/>
      <c r="AY444" s="685"/>
      <c r="AZ444" s="685"/>
      <c r="BA444" s="685"/>
      <c r="BB444" s="685"/>
      <c r="BC444" s="685"/>
      <c r="BD444" s="685"/>
    </row>
    <row r="445" spans="1:56">
      <c r="A445" s="685"/>
      <c r="B445" s="1115" t="s">
        <v>387</v>
      </c>
      <c r="C445" s="1123"/>
      <c r="D445" s="1123">
        <f t="shared" ref="D445:X445" si="309">D443-D444</f>
        <v>0</v>
      </c>
      <c r="E445" s="1123">
        <f t="shared" si="309"/>
        <v>0</v>
      </c>
      <c r="F445" s="1123">
        <f t="shared" si="309"/>
        <v>0</v>
      </c>
      <c r="G445" s="1123">
        <f t="shared" si="309"/>
        <v>0</v>
      </c>
      <c r="H445" s="1123">
        <f t="shared" si="309"/>
        <v>576</v>
      </c>
      <c r="I445" s="1123">
        <f t="shared" si="309"/>
        <v>833</v>
      </c>
      <c r="J445" s="1123">
        <f t="shared" si="309"/>
        <v>1291</v>
      </c>
      <c r="K445" s="1123">
        <f t="shared" si="309"/>
        <v>1309</v>
      </c>
      <c r="L445" s="1123">
        <f t="shared" si="309"/>
        <v>1336</v>
      </c>
      <c r="M445" s="1123">
        <f t="shared" si="309"/>
        <v>1272.9000000000001</v>
      </c>
      <c r="N445" s="1123">
        <f t="shared" si="309"/>
        <v>1426.3</v>
      </c>
      <c r="O445" s="1123">
        <f t="shared" si="309"/>
        <v>1612</v>
      </c>
      <c r="P445" s="1123">
        <f t="shared" si="309"/>
        <v>2053</v>
      </c>
      <c r="Q445" s="1123">
        <f t="shared" si="309"/>
        <v>1606</v>
      </c>
      <c r="R445" s="1123">
        <f t="shared" si="309"/>
        <v>1480.7</v>
      </c>
      <c r="S445" s="1123">
        <f t="shared" si="309"/>
        <v>1566.3</v>
      </c>
      <c r="T445" s="1123">
        <f t="shared" si="309"/>
        <v>1191.7</v>
      </c>
      <c r="U445" s="1123">
        <f t="shared" si="309"/>
        <v>477.6</v>
      </c>
      <c r="V445" s="1123">
        <f t="shared" si="309"/>
        <v>-375.7</v>
      </c>
      <c r="W445" s="1123">
        <f t="shared" si="309"/>
        <v>-62.86</v>
      </c>
      <c r="X445" s="1123">
        <f t="shared" si="309"/>
        <v>233.24199999999999</v>
      </c>
      <c r="Y445" s="1123">
        <f t="shared" ref="Y445:AH445" si="310">Y447+Y450+Y453</f>
        <v>244.9041</v>
      </c>
      <c r="Z445" s="1123">
        <f t="shared" si="310"/>
        <v>257.14930500000003</v>
      </c>
      <c r="AA445" s="1123">
        <f t="shared" si="310"/>
        <v>270.00677025000005</v>
      </c>
      <c r="AB445" s="1123">
        <f t="shared" si="310"/>
        <v>283.50710876250008</v>
      </c>
      <c r="AC445" s="1123">
        <f t="shared" si="310"/>
        <v>297.68246420062508</v>
      </c>
      <c r="AD445" s="1123">
        <f t="shared" si="310"/>
        <v>312.56658741065633</v>
      </c>
      <c r="AE445" s="1123">
        <f t="shared" si="310"/>
        <v>328.19491678118914</v>
      </c>
      <c r="AF445" s="1123">
        <f t="shared" si="310"/>
        <v>344.60466262024863</v>
      </c>
      <c r="AG445" s="1123">
        <f t="shared" si="310"/>
        <v>361.83489575126106</v>
      </c>
      <c r="AH445" s="1123">
        <f t="shared" si="310"/>
        <v>379.92664053882413</v>
      </c>
      <c r="AI445" s="685"/>
      <c r="AJ445" s="685"/>
      <c r="AK445" s="685"/>
      <c r="AL445" s="685"/>
      <c r="AM445" s="685"/>
      <c r="AN445" s="685"/>
      <c r="AO445" s="685"/>
      <c r="AP445" s="685"/>
      <c r="AQ445" s="685"/>
      <c r="AR445" s="685"/>
      <c r="AS445" s="685"/>
      <c r="AT445" s="685"/>
      <c r="AU445" s="685"/>
      <c r="AV445" s="685"/>
      <c r="AW445" s="685"/>
      <c r="AX445" s="685"/>
      <c r="AY445" s="685"/>
      <c r="AZ445" s="685"/>
      <c r="BA445" s="685"/>
      <c r="BB445" s="685"/>
      <c r="BC445" s="685"/>
      <c r="BD445" s="685"/>
    </row>
    <row r="446" spans="1:56">
      <c r="A446" s="685"/>
      <c r="B446" s="1115"/>
      <c r="C446" s="1115"/>
      <c r="D446" s="1115"/>
      <c r="E446" s="1115"/>
      <c r="F446" s="1115"/>
      <c r="G446" s="1115"/>
      <c r="H446" s="1115"/>
      <c r="I446" s="1115"/>
      <c r="J446" s="1115"/>
      <c r="K446" s="1115"/>
      <c r="L446" s="1115"/>
      <c r="M446" s="1115"/>
      <c r="N446" s="1115"/>
      <c r="O446" s="1115"/>
      <c r="P446" s="1115"/>
      <c r="Q446" s="1115"/>
      <c r="R446" s="1115"/>
      <c r="S446" s="1115"/>
      <c r="T446" s="1115"/>
      <c r="U446" s="1115"/>
      <c r="V446" s="1115"/>
      <c r="W446" s="1115"/>
      <c r="X446" s="1115"/>
      <c r="Y446" s="1115"/>
      <c r="Z446" s="1115"/>
      <c r="AA446" s="1115"/>
      <c r="AB446" s="1115"/>
      <c r="AC446" s="1115"/>
      <c r="AD446" s="1115"/>
      <c r="AE446" s="1115"/>
      <c r="AF446" s="1115"/>
      <c r="AG446" s="1115"/>
      <c r="AH446" s="1115"/>
      <c r="AI446" s="685"/>
      <c r="AJ446" s="685"/>
      <c r="AK446" s="685"/>
      <c r="AL446" s="685"/>
      <c r="AM446" s="685"/>
      <c r="AN446" s="685"/>
      <c r="AO446" s="685"/>
      <c r="AP446" s="685"/>
      <c r="AQ446" s="685"/>
      <c r="AR446" s="685"/>
      <c r="AS446" s="685"/>
      <c r="AT446" s="685"/>
      <c r="AU446" s="685"/>
      <c r="AV446" s="685"/>
      <c r="AW446" s="685"/>
      <c r="AX446" s="685"/>
      <c r="AY446" s="685"/>
      <c r="AZ446" s="685"/>
      <c r="BA446" s="685"/>
      <c r="BB446" s="685"/>
      <c r="BC446" s="685"/>
      <c r="BD446" s="685"/>
    </row>
    <row r="447" spans="1:56">
      <c r="A447" s="685"/>
      <c r="B447" s="1115" t="s">
        <v>97</v>
      </c>
      <c r="C447" s="1115"/>
      <c r="D447" s="1115"/>
      <c r="E447" s="1115"/>
      <c r="F447" s="1115"/>
      <c r="G447" s="1115"/>
      <c r="H447" s="1123">
        <f>(1-H448)*'SKY Mex'!F217</f>
        <v>0</v>
      </c>
      <c r="I447" s="1123">
        <f>(1-I448)*'SKY Mex'!G217</f>
        <v>0</v>
      </c>
      <c r="J447" s="1123">
        <f>(1-J448)*'SKY Mex'!H217</f>
        <v>0</v>
      </c>
      <c r="K447" s="1123">
        <f>(1-K448)*'SKY Mex'!I217</f>
        <v>0</v>
      </c>
      <c r="L447" s="1123">
        <f>(1-L448)*'SKY Mex'!J217</f>
        <v>0</v>
      </c>
      <c r="M447" s="1123">
        <f>(1-M448)*'SKY Mex'!K217</f>
        <v>0</v>
      </c>
      <c r="N447" s="1123">
        <f>(1-N448)*'SKY Mex'!L217</f>
        <v>0</v>
      </c>
      <c r="O447" s="1123">
        <f>(1-O448)*'SKY Mex'!M217</f>
        <v>0</v>
      </c>
      <c r="P447" s="1123">
        <f>(1-P448)*'SKY Mex'!N217</f>
        <v>0</v>
      </c>
      <c r="Q447" s="1123">
        <f>(1-Q448)*'SKY Mex'!O217</f>
        <v>0</v>
      </c>
      <c r="R447" s="1123">
        <f>(1-R448)*'SKY Mex'!P217</f>
        <v>0</v>
      </c>
      <c r="S447" s="1123">
        <f>(1-S448)*'SKY Mex'!Q217</f>
        <v>0</v>
      </c>
      <c r="T447" s="1174">
        <f>1281*(1-SOP!$C$6)</f>
        <v>0</v>
      </c>
      <c r="U447" s="1174">
        <f>225*(1-SOP!$C$6)</f>
        <v>0</v>
      </c>
      <c r="V447" s="1176">
        <f>U447*0.7</f>
        <v>0</v>
      </c>
      <c r="W447" s="1126">
        <v>0</v>
      </c>
      <c r="X447" s="1126">
        <f t="shared" ref="X447:AE447" si="311">W447*1.1</f>
        <v>0</v>
      </c>
      <c r="Y447" s="1126">
        <f t="shared" si="311"/>
        <v>0</v>
      </c>
      <c r="Z447" s="1126">
        <f t="shared" si="311"/>
        <v>0</v>
      </c>
      <c r="AA447" s="1126">
        <f t="shared" si="311"/>
        <v>0</v>
      </c>
      <c r="AB447" s="1126">
        <f t="shared" si="311"/>
        <v>0</v>
      </c>
      <c r="AC447" s="1126">
        <f t="shared" si="311"/>
        <v>0</v>
      </c>
      <c r="AD447" s="1126">
        <f t="shared" si="311"/>
        <v>0</v>
      </c>
      <c r="AE447" s="1126">
        <f t="shared" si="311"/>
        <v>0</v>
      </c>
      <c r="AF447" s="1126">
        <f>AE447*1.1</f>
        <v>0</v>
      </c>
      <c r="AG447" s="1126">
        <f>AF447*1.1</f>
        <v>0</v>
      </c>
      <c r="AH447" s="1126">
        <f>AG447*1.1</f>
        <v>0</v>
      </c>
      <c r="AI447" s="685"/>
      <c r="AJ447" s="685"/>
      <c r="AK447" s="685"/>
      <c r="AL447" s="685"/>
      <c r="AM447" s="685"/>
      <c r="AN447" s="685"/>
      <c r="AO447" s="685"/>
      <c r="AP447" s="685"/>
      <c r="AQ447" s="685"/>
      <c r="AR447" s="685"/>
      <c r="AS447" s="685"/>
      <c r="AT447" s="685"/>
      <c r="AU447" s="685"/>
      <c r="AV447" s="685"/>
      <c r="AW447" s="685"/>
      <c r="AX447" s="685"/>
      <c r="AY447" s="685"/>
      <c r="AZ447" s="685"/>
      <c r="BA447" s="685"/>
      <c r="BB447" s="685"/>
      <c r="BC447" s="685"/>
      <c r="BD447" s="685"/>
    </row>
    <row r="448" spans="1:56">
      <c r="A448" s="685"/>
      <c r="B448" s="1115" t="s">
        <v>388</v>
      </c>
      <c r="C448" s="1115"/>
      <c r="D448" s="1115"/>
      <c r="E448" s="1115"/>
      <c r="F448" s="1115"/>
      <c r="G448" s="1115"/>
      <c r="H448" s="1197">
        <f>SOP!C$6</f>
        <v>1</v>
      </c>
      <c r="I448" s="1117">
        <f>H448</f>
        <v>1</v>
      </c>
      <c r="J448" s="1117">
        <f>I448</f>
        <v>1</v>
      </c>
      <c r="K448" s="1117">
        <f t="shared" ref="K448:AE448" si="312">J448</f>
        <v>1</v>
      </c>
      <c r="L448" s="1117">
        <f t="shared" si="312"/>
        <v>1</v>
      </c>
      <c r="M448" s="1117">
        <f t="shared" si="312"/>
        <v>1</v>
      </c>
      <c r="N448" s="1117">
        <f t="shared" si="312"/>
        <v>1</v>
      </c>
      <c r="O448" s="1117">
        <f t="shared" si="312"/>
        <v>1</v>
      </c>
      <c r="P448" s="1117">
        <f t="shared" si="312"/>
        <v>1</v>
      </c>
      <c r="Q448" s="1117">
        <f t="shared" si="312"/>
        <v>1</v>
      </c>
      <c r="R448" s="1117">
        <f t="shared" si="312"/>
        <v>1</v>
      </c>
      <c r="S448" s="1117">
        <f t="shared" si="312"/>
        <v>1</v>
      </c>
      <c r="T448" s="1117">
        <f t="shared" si="312"/>
        <v>1</v>
      </c>
      <c r="U448" s="1117">
        <f t="shared" si="312"/>
        <v>1</v>
      </c>
      <c r="V448" s="1117">
        <f t="shared" si="312"/>
        <v>1</v>
      </c>
      <c r="W448" s="1117">
        <f t="shared" si="312"/>
        <v>1</v>
      </c>
      <c r="X448" s="1117">
        <f t="shared" si="312"/>
        <v>1</v>
      </c>
      <c r="Y448" s="1117">
        <f t="shared" si="312"/>
        <v>1</v>
      </c>
      <c r="Z448" s="1117">
        <f t="shared" si="312"/>
        <v>1</v>
      </c>
      <c r="AA448" s="1117">
        <f t="shared" si="312"/>
        <v>1</v>
      </c>
      <c r="AB448" s="1117">
        <f t="shared" si="312"/>
        <v>1</v>
      </c>
      <c r="AC448" s="1117">
        <f t="shared" si="312"/>
        <v>1</v>
      </c>
      <c r="AD448" s="1117">
        <f t="shared" si="312"/>
        <v>1</v>
      </c>
      <c r="AE448" s="1117">
        <f t="shared" si="312"/>
        <v>1</v>
      </c>
      <c r="AF448" s="1117">
        <f>AE448</f>
        <v>1</v>
      </c>
      <c r="AG448" s="1117">
        <f>AF448</f>
        <v>1</v>
      </c>
      <c r="AH448" s="1117">
        <f>AG448</f>
        <v>1</v>
      </c>
      <c r="AI448" s="685"/>
      <c r="AJ448" s="685"/>
      <c r="AK448" s="685"/>
      <c r="AL448" s="685"/>
      <c r="AM448" s="685"/>
      <c r="AN448" s="685"/>
      <c r="AO448" s="685"/>
      <c r="AP448" s="685"/>
      <c r="AQ448" s="685"/>
      <c r="AR448" s="685"/>
      <c r="AS448" s="685"/>
      <c r="AT448" s="685"/>
      <c r="AU448" s="685"/>
      <c r="AV448" s="685"/>
      <c r="AW448" s="685"/>
      <c r="AX448" s="685"/>
      <c r="AY448" s="685"/>
      <c r="AZ448" s="685"/>
      <c r="BA448" s="685"/>
      <c r="BB448" s="685"/>
      <c r="BC448" s="685"/>
      <c r="BD448" s="685"/>
    </row>
    <row r="449" spans="1:56">
      <c r="A449" s="685"/>
      <c r="B449" s="1115"/>
      <c r="C449" s="1115"/>
      <c r="D449" s="1115"/>
      <c r="E449" s="1115"/>
      <c r="F449" s="1115"/>
      <c r="G449" s="1115"/>
      <c r="H449" s="1115"/>
      <c r="I449" s="1115"/>
      <c r="J449" s="1115"/>
      <c r="K449" s="1115"/>
      <c r="L449" s="1115"/>
      <c r="M449" s="1115"/>
      <c r="N449" s="1115"/>
      <c r="O449" s="1115"/>
      <c r="P449" s="1115"/>
      <c r="Q449" s="1115"/>
      <c r="R449" s="1115"/>
      <c r="S449" s="1115"/>
      <c r="T449" s="1115"/>
      <c r="U449" s="1115"/>
      <c r="V449" s="1115"/>
      <c r="W449" s="1115"/>
      <c r="X449" s="1115"/>
      <c r="Y449" s="1115"/>
      <c r="Z449" s="1115"/>
      <c r="AA449" s="1115"/>
      <c r="AB449" s="1115"/>
      <c r="AC449" s="1115"/>
      <c r="AD449" s="1115"/>
      <c r="AE449" s="1115"/>
      <c r="AF449" s="1115"/>
      <c r="AG449" s="1115"/>
      <c r="AH449" s="1115"/>
      <c r="AI449" s="685"/>
      <c r="AJ449" s="685"/>
      <c r="AK449" s="685"/>
      <c r="AL449" s="685"/>
      <c r="AM449" s="685"/>
      <c r="AN449" s="685"/>
      <c r="AO449" s="685"/>
      <c r="AP449" s="685"/>
      <c r="AQ449" s="685"/>
      <c r="AR449" s="685"/>
      <c r="AS449" s="685"/>
      <c r="AT449" s="685"/>
      <c r="AU449" s="685"/>
      <c r="AV449" s="685"/>
      <c r="AW449" s="685"/>
      <c r="AX449" s="685"/>
      <c r="AY449" s="685"/>
      <c r="AZ449" s="685"/>
      <c r="BA449" s="685"/>
      <c r="BB449" s="685"/>
      <c r="BC449" s="685"/>
      <c r="BD449" s="685"/>
    </row>
    <row r="450" spans="1:56">
      <c r="A450" s="685"/>
      <c r="B450" s="1115" t="s">
        <v>52</v>
      </c>
      <c r="C450" s="1115"/>
      <c r="D450" s="1115"/>
      <c r="E450" s="1115"/>
      <c r="F450" s="1115"/>
      <c r="G450" s="1115"/>
      <c r="H450" s="1123"/>
      <c r="I450" s="1123"/>
      <c r="J450" s="1123">
        <f>(1-J451)*Cable!F319</f>
        <v>244.07120708087231</v>
      </c>
      <c r="K450" s="1123">
        <f>(1-K451)*Cable!G319</f>
        <v>172.35640694076648</v>
      </c>
      <c r="L450" s="1123">
        <f>(1-L451)*Cable!H319</f>
        <v>-11.693230060735482</v>
      </c>
      <c r="M450" s="1123">
        <f>(1-M451)*Cable!I319</f>
        <v>244.78973870589618</v>
      </c>
      <c r="N450" s="1123">
        <f>(1-N451)*Cable!J319</f>
        <v>-76.228565998055771</v>
      </c>
      <c r="O450" s="1123">
        <f>(1-O451)*Cable!K319</f>
        <v>-194.70090774477063</v>
      </c>
      <c r="P450" s="1123">
        <f>(1-P451)*Cable!L319</f>
        <v>499.39490339269804</v>
      </c>
      <c r="Q450" s="1123">
        <f>(1-Q451)*Cable!M319</f>
        <v>416.30626342520355</v>
      </c>
      <c r="R450" s="1123">
        <f>(1-R451)*Cable!N319</f>
        <v>682.37084846282369</v>
      </c>
      <c r="S450" s="1123">
        <f>(1-S451)*Cable!O319</f>
        <v>597.47589919680104</v>
      </c>
      <c r="T450" s="1174">
        <f>1135*(1-SOP!$C$7)</f>
        <v>183.88908805619948</v>
      </c>
      <c r="U450" s="1174">
        <f>761*(1-SOP!$C$7)</f>
        <v>123.29479824737251</v>
      </c>
      <c r="V450" s="1176">
        <f>U450*0.7</f>
        <v>86.306358773160753</v>
      </c>
      <c r="W450" s="1126">
        <f t="shared" ref="W450" si="313">V450*1.1</f>
        <v>94.936994650476834</v>
      </c>
      <c r="X450" s="1126">
        <f>X445</f>
        <v>233.24199999999999</v>
      </c>
      <c r="Y450" s="1126">
        <f>X450*1.05</f>
        <v>244.9041</v>
      </c>
      <c r="Z450" s="1126">
        <f t="shared" ref="Z450:AH450" si="314">Y450*1.05</f>
        <v>257.14930500000003</v>
      </c>
      <c r="AA450" s="1126">
        <f t="shared" si="314"/>
        <v>270.00677025000005</v>
      </c>
      <c r="AB450" s="1126">
        <f t="shared" si="314"/>
        <v>283.50710876250008</v>
      </c>
      <c r="AC450" s="1126">
        <f t="shared" si="314"/>
        <v>297.68246420062508</v>
      </c>
      <c r="AD450" s="1126">
        <f t="shared" si="314"/>
        <v>312.56658741065633</v>
      </c>
      <c r="AE450" s="1126">
        <f t="shared" si="314"/>
        <v>328.19491678118914</v>
      </c>
      <c r="AF450" s="1126">
        <f t="shared" si="314"/>
        <v>344.60466262024863</v>
      </c>
      <c r="AG450" s="1126">
        <f t="shared" si="314"/>
        <v>361.83489575126106</v>
      </c>
      <c r="AH450" s="1126">
        <f t="shared" si="314"/>
        <v>379.92664053882413</v>
      </c>
      <c r="AI450" s="685"/>
      <c r="AJ450" s="685"/>
      <c r="AK450" s="685"/>
      <c r="AL450" s="685"/>
      <c r="AM450" s="685"/>
      <c r="AN450" s="685"/>
      <c r="AO450" s="685"/>
      <c r="AP450" s="685"/>
      <c r="AQ450" s="685"/>
      <c r="AR450" s="685"/>
      <c r="AS450" s="685"/>
      <c r="AT450" s="685"/>
      <c r="AU450" s="685"/>
      <c r="AV450" s="685"/>
      <c r="AW450" s="685"/>
      <c r="AX450" s="685"/>
      <c r="AY450" s="685"/>
      <c r="AZ450" s="685"/>
      <c r="BA450" s="685"/>
      <c r="BB450" s="685"/>
      <c r="BC450" s="685"/>
      <c r="BD450" s="685"/>
    </row>
    <row r="451" spans="1:56">
      <c r="A451" s="685"/>
      <c r="B451" s="1115" t="s">
        <v>388</v>
      </c>
      <c r="C451" s="1115"/>
      <c r="D451" s="1115"/>
      <c r="E451" s="1115"/>
      <c r="F451" s="1115"/>
      <c r="G451" s="1115"/>
      <c r="H451" s="1197">
        <f>SOP!C$7</f>
        <v>0.83798318232933966</v>
      </c>
      <c r="I451" s="1117">
        <f>H451</f>
        <v>0.83798318232933966</v>
      </c>
      <c r="J451" s="1117">
        <f>I451</f>
        <v>0.83798318232933966</v>
      </c>
      <c r="K451" s="1117">
        <f t="shared" ref="K451:S451" si="315">J451</f>
        <v>0.83798318232933966</v>
      </c>
      <c r="L451" s="1117">
        <f t="shared" si="315"/>
        <v>0.83798318232933966</v>
      </c>
      <c r="M451" s="1117">
        <f t="shared" si="315"/>
        <v>0.83798318232933966</v>
      </c>
      <c r="N451" s="1117">
        <f t="shared" si="315"/>
        <v>0.83798318232933966</v>
      </c>
      <c r="O451" s="1117">
        <f t="shared" si="315"/>
        <v>0.83798318232933966</v>
      </c>
      <c r="P451" s="1117">
        <f t="shared" si="315"/>
        <v>0.83798318232933966</v>
      </c>
      <c r="Q451" s="1117">
        <f t="shared" si="315"/>
        <v>0.83798318232933966</v>
      </c>
      <c r="R451" s="1117">
        <f t="shared" si="315"/>
        <v>0.83798318232933966</v>
      </c>
      <c r="S451" s="1117">
        <f t="shared" si="315"/>
        <v>0.83798318232933966</v>
      </c>
      <c r="T451" s="1117">
        <v>0.87</v>
      </c>
      <c r="U451" s="1117">
        <f t="shared" ref="U451:AE451" si="316">T451</f>
        <v>0.87</v>
      </c>
      <c r="V451" s="1117">
        <f t="shared" si="316"/>
        <v>0.87</v>
      </c>
      <c r="W451" s="1117">
        <f t="shared" si="316"/>
        <v>0.87</v>
      </c>
      <c r="X451" s="1117">
        <f t="shared" si="316"/>
        <v>0.87</v>
      </c>
      <c r="Y451" s="1117">
        <f t="shared" si="316"/>
        <v>0.87</v>
      </c>
      <c r="Z451" s="1117">
        <f t="shared" si="316"/>
        <v>0.87</v>
      </c>
      <c r="AA451" s="1117">
        <f t="shared" si="316"/>
        <v>0.87</v>
      </c>
      <c r="AB451" s="1117">
        <f t="shared" si="316"/>
        <v>0.87</v>
      </c>
      <c r="AC451" s="1117">
        <f t="shared" si="316"/>
        <v>0.87</v>
      </c>
      <c r="AD451" s="1117">
        <f t="shared" si="316"/>
        <v>0.87</v>
      </c>
      <c r="AE451" s="1117">
        <f t="shared" si="316"/>
        <v>0.87</v>
      </c>
      <c r="AF451" s="1117">
        <f>AE451</f>
        <v>0.87</v>
      </c>
      <c r="AG451" s="1117">
        <f>AF451</f>
        <v>0.87</v>
      </c>
      <c r="AH451" s="1117">
        <f>AG451</f>
        <v>0.87</v>
      </c>
      <c r="AI451" s="685"/>
      <c r="AJ451" s="685"/>
      <c r="AK451" s="685"/>
      <c r="AL451" s="685"/>
      <c r="AM451" s="685"/>
      <c r="AN451" s="685"/>
      <c r="AO451" s="685"/>
      <c r="AP451" s="685"/>
      <c r="AQ451" s="685"/>
      <c r="AR451" s="685"/>
      <c r="AS451" s="685"/>
      <c r="AT451" s="685"/>
      <c r="AU451" s="685"/>
      <c r="AV451" s="685"/>
      <c r="AW451" s="685"/>
      <c r="AX451" s="685"/>
      <c r="AY451" s="685"/>
      <c r="AZ451" s="685"/>
      <c r="BA451" s="685"/>
      <c r="BB451" s="685"/>
      <c r="BC451" s="685"/>
      <c r="BD451" s="685"/>
    </row>
    <row r="452" spans="1:56">
      <c r="A452" s="685"/>
      <c r="B452" s="1115"/>
      <c r="C452" s="1115"/>
      <c r="D452" s="1115"/>
      <c r="E452" s="1115"/>
      <c r="F452" s="1115"/>
      <c r="G452" s="1115"/>
      <c r="H452" s="1115"/>
      <c r="I452" s="1115"/>
      <c r="J452" s="1115"/>
      <c r="K452" s="1115"/>
      <c r="L452" s="1115"/>
      <c r="M452" s="1115"/>
      <c r="N452" s="1115"/>
      <c r="O452" s="1115"/>
      <c r="P452" s="1115"/>
      <c r="Q452" s="1115"/>
      <c r="R452" s="1115"/>
      <c r="S452" s="1115"/>
      <c r="T452" s="1115"/>
      <c r="U452" s="1115"/>
      <c r="V452" s="1115"/>
      <c r="W452" s="1115"/>
      <c r="X452" s="1115"/>
      <c r="Y452" s="1115"/>
      <c r="Z452" s="1115"/>
      <c r="AA452" s="1115"/>
      <c r="AB452" s="1115"/>
      <c r="AC452" s="1115"/>
      <c r="AD452" s="1115"/>
      <c r="AE452" s="1115"/>
      <c r="AF452" s="1115"/>
      <c r="AG452" s="1115"/>
      <c r="AH452" s="1115"/>
      <c r="AI452" s="685"/>
      <c r="AJ452" s="685"/>
      <c r="AK452" s="685"/>
      <c r="AL452" s="685"/>
      <c r="AM452" s="685"/>
      <c r="AN452" s="685"/>
      <c r="AO452" s="685"/>
      <c r="AP452" s="685"/>
      <c r="AQ452" s="685"/>
      <c r="AR452" s="685"/>
      <c r="AS452" s="685"/>
      <c r="AT452" s="685"/>
      <c r="AU452" s="685"/>
      <c r="AV452" s="685"/>
      <c r="AW452" s="685"/>
      <c r="AX452" s="685"/>
      <c r="AY452" s="685"/>
      <c r="AZ452" s="685"/>
      <c r="BA452" s="685"/>
      <c r="BB452" s="685"/>
      <c r="BC452" s="685"/>
      <c r="BD452" s="685"/>
    </row>
    <row r="453" spans="1:56">
      <c r="A453" s="685"/>
      <c r="B453" s="1115" t="s">
        <v>107</v>
      </c>
      <c r="C453" s="1115"/>
      <c r="D453" s="1115"/>
      <c r="E453" s="1115"/>
      <c r="F453" s="1115"/>
      <c r="G453" s="1115"/>
      <c r="H453" s="1115"/>
      <c r="I453" s="1115"/>
      <c r="J453" s="1123">
        <f t="shared" ref="J453:V453" si="317">J445-J447-J450</f>
        <v>1046.9287929191278</v>
      </c>
      <c r="K453" s="1123">
        <f t="shared" si="317"/>
        <v>1136.6435930592336</v>
      </c>
      <c r="L453" s="1123">
        <f t="shared" si="317"/>
        <v>1347.6932300607355</v>
      </c>
      <c r="M453" s="1123">
        <f t="shared" si="317"/>
        <v>1028.110261294104</v>
      </c>
      <c r="N453" s="1123">
        <f t="shared" si="317"/>
        <v>1502.5285659980557</v>
      </c>
      <c r="O453" s="1123">
        <f t="shared" si="317"/>
        <v>1806.7009077447706</v>
      </c>
      <c r="P453" s="1123">
        <f t="shared" si="317"/>
        <v>1553.6050966073019</v>
      </c>
      <c r="Q453" s="1123">
        <f t="shared" si="317"/>
        <v>1189.6937365747965</v>
      </c>
      <c r="R453" s="1123">
        <f t="shared" si="317"/>
        <v>798.32915153717636</v>
      </c>
      <c r="S453" s="1123">
        <f t="shared" si="317"/>
        <v>968.82410080319892</v>
      </c>
      <c r="T453" s="1123">
        <f t="shared" si="317"/>
        <v>1007.8109119438005</v>
      </c>
      <c r="U453" s="1123">
        <f t="shared" si="317"/>
        <v>354.30520175262751</v>
      </c>
      <c r="V453" s="1123">
        <f t="shared" si="317"/>
        <v>-462.00635877316074</v>
      </c>
      <c r="W453" s="1174">
        <v>0</v>
      </c>
      <c r="X453" s="1123">
        <f t="shared" ref="X453:AE453" si="318">(1+X454)*W453</f>
        <v>0</v>
      </c>
      <c r="Y453" s="1123">
        <f t="shared" si="318"/>
        <v>0</v>
      </c>
      <c r="Z453" s="1123">
        <f t="shared" si="318"/>
        <v>0</v>
      </c>
      <c r="AA453" s="1123">
        <f t="shared" si="318"/>
        <v>0</v>
      </c>
      <c r="AB453" s="1123">
        <f t="shared" si="318"/>
        <v>0</v>
      </c>
      <c r="AC453" s="1123">
        <f t="shared" si="318"/>
        <v>0</v>
      </c>
      <c r="AD453" s="1123">
        <f t="shared" si="318"/>
        <v>0</v>
      </c>
      <c r="AE453" s="1123">
        <f t="shared" si="318"/>
        <v>0</v>
      </c>
      <c r="AF453" s="1123">
        <f>(1+AF454)*AE453</f>
        <v>0</v>
      </c>
      <c r="AG453" s="1123">
        <f>(1+AG454)*AF453</f>
        <v>0</v>
      </c>
      <c r="AH453" s="1123">
        <f>(1+AH454)*AG453</f>
        <v>0</v>
      </c>
      <c r="AI453" s="685"/>
      <c r="AJ453" s="685"/>
      <c r="AK453" s="685"/>
      <c r="AL453" s="685"/>
      <c r="AM453" s="685"/>
      <c r="AN453" s="685"/>
      <c r="AO453" s="685"/>
      <c r="AP453" s="685"/>
      <c r="AQ453" s="685"/>
      <c r="AR453" s="685"/>
      <c r="AS453" s="685"/>
      <c r="AT453" s="685"/>
      <c r="AU453" s="685"/>
      <c r="AV453" s="685"/>
      <c r="AW453" s="685"/>
      <c r="AX453" s="685"/>
      <c r="AY453" s="685"/>
      <c r="AZ453" s="685"/>
      <c r="BA453" s="685"/>
      <c r="BB453" s="685"/>
      <c r="BC453" s="685"/>
      <c r="BD453" s="685"/>
    </row>
    <row r="454" spans="1:56">
      <c r="A454" s="685"/>
      <c r="B454" s="1115" t="s">
        <v>192</v>
      </c>
      <c r="C454" s="1115"/>
      <c r="D454" s="1115"/>
      <c r="E454" s="1115"/>
      <c r="F454" s="1115"/>
      <c r="G454" s="1115"/>
      <c r="H454" s="1115"/>
      <c r="I454" s="1115"/>
      <c r="J454" s="1115"/>
      <c r="K454" s="1115"/>
      <c r="L454" s="1115"/>
      <c r="M454" s="1117">
        <f t="shared" ref="M454:V454" si="319">M453/L453-1</f>
        <v>-0.23713331909534707</v>
      </c>
      <c r="N454" s="1117">
        <f t="shared" si="319"/>
        <v>0.46144691144974215</v>
      </c>
      <c r="O454" s="1117">
        <f t="shared" si="319"/>
        <v>0.20244030538259228</v>
      </c>
      <c r="P454" s="1117">
        <f t="shared" si="319"/>
        <v>-0.1400872773421018</v>
      </c>
      <c r="Q454" s="1117">
        <f t="shared" si="319"/>
        <v>-0.23423671873064777</v>
      </c>
      <c r="R454" s="1117">
        <f t="shared" si="319"/>
        <v>-0.32896246572196264</v>
      </c>
      <c r="S454" s="1117">
        <f t="shared" si="319"/>
        <v>0.21356472945743743</v>
      </c>
      <c r="T454" s="1117">
        <f t="shared" si="319"/>
        <v>4.0241372100755735E-2</v>
      </c>
      <c r="U454" s="1117">
        <f t="shared" si="319"/>
        <v>-0.64844079623104445</v>
      </c>
      <c r="V454" s="1117">
        <f t="shared" si="319"/>
        <v>-2.3039784809474213</v>
      </c>
      <c r="W454" s="1197">
        <v>0</v>
      </c>
      <c r="X454" s="1197">
        <v>0</v>
      </c>
      <c r="Y454" s="1197">
        <v>0</v>
      </c>
      <c r="Z454" s="1197">
        <v>0</v>
      </c>
      <c r="AA454" s="1197">
        <v>0</v>
      </c>
      <c r="AB454" s="1197">
        <v>0</v>
      </c>
      <c r="AC454" s="1197">
        <v>0</v>
      </c>
      <c r="AD454" s="1197">
        <v>0</v>
      </c>
      <c r="AE454" s="1197">
        <v>0</v>
      </c>
      <c r="AF454" s="1197">
        <v>0</v>
      </c>
      <c r="AG454" s="1197">
        <v>0</v>
      </c>
      <c r="AH454" s="1197">
        <v>0</v>
      </c>
      <c r="AI454" s="685"/>
      <c r="AJ454" s="685"/>
      <c r="AK454" s="685"/>
      <c r="AL454" s="685"/>
      <c r="AM454" s="685"/>
      <c r="AN454" s="685"/>
      <c r="AO454" s="685"/>
      <c r="AP454" s="685"/>
      <c r="AQ454" s="685"/>
      <c r="AR454" s="685"/>
      <c r="AS454" s="685"/>
      <c r="AT454" s="685"/>
      <c r="AU454" s="685"/>
      <c r="AV454" s="685"/>
      <c r="AW454" s="685"/>
      <c r="AX454" s="685"/>
      <c r="AY454" s="685"/>
      <c r="AZ454" s="685"/>
      <c r="BA454" s="685"/>
      <c r="BB454" s="685"/>
      <c r="BC454" s="685"/>
      <c r="BD454" s="685"/>
    </row>
    <row r="455" spans="1:56">
      <c r="A455" s="685"/>
      <c r="B455" s="1115"/>
      <c r="C455" s="1115"/>
      <c r="D455" s="1115"/>
      <c r="E455" s="1115"/>
      <c r="F455" s="1115"/>
      <c r="G455" s="1115"/>
      <c r="H455" s="1115"/>
      <c r="I455" s="1115"/>
      <c r="J455" s="1115"/>
      <c r="K455" s="1115"/>
      <c r="L455" s="1115"/>
      <c r="M455" s="1115"/>
      <c r="N455" s="1115"/>
      <c r="O455" s="1115"/>
      <c r="P455" s="1115"/>
      <c r="Q455" s="1115"/>
      <c r="R455" s="1115"/>
      <c r="S455" s="1115"/>
      <c r="T455" s="1115"/>
      <c r="U455" s="1115"/>
      <c r="V455" s="1115"/>
      <c r="W455" s="1115"/>
      <c r="X455" s="1115"/>
      <c r="Y455" s="1115"/>
      <c r="Z455" s="1115"/>
      <c r="AA455" s="1115"/>
      <c r="AB455" s="1115"/>
      <c r="AC455" s="1115"/>
      <c r="AD455" s="1115"/>
      <c r="AE455" s="1115"/>
      <c r="AF455" s="1115"/>
      <c r="AG455" s="1115"/>
      <c r="AH455" s="1115"/>
      <c r="AI455" s="685"/>
      <c r="AJ455" s="685"/>
      <c r="AK455" s="685"/>
      <c r="AL455" s="685"/>
      <c r="AM455" s="685"/>
      <c r="AN455" s="685"/>
      <c r="AO455" s="685"/>
      <c r="AP455" s="685"/>
      <c r="AQ455" s="685"/>
      <c r="AR455" s="685"/>
      <c r="AS455" s="685"/>
      <c r="AT455" s="685"/>
      <c r="AU455" s="685"/>
      <c r="AV455" s="685"/>
      <c r="AW455" s="685"/>
      <c r="AX455" s="685"/>
      <c r="AY455" s="685"/>
      <c r="AZ455" s="685"/>
      <c r="BA455" s="685"/>
      <c r="BB455" s="685"/>
      <c r="BC455" s="685"/>
      <c r="BD455" s="685"/>
    </row>
    <row r="456" spans="1:56">
      <c r="A456" s="685"/>
      <c r="B456" s="1115" t="s">
        <v>389</v>
      </c>
      <c r="C456" s="1115"/>
      <c r="D456" s="1115"/>
      <c r="E456" s="1115"/>
      <c r="F456" s="1115"/>
      <c r="G456" s="1115"/>
      <c r="H456" s="1115"/>
      <c r="I456" s="1115"/>
      <c r="J456" s="1115"/>
      <c r="K456" s="1115"/>
      <c r="L456" s="1115"/>
      <c r="M456" s="1115"/>
      <c r="N456" s="1115"/>
      <c r="O456" s="1115"/>
      <c r="P456" s="1115"/>
      <c r="Q456" s="1167">
        <v>1270</v>
      </c>
      <c r="R456" s="1167">
        <v>1594</v>
      </c>
      <c r="S456" s="1167">
        <v>1420</v>
      </c>
      <c r="T456" s="1167">
        <v>328.774</v>
      </c>
      <c r="U456" s="1167">
        <v>0</v>
      </c>
      <c r="V456" s="1167">
        <v>0</v>
      </c>
      <c r="W456" s="1167">
        <v>0</v>
      </c>
      <c r="X456" s="1123">
        <f t="shared" ref="X456:AC456" si="320">X457*X443</f>
        <v>116.621</v>
      </c>
      <c r="Y456" s="1123">
        <f t="shared" si="320"/>
        <v>122.45205</v>
      </c>
      <c r="Z456" s="1123">
        <f t="shared" si="320"/>
        <v>128.57465250000001</v>
      </c>
      <c r="AA456" s="1123">
        <f t="shared" si="320"/>
        <v>135.00338512500002</v>
      </c>
      <c r="AB456" s="1123">
        <f t="shared" si="320"/>
        <v>141.75355438125004</v>
      </c>
      <c r="AC456" s="1123">
        <f t="shared" si="320"/>
        <v>148.84123210031254</v>
      </c>
      <c r="AD456" s="1123">
        <f>AD457*AD443</f>
        <v>156.28329370532816</v>
      </c>
      <c r="AE456" s="1123">
        <f>AE457*AE443</f>
        <v>164.09745839059457</v>
      </c>
      <c r="AF456" s="1123">
        <f>AF457*AF443</f>
        <v>172.30233131012432</v>
      </c>
      <c r="AG456" s="1123">
        <f>AG457*AG443</f>
        <v>180.91744787563053</v>
      </c>
      <c r="AH456" s="1123">
        <f>AH457*AH443</f>
        <v>189.96332026941207</v>
      </c>
      <c r="AI456" s="685"/>
      <c r="AJ456" s="685"/>
      <c r="AK456" s="685"/>
      <c r="AL456" s="685"/>
      <c r="AM456" s="685"/>
      <c r="AN456" s="685"/>
      <c r="AO456" s="685"/>
      <c r="AP456" s="685"/>
      <c r="AQ456" s="685"/>
      <c r="AR456" s="685"/>
      <c r="AS456" s="685"/>
      <c r="AT456" s="685"/>
      <c r="AU456" s="685"/>
      <c r="AV456" s="685"/>
      <c r="AW456" s="685"/>
      <c r="AX456" s="685"/>
      <c r="AY456" s="685"/>
      <c r="AZ456" s="685"/>
      <c r="BA456" s="685"/>
      <c r="BB456" s="685"/>
      <c r="BC456" s="685"/>
      <c r="BD456" s="685"/>
    </row>
    <row r="457" spans="1:56">
      <c r="A457" s="685"/>
      <c r="B457" s="1115" t="s">
        <v>390</v>
      </c>
      <c r="C457" s="1115"/>
      <c r="D457" s="1115"/>
      <c r="E457" s="1115"/>
      <c r="F457" s="1115"/>
      <c r="G457" s="1115"/>
      <c r="H457" s="1115"/>
      <c r="I457" s="1115"/>
      <c r="J457" s="1115"/>
      <c r="K457" s="1115"/>
      <c r="L457" s="1115"/>
      <c r="M457" s="1115"/>
      <c r="N457" s="1115"/>
      <c r="O457" s="1115"/>
      <c r="P457" s="1115"/>
      <c r="Q457" s="1117">
        <f t="shared" ref="Q457:W457" si="321">Q456/Q443</f>
        <v>0.79078455790784563</v>
      </c>
      <c r="R457" s="1117">
        <f t="shared" si="321"/>
        <v>1.0765178631728236</v>
      </c>
      <c r="S457" s="1117">
        <f t="shared" si="321"/>
        <v>0.90659516056949496</v>
      </c>
      <c r="T457" s="1117">
        <f t="shared" si="321"/>
        <v>0.27588654862801038</v>
      </c>
      <c r="U457" s="1117">
        <f t="shared" si="321"/>
        <v>0</v>
      </c>
      <c r="V457" s="1117">
        <f t="shared" si="321"/>
        <v>0</v>
      </c>
      <c r="W457" s="1117">
        <f t="shared" si="321"/>
        <v>0</v>
      </c>
      <c r="X457" s="1198">
        <v>0.5</v>
      </c>
      <c r="Y457" s="1198">
        <v>0.5</v>
      </c>
      <c r="Z457" s="1198">
        <v>0.5</v>
      </c>
      <c r="AA457" s="1198">
        <v>0.5</v>
      </c>
      <c r="AB457" s="1198">
        <v>0.5</v>
      </c>
      <c r="AC457" s="1198">
        <v>0.5</v>
      </c>
      <c r="AD457" s="1198">
        <v>0.5</v>
      </c>
      <c r="AE457" s="1198">
        <v>0.5</v>
      </c>
      <c r="AF457" s="1198">
        <v>0.5</v>
      </c>
      <c r="AG457" s="1198">
        <v>0.5</v>
      </c>
      <c r="AH457" s="1198">
        <v>0.5</v>
      </c>
      <c r="AI457" s="685"/>
      <c r="AJ457" s="685"/>
      <c r="AK457" s="685"/>
      <c r="AL457" s="685"/>
      <c r="AM457" s="685"/>
      <c r="AN457" s="685"/>
      <c r="AO457" s="685"/>
      <c r="AP457" s="685"/>
      <c r="AQ457" s="685"/>
      <c r="AR457" s="685"/>
      <c r="AS457" s="685"/>
      <c r="AT457" s="685"/>
      <c r="AU457" s="685"/>
      <c r="AV457" s="685"/>
      <c r="AW457" s="685"/>
      <c r="AX457" s="685"/>
      <c r="AY457" s="685"/>
      <c r="AZ457" s="685"/>
      <c r="BA457" s="685"/>
      <c r="BB457" s="685"/>
      <c r="BC457" s="685"/>
      <c r="BD457" s="685"/>
    </row>
    <row r="458" spans="1:56">
      <c r="A458" s="685"/>
      <c r="B458" s="1115"/>
      <c r="C458" s="1115"/>
      <c r="D458" s="1115"/>
      <c r="E458" s="1115"/>
      <c r="F458" s="1115"/>
      <c r="G458" s="1115"/>
      <c r="H458" s="1115"/>
      <c r="I458" s="1115"/>
      <c r="J458" s="1115"/>
      <c r="K458" s="1115"/>
      <c r="L458" s="1115"/>
      <c r="M458" s="1115"/>
      <c r="N458" s="1115"/>
      <c r="O458" s="1115"/>
      <c r="P458" s="1115"/>
      <c r="Q458" s="1115"/>
      <c r="R458" s="1115"/>
      <c r="S458" s="1115"/>
      <c r="T458" s="1115"/>
      <c r="U458" s="1115"/>
      <c r="V458" s="1115"/>
      <c r="W458" s="1115"/>
      <c r="X458" s="1115"/>
      <c r="Y458" s="1115"/>
      <c r="Z458" s="1115"/>
      <c r="AA458" s="1115"/>
      <c r="AB458" s="1115"/>
      <c r="AC458" s="1115"/>
      <c r="AD458" s="1115"/>
      <c r="AE458" s="1115"/>
      <c r="AF458" s="1115"/>
      <c r="AG458" s="1115"/>
      <c r="AH458" s="1115"/>
      <c r="AI458" s="685"/>
      <c r="AJ458" s="685"/>
      <c r="AK458" s="685"/>
      <c r="AL458" s="685"/>
      <c r="AM458" s="685"/>
      <c r="AN458" s="685"/>
      <c r="AO458" s="685"/>
      <c r="AP458" s="685"/>
      <c r="AQ458" s="685"/>
      <c r="AR458" s="685"/>
      <c r="AS458" s="685"/>
      <c r="AT458" s="685"/>
      <c r="AU458" s="685"/>
      <c r="AV458" s="685"/>
      <c r="AW458" s="685"/>
      <c r="AX458" s="685"/>
      <c r="AY458" s="685"/>
      <c r="AZ458" s="685"/>
      <c r="BA458" s="685"/>
      <c r="BB458" s="685"/>
      <c r="BC458" s="685"/>
      <c r="BD458" s="685"/>
    </row>
    <row r="459" spans="1:56">
      <c r="A459" s="685"/>
      <c r="B459" s="1115" t="s">
        <v>391</v>
      </c>
      <c r="C459" s="1166"/>
      <c r="D459" s="1167">
        <v>0</v>
      </c>
      <c r="E459" s="1167">
        <v>0</v>
      </c>
      <c r="F459" s="1167">
        <v>0</v>
      </c>
      <c r="G459" s="1167">
        <v>0</v>
      </c>
      <c r="H459" s="1167">
        <v>0</v>
      </c>
      <c r="I459" s="1167">
        <v>6793</v>
      </c>
      <c r="J459" s="1167">
        <v>7197</v>
      </c>
      <c r="K459" s="1167">
        <v>7891</v>
      </c>
      <c r="L459" s="1167">
        <v>10234</v>
      </c>
      <c r="M459" s="1167">
        <v>11110</v>
      </c>
      <c r="N459" s="1167">
        <v>12138.8</v>
      </c>
      <c r="O459" s="1167">
        <v>12589.5</v>
      </c>
      <c r="P459" s="1167">
        <v>13995</v>
      </c>
      <c r="Q459" s="1167">
        <v>15070</v>
      </c>
      <c r="R459" s="1167">
        <v>14874</v>
      </c>
      <c r="S459" s="1167">
        <v>14510.1</v>
      </c>
      <c r="T459" s="1167">
        <v>15299.2</v>
      </c>
      <c r="U459" s="1167">
        <v>15619.3</v>
      </c>
      <c r="V459" s="1167">
        <v>15400.9</v>
      </c>
      <c r="W459" s="1167">
        <v>9241.5689999999995</v>
      </c>
      <c r="X459" s="1167">
        <v>9472.723</v>
      </c>
      <c r="Y459" s="1123">
        <f t="shared" ref="Y459:AE459" si="322">X459+Y443-Y483-Y456</f>
        <v>9595.1750499999998</v>
      </c>
      <c r="Z459" s="1123">
        <f t="shared" si="322"/>
        <v>9723.7497025000011</v>
      </c>
      <c r="AA459" s="1123">
        <f t="shared" si="322"/>
        <v>9858.7530876250021</v>
      </c>
      <c r="AB459" s="1123">
        <f t="shared" si="322"/>
        <v>10000.506642006252</v>
      </c>
      <c r="AC459" s="1123">
        <f t="shared" si="322"/>
        <v>10149.347874106565</v>
      </c>
      <c r="AD459" s="1123">
        <f t="shared" si="322"/>
        <v>10305.631167811893</v>
      </c>
      <c r="AE459" s="1123">
        <f t="shared" si="322"/>
        <v>10469.728626202486</v>
      </c>
      <c r="AF459" s="1123">
        <f>AE459+AF443-AF483-AF456</f>
        <v>10642.03095751261</v>
      </c>
      <c r="AG459" s="1123">
        <f>AF459+AG443-AG483-AG456</f>
        <v>10822.948405388241</v>
      </c>
      <c r="AH459" s="1123">
        <f>AG459+AH443-AH483-AH456</f>
        <v>11012.911725657654</v>
      </c>
      <c r="AI459" s="685"/>
      <c r="AJ459" s="685"/>
      <c r="AK459" s="685"/>
      <c r="AL459" s="685"/>
      <c r="AM459" s="685"/>
      <c r="AN459" s="685"/>
      <c r="AO459" s="685"/>
      <c r="AP459" s="685"/>
      <c r="AQ459" s="685"/>
      <c r="AR459" s="685"/>
      <c r="AS459" s="685"/>
      <c r="AT459" s="685"/>
      <c r="AU459" s="685"/>
      <c r="AV459" s="685"/>
      <c r="AW459" s="685"/>
      <c r="AX459" s="685"/>
      <c r="AY459" s="685"/>
      <c r="AZ459" s="685"/>
      <c r="BA459" s="685"/>
      <c r="BB459" s="685"/>
      <c r="BC459" s="685"/>
      <c r="BD459" s="685"/>
    </row>
    <row r="460" spans="1:56">
      <c r="A460" s="685"/>
      <c r="B460" s="1115"/>
      <c r="C460" s="1115"/>
      <c r="D460" s="1115"/>
      <c r="E460" s="1115"/>
      <c r="F460" s="1115"/>
      <c r="G460" s="1115"/>
      <c r="H460" s="1115"/>
      <c r="I460" s="1115"/>
      <c r="J460" s="1115"/>
      <c r="K460" s="1115"/>
      <c r="L460" s="1115"/>
      <c r="M460" s="1115"/>
      <c r="N460" s="1115"/>
      <c r="O460" s="1115"/>
      <c r="P460" s="1115"/>
      <c r="Q460" s="1115"/>
      <c r="R460" s="1115"/>
      <c r="S460" s="1115"/>
      <c r="T460" s="1115"/>
      <c r="U460" s="1115"/>
      <c r="V460" s="1115"/>
      <c r="W460" s="1115"/>
      <c r="X460" s="1115"/>
      <c r="Y460" s="1115"/>
      <c r="Z460" s="1115"/>
      <c r="AA460" s="1115"/>
      <c r="AB460" s="1115"/>
      <c r="AC460" s="1115"/>
      <c r="AD460" s="1115"/>
      <c r="AE460" s="1115"/>
      <c r="AF460" s="1115"/>
      <c r="AG460" s="1115"/>
      <c r="AH460" s="1115"/>
      <c r="AI460" s="685"/>
      <c r="AJ460" s="685"/>
      <c r="AK460" s="685"/>
      <c r="AL460" s="685"/>
      <c r="AM460" s="685"/>
      <c r="AN460" s="685"/>
      <c r="AO460" s="685"/>
      <c r="AP460" s="685"/>
      <c r="AQ460" s="685"/>
      <c r="AR460" s="685"/>
      <c r="AS460" s="685"/>
      <c r="AT460" s="685"/>
      <c r="AU460" s="685"/>
      <c r="AV460" s="685"/>
      <c r="AW460" s="685"/>
      <c r="AX460" s="685"/>
      <c r="AY460" s="685"/>
      <c r="AZ460" s="685"/>
      <c r="BA460" s="685"/>
      <c r="BB460" s="685"/>
      <c r="BC460" s="685"/>
      <c r="BD460" s="685"/>
    </row>
    <row r="461" spans="1:56">
      <c r="A461" s="685"/>
      <c r="B461" s="1115"/>
      <c r="C461" s="1115"/>
      <c r="D461" s="1115"/>
      <c r="E461" s="1115"/>
      <c r="F461" s="1115"/>
      <c r="G461" s="1115"/>
      <c r="H461" s="1115"/>
      <c r="I461" s="1115"/>
      <c r="J461" s="1115"/>
      <c r="K461" s="1115"/>
      <c r="L461" s="1115"/>
      <c r="M461" s="1115"/>
      <c r="N461" s="1115"/>
      <c r="O461" s="1115"/>
      <c r="P461" s="1115"/>
      <c r="Q461" s="1115"/>
      <c r="R461" s="1115"/>
      <c r="S461" s="1115"/>
      <c r="T461" s="1115"/>
      <c r="U461" s="1115"/>
      <c r="V461" s="1115"/>
      <c r="W461" s="1115"/>
      <c r="X461" s="1115"/>
      <c r="Y461" s="1115"/>
      <c r="Z461" s="1115"/>
      <c r="AA461" s="1115"/>
      <c r="AB461" s="1115"/>
      <c r="AC461" s="1115"/>
      <c r="AD461" s="1115"/>
      <c r="AE461" s="1115"/>
      <c r="AF461" s="1115"/>
      <c r="AG461" s="1115"/>
      <c r="AH461" s="1115"/>
      <c r="AI461" s="685"/>
      <c r="AJ461" s="685"/>
      <c r="AK461" s="685"/>
      <c r="AL461" s="685"/>
      <c r="AM461" s="685"/>
      <c r="AN461" s="685"/>
      <c r="AO461" s="685"/>
      <c r="AP461" s="685"/>
      <c r="AQ461" s="685"/>
      <c r="AR461" s="685"/>
      <c r="AS461" s="685"/>
      <c r="AT461" s="685"/>
      <c r="AU461" s="685"/>
      <c r="AV461" s="685"/>
      <c r="AW461" s="685"/>
      <c r="AX461" s="685"/>
      <c r="AY461" s="685"/>
      <c r="AZ461" s="685"/>
      <c r="BA461" s="685"/>
      <c r="BB461" s="685"/>
      <c r="BC461" s="685"/>
      <c r="BD461" s="685"/>
    </row>
    <row r="462" spans="1:56">
      <c r="A462" s="685"/>
      <c r="B462" s="1115"/>
      <c r="C462" s="1115"/>
      <c r="D462" s="1115"/>
      <c r="E462" s="1115"/>
      <c r="F462" s="1115"/>
      <c r="G462" s="1115"/>
      <c r="H462" s="1115"/>
      <c r="I462" s="1115"/>
      <c r="J462" s="1115"/>
      <c r="K462" s="1115"/>
      <c r="L462" s="1115"/>
      <c r="M462" s="1115"/>
      <c r="N462" s="1115"/>
      <c r="O462" s="1115"/>
      <c r="P462" s="1115"/>
      <c r="Q462" s="1115"/>
      <c r="R462" s="1115"/>
      <c r="S462" s="1115"/>
      <c r="T462" s="1115"/>
      <c r="U462" s="1115"/>
      <c r="V462" s="1115"/>
      <c r="W462" s="1115"/>
      <c r="X462" s="1115"/>
      <c r="Y462" s="1115"/>
      <c r="Z462" s="1115"/>
      <c r="AA462" s="1115"/>
      <c r="AB462" s="1115"/>
      <c r="AC462" s="1115"/>
      <c r="AD462" s="1115"/>
      <c r="AE462" s="1115"/>
      <c r="AF462" s="1115"/>
      <c r="AG462" s="1115"/>
      <c r="AH462" s="1115"/>
      <c r="AI462" s="685"/>
      <c r="AJ462" s="685"/>
      <c r="AK462" s="685"/>
      <c r="AL462" s="685"/>
      <c r="AM462" s="685"/>
      <c r="AN462" s="685"/>
      <c r="AO462" s="685"/>
      <c r="AP462" s="685"/>
      <c r="AQ462" s="685"/>
      <c r="AR462" s="685"/>
      <c r="AS462" s="685"/>
      <c r="AT462" s="685"/>
      <c r="AU462" s="685"/>
      <c r="AV462" s="685"/>
      <c r="AW462" s="685"/>
      <c r="AX462" s="685"/>
      <c r="AY462" s="685"/>
      <c r="AZ462" s="685"/>
      <c r="BA462" s="685"/>
      <c r="BB462" s="685"/>
      <c r="BC462" s="685"/>
      <c r="BD462" s="685"/>
    </row>
    <row r="463" spans="1:56">
      <c r="A463" s="685"/>
      <c r="B463" s="1112" t="s">
        <v>268</v>
      </c>
      <c r="C463" s="1112">
        <v>2004</v>
      </c>
      <c r="D463" s="1112">
        <f t="shared" ref="D463:AE463" si="323">C463+1</f>
        <v>2005</v>
      </c>
      <c r="E463" s="1112">
        <f t="shared" si="323"/>
        <v>2006</v>
      </c>
      <c r="F463" s="1112">
        <f t="shared" si="323"/>
        <v>2007</v>
      </c>
      <c r="G463" s="1112">
        <f t="shared" si="323"/>
        <v>2008</v>
      </c>
      <c r="H463" s="1112">
        <f t="shared" si="323"/>
        <v>2009</v>
      </c>
      <c r="I463" s="1112">
        <f t="shared" si="323"/>
        <v>2010</v>
      </c>
      <c r="J463" s="1112">
        <f t="shared" si="323"/>
        <v>2011</v>
      </c>
      <c r="K463" s="1112">
        <f t="shared" si="323"/>
        <v>2012</v>
      </c>
      <c r="L463" s="1112">
        <f t="shared" si="323"/>
        <v>2013</v>
      </c>
      <c r="M463" s="1112">
        <f t="shared" si="323"/>
        <v>2014</v>
      </c>
      <c r="N463" s="1112">
        <f t="shared" si="323"/>
        <v>2015</v>
      </c>
      <c r="O463" s="1112">
        <f t="shared" si="323"/>
        <v>2016</v>
      </c>
      <c r="P463" s="1112">
        <f t="shared" si="323"/>
        <v>2017</v>
      </c>
      <c r="Q463" s="1112">
        <f t="shared" si="323"/>
        <v>2018</v>
      </c>
      <c r="R463" s="1112">
        <f t="shared" si="323"/>
        <v>2019</v>
      </c>
      <c r="S463" s="1112">
        <f t="shared" si="323"/>
        <v>2020</v>
      </c>
      <c r="T463" s="1112">
        <f t="shared" si="323"/>
        <v>2021</v>
      </c>
      <c r="U463" s="1112">
        <f t="shared" si="323"/>
        <v>2022</v>
      </c>
      <c r="V463" s="1112">
        <f t="shared" si="323"/>
        <v>2023</v>
      </c>
      <c r="W463" s="1112">
        <f t="shared" si="323"/>
        <v>2024</v>
      </c>
      <c r="X463" s="1112">
        <f t="shared" si="323"/>
        <v>2025</v>
      </c>
      <c r="Y463" s="1112">
        <f t="shared" si="323"/>
        <v>2026</v>
      </c>
      <c r="Z463" s="1112">
        <f t="shared" si="323"/>
        <v>2027</v>
      </c>
      <c r="AA463" s="1112">
        <f t="shared" si="323"/>
        <v>2028</v>
      </c>
      <c r="AB463" s="1112">
        <f t="shared" si="323"/>
        <v>2029</v>
      </c>
      <c r="AC463" s="1112">
        <f t="shared" si="323"/>
        <v>2030</v>
      </c>
      <c r="AD463" s="1112">
        <f t="shared" si="323"/>
        <v>2031</v>
      </c>
      <c r="AE463" s="1112">
        <f t="shared" si="323"/>
        <v>2032</v>
      </c>
      <c r="AF463" s="1112">
        <f>AE463+1</f>
        <v>2033</v>
      </c>
      <c r="AG463" s="1112">
        <f>AF463+1</f>
        <v>2034</v>
      </c>
      <c r="AH463" s="1112">
        <f>AG463+1</f>
        <v>2035</v>
      </c>
      <c r="AI463" s="685"/>
      <c r="AJ463" s="685"/>
      <c r="AK463" s="685"/>
      <c r="AL463" s="685"/>
      <c r="AM463" s="685"/>
      <c r="AN463" s="685"/>
      <c r="AO463" s="685"/>
      <c r="AP463" s="685"/>
      <c r="AQ463" s="685"/>
      <c r="AR463" s="685"/>
      <c r="AS463" s="685"/>
      <c r="AT463" s="685"/>
      <c r="AU463" s="685"/>
      <c r="AV463" s="685"/>
      <c r="AW463" s="685"/>
      <c r="AX463" s="685"/>
      <c r="AY463" s="685"/>
      <c r="AZ463" s="685"/>
      <c r="BA463" s="685"/>
      <c r="BB463" s="685"/>
      <c r="BC463" s="685"/>
      <c r="BD463" s="685"/>
    </row>
    <row r="464" spans="1:56">
      <c r="A464" s="685"/>
      <c r="B464" s="1115" t="s">
        <v>268</v>
      </c>
      <c r="C464" s="1166"/>
      <c r="D464" s="1167"/>
      <c r="E464" s="1167"/>
      <c r="F464" s="1167"/>
      <c r="G464" s="1167"/>
      <c r="H464" s="1167"/>
      <c r="I464" s="1167">
        <v>45064</v>
      </c>
      <c r="J464" s="1167">
        <v>51660</v>
      </c>
      <c r="K464" s="1167">
        <v>60644</v>
      </c>
      <c r="L464" s="1167">
        <v>68675</v>
      </c>
      <c r="M464" s="1167">
        <v>76805</v>
      </c>
      <c r="N464" s="1167">
        <v>87382.5</v>
      </c>
      <c r="O464" s="1167">
        <v>82204.2</v>
      </c>
      <c r="P464" s="1167">
        <v>85662</v>
      </c>
      <c r="Q464" s="1167">
        <v>89710</v>
      </c>
      <c r="R464" s="1167">
        <v>90627</v>
      </c>
      <c r="S464" s="1167">
        <v>73801</v>
      </c>
      <c r="T464" s="1167">
        <v>80487.5</v>
      </c>
      <c r="U464" s="1167">
        <v>126772.4</v>
      </c>
      <c r="V464" s="1167">
        <v>117625.9</v>
      </c>
      <c r="W464" s="1167">
        <v>102454.056</v>
      </c>
      <c r="X464" s="1167">
        <v>93056.138000000006</v>
      </c>
      <c r="Y464" s="1123">
        <f t="shared" ref="Y464:AE464" ca="1" si="324">X464+Y465-Y466+Y469+Y218</f>
        <v>92742.547290319955</v>
      </c>
      <c r="Z464" s="1123">
        <f t="shared" ca="1" si="324"/>
        <v>94151.890677792093</v>
      </c>
      <c r="AA464" s="1123">
        <f t="shared" ca="1" si="324"/>
        <v>94987.691812469871</v>
      </c>
      <c r="AB464" s="1123">
        <f t="shared" ca="1" si="324"/>
        <v>96912.84136094623</v>
      </c>
      <c r="AC464" s="1123">
        <f t="shared" ca="1" si="324"/>
        <v>100179.61350525948</v>
      </c>
      <c r="AD464" s="1123">
        <f t="shared" ca="1" si="324"/>
        <v>104817.32665413816</v>
      </c>
      <c r="AE464" s="1123">
        <f t="shared" ca="1" si="324"/>
        <v>110655.40622033409</v>
      </c>
      <c r="AF464" s="1123">
        <f ca="1">AE464+AF465-AF466+AF469+AF218</f>
        <v>117570.30367551235</v>
      </c>
      <c r="AG464" s="1123">
        <f ca="1">AF464+AG465-AG466+AG469+AG218</f>
        <v>125142.17519383825</v>
      </c>
      <c r="AH464" s="1123">
        <f ca="1">AG464+AH465-AH466+AH469+AH218</f>
        <v>133374.78458030327</v>
      </c>
      <c r="AI464" s="685"/>
      <c r="AJ464" s="685"/>
      <c r="AK464" s="685"/>
      <c r="AL464" s="685"/>
      <c r="AM464" s="685"/>
      <c r="AN464" s="685"/>
      <c r="AO464" s="685"/>
      <c r="AP464" s="685"/>
      <c r="AQ464" s="685"/>
      <c r="AR464" s="685"/>
      <c r="AS464" s="685"/>
      <c r="AT464" s="685"/>
      <c r="AU464" s="685"/>
      <c r="AV464" s="685"/>
      <c r="AW464" s="685"/>
      <c r="AX464" s="685"/>
      <c r="AY464" s="685"/>
      <c r="AZ464" s="685"/>
      <c r="BA464" s="685"/>
      <c r="BB464" s="685"/>
      <c r="BC464" s="685"/>
      <c r="BD464" s="685"/>
    </row>
    <row r="465" spans="1:56">
      <c r="A465" s="685"/>
      <c r="B465" s="1115" t="s">
        <v>38</v>
      </c>
      <c r="C465" s="1123"/>
      <c r="D465" s="1123">
        <f t="shared" ref="D465:AC465" si="325">D161</f>
        <v>0</v>
      </c>
      <c r="E465" s="1123">
        <f t="shared" si="325"/>
        <v>0</v>
      </c>
      <c r="F465" s="1123">
        <f t="shared" si="325"/>
        <v>0</v>
      </c>
      <c r="G465" s="1123">
        <f t="shared" si="325"/>
        <v>0</v>
      </c>
      <c r="H465" s="1123">
        <f t="shared" si="325"/>
        <v>6007</v>
      </c>
      <c r="I465" s="1123">
        <f t="shared" si="325"/>
        <v>7090</v>
      </c>
      <c r="J465" s="1123">
        <f t="shared" si="325"/>
        <v>6866.2000000000007</v>
      </c>
      <c r="K465" s="1123">
        <f t="shared" si="325"/>
        <v>8761.1000000000022</v>
      </c>
      <c r="L465" s="1123">
        <f t="shared" si="325"/>
        <v>7748.8999999999978</v>
      </c>
      <c r="M465" s="1123">
        <f t="shared" si="325"/>
        <v>5384.6000000000022</v>
      </c>
      <c r="N465" s="1123">
        <f t="shared" si="325"/>
        <v>12724.299999999996</v>
      </c>
      <c r="O465" s="1123">
        <f t="shared" si="325"/>
        <v>3721.1999999999944</v>
      </c>
      <c r="P465" s="1123">
        <f t="shared" si="325"/>
        <v>4525.0000000000018</v>
      </c>
      <c r="Q465" s="1123">
        <f t="shared" si="325"/>
        <v>2494.7999999999993</v>
      </c>
      <c r="R465" s="1123">
        <f t="shared" si="325"/>
        <v>4723.199999999998</v>
      </c>
      <c r="S465" s="1123">
        <f t="shared" si="325"/>
        <v>-375.20000000000505</v>
      </c>
      <c r="T465" s="1123">
        <f t="shared" si="325"/>
        <v>5138.4999999999955</v>
      </c>
      <c r="U465" s="1123">
        <f t="shared" si="325"/>
        <v>-12751.070000000003</v>
      </c>
      <c r="V465" s="1123">
        <f t="shared" si="325"/>
        <v>-10456.607999999998</v>
      </c>
      <c r="W465" s="1123">
        <f t="shared" si="325"/>
        <v>-8265.5430000000051</v>
      </c>
      <c r="X465" s="1123">
        <f t="shared" si="325"/>
        <v>-746.26499999999874</v>
      </c>
      <c r="Y465" s="1123">
        <f t="shared" ca="1" si="325"/>
        <v>-103.15812062515155</v>
      </c>
      <c r="Z465" s="1123">
        <f t="shared" ca="1" si="325"/>
        <v>327.22395879509543</v>
      </c>
      <c r="AA465" s="1123">
        <f t="shared" ca="1" si="325"/>
        <v>796.51613738041533</v>
      </c>
      <c r="AB465" s="1123">
        <f t="shared" ca="1" si="325"/>
        <v>1714.4784485887651</v>
      </c>
      <c r="AC465" s="1123">
        <f t="shared" ca="1" si="325"/>
        <v>2886.3254970141711</v>
      </c>
      <c r="AD465" s="1123">
        <f ca="1">AD161</f>
        <v>4102.8934638539349</v>
      </c>
      <c r="AE465" s="1123">
        <f ca="1">AE161</f>
        <v>5159.9683126503542</v>
      </c>
      <c r="AF465" s="1123">
        <f ca="1">AF161</f>
        <v>6097.1905731425823</v>
      </c>
      <c r="AG465" s="1123">
        <f ca="1">AG161</f>
        <v>6630.6657641938127</v>
      </c>
      <c r="AH465" s="1123">
        <f ca="1">AH161</f>
        <v>7187.4066872941212</v>
      </c>
      <c r="AI465" s="685"/>
      <c r="AJ465" s="685"/>
      <c r="AK465" s="685"/>
      <c r="AL465" s="685"/>
      <c r="AM465" s="685"/>
      <c r="AN465" s="685"/>
      <c r="AO465" s="685"/>
      <c r="AP465" s="685"/>
      <c r="AQ465" s="685"/>
      <c r="AR465" s="685"/>
      <c r="AS465" s="685"/>
      <c r="AT465" s="685"/>
      <c r="AU465" s="685"/>
      <c r="AV465" s="685"/>
      <c r="AW465" s="685"/>
      <c r="AX465" s="685"/>
      <c r="AY465" s="685"/>
      <c r="AZ465" s="685"/>
      <c r="BA465" s="685"/>
      <c r="BB465" s="685"/>
      <c r="BC465" s="685"/>
      <c r="BD465" s="685"/>
    </row>
    <row r="466" spans="1:56">
      <c r="A466" s="685"/>
      <c r="B466" s="1115" t="s">
        <v>392</v>
      </c>
      <c r="C466" s="1115"/>
      <c r="D466" s="1115"/>
      <c r="E466" s="1115"/>
      <c r="F466" s="1115"/>
      <c r="G466" s="1115"/>
      <c r="H466" s="1174">
        <v>76.3</v>
      </c>
      <c r="I466" s="1174">
        <v>243.55799999999999</v>
      </c>
      <c r="J466" s="1174">
        <v>2649</v>
      </c>
      <c r="K466" s="1123" t="e">
        <f>#REF!+#REF!</f>
        <v>#REF!</v>
      </c>
      <c r="L466" s="1123" t="e">
        <f>#REF!+#REF!</f>
        <v>#REF!</v>
      </c>
      <c r="M466" s="1123" t="e">
        <f>#REF!+#REF!</f>
        <v>#REF!</v>
      </c>
      <c r="N466" s="1123" t="e">
        <f>#REF!+#REF!</f>
        <v>#REF!</v>
      </c>
      <c r="O466" s="1174">
        <v>547.61800000000005</v>
      </c>
      <c r="P466" s="1174">
        <v>488.96100000000001</v>
      </c>
      <c r="Q466" s="1174">
        <v>1270.7</v>
      </c>
      <c r="R466" s="1174">
        <v>1294</v>
      </c>
      <c r="S466" s="1174">
        <v>0</v>
      </c>
      <c r="T466" s="1174">
        <f>1053.392</f>
        <v>1053.3920000000001</v>
      </c>
      <c r="U466" s="1174">
        <f>1053.392</f>
        <v>1053.3920000000001</v>
      </c>
      <c r="V466" s="1174">
        <v>1027.354</v>
      </c>
      <c r="W466" s="1174">
        <v>1018.954</v>
      </c>
      <c r="X466" s="1174">
        <v>1018.954</v>
      </c>
      <c r="Y466" s="1123">
        <f t="shared" ref="Y466:AE466" si="326">X584</f>
        <v>1018.954</v>
      </c>
      <c r="Z466" s="1123">
        <f t="shared" si="326"/>
        <v>0</v>
      </c>
      <c r="AA466" s="1123">
        <f t="shared" si="326"/>
        <v>1244.0848717948718</v>
      </c>
      <c r="AB466" s="1123">
        <f t="shared" si="326"/>
        <v>1244.0848717948718</v>
      </c>
      <c r="AC466" s="1123">
        <f t="shared" si="326"/>
        <v>1244.0848717948718</v>
      </c>
      <c r="AD466" s="1123">
        <f t="shared" si="326"/>
        <v>1244.0848717948718</v>
      </c>
      <c r="AE466" s="1123">
        <f t="shared" si="326"/>
        <v>1244.0848717948718</v>
      </c>
      <c r="AF466" s="1123">
        <f>AE584</f>
        <v>1244.0848717948718</v>
      </c>
      <c r="AG466" s="1123">
        <f>AF584</f>
        <v>1244.0848717948718</v>
      </c>
      <c r="AH466" s="1123">
        <f>AG584</f>
        <v>1244.0848717948718</v>
      </c>
      <c r="AI466" s="685"/>
      <c r="AJ466" s="685"/>
      <c r="AK466" s="685"/>
      <c r="AL466" s="685"/>
      <c r="AM466" s="685"/>
      <c r="AN466" s="685"/>
      <c r="AO466" s="685"/>
      <c r="AP466" s="685"/>
      <c r="AQ466" s="685"/>
      <c r="AR466" s="685"/>
      <c r="AS466" s="685"/>
      <c r="AT466" s="685"/>
      <c r="AU466" s="685"/>
      <c r="AV466" s="685"/>
      <c r="AW466" s="685"/>
      <c r="AX466" s="685"/>
      <c r="AY466" s="685"/>
      <c r="AZ466" s="685"/>
      <c r="BA466" s="685"/>
      <c r="BB466" s="685"/>
      <c r="BC466" s="685"/>
      <c r="BD466" s="685"/>
    </row>
    <row r="467" spans="1:56">
      <c r="A467" s="685"/>
      <c r="B467" s="1115"/>
      <c r="C467" s="1123"/>
      <c r="D467" s="1123"/>
      <c r="E467" s="1123"/>
      <c r="F467" s="1123"/>
      <c r="G467" s="1123"/>
      <c r="H467" s="1123"/>
      <c r="I467" s="1123"/>
      <c r="J467" s="1123"/>
      <c r="K467" s="1123"/>
      <c r="L467" s="1123"/>
      <c r="M467" s="1123"/>
      <c r="N467" s="1123"/>
      <c r="O467" s="1123"/>
      <c r="P467" s="1123"/>
      <c r="Q467" s="1123"/>
      <c r="R467" s="1123"/>
      <c r="S467" s="1123"/>
      <c r="T467" s="1123"/>
      <c r="U467" s="1123"/>
      <c r="V467" s="1123"/>
      <c r="W467" s="1123"/>
      <c r="X467" s="1123"/>
      <c r="Y467" s="1123"/>
      <c r="Z467" s="1123"/>
      <c r="AA467" s="1123"/>
      <c r="AB467" s="1123"/>
      <c r="AC467" s="1123"/>
      <c r="AD467" s="1123"/>
      <c r="AE467" s="1123"/>
      <c r="AF467" s="1123"/>
      <c r="AG467" s="1123"/>
      <c r="AH467" s="1123"/>
      <c r="AI467" s="685"/>
      <c r="AJ467" s="685"/>
      <c r="AK467" s="685"/>
      <c r="AL467" s="685"/>
      <c r="AM467" s="685"/>
      <c r="AN467" s="685"/>
      <c r="AO467" s="685"/>
      <c r="AP467" s="685"/>
      <c r="AQ467" s="685"/>
      <c r="AR467" s="685"/>
      <c r="AS467" s="685"/>
      <c r="AT467" s="685"/>
      <c r="AU467" s="685"/>
      <c r="AV467" s="685"/>
      <c r="AW467" s="685"/>
      <c r="AX467" s="685"/>
      <c r="AY467" s="685"/>
      <c r="AZ467" s="685"/>
      <c r="BA467" s="685"/>
      <c r="BB467" s="685"/>
      <c r="BC467" s="685"/>
      <c r="BD467" s="685"/>
    </row>
    <row r="468" spans="1:56">
      <c r="A468" s="685"/>
      <c r="B468" s="1115" t="s">
        <v>393</v>
      </c>
      <c r="C468" s="1123"/>
      <c r="D468" s="1123"/>
      <c r="E468" s="1123"/>
      <c r="F468" s="1123"/>
      <c r="G468" s="1123"/>
      <c r="H468" s="1123"/>
      <c r="I468" s="1123"/>
      <c r="J468" s="1123"/>
      <c r="K468" s="1123"/>
      <c r="L468" s="1123"/>
      <c r="M468" s="1123"/>
      <c r="N468" s="1123"/>
      <c r="O468" s="1123"/>
      <c r="P468" s="1123"/>
      <c r="Q468" s="1123"/>
      <c r="R468" s="1125">
        <v>40</v>
      </c>
      <c r="S468" s="1125">
        <v>42</v>
      </c>
      <c r="T468" s="1126">
        <f t="shared" ref="T468:AE468" si="327">S468*1.07</f>
        <v>44.940000000000005</v>
      </c>
      <c r="U468" s="1126">
        <f t="shared" si="327"/>
        <v>48.085800000000006</v>
      </c>
      <c r="V468" s="1126">
        <f t="shared" si="327"/>
        <v>51.451806000000012</v>
      </c>
      <c r="W468" s="1126">
        <f t="shared" si="327"/>
        <v>55.053432420000014</v>
      </c>
      <c r="X468" s="1126">
        <f t="shared" si="327"/>
        <v>58.907172689400021</v>
      </c>
      <c r="Y468" s="1126">
        <f t="shared" si="327"/>
        <v>63.030674777658028</v>
      </c>
      <c r="Z468" s="1126">
        <f t="shared" si="327"/>
        <v>67.442822012094098</v>
      </c>
      <c r="AA468" s="1126">
        <f t="shared" si="327"/>
        <v>72.163819552940694</v>
      </c>
      <c r="AB468" s="1126">
        <f t="shared" si="327"/>
        <v>77.215286921646552</v>
      </c>
      <c r="AC468" s="1126">
        <f t="shared" si="327"/>
        <v>82.620357006161811</v>
      </c>
      <c r="AD468" s="1126">
        <f t="shared" si="327"/>
        <v>88.403781996593139</v>
      </c>
      <c r="AE468" s="1126">
        <f t="shared" si="327"/>
        <v>94.592046736354661</v>
      </c>
      <c r="AF468" s="1126">
        <f>AE468*1.07</f>
        <v>101.21349000789949</v>
      </c>
      <c r="AG468" s="1126">
        <f>AF468*1.07</f>
        <v>108.29843430845247</v>
      </c>
      <c r="AH468" s="1126">
        <f>AG468*1.07</f>
        <v>115.87932471004414</v>
      </c>
      <c r="AI468" s="685"/>
      <c r="AJ468" s="685"/>
      <c r="AK468" s="685"/>
      <c r="AL468" s="685"/>
      <c r="AM468" s="685"/>
      <c r="AN468" s="685"/>
      <c r="AO468" s="685"/>
      <c r="AP468" s="685"/>
      <c r="AQ468" s="685"/>
      <c r="AR468" s="685"/>
      <c r="AS468" s="685"/>
      <c r="AT468" s="685"/>
      <c r="AU468" s="685"/>
      <c r="AV468" s="685"/>
      <c r="AW468" s="685"/>
      <c r="AX468" s="685"/>
      <c r="AY468" s="685"/>
      <c r="AZ468" s="685"/>
      <c r="BA468" s="685"/>
      <c r="BB468" s="685"/>
      <c r="BC468" s="685"/>
      <c r="BD468" s="685"/>
    </row>
    <row r="469" spans="1:56">
      <c r="A469" s="685"/>
      <c r="B469" s="1115" t="s">
        <v>394</v>
      </c>
      <c r="C469" s="1123"/>
      <c r="D469" s="1125">
        <v>0</v>
      </c>
      <c r="E469" s="1125">
        <v>0</v>
      </c>
      <c r="F469" s="1125">
        <v>0</v>
      </c>
      <c r="G469" s="1125">
        <v>0</v>
      </c>
      <c r="H469" s="1125">
        <v>705.1</v>
      </c>
      <c r="I469" s="1125">
        <v>1274</v>
      </c>
      <c r="J469" s="1125">
        <v>0</v>
      </c>
      <c r="K469" s="1125">
        <v>0</v>
      </c>
      <c r="L469" s="1125">
        <v>0</v>
      </c>
      <c r="M469" s="1125">
        <v>0</v>
      </c>
      <c r="N469" s="1125">
        <v>0</v>
      </c>
      <c r="O469" s="1125">
        <v>0</v>
      </c>
      <c r="P469" s="1125">
        <v>0</v>
      </c>
      <c r="Q469" s="1125"/>
      <c r="R469" s="1123">
        <f>(R527+R534+R513+R520)*R468/117</f>
        <v>-1367.5213675213674</v>
      </c>
      <c r="S469" s="1123">
        <f>(S527+S534+S513+S520)*S468/117</f>
        <v>394.87179487179486</v>
      </c>
      <c r="T469" s="1125">
        <v>-1278</v>
      </c>
      <c r="U469" s="1125">
        <v>-629</v>
      </c>
      <c r="V469" s="1125">
        <v>-1197.0820000000001</v>
      </c>
      <c r="W469" s="1125">
        <v>0</v>
      </c>
      <c r="X469" s="1125">
        <v>0</v>
      </c>
      <c r="Y469" s="1126"/>
      <c r="Z469" s="1126"/>
      <c r="AA469" s="1126"/>
      <c r="AB469" s="1126"/>
      <c r="AC469" s="1126"/>
      <c r="AD469" s="1126"/>
      <c r="AE469" s="1126"/>
      <c r="AF469" s="1126"/>
      <c r="AG469" s="1126"/>
      <c r="AH469" s="1126"/>
      <c r="AI469" s="685"/>
      <c r="AJ469" s="685"/>
      <c r="AK469" s="685"/>
      <c r="AL469" s="685"/>
      <c r="AM469" s="685"/>
      <c r="AN469" s="685"/>
      <c r="AO469" s="685"/>
      <c r="AP469" s="685"/>
      <c r="AQ469" s="685"/>
      <c r="AR469" s="685"/>
      <c r="AS469" s="685"/>
      <c r="AT469" s="685"/>
      <c r="AU469" s="685"/>
      <c r="AV469" s="685"/>
      <c r="AW469" s="685"/>
      <c r="AX469" s="685"/>
      <c r="AY469" s="685"/>
      <c r="AZ469" s="685"/>
      <c r="BA469" s="685"/>
      <c r="BB469" s="685"/>
      <c r="BC469" s="685"/>
      <c r="BD469" s="685"/>
    </row>
    <row r="470" spans="1:56">
      <c r="A470" s="685"/>
      <c r="B470" s="1115" t="s">
        <v>107</v>
      </c>
      <c r="C470" s="1123"/>
      <c r="D470" s="1123"/>
      <c r="E470" s="1123"/>
      <c r="F470" s="1123"/>
      <c r="G470" s="1123"/>
      <c r="H470" s="1115"/>
      <c r="I470" s="1115"/>
      <c r="J470" s="1115"/>
      <c r="K470" s="1115"/>
      <c r="L470" s="1115"/>
      <c r="M470" s="1115"/>
      <c r="N470" s="1115"/>
      <c r="O470" s="1115"/>
      <c r="P470" s="1115"/>
      <c r="Q470" s="1115"/>
      <c r="R470" s="1124"/>
      <c r="S470" s="1115"/>
      <c r="T470" s="1115"/>
      <c r="U470" s="1115"/>
      <c r="V470" s="1115"/>
      <c r="W470" s="1115"/>
      <c r="X470" s="1115"/>
      <c r="Y470" s="1115"/>
      <c r="Z470" s="1115"/>
      <c r="AA470" s="1115"/>
      <c r="AB470" s="1115"/>
      <c r="AC470" s="1115"/>
      <c r="AD470" s="1115"/>
      <c r="AE470" s="1115"/>
      <c r="AF470" s="1115"/>
      <c r="AG470" s="1115"/>
      <c r="AH470" s="1115"/>
      <c r="AI470" s="685"/>
      <c r="AJ470" s="685"/>
      <c r="AK470" s="685"/>
      <c r="AL470" s="685"/>
      <c r="AM470" s="685"/>
      <c r="AN470" s="685"/>
      <c r="AO470" s="685"/>
      <c r="AP470" s="685"/>
      <c r="AQ470" s="685"/>
      <c r="AR470" s="685"/>
      <c r="AS470" s="685"/>
      <c r="AT470" s="685"/>
      <c r="AU470" s="685"/>
      <c r="AV470" s="685"/>
      <c r="AW470" s="685"/>
      <c r="AX470" s="685"/>
      <c r="AY470" s="685"/>
      <c r="AZ470" s="685"/>
      <c r="BA470" s="685"/>
      <c r="BB470" s="685"/>
      <c r="BC470" s="685"/>
      <c r="BD470" s="685"/>
    </row>
    <row r="471" spans="1:56">
      <c r="A471" s="685"/>
      <c r="B471" s="1115"/>
      <c r="C471" s="1123"/>
      <c r="D471" s="1123"/>
      <c r="E471" s="1123"/>
      <c r="F471" s="1123"/>
      <c r="G471" s="1123"/>
      <c r="H471" s="1115"/>
      <c r="I471" s="1115"/>
      <c r="J471" s="1115"/>
      <c r="K471" s="1115"/>
      <c r="L471" s="1115"/>
      <c r="M471" s="1115"/>
      <c r="N471" s="1115"/>
      <c r="O471" s="1115"/>
      <c r="P471" s="1115"/>
      <c r="Q471" s="1115"/>
      <c r="R471" s="1115"/>
      <c r="S471" s="1115"/>
      <c r="T471" s="1115"/>
      <c r="U471" s="1115"/>
      <c r="V471" s="1115"/>
      <c r="W471" s="1115"/>
      <c r="X471" s="1115"/>
      <c r="Y471" s="1115"/>
      <c r="Z471" s="1115"/>
      <c r="AA471" s="1115"/>
      <c r="AB471" s="1115"/>
      <c r="AC471" s="1115"/>
      <c r="AD471" s="1115"/>
      <c r="AE471" s="1115"/>
      <c r="AF471" s="1115"/>
      <c r="AG471" s="1115"/>
      <c r="AH471" s="1115"/>
      <c r="AI471" s="685"/>
      <c r="AJ471" s="685"/>
      <c r="AK471" s="685"/>
      <c r="AL471" s="685"/>
      <c r="AM471" s="685"/>
      <c r="AN471" s="685"/>
      <c r="AO471" s="685"/>
      <c r="AP471" s="685"/>
      <c r="AQ471" s="685"/>
      <c r="AR471" s="685"/>
      <c r="AS471" s="685"/>
      <c r="AT471" s="685"/>
      <c r="AU471" s="685"/>
      <c r="AV471" s="685"/>
      <c r="AW471" s="685"/>
      <c r="AX471" s="685"/>
      <c r="AY471" s="685"/>
      <c r="AZ471" s="685"/>
      <c r="BA471" s="685"/>
      <c r="BB471" s="685"/>
      <c r="BC471" s="685"/>
      <c r="BD471" s="685"/>
    </row>
    <row r="472" spans="1:56">
      <c r="A472" s="685"/>
      <c r="B472" s="1115"/>
      <c r="C472" s="1123"/>
      <c r="D472" s="1123"/>
      <c r="E472" s="1123"/>
      <c r="F472" s="1123"/>
      <c r="G472" s="1123"/>
      <c r="H472" s="1115"/>
      <c r="I472" s="1115"/>
      <c r="J472" s="1115"/>
      <c r="K472" s="1115"/>
      <c r="L472" s="1115"/>
      <c r="M472" s="1115"/>
      <c r="N472" s="1115"/>
      <c r="O472" s="1115"/>
      <c r="P472" s="1115"/>
      <c r="Q472" s="1115"/>
      <c r="R472" s="1115"/>
      <c r="S472" s="1115"/>
      <c r="T472" s="1115"/>
      <c r="U472" s="1115"/>
      <c r="V472" s="1115"/>
      <c r="W472" s="1115"/>
      <c r="X472" s="1115"/>
      <c r="Y472" s="1115"/>
      <c r="Z472" s="1115"/>
      <c r="AA472" s="1115"/>
      <c r="AB472" s="1115"/>
      <c r="AC472" s="1115"/>
      <c r="AD472" s="1115"/>
      <c r="AE472" s="1115"/>
      <c r="AF472" s="1115"/>
      <c r="AG472" s="1115"/>
      <c r="AH472" s="1115"/>
      <c r="AI472" s="685"/>
      <c r="AJ472" s="685"/>
      <c r="AK472" s="685"/>
      <c r="AL472" s="685"/>
      <c r="AM472" s="685"/>
      <c r="AN472" s="685"/>
      <c r="AO472" s="685"/>
      <c r="AP472" s="685"/>
      <c r="AQ472" s="685"/>
      <c r="AR472" s="685"/>
      <c r="AS472" s="685"/>
      <c r="AT472" s="685"/>
      <c r="AU472" s="685"/>
      <c r="AV472" s="685"/>
      <c r="AW472" s="685"/>
      <c r="AX472" s="685"/>
      <c r="AY472" s="685"/>
      <c r="AZ472" s="685"/>
      <c r="BA472" s="685"/>
      <c r="BB472" s="685"/>
      <c r="BC472" s="685"/>
      <c r="BD472" s="685"/>
    </row>
    <row r="473" spans="1:56">
      <c r="A473" s="685"/>
      <c r="B473" s="1115"/>
      <c r="C473" s="1123"/>
      <c r="D473" s="1123"/>
      <c r="E473" s="1123"/>
      <c r="F473" s="1123"/>
      <c r="G473" s="1123"/>
      <c r="H473" s="1115"/>
      <c r="I473" s="1115"/>
      <c r="J473" s="1115"/>
      <c r="K473" s="1115"/>
      <c r="L473" s="1115"/>
      <c r="M473" s="1115"/>
      <c r="N473" s="1115"/>
      <c r="O473" s="1115"/>
      <c r="P473" s="1115"/>
      <c r="Q473" s="1115"/>
      <c r="R473" s="1115"/>
      <c r="S473" s="1115"/>
      <c r="T473" s="1115"/>
      <c r="U473" s="1115"/>
      <c r="V473" s="1115"/>
      <c r="W473" s="1115"/>
      <c r="X473" s="1115"/>
      <c r="Y473" s="1115"/>
      <c r="Z473" s="1115"/>
      <c r="AA473" s="1115"/>
      <c r="AB473" s="1115"/>
      <c r="AC473" s="1115"/>
      <c r="AD473" s="1115"/>
      <c r="AE473" s="1115"/>
      <c r="AF473" s="1115"/>
      <c r="AG473" s="1115"/>
      <c r="AH473" s="1115"/>
      <c r="AI473" s="685"/>
      <c r="AJ473" s="685"/>
      <c r="AK473" s="685"/>
      <c r="AL473" s="685"/>
      <c r="AM473" s="685"/>
      <c r="AN473" s="685"/>
      <c r="AO473" s="685"/>
      <c r="AP473" s="685"/>
      <c r="AQ473" s="685"/>
      <c r="AR473" s="685"/>
      <c r="AS473" s="685"/>
      <c r="AT473" s="685"/>
      <c r="AU473" s="685"/>
      <c r="AV473" s="685"/>
      <c r="AW473" s="685"/>
      <c r="AX473" s="685"/>
      <c r="AY473" s="685"/>
      <c r="AZ473" s="685"/>
      <c r="BA473" s="685"/>
      <c r="BB473" s="685"/>
      <c r="BC473" s="685"/>
      <c r="BD473" s="685"/>
    </row>
    <row r="474" spans="1:56">
      <c r="A474" s="685"/>
      <c r="B474" s="1112" t="s">
        <v>35</v>
      </c>
      <c r="C474" s="1112">
        <v>2004</v>
      </c>
      <c r="D474" s="1112">
        <f t="shared" ref="D474:AE474" si="328">C474+1</f>
        <v>2005</v>
      </c>
      <c r="E474" s="1112">
        <f t="shared" si="328"/>
        <v>2006</v>
      </c>
      <c r="F474" s="1112">
        <f t="shared" si="328"/>
        <v>2007</v>
      </c>
      <c r="G474" s="1112">
        <f t="shared" si="328"/>
        <v>2008</v>
      </c>
      <c r="H474" s="1112">
        <f t="shared" si="328"/>
        <v>2009</v>
      </c>
      <c r="I474" s="1112">
        <f t="shared" si="328"/>
        <v>2010</v>
      </c>
      <c r="J474" s="1112">
        <f t="shared" si="328"/>
        <v>2011</v>
      </c>
      <c r="K474" s="1112">
        <f t="shared" si="328"/>
        <v>2012</v>
      </c>
      <c r="L474" s="1112">
        <f t="shared" si="328"/>
        <v>2013</v>
      </c>
      <c r="M474" s="1112">
        <f t="shared" si="328"/>
        <v>2014</v>
      </c>
      <c r="N474" s="1112">
        <f t="shared" si="328"/>
        <v>2015</v>
      </c>
      <c r="O474" s="1112">
        <f t="shared" si="328"/>
        <v>2016</v>
      </c>
      <c r="P474" s="1112">
        <f t="shared" si="328"/>
        <v>2017</v>
      </c>
      <c r="Q474" s="1112">
        <f t="shared" si="328"/>
        <v>2018</v>
      </c>
      <c r="R474" s="1112">
        <f t="shared" si="328"/>
        <v>2019</v>
      </c>
      <c r="S474" s="1112">
        <f t="shared" si="328"/>
        <v>2020</v>
      </c>
      <c r="T474" s="1112">
        <f t="shared" si="328"/>
        <v>2021</v>
      </c>
      <c r="U474" s="1112">
        <f t="shared" si="328"/>
        <v>2022</v>
      </c>
      <c r="V474" s="1112">
        <f t="shared" si="328"/>
        <v>2023</v>
      </c>
      <c r="W474" s="1112">
        <f t="shared" si="328"/>
        <v>2024</v>
      </c>
      <c r="X474" s="1112">
        <f t="shared" si="328"/>
        <v>2025</v>
      </c>
      <c r="Y474" s="1112">
        <f t="shared" si="328"/>
        <v>2026</v>
      </c>
      <c r="Z474" s="1112">
        <f t="shared" si="328"/>
        <v>2027</v>
      </c>
      <c r="AA474" s="1112">
        <f t="shared" si="328"/>
        <v>2028</v>
      </c>
      <c r="AB474" s="1112">
        <f t="shared" si="328"/>
        <v>2029</v>
      </c>
      <c r="AC474" s="1112">
        <f t="shared" si="328"/>
        <v>2030</v>
      </c>
      <c r="AD474" s="1112">
        <f t="shared" si="328"/>
        <v>2031</v>
      </c>
      <c r="AE474" s="1112">
        <f t="shared" si="328"/>
        <v>2032</v>
      </c>
      <c r="AF474" s="1112">
        <f>AE474+1</f>
        <v>2033</v>
      </c>
      <c r="AG474" s="1112">
        <f>AF474+1</f>
        <v>2034</v>
      </c>
      <c r="AH474" s="1112">
        <f>AG474+1</f>
        <v>2035</v>
      </c>
      <c r="AI474" s="685"/>
      <c r="AJ474" s="685"/>
      <c r="AK474" s="685"/>
      <c r="AL474" s="685"/>
      <c r="AM474" s="685"/>
      <c r="AN474" s="685"/>
      <c r="AO474" s="685"/>
      <c r="AP474" s="685"/>
      <c r="AQ474" s="685"/>
      <c r="AR474" s="685"/>
      <c r="AS474" s="685"/>
      <c r="AT474" s="685"/>
      <c r="AU474" s="685"/>
      <c r="AV474" s="685"/>
      <c r="AW474" s="685"/>
      <c r="AX474" s="685"/>
      <c r="AY474" s="685"/>
      <c r="AZ474" s="685"/>
      <c r="BA474" s="685"/>
      <c r="BB474" s="685"/>
      <c r="BC474" s="685"/>
      <c r="BD474" s="685"/>
    </row>
    <row r="475" spans="1:56">
      <c r="A475" s="685"/>
      <c r="B475" s="1115" t="s">
        <v>35</v>
      </c>
      <c r="C475" s="1123"/>
      <c r="D475" s="1114"/>
      <c r="E475" s="1114"/>
      <c r="F475" s="1114"/>
      <c r="G475" s="1114"/>
      <c r="H475" s="1114">
        <f t="shared" ref="H475:AC475" si="329">H87</f>
        <v>6740.55</v>
      </c>
      <c r="I475" s="1114">
        <f t="shared" si="329"/>
        <v>12768.93</v>
      </c>
      <c r="J475" s="1114">
        <f t="shared" si="329"/>
        <v>9840.0399999999991</v>
      </c>
      <c r="K475" s="1114">
        <f t="shared" si="329"/>
        <v>11593.960000000001</v>
      </c>
      <c r="L475" s="1114">
        <f t="shared" si="329"/>
        <v>14773.527999999998</v>
      </c>
      <c r="M475" s="1114">
        <f t="shared" si="329"/>
        <v>16944.960999999999</v>
      </c>
      <c r="N475" s="1114">
        <f t="shared" si="329"/>
        <v>25477.698</v>
      </c>
      <c r="O475" s="1114">
        <f t="shared" si="329"/>
        <v>27913.08</v>
      </c>
      <c r="P475" s="1114">
        <f t="shared" si="329"/>
        <v>16720.829999999998</v>
      </c>
      <c r="Q475" s="1114">
        <f t="shared" si="329"/>
        <v>18660.95</v>
      </c>
      <c r="R475" s="1114">
        <f t="shared" si="329"/>
        <v>19067.125</v>
      </c>
      <c r="S475" s="1114">
        <f t="shared" si="329"/>
        <v>20178.311999999998</v>
      </c>
      <c r="T475" s="1114">
        <f t="shared" si="329"/>
        <v>23310.092270413064</v>
      </c>
      <c r="U475" s="1114">
        <f t="shared" si="329"/>
        <v>17214.16</v>
      </c>
      <c r="V475" s="1114">
        <f t="shared" si="329"/>
        <v>14503.380000000001</v>
      </c>
      <c r="W475" s="1114">
        <f t="shared" si="329"/>
        <v>9097.5</v>
      </c>
      <c r="X475" s="1114">
        <f t="shared" si="329"/>
        <v>12186.6</v>
      </c>
      <c r="Y475" s="1114">
        <f t="shared" si="329"/>
        <v>14278.20668726951</v>
      </c>
      <c r="Z475" s="1114">
        <f t="shared" si="329"/>
        <v>11169.233759721894</v>
      </c>
      <c r="AA475" s="1114">
        <f t="shared" si="329"/>
        <v>10295.922991520487</v>
      </c>
      <c r="AB475" s="1114">
        <f t="shared" si="329"/>
        <v>10007.361481214053</v>
      </c>
      <c r="AC475" s="1114">
        <f t="shared" si="329"/>
        <v>9842.9993612570379</v>
      </c>
      <c r="AD475" s="1114">
        <f>AD87</f>
        <v>9746.5970199636795</v>
      </c>
      <c r="AE475" s="1114">
        <f>AE87</f>
        <v>9717.2948397674299</v>
      </c>
      <c r="AF475" s="1114">
        <f>AF87</f>
        <v>9648.4231927797882</v>
      </c>
      <c r="AG475" s="1114">
        <f>AG87</f>
        <v>9535.7456636803963</v>
      </c>
      <c r="AH475" s="1114">
        <f>AH87</f>
        <v>9588.1908191442399</v>
      </c>
      <c r="AI475" s="685"/>
      <c r="AJ475" s="685"/>
      <c r="AK475" s="685"/>
      <c r="AL475" s="685"/>
      <c r="AM475" s="685"/>
      <c r="AN475" s="685"/>
      <c r="AO475" s="685"/>
      <c r="AP475" s="685"/>
      <c r="AQ475" s="685"/>
      <c r="AR475" s="685"/>
      <c r="AS475" s="685"/>
      <c r="AT475" s="685"/>
      <c r="AU475" s="685"/>
      <c r="AV475" s="685"/>
      <c r="AW475" s="685"/>
      <c r="AX475" s="685"/>
      <c r="AY475" s="685"/>
      <c r="AZ475" s="685"/>
      <c r="BA475" s="685"/>
      <c r="BB475" s="685"/>
      <c r="BC475" s="685"/>
      <c r="BD475" s="685"/>
    </row>
    <row r="476" spans="1:56">
      <c r="A476" s="685"/>
      <c r="B476" s="1115" t="s">
        <v>395</v>
      </c>
      <c r="C476" s="1123"/>
      <c r="D476" s="1123"/>
      <c r="E476" s="1123"/>
      <c r="F476" s="1123"/>
      <c r="G476" s="1123"/>
      <c r="H476" s="1123"/>
      <c r="I476" s="1117">
        <f t="shared" ref="I476:AE476" si="330">I475/H475-1</f>
        <v>0.89434541691701708</v>
      </c>
      <c r="J476" s="1117">
        <f t="shared" si="330"/>
        <v>-0.22937630639372297</v>
      </c>
      <c r="K476" s="1117">
        <f t="shared" si="330"/>
        <v>0.17824317787326094</v>
      </c>
      <c r="L476" s="1117">
        <f t="shared" si="330"/>
        <v>0.27424348540101895</v>
      </c>
      <c r="M476" s="1117">
        <f t="shared" si="330"/>
        <v>0.14698134392813955</v>
      </c>
      <c r="N476" s="1117">
        <f t="shared" si="330"/>
        <v>0.50355601290554763</v>
      </c>
      <c r="O476" s="1117">
        <f t="shared" si="330"/>
        <v>9.5588777290632754E-2</v>
      </c>
      <c r="P476" s="1117">
        <f t="shared" si="330"/>
        <v>-0.40096793331298453</v>
      </c>
      <c r="Q476" s="1117">
        <f t="shared" si="330"/>
        <v>0.11603012529880408</v>
      </c>
      <c r="R476" s="1117">
        <f t="shared" si="330"/>
        <v>2.1766040850010215E-2</v>
      </c>
      <c r="S476" s="1117">
        <f t="shared" si="330"/>
        <v>5.8277637556789497E-2</v>
      </c>
      <c r="T476" s="1117">
        <f t="shared" si="330"/>
        <v>0.15520526545595414</v>
      </c>
      <c r="U476" s="1117">
        <f t="shared" si="330"/>
        <v>-0.26151472073538229</v>
      </c>
      <c r="V476" s="1117">
        <f t="shared" si="330"/>
        <v>-0.15747384711191248</v>
      </c>
      <c r="W476" s="1117">
        <f t="shared" si="330"/>
        <v>-0.37273242513124527</v>
      </c>
      <c r="X476" s="1117">
        <f t="shared" si="330"/>
        <v>0.33955482275350368</v>
      </c>
      <c r="Y476" s="1117">
        <f t="shared" si="330"/>
        <v>0.17163168457728251</v>
      </c>
      <c r="Z476" s="1117">
        <f t="shared" si="330"/>
        <v>-0.21774253557483414</v>
      </c>
      <c r="AA476" s="1117">
        <f t="shared" si="330"/>
        <v>-7.818895968949191E-2</v>
      </c>
      <c r="AB476" s="1117">
        <f t="shared" si="330"/>
        <v>-2.8026774340104033E-2</v>
      </c>
      <c r="AC476" s="1117">
        <f t="shared" si="330"/>
        <v>-1.6424121409580161E-2</v>
      </c>
      <c r="AD476" s="1117">
        <f t="shared" si="330"/>
        <v>-9.7940005637719985E-3</v>
      </c>
      <c r="AE476" s="1117">
        <f t="shared" si="330"/>
        <v>-3.0064011199222307E-3</v>
      </c>
      <c r="AF476" s="1117">
        <f>AF475/AE475-1</f>
        <v>-7.0875329115042129E-3</v>
      </c>
      <c r="AG476" s="1117">
        <f>AG475/AF475-1</f>
        <v>-1.1678336122705746E-2</v>
      </c>
      <c r="AH476" s="1117">
        <f>AH475/AG475-1</f>
        <v>5.4998483929364905E-3</v>
      </c>
      <c r="AI476" s="685"/>
      <c r="AJ476" s="685"/>
      <c r="AK476" s="685"/>
      <c r="AL476" s="685"/>
      <c r="AM476" s="685"/>
      <c r="AN476" s="685"/>
      <c r="AO476" s="685"/>
      <c r="AP476" s="685"/>
      <c r="AQ476" s="685"/>
      <c r="AR476" s="685"/>
      <c r="AS476" s="685"/>
      <c r="AT476" s="685"/>
      <c r="AU476" s="685"/>
      <c r="AV476" s="685"/>
      <c r="AW476" s="685"/>
      <c r="AX476" s="685"/>
      <c r="AY476" s="685"/>
      <c r="AZ476" s="685"/>
      <c r="BA476" s="685"/>
      <c r="BB476" s="685"/>
      <c r="BC476" s="685"/>
      <c r="BD476" s="685"/>
    </row>
    <row r="477" spans="1:56">
      <c r="A477" s="685"/>
      <c r="B477" s="1115" t="s">
        <v>396</v>
      </c>
      <c r="C477" s="1123"/>
      <c r="D477" s="1118">
        <f t="shared" ref="D477:AC477" si="331">D475/D132</f>
        <v>0</v>
      </c>
      <c r="E477" s="1118">
        <f t="shared" si="331"/>
        <v>0</v>
      </c>
      <c r="F477" s="1118">
        <f t="shared" si="331"/>
        <v>0</v>
      </c>
      <c r="G477" s="1118">
        <f t="shared" si="331"/>
        <v>0</v>
      </c>
      <c r="H477" s="1118">
        <f t="shared" si="331"/>
        <v>0.12875347525409081</v>
      </c>
      <c r="I477" s="1118">
        <f t="shared" si="331"/>
        <v>0.22069886340067202</v>
      </c>
      <c r="J477" s="1118">
        <f t="shared" si="331"/>
        <v>0.1572356047713781</v>
      </c>
      <c r="K477" s="1118">
        <f t="shared" si="331"/>
        <v>0.16732418920947204</v>
      </c>
      <c r="L477" s="1118">
        <f t="shared" si="331"/>
        <v>0.20020066780859042</v>
      </c>
      <c r="M477" s="1118">
        <f t="shared" si="331"/>
        <v>0.21149899398889643</v>
      </c>
      <c r="N477" s="1118">
        <f t="shared" si="331"/>
        <v>0.28934831690364787</v>
      </c>
      <c r="O477" s="1118">
        <f t="shared" si="331"/>
        <v>0.28989338168856987</v>
      </c>
      <c r="P477" s="1118">
        <f t="shared" si="331"/>
        <v>0.17736229116945104</v>
      </c>
      <c r="Q477" s="1118">
        <f t="shared" si="331"/>
        <v>0.18419652551574375</v>
      </c>
      <c r="R477" s="1118">
        <f t="shared" si="331"/>
        <v>0.18943876141821309</v>
      </c>
      <c r="S477" s="1118">
        <f t="shared" si="331"/>
        <v>0.20772766251828576</v>
      </c>
      <c r="T477" s="1118">
        <f t="shared" si="331"/>
        <v>0.22517085551461685</v>
      </c>
      <c r="U477" s="1118">
        <f t="shared" si="331"/>
        <v>0.22792181827329708</v>
      </c>
      <c r="V477" s="1118">
        <f t="shared" si="331"/>
        <v>0.1966082808376001</v>
      </c>
      <c r="W477" s="1118">
        <f t="shared" si="331"/>
        <v>0.14611907730673315</v>
      </c>
      <c r="X477" s="1118">
        <f t="shared" si="331"/>
        <v>0.20697983294326255</v>
      </c>
      <c r="Y477" s="1118">
        <f t="shared" si="331"/>
        <v>0.25013464885861597</v>
      </c>
      <c r="Z477" s="1118">
        <f t="shared" si="331"/>
        <v>0.20342106412768107</v>
      </c>
      <c r="AA477" s="1118">
        <f t="shared" si="331"/>
        <v>0.19618352464367766</v>
      </c>
      <c r="AB477" s="1118">
        <f t="shared" si="331"/>
        <v>0.19278090453177588</v>
      </c>
      <c r="AC477" s="1118">
        <f t="shared" si="331"/>
        <v>0.1888287414640448</v>
      </c>
      <c r="AD477" s="1118">
        <f>AD475/AD132</f>
        <v>0.18463194326856835</v>
      </c>
      <c r="AE477" s="1118">
        <f>AE475/AE132</f>
        <v>0.1825</v>
      </c>
      <c r="AF477" s="1118">
        <f>AF475/AF132</f>
        <v>0.18</v>
      </c>
      <c r="AG477" s="1118">
        <f>AG475/AG132</f>
        <v>0.18</v>
      </c>
      <c r="AH477" s="1118">
        <f>AH475/AH132</f>
        <v>0.17999999999999997</v>
      </c>
      <c r="AI477" s="685"/>
      <c r="AJ477" s="685"/>
      <c r="AK477" s="685"/>
      <c r="AL477" s="685"/>
      <c r="AM477" s="685"/>
      <c r="AN477" s="685"/>
      <c r="AO477" s="685"/>
      <c r="AP477" s="685"/>
      <c r="AQ477" s="685"/>
      <c r="AR477" s="685"/>
      <c r="AS477" s="685"/>
      <c r="AT477" s="685"/>
      <c r="AU477" s="685"/>
      <c r="AV477" s="685"/>
      <c r="AW477" s="685"/>
      <c r="AX477" s="685"/>
      <c r="AY477" s="685"/>
      <c r="AZ477" s="685"/>
      <c r="BA477" s="685"/>
      <c r="BB477" s="685"/>
      <c r="BC477" s="685"/>
      <c r="BD477" s="685"/>
    </row>
    <row r="478" spans="1:56">
      <c r="A478" s="685"/>
      <c r="B478" s="1115"/>
      <c r="C478" s="1115"/>
      <c r="D478" s="1115"/>
      <c r="E478" s="1115"/>
      <c r="F478" s="1115"/>
      <c r="G478" s="1115"/>
      <c r="H478" s="1115"/>
      <c r="I478" s="1115"/>
      <c r="J478" s="1115"/>
      <c r="K478" s="1115"/>
      <c r="L478" s="1115"/>
      <c r="M478" s="1115"/>
      <c r="N478" s="1115"/>
      <c r="O478" s="1115"/>
      <c r="P478" s="1115"/>
      <c r="Q478" s="1115"/>
      <c r="R478" s="1115"/>
      <c r="S478" s="1115"/>
      <c r="T478" s="1115"/>
      <c r="U478" s="1115"/>
      <c r="V478" s="1115"/>
      <c r="W478" s="1115"/>
      <c r="X478" s="1115"/>
      <c r="Y478" s="1115"/>
      <c r="Z478" s="1115"/>
      <c r="AA478" s="1115"/>
      <c r="AB478" s="1115"/>
      <c r="AC478" s="1115"/>
      <c r="AD478" s="1115"/>
      <c r="AE478" s="1115"/>
      <c r="AF478" s="1115"/>
      <c r="AG478" s="1115"/>
      <c r="AH478" s="1115"/>
      <c r="AI478" s="685"/>
      <c r="AJ478" s="685"/>
      <c r="AK478" s="685"/>
      <c r="AL478" s="685"/>
      <c r="AM478" s="685"/>
      <c r="AN478" s="685"/>
      <c r="AO478" s="685"/>
      <c r="AP478" s="685"/>
      <c r="AQ478" s="685"/>
      <c r="AR478" s="685"/>
      <c r="AS478" s="685"/>
      <c r="AT478" s="685"/>
      <c r="AU478" s="685"/>
      <c r="AV478" s="685"/>
      <c r="AW478" s="685"/>
      <c r="AX478" s="685"/>
      <c r="AY478" s="685"/>
      <c r="AZ478" s="685"/>
      <c r="BA478" s="685"/>
      <c r="BB478" s="685"/>
      <c r="BC478" s="685"/>
      <c r="BD478" s="685"/>
    </row>
    <row r="479" spans="1:56">
      <c r="A479" s="685"/>
      <c r="B479" s="1115"/>
      <c r="C479" s="1115"/>
      <c r="D479" s="1115"/>
      <c r="E479" s="1115"/>
      <c r="F479" s="1115"/>
      <c r="G479" s="1115"/>
      <c r="H479" s="1115"/>
      <c r="I479" s="1115"/>
      <c r="J479" s="1115"/>
      <c r="K479" s="1115"/>
      <c r="L479" s="1115"/>
      <c r="M479" s="1115"/>
      <c r="N479" s="1115"/>
      <c r="O479" s="1115"/>
      <c r="P479" s="1115"/>
      <c r="Q479" s="1115"/>
      <c r="R479" s="1115"/>
      <c r="S479" s="1115"/>
      <c r="T479" s="1115"/>
      <c r="U479" s="1115"/>
      <c r="V479" s="1115"/>
      <c r="W479" s="1115"/>
      <c r="X479" s="1115"/>
      <c r="Y479" s="1115"/>
      <c r="Z479" s="1115"/>
      <c r="AA479" s="1115"/>
      <c r="AB479" s="1115"/>
      <c r="AC479" s="1115"/>
      <c r="AD479" s="1115"/>
      <c r="AE479" s="1115"/>
      <c r="AF479" s="1115"/>
      <c r="AG479" s="1115"/>
      <c r="AH479" s="1115"/>
      <c r="AI479" s="685"/>
      <c r="AJ479" s="685"/>
      <c r="AK479" s="685"/>
      <c r="AL479" s="685"/>
      <c r="AM479" s="685"/>
      <c r="AN479" s="685"/>
      <c r="AO479" s="685"/>
      <c r="AP479" s="685"/>
      <c r="AQ479" s="685"/>
      <c r="AR479" s="685"/>
      <c r="AS479" s="685"/>
      <c r="AT479" s="685"/>
      <c r="AU479" s="685"/>
      <c r="AV479" s="685"/>
      <c r="AW479" s="685"/>
      <c r="AX479" s="685"/>
      <c r="AY479" s="685"/>
      <c r="AZ479" s="685"/>
      <c r="BA479" s="685"/>
      <c r="BB479" s="685"/>
      <c r="BC479" s="685"/>
      <c r="BD479" s="685"/>
    </row>
    <row r="480" spans="1:56">
      <c r="A480" s="685"/>
      <c r="B480" s="1115"/>
      <c r="C480" s="1115"/>
      <c r="D480" s="1115"/>
      <c r="E480" s="1115"/>
      <c r="F480" s="1115"/>
      <c r="G480" s="1115"/>
      <c r="H480" s="1115"/>
      <c r="I480" s="1115"/>
      <c r="J480" s="1115"/>
      <c r="K480" s="1115"/>
      <c r="L480" s="1115"/>
      <c r="M480" s="1115"/>
      <c r="N480" s="1115"/>
      <c r="O480" s="1115"/>
      <c r="P480" s="1115"/>
      <c r="Q480" s="1115"/>
      <c r="R480" s="1115"/>
      <c r="S480" s="1115"/>
      <c r="T480" s="1115"/>
      <c r="U480" s="1115"/>
      <c r="V480" s="1115"/>
      <c r="W480" s="1115"/>
      <c r="X480" s="1115"/>
      <c r="Y480" s="1115"/>
      <c r="Z480" s="1115"/>
      <c r="AA480" s="1115"/>
      <c r="AB480" s="1115"/>
      <c r="AC480" s="1115"/>
      <c r="AD480" s="1115"/>
      <c r="AE480" s="1115"/>
      <c r="AF480" s="1115"/>
      <c r="AG480" s="1115"/>
      <c r="AH480" s="1115"/>
      <c r="AI480" s="685"/>
      <c r="AJ480" s="685"/>
      <c r="AK480" s="685"/>
      <c r="AL480" s="685"/>
      <c r="AM480" s="685"/>
      <c r="AN480" s="685"/>
      <c r="AO480" s="685"/>
      <c r="AP480" s="685"/>
      <c r="AQ480" s="685"/>
      <c r="AR480" s="685"/>
      <c r="AS480" s="685"/>
      <c r="AT480" s="685"/>
      <c r="AU480" s="685"/>
      <c r="AV480" s="685"/>
      <c r="AW480" s="685"/>
      <c r="AX480" s="685"/>
      <c r="AY480" s="685"/>
      <c r="AZ480" s="685"/>
      <c r="BA480" s="685"/>
      <c r="BB480" s="685"/>
      <c r="BC480" s="685"/>
      <c r="BD480" s="685"/>
    </row>
    <row r="481" spans="1:56">
      <c r="A481" s="685"/>
      <c r="B481" s="1112" t="s">
        <v>397</v>
      </c>
      <c r="C481" s="1112">
        <v>2004</v>
      </c>
      <c r="D481" s="1112">
        <f t="shared" ref="D481:AE481" si="332">C481+1</f>
        <v>2005</v>
      </c>
      <c r="E481" s="1112">
        <f t="shared" si="332"/>
        <v>2006</v>
      </c>
      <c r="F481" s="1112">
        <f t="shared" si="332"/>
        <v>2007</v>
      </c>
      <c r="G481" s="1112">
        <f t="shared" si="332"/>
        <v>2008</v>
      </c>
      <c r="H481" s="1112">
        <f t="shared" si="332"/>
        <v>2009</v>
      </c>
      <c r="I481" s="1112">
        <f t="shared" si="332"/>
        <v>2010</v>
      </c>
      <c r="J481" s="1112">
        <f t="shared" si="332"/>
        <v>2011</v>
      </c>
      <c r="K481" s="1112">
        <f t="shared" si="332"/>
        <v>2012</v>
      </c>
      <c r="L481" s="1112">
        <f t="shared" si="332"/>
        <v>2013</v>
      </c>
      <c r="M481" s="1112">
        <f t="shared" si="332"/>
        <v>2014</v>
      </c>
      <c r="N481" s="1112">
        <f t="shared" si="332"/>
        <v>2015</v>
      </c>
      <c r="O481" s="1112">
        <f t="shared" si="332"/>
        <v>2016</v>
      </c>
      <c r="P481" s="1112">
        <f t="shared" si="332"/>
        <v>2017</v>
      </c>
      <c r="Q481" s="1112">
        <f t="shared" si="332"/>
        <v>2018</v>
      </c>
      <c r="R481" s="1112">
        <f t="shared" si="332"/>
        <v>2019</v>
      </c>
      <c r="S481" s="1112">
        <f t="shared" si="332"/>
        <v>2020</v>
      </c>
      <c r="T481" s="1112">
        <f t="shared" si="332"/>
        <v>2021</v>
      </c>
      <c r="U481" s="1112">
        <f t="shared" si="332"/>
        <v>2022</v>
      </c>
      <c r="V481" s="1112">
        <f t="shared" si="332"/>
        <v>2023</v>
      </c>
      <c r="W481" s="1112">
        <f t="shared" si="332"/>
        <v>2024</v>
      </c>
      <c r="X481" s="1112">
        <f t="shared" si="332"/>
        <v>2025</v>
      </c>
      <c r="Y481" s="1112">
        <f t="shared" si="332"/>
        <v>2026</v>
      </c>
      <c r="Z481" s="1112">
        <f t="shared" si="332"/>
        <v>2027</v>
      </c>
      <c r="AA481" s="1112">
        <f t="shared" si="332"/>
        <v>2028</v>
      </c>
      <c r="AB481" s="1112">
        <f t="shared" si="332"/>
        <v>2029</v>
      </c>
      <c r="AC481" s="1112">
        <f t="shared" si="332"/>
        <v>2030</v>
      </c>
      <c r="AD481" s="1112">
        <f t="shared" si="332"/>
        <v>2031</v>
      </c>
      <c r="AE481" s="1112">
        <f t="shared" si="332"/>
        <v>2032</v>
      </c>
      <c r="AF481" s="1112">
        <f>AE481+1</f>
        <v>2033</v>
      </c>
      <c r="AG481" s="1112">
        <f>AF481+1</f>
        <v>2034</v>
      </c>
      <c r="AH481" s="1112">
        <f>AG481+1</f>
        <v>2035</v>
      </c>
      <c r="AI481" s="685"/>
      <c r="AJ481" s="685"/>
      <c r="AK481" s="685"/>
      <c r="AL481" s="685"/>
      <c r="AM481" s="685"/>
      <c r="AN481" s="685"/>
      <c r="AO481" s="685"/>
      <c r="AP481" s="685"/>
      <c r="AQ481" s="685"/>
      <c r="AR481" s="685"/>
      <c r="AS481" s="685"/>
      <c r="AT481" s="685"/>
      <c r="AU481" s="685"/>
      <c r="AV481" s="685"/>
      <c r="AW481" s="685"/>
      <c r="AX481" s="685"/>
      <c r="AY481" s="685"/>
      <c r="AZ481" s="685"/>
      <c r="BA481" s="685"/>
      <c r="BB481" s="685"/>
      <c r="BC481" s="685"/>
      <c r="BD481" s="685"/>
    </row>
    <row r="482" spans="1:56">
      <c r="A482" s="685"/>
      <c r="B482" s="1113"/>
      <c r="C482" s="1113"/>
      <c r="D482" s="1113"/>
      <c r="E482" s="1113"/>
      <c r="F482" s="1113"/>
      <c r="G482" s="1113"/>
      <c r="H482" s="1113"/>
      <c r="I482" s="1113"/>
      <c r="J482" s="1113"/>
      <c r="K482" s="1113"/>
      <c r="L482" s="1113"/>
      <c r="M482" s="1113"/>
      <c r="N482" s="1113"/>
      <c r="O482" s="1113"/>
      <c r="P482" s="1113"/>
      <c r="Q482" s="1113"/>
      <c r="R482" s="1113"/>
      <c r="S482" s="1113"/>
      <c r="T482" s="1113"/>
      <c r="U482" s="1113"/>
      <c r="V482" s="1113"/>
      <c r="W482" s="1113"/>
      <c r="X482" s="1113"/>
      <c r="Y482" s="1113"/>
      <c r="Z482" s="1113"/>
      <c r="AA482" s="1113"/>
      <c r="AB482" s="1113"/>
      <c r="AC482" s="1113"/>
      <c r="AD482" s="1113"/>
      <c r="AE482" s="1113"/>
      <c r="AF482" s="1113"/>
      <c r="AG482" s="1113"/>
      <c r="AH482" s="1113"/>
      <c r="AI482" s="685"/>
      <c r="AJ482" s="685"/>
      <c r="AK482" s="685"/>
      <c r="AL482" s="685"/>
      <c r="AM482" s="685"/>
      <c r="AN482" s="685"/>
      <c r="AO482" s="685"/>
      <c r="AP482" s="685"/>
      <c r="AQ482" s="685"/>
      <c r="AR482" s="685"/>
      <c r="AS482" s="685"/>
      <c r="AT482" s="685"/>
      <c r="AU482" s="685"/>
      <c r="AV482" s="685"/>
      <c r="AW482" s="685"/>
      <c r="AX482" s="685"/>
      <c r="AY482" s="685"/>
      <c r="AZ482" s="685"/>
      <c r="BA482" s="685"/>
      <c r="BB482" s="685"/>
      <c r="BC482" s="685"/>
      <c r="BD482" s="685"/>
    </row>
    <row r="483" spans="1:56">
      <c r="A483" s="685"/>
      <c r="B483" s="1115" t="s">
        <v>398</v>
      </c>
      <c r="C483" s="1113"/>
      <c r="D483" s="1189"/>
      <c r="E483" s="1113"/>
      <c r="F483" s="1113"/>
      <c r="G483" s="1113"/>
      <c r="H483" s="1113"/>
      <c r="I483" s="1113"/>
      <c r="J483" s="1113"/>
      <c r="K483" s="1113"/>
      <c r="L483" s="1113"/>
      <c r="M483" s="1113"/>
      <c r="N483" s="1113"/>
      <c r="O483" s="1113"/>
      <c r="P483" s="1113"/>
      <c r="Q483" s="1113"/>
      <c r="R483" s="1113"/>
      <c r="S483" s="1113"/>
      <c r="T483" s="1113"/>
      <c r="U483" s="1113"/>
      <c r="V483" s="1113"/>
      <c r="W483" s="1113"/>
      <c r="X483" s="1113"/>
      <c r="Y483" s="1113"/>
      <c r="Z483" s="1113"/>
      <c r="AA483" s="1113"/>
      <c r="AB483" s="1113"/>
      <c r="AC483" s="1113"/>
      <c r="AD483" s="1113"/>
      <c r="AE483" s="1113"/>
      <c r="AF483" s="1113"/>
      <c r="AG483" s="1113"/>
      <c r="AH483" s="1113"/>
      <c r="AI483" s="685"/>
      <c r="AJ483" s="685"/>
      <c r="AK483" s="685"/>
      <c r="AL483" s="685"/>
      <c r="AM483" s="685"/>
      <c r="AN483" s="685"/>
      <c r="AO483" s="685"/>
      <c r="AP483" s="685"/>
      <c r="AQ483" s="685"/>
      <c r="AR483" s="685"/>
      <c r="AS483" s="685"/>
      <c r="AT483" s="685"/>
      <c r="AU483" s="685"/>
      <c r="AV483" s="685"/>
      <c r="AW483" s="685"/>
      <c r="AX483" s="685"/>
      <c r="AY483" s="685"/>
      <c r="AZ483" s="685"/>
      <c r="BA483" s="685"/>
      <c r="BB483" s="685"/>
      <c r="BC483" s="685"/>
      <c r="BD483" s="685"/>
    </row>
    <row r="484" spans="1:56">
      <c r="A484" s="685"/>
      <c r="B484" s="1115" t="s">
        <v>399</v>
      </c>
      <c r="C484" s="1113"/>
      <c r="D484" s="1113"/>
      <c r="E484" s="1113"/>
      <c r="F484" s="1113"/>
      <c r="G484" s="1113"/>
      <c r="H484" s="1113"/>
      <c r="I484" s="1113"/>
      <c r="J484" s="1113"/>
      <c r="K484" s="1113"/>
      <c r="L484" s="1113"/>
      <c r="M484" s="1113"/>
      <c r="N484" s="1113"/>
      <c r="O484" s="1113"/>
      <c r="P484" s="1113"/>
      <c r="Q484" s="1113"/>
      <c r="R484" s="1113"/>
      <c r="S484" s="1113"/>
      <c r="T484" s="1113"/>
      <c r="U484" s="1113"/>
      <c r="V484" s="1113"/>
      <c r="W484" s="1113"/>
      <c r="X484" s="1113"/>
      <c r="Y484" s="1113"/>
      <c r="Z484" s="1113"/>
      <c r="AA484" s="1113"/>
      <c r="AB484" s="1113"/>
      <c r="AC484" s="1113"/>
      <c r="AD484" s="1113"/>
      <c r="AE484" s="1113"/>
      <c r="AF484" s="1113"/>
      <c r="AG484" s="1113"/>
      <c r="AH484" s="1113"/>
      <c r="AI484" s="685"/>
      <c r="AJ484" s="685"/>
      <c r="AK484" s="685"/>
      <c r="AL484" s="685"/>
      <c r="AM484" s="685"/>
      <c r="AN484" s="685"/>
      <c r="AO484" s="685"/>
      <c r="AP484" s="685"/>
      <c r="AQ484" s="685"/>
      <c r="AR484" s="685"/>
      <c r="AS484" s="685"/>
      <c r="AT484" s="685"/>
      <c r="AU484" s="685"/>
      <c r="AV484" s="685"/>
      <c r="AW484" s="685"/>
      <c r="AX484" s="685"/>
      <c r="AY484" s="685"/>
      <c r="AZ484" s="685"/>
      <c r="BA484" s="685"/>
      <c r="BB484" s="685"/>
      <c r="BC484" s="685"/>
      <c r="BD484" s="685"/>
    </row>
    <row r="485" spans="1:56">
      <c r="A485" s="685"/>
      <c r="B485" s="1115" t="s">
        <v>400</v>
      </c>
      <c r="C485" s="1189"/>
      <c r="D485" s="1189"/>
      <c r="E485" s="1113"/>
      <c r="F485" s="1113"/>
      <c r="G485" s="1113"/>
      <c r="H485" s="1113"/>
      <c r="I485" s="1113"/>
      <c r="J485" s="1113"/>
      <c r="K485" s="1113"/>
      <c r="L485" s="1113"/>
      <c r="M485" s="1113"/>
      <c r="N485" s="1113"/>
      <c r="O485" s="1113"/>
      <c r="P485" s="1113"/>
      <c r="Q485" s="1113"/>
      <c r="R485" s="1113"/>
      <c r="S485" s="1113"/>
      <c r="T485" s="1113"/>
      <c r="U485" s="1113"/>
      <c r="V485" s="1113"/>
      <c r="W485" s="1113"/>
      <c r="X485" s="1113"/>
      <c r="Y485" s="1113"/>
      <c r="Z485" s="1113"/>
      <c r="AA485" s="1113"/>
      <c r="AB485" s="1113"/>
      <c r="AC485" s="1113"/>
      <c r="AD485" s="1113"/>
      <c r="AE485" s="1113"/>
      <c r="AF485" s="1113"/>
      <c r="AG485" s="1113"/>
      <c r="AH485" s="1113"/>
      <c r="AI485" s="685"/>
      <c r="AJ485" s="685"/>
      <c r="AK485" s="685"/>
      <c r="AL485" s="685"/>
      <c r="AM485" s="685"/>
      <c r="AN485" s="685"/>
      <c r="AO485" s="685"/>
      <c r="AP485" s="685"/>
      <c r="AQ485" s="685"/>
      <c r="AR485" s="685"/>
      <c r="AS485" s="685"/>
      <c r="AT485" s="685"/>
      <c r="AU485" s="685"/>
      <c r="AV485" s="685"/>
      <c r="AW485" s="685"/>
      <c r="AX485" s="685"/>
      <c r="AY485" s="685"/>
      <c r="AZ485" s="685"/>
      <c r="BA485" s="685"/>
      <c r="BB485" s="685"/>
      <c r="BC485" s="685"/>
      <c r="BD485" s="685"/>
    </row>
    <row r="486" spans="1:56">
      <c r="A486" s="685"/>
      <c r="B486" s="1115" t="s">
        <v>401</v>
      </c>
      <c r="C486" s="1189"/>
      <c r="D486" s="1113"/>
      <c r="E486" s="1113"/>
      <c r="F486" s="1113"/>
      <c r="G486" s="1113"/>
      <c r="H486" s="1113"/>
      <c r="I486" s="1113"/>
      <c r="J486" s="1113"/>
      <c r="K486" s="1113"/>
      <c r="L486" s="1113"/>
      <c r="M486" s="1113"/>
      <c r="N486" s="1113"/>
      <c r="O486" s="1113"/>
      <c r="P486" s="1113"/>
      <c r="Q486" s="1113"/>
      <c r="R486" s="1113"/>
      <c r="S486" s="1113"/>
      <c r="T486" s="1113"/>
      <c r="U486" s="1113"/>
      <c r="V486" s="1113"/>
      <c r="W486" s="1113"/>
      <c r="X486" s="1113"/>
      <c r="Y486" s="1113"/>
      <c r="Z486" s="1113"/>
      <c r="AA486" s="1113"/>
      <c r="AB486" s="1113"/>
      <c r="AC486" s="1113"/>
      <c r="AD486" s="1113"/>
      <c r="AE486" s="1113"/>
      <c r="AF486" s="1113"/>
      <c r="AG486" s="1113"/>
      <c r="AH486" s="1113"/>
      <c r="AI486" s="685"/>
      <c r="AJ486" s="685"/>
      <c r="AK486" s="685"/>
      <c r="AL486" s="685"/>
      <c r="AM486" s="685"/>
      <c r="AN486" s="685"/>
      <c r="AO486" s="685"/>
      <c r="AP486" s="685"/>
      <c r="AQ486" s="685"/>
      <c r="AR486" s="685"/>
      <c r="AS486" s="685"/>
      <c r="AT486" s="685"/>
      <c r="AU486" s="685"/>
      <c r="AV486" s="685"/>
      <c r="AW486" s="685"/>
      <c r="AX486" s="685"/>
      <c r="AY486" s="685"/>
      <c r="AZ486" s="685"/>
      <c r="BA486" s="685"/>
      <c r="BB486" s="685"/>
      <c r="BC486" s="685"/>
      <c r="BD486" s="685"/>
    </row>
    <row r="487" spans="1:56">
      <c r="A487" s="685"/>
      <c r="B487" s="1115" t="s">
        <v>402</v>
      </c>
      <c r="C487" s="1189"/>
      <c r="D487" s="1113"/>
      <c r="E487" s="1189"/>
      <c r="F487" s="1113"/>
      <c r="G487" s="1113"/>
      <c r="H487" s="1113"/>
      <c r="I487" s="1123"/>
      <c r="J487" s="1123"/>
      <c r="K487" s="1113"/>
      <c r="L487" s="1113"/>
      <c r="M487" s="1199">
        <f>8550-195*13</f>
        <v>6015</v>
      </c>
      <c r="N487" s="1199">
        <f>10200</f>
        <v>10200</v>
      </c>
      <c r="O487" s="1199">
        <f>1258+5492</f>
        <v>6750</v>
      </c>
      <c r="P487" s="1113"/>
      <c r="Q487" s="1113"/>
      <c r="R487" s="1113"/>
      <c r="S487" s="1113"/>
      <c r="T487" s="1113"/>
      <c r="U487" s="1113"/>
      <c r="V487" s="1113"/>
      <c r="W487" s="1113"/>
      <c r="X487" s="1113"/>
      <c r="Y487" s="1113"/>
      <c r="Z487" s="1174">
        <f>100*Z7</f>
        <v>1771.23</v>
      </c>
      <c r="AA487" s="1174">
        <f>100*AA7</f>
        <v>1806.6545999999998</v>
      </c>
      <c r="AB487" s="1113"/>
      <c r="AC487" s="1113"/>
      <c r="AD487" s="1113"/>
      <c r="AE487" s="1113"/>
      <c r="AF487" s="1113"/>
      <c r="AG487" s="1113"/>
      <c r="AH487" s="1113"/>
      <c r="AI487" s="685"/>
      <c r="AJ487" s="685"/>
      <c r="AK487" s="685"/>
      <c r="AL487" s="685"/>
      <c r="AM487" s="685"/>
      <c r="AN487" s="685"/>
      <c r="AO487" s="685"/>
      <c r="AP487" s="685"/>
      <c r="AQ487" s="685"/>
      <c r="AR487" s="685"/>
      <c r="AS487" s="685"/>
      <c r="AT487" s="685"/>
      <c r="AU487" s="685"/>
      <c r="AV487" s="685"/>
      <c r="AW487" s="685"/>
      <c r="AX487" s="685"/>
      <c r="AY487" s="685"/>
      <c r="AZ487" s="685"/>
      <c r="BA487" s="685"/>
      <c r="BB487" s="685"/>
      <c r="BC487" s="685"/>
      <c r="BD487" s="685"/>
    </row>
    <row r="488" spans="1:56">
      <c r="A488" s="685"/>
      <c r="B488" s="1115" t="s">
        <v>403</v>
      </c>
      <c r="C488" s="1189"/>
      <c r="D488" s="1113"/>
      <c r="E488" s="1113"/>
      <c r="F488" s="1113"/>
      <c r="G488" s="1113"/>
      <c r="H488" s="1113"/>
      <c r="I488" s="1199">
        <v>13966</v>
      </c>
      <c r="J488" s="1199">
        <v>19299</v>
      </c>
      <c r="K488" s="1113"/>
      <c r="L488" s="1199">
        <f>(7000+195*13)</f>
        <v>9535</v>
      </c>
      <c r="M488" s="1113"/>
      <c r="N488" s="1113"/>
      <c r="O488" s="1113"/>
      <c r="P488" s="1113"/>
      <c r="Q488" s="1113"/>
      <c r="R488" s="1113"/>
      <c r="S488" s="1113"/>
      <c r="T488" s="1113"/>
      <c r="U488" s="1113"/>
      <c r="V488" s="1113"/>
      <c r="W488" s="1113"/>
      <c r="X488" s="1113"/>
      <c r="Y488" s="1113"/>
      <c r="Z488" s="1113"/>
      <c r="AA488" s="1113"/>
      <c r="AB488" s="1113"/>
      <c r="AC488" s="1113"/>
      <c r="AD488" s="1113"/>
      <c r="AE488" s="1113"/>
      <c r="AF488" s="1113"/>
      <c r="AG488" s="1113"/>
      <c r="AH488" s="1113"/>
      <c r="AI488" s="685"/>
      <c r="AJ488" s="685"/>
      <c r="AK488" s="685"/>
      <c r="AL488" s="685"/>
      <c r="AM488" s="685"/>
      <c r="AN488" s="685"/>
      <c r="AO488" s="685"/>
      <c r="AP488" s="685"/>
      <c r="AQ488" s="685"/>
      <c r="AR488" s="685"/>
      <c r="AS488" s="685"/>
      <c r="AT488" s="685"/>
      <c r="AU488" s="685"/>
      <c r="AV488" s="685"/>
      <c r="AW488" s="685"/>
      <c r="AX488" s="685"/>
      <c r="AY488" s="685"/>
      <c r="AZ488" s="685"/>
      <c r="BA488" s="685"/>
      <c r="BB488" s="685"/>
      <c r="BC488" s="685"/>
      <c r="BD488" s="685"/>
    </row>
    <row r="489" spans="1:56">
      <c r="A489" s="685"/>
      <c r="B489" s="1115" t="s">
        <v>404</v>
      </c>
      <c r="C489" s="1189"/>
      <c r="D489" s="1113"/>
      <c r="E489" s="1113"/>
      <c r="F489" s="1113"/>
      <c r="G489" s="1113"/>
      <c r="H489" s="1113"/>
      <c r="I489" s="1113"/>
      <c r="J489" s="1113"/>
      <c r="K489" s="1113"/>
      <c r="L489" s="1199">
        <v>1587.5</v>
      </c>
      <c r="M489" s="1123"/>
      <c r="N489" s="1123"/>
      <c r="O489" s="1123"/>
      <c r="P489" s="1123"/>
      <c r="Q489" s="1123"/>
      <c r="R489" s="1123"/>
      <c r="S489" s="1123"/>
      <c r="T489" s="1123"/>
      <c r="U489" s="1123"/>
      <c r="V489" s="1123"/>
      <c r="W489" s="1123"/>
      <c r="X489" s="1123"/>
      <c r="Y489" s="1123"/>
      <c r="Z489" s="1123"/>
      <c r="AA489" s="1123"/>
      <c r="AB489" s="1123"/>
      <c r="AC489" s="1123"/>
      <c r="AD489" s="1123"/>
      <c r="AE489" s="1123"/>
      <c r="AF489" s="1123"/>
      <c r="AG489" s="1123"/>
      <c r="AH489" s="1123"/>
      <c r="AI489" s="685"/>
      <c r="AJ489" s="685"/>
      <c r="AK489" s="685"/>
      <c r="AL489" s="685"/>
      <c r="AM489" s="685"/>
      <c r="AN489" s="685"/>
      <c r="AO489" s="685"/>
      <c r="AP489" s="685"/>
      <c r="AQ489" s="685"/>
      <c r="AR489" s="685"/>
      <c r="AS489" s="685"/>
      <c r="AT489" s="685"/>
      <c r="AU489" s="685"/>
      <c r="AV489" s="685"/>
      <c r="AW489" s="685"/>
      <c r="AX489" s="685"/>
      <c r="AY489" s="685"/>
      <c r="AZ489" s="685"/>
      <c r="BA489" s="685"/>
      <c r="BB489" s="685"/>
      <c r="BC489" s="685"/>
      <c r="BD489" s="685"/>
    </row>
    <row r="490" spans="1:56">
      <c r="A490" s="685"/>
      <c r="B490" s="1115" t="s">
        <v>405</v>
      </c>
      <c r="C490" s="1189"/>
      <c r="D490" s="1113"/>
      <c r="E490" s="1113"/>
      <c r="F490" s="1113"/>
      <c r="G490" s="1113"/>
      <c r="H490" s="1113"/>
      <c r="I490" s="1113"/>
      <c r="J490" s="1113"/>
      <c r="K490" s="1113"/>
      <c r="L490" s="1113"/>
      <c r="M490" s="1113"/>
      <c r="N490" s="1199">
        <f>-717*13</f>
        <v>-9321</v>
      </c>
      <c r="O490" s="1123"/>
      <c r="P490" s="1123"/>
      <c r="Q490" s="1123"/>
      <c r="R490" s="1123"/>
      <c r="S490" s="1123"/>
      <c r="T490" s="1123"/>
      <c r="U490" s="1123"/>
      <c r="V490" s="1123"/>
      <c r="W490" s="1123"/>
      <c r="X490" s="1123"/>
      <c r="Y490" s="1123"/>
      <c r="Z490" s="1123"/>
      <c r="AA490" s="1123"/>
      <c r="AB490" s="1123"/>
      <c r="AC490" s="1123"/>
      <c r="AD490" s="1123"/>
      <c r="AE490" s="1123"/>
      <c r="AF490" s="1123"/>
      <c r="AG490" s="1123"/>
      <c r="AH490" s="1123"/>
      <c r="AI490" s="685"/>
      <c r="AJ490" s="685"/>
      <c r="AK490" s="685"/>
      <c r="AL490" s="685"/>
      <c r="AM490" s="685"/>
      <c r="AN490" s="685"/>
      <c r="AO490" s="685"/>
      <c r="AP490" s="685"/>
      <c r="AQ490" s="685"/>
      <c r="AR490" s="685"/>
      <c r="AS490" s="685"/>
      <c r="AT490" s="685"/>
      <c r="AU490" s="685"/>
      <c r="AV490" s="685"/>
      <c r="AW490" s="685"/>
      <c r="AX490" s="685"/>
      <c r="AY490" s="685"/>
      <c r="AZ490" s="685"/>
      <c r="BA490" s="685"/>
      <c r="BB490" s="685"/>
      <c r="BC490" s="685"/>
      <c r="BD490" s="685"/>
    </row>
    <row r="491" spans="1:56">
      <c r="A491" s="685"/>
      <c r="B491" s="1115" t="s">
        <v>406</v>
      </c>
      <c r="C491" s="1189"/>
      <c r="D491" s="1113"/>
      <c r="E491" s="1113"/>
      <c r="F491" s="1113"/>
      <c r="G491" s="1113"/>
      <c r="H491" s="1113"/>
      <c r="I491" s="1113"/>
      <c r="J491" s="1113"/>
      <c r="K491" s="1113"/>
      <c r="L491" s="1113"/>
      <c r="M491" s="1113"/>
      <c r="N491" s="1199"/>
      <c r="O491" s="1123"/>
      <c r="P491" s="1123"/>
      <c r="Q491" s="1199">
        <v>4713</v>
      </c>
      <c r="R491" s="1123"/>
      <c r="S491" s="1123"/>
      <c r="T491" s="1123"/>
      <c r="U491" s="1123"/>
      <c r="V491" s="1123"/>
      <c r="W491" s="1123"/>
      <c r="X491" s="1123"/>
      <c r="Y491" s="1123"/>
      <c r="Z491" s="1123"/>
      <c r="AA491" s="1123"/>
      <c r="AB491" s="1123"/>
      <c r="AC491" s="1123"/>
      <c r="AD491" s="1123"/>
      <c r="AE491" s="1123"/>
      <c r="AF491" s="1123"/>
      <c r="AG491" s="1123"/>
      <c r="AH491" s="1123"/>
      <c r="AI491" s="685"/>
      <c r="AJ491" s="685"/>
      <c r="AK491" s="685"/>
      <c r="AL491" s="685"/>
      <c r="AM491" s="685"/>
      <c r="AN491" s="685"/>
      <c r="AO491" s="685"/>
      <c r="AP491" s="685"/>
      <c r="AQ491" s="685"/>
      <c r="AR491" s="685"/>
      <c r="AS491" s="685"/>
      <c r="AT491" s="685"/>
      <c r="AU491" s="685"/>
      <c r="AV491" s="685"/>
      <c r="AW491" s="685"/>
      <c r="AX491" s="685"/>
      <c r="AY491" s="685"/>
      <c r="AZ491" s="685"/>
      <c r="BA491" s="685"/>
      <c r="BB491" s="685"/>
      <c r="BC491" s="685"/>
      <c r="BD491" s="685"/>
    </row>
    <row r="492" spans="1:56">
      <c r="A492" s="685"/>
      <c r="B492" s="1115" t="s">
        <v>407</v>
      </c>
      <c r="C492" s="1189"/>
      <c r="D492" s="1113"/>
      <c r="E492" s="1113"/>
      <c r="F492" s="1113"/>
      <c r="G492" s="1113"/>
      <c r="H492" s="1113"/>
      <c r="I492" s="1113"/>
      <c r="J492" s="1113"/>
      <c r="K492" s="1113"/>
      <c r="L492" s="1113"/>
      <c r="M492" s="1113"/>
      <c r="N492" s="1113"/>
      <c r="O492" s="1123"/>
      <c r="P492" s="1123"/>
      <c r="Q492" s="1160">
        <f>(-294*1.23-100)*19</f>
        <v>-8770.7800000000007</v>
      </c>
      <c r="R492" s="1123"/>
      <c r="S492" s="1123"/>
      <c r="T492" s="1123"/>
      <c r="U492" s="1123"/>
      <c r="V492" s="1123"/>
      <c r="W492" s="1123"/>
      <c r="X492" s="1123"/>
      <c r="Y492" s="1123"/>
      <c r="Z492" s="1123"/>
      <c r="AA492" s="1123"/>
      <c r="AB492" s="1123"/>
      <c r="AC492" s="1123"/>
      <c r="AD492" s="1123"/>
      <c r="AE492" s="1123"/>
      <c r="AF492" s="1123"/>
      <c r="AG492" s="1123"/>
      <c r="AH492" s="1123"/>
      <c r="AI492" s="685"/>
      <c r="AJ492" s="685"/>
      <c r="AK492" s="685"/>
      <c r="AL492" s="685"/>
      <c r="AM492" s="685"/>
      <c r="AN492" s="685"/>
      <c r="AO492" s="685"/>
      <c r="AP492" s="685"/>
      <c r="AQ492" s="685"/>
      <c r="AR492" s="685"/>
      <c r="AS492" s="685"/>
      <c r="AT492" s="685"/>
      <c r="AU492" s="685"/>
      <c r="AV492" s="685"/>
      <c r="AW492" s="685"/>
      <c r="AX492" s="685"/>
      <c r="AY492" s="685"/>
      <c r="AZ492" s="685"/>
      <c r="BA492" s="685"/>
      <c r="BB492" s="685"/>
      <c r="BC492" s="685"/>
      <c r="BD492" s="685"/>
    </row>
    <row r="493" spans="1:56">
      <c r="A493" s="685"/>
      <c r="B493" s="1115" t="s">
        <v>408</v>
      </c>
      <c r="C493" s="1189"/>
      <c r="D493" s="1113"/>
      <c r="E493" s="1113"/>
      <c r="F493" s="1113"/>
      <c r="G493" s="1113"/>
      <c r="H493" s="1113"/>
      <c r="I493" s="1113"/>
      <c r="J493" s="1113"/>
      <c r="K493" s="1113"/>
      <c r="L493" s="1113"/>
      <c r="M493" s="1113"/>
      <c r="N493" s="1113"/>
      <c r="O493" s="1123"/>
      <c r="P493" s="1123"/>
      <c r="Q493" s="1123"/>
      <c r="R493" s="1160">
        <v>9500</v>
      </c>
      <c r="S493" s="1123"/>
      <c r="T493" s="1123"/>
      <c r="U493" s="1123"/>
      <c r="V493" s="1123"/>
      <c r="W493" s="1123"/>
      <c r="X493" s="1123"/>
      <c r="Y493" s="1123"/>
      <c r="Z493" s="1123"/>
      <c r="AA493" s="1123"/>
      <c r="AB493" s="1123"/>
      <c r="AC493" s="1123"/>
      <c r="AD493" s="1123"/>
      <c r="AE493" s="1123"/>
      <c r="AF493" s="1123"/>
      <c r="AG493" s="1123"/>
      <c r="AH493" s="1123"/>
      <c r="AI493" s="685"/>
      <c r="AJ493" s="685"/>
      <c r="AK493" s="685"/>
      <c r="AL493" s="685"/>
      <c r="AM493" s="685"/>
      <c r="AN493" s="685"/>
      <c r="AO493" s="685"/>
      <c r="AP493" s="685"/>
      <c r="AQ493" s="685"/>
      <c r="AR493" s="685"/>
      <c r="AS493" s="685"/>
      <c r="AT493" s="685"/>
      <c r="AU493" s="685"/>
      <c r="AV493" s="685"/>
      <c r="AW493" s="685"/>
      <c r="AX493" s="685"/>
      <c r="AY493" s="685"/>
      <c r="AZ493" s="685"/>
      <c r="BA493" s="685"/>
      <c r="BB493" s="685"/>
      <c r="BC493" s="685"/>
      <c r="BD493" s="685"/>
    </row>
    <row r="494" spans="1:56">
      <c r="A494" s="685"/>
      <c r="B494" s="1115" t="s">
        <v>409</v>
      </c>
      <c r="C494" s="1189"/>
      <c r="D494" s="1113"/>
      <c r="E494" s="1113"/>
      <c r="F494" s="1113"/>
      <c r="G494" s="1113"/>
      <c r="H494" s="1113"/>
      <c r="I494" s="1113"/>
      <c r="J494" s="1113"/>
      <c r="K494" s="1113"/>
      <c r="L494" s="1113"/>
      <c r="M494" s="1113"/>
      <c r="N494" s="1113"/>
      <c r="O494" s="1123"/>
      <c r="P494" s="1123"/>
      <c r="Q494" s="1123"/>
      <c r="R494" s="1123"/>
      <c r="S494" s="1123"/>
      <c r="T494" s="1160">
        <v>-5206</v>
      </c>
      <c r="U494" s="1123"/>
      <c r="V494" s="1123"/>
      <c r="W494" s="1123"/>
      <c r="X494" s="1123"/>
      <c r="Y494" s="1123"/>
      <c r="Z494" s="1123"/>
      <c r="AA494" s="1123"/>
      <c r="AB494" s="1123"/>
      <c r="AC494" s="1123"/>
      <c r="AD494" s="1123"/>
      <c r="AE494" s="1123"/>
      <c r="AF494" s="1123"/>
      <c r="AG494" s="1123"/>
      <c r="AH494" s="1123"/>
      <c r="AI494" s="685"/>
      <c r="AJ494" s="685"/>
      <c r="AK494" s="685"/>
      <c r="AL494" s="685"/>
      <c r="AM494" s="685"/>
      <c r="AN494" s="685"/>
      <c r="AO494" s="685"/>
      <c r="AP494" s="685"/>
      <c r="AQ494" s="685"/>
      <c r="AR494" s="685"/>
      <c r="AS494" s="685"/>
      <c r="AT494" s="685"/>
      <c r="AU494" s="685"/>
      <c r="AV494" s="685"/>
      <c r="AW494" s="685"/>
      <c r="AX494" s="685"/>
      <c r="AY494" s="685"/>
      <c r="AZ494" s="685"/>
      <c r="BA494" s="685"/>
      <c r="BB494" s="685"/>
      <c r="BC494" s="685"/>
      <c r="BD494" s="685"/>
    </row>
    <row r="495" spans="1:56">
      <c r="A495" s="685"/>
      <c r="B495" s="1115" t="s">
        <v>410</v>
      </c>
      <c r="C495" s="1189"/>
      <c r="D495" s="1113"/>
      <c r="E495" s="1113"/>
      <c r="F495" s="1113"/>
      <c r="G495" s="1113"/>
      <c r="H495" s="1113"/>
      <c r="I495" s="1113"/>
      <c r="J495" s="1113"/>
      <c r="K495" s="1113"/>
      <c r="L495" s="1113"/>
      <c r="M495" s="1113"/>
      <c r="N495" s="1113"/>
      <c r="O495" s="1123"/>
      <c r="P495" s="1123"/>
      <c r="Q495" s="1123"/>
      <c r="R495" s="1123"/>
      <c r="S495" s="1123"/>
      <c r="T495" s="1123"/>
      <c r="U495" s="1160">
        <f>-(3000-750)*U7</f>
        <v>-45247.5</v>
      </c>
      <c r="V495" s="1123"/>
      <c r="W495" s="1123"/>
      <c r="X495" s="1123"/>
      <c r="Y495" s="1123"/>
      <c r="Z495" s="1123"/>
      <c r="AA495" s="1123"/>
      <c r="AB495" s="1123"/>
      <c r="AC495" s="1123"/>
      <c r="AD495" s="1123"/>
      <c r="AE495" s="1123"/>
      <c r="AF495" s="1123"/>
      <c r="AG495" s="1123"/>
      <c r="AH495" s="1123"/>
      <c r="AI495" s="685"/>
      <c r="AJ495" s="685"/>
      <c r="AK495" s="685"/>
      <c r="AL495" s="685"/>
      <c r="AM495" s="685"/>
      <c r="AN495" s="685"/>
      <c r="AO495" s="685"/>
      <c r="AP495" s="685"/>
      <c r="AQ495" s="685"/>
      <c r="AR495" s="685"/>
      <c r="AS495" s="685"/>
      <c r="AT495" s="685"/>
      <c r="AU495" s="685"/>
      <c r="AV495" s="685"/>
      <c r="AW495" s="685"/>
      <c r="AX495" s="685"/>
      <c r="AY495" s="685"/>
      <c r="AZ495" s="685"/>
      <c r="BA495" s="685"/>
      <c r="BB495" s="685"/>
      <c r="BC495" s="685"/>
      <c r="BD495" s="685"/>
    </row>
    <row r="496" spans="1:56">
      <c r="A496" s="685"/>
      <c r="B496" s="1200" t="s">
        <v>411</v>
      </c>
      <c r="C496" s="1201"/>
      <c r="D496" s="1201">
        <f>SUM(D483:D490)</f>
        <v>0</v>
      </c>
      <c r="E496" s="1201">
        <f>SUM(E483:E490)</f>
        <v>0</v>
      </c>
      <c r="F496" s="1201">
        <f>SUM(F483:F490)</f>
        <v>0</v>
      </c>
      <c r="G496" s="1201">
        <f>SUM(G483:G490)</f>
        <v>0</v>
      </c>
      <c r="H496" s="1201">
        <f>SUM(H483:H490)</f>
        <v>0</v>
      </c>
      <c r="I496" s="1201">
        <f t="shared" ref="I496:Q496" si="333">SUM(I483:I492)</f>
        <v>13966</v>
      </c>
      <c r="J496" s="1201">
        <f t="shared" si="333"/>
        <v>19299</v>
      </c>
      <c r="K496" s="1201">
        <f t="shared" si="333"/>
        <v>0</v>
      </c>
      <c r="L496" s="1201">
        <f t="shared" si="333"/>
        <v>11122.5</v>
      </c>
      <c r="M496" s="1201">
        <f t="shared" si="333"/>
        <v>6015</v>
      </c>
      <c r="N496" s="1201">
        <f t="shared" si="333"/>
        <v>879</v>
      </c>
      <c r="O496" s="1201">
        <f t="shared" si="333"/>
        <v>6750</v>
      </c>
      <c r="P496" s="1201">
        <f t="shared" si="333"/>
        <v>0</v>
      </c>
      <c r="Q496" s="1201">
        <f t="shared" si="333"/>
        <v>-4057.7800000000007</v>
      </c>
      <c r="R496" s="1201">
        <f>SUM(R483:R493)</f>
        <v>9500</v>
      </c>
      <c r="S496" s="1201">
        <f>SUM(S483:S493)</f>
        <v>0</v>
      </c>
      <c r="T496" s="1201">
        <f t="shared" ref="T496:AC496" si="334">SUM(T483:T495)</f>
        <v>-5206</v>
      </c>
      <c r="U496" s="1201">
        <f t="shared" si="334"/>
        <v>-45247.5</v>
      </c>
      <c r="V496" s="1201">
        <f t="shared" si="334"/>
        <v>0</v>
      </c>
      <c r="W496" s="1201">
        <f t="shared" si="334"/>
        <v>0</v>
      </c>
      <c r="X496" s="1201">
        <f t="shared" si="334"/>
        <v>0</v>
      </c>
      <c r="Y496" s="1201">
        <f t="shared" si="334"/>
        <v>0</v>
      </c>
      <c r="Z496" s="1201">
        <f t="shared" si="334"/>
        <v>1771.23</v>
      </c>
      <c r="AA496" s="1201">
        <f t="shared" si="334"/>
        <v>1806.6545999999998</v>
      </c>
      <c r="AB496" s="1201">
        <f t="shared" si="334"/>
        <v>0</v>
      </c>
      <c r="AC496" s="1201">
        <f t="shared" si="334"/>
        <v>0</v>
      </c>
      <c r="AD496" s="1201">
        <f>SUM(AD483:AD495)</f>
        <v>0</v>
      </c>
      <c r="AE496" s="1201">
        <f>SUM(AE483:AE495)</f>
        <v>0</v>
      </c>
      <c r="AF496" s="1201">
        <f>SUM(AF483:AF495)</f>
        <v>0</v>
      </c>
      <c r="AG496" s="1201">
        <f>SUM(AG483:AG495)</f>
        <v>0</v>
      </c>
      <c r="AH496" s="1201">
        <f>SUM(AH483:AH495)</f>
        <v>0</v>
      </c>
      <c r="AI496" s="685"/>
      <c r="AJ496" s="685"/>
      <c r="AK496" s="685"/>
      <c r="AL496" s="685"/>
      <c r="AM496" s="685"/>
      <c r="AN496" s="685"/>
      <c r="AO496" s="685"/>
      <c r="AP496" s="685"/>
      <c r="AQ496" s="685"/>
      <c r="AR496" s="685"/>
      <c r="AS496" s="685"/>
      <c r="AT496" s="685"/>
      <c r="AU496" s="685"/>
      <c r="AV496" s="685"/>
      <c r="AW496" s="685"/>
      <c r="AX496" s="685"/>
      <c r="AY496" s="685"/>
      <c r="AZ496" s="685"/>
      <c r="BA496" s="685"/>
      <c r="BB496" s="685"/>
      <c r="BC496" s="685"/>
      <c r="BD496" s="685"/>
    </row>
    <row r="497" spans="1:56">
      <c r="A497" s="685"/>
      <c r="B497" s="1115"/>
      <c r="C497" s="1115"/>
      <c r="D497" s="1115"/>
      <c r="E497" s="1115"/>
      <c r="F497" s="1115"/>
      <c r="G497" s="1115"/>
      <c r="H497" s="1115"/>
      <c r="I497" s="1115"/>
      <c r="J497" s="1115"/>
      <c r="K497" s="1115"/>
      <c r="L497" s="1115"/>
      <c r="M497" s="1115"/>
      <c r="N497" s="1115"/>
      <c r="O497" s="1115"/>
      <c r="P497" s="1115"/>
      <c r="Q497" s="1115"/>
      <c r="R497" s="1115"/>
      <c r="S497" s="1115"/>
      <c r="T497" s="1115"/>
      <c r="U497" s="1115"/>
      <c r="V497" s="1115"/>
      <c r="W497" s="1115"/>
      <c r="X497" s="1115"/>
      <c r="Y497" s="1115"/>
      <c r="Z497" s="1115"/>
      <c r="AA497" s="1115"/>
      <c r="AB497" s="1115"/>
      <c r="AC497" s="1115"/>
      <c r="AD497" s="1115"/>
      <c r="AE497" s="1115"/>
      <c r="AF497" s="1115"/>
      <c r="AG497" s="1115"/>
      <c r="AH497" s="1115"/>
      <c r="AI497" s="685"/>
      <c r="AJ497" s="685"/>
      <c r="AK497" s="685"/>
      <c r="AL497" s="685"/>
      <c r="AM497" s="685"/>
      <c r="AN497" s="685"/>
      <c r="AO497" s="685"/>
      <c r="AP497" s="685"/>
      <c r="AQ497" s="685"/>
      <c r="AR497" s="685"/>
      <c r="AS497" s="685"/>
      <c r="AT497" s="685"/>
      <c r="AU497" s="685"/>
      <c r="AV497" s="685"/>
      <c r="AW497" s="685"/>
      <c r="AX497" s="685"/>
      <c r="AY497" s="685"/>
      <c r="AZ497" s="685"/>
      <c r="BA497" s="685"/>
      <c r="BB497" s="685"/>
      <c r="BC497" s="685"/>
      <c r="BD497" s="685"/>
    </row>
    <row r="498" spans="1:56">
      <c r="A498" s="685"/>
      <c r="B498" s="1115"/>
      <c r="C498" s="1115"/>
      <c r="D498" s="1115"/>
      <c r="E498" s="1115"/>
      <c r="F498" s="1115"/>
      <c r="G498" s="1115"/>
      <c r="H498" s="1115"/>
      <c r="I498" s="1115"/>
      <c r="J498" s="1115"/>
      <c r="K498" s="1115"/>
      <c r="L498" s="1115"/>
      <c r="M498" s="1115"/>
      <c r="N498" s="1115"/>
      <c r="O498" s="1115"/>
      <c r="P498" s="1115"/>
      <c r="Q498" s="1115"/>
      <c r="R498" s="1115"/>
      <c r="S498" s="1115"/>
      <c r="T498" s="1115"/>
      <c r="U498" s="1115"/>
      <c r="V498" s="1115"/>
      <c r="W498" s="1115"/>
      <c r="X498" s="1115"/>
      <c r="Y498" s="1115"/>
      <c r="Z498" s="1115"/>
      <c r="AA498" s="1115"/>
      <c r="AB498" s="1115"/>
      <c r="AC498" s="1115"/>
      <c r="AD498" s="1115"/>
      <c r="AE498" s="1115"/>
      <c r="AF498" s="1115"/>
      <c r="AG498" s="1115"/>
      <c r="AH498" s="1115"/>
      <c r="AI498" s="685"/>
      <c r="AJ498" s="685"/>
      <c r="AK498" s="685"/>
      <c r="AL498" s="685"/>
      <c r="AM498" s="685"/>
      <c r="AN498" s="685"/>
      <c r="AO498" s="685"/>
      <c r="AP498" s="685"/>
      <c r="AQ498" s="685"/>
      <c r="AR498" s="685"/>
      <c r="AS498" s="685"/>
      <c r="AT498" s="685"/>
      <c r="AU498" s="685"/>
      <c r="AV498" s="685"/>
      <c r="AW498" s="685"/>
      <c r="AX498" s="685"/>
      <c r="AY498" s="685"/>
      <c r="AZ498" s="685"/>
      <c r="BA498" s="685"/>
      <c r="BB498" s="685"/>
      <c r="BC498" s="685"/>
      <c r="BD498" s="685"/>
    </row>
    <row r="499" spans="1:56">
      <c r="A499" s="685"/>
      <c r="B499" s="1115"/>
      <c r="C499" s="1115"/>
      <c r="D499" s="1115"/>
      <c r="E499" s="1115"/>
      <c r="F499" s="1115"/>
      <c r="G499" s="1115"/>
      <c r="H499" s="1115"/>
      <c r="I499" s="1115"/>
      <c r="J499" s="1115"/>
      <c r="K499" s="1115"/>
      <c r="L499" s="1115"/>
      <c r="M499" s="1115"/>
      <c r="N499" s="1115"/>
      <c r="O499" s="1115"/>
      <c r="P499" s="1115"/>
      <c r="Q499" s="1115"/>
      <c r="R499" s="1115"/>
      <c r="S499" s="1115"/>
      <c r="T499" s="1115"/>
      <c r="U499" s="1115"/>
      <c r="V499" s="1115"/>
      <c r="W499" s="1115"/>
      <c r="X499" s="1115"/>
      <c r="Y499" s="1115"/>
      <c r="Z499" s="1115"/>
      <c r="AA499" s="1115"/>
      <c r="AB499" s="1115"/>
      <c r="AC499" s="1115"/>
      <c r="AD499" s="1115"/>
      <c r="AE499" s="1115"/>
      <c r="AF499" s="1115"/>
      <c r="AG499" s="1115"/>
      <c r="AH499" s="1115"/>
      <c r="AI499" s="685"/>
      <c r="AJ499" s="685"/>
      <c r="AK499" s="685"/>
      <c r="AL499" s="685"/>
      <c r="AM499" s="685"/>
      <c r="AN499" s="685"/>
      <c r="AO499" s="685"/>
      <c r="AP499" s="685"/>
      <c r="AQ499" s="685"/>
      <c r="AR499" s="685"/>
      <c r="AS499" s="685"/>
      <c r="AT499" s="685"/>
      <c r="AU499" s="685"/>
      <c r="AV499" s="685"/>
      <c r="AW499" s="685"/>
      <c r="AX499" s="685"/>
      <c r="AY499" s="685"/>
      <c r="AZ499" s="685"/>
      <c r="BA499" s="685"/>
      <c r="BB499" s="685"/>
      <c r="BC499" s="685"/>
      <c r="BD499" s="685"/>
    </row>
    <row r="500" spans="1:56">
      <c r="A500" s="685"/>
      <c r="B500" s="1112" t="s">
        <v>412</v>
      </c>
      <c r="C500" s="1112">
        <v>2004</v>
      </c>
      <c r="D500" s="1112">
        <f t="shared" ref="D500:AE500" si="335">C500+1</f>
        <v>2005</v>
      </c>
      <c r="E500" s="1112">
        <f t="shared" si="335"/>
        <v>2006</v>
      </c>
      <c r="F500" s="1112">
        <f t="shared" si="335"/>
        <v>2007</v>
      </c>
      <c r="G500" s="1112">
        <f t="shared" si="335"/>
        <v>2008</v>
      </c>
      <c r="H500" s="1112">
        <f t="shared" si="335"/>
        <v>2009</v>
      </c>
      <c r="I500" s="1112">
        <f t="shared" si="335"/>
        <v>2010</v>
      </c>
      <c r="J500" s="1112">
        <f t="shared" si="335"/>
        <v>2011</v>
      </c>
      <c r="K500" s="1112">
        <f t="shared" si="335"/>
        <v>2012</v>
      </c>
      <c r="L500" s="1112">
        <f t="shared" si="335"/>
        <v>2013</v>
      </c>
      <c r="M500" s="1112">
        <f t="shared" si="335"/>
        <v>2014</v>
      </c>
      <c r="N500" s="1112">
        <f t="shared" si="335"/>
        <v>2015</v>
      </c>
      <c r="O500" s="1112">
        <f t="shared" si="335"/>
        <v>2016</v>
      </c>
      <c r="P500" s="1112">
        <f t="shared" si="335"/>
        <v>2017</v>
      </c>
      <c r="Q500" s="1112">
        <f t="shared" si="335"/>
        <v>2018</v>
      </c>
      <c r="R500" s="1112">
        <f t="shared" si="335"/>
        <v>2019</v>
      </c>
      <c r="S500" s="1112">
        <f t="shared" si="335"/>
        <v>2020</v>
      </c>
      <c r="T500" s="1112">
        <f t="shared" si="335"/>
        <v>2021</v>
      </c>
      <c r="U500" s="1112">
        <f t="shared" si="335"/>
        <v>2022</v>
      </c>
      <c r="V500" s="1112">
        <f t="shared" si="335"/>
        <v>2023</v>
      </c>
      <c r="W500" s="1112">
        <f t="shared" si="335"/>
        <v>2024</v>
      </c>
      <c r="X500" s="1112">
        <f t="shared" si="335"/>
        <v>2025</v>
      </c>
      <c r="Y500" s="1112">
        <f t="shared" si="335"/>
        <v>2026</v>
      </c>
      <c r="Z500" s="1112">
        <f t="shared" si="335"/>
        <v>2027</v>
      </c>
      <c r="AA500" s="1112">
        <f t="shared" si="335"/>
        <v>2028</v>
      </c>
      <c r="AB500" s="1112">
        <f t="shared" si="335"/>
        <v>2029</v>
      </c>
      <c r="AC500" s="1112">
        <f t="shared" si="335"/>
        <v>2030</v>
      </c>
      <c r="AD500" s="1112">
        <f t="shared" si="335"/>
        <v>2031</v>
      </c>
      <c r="AE500" s="1112">
        <f t="shared" si="335"/>
        <v>2032</v>
      </c>
      <c r="AF500" s="1112">
        <f>AE500+1</f>
        <v>2033</v>
      </c>
      <c r="AG500" s="1112">
        <f>AF500+1</f>
        <v>2034</v>
      </c>
      <c r="AH500" s="1112">
        <f>AG500+1</f>
        <v>2035</v>
      </c>
      <c r="AI500" s="685"/>
      <c r="AJ500" s="685"/>
      <c r="AK500" s="685"/>
      <c r="AL500" s="685"/>
      <c r="AM500" s="685"/>
      <c r="AN500" s="685"/>
      <c r="AO500" s="685"/>
      <c r="AP500" s="685"/>
      <c r="AQ500" s="685"/>
      <c r="AR500" s="685"/>
      <c r="AS500" s="685"/>
      <c r="AT500" s="685"/>
      <c r="AU500" s="685"/>
      <c r="AV500" s="685"/>
      <c r="AW500" s="685"/>
      <c r="AX500" s="685"/>
      <c r="AY500" s="685"/>
      <c r="AZ500" s="685"/>
      <c r="BA500" s="685"/>
      <c r="BB500" s="685"/>
      <c r="BC500" s="685"/>
      <c r="BD500" s="685"/>
    </row>
    <row r="501" spans="1:56">
      <c r="A501" s="685"/>
      <c r="B501" s="1115" t="s">
        <v>34</v>
      </c>
      <c r="C501" s="1123"/>
      <c r="D501" s="1123"/>
      <c r="E501" s="1123"/>
      <c r="F501" s="1123"/>
      <c r="G501" s="1123"/>
      <c r="H501" s="1123">
        <f t="shared" ref="H501:AC501" si="336">H140</f>
        <v>20087</v>
      </c>
      <c r="I501" s="1123">
        <f t="shared" si="336"/>
        <v>21568</v>
      </c>
      <c r="J501" s="1123">
        <f t="shared" si="336"/>
        <v>23634.9</v>
      </c>
      <c r="K501" s="1123">
        <f t="shared" si="336"/>
        <v>26613.8</v>
      </c>
      <c r="L501" s="1123">
        <f t="shared" si="336"/>
        <v>28205.576890624998</v>
      </c>
      <c r="M501" s="1123">
        <f t="shared" si="336"/>
        <v>30007.9</v>
      </c>
      <c r="N501" s="1123">
        <f t="shared" si="336"/>
        <v>32375.299999999992</v>
      </c>
      <c r="O501" s="1123">
        <f t="shared" si="336"/>
        <v>33577.899999999994</v>
      </c>
      <c r="P501" s="1123">
        <f t="shared" si="336"/>
        <v>32780</v>
      </c>
      <c r="Q501" s="1123">
        <f t="shared" si="336"/>
        <v>36572.5</v>
      </c>
      <c r="R501" s="1123">
        <f t="shared" si="336"/>
        <v>38218.1</v>
      </c>
      <c r="S501" s="1123">
        <f t="shared" si="336"/>
        <v>38810.299999999996</v>
      </c>
      <c r="T501" s="1123">
        <f t="shared" si="336"/>
        <v>43601.599999999999</v>
      </c>
      <c r="U501" s="1123">
        <f t="shared" si="336"/>
        <v>25536.03</v>
      </c>
      <c r="V501" s="1123">
        <f t="shared" si="336"/>
        <v>24124.600000000002</v>
      </c>
      <c r="W501" s="1123">
        <f t="shared" si="336"/>
        <v>17692.015999999996</v>
      </c>
      <c r="X501" s="1123">
        <f t="shared" si="336"/>
        <v>21385.4</v>
      </c>
      <c r="Y501" s="1123">
        <f t="shared" si="336"/>
        <v>21683.037436526331</v>
      </c>
      <c r="Z501" s="1123">
        <f t="shared" si="336"/>
        <v>21241.153183097853</v>
      </c>
      <c r="AA501" s="1123">
        <f t="shared" si="336"/>
        <v>20722.529360417931</v>
      </c>
      <c r="AB501" s="1123">
        <f t="shared" si="336"/>
        <v>20756.802080019293</v>
      </c>
      <c r="AC501" s="1123">
        <f t="shared" si="336"/>
        <v>21103.824961091603</v>
      </c>
      <c r="AD501" s="1123">
        <f>AD140</f>
        <v>21636.085524170499</v>
      </c>
      <c r="AE501" s="1123">
        <f>AE140</f>
        <v>22089.256334643047</v>
      </c>
      <c r="AF501" s="1123">
        <f>AF140</f>
        <v>22505.330564338114</v>
      </c>
      <c r="AG501" s="1123">
        <f>AG140</f>
        <v>22507.3875734463</v>
      </c>
      <c r="AH501" s="1123">
        <f>AH140</f>
        <v>22764.344109753874</v>
      </c>
      <c r="AI501" s="685"/>
      <c r="AJ501" s="685"/>
      <c r="AK501" s="685"/>
      <c r="AL501" s="685"/>
      <c r="AM501" s="685"/>
      <c r="AN501" s="685"/>
      <c r="AO501" s="685"/>
      <c r="AP501" s="685"/>
      <c r="AQ501" s="685"/>
      <c r="AR501" s="685"/>
      <c r="AS501" s="685"/>
      <c r="AT501" s="685"/>
      <c r="AU501" s="685"/>
      <c r="AV501" s="685"/>
      <c r="AW501" s="685"/>
      <c r="AX501" s="685"/>
      <c r="AY501" s="685"/>
      <c r="AZ501" s="685"/>
      <c r="BA501" s="685"/>
      <c r="BB501" s="685"/>
      <c r="BC501" s="685"/>
      <c r="BD501" s="685"/>
    </row>
    <row r="502" spans="1:56">
      <c r="A502" s="685"/>
      <c r="B502" s="1115" t="s">
        <v>413</v>
      </c>
      <c r="C502" s="1123"/>
      <c r="D502" s="1123">
        <f t="shared" ref="D502:AC502" si="337">-D232</f>
        <v>0</v>
      </c>
      <c r="E502" s="1123">
        <f t="shared" si="337"/>
        <v>0</v>
      </c>
      <c r="F502" s="1123">
        <f t="shared" si="337"/>
        <v>0</v>
      </c>
      <c r="G502" s="1123">
        <f t="shared" si="337"/>
        <v>0</v>
      </c>
      <c r="H502" s="1123">
        <f t="shared" si="337"/>
        <v>-4390</v>
      </c>
      <c r="I502" s="1123">
        <f t="shared" si="337"/>
        <v>-5697</v>
      </c>
      <c r="J502" s="1123">
        <f t="shared" si="337"/>
        <v>-6501</v>
      </c>
      <c r="K502" s="1123">
        <f t="shared" si="337"/>
        <v>-7122.2916099069244</v>
      </c>
      <c r="L502" s="1123">
        <f t="shared" si="337"/>
        <v>-8426.7308289351131</v>
      </c>
      <c r="M502" s="1123">
        <f t="shared" si="337"/>
        <v>-9411.8212326843186</v>
      </c>
      <c r="N502" s="1123">
        <f t="shared" si="337"/>
        <v>-11222.332339055185</v>
      </c>
      <c r="O502" s="1123">
        <f t="shared" si="337"/>
        <v>-12681.492375298647</v>
      </c>
      <c r="P502" s="1123">
        <f t="shared" si="337"/>
        <v>-13775.112009065635</v>
      </c>
      <c r="Q502" s="1123">
        <f t="shared" si="337"/>
        <v>-15461.690203840175</v>
      </c>
      <c r="R502" s="1123">
        <f t="shared" si="337"/>
        <v>-15598.453258756492</v>
      </c>
      <c r="S502" s="1123">
        <f t="shared" si="337"/>
        <v>-15664.841174858946</v>
      </c>
      <c r="T502" s="1123">
        <f t="shared" si="337"/>
        <v>-16057.827405879905</v>
      </c>
      <c r="U502" s="1123">
        <f t="shared" si="337"/>
        <v>-15135.795108159535</v>
      </c>
      <c r="V502" s="1123">
        <f t="shared" si="337"/>
        <v>-17634</v>
      </c>
      <c r="W502" s="1123">
        <f t="shared" si="337"/>
        <v>-16258</v>
      </c>
      <c r="X502" s="1123">
        <f t="shared" si="337"/>
        <v>-14258</v>
      </c>
      <c r="Y502" s="1123">
        <f t="shared" si="337"/>
        <v>-13953.961219733854</v>
      </c>
      <c r="Z502" s="1123">
        <f t="shared" si="337"/>
        <v>-14028.502288162032</v>
      </c>
      <c r="AA502" s="1123">
        <f t="shared" si="337"/>
        <v>-13371.182595606751</v>
      </c>
      <c r="AB502" s="1123">
        <f t="shared" si="337"/>
        <v>-12664.208529554813</v>
      </c>
      <c r="AC502" s="1123">
        <f t="shared" si="337"/>
        <v>-12053.423684546047</v>
      </c>
      <c r="AD502" s="1123">
        <f>-AD232</f>
        <v>-11545.267342408524</v>
      </c>
      <c r="AE502" s="1123">
        <f>-AE232</f>
        <v>-11131.769480421153</v>
      </c>
      <c r="AF502" s="1123">
        <f>-AF232</f>
        <v>-10806.594692997816</v>
      </c>
      <c r="AG502" s="1123">
        <f>-AG232</f>
        <v>-10540.34165419529</v>
      </c>
      <c r="AH502" s="1123">
        <f>-AH232</f>
        <v>-10309.394220941171</v>
      </c>
      <c r="AI502" s="685"/>
      <c r="AJ502" s="685"/>
      <c r="AK502" s="685"/>
      <c r="AL502" s="685"/>
      <c r="AM502" s="685"/>
      <c r="AN502" s="685"/>
      <c r="AO502" s="685"/>
      <c r="AP502" s="685"/>
      <c r="AQ502" s="685"/>
      <c r="AR502" s="685"/>
      <c r="AS502" s="685"/>
      <c r="AT502" s="685"/>
      <c r="AU502" s="685"/>
      <c r="AV502" s="685"/>
      <c r="AW502" s="685"/>
      <c r="AX502" s="685"/>
      <c r="AY502" s="685"/>
      <c r="AZ502" s="685"/>
      <c r="BA502" s="685"/>
      <c r="BB502" s="685"/>
      <c r="BC502" s="685"/>
      <c r="BD502" s="685"/>
    </row>
    <row r="503" spans="1:56">
      <c r="A503" s="685"/>
      <c r="B503" s="1115" t="s">
        <v>361</v>
      </c>
      <c r="C503" s="1123"/>
      <c r="D503" s="1123">
        <f t="shared" ref="D503:AC503" si="338">-D254</f>
        <v>0</v>
      </c>
      <c r="E503" s="1123">
        <f t="shared" si="338"/>
        <v>0</v>
      </c>
      <c r="F503" s="1123">
        <f t="shared" si="338"/>
        <v>0</v>
      </c>
      <c r="G503" s="1123">
        <f t="shared" si="338"/>
        <v>0</v>
      </c>
      <c r="H503" s="1123">
        <f t="shared" si="338"/>
        <v>-540</v>
      </c>
      <c r="I503" s="1123">
        <f t="shared" si="338"/>
        <v>-882</v>
      </c>
      <c r="J503" s="1123">
        <f t="shared" si="338"/>
        <v>-928.69999999999982</v>
      </c>
      <c r="K503" s="1123">
        <f t="shared" si="338"/>
        <v>-1351.7083900930756</v>
      </c>
      <c r="L503" s="1123">
        <f t="shared" si="338"/>
        <v>-1419.2691710648869</v>
      </c>
      <c r="M503" s="1123">
        <f t="shared" si="338"/>
        <v>-2151.1787673156814</v>
      </c>
      <c r="N503" s="1123">
        <f t="shared" si="338"/>
        <v>-3438.5676609448146</v>
      </c>
      <c r="O503" s="1123">
        <f t="shared" si="338"/>
        <v>-4298.3076247013523</v>
      </c>
      <c r="P503" s="1123">
        <f t="shared" si="338"/>
        <v>-4760.887990934365</v>
      </c>
      <c r="Q503" s="1123">
        <f t="shared" si="338"/>
        <v>-4372.3097961598251</v>
      </c>
      <c r="R503" s="1123">
        <f t="shared" si="338"/>
        <v>-5409.5467412435082</v>
      </c>
      <c r="S503" s="1123">
        <f t="shared" si="338"/>
        <v>-5596.158825141054</v>
      </c>
      <c r="T503" s="1123">
        <f t="shared" si="338"/>
        <v>-5360.4725941200941</v>
      </c>
      <c r="U503" s="1123">
        <f t="shared" si="338"/>
        <v>-5981.6048918404667</v>
      </c>
      <c r="V503" s="1123">
        <f t="shared" si="338"/>
        <v>-3920.4000000000015</v>
      </c>
      <c r="W503" s="1123">
        <f t="shared" si="338"/>
        <v>-4252.9000000000015</v>
      </c>
      <c r="X503" s="1123">
        <f t="shared" si="338"/>
        <v>-2902.5</v>
      </c>
      <c r="Y503" s="1123">
        <f t="shared" si="338"/>
        <v>-3069.4746399999999</v>
      </c>
      <c r="Z503" s="1123">
        <f t="shared" si="338"/>
        <v>-3109.8158106000001</v>
      </c>
      <c r="AA503" s="1123">
        <f t="shared" si="338"/>
        <v>-3128.7026294460006</v>
      </c>
      <c r="AB503" s="1123">
        <f t="shared" si="338"/>
        <v>-3127.5681423956307</v>
      </c>
      <c r="AC503" s="1123">
        <f t="shared" si="338"/>
        <v>-3108.1311777558371</v>
      </c>
      <c r="AD503" s="1123">
        <f>-AD254</f>
        <v>-3072.3305129792666</v>
      </c>
      <c r="AE503" s="1123">
        <f>-AE254</f>
        <v>-3022.2577095505603</v>
      </c>
      <c r="AF503" s="1123">
        <f>-AF254</f>
        <v>-2960.091073386362</v>
      </c>
      <c r="AG503" s="1123">
        <f>-AG254</f>
        <v>-2888.0329564663621</v>
      </c>
      <c r="AH503" s="1123">
        <f>-AH254</f>
        <v>-2808.252293427498</v>
      </c>
      <c r="AI503" s="685"/>
      <c r="AJ503" s="685"/>
      <c r="AK503" s="685"/>
      <c r="AL503" s="685"/>
      <c r="AM503" s="685"/>
      <c r="AN503" s="685"/>
      <c r="AO503" s="685"/>
      <c r="AP503" s="685"/>
      <c r="AQ503" s="685"/>
      <c r="AR503" s="685"/>
      <c r="AS503" s="685"/>
      <c r="AT503" s="685"/>
      <c r="AU503" s="685"/>
      <c r="AV503" s="685"/>
      <c r="AW503" s="685"/>
      <c r="AX503" s="685"/>
      <c r="AY503" s="685"/>
      <c r="AZ503" s="685"/>
      <c r="BA503" s="685"/>
      <c r="BB503" s="685"/>
      <c r="BC503" s="685"/>
      <c r="BD503" s="685"/>
    </row>
    <row r="504" spans="1:56">
      <c r="A504" s="685"/>
      <c r="B504" s="1115" t="s">
        <v>414</v>
      </c>
      <c r="C504" s="1123"/>
      <c r="D504" s="1123">
        <f t="shared" ref="D504:AC504" si="339">-D284</f>
        <v>0</v>
      </c>
      <c r="E504" s="1123">
        <f t="shared" si="339"/>
        <v>0</v>
      </c>
      <c r="F504" s="1123">
        <f t="shared" si="339"/>
        <v>0</v>
      </c>
      <c r="G504" s="1123">
        <f t="shared" si="339"/>
        <v>0</v>
      </c>
      <c r="H504" s="1123">
        <f t="shared" si="339"/>
        <v>-2083</v>
      </c>
      <c r="I504" s="1123">
        <f t="shared" si="339"/>
        <v>-2567</v>
      </c>
      <c r="J504" s="1123">
        <f t="shared" si="339"/>
        <v>-3166</v>
      </c>
      <c r="K504" s="1123">
        <f t="shared" si="339"/>
        <v>-3325</v>
      </c>
      <c r="L504" s="1123">
        <f t="shared" si="339"/>
        <v>-3673</v>
      </c>
      <c r="M504" s="1123">
        <f t="shared" si="339"/>
        <v>-4224</v>
      </c>
      <c r="N504" s="1123">
        <f t="shared" si="339"/>
        <v>-5211</v>
      </c>
      <c r="O504" s="1123">
        <f t="shared" si="339"/>
        <v>-6998.4</v>
      </c>
      <c r="P504" s="1123">
        <f t="shared" si="339"/>
        <v>-6977</v>
      </c>
      <c r="Q504" s="1123">
        <f t="shared" si="339"/>
        <v>-8140</v>
      </c>
      <c r="R504" s="1123">
        <f t="shared" si="339"/>
        <v>-8810.8000000000011</v>
      </c>
      <c r="S504" s="1123">
        <f t="shared" si="339"/>
        <v>-5584.2</v>
      </c>
      <c r="T504" s="1123">
        <f t="shared" si="339"/>
        <v>-11918</v>
      </c>
      <c r="U504" s="1123">
        <f t="shared" si="339"/>
        <v>-9206.2000000000007</v>
      </c>
      <c r="V504" s="1123">
        <f t="shared" si="339"/>
        <v>-4751.5079999999998</v>
      </c>
      <c r="W504" s="1123">
        <f t="shared" si="339"/>
        <v>-4695.1710000000003</v>
      </c>
      <c r="X504" s="1123">
        <f t="shared" si="339"/>
        <v>-4140.2860000000001</v>
      </c>
      <c r="Y504" s="1123">
        <f t="shared" ca="1" si="339"/>
        <v>-4924.8469309388947</v>
      </c>
      <c r="Z504" s="1123">
        <f t="shared" ca="1" si="339"/>
        <v>-4615.7161782476887</v>
      </c>
      <c r="AA504" s="1123">
        <f t="shared" ca="1" si="339"/>
        <v>-4613.7850159312093</v>
      </c>
      <c r="AB504" s="1123">
        <f t="shared" ca="1" si="339"/>
        <v>-4595.4749098079837</v>
      </c>
      <c r="AC504" s="1123">
        <f t="shared" ca="1" si="339"/>
        <v>-4428.9120458826455</v>
      </c>
      <c r="AD504" s="1123">
        <f ca="1">-AD284</f>
        <v>-4350.8856183158296</v>
      </c>
      <c r="AE504" s="1123">
        <f ca="1">-AE284</f>
        <v>-4287.0098197252555</v>
      </c>
      <c r="AF504" s="1123">
        <f ca="1">-AF284</f>
        <v>-4244.6069348497886</v>
      </c>
      <c r="AG504" s="1123">
        <f ca="1">-AG284</f>
        <v>-4232.8495949682838</v>
      </c>
      <c r="AH504" s="1123">
        <f ca="1">-AH284</f>
        <v>-4119.0057626952748</v>
      </c>
      <c r="AI504" s="685"/>
      <c r="AJ504" s="685"/>
      <c r="AK504" s="685"/>
      <c r="AL504" s="685"/>
      <c r="AM504" s="685"/>
      <c r="AN504" s="685"/>
      <c r="AO504" s="685"/>
      <c r="AP504" s="685"/>
      <c r="AQ504" s="685"/>
      <c r="AR504" s="685"/>
      <c r="AS504" s="685"/>
      <c r="AT504" s="685"/>
      <c r="AU504" s="685"/>
      <c r="AV504" s="685"/>
      <c r="AW504" s="685"/>
      <c r="AX504" s="685"/>
      <c r="AY504" s="685"/>
      <c r="AZ504" s="685"/>
      <c r="BA504" s="685"/>
      <c r="BB504" s="685"/>
      <c r="BC504" s="685"/>
      <c r="BD504" s="685"/>
    </row>
    <row r="505" spans="1:56">
      <c r="A505" s="685"/>
      <c r="B505" s="1115" t="s">
        <v>415</v>
      </c>
      <c r="C505" s="1123"/>
      <c r="D505" s="1123">
        <f t="shared" ref="D505:AC505" si="340">D434</f>
        <v>0</v>
      </c>
      <c r="E505" s="1123">
        <f t="shared" si="340"/>
        <v>0</v>
      </c>
      <c r="F505" s="1123">
        <f t="shared" si="340"/>
        <v>0</v>
      </c>
      <c r="G505" s="1123">
        <f t="shared" si="340"/>
        <v>0</v>
      </c>
      <c r="H505" s="1123">
        <f t="shared" si="340"/>
        <v>-715</v>
      </c>
      <c r="I505" s="1123">
        <f t="shared" si="340"/>
        <v>-212</v>
      </c>
      <c r="J505" s="1123">
        <f t="shared" si="340"/>
        <v>-449</v>
      </c>
      <c r="K505" s="1123">
        <f t="shared" si="340"/>
        <v>-666.6</v>
      </c>
      <c r="L505" s="1123">
        <f t="shared" si="340"/>
        <v>-1159.8999999999996</v>
      </c>
      <c r="M505" s="1123">
        <f t="shared" si="340"/>
        <v>13</v>
      </c>
      <c r="N505" s="1123">
        <f t="shared" si="340"/>
        <v>35.4</v>
      </c>
      <c r="O505" s="1123">
        <f t="shared" si="340"/>
        <v>1139.4000000000001</v>
      </c>
      <c r="P505" s="1123">
        <f t="shared" si="340"/>
        <v>1913</v>
      </c>
      <c r="Q505" s="1123">
        <f t="shared" si="340"/>
        <v>532.9</v>
      </c>
      <c r="R505" s="1123">
        <f t="shared" si="340"/>
        <v>581.1</v>
      </c>
      <c r="S505" s="1123">
        <f t="shared" si="340"/>
        <v>-314</v>
      </c>
      <c r="T505" s="1123">
        <f t="shared" si="340"/>
        <v>3558.8</v>
      </c>
      <c r="U505" s="1123">
        <f t="shared" si="340"/>
        <v>-8453.2999999999993</v>
      </c>
      <c r="V505" s="1123">
        <f t="shared" si="340"/>
        <v>-6210.1</v>
      </c>
      <c r="W505" s="1123">
        <f t="shared" si="340"/>
        <v>-182.577</v>
      </c>
      <c r="X505" s="1123">
        <f t="shared" si="340"/>
        <v>-1088.1210000000001</v>
      </c>
      <c r="Y505" s="1123">
        <f t="shared" si="340"/>
        <v>184.43032189019857</v>
      </c>
      <c r="Z505" s="1123">
        <f t="shared" si="340"/>
        <v>1004.248724791578</v>
      </c>
      <c r="AA505" s="1123">
        <f t="shared" si="340"/>
        <v>1537.4995616921067</v>
      </c>
      <c r="AB505" s="1123">
        <f t="shared" si="340"/>
        <v>1984.5887106641871</v>
      </c>
      <c r="AC505" s="1123">
        <f t="shared" si="340"/>
        <v>2426.2245648141247</v>
      </c>
      <c r="AD505" s="1123">
        <f>AD434</f>
        <v>2822.984505664107</v>
      </c>
      <c r="AE505" s="1123">
        <f>AE434</f>
        <v>3187.1969883043516</v>
      </c>
      <c r="AF505" s="1123">
        <f>AF434</f>
        <v>3539.9458023084171</v>
      </c>
      <c r="AG505" s="1123">
        <f>AG434</f>
        <v>3845.7819669826222</v>
      </c>
      <c r="AH505" s="1123">
        <f>AH434</f>
        <v>4094.9579849515458</v>
      </c>
      <c r="AI505" s="685"/>
      <c r="AJ505" s="685"/>
      <c r="AK505" s="685"/>
      <c r="AL505" s="685"/>
      <c r="AM505" s="685"/>
      <c r="AN505" s="685"/>
      <c r="AO505" s="685"/>
      <c r="AP505" s="685"/>
      <c r="AQ505" s="685"/>
      <c r="AR505" s="685"/>
      <c r="AS505" s="685"/>
      <c r="AT505" s="685"/>
      <c r="AU505" s="685"/>
      <c r="AV505" s="685"/>
      <c r="AW505" s="685"/>
      <c r="AX505" s="685"/>
      <c r="AY505" s="685"/>
      <c r="AZ505" s="685"/>
      <c r="BA505" s="685"/>
      <c r="BB505" s="685"/>
      <c r="BC505" s="685"/>
      <c r="BD505" s="685"/>
    </row>
    <row r="506" spans="1:56">
      <c r="A506" s="685"/>
      <c r="B506" s="1115" t="s">
        <v>416</v>
      </c>
      <c r="C506" s="1123"/>
      <c r="D506" s="1123">
        <f t="shared" ref="D506:AC506" si="341">-D389</f>
        <v>0</v>
      </c>
      <c r="E506" s="1123">
        <f t="shared" si="341"/>
        <v>0</v>
      </c>
      <c r="F506" s="1123">
        <f t="shared" si="341"/>
        <v>0</v>
      </c>
      <c r="G506" s="1123">
        <f t="shared" si="341"/>
        <v>0</v>
      </c>
      <c r="H506" s="1123">
        <f t="shared" si="341"/>
        <v>-3121</v>
      </c>
      <c r="I506" s="1123">
        <f t="shared" si="341"/>
        <v>-3259</v>
      </c>
      <c r="J506" s="1123">
        <f t="shared" si="341"/>
        <v>-3410</v>
      </c>
      <c r="K506" s="1123">
        <f t="shared" si="341"/>
        <v>-4053</v>
      </c>
      <c r="L506" s="1123">
        <f t="shared" si="341"/>
        <v>-3729</v>
      </c>
      <c r="M506" s="1123">
        <f t="shared" si="341"/>
        <v>-2983</v>
      </c>
      <c r="N506" s="1123">
        <f t="shared" si="341"/>
        <v>-6332.2</v>
      </c>
      <c r="O506" s="1123">
        <f t="shared" si="341"/>
        <v>-2872.2</v>
      </c>
      <c r="P506" s="1123">
        <f t="shared" si="341"/>
        <v>-4274</v>
      </c>
      <c r="Q506" s="1123">
        <f t="shared" si="341"/>
        <v>-4391</v>
      </c>
      <c r="R506" s="1123">
        <f t="shared" si="341"/>
        <v>-2776.5</v>
      </c>
      <c r="S506" s="1123">
        <f t="shared" si="341"/>
        <v>-5004.6000000000004</v>
      </c>
      <c r="T506" s="1123">
        <f t="shared" si="341"/>
        <v>-7493.9</v>
      </c>
      <c r="U506" s="1123">
        <f t="shared" si="341"/>
        <v>967.4</v>
      </c>
      <c r="V506" s="1123">
        <f t="shared" si="341"/>
        <v>-2440.9</v>
      </c>
      <c r="W506" s="1123">
        <f t="shared" si="341"/>
        <v>-688.58699999999999</v>
      </c>
      <c r="X506" s="1123">
        <f t="shared" si="341"/>
        <v>-177.23804000000038</v>
      </c>
      <c r="Y506" s="1123">
        <f t="shared" ca="1" si="341"/>
        <v>-379.22947558088572</v>
      </c>
      <c r="Z506" s="1123">
        <f t="shared" ca="1" si="341"/>
        <v>-524.12781779395857</v>
      </c>
      <c r="AA506" s="1123">
        <f t="shared" ca="1" si="341"/>
        <v>-690.44706195240747</v>
      </c>
      <c r="AB506" s="1123">
        <f t="shared" ca="1" si="341"/>
        <v>-1024.6090420678022</v>
      </c>
      <c r="AC506" s="1123">
        <f t="shared" ca="1" si="341"/>
        <v>-1470.0542013679806</v>
      </c>
      <c r="AD506" s="1123">
        <f ca="1">-AD389</f>
        <v>-1909.000972037298</v>
      </c>
      <c r="AE506" s="1123">
        <f ca="1">-AE389</f>
        <v>-2288.7643789927924</v>
      </c>
      <c r="AF506" s="1123">
        <f ca="1">-AF389</f>
        <v>-2626.8758117473003</v>
      </c>
      <c r="AG506" s="1123">
        <f ca="1">-AG389</f>
        <v>-2806.698137755031</v>
      </c>
      <c r="AH506" s="1123">
        <f ca="1">-AH389</f>
        <v>-3069.3465803506142</v>
      </c>
      <c r="AI506" s="685"/>
      <c r="AJ506" s="685"/>
      <c r="AK506" s="685"/>
      <c r="AL506" s="685"/>
      <c r="AM506" s="685"/>
      <c r="AN506" s="685"/>
      <c r="AO506" s="685"/>
      <c r="AP506" s="685"/>
      <c r="AQ506" s="685"/>
      <c r="AR506" s="685"/>
      <c r="AS506" s="685"/>
      <c r="AT506" s="685"/>
      <c r="AU506" s="685"/>
      <c r="AV506" s="685"/>
      <c r="AW506" s="685"/>
      <c r="AX506" s="685"/>
      <c r="AY506" s="685"/>
      <c r="AZ506" s="685"/>
      <c r="BA506" s="685"/>
      <c r="BB506" s="685"/>
      <c r="BC506" s="685"/>
      <c r="BD506" s="685"/>
    </row>
    <row r="507" spans="1:56">
      <c r="A507" s="685"/>
      <c r="B507" s="1161" t="s">
        <v>417</v>
      </c>
      <c r="C507" s="1158"/>
      <c r="D507" s="1158">
        <f t="shared" ref="D507:AC507" si="342">-D445</f>
        <v>0</v>
      </c>
      <c r="E507" s="1158">
        <f t="shared" si="342"/>
        <v>0</v>
      </c>
      <c r="F507" s="1158">
        <f t="shared" si="342"/>
        <v>0</v>
      </c>
      <c r="G507" s="1158">
        <f t="shared" si="342"/>
        <v>0</v>
      </c>
      <c r="H507" s="1158">
        <f t="shared" si="342"/>
        <v>-576</v>
      </c>
      <c r="I507" s="1158">
        <f t="shared" si="342"/>
        <v>-833</v>
      </c>
      <c r="J507" s="1158">
        <f t="shared" si="342"/>
        <v>-1291</v>
      </c>
      <c r="K507" s="1158">
        <f t="shared" si="342"/>
        <v>-1309</v>
      </c>
      <c r="L507" s="1158">
        <f t="shared" si="342"/>
        <v>-1336</v>
      </c>
      <c r="M507" s="1158">
        <f t="shared" si="342"/>
        <v>-1272.9000000000001</v>
      </c>
      <c r="N507" s="1158">
        <f t="shared" si="342"/>
        <v>-1426.3</v>
      </c>
      <c r="O507" s="1158">
        <f t="shared" si="342"/>
        <v>-1612</v>
      </c>
      <c r="P507" s="1158">
        <f t="shared" si="342"/>
        <v>-2053</v>
      </c>
      <c r="Q507" s="1158">
        <f t="shared" si="342"/>
        <v>-1606</v>
      </c>
      <c r="R507" s="1158">
        <f t="shared" si="342"/>
        <v>-1480.7</v>
      </c>
      <c r="S507" s="1158">
        <f t="shared" si="342"/>
        <v>-1566.3</v>
      </c>
      <c r="T507" s="1158">
        <f t="shared" si="342"/>
        <v>-1191.7</v>
      </c>
      <c r="U507" s="1158">
        <f t="shared" si="342"/>
        <v>-477.6</v>
      </c>
      <c r="V507" s="1158">
        <f t="shared" si="342"/>
        <v>375.7</v>
      </c>
      <c r="W507" s="1158">
        <f t="shared" si="342"/>
        <v>62.86</v>
      </c>
      <c r="X507" s="1158">
        <f t="shared" si="342"/>
        <v>-233.24199999999999</v>
      </c>
      <c r="Y507" s="1158">
        <f t="shared" si="342"/>
        <v>-244.9041</v>
      </c>
      <c r="Z507" s="1158">
        <f t="shared" si="342"/>
        <v>-257.14930500000003</v>
      </c>
      <c r="AA507" s="1158">
        <f t="shared" si="342"/>
        <v>-270.00677025000005</v>
      </c>
      <c r="AB507" s="1158">
        <f t="shared" si="342"/>
        <v>-283.50710876250008</v>
      </c>
      <c r="AC507" s="1158">
        <f t="shared" si="342"/>
        <v>-297.68246420062508</v>
      </c>
      <c r="AD507" s="1158">
        <f>-AD445</f>
        <v>-312.56658741065633</v>
      </c>
      <c r="AE507" s="1158">
        <f>-AE445</f>
        <v>-328.19491678118914</v>
      </c>
      <c r="AF507" s="1158">
        <f>-AF445</f>
        <v>-344.60466262024863</v>
      </c>
      <c r="AG507" s="1158">
        <f>-AG445</f>
        <v>-361.83489575126106</v>
      </c>
      <c r="AH507" s="1158">
        <f>-AH445</f>
        <v>-379.92664053882413</v>
      </c>
      <c r="AI507" s="685"/>
      <c r="AJ507" s="685"/>
      <c r="AK507" s="685"/>
      <c r="AL507" s="685"/>
      <c r="AM507" s="685"/>
      <c r="AN507" s="685"/>
      <c r="AO507" s="685"/>
      <c r="AP507" s="685"/>
      <c r="AQ507" s="685"/>
      <c r="AR507" s="685"/>
      <c r="AS507" s="685"/>
      <c r="AT507" s="685"/>
      <c r="AU507" s="685"/>
      <c r="AV507" s="685"/>
      <c r="AW507" s="685"/>
      <c r="AX507" s="685"/>
      <c r="AY507" s="685"/>
      <c r="AZ507" s="685"/>
      <c r="BA507" s="685"/>
      <c r="BB507" s="685"/>
      <c r="BC507" s="685"/>
      <c r="BD507" s="685"/>
    </row>
    <row r="508" spans="1:56">
      <c r="A508" s="685"/>
      <c r="B508" s="1113" t="s">
        <v>418</v>
      </c>
      <c r="C508" s="1114"/>
      <c r="D508" s="1114">
        <f t="shared" ref="D508:AC508" si="343">SUM(D501:D507)</f>
        <v>0</v>
      </c>
      <c r="E508" s="1114">
        <f t="shared" si="343"/>
        <v>0</v>
      </c>
      <c r="F508" s="1114">
        <f t="shared" si="343"/>
        <v>0</v>
      </c>
      <c r="G508" s="1114">
        <f t="shared" si="343"/>
        <v>0</v>
      </c>
      <c r="H508" s="1114">
        <f t="shared" si="343"/>
        <v>8662</v>
      </c>
      <c r="I508" s="1114">
        <f t="shared" si="343"/>
        <v>8118</v>
      </c>
      <c r="J508" s="1114">
        <f t="shared" si="343"/>
        <v>7889.2000000000007</v>
      </c>
      <c r="K508" s="1114">
        <f t="shared" si="343"/>
        <v>8786.2000000000025</v>
      </c>
      <c r="L508" s="1114">
        <f t="shared" si="343"/>
        <v>8461.6768906249981</v>
      </c>
      <c r="M508" s="1114">
        <f t="shared" si="343"/>
        <v>9978.0000000000018</v>
      </c>
      <c r="N508" s="1114">
        <f t="shared" si="343"/>
        <v>4780.2999999999938</v>
      </c>
      <c r="O508" s="1114">
        <f t="shared" si="343"/>
        <v>6254.8999999999951</v>
      </c>
      <c r="P508" s="1114">
        <f t="shared" si="343"/>
        <v>2853.0000000000018</v>
      </c>
      <c r="Q508" s="1114">
        <f t="shared" si="343"/>
        <v>3134.3999999999996</v>
      </c>
      <c r="R508" s="1114">
        <f t="shared" si="343"/>
        <v>4723.199999999998</v>
      </c>
      <c r="S508" s="1114">
        <f t="shared" si="343"/>
        <v>5080.1999999999944</v>
      </c>
      <c r="T508" s="1114">
        <f t="shared" si="343"/>
        <v>5138.4999999999955</v>
      </c>
      <c r="U508" s="1114">
        <f t="shared" si="343"/>
        <v>-12751.070000000003</v>
      </c>
      <c r="V508" s="1114">
        <f t="shared" si="343"/>
        <v>-10456.607999999998</v>
      </c>
      <c r="W508" s="1114">
        <f t="shared" si="343"/>
        <v>-8322.3590000000058</v>
      </c>
      <c r="X508" s="1114">
        <f t="shared" si="343"/>
        <v>-1413.9870399999991</v>
      </c>
      <c r="Y508" s="1114">
        <f t="shared" ca="1" si="343"/>
        <v>-704.94860783710544</v>
      </c>
      <c r="Z508" s="1114">
        <f t="shared" ca="1" si="343"/>
        <v>-289.90949191424818</v>
      </c>
      <c r="AA508" s="1114">
        <f t="shared" ca="1" si="343"/>
        <v>185.90484892366885</v>
      </c>
      <c r="AB508" s="1114">
        <f t="shared" ca="1" si="343"/>
        <v>1046.0230580947511</v>
      </c>
      <c r="AC508" s="1114">
        <f t="shared" ca="1" si="343"/>
        <v>2171.8459521525924</v>
      </c>
      <c r="AD508" s="1114">
        <f ca="1">SUM(AD501:AD507)</f>
        <v>3269.0189966830321</v>
      </c>
      <c r="AE508" s="1114">
        <f ca="1">SUM(AE501:AE507)</f>
        <v>4218.4570174764476</v>
      </c>
      <c r="AF508" s="1114">
        <f ca="1">SUM(AF501:AF507)</f>
        <v>5062.5031910450152</v>
      </c>
      <c r="AG508" s="1114">
        <f ca="1">SUM(AG501:AG507)</f>
        <v>5523.4123012926939</v>
      </c>
      <c r="AH508" s="1114">
        <f ca="1">SUM(AH501:AH507)</f>
        <v>6173.3765967520367</v>
      </c>
      <c r="AI508" s="685"/>
      <c r="AJ508" s="685"/>
      <c r="AK508" s="685"/>
      <c r="AL508" s="685"/>
      <c r="AM508" s="685"/>
      <c r="AN508" s="685"/>
      <c r="AO508" s="685"/>
      <c r="AP508" s="685"/>
      <c r="AQ508" s="685"/>
      <c r="AR508" s="685"/>
      <c r="AS508" s="685"/>
      <c r="AT508" s="685"/>
      <c r="AU508" s="685"/>
      <c r="AV508" s="685"/>
      <c r="AW508" s="685"/>
      <c r="AX508" s="685"/>
      <c r="AY508" s="685"/>
      <c r="AZ508" s="685"/>
      <c r="BA508" s="685"/>
      <c r="BB508" s="685"/>
      <c r="BC508" s="685"/>
      <c r="BD508" s="685"/>
    </row>
    <row r="509" spans="1:56">
      <c r="A509" s="685"/>
      <c r="B509" s="1115" t="s">
        <v>247</v>
      </c>
      <c r="C509" s="1169"/>
      <c r="D509" s="1169"/>
      <c r="E509" s="1169"/>
      <c r="F509" s="1169"/>
      <c r="G509" s="1169"/>
      <c r="H509" s="1169">
        <f t="shared" ref="H509:AC509" si="344">H508/H573</f>
        <v>15.485299375670399</v>
      </c>
      <c r="I509" s="1169">
        <f t="shared" si="344"/>
        <v>14.611365964870179</v>
      </c>
      <c r="J509" s="1169">
        <f t="shared" si="344"/>
        <v>13.948343899706449</v>
      </c>
      <c r="K509" s="1169">
        <f t="shared" si="344"/>
        <v>15.381579309626613</v>
      </c>
      <c r="L509" s="1169">
        <f t="shared" si="344"/>
        <v>14.754207804447718</v>
      </c>
      <c r="M509" s="1169">
        <f t="shared" si="344"/>
        <v>17.266754620536243</v>
      </c>
      <c r="N509" s="1169">
        <f t="shared" si="344"/>
        <v>8.2621318348209041</v>
      </c>
      <c r="O509" s="1169">
        <f t="shared" si="344"/>
        <v>10.810787693998556</v>
      </c>
      <c r="P509" s="1169">
        <f t="shared" si="344"/>
        <v>4.9310424292919031</v>
      </c>
      <c r="Q509" s="1169">
        <f t="shared" si="344"/>
        <v>5.419646137444281</v>
      </c>
      <c r="R509" s="1169">
        <f t="shared" si="344"/>
        <v>8.2645273773655923</v>
      </c>
      <c r="S509" s="1169">
        <f t="shared" si="344"/>
        <v>8.8600452375777667</v>
      </c>
      <c r="T509" s="1169">
        <f t="shared" si="344"/>
        <v>8.9617224623623812</v>
      </c>
      <c r="U509" s="1169">
        <f t="shared" si="344"/>
        <v>-22.238308930262765</v>
      </c>
      <c r="V509" s="1169">
        <f t="shared" si="344"/>
        <v>-18.881356147745283</v>
      </c>
      <c r="W509" s="1169">
        <f t="shared" si="344"/>
        <v>-15.433673274332255</v>
      </c>
      <c r="X509" s="1169">
        <f t="shared" si="344"/>
        <v>-2.6587691051663231</v>
      </c>
      <c r="Y509" s="1169">
        <f t="shared" ca="1" si="344"/>
        <v>-1.3255394329832806</v>
      </c>
      <c r="Z509" s="1169">
        <f t="shared" ca="1" si="344"/>
        <v>-0.43894666697509555</v>
      </c>
      <c r="AA509" s="1169">
        <f t="shared" ca="1" si="344"/>
        <v>0.28147513650118816</v>
      </c>
      <c r="AB509" s="1169">
        <f t="shared" ca="1" si="344"/>
        <v>1.5837644083264386</v>
      </c>
      <c r="AC509" s="1169">
        <f t="shared" ca="1" si="344"/>
        <v>3.2883522908684735</v>
      </c>
      <c r="AD509" s="1169">
        <f ca="1">AD508/AD573</f>
        <v>4.949561959484658</v>
      </c>
      <c r="AE509" s="1169">
        <f ca="1">AE508/AE573</f>
        <v>6.3870887268040653</v>
      </c>
      <c r="AF509" s="1169">
        <f ca="1">AF508/AF573</f>
        <v>7.6650436230535224</v>
      </c>
      <c r="AG509" s="1169">
        <f ca="1">AG508/AG573</f>
        <v>8.3628976891132751</v>
      </c>
      <c r="AH509" s="1169">
        <f ca="1">AH508/AH573</f>
        <v>9.3469967583120273</v>
      </c>
      <c r="AI509" s="685"/>
      <c r="AJ509" s="685"/>
      <c r="AK509" s="685"/>
      <c r="AL509" s="685"/>
      <c r="AM509" s="685"/>
      <c r="AN509" s="685"/>
      <c r="AO509" s="685"/>
      <c r="AP509" s="685"/>
      <c r="AQ509" s="685"/>
      <c r="AR509" s="685"/>
      <c r="AS509" s="685"/>
      <c r="AT509" s="685"/>
      <c r="AU509" s="685"/>
      <c r="AV509" s="685"/>
      <c r="AW509" s="685"/>
      <c r="AX509" s="685"/>
      <c r="AY509" s="685"/>
      <c r="AZ509" s="685"/>
      <c r="BA509" s="685"/>
      <c r="BB509" s="685"/>
      <c r="BC509" s="685"/>
      <c r="BD509" s="685"/>
    </row>
    <row r="510" spans="1:56">
      <c r="A510" s="685"/>
      <c r="B510" s="1115" t="s">
        <v>192</v>
      </c>
      <c r="C510" s="1117"/>
      <c r="D510" s="1117"/>
      <c r="E510" s="1117"/>
      <c r="F510" s="1117"/>
      <c r="G510" s="1117"/>
      <c r="H510" s="1117"/>
      <c r="I510" s="1117">
        <f t="shared" ref="I510:AE510" si="345">I509/H509-1</f>
        <v>-5.6436326453803809E-2</v>
      </c>
      <c r="J510" s="1117">
        <f t="shared" si="345"/>
        <v>-4.5377144529664126E-2</v>
      </c>
      <c r="K510" s="1117">
        <f t="shared" si="345"/>
        <v>0.1027530881247003</v>
      </c>
      <c r="L510" s="1117">
        <f t="shared" si="345"/>
        <v>-4.0787196980888174E-2</v>
      </c>
      <c r="M510" s="1117">
        <f t="shared" si="345"/>
        <v>0.17029357654371036</v>
      </c>
      <c r="N510" s="1117">
        <f t="shared" si="345"/>
        <v>-0.5215005936903554</v>
      </c>
      <c r="O510" s="1117">
        <f t="shared" si="345"/>
        <v>0.30847436353366997</v>
      </c>
      <c r="P510" s="1117">
        <f t="shared" si="345"/>
        <v>-0.54387759996162943</v>
      </c>
      <c r="Q510" s="1117">
        <f t="shared" si="345"/>
        <v>9.9087305607009624E-2</v>
      </c>
      <c r="R510" s="1117">
        <f t="shared" si="345"/>
        <v>0.52492010876246242</v>
      </c>
      <c r="S510" s="1117">
        <f t="shared" si="345"/>
        <v>7.2057098127975783E-2</v>
      </c>
      <c r="T510" s="1117">
        <f t="shared" si="345"/>
        <v>1.1475926144640214E-2</v>
      </c>
      <c r="U510" s="1117">
        <f t="shared" si="345"/>
        <v>-3.4814770847523624</v>
      </c>
      <c r="V510" s="1117">
        <f t="shared" si="345"/>
        <v>-0.15095359962147159</v>
      </c>
      <c r="W510" s="1117">
        <f t="shared" si="345"/>
        <v>-0.18259720575339777</v>
      </c>
      <c r="X510" s="1117">
        <f t="shared" si="345"/>
        <v>-0.82772933844672458</v>
      </c>
      <c r="Y510" s="1117">
        <f t="shared" ca="1" si="345"/>
        <v>-0.50144620290359532</v>
      </c>
      <c r="Z510" s="1117">
        <f t="shared" ca="1" si="345"/>
        <v>-0.66885431240080495</v>
      </c>
      <c r="AA510" s="1117">
        <f t="shared" ca="1" si="345"/>
        <v>-1.6412513357053424</v>
      </c>
      <c r="AB510" s="1117">
        <f t="shared" ca="1" si="345"/>
        <v>4.626658283261027</v>
      </c>
      <c r="AC510" s="1117">
        <f t="shared" ca="1" si="345"/>
        <v>1.076288792436793</v>
      </c>
      <c r="AD510" s="1117">
        <f t="shared" ca="1" si="345"/>
        <v>0.50517995691314721</v>
      </c>
      <c r="AE510" s="1117">
        <f t="shared" ca="1" si="345"/>
        <v>0.29043514943069448</v>
      </c>
      <c r="AF510" s="1117">
        <f ca="1">AF509/AE509-1</f>
        <v>0.20008409948751615</v>
      </c>
      <c r="AG510" s="1117">
        <f ca="1">AG509/AF509-1</f>
        <v>9.1043717476163355E-2</v>
      </c>
      <c r="AH510" s="1117">
        <f ca="1">AH509/AG509-1</f>
        <v>0.11767441212151164</v>
      </c>
      <c r="AI510" s="685"/>
      <c r="AJ510" s="685"/>
      <c r="AK510" s="685"/>
      <c r="AL510" s="685"/>
      <c r="AM510" s="685"/>
      <c r="AN510" s="685"/>
      <c r="AO510" s="685"/>
      <c r="AP510" s="685"/>
      <c r="AQ510" s="685"/>
      <c r="AR510" s="685"/>
      <c r="AS510" s="685"/>
      <c r="AT510" s="685"/>
      <c r="AU510" s="685"/>
      <c r="AV510" s="685"/>
      <c r="AW510" s="685"/>
      <c r="AX510" s="685"/>
      <c r="AY510" s="685"/>
      <c r="AZ510" s="685"/>
      <c r="BA510" s="685"/>
      <c r="BB510" s="685"/>
      <c r="BC510" s="685"/>
      <c r="BD510" s="685"/>
    </row>
    <row r="511" spans="1:56">
      <c r="A511" s="685"/>
      <c r="B511" s="1115"/>
      <c r="C511" s="1115"/>
      <c r="D511" s="1124"/>
      <c r="E511" s="1115"/>
      <c r="F511" s="1118"/>
      <c r="G511" s="1115"/>
      <c r="H511" s="1115"/>
      <c r="I511" s="1115"/>
      <c r="J511" s="1115"/>
      <c r="K511" s="1115"/>
      <c r="L511" s="1115"/>
      <c r="M511" s="1115"/>
      <c r="N511" s="1115"/>
      <c r="O511" s="1115"/>
      <c r="P511" s="1115"/>
      <c r="Q511" s="1115"/>
      <c r="R511" s="1115"/>
      <c r="S511" s="1115"/>
      <c r="T511" s="1115"/>
      <c r="U511" s="1115"/>
      <c r="V511" s="1115"/>
      <c r="W511" s="1115"/>
      <c r="X511" s="1115"/>
      <c r="Y511" s="1115"/>
      <c r="Z511" s="1115"/>
      <c r="AA511" s="1115"/>
      <c r="AB511" s="1115"/>
      <c r="AC511" s="1115"/>
      <c r="AD511" s="1115"/>
      <c r="AE511" s="1115"/>
      <c r="AF511" s="1115"/>
      <c r="AG511" s="1115"/>
      <c r="AH511" s="1115"/>
      <c r="AI511" s="685"/>
      <c r="AJ511" s="685"/>
      <c r="AK511" s="685"/>
      <c r="AL511" s="685"/>
      <c r="AM511" s="685"/>
      <c r="AN511" s="685"/>
      <c r="AO511" s="685"/>
      <c r="AP511" s="685"/>
      <c r="AQ511" s="685"/>
      <c r="AR511" s="685"/>
      <c r="AS511" s="685"/>
      <c r="AT511" s="685"/>
      <c r="AU511" s="685"/>
      <c r="AV511" s="685"/>
      <c r="AW511" s="685"/>
      <c r="AX511" s="685"/>
      <c r="AY511" s="685"/>
      <c r="AZ511" s="685"/>
      <c r="BA511" s="685"/>
      <c r="BB511" s="685"/>
      <c r="BC511" s="685"/>
      <c r="BD511" s="685"/>
    </row>
    <row r="512" spans="1:56">
      <c r="A512" s="685"/>
      <c r="B512" s="1115" t="s">
        <v>419</v>
      </c>
      <c r="C512" s="1115"/>
      <c r="D512" s="1124"/>
      <c r="E512" s="1115"/>
      <c r="F512" s="1118"/>
      <c r="G512" s="1115"/>
      <c r="H512" s="1168"/>
      <c r="I512" s="1168"/>
      <c r="J512" s="1125">
        <v>112609.60000000001</v>
      </c>
      <c r="K512" s="1125">
        <v>113613.2</v>
      </c>
      <c r="L512" s="1125">
        <v>114198</v>
      </c>
      <c r="M512" s="1125">
        <v>115037</v>
      </c>
      <c r="N512" s="1125">
        <v>115409</v>
      </c>
      <c r="O512" s="1123">
        <f>N512+O513</f>
        <v>115409</v>
      </c>
      <c r="P512" s="1123">
        <f>O512+P513</f>
        <v>115409</v>
      </c>
      <c r="Q512" s="1174">
        <v>116207.2</v>
      </c>
      <c r="R512" s="1123">
        <f t="shared" ref="R512:AE512" si="346">Q512+R513</f>
        <v>116207.2</v>
      </c>
      <c r="S512" s="1123">
        <f t="shared" si="346"/>
        <v>116207.2</v>
      </c>
      <c r="T512" s="1123">
        <f t="shared" si="346"/>
        <v>116207.2</v>
      </c>
      <c r="U512" s="1123">
        <f t="shared" si="346"/>
        <v>116207.2</v>
      </c>
      <c r="V512" s="2083">
        <v>119301.6</v>
      </c>
      <c r="W512" s="2083">
        <v>118614.2</v>
      </c>
      <c r="X512" s="2083">
        <v>118614.2</v>
      </c>
      <c r="Y512" s="1123">
        <f t="shared" si="346"/>
        <v>118614.2</v>
      </c>
      <c r="Z512" s="1123">
        <f t="shared" si="346"/>
        <v>134695.20000000001</v>
      </c>
      <c r="AA512" s="1123">
        <f t="shared" si="346"/>
        <v>134695.20000000001</v>
      </c>
      <c r="AB512" s="1123">
        <f t="shared" si="346"/>
        <v>134695.20000000001</v>
      </c>
      <c r="AC512" s="1123">
        <f t="shared" si="346"/>
        <v>134695.20000000001</v>
      </c>
      <c r="AD512" s="1123">
        <f t="shared" si="346"/>
        <v>134695.20000000001</v>
      </c>
      <c r="AE512" s="1123">
        <f t="shared" si="346"/>
        <v>134695.20000000001</v>
      </c>
      <c r="AF512" s="1123">
        <f>AE512+AF513</f>
        <v>134695.20000000001</v>
      </c>
      <c r="AG512" s="1123">
        <f>AF512+AG513</f>
        <v>134695.20000000001</v>
      </c>
      <c r="AH512" s="1123">
        <f>AG512+AH513</f>
        <v>134695.20000000001</v>
      </c>
      <c r="AI512" s="685"/>
      <c r="AJ512" s="685"/>
      <c r="AK512" s="685"/>
      <c r="AL512" s="685" t="s">
        <v>8115</v>
      </c>
      <c r="AM512" s="685"/>
      <c r="AN512" s="685"/>
      <c r="AO512" s="685"/>
      <c r="AP512" s="685"/>
      <c r="AQ512" s="685"/>
      <c r="AR512" s="685"/>
      <c r="AS512" s="685"/>
      <c r="AT512" s="685"/>
      <c r="AU512" s="685"/>
      <c r="AV512" s="685"/>
      <c r="AW512" s="685"/>
      <c r="AX512" s="685"/>
      <c r="AY512" s="685"/>
      <c r="AZ512" s="685"/>
      <c r="BA512" s="685"/>
      <c r="BB512" s="685"/>
      <c r="BC512" s="685"/>
      <c r="BD512" s="685"/>
    </row>
    <row r="513" spans="1:56">
      <c r="A513" s="685"/>
      <c r="B513" s="1115" t="s">
        <v>420</v>
      </c>
      <c r="C513" s="1115"/>
      <c r="D513" s="1124"/>
      <c r="E513" s="1115"/>
      <c r="F513" s="1118"/>
      <c r="G513" s="1115"/>
      <c r="H513" s="1168"/>
      <c r="I513" s="1168"/>
      <c r="J513" s="1123"/>
      <c r="K513" s="1123">
        <f>K512-J512</f>
        <v>1003.5999999999913</v>
      </c>
      <c r="L513" s="1123">
        <f>L512-K512</f>
        <v>584.80000000000291</v>
      </c>
      <c r="M513" s="1123">
        <f>M512-L512</f>
        <v>839</v>
      </c>
      <c r="N513" s="1123">
        <f>N512-M512</f>
        <v>372</v>
      </c>
      <c r="O513" s="1167">
        <v>0</v>
      </c>
      <c r="P513" s="1167">
        <v>0</v>
      </c>
      <c r="Q513" s="1167">
        <v>0</v>
      </c>
      <c r="R513" s="1167">
        <v>0</v>
      </c>
      <c r="S513" s="1167">
        <v>0</v>
      </c>
      <c r="T513" s="1167">
        <v>0</v>
      </c>
      <c r="U513" s="1167">
        <v>0</v>
      </c>
      <c r="V513" s="1167">
        <v>0</v>
      </c>
      <c r="W513" s="1167">
        <v>0</v>
      </c>
      <c r="X513" s="1167">
        <v>0</v>
      </c>
      <c r="Y513" s="1167">
        <v>0</v>
      </c>
      <c r="Z513" s="1167">
        <v>16081</v>
      </c>
      <c r="AA513" s="1167">
        <v>0</v>
      </c>
      <c r="AB513" s="1167">
        <v>0</v>
      </c>
      <c r="AC513" s="1167">
        <v>0</v>
      </c>
      <c r="AD513" s="1167">
        <v>0</v>
      </c>
      <c r="AE513" s="1167">
        <v>0</v>
      </c>
      <c r="AF513" s="1167">
        <v>0</v>
      </c>
      <c r="AG513" s="1167">
        <v>0</v>
      </c>
      <c r="AH513" s="1167">
        <v>0</v>
      </c>
      <c r="AI513" s="685"/>
      <c r="AJ513" s="685"/>
      <c r="AK513" s="685"/>
      <c r="AL513" s="685"/>
      <c r="AM513" s="685"/>
      <c r="AN513" s="685"/>
      <c r="AO513" s="685"/>
      <c r="AP513" s="685"/>
      <c r="AQ513" s="685"/>
      <c r="AR513" s="685"/>
      <c r="AS513" s="685"/>
      <c r="AT513" s="685"/>
      <c r="AU513" s="685"/>
      <c r="AV513" s="685"/>
      <c r="AW513" s="685"/>
      <c r="AX513" s="685"/>
      <c r="AY513" s="685"/>
      <c r="AZ513" s="685"/>
      <c r="BA513" s="685"/>
      <c r="BB513" s="685"/>
      <c r="BC513" s="685"/>
      <c r="BD513" s="685"/>
    </row>
    <row r="514" spans="1:56">
      <c r="A514" s="685"/>
      <c r="B514" s="1115" t="s">
        <v>421</v>
      </c>
      <c r="C514" s="1115"/>
      <c r="D514" s="1124"/>
      <c r="E514" s="1115"/>
      <c r="F514" s="1118"/>
      <c r="G514" s="1115"/>
      <c r="H514" s="1168"/>
      <c r="I514" s="1168"/>
      <c r="J514" s="1168">
        <f t="shared" ref="J514:AE514" si="347">(I512+J512)/2</f>
        <v>56304.800000000003</v>
      </c>
      <c r="K514" s="1168">
        <f t="shared" si="347"/>
        <v>113111.4</v>
      </c>
      <c r="L514" s="1168">
        <f t="shared" si="347"/>
        <v>113905.60000000001</v>
      </c>
      <c r="M514" s="1168">
        <f t="shared" si="347"/>
        <v>114617.5</v>
      </c>
      <c r="N514" s="1168">
        <f t="shared" si="347"/>
        <v>115223</v>
      </c>
      <c r="O514" s="1168">
        <f t="shared" si="347"/>
        <v>115409</v>
      </c>
      <c r="P514" s="1168">
        <f t="shared" si="347"/>
        <v>115409</v>
      </c>
      <c r="Q514" s="1168">
        <f t="shared" si="347"/>
        <v>115808.1</v>
      </c>
      <c r="R514" s="1168">
        <f t="shared" si="347"/>
        <v>116207.2</v>
      </c>
      <c r="S514" s="1168">
        <f t="shared" si="347"/>
        <v>116207.2</v>
      </c>
      <c r="T514" s="1168">
        <f t="shared" si="347"/>
        <v>116207.2</v>
      </c>
      <c r="U514" s="1168">
        <f t="shared" si="347"/>
        <v>116207.2</v>
      </c>
      <c r="V514" s="1168">
        <f t="shared" si="347"/>
        <v>117754.4</v>
      </c>
      <c r="W514" s="1168">
        <f t="shared" si="347"/>
        <v>118957.9</v>
      </c>
      <c r="X514" s="1168">
        <f t="shared" si="347"/>
        <v>118614.2</v>
      </c>
      <c r="Y514" s="1168">
        <f t="shared" si="347"/>
        <v>118614.2</v>
      </c>
      <c r="Z514" s="1168">
        <f t="shared" si="347"/>
        <v>126654.70000000001</v>
      </c>
      <c r="AA514" s="1168">
        <f t="shared" si="347"/>
        <v>134695.20000000001</v>
      </c>
      <c r="AB514" s="1168">
        <f t="shared" si="347"/>
        <v>134695.20000000001</v>
      </c>
      <c r="AC514" s="1168">
        <f t="shared" si="347"/>
        <v>134695.20000000001</v>
      </c>
      <c r="AD514" s="1168">
        <f t="shared" si="347"/>
        <v>134695.20000000001</v>
      </c>
      <c r="AE514" s="1168">
        <f t="shared" si="347"/>
        <v>134695.20000000001</v>
      </c>
      <c r="AF514" s="1168">
        <f>(AE512+AF512)/2</f>
        <v>134695.20000000001</v>
      </c>
      <c r="AG514" s="1168">
        <f>(AF512+AG512)/2</f>
        <v>134695.20000000001</v>
      </c>
      <c r="AH514" s="1168">
        <f>(AG512+AH512)/2</f>
        <v>134695.20000000001</v>
      </c>
      <c r="AI514" s="685"/>
      <c r="AJ514" s="685"/>
      <c r="AK514" s="685"/>
      <c r="AL514" s="685"/>
      <c r="AM514" s="685"/>
      <c r="AN514" s="685"/>
      <c r="AO514" s="685"/>
      <c r="AP514" s="685"/>
      <c r="AQ514" s="685"/>
      <c r="AR514" s="685"/>
      <c r="AS514" s="685"/>
      <c r="AT514" s="685"/>
      <c r="AU514" s="685"/>
      <c r="AV514" s="685"/>
      <c r="AW514" s="685"/>
      <c r="AX514" s="685"/>
      <c r="AY514" s="685"/>
      <c r="AZ514" s="685"/>
      <c r="BA514" s="685"/>
      <c r="BB514" s="685"/>
      <c r="BC514" s="685"/>
      <c r="BD514" s="685"/>
    </row>
    <row r="515" spans="1:56">
      <c r="A515" s="685"/>
      <c r="B515" s="1115" t="s">
        <v>422</v>
      </c>
      <c r="C515" s="1115"/>
      <c r="D515" s="1124"/>
      <c r="E515" s="1115"/>
      <c r="F515" s="1118"/>
      <c r="G515" s="1115"/>
      <c r="H515" s="1168"/>
      <c r="I515" s="1168"/>
      <c r="J515" s="1125">
        <v>10664.4</v>
      </c>
      <c r="K515" s="1168">
        <f>J515</f>
        <v>10664.4</v>
      </c>
      <c r="L515" s="1168">
        <f>K515</f>
        <v>10664.4</v>
      </c>
      <c r="M515" s="1168">
        <f>L515</f>
        <v>10664.4</v>
      </c>
      <c r="N515" s="1125">
        <v>7864.9</v>
      </c>
      <c r="O515" s="1168">
        <f>N515</f>
        <v>7864.9</v>
      </c>
      <c r="P515" s="1168">
        <f>O515</f>
        <v>7864.9</v>
      </c>
      <c r="Q515" s="1125">
        <v>5972.2</v>
      </c>
      <c r="R515" s="1168">
        <f t="shared" ref="R515:AE515" si="348">Q515</f>
        <v>5972.2</v>
      </c>
      <c r="S515" s="1168">
        <f t="shared" si="348"/>
        <v>5972.2</v>
      </c>
      <c r="T515" s="1168">
        <f t="shared" si="348"/>
        <v>5972.2</v>
      </c>
      <c r="U515" s="1168">
        <f t="shared" si="348"/>
        <v>5972.2</v>
      </c>
      <c r="V515" s="2083">
        <f>687.5+5172.4</f>
        <v>5859.9</v>
      </c>
      <c r="W515" s="2083">
        <v>6993.9</v>
      </c>
      <c r="X515" s="2083">
        <v>7690.6</v>
      </c>
      <c r="Y515" s="1168">
        <f t="shared" si="348"/>
        <v>7690.6</v>
      </c>
      <c r="Z515" s="1168">
        <f t="shared" si="348"/>
        <v>7690.6</v>
      </c>
      <c r="AA515" s="1168">
        <f t="shared" si="348"/>
        <v>7690.6</v>
      </c>
      <c r="AB515" s="1168">
        <f t="shared" si="348"/>
        <v>7690.6</v>
      </c>
      <c r="AC515" s="1168">
        <f t="shared" si="348"/>
        <v>7690.6</v>
      </c>
      <c r="AD515" s="1168">
        <f t="shared" si="348"/>
        <v>7690.6</v>
      </c>
      <c r="AE515" s="1168">
        <f t="shared" si="348"/>
        <v>7690.6</v>
      </c>
      <c r="AF515" s="1168">
        <f>AE515</f>
        <v>7690.6</v>
      </c>
      <c r="AG515" s="1168">
        <f>AF515</f>
        <v>7690.6</v>
      </c>
      <c r="AH515" s="1168">
        <f>AG515</f>
        <v>7690.6</v>
      </c>
      <c r="AI515" s="685"/>
      <c r="AJ515" s="685"/>
      <c r="AK515" s="685"/>
      <c r="AL515" s="685"/>
      <c r="AM515" s="685"/>
      <c r="AN515" s="685"/>
      <c r="AO515" s="685"/>
      <c r="AP515" s="685"/>
      <c r="AQ515" s="685"/>
      <c r="AR515" s="685"/>
      <c r="AS515" s="685"/>
      <c r="AT515" s="685"/>
      <c r="AU515" s="685"/>
      <c r="AV515" s="685"/>
      <c r="AW515" s="685"/>
      <c r="AX515" s="685"/>
      <c r="AY515" s="685"/>
      <c r="AZ515" s="685"/>
      <c r="BA515" s="685"/>
      <c r="BB515" s="685"/>
      <c r="BC515" s="685"/>
      <c r="BD515" s="685"/>
    </row>
    <row r="516" spans="1:56">
      <c r="A516" s="685"/>
      <c r="B516" s="1115" t="s">
        <v>8114</v>
      </c>
      <c r="C516" s="1115"/>
      <c r="D516" s="1124"/>
      <c r="E516" s="1115"/>
      <c r="F516" s="1118"/>
      <c r="G516" s="1115"/>
      <c r="H516" s="1168"/>
      <c r="I516" s="1168"/>
      <c r="J516" s="1202">
        <f t="shared" ref="J516:AC516" si="349">J515/J512</f>
        <v>9.4702405478751361E-2</v>
      </c>
      <c r="K516" s="1202">
        <f t="shared" si="349"/>
        <v>9.3865853615601E-2</v>
      </c>
      <c r="L516" s="1202">
        <f t="shared" si="349"/>
        <v>9.3385173120369883E-2</v>
      </c>
      <c r="M516" s="1202">
        <f t="shared" si="349"/>
        <v>9.2704086511296357E-2</v>
      </c>
      <c r="N516" s="1202">
        <f t="shared" si="349"/>
        <v>6.8148064708991499E-2</v>
      </c>
      <c r="O516" s="1202">
        <f t="shared" si="349"/>
        <v>6.8148064708991499E-2</v>
      </c>
      <c r="P516" s="1202">
        <f t="shared" si="349"/>
        <v>6.8148064708991499E-2</v>
      </c>
      <c r="Q516" s="1202">
        <f t="shared" si="349"/>
        <v>5.1392684790615387E-2</v>
      </c>
      <c r="R516" s="1202">
        <f t="shared" si="349"/>
        <v>5.1392684790615387E-2</v>
      </c>
      <c r="S516" s="1202">
        <f t="shared" si="349"/>
        <v>5.1392684790615387E-2</v>
      </c>
      <c r="T516" s="1202">
        <f t="shared" si="349"/>
        <v>5.1392684790615387E-2</v>
      </c>
      <c r="U516" s="1202">
        <f t="shared" si="349"/>
        <v>5.1392684790615387E-2</v>
      </c>
      <c r="V516" s="1202">
        <f t="shared" si="349"/>
        <v>4.911836890703896E-2</v>
      </c>
      <c r="W516" s="1202">
        <f t="shared" si="349"/>
        <v>5.8963429336453814E-2</v>
      </c>
      <c r="X516" s="1202">
        <f t="shared" si="349"/>
        <v>6.4837093703789261E-2</v>
      </c>
      <c r="Y516" s="1202">
        <f t="shared" si="349"/>
        <v>6.4837093703789261E-2</v>
      </c>
      <c r="Z516" s="1202">
        <f t="shared" si="349"/>
        <v>5.7096318205845493E-2</v>
      </c>
      <c r="AA516" s="1202">
        <f t="shared" si="349"/>
        <v>5.7096318205845493E-2</v>
      </c>
      <c r="AB516" s="1202">
        <f t="shared" si="349"/>
        <v>5.7096318205845493E-2</v>
      </c>
      <c r="AC516" s="1202">
        <f t="shared" si="349"/>
        <v>5.7096318205845493E-2</v>
      </c>
      <c r="AD516" s="1202">
        <f>AD515/AD512</f>
        <v>5.7096318205845493E-2</v>
      </c>
      <c r="AE516" s="1202">
        <f>AE515/AE512</f>
        <v>5.7096318205845493E-2</v>
      </c>
      <c r="AF516" s="1202">
        <f>AF515/AF512</f>
        <v>5.7096318205845493E-2</v>
      </c>
      <c r="AG516" s="1202">
        <f>AG515/AG512</f>
        <v>5.7096318205845493E-2</v>
      </c>
      <c r="AH516" s="1202">
        <f>AH515/AH512</f>
        <v>5.7096318205845493E-2</v>
      </c>
      <c r="AI516" s="685"/>
      <c r="AJ516" s="685"/>
      <c r="AK516" s="685"/>
      <c r="AM516" s="685"/>
      <c r="AN516" s="685"/>
      <c r="AO516" s="685"/>
      <c r="AP516" s="685"/>
      <c r="AQ516" s="685"/>
      <c r="AR516" s="685"/>
      <c r="AS516" s="685"/>
      <c r="AT516" s="685"/>
      <c r="AU516" s="685"/>
      <c r="AV516" s="685"/>
      <c r="AW516" s="685"/>
      <c r="AX516" s="685"/>
      <c r="AY516" s="685"/>
      <c r="AZ516" s="685"/>
      <c r="BA516" s="685"/>
      <c r="BB516" s="685"/>
      <c r="BC516" s="685"/>
      <c r="BD516" s="685"/>
    </row>
    <row r="517" spans="1:56">
      <c r="A517" s="685"/>
      <c r="B517" s="1115" t="s">
        <v>423</v>
      </c>
      <c r="C517" s="1115"/>
      <c r="D517" s="1124"/>
      <c r="E517" s="1115"/>
      <c r="F517" s="1118"/>
      <c r="G517" s="1115"/>
      <c r="H517" s="1168"/>
      <c r="I517" s="1168"/>
      <c r="J517" s="1168">
        <f t="shared" ref="J517:U517" si="350">J512+J515</f>
        <v>123274</v>
      </c>
      <c r="K517" s="1168">
        <f t="shared" si="350"/>
        <v>124277.59999999999</v>
      </c>
      <c r="L517" s="1168">
        <f t="shared" si="350"/>
        <v>124862.39999999999</v>
      </c>
      <c r="M517" s="1168">
        <f t="shared" si="350"/>
        <v>125701.4</v>
      </c>
      <c r="N517" s="1168">
        <f t="shared" si="350"/>
        <v>123273.9</v>
      </c>
      <c r="O517" s="1168">
        <f t="shared" si="350"/>
        <v>123273.9</v>
      </c>
      <c r="P517" s="1168">
        <f t="shared" si="350"/>
        <v>123273.9</v>
      </c>
      <c r="Q517" s="1168">
        <f t="shared" si="350"/>
        <v>122179.4</v>
      </c>
      <c r="R517" s="1168">
        <f t="shared" si="350"/>
        <v>122179.4</v>
      </c>
      <c r="S517" s="1168">
        <f t="shared" si="350"/>
        <v>122179.4</v>
      </c>
      <c r="T517" s="1168">
        <f t="shared" si="350"/>
        <v>122179.4</v>
      </c>
      <c r="U517" s="1168">
        <f t="shared" si="350"/>
        <v>122179.4</v>
      </c>
      <c r="V517" s="1168">
        <f>V512-V515</f>
        <v>113441.70000000001</v>
      </c>
      <c r="W517" s="1168">
        <f>W512-W515</f>
        <v>111620.3</v>
      </c>
      <c r="X517" s="1168">
        <f>X512-X515</f>
        <v>110923.59999999999</v>
      </c>
      <c r="Y517" s="1168">
        <f t="shared" ref="Y517:AH517" si="351">Y512-Y515</f>
        <v>110923.59999999999</v>
      </c>
      <c r="Z517" s="1168">
        <f t="shared" si="351"/>
        <v>127004.6</v>
      </c>
      <c r="AA517" s="1168">
        <f t="shared" si="351"/>
        <v>127004.6</v>
      </c>
      <c r="AB517" s="1168">
        <f t="shared" si="351"/>
        <v>127004.6</v>
      </c>
      <c r="AC517" s="1168">
        <f t="shared" si="351"/>
        <v>127004.6</v>
      </c>
      <c r="AD517" s="1168">
        <f t="shared" si="351"/>
        <v>127004.6</v>
      </c>
      <c r="AE517" s="1168">
        <f t="shared" si="351"/>
        <v>127004.6</v>
      </c>
      <c r="AF517" s="1168">
        <f t="shared" si="351"/>
        <v>127004.6</v>
      </c>
      <c r="AG517" s="1168">
        <f t="shared" si="351"/>
        <v>127004.6</v>
      </c>
      <c r="AH517" s="1168">
        <f t="shared" si="351"/>
        <v>127004.6</v>
      </c>
      <c r="AI517" s="685"/>
      <c r="AJ517" s="685"/>
      <c r="AK517" s="685"/>
      <c r="AL517" s="685"/>
      <c r="AM517" s="685"/>
      <c r="AN517" s="685"/>
      <c r="AO517" s="685"/>
      <c r="AP517" s="685"/>
      <c r="AQ517" s="685"/>
      <c r="AR517" s="685"/>
      <c r="AS517" s="685"/>
      <c r="AT517" s="685"/>
      <c r="AU517" s="685"/>
      <c r="AV517" s="685"/>
      <c r="AW517" s="685"/>
      <c r="AX517" s="685"/>
      <c r="AY517" s="685"/>
      <c r="AZ517" s="685"/>
      <c r="BA517" s="685"/>
      <c r="BB517" s="685"/>
      <c r="BC517" s="685"/>
      <c r="BD517" s="685"/>
    </row>
    <row r="518" spans="1:56">
      <c r="A518" s="685"/>
      <c r="B518" s="1115"/>
      <c r="C518" s="1115"/>
      <c r="D518" s="1124"/>
      <c r="E518" s="1115"/>
      <c r="F518" s="1118"/>
      <c r="G518" s="1115"/>
      <c r="H518" s="1168"/>
      <c r="I518" s="1168"/>
      <c r="J518" s="1168"/>
      <c r="K518" s="1168"/>
      <c r="L518" s="1168"/>
      <c r="M518" s="1168"/>
      <c r="N518" s="1168"/>
      <c r="O518" s="1168"/>
      <c r="P518" s="1168"/>
      <c r="Q518" s="1168"/>
      <c r="R518" s="1168"/>
      <c r="S518" s="1168"/>
      <c r="T518" s="1168"/>
      <c r="U518" s="1168"/>
      <c r="V518" s="1168"/>
      <c r="W518" s="1168"/>
      <c r="X518" s="1168"/>
      <c r="Y518" s="1168"/>
      <c r="Z518" s="1168"/>
      <c r="AA518" s="1168"/>
      <c r="AB518" s="1168"/>
      <c r="AC518" s="1168"/>
      <c r="AD518" s="1168"/>
      <c r="AE518" s="1168"/>
      <c r="AF518" s="1168"/>
      <c r="AG518" s="1168"/>
      <c r="AH518" s="1168"/>
      <c r="AI518" s="685"/>
      <c r="AJ518" s="685"/>
      <c r="AK518" s="685"/>
      <c r="AL518" s="685"/>
      <c r="AM518" s="685"/>
      <c r="AN518" s="685"/>
      <c r="AO518" s="685"/>
      <c r="AP518" s="685"/>
      <c r="AQ518" s="685"/>
      <c r="AR518" s="685"/>
      <c r="AS518" s="685"/>
      <c r="AT518" s="685"/>
      <c r="AU518" s="685"/>
      <c r="AV518" s="685"/>
      <c r="AW518" s="685"/>
      <c r="AX518" s="685"/>
      <c r="AY518" s="685"/>
      <c r="AZ518" s="685"/>
      <c r="BA518" s="685"/>
      <c r="BB518" s="685"/>
      <c r="BC518" s="685"/>
      <c r="BD518" s="685"/>
    </row>
    <row r="519" spans="1:56">
      <c r="A519" s="685"/>
      <c r="B519" s="1115" t="s">
        <v>424</v>
      </c>
      <c r="C519" s="1115"/>
      <c r="D519" s="1124"/>
      <c r="E519" s="1115"/>
      <c r="F519" s="1118"/>
      <c r="G519" s="1115"/>
      <c r="H519" s="1168"/>
      <c r="I519" s="1168"/>
      <c r="J519" s="1125">
        <v>52190.9</v>
      </c>
      <c r="K519" s="1125">
        <v>52740</v>
      </c>
      <c r="L519" s="1125">
        <v>52921</v>
      </c>
      <c r="M519" s="1125">
        <v>53331</v>
      </c>
      <c r="N519" s="1125">
        <v>53340</v>
      </c>
      <c r="O519" s="1123">
        <f>N519+O520</f>
        <v>53340</v>
      </c>
      <c r="P519" s="1123">
        <f>O519+P520</f>
        <v>53340</v>
      </c>
      <c r="Q519" s="1174">
        <v>53116.1</v>
      </c>
      <c r="R519" s="1123">
        <f t="shared" ref="R519:AE519" si="352">Q519+R520</f>
        <v>53116.1</v>
      </c>
      <c r="S519" s="1123">
        <f t="shared" si="352"/>
        <v>53116.1</v>
      </c>
      <c r="T519" s="1123">
        <f t="shared" si="352"/>
        <v>53116.1</v>
      </c>
      <c r="U519" s="1123">
        <f t="shared" si="352"/>
        <v>53116.1</v>
      </c>
      <c r="V519" s="2083">
        <v>55487.3</v>
      </c>
      <c r="W519" s="2083">
        <v>54882.2</v>
      </c>
      <c r="X519" s="2083">
        <v>54882.2</v>
      </c>
      <c r="Y519" s="1123">
        <f t="shared" si="352"/>
        <v>54882.2</v>
      </c>
      <c r="Z519" s="1123">
        <f t="shared" si="352"/>
        <v>69033.2</v>
      </c>
      <c r="AA519" s="1123">
        <f t="shared" si="352"/>
        <v>69033.2</v>
      </c>
      <c r="AB519" s="1123">
        <f t="shared" si="352"/>
        <v>69033.2</v>
      </c>
      <c r="AC519" s="1123">
        <f t="shared" si="352"/>
        <v>69033.2</v>
      </c>
      <c r="AD519" s="1123">
        <f t="shared" si="352"/>
        <v>69033.2</v>
      </c>
      <c r="AE519" s="1123">
        <f t="shared" si="352"/>
        <v>69033.2</v>
      </c>
      <c r="AF519" s="1123">
        <f>AE519+AF520</f>
        <v>69033.2</v>
      </c>
      <c r="AG519" s="1123">
        <f>AF519+AG520</f>
        <v>69033.2</v>
      </c>
      <c r="AH519" s="1123">
        <f>AG519+AH520</f>
        <v>69033.2</v>
      </c>
      <c r="AI519" s="685"/>
      <c r="AJ519" s="685"/>
      <c r="AK519" s="685"/>
      <c r="AL519" s="685"/>
      <c r="AM519" s="685"/>
      <c r="AN519" s="685"/>
      <c r="AO519" s="685"/>
      <c r="AP519" s="685"/>
      <c r="AQ519" s="685"/>
      <c r="AR519" s="685"/>
      <c r="AS519" s="685"/>
      <c r="AT519" s="685"/>
      <c r="AU519" s="685"/>
      <c r="AV519" s="685"/>
      <c r="AW519" s="685"/>
      <c r="AX519" s="685"/>
      <c r="AY519" s="685"/>
      <c r="AZ519" s="685"/>
      <c r="BA519" s="685"/>
      <c r="BB519" s="685"/>
      <c r="BC519" s="685"/>
      <c r="BD519" s="685"/>
    </row>
    <row r="520" spans="1:56">
      <c r="A520" s="685"/>
      <c r="B520" s="1115" t="s">
        <v>420</v>
      </c>
      <c r="C520" s="1115"/>
      <c r="D520" s="1124"/>
      <c r="E520" s="1115"/>
      <c r="F520" s="1118"/>
      <c r="G520" s="1115"/>
      <c r="H520" s="1168"/>
      <c r="I520" s="1168"/>
      <c r="J520" s="1123">
        <f>J519-I519</f>
        <v>52190.9</v>
      </c>
      <c r="K520" s="1123">
        <f>K519-J519</f>
        <v>549.09999999999854</v>
      </c>
      <c r="L520" s="1123">
        <f>L519-K519</f>
        <v>181</v>
      </c>
      <c r="M520" s="1123">
        <f>M519-L519</f>
        <v>410</v>
      </c>
      <c r="N520" s="1123">
        <f>N519-M519</f>
        <v>9</v>
      </c>
      <c r="O520" s="1167">
        <v>0</v>
      </c>
      <c r="P520" s="1167">
        <v>0</v>
      </c>
      <c r="Q520" s="1167">
        <v>0</v>
      </c>
      <c r="R520" s="1167">
        <v>0</v>
      </c>
      <c r="S520" s="1167">
        <v>0</v>
      </c>
      <c r="T520" s="1167">
        <v>0</v>
      </c>
      <c r="U520" s="1167">
        <v>0</v>
      </c>
      <c r="V520" s="1167">
        <v>0</v>
      </c>
      <c r="W520" s="1167">
        <v>0</v>
      </c>
      <c r="X520" s="1167">
        <v>0</v>
      </c>
      <c r="Y520" s="1167">
        <v>0</v>
      </c>
      <c r="Z520" s="1167">
        <v>14151</v>
      </c>
      <c r="AA520" s="1167">
        <v>0</v>
      </c>
      <c r="AB520" s="1167">
        <v>0</v>
      </c>
      <c r="AC520" s="1167">
        <v>0</v>
      </c>
      <c r="AD520" s="1167">
        <v>0</v>
      </c>
      <c r="AE520" s="1167">
        <v>0</v>
      </c>
      <c r="AF520" s="1167">
        <v>0</v>
      </c>
      <c r="AG520" s="1167">
        <v>0</v>
      </c>
      <c r="AH520" s="1167">
        <v>0</v>
      </c>
      <c r="AI520" s="685"/>
      <c r="AJ520" s="685"/>
      <c r="AK520" s="685"/>
      <c r="AL520" s="685"/>
      <c r="AM520" s="685"/>
      <c r="AN520" s="685"/>
      <c r="AO520" s="685"/>
      <c r="AP520" s="685"/>
      <c r="AQ520" s="685"/>
      <c r="AR520" s="685"/>
      <c r="AS520" s="685"/>
      <c r="AT520" s="685"/>
      <c r="AU520" s="685"/>
      <c r="AV520" s="685"/>
      <c r="AW520" s="685"/>
      <c r="AX520" s="685"/>
      <c r="AY520" s="685"/>
      <c r="AZ520" s="685"/>
      <c r="BA520" s="685"/>
      <c r="BB520" s="685"/>
      <c r="BC520" s="685"/>
      <c r="BD520" s="685"/>
    </row>
    <row r="521" spans="1:56">
      <c r="A521" s="685"/>
      <c r="B521" s="1115" t="s">
        <v>421</v>
      </c>
      <c r="C521" s="1115"/>
      <c r="D521" s="1124"/>
      <c r="E521" s="1115"/>
      <c r="F521" s="1118"/>
      <c r="G521" s="1115"/>
      <c r="H521" s="1168"/>
      <c r="I521" s="1168"/>
      <c r="J521" s="1168">
        <f t="shared" ref="J521:AE521" si="353">(I519+J519)/2</f>
        <v>26095.45</v>
      </c>
      <c r="K521" s="1168">
        <f t="shared" si="353"/>
        <v>52465.45</v>
      </c>
      <c r="L521" s="1168">
        <f t="shared" si="353"/>
        <v>52830.5</v>
      </c>
      <c r="M521" s="1168">
        <f t="shared" si="353"/>
        <v>53126</v>
      </c>
      <c r="N521" s="1168">
        <f t="shared" si="353"/>
        <v>53335.5</v>
      </c>
      <c r="O521" s="1168">
        <f t="shared" si="353"/>
        <v>53340</v>
      </c>
      <c r="P521" s="1168">
        <f t="shared" si="353"/>
        <v>53340</v>
      </c>
      <c r="Q521" s="1168">
        <f t="shared" si="353"/>
        <v>53228.05</v>
      </c>
      <c r="R521" s="1168">
        <f t="shared" si="353"/>
        <v>53116.1</v>
      </c>
      <c r="S521" s="1168">
        <f t="shared" si="353"/>
        <v>53116.1</v>
      </c>
      <c r="T521" s="1168">
        <f t="shared" si="353"/>
        <v>53116.1</v>
      </c>
      <c r="U521" s="1168">
        <f t="shared" si="353"/>
        <v>53116.1</v>
      </c>
      <c r="V521" s="1168">
        <f t="shared" si="353"/>
        <v>54301.7</v>
      </c>
      <c r="W521" s="1168">
        <f t="shared" si="353"/>
        <v>55184.75</v>
      </c>
      <c r="X521" s="1168">
        <f t="shared" si="353"/>
        <v>54882.2</v>
      </c>
      <c r="Y521" s="1168">
        <f t="shared" si="353"/>
        <v>54882.2</v>
      </c>
      <c r="Z521" s="1168">
        <f t="shared" si="353"/>
        <v>61957.7</v>
      </c>
      <c r="AA521" s="1168">
        <f t="shared" si="353"/>
        <v>69033.2</v>
      </c>
      <c r="AB521" s="1168">
        <f t="shared" si="353"/>
        <v>69033.2</v>
      </c>
      <c r="AC521" s="1168">
        <f t="shared" si="353"/>
        <v>69033.2</v>
      </c>
      <c r="AD521" s="1168">
        <f t="shared" si="353"/>
        <v>69033.2</v>
      </c>
      <c r="AE521" s="1168">
        <f t="shared" si="353"/>
        <v>69033.2</v>
      </c>
      <c r="AF521" s="1168">
        <f>(AE519+AF519)/2</f>
        <v>69033.2</v>
      </c>
      <c r="AG521" s="1168">
        <f>(AF519+AG519)/2</f>
        <v>69033.2</v>
      </c>
      <c r="AH521" s="1168">
        <f>(AG519+AH519)/2</f>
        <v>69033.2</v>
      </c>
      <c r="AI521" s="685"/>
      <c r="AJ521" s="685"/>
      <c r="AK521" s="685"/>
      <c r="AL521" s="685"/>
      <c r="AM521" s="685"/>
      <c r="AN521" s="685"/>
      <c r="AO521" s="685"/>
      <c r="AP521" s="685"/>
      <c r="AQ521" s="685"/>
      <c r="AR521" s="685"/>
      <c r="AS521" s="685"/>
      <c r="AT521" s="685"/>
      <c r="AU521" s="685"/>
      <c r="AV521" s="685"/>
      <c r="AW521" s="685"/>
      <c r="AX521" s="685"/>
      <c r="AY521" s="685"/>
      <c r="AZ521" s="685"/>
      <c r="BA521" s="685"/>
      <c r="BB521" s="685"/>
      <c r="BC521" s="685"/>
      <c r="BD521" s="685"/>
    </row>
    <row r="522" spans="1:56">
      <c r="A522" s="685"/>
      <c r="B522" s="1115" t="s">
        <v>422</v>
      </c>
      <c r="C522" s="1115"/>
      <c r="D522" s="1124"/>
      <c r="E522" s="1115"/>
      <c r="F522" s="1118"/>
      <c r="G522" s="1115"/>
      <c r="H522" s="1168"/>
      <c r="I522" s="1168"/>
      <c r="J522" s="1125">
        <v>6791.9</v>
      </c>
      <c r="K522" s="1168">
        <f>J522</f>
        <v>6791.9</v>
      </c>
      <c r="L522" s="1168">
        <f>K522</f>
        <v>6791.9</v>
      </c>
      <c r="M522" s="1168">
        <f>L522</f>
        <v>6791.9</v>
      </c>
      <c r="N522" s="1125">
        <v>5642.6</v>
      </c>
      <c r="O522" s="1168">
        <f>N522</f>
        <v>5642.6</v>
      </c>
      <c r="P522" s="1168">
        <f>O522</f>
        <v>5642.6</v>
      </c>
      <c r="Q522" s="1193">
        <v>4903.6000000000004</v>
      </c>
      <c r="R522" s="1168">
        <f t="shared" ref="R522:U522" si="354">Q522-R520</f>
        <v>4903.6000000000004</v>
      </c>
      <c r="S522" s="1168">
        <f t="shared" si="354"/>
        <v>4903.6000000000004</v>
      </c>
      <c r="T522" s="1168">
        <f t="shared" si="354"/>
        <v>4903.6000000000004</v>
      </c>
      <c r="U522" s="1168">
        <f t="shared" si="354"/>
        <v>4903.6000000000004</v>
      </c>
      <c r="V522" s="2083">
        <f>605+4536.9</f>
        <v>5141.8999999999996</v>
      </c>
      <c r="W522" s="2083">
        <v>6139.9</v>
      </c>
      <c r="X522" s="2083">
        <v>7010.4</v>
      </c>
      <c r="Y522" s="1168">
        <f>X522</f>
        <v>7010.4</v>
      </c>
      <c r="Z522" s="1168">
        <f t="shared" ref="Z522:AH522" si="355">Y522</f>
        <v>7010.4</v>
      </c>
      <c r="AA522" s="1168">
        <f t="shared" si="355"/>
        <v>7010.4</v>
      </c>
      <c r="AB522" s="1168">
        <f t="shared" si="355"/>
        <v>7010.4</v>
      </c>
      <c r="AC522" s="1168">
        <f t="shared" si="355"/>
        <v>7010.4</v>
      </c>
      <c r="AD522" s="1168">
        <f t="shared" si="355"/>
        <v>7010.4</v>
      </c>
      <c r="AE522" s="1168">
        <f t="shared" si="355"/>
        <v>7010.4</v>
      </c>
      <c r="AF522" s="1168">
        <f t="shared" si="355"/>
        <v>7010.4</v>
      </c>
      <c r="AG522" s="1168">
        <f t="shared" si="355"/>
        <v>7010.4</v>
      </c>
      <c r="AH522" s="1168">
        <f t="shared" si="355"/>
        <v>7010.4</v>
      </c>
      <c r="AI522" s="685"/>
      <c r="AJ522" s="685"/>
      <c r="AK522" s="685"/>
      <c r="AL522" s="685"/>
      <c r="AM522" s="685"/>
      <c r="AN522" s="685"/>
      <c r="AO522" s="685"/>
      <c r="AP522" s="685"/>
      <c r="AQ522" s="685"/>
      <c r="AR522" s="685"/>
      <c r="AS522" s="685"/>
      <c r="AT522" s="685"/>
      <c r="AU522" s="685"/>
      <c r="AV522" s="685"/>
      <c r="AW522" s="685"/>
      <c r="AX522" s="685"/>
      <c r="AY522" s="685"/>
      <c r="AZ522" s="685"/>
      <c r="BA522" s="685"/>
      <c r="BB522" s="685"/>
      <c r="BC522" s="685"/>
      <c r="BD522" s="685"/>
    </row>
    <row r="523" spans="1:56">
      <c r="A523" s="685"/>
      <c r="B523" s="1115" t="s">
        <v>8114</v>
      </c>
      <c r="C523" s="1115"/>
      <c r="D523" s="1124"/>
      <c r="E523" s="1115"/>
      <c r="F523" s="1118"/>
      <c r="G523" s="1115"/>
      <c r="H523" s="1168"/>
      <c r="I523" s="1168"/>
      <c r="J523" s="1202">
        <f t="shared" ref="J523:AC523" si="356">J522/J519</f>
        <v>0.13013571331400683</v>
      </c>
      <c r="K523" s="1202">
        <f t="shared" si="356"/>
        <v>0.1287808115282518</v>
      </c>
      <c r="L523" s="1202">
        <f t="shared" si="356"/>
        <v>0.12834035638026492</v>
      </c>
      <c r="M523" s="1202">
        <f t="shared" si="356"/>
        <v>0.12735369672423169</v>
      </c>
      <c r="N523" s="1202">
        <f t="shared" si="356"/>
        <v>0.10578552680914886</v>
      </c>
      <c r="O523" s="1202">
        <f t="shared" si="356"/>
        <v>0.10578552680914886</v>
      </c>
      <c r="P523" s="1202">
        <f t="shared" si="356"/>
        <v>0.10578552680914886</v>
      </c>
      <c r="Q523" s="1202">
        <f t="shared" si="356"/>
        <v>9.2318524891699519E-2</v>
      </c>
      <c r="R523" s="1202">
        <f t="shared" si="356"/>
        <v>9.2318524891699519E-2</v>
      </c>
      <c r="S523" s="1202">
        <f t="shared" si="356"/>
        <v>9.2318524891699519E-2</v>
      </c>
      <c r="T523" s="1202">
        <f t="shared" si="356"/>
        <v>9.2318524891699519E-2</v>
      </c>
      <c r="U523" s="1202">
        <f t="shared" si="356"/>
        <v>9.2318524891699519E-2</v>
      </c>
      <c r="V523" s="1202">
        <f t="shared" si="356"/>
        <v>9.2668051968648676E-2</v>
      </c>
      <c r="W523" s="1202">
        <f t="shared" si="356"/>
        <v>0.11187415956357434</v>
      </c>
      <c r="X523" s="1202">
        <f t="shared" si="356"/>
        <v>0.1277354041929806</v>
      </c>
      <c r="Y523" s="1202">
        <f t="shared" si="356"/>
        <v>0.1277354041929806</v>
      </c>
      <c r="Z523" s="1202">
        <f t="shared" si="356"/>
        <v>0.10155113771344802</v>
      </c>
      <c r="AA523" s="1202">
        <f t="shared" si="356"/>
        <v>0.10155113771344802</v>
      </c>
      <c r="AB523" s="1202">
        <f t="shared" si="356"/>
        <v>0.10155113771344802</v>
      </c>
      <c r="AC523" s="1202">
        <f t="shared" si="356"/>
        <v>0.10155113771344802</v>
      </c>
      <c r="AD523" s="1202">
        <f>AD522/AD519</f>
        <v>0.10155113771344802</v>
      </c>
      <c r="AE523" s="1202">
        <f>AE522/AE519</f>
        <v>0.10155113771344802</v>
      </c>
      <c r="AF523" s="1202">
        <f>AF522/AF519</f>
        <v>0.10155113771344802</v>
      </c>
      <c r="AG523" s="1202">
        <f>AG522/AG519</f>
        <v>0.10155113771344802</v>
      </c>
      <c r="AH523" s="1202">
        <f>AH522/AH519</f>
        <v>0.10155113771344802</v>
      </c>
      <c r="AI523" s="685"/>
      <c r="AJ523" s="685"/>
      <c r="AK523" s="685"/>
      <c r="AL523" s="685"/>
      <c r="AM523" s="685"/>
      <c r="AN523" s="685"/>
      <c r="AO523" s="685"/>
      <c r="AP523" s="685"/>
      <c r="AQ523" s="685"/>
      <c r="AR523" s="685"/>
      <c r="AS523" s="685"/>
      <c r="AT523" s="685"/>
      <c r="AU523" s="685"/>
      <c r="AV523" s="685"/>
      <c r="AW523" s="685"/>
      <c r="AX523" s="685"/>
      <c r="AY523" s="685"/>
      <c r="AZ523" s="685"/>
      <c r="BA523" s="685"/>
      <c r="BB523" s="685"/>
      <c r="BC523" s="685"/>
      <c r="BD523" s="685"/>
    </row>
    <row r="524" spans="1:56">
      <c r="A524" s="685"/>
      <c r="B524" s="1115" t="s">
        <v>423</v>
      </c>
      <c r="C524" s="1115"/>
      <c r="D524" s="1124"/>
      <c r="E524" s="1115"/>
      <c r="F524" s="1118"/>
      <c r="G524" s="1115"/>
      <c r="H524" s="1168"/>
      <c r="I524" s="1168"/>
      <c r="J524" s="1168">
        <f t="shared" ref="J524:U524" si="357">J519+J522</f>
        <v>58982.8</v>
      </c>
      <c r="K524" s="1168">
        <f t="shared" si="357"/>
        <v>59531.9</v>
      </c>
      <c r="L524" s="1168">
        <f t="shared" si="357"/>
        <v>59712.9</v>
      </c>
      <c r="M524" s="1168">
        <f t="shared" si="357"/>
        <v>60122.9</v>
      </c>
      <c r="N524" s="1168">
        <f t="shared" si="357"/>
        <v>58982.6</v>
      </c>
      <c r="O524" s="1168">
        <f t="shared" si="357"/>
        <v>58982.6</v>
      </c>
      <c r="P524" s="1168">
        <f t="shared" si="357"/>
        <v>58982.6</v>
      </c>
      <c r="Q524" s="1168">
        <f t="shared" si="357"/>
        <v>58019.7</v>
      </c>
      <c r="R524" s="1168">
        <f t="shared" si="357"/>
        <v>58019.7</v>
      </c>
      <c r="S524" s="1168">
        <f t="shared" si="357"/>
        <v>58019.7</v>
      </c>
      <c r="T524" s="1168">
        <f t="shared" si="357"/>
        <v>58019.7</v>
      </c>
      <c r="U524" s="1168">
        <f t="shared" si="357"/>
        <v>58019.7</v>
      </c>
      <c r="V524" s="1168">
        <f>V519-V522</f>
        <v>50345.4</v>
      </c>
      <c r="W524" s="1168">
        <f>W519-W522</f>
        <v>48742.299999999996</v>
      </c>
      <c r="X524" s="1168">
        <f>X519-X522</f>
        <v>47871.799999999996</v>
      </c>
      <c r="Y524" s="1168">
        <f t="shared" ref="Y524:AH524" si="358">Y519-Y522</f>
        <v>47871.799999999996</v>
      </c>
      <c r="Z524" s="1168">
        <f t="shared" si="358"/>
        <v>62022.799999999996</v>
      </c>
      <c r="AA524" s="1168">
        <f t="shared" si="358"/>
        <v>62022.799999999996</v>
      </c>
      <c r="AB524" s="1168">
        <f t="shared" si="358"/>
        <v>62022.799999999996</v>
      </c>
      <c r="AC524" s="1168">
        <f t="shared" si="358"/>
        <v>62022.799999999996</v>
      </c>
      <c r="AD524" s="1168">
        <f t="shared" si="358"/>
        <v>62022.799999999996</v>
      </c>
      <c r="AE524" s="1168">
        <f t="shared" si="358"/>
        <v>62022.799999999996</v>
      </c>
      <c r="AF524" s="1168">
        <f t="shared" si="358"/>
        <v>62022.799999999996</v>
      </c>
      <c r="AG524" s="1168">
        <f t="shared" si="358"/>
        <v>62022.799999999996</v>
      </c>
      <c r="AH524" s="1168">
        <f t="shared" si="358"/>
        <v>62022.799999999996</v>
      </c>
      <c r="AI524" s="685"/>
      <c r="AJ524" s="685"/>
      <c r="AK524" s="685"/>
      <c r="AL524" s="685"/>
      <c r="AM524" s="685"/>
      <c r="AN524" s="685"/>
      <c r="AO524" s="685"/>
      <c r="AP524" s="685"/>
      <c r="AQ524" s="685"/>
      <c r="AR524" s="685"/>
      <c r="AS524" s="685"/>
      <c r="AT524" s="685"/>
      <c r="AU524" s="685"/>
      <c r="AV524" s="685"/>
      <c r="AW524" s="685"/>
      <c r="AX524" s="685"/>
      <c r="AY524" s="685"/>
      <c r="AZ524" s="685"/>
      <c r="BA524" s="685"/>
      <c r="BB524" s="685"/>
      <c r="BC524" s="685"/>
      <c r="BD524" s="685"/>
    </row>
    <row r="525" spans="1:56">
      <c r="A525" s="685"/>
      <c r="B525" s="1115"/>
      <c r="C525" s="1115"/>
      <c r="D525" s="1124"/>
      <c r="E525" s="1115"/>
      <c r="F525" s="1118"/>
      <c r="G525" s="1115"/>
      <c r="H525" s="1168"/>
      <c r="I525" s="1168"/>
      <c r="J525" s="1168"/>
      <c r="K525" s="1168"/>
      <c r="L525" s="1168"/>
      <c r="M525" s="1168"/>
      <c r="N525" s="1168"/>
      <c r="O525" s="1168"/>
      <c r="P525" s="1168"/>
      <c r="Q525" s="1168"/>
      <c r="R525" s="1168"/>
      <c r="S525" s="1168"/>
      <c r="T525" s="1168"/>
      <c r="U525" s="1168"/>
      <c r="V525" s="1168"/>
      <c r="W525" s="1168"/>
      <c r="X525" s="1168"/>
      <c r="Y525" s="1168"/>
      <c r="Z525" s="1168"/>
      <c r="AA525" s="1168"/>
      <c r="AB525" s="1168"/>
      <c r="AC525" s="1168"/>
      <c r="AD525" s="1168"/>
      <c r="AE525" s="1168"/>
      <c r="AF525" s="1168"/>
      <c r="AG525" s="1168"/>
      <c r="AH525" s="1168"/>
      <c r="AI525" s="685"/>
      <c r="AJ525" s="685"/>
      <c r="AK525" s="685"/>
      <c r="AL525" s="685"/>
      <c r="AM525" s="685"/>
      <c r="AN525" s="685"/>
      <c r="AO525" s="685"/>
      <c r="AP525" s="685"/>
      <c r="AQ525" s="685"/>
      <c r="AR525" s="685"/>
      <c r="AS525" s="685"/>
      <c r="AT525" s="685"/>
      <c r="AU525" s="685"/>
      <c r="AV525" s="685"/>
      <c r="AW525" s="685"/>
      <c r="AX525" s="685"/>
      <c r="AY525" s="685"/>
      <c r="AZ525" s="685"/>
      <c r="BA525" s="685"/>
      <c r="BB525" s="685"/>
      <c r="BC525" s="685"/>
      <c r="BD525" s="685"/>
    </row>
    <row r="526" spans="1:56">
      <c r="A526" s="685"/>
      <c r="B526" s="1115" t="s">
        <v>425</v>
      </c>
      <c r="C526" s="1115"/>
      <c r="D526" s="1124"/>
      <c r="E526" s="1115"/>
      <c r="F526" s="1118"/>
      <c r="G526" s="1115"/>
      <c r="H526" s="1168"/>
      <c r="I526" s="1168"/>
      <c r="J526" s="1125">
        <v>83038.100000000006</v>
      </c>
      <c r="K526" s="1125">
        <v>83904</v>
      </c>
      <c r="L526" s="1125">
        <v>84192</v>
      </c>
      <c r="M526" s="1125">
        <v>84844</v>
      </c>
      <c r="N526" s="1125">
        <v>84860</v>
      </c>
      <c r="O526" s="1123">
        <f>N526+O527</f>
        <v>84860</v>
      </c>
      <c r="P526" s="1123">
        <f>O526+P527</f>
        <v>84860</v>
      </c>
      <c r="Q526" s="1174">
        <v>84502.9</v>
      </c>
      <c r="R526" s="1123">
        <f t="shared" ref="R526:AE526" si="359">Q526+R527</f>
        <v>82502.899999999994</v>
      </c>
      <c r="S526" s="1123">
        <f t="shared" si="359"/>
        <v>83052.899999999994</v>
      </c>
      <c r="T526" s="1123">
        <f t="shared" si="359"/>
        <v>83052.899999999994</v>
      </c>
      <c r="U526" s="1123">
        <f t="shared" si="359"/>
        <v>83052.899999999994</v>
      </c>
      <c r="V526" s="2083">
        <v>84525.2</v>
      </c>
      <c r="W526" s="2083">
        <v>83562.7</v>
      </c>
      <c r="X526" s="2083">
        <v>83562.7</v>
      </c>
      <c r="Y526" s="1123">
        <f t="shared" si="359"/>
        <v>83562.7</v>
      </c>
      <c r="Z526" s="1123">
        <f t="shared" si="359"/>
        <v>106075.7</v>
      </c>
      <c r="AA526" s="1123">
        <f t="shared" si="359"/>
        <v>106075.7</v>
      </c>
      <c r="AB526" s="1123">
        <f t="shared" si="359"/>
        <v>106075.7</v>
      </c>
      <c r="AC526" s="1123">
        <f t="shared" si="359"/>
        <v>106075.7</v>
      </c>
      <c r="AD526" s="1123">
        <f t="shared" si="359"/>
        <v>106075.7</v>
      </c>
      <c r="AE526" s="1123">
        <f t="shared" si="359"/>
        <v>106075.7</v>
      </c>
      <c r="AF526" s="1123">
        <f>AE526+AF527</f>
        <v>106075.7</v>
      </c>
      <c r="AG526" s="1123">
        <f>AF526+AG527</f>
        <v>106075.7</v>
      </c>
      <c r="AH526" s="1123">
        <f>AG526+AH527</f>
        <v>106075.7</v>
      </c>
      <c r="AI526" s="685"/>
      <c r="AJ526" s="685"/>
      <c r="AK526" s="685"/>
      <c r="AL526" s="685"/>
      <c r="AM526" s="685"/>
      <c r="AN526" s="685"/>
      <c r="AO526" s="685"/>
      <c r="AP526" s="685"/>
      <c r="AQ526" s="685"/>
      <c r="AR526" s="685"/>
      <c r="AS526" s="685"/>
      <c r="AT526" s="685"/>
      <c r="AU526" s="685"/>
      <c r="AV526" s="685"/>
      <c r="AW526" s="685"/>
      <c r="AX526" s="685"/>
      <c r="AY526" s="685"/>
      <c r="AZ526" s="685"/>
      <c r="BA526" s="685"/>
      <c r="BB526" s="685"/>
      <c r="BC526" s="685"/>
      <c r="BD526" s="685"/>
    </row>
    <row r="527" spans="1:56">
      <c r="A527" s="685"/>
      <c r="B527" s="1115" t="s">
        <v>420</v>
      </c>
      <c r="C527" s="1115"/>
      <c r="D527" s="1124"/>
      <c r="E527" s="1115"/>
      <c r="F527" s="1118"/>
      <c r="G527" s="1115"/>
      <c r="H527" s="1168"/>
      <c r="I527" s="1168"/>
      <c r="J527" s="1123">
        <f>J526-I526</f>
        <v>83038.100000000006</v>
      </c>
      <c r="K527" s="1123">
        <f>K526-J526</f>
        <v>865.89999999999418</v>
      </c>
      <c r="L527" s="1123">
        <f>L526-K526</f>
        <v>288</v>
      </c>
      <c r="M527" s="1123">
        <f>M526-L526</f>
        <v>652</v>
      </c>
      <c r="N527" s="1123">
        <f>N526-M526</f>
        <v>16</v>
      </c>
      <c r="O527" s="1167">
        <v>0</v>
      </c>
      <c r="P527" s="1167">
        <v>0</v>
      </c>
      <c r="Q527" s="1167">
        <v>0</v>
      </c>
      <c r="R527" s="1167">
        <v>-2000</v>
      </c>
      <c r="S527" s="1167">
        <v>550</v>
      </c>
      <c r="T527" s="1167">
        <v>0</v>
      </c>
      <c r="U527" s="1167">
        <v>0</v>
      </c>
      <c r="V527" s="1167">
        <v>0</v>
      </c>
      <c r="W527" s="1167">
        <v>0</v>
      </c>
      <c r="X527" s="1167">
        <v>0</v>
      </c>
      <c r="Y527" s="1167">
        <v>0</v>
      </c>
      <c r="Z527" s="1167">
        <v>22513</v>
      </c>
      <c r="AA527" s="1167">
        <v>0</v>
      </c>
      <c r="AB527" s="1167">
        <v>0</v>
      </c>
      <c r="AC527" s="1167">
        <v>0</v>
      </c>
      <c r="AD527" s="1167">
        <v>0</v>
      </c>
      <c r="AE527" s="1167">
        <v>0</v>
      </c>
      <c r="AF527" s="1167">
        <v>0</v>
      </c>
      <c r="AG527" s="1167">
        <v>0</v>
      </c>
      <c r="AH527" s="1167">
        <v>0</v>
      </c>
      <c r="AI527" s="685"/>
      <c r="AJ527" s="685"/>
      <c r="AK527" s="685"/>
      <c r="AL527" s="685"/>
      <c r="AM527" s="685"/>
      <c r="AN527" s="685"/>
      <c r="AO527" s="685"/>
      <c r="AP527" s="685"/>
      <c r="AQ527" s="685"/>
      <c r="AR527" s="685"/>
      <c r="AS527" s="685"/>
      <c r="AT527" s="685"/>
      <c r="AU527" s="685"/>
      <c r="AV527" s="685"/>
      <c r="AW527" s="685"/>
      <c r="AX527" s="685"/>
      <c r="AY527" s="685"/>
      <c r="AZ527" s="685"/>
      <c r="BA527" s="685"/>
      <c r="BB527" s="685"/>
      <c r="BC527" s="685"/>
      <c r="BD527" s="685"/>
    </row>
    <row r="528" spans="1:56">
      <c r="A528" s="685"/>
      <c r="B528" s="1115" t="s">
        <v>421</v>
      </c>
      <c r="C528" s="1115"/>
      <c r="D528" s="1124"/>
      <c r="E528" s="1115"/>
      <c r="F528" s="1118"/>
      <c r="G528" s="1115"/>
      <c r="H528" s="1168"/>
      <c r="I528" s="1168"/>
      <c r="J528" s="1168">
        <f t="shared" ref="J528:AE528" si="360">(I526+J526)/2</f>
        <v>41519.050000000003</v>
      </c>
      <c r="K528" s="1168">
        <f t="shared" si="360"/>
        <v>83471.05</v>
      </c>
      <c r="L528" s="1168">
        <f t="shared" si="360"/>
        <v>84048</v>
      </c>
      <c r="M528" s="1168">
        <f t="shared" si="360"/>
        <v>84518</v>
      </c>
      <c r="N528" s="1168">
        <f t="shared" si="360"/>
        <v>84852</v>
      </c>
      <c r="O528" s="1168">
        <f t="shared" si="360"/>
        <v>84860</v>
      </c>
      <c r="P528" s="1168">
        <f t="shared" si="360"/>
        <v>84860</v>
      </c>
      <c r="Q528" s="1168">
        <f t="shared" si="360"/>
        <v>84681.45</v>
      </c>
      <c r="R528" s="1168">
        <f t="shared" si="360"/>
        <v>83502.899999999994</v>
      </c>
      <c r="S528" s="1168">
        <f t="shared" si="360"/>
        <v>82777.899999999994</v>
      </c>
      <c r="T528" s="1168">
        <f t="shared" si="360"/>
        <v>83052.899999999994</v>
      </c>
      <c r="U528" s="1168">
        <f t="shared" si="360"/>
        <v>83052.899999999994</v>
      </c>
      <c r="V528" s="1168">
        <f t="shared" si="360"/>
        <v>83789.049999999988</v>
      </c>
      <c r="W528" s="1168">
        <f t="shared" si="360"/>
        <v>84043.95</v>
      </c>
      <c r="X528" s="1168">
        <f t="shared" si="360"/>
        <v>83562.7</v>
      </c>
      <c r="Y528" s="1168">
        <f t="shared" si="360"/>
        <v>83562.7</v>
      </c>
      <c r="Z528" s="1168">
        <f t="shared" si="360"/>
        <v>94819.199999999997</v>
      </c>
      <c r="AA528" s="1168">
        <f t="shared" si="360"/>
        <v>106075.7</v>
      </c>
      <c r="AB528" s="1168">
        <f t="shared" si="360"/>
        <v>106075.7</v>
      </c>
      <c r="AC528" s="1168">
        <f t="shared" si="360"/>
        <v>106075.7</v>
      </c>
      <c r="AD528" s="1168">
        <f t="shared" si="360"/>
        <v>106075.7</v>
      </c>
      <c r="AE528" s="1168">
        <f t="shared" si="360"/>
        <v>106075.7</v>
      </c>
      <c r="AF528" s="1168">
        <f>(AE526+AF526)/2</f>
        <v>106075.7</v>
      </c>
      <c r="AG528" s="1168">
        <f>(AF526+AG526)/2</f>
        <v>106075.7</v>
      </c>
      <c r="AH528" s="1168">
        <f>(AG526+AH526)/2</f>
        <v>106075.7</v>
      </c>
      <c r="AI528" s="685"/>
      <c r="AJ528" s="685"/>
      <c r="AK528" s="685"/>
      <c r="AL528" s="685"/>
      <c r="AM528" s="685"/>
      <c r="AN528" s="685"/>
      <c r="AO528" s="685"/>
      <c r="AP528" s="685"/>
      <c r="AQ528" s="685"/>
      <c r="AR528" s="685"/>
      <c r="AS528" s="685"/>
      <c r="AT528" s="685"/>
      <c r="AU528" s="685"/>
      <c r="AV528" s="685"/>
      <c r="AW528" s="685"/>
      <c r="AX528" s="685"/>
      <c r="AY528" s="685"/>
      <c r="AZ528" s="685"/>
      <c r="BA528" s="685"/>
      <c r="BB528" s="685"/>
      <c r="BC528" s="685"/>
      <c r="BD528" s="685"/>
    </row>
    <row r="529" spans="1:56">
      <c r="A529" s="685"/>
      <c r="B529" s="1115" t="s">
        <v>422</v>
      </c>
      <c r="C529" s="1115"/>
      <c r="D529" s="1124"/>
      <c r="E529" s="1115"/>
      <c r="F529" s="1118"/>
      <c r="G529" s="1115"/>
      <c r="H529" s="1168"/>
      <c r="I529" s="1168"/>
      <c r="J529" s="1125">
        <v>7055.7</v>
      </c>
      <c r="K529" s="1168">
        <f>J529</f>
        <v>7055.7</v>
      </c>
      <c r="L529" s="1168">
        <f>K529</f>
        <v>7055.7</v>
      </c>
      <c r="M529" s="1168">
        <f>L529</f>
        <v>7055.7</v>
      </c>
      <c r="N529" s="1125">
        <v>5227</v>
      </c>
      <c r="O529" s="1168">
        <f>N529</f>
        <v>5227</v>
      </c>
      <c r="P529" s="1168">
        <f>O529</f>
        <v>5227</v>
      </c>
      <c r="Q529" s="1193">
        <v>4051.2</v>
      </c>
      <c r="R529" s="1168">
        <f t="shared" ref="R529:U529" si="361">Q529-R527</f>
        <v>6051.2</v>
      </c>
      <c r="S529" s="1168">
        <f t="shared" si="361"/>
        <v>5501.2</v>
      </c>
      <c r="T529" s="1168">
        <f t="shared" si="361"/>
        <v>5501.2</v>
      </c>
      <c r="U529" s="1168">
        <f t="shared" si="361"/>
        <v>5501.2</v>
      </c>
      <c r="V529" s="2083">
        <f>962.5+3468</f>
        <v>4430.5</v>
      </c>
      <c r="W529" s="2083">
        <v>6018.1</v>
      </c>
      <c r="X529" s="2083">
        <v>7403</v>
      </c>
      <c r="Y529" s="1168">
        <f>X529</f>
        <v>7403</v>
      </c>
      <c r="Z529" s="1168">
        <f t="shared" ref="Z529:AH529" si="362">Y529</f>
        <v>7403</v>
      </c>
      <c r="AA529" s="1168">
        <f t="shared" si="362"/>
        <v>7403</v>
      </c>
      <c r="AB529" s="1168">
        <f t="shared" si="362"/>
        <v>7403</v>
      </c>
      <c r="AC529" s="1168">
        <f t="shared" si="362"/>
        <v>7403</v>
      </c>
      <c r="AD529" s="1168">
        <f t="shared" si="362"/>
        <v>7403</v>
      </c>
      <c r="AE529" s="1168">
        <f t="shared" si="362"/>
        <v>7403</v>
      </c>
      <c r="AF529" s="1168">
        <f t="shared" si="362"/>
        <v>7403</v>
      </c>
      <c r="AG529" s="1168">
        <f t="shared" si="362"/>
        <v>7403</v>
      </c>
      <c r="AH529" s="1168">
        <f t="shared" si="362"/>
        <v>7403</v>
      </c>
      <c r="AI529" s="685"/>
      <c r="AJ529" s="685"/>
      <c r="AK529" s="685"/>
      <c r="AL529" s="685"/>
      <c r="AM529" s="685"/>
      <c r="AN529" s="685"/>
      <c r="AO529" s="685"/>
      <c r="AP529" s="685"/>
      <c r="AQ529" s="685"/>
      <c r="AR529" s="685"/>
      <c r="AS529" s="685"/>
      <c r="AT529" s="685"/>
      <c r="AU529" s="685"/>
      <c r="AV529" s="685"/>
      <c r="AW529" s="685"/>
      <c r="AX529" s="685"/>
      <c r="AY529" s="685"/>
      <c r="AZ529" s="685"/>
      <c r="BA529" s="685"/>
      <c r="BB529" s="685"/>
      <c r="BC529" s="685"/>
      <c r="BD529" s="685"/>
    </row>
    <row r="530" spans="1:56">
      <c r="A530" s="685"/>
      <c r="B530" s="1115" t="s">
        <v>8114</v>
      </c>
      <c r="C530" s="1115"/>
      <c r="D530" s="1124"/>
      <c r="E530" s="1115"/>
      <c r="F530" s="1118"/>
      <c r="G530" s="1115"/>
      <c r="H530" s="1168"/>
      <c r="I530" s="1168"/>
      <c r="J530" s="1202">
        <f t="shared" ref="J530:AC530" si="363">J529/J526</f>
        <v>8.4969429695525303E-2</v>
      </c>
      <c r="K530" s="1202">
        <f t="shared" si="363"/>
        <v>8.4092534324942791E-2</v>
      </c>
      <c r="L530" s="1202">
        <f t="shared" si="363"/>
        <v>8.380487457240593E-2</v>
      </c>
      <c r="M530" s="1202">
        <f t="shared" si="363"/>
        <v>8.3160859931167785E-2</v>
      </c>
      <c r="N530" s="1202">
        <f t="shared" si="363"/>
        <v>6.1595569172755125E-2</v>
      </c>
      <c r="O530" s="1202">
        <f t="shared" si="363"/>
        <v>6.1595569172755125E-2</v>
      </c>
      <c r="P530" s="1202">
        <f t="shared" si="363"/>
        <v>6.1595569172755125E-2</v>
      </c>
      <c r="Q530" s="1202">
        <f t="shared" si="363"/>
        <v>4.7941549934972648E-2</v>
      </c>
      <c r="R530" s="1202">
        <f t="shared" si="363"/>
        <v>7.3345300589433823E-2</v>
      </c>
      <c r="S530" s="1202">
        <f t="shared" si="363"/>
        <v>6.6237301767909373E-2</v>
      </c>
      <c r="T530" s="1202">
        <f t="shared" si="363"/>
        <v>6.6237301767909373E-2</v>
      </c>
      <c r="U530" s="1202">
        <f t="shared" si="363"/>
        <v>6.6237301767909373E-2</v>
      </c>
      <c r="V530" s="1202">
        <f t="shared" si="363"/>
        <v>5.2416320813201273E-2</v>
      </c>
      <c r="W530" s="1202">
        <f t="shared" si="363"/>
        <v>7.2018974973283537E-2</v>
      </c>
      <c r="X530" s="1202">
        <f t="shared" si="363"/>
        <v>8.8592158941728782E-2</v>
      </c>
      <c r="Y530" s="1202">
        <f t="shared" si="363"/>
        <v>8.8592158941728782E-2</v>
      </c>
      <c r="Z530" s="1202">
        <f t="shared" si="363"/>
        <v>6.9789782202709955E-2</v>
      </c>
      <c r="AA530" s="1202">
        <f t="shared" si="363"/>
        <v>6.9789782202709955E-2</v>
      </c>
      <c r="AB530" s="1202">
        <f t="shared" si="363"/>
        <v>6.9789782202709955E-2</v>
      </c>
      <c r="AC530" s="1202">
        <f t="shared" si="363"/>
        <v>6.9789782202709955E-2</v>
      </c>
      <c r="AD530" s="1202">
        <f>AD529/AD526</f>
        <v>6.9789782202709955E-2</v>
      </c>
      <c r="AE530" s="1202">
        <f>AE529/AE526</f>
        <v>6.9789782202709955E-2</v>
      </c>
      <c r="AF530" s="1202">
        <f>AF529/AF526</f>
        <v>6.9789782202709955E-2</v>
      </c>
      <c r="AG530" s="1202">
        <f>AG529/AG526</f>
        <v>6.9789782202709955E-2</v>
      </c>
      <c r="AH530" s="1202">
        <f>AH529/AH526</f>
        <v>6.9789782202709955E-2</v>
      </c>
      <c r="AI530" s="685"/>
      <c r="AJ530" s="685"/>
      <c r="AK530" s="685"/>
      <c r="AL530" s="685"/>
      <c r="AM530" s="685"/>
      <c r="AN530" s="685"/>
      <c r="AO530" s="685"/>
      <c r="AP530" s="685"/>
      <c r="AQ530" s="685"/>
      <c r="AR530" s="685"/>
      <c r="AS530" s="685"/>
      <c r="AT530" s="685"/>
      <c r="AU530" s="685"/>
      <c r="AV530" s="685"/>
      <c r="AW530" s="685"/>
      <c r="AX530" s="685"/>
      <c r="AY530" s="685"/>
      <c r="AZ530" s="685"/>
      <c r="BA530" s="685"/>
      <c r="BB530" s="685"/>
      <c r="BC530" s="685"/>
      <c r="BD530" s="685"/>
    </row>
    <row r="531" spans="1:56">
      <c r="A531" s="685"/>
      <c r="B531" s="1115" t="s">
        <v>423</v>
      </c>
      <c r="C531" s="1115"/>
      <c r="D531" s="1124"/>
      <c r="E531" s="1115"/>
      <c r="F531" s="1118"/>
      <c r="G531" s="1115"/>
      <c r="H531" s="1168"/>
      <c r="I531" s="1168"/>
      <c r="J531" s="1168">
        <f t="shared" ref="J531:U531" si="364">J526+J529</f>
        <v>90093.8</v>
      </c>
      <c r="K531" s="1168">
        <f t="shared" si="364"/>
        <v>90959.7</v>
      </c>
      <c r="L531" s="1168">
        <f t="shared" si="364"/>
        <v>91247.7</v>
      </c>
      <c r="M531" s="1168">
        <f t="shared" si="364"/>
        <v>91899.7</v>
      </c>
      <c r="N531" s="1168">
        <f t="shared" si="364"/>
        <v>90087</v>
      </c>
      <c r="O531" s="1168">
        <f t="shared" si="364"/>
        <v>90087</v>
      </c>
      <c r="P531" s="1168">
        <f t="shared" si="364"/>
        <v>90087</v>
      </c>
      <c r="Q531" s="1168">
        <f t="shared" si="364"/>
        <v>88554.099999999991</v>
      </c>
      <c r="R531" s="1168">
        <f t="shared" si="364"/>
        <v>88554.099999999991</v>
      </c>
      <c r="S531" s="1168">
        <f t="shared" si="364"/>
        <v>88554.099999999991</v>
      </c>
      <c r="T531" s="1168">
        <f t="shared" si="364"/>
        <v>88554.099999999991</v>
      </c>
      <c r="U531" s="1168">
        <f t="shared" si="364"/>
        <v>88554.099999999991</v>
      </c>
      <c r="V531" s="1168">
        <f>V526-V529</f>
        <v>80094.7</v>
      </c>
      <c r="W531" s="1168">
        <f>W526-W529</f>
        <v>77544.599999999991</v>
      </c>
      <c r="X531" s="1168">
        <f>X526-X529</f>
        <v>76159.7</v>
      </c>
      <c r="Y531" s="1168">
        <f t="shared" ref="Y531:AH531" si="365">Y526-Y529</f>
        <v>76159.7</v>
      </c>
      <c r="Z531" s="1168">
        <f t="shared" si="365"/>
        <v>98672.7</v>
      </c>
      <c r="AA531" s="1168">
        <f t="shared" si="365"/>
        <v>98672.7</v>
      </c>
      <c r="AB531" s="1168">
        <f t="shared" si="365"/>
        <v>98672.7</v>
      </c>
      <c r="AC531" s="1168">
        <f t="shared" si="365"/>
        <v>98672.7</v>
      </c>
      <c r="AD531" s="1168">
        <f t="shared" si="365"/>
        <v>98672.7</v>
      </c>
      <c r="AE531" s="1168">
        <f t="shared" si="365"/>
        <v>98672.7</v>
      </c>
      <c r="AF531" s="1168">
        <f t="shared" si="365"/>
        <v>98672.7</v>
      </c>
      <c r="AG531" s="1168">
        <f t="shared" si="365"/>
        <v>98672.7</v>
      </c>
      <c r="AH531" s="1168">
        <f t="shared" si="365"/>
        <v>98672.7</v>
      </c>
      <c r="AI531" s="685"/>
      <c r="AJ531" s="685"/>
      <c r="AK531" s="685"/>
      <c r="AL531" s="685"/>
      <c r="AM531" s="685"/>
      <c r="AN531" s="685"/>
      <c r="AO531" s="685"/>
      <c r="AP531" s="685"/>
      <c r="AQ531" s="685"/>
      <c r="AR531" s="685"/>
      <c r="AS531" s="685"/>
      <c r="AT531" s="685"/>
      <c r="AU531" s="685"/>
      <c r="AV531" s="685"/>
      <c r="AW531" s="685"/>
      <c r="AX531" s="685"/>
      <c r="AY531" s="685"/>
      <c r="AZ531" s="685"/>
      <c r="BA531" s="685"/>
      <c r="BB531" s="685"/>
      <c r="BC531" s="685"/>
      <c r="BD531" s="685"/>
    </row>
    <row r="532" spans="1:56">
      <c r="A532" s="685"/>
      <c r="B532" s="1115"/>
      <c r="C532" s="1115"/>
      <c r="D532" s="1124"/>
      <c r="E532" s="1115"/>
      <c r="F532" s="1118"/>
      <c r="G532" s="1115"/>
      <c r="H532" s="1168"/>
      <c r="I532" s="1168"/>
      <c r="J532" s="1168"/>
      <c r="K532" s="1168"/>
      <c r="L532" s="1168"/>
      <c r="M532" s="1168"/>
      <c r="N532" s="1168"/>
      <c r="O532" s="1168"/>
      <c r="P532" s="1168"/>
      <c r="Q532" s="1168"/>
      <c r="R532" s="1168"/>
      <c r="S532" s="1168"/>
      <c r="T532" s="1168"/>
      <c r="U532" s="1168"/>
      <c r="V532" s="1168"/>
      <c r="W532" s="1168"/>
      <c r="X532" s="1168"/>
      <c r="Y532" s="1168"/>
      <c r="Z532" s="1168"/>
      <c r="AA532" s="1168"/>
      <c r="AB532" s="1168"/>
      <c r="AC532" s="1168"/>
      <c r="AD532" s="1168"/>
      <c r="AE532" s="1168"/>
      <c r="AF532" s="1168"/>
      <c r="AG532" s="1168"/>
      <c r="AH532" s="1168"/>
      <c r="AI532" s="685"/>
      <c r="AJ532" s="685"/>
      <c r="AK532" s="685"/>
      <c r="AL532" s="685"/>
      <c r="AM532" s="685"/>
      <c r="AN532" s="685"/>
      <c r="AO532" s="685"/>
      <c r="AP532" s="685"/>
      <c r="AQ532" s="685"/>
      <c r="AR532" s="685"/>
      <c r="AS532" s="685"/>
      <c r="AT532" s="685"/>
      <c r="AU532" s="685"/>
      <c r="AV532" s="685"/>
      <c r="AW532" s="685"/>
      <c r="AX532" s="685"/>
      <c r="AY532" s="685"/>
      <c r="AZ532" s="685"/>
      <c r="BA532" s="685"/>
      <c r="BB532" s="685"/>
      <c r="BC532" s="685"/>
      <c r="BD532" s="685"/>
    </row>
    <row r="533" spans="1:56">
      <c r="A533" s="685"/>
      <c r="B533" s="1115" t="s">
        <v>426</v>
      </c>
      <c r="C533" s="1115"/>
      <c r="D533" s="1124"/>
      <c r="E533" s="1115"/>
      <c r="F533" s="1118"/>
      <c r="G533" s="1115"/>
      <c r="H533" s="1168"/>
      <c r="I533" s="1168"/>
      <c r="J533" s="1125">
        <v>83038.100000000006</v>
      </c>
      <c r="K533" s="1125">
        <v>83904</v>
      </c>
      <c r="L533" s="1125">
        <v>84192</v>
      </c>
      <c r="M533" s="1125">
        <v>84844</v>
      </c>
      <c r="N533" s="1125">
        <v>84860</v>
      </c>
      <c r="O533" s="1123">
        <f>N533+O534</f>
        <v>84860</v>
      </c>
      <c r="P533" s="1123">
        <f>O533+P534</f>
        <v>84860</v>
      </c>
      <c r="Q533" s="1174">
        <v>84502.9</v>
      </c>
      <c r="R533" s="1123">
        <f t="shared" ref="R533:AE533" si="366">Q533+R534</f>
        <v>82502.899999999994</v>
      </c>
      <c r="S533" s="1123">
        <f t="shared" si="366"/>
        <v>83052.899999999994</v>
      </c>
      <c r="T533" s="1123">
        <f t="shared" si="366"/>
        <v>83052.899999999994</v>
      </c>
      <c r="U533" s="1123">
        <f t="shared" si="366"/>
        <v>83052.899999999994</v>
      </c>
      <c r="V533" s="2083">
        <v>84525.2</v>
      </c>
      <c r="W533" s="2083">
        <v>83562.7</v>
      </c>
      <c r="X533" s="2083">
        <v>83562.7</v>
      </c>
      <c r="Y533" s="1123">
        <f t="shared" si="366"/>
        <v>83562.7</v>
      </c>
      <c r="Z533" s="1123">
        <f t="shared" si="366"/>
        <v>106075.7</v>
      </c>
      <c r="AA533" s="1123">
        <f t="shared" si="366"/>
        <v>106075.7</v>
      </c>
      <c r="AB533" s="1123">
        <f t="shared" si="366"/>
        <v>106075.7</v>
      </c>
      <c r="AC533" s="1123">
        <f t="shared" si="366"/>
        <v>106075.7</v>
      </c>
      <c r="AD533" s="1123">
        <f t="shared" si="366"/>
        <v>106075.7</v>
      </c>
      <c r="AE533" s="1123">
        <f t="shared" si="366"/>
        <v>106075.7</v>
      </c>
      <c r="AF533" s="1123">
        <f>AE533+AF534</f>
        <v>106075.7</v>
      </c>
      <c r="AG533" s="1123">
        <f>AF533+AG534</f>
        <v>106075.7</v>
      </c>
      <c r="AH533" s="1123">
        <f>AG533+AH534</f>
        <v>106075.7</v>
      </c>
      <c r="AI533" s="685"/>
      <c r="AJ533" s="685"/>
      <c r="AK533" s="685"/>
      <c r="AL533" s="685"/>
      <c r="AM533" s="685"/>
      <c r="AN533" s="685"/>
      <c r="AO533" s="685"/>
      <c r="AP533" s="685"/>
      <c r="AQ533" s="685"/>
      <c r="AR533" s="685"/>
      <c r="AS533" s="685"/>
      <c r="AT533" s="685"/>
      <c r="AU533" s="685"/>
      <c r="AV533" s="685"/>
      <c r="AW533" s="685"/>
      <c r="AX533" s="685"/>
      <c r="AY533" s="685"/>
      <c r="AZ533" s="685"/>
      <c r="BA533" s="685"/>
      <c r="BB533" s="685"/>
      <c r="BC533" s="685"/>
      <c r="BD533" s="685"/>
    </row>
    <row r="534" spans="1:56">
      <c r="A534" s="685"/>
      <c r="B534" s="1115" t="s">
        <v>420</v>
      </c>
      <c r="C534" s="1115"/>
      <c r="D534" s="1124"/>
      <c r="E534" s="1115"/>
      <c r="F534" s="1118"/>
      <c r="G534" s="1115"/>
      <c r="H534" s="1168"/>
      <c r="I534" s="1168"/>
      <c r="J534" s="1123">
        <f>J533-I533</f>
        <v>83038.100000000006</v>
      </c>
      <c r="K534" s="1123">
        <f>K533-J533</f>
        <v>865.89999999999418</v>
      </c>
      <c r="L534" s="1123">
        <f>L533-K533</f>
        <v>288</v>
      </c>
      <c r="M534" s="1123">
        <f>M533-L533</f>
        <v>652</v>
      </c>
      <c r="N534" s="1123">
        <f>N533-M533</f>
        <v>16</v>
      </c>
      <c r="O534" s="1167">
        <v>0</v>
      </c>
      <c r="P534" s="1167">
        <v>0</v>
      </c>
      <c r="Q534" s="1167">
        <v>0</v>
      </c>
      <c r="R534" s="1167">
        <v>-2000</v>
      </c>
      <c r="S534" s="1167">
        <v>550</v>
      </c>
      <c r="T534" s="1167">
        <v>0</v>
      </c>
      <c r="U534" s="1167">
        <v>0</v>
      </c>
      <c r="V534" s="1167">
        <v>0</v>
      </c>
      <c r="W534" s="1167">
        <v>0</v>
      </c>
      <c r="X534" s="1167">
        <v>0</v>
      </c>
      <c r="Y534" s="1167">
        <v>0</v>
      </c>
      <c r="Z534" s="1167">
        <v>22513</v>
      </c>
      <c r="AA534" s="1167">
        <v>0</v>
      </c>
      <c r="AB534" s="1167">
        <v>0</v>
      </c>
      <c r="AC534" s="1167">
        <v>0</v>
      </c>
      <c r="AD534" s="1167">
        <v>0</v>
      </c>
      <c r="AE534" s="1167">
        <v>0</v>
      </c>
      <c r="AF534" s="1167">
        <v>0</v>
      </c>
      <c r="AG534" s="1167">
        <v>0</v>
      </c>
      <c r="AH534" s="1167">
        <v>0</v>
      </c>
      <c r="AI534" s="685"/>
      <c r="AJ534" s="685"/>
      <c r="AK534" s="685"/>
      <c r="AL534" s="685"/>
      <c r="AM534" s="685"/>
      <c r="AN534" s="685"/>
      <c r="AO534" s="685"/>
      <c r="AP534" s="685"/>
      <c r="AQ534" s="685"/>
      <c r="AR534" s="685"/>
      <c r="AS534" s="685"/>
      <c r="AT534" s="685"/>
      <c r="AU534" s="685"/>
      <c r="AV534" s="685"/>
      <c r="AW534" s="685"/>
      <c r="AX534" s="685"/>
      <c r="AY534" s="685"/>
      <c r="AZ534" s="685"/>
      <c r="BA534" s="685"/>
      <c r="BB534" s="685"/>
      <c r="BC534" s="685"/>
      <c r="BD534" s="685"/>
    </row>
    <row r="535" spans="1:56">
      <c r="A535" s="685"/>
      <c r="B535" s="1115" t="s">
        <v>421</v>
      </c>
      <c r="C535" s="1115"/>
      <c r="D535" s="1124"/>
      <c r="E535" s="1115"/>
      <c r="F535" s="1118"/>
      <c r="G535" s="1115"/>
      <c r="H535" s="1168"/>
      <c r="I535" s="1168"/>
      <c r="J535" s="1168">
        <f t="shared" ref="J535:AE535" si="367">(I533+J533)/2</f>
        <v>41519.050000000003</v>
      </c>
      <c r="K535" s="1168">
        <f t="shared" si="367"/>
        <v>83471.05</v>
      </c>
      <c r="L535" s="1168">
        <f t="shared" si="367"/>
        <v>84048</v>
      </c>
      <c r="M535" s="1168">
        <f t="shared" si="367"/>
        <v>84518</v>
      </c>
      <c r="N535" s="1168">
        <f t="shared" si="367"/>
        <v>84852</v>
      </c>
      <c r="O535" s="1168">
        <f t="shared" si="367"/>
        <v>84860</v>
      </c>
      <c r="P535" s="1168">
        <f t="shared" si="367"/>
        <v>84860</v>
      </c>
      <c r="Q535" s="1168">
        <f t="shared" si="367"/>
        <v>84681.45</v>
      </c>
      <c r="R535" s="1168">
        <f t="shared" si="367"/>
        <v>83502.899999999994</v>
      </c>
      <c r="S535" s="1168">
        <f t="shared" si="367"/>
        <v>82777.899999999994</v>
      </c>
      <c r="T535" s="1168">
        <f t="shared" si="367"/>
        <v>83052.899999999994</v>
      </c>
      <c r="U535" s="1168">
        <f t="shared" si="367"/>
        <v>83052.899999999994</v>
      </c>
      <c r="V535" s="1168">
        <f t="shared" si="367"/>
        <v>83789.049999999988</v>
      </c>
      <c r="W535" s="1168">
        <f t="shared" si="367"/>
        <v>84043.95</v>
      </c>
      <c r="X535" s="1168">
        <f t="shared" si="367"/>
        <v>83562.7</v>
      </c>
      <c r="Y535" s="1168">
        <f t="shared" si="367"/>
        <v>83562.7</v>
      </c>
      <c r="Z535" s="1168">
        <f t="shared" si="367"/>
        <v>94819.199999999997</v>
      </c>
      <c r="AA535" s="1168">
        <f t="shared" si="367"/>
        <v>106075.7</v>
      </c>
      <c r="AB535" s="1168">
        <f t="shared" si="367"/>
        <v>106075.7</v>
      </c>
      <c r="AC535" s="1168">
        <f t="shared" si="367"/>
        <v>106075.7</v>
      </c>
      <c r="AD535" s="1168">
        <f t="shared" si="367"/>
        <v>106075.7</v>
      </c>
      <c r="AE535" s="1168">
        <f t="shared" si="367"/>
        <v>106075.7</v>
      </c>
      <c r="AF535" s="1168">
        <f>(AE533+AF533)/2</f>
        <v>106075.7</v>
      </c>
      <c r="AG535" s="1168">
        <f>(AF533+AG533)/2</f>
        <v>106075.7</v>
      </c>
      <c r="AH535" s="1168">
        <f>(AG533+AH533)/2</f>
        <v>106075.7</v>
      </c>
      <c r="AI535" s="685"/>
      <c r="AJ535" s="685"/>
      <c r="AK535" s="685"/>
      <c r="AL535" s="685"/>
      <c r="AM535" s="685">
        <v>6917</v>
      </c>
      <c r="AN535" s="685"/>
      <c r="AO535" s="685"/>
      <c r="AP535" s="685"/>
      <c r="AQ535" s="685"/>
      <c r="AR535" s="685"/>
      <c r="AS535" s="685"/>
      <c r="AT535" s="685"/>
      <c r="AU535" s="685"/>
      <c r="AV535" s="685"/>
      <c r="AW535" s="685"/>
      <c r="AX535" s="685"/>
      <c r="AY535" s="685"/>
      <c r="AZ535" s="685"/>
      <c r="BA535" s="685"/>
      <c r="BB535" s="685"/>
      <c r="BC535" s="685"/>
      <c r="BD535" s="685"/>
    </row>
    <row r="536" spans="1:56">
      <c r="A536" s="685"/>
      <c r="B536" s="1115" t="s">
        <v>422</v>
      </c>
      <c r="C536" s="1115"/>
      <c r="D536" s="1124"/>
      <c r="E536" s="1115"/>
      <c r="F536" s="1118"/>
      <c r="G536" s="1115"/>
      <c r="H536" s="1168"/>
      <c r="I536" s="1168"/>
      <c r="J536" s="1125">
        <v>7055.7</v>
      </c>
      <c r="K536" s="1168">
        <f>J536</f>
        <v>7055.7</v>
      </c>
      <c r="L536" s="1168">
        <f>K536</f>
        <v>7055.7</v>
      </c>
      <c r="M536" s="1168">
        <f>L536</f>
        <v>7055.7</v>
      </c>
      <c r="N536" s="1125">
        <v>5227</v>
      </c>
      <c r="O536" s="1168">
        <f>N536</f>
        <v>5227</v>
      </c>
      <c r="P536" s="1168">
        <f>O536</f>
        <v>5227</v>
      </c>
      <c r="Q536" s="1193">
        <v>4051.2</v>
      </c>
      <c r="R536" s="1168">
        <f t="shared" ref="R536:U536" si="368">Q536-R534</f>
        <v>6051.2</v>
      </c>
      <c r="S536" s="1168">
        <f t="shared" si="368"/>
        <v>5501.2</v>
      </c>
      <c r="T536" s="1168">
        <f t="shared" si="368"/>
        <v>5501.2</v>
      </c>
      <c r="U536" s="1168">
        <f t="shared" si="368"/>
        <v>5501.2</v>
      </c>
      <c r="V536" s="2083">
        <f>962.5+3468</f>
        <v>4430.5</v>
      </c>
      <c r="W536" s="2083">
        <v>6018.1</v>
      </c>
      <c r="X536" s="2083">
        <v>7403</v>
      </c>
      <c r="Y536" s="1168">
        <f>X536</f>
        <v>7403</v>
      </c>
      <c r="Z536" s="1168">
        <f t="shared" ref="Z536:AH536" si="369">Y536</f>
        <v>7403</v>
      </c>
      <c r="AA536" s="1168">
        <f t="shared" si="369"/>
        <v>7403</v>
      </c>
      <c r="AB536" s="1168">
        <f t="shared" si="369"/>
        <v>7403</v>
      </c>
      <c r="AC536" s="1168">
        <f t="shared" si="369"/>
        <v>7403</v>
      </c>
      <c r="AD536" s="1168">
        <f t="shared" si="369"/>
        <v>7403</v>
      </c>
      <c r="AE536" s="1168">
        <f t="shared" si="369"/>
        <v>7403</v>
      </c>
      <c r="AF536" s="1168">
        <f t="shared" si="369"/>
        <v>7403</v>
      </c>
      <c r="AG536" s="1168">
        <f t="shared" si="369"/>
        <v>7403</v>
      </c>
      <c r="AH536" s="1168">
        <f t="shared" si="369"/>
        <v>7403</v>
      </c>
      <c r="AI536" s="685"/>
      <c r="AJ536" s="685"/>
      <c r="AK536" s="685"/>
      <c r="AL536" s="685"/>
      <c r="AM536" s="685">
        <v>17.399999999999999</v>
      </c>
      <c r="AN536" s="685"/>
      <c r="AO536" s="685"/>
      <c r="AP536" s="685"/>
      <c r="AQ536" s="685"/>
      <c r="AR536" s="685"/>
      <c r="AS536" s="685"/>
      <c r="AT536" s="685"/>
      <c r="AU536" s="685"/>
      <c r="AV536" s="685"/>
      <c r="AW536" s="685"/>
      <c r="AX536" s="685"/>
      <c r="AY536" s="685"/>
      <c r="AZ536" s="685"/>
      <c r="BA536" s="685"/>
      <c r="BB536" s="685"/>
      <c r="BC536" s="685"/>
      <c r="BD536" s="685"/>
    </row>
    <row r="537" spans="1:56">
      <c r="A537" s="685"/>
      <c r="B537" s="1115" t="s">
        <v>8114</v>
      </c>
      <c r="C537" s="1115"/>
      <c r="D537" s="1124"/>
      <c r="E537" s="1115"/>
      <c r="F537" s="1118"/>
      <c r="G537" s="1115"/>
      <c r="H537" s="1168"/>
      <c r="I537" s="1168"/>
      <c r="J537" s="1202">
        <f t="shared" ref="J537:AC537" si="370">J536/J533</f>
        <v>8.4969429695525303E-2</v>
      </c>
      <c r="K537" s="1202">
        <f t="shared" si="370"/>
        <v>8.4092534324942791E-2</v>
      </c>
      <c r="L537" s="1202">
        <f t="shared" si="370"/>
        <v>8.380487457240593E-2</v>
      </c>
      <c r="M537" s="1202">
        <f t="shared" si="370"/>
        <v>8.3160859931167785E-2</v>
      </c>
      <c r="N537" s="1202">
        <f t="shared" si="370"/>
        <v>6.1595569172755125E-2</v>
      </c>
      <c r="O537" s="1202">
        <f t="shared" si="370"/>
        <v>6.1595569172755125E-2</v>
      </c>
      <c r="P537" s="1202">
        <f t="shared" si="370"/>
        <v>6.1595569172755125E-2</v>
      </c>
      <c r="Q537" s="1202">
        <f t="shared" si="370"/>
        <v>4.7941549934972648E-2</v>
      </c>
      <c r="R537" s="1202">
        <f t="shared" si="370"/>
        <v>7.3345300589433823E-2</v>
      </c>
      <c r="S537" s="1202">
        <f t="shared" si="370"/>
        <v>6.6237301767909373E-2</v>
      </c>
      <c r="T537" s="1202">
        <f t="shared" si="370"/>
        <v>6.6237301767909373E-2</v>
      </c>
      <c r="U537" s="1202">
        <f t="shared" si="370"/>
        <v>6.6237301767909373E-2</v>
      </c>
      <c r="V537" s="1202">
        <f t="shared" si="370"/>
        <v>5.2416320813201273E-2</v>
      </c>
      <c r="W537" s="1202">
        <f t="shared" si="370"/>
        <v>7.2018974973283537E-2</v>
      </c>
      <c r="X537" s="1202">
        <f t="shared" si="370"/>
        <v>8.8592158941728782E-2</v>
      </c>
      <c r="Y537" s="1202">
        <f t="shared" si="370"/>
        <v>8.8592158941728782E-2</v>
      </c>
      <c r="Z537" s="1202">
        <f t="shared" si="370"/>
        <v>6.9789782202709955E-2</v>
      </c>
      <c r="AA537" s="1202">
        <f t="shared" si="370"/>
        <v>6.9789782202709955E-2</v>
      </c>
      <c r="AB537" s="1202">
        <f t="shared" si="370"/>
        <v>6.9789782202709955E-2</v>
      </c>
      <c r="AC537" s="1202">
        <f t="shared" si="370"/>
        <v>6.9789782202709955E-2</v>
      </c>
      <c r="AD537" s="1202">
        <f>AD536/AD533</f>
        <v>6.9789782202709955E-2</v>
      </c>
      <c r="AE537" s="1202">
        <f>AE536/AE533</f>
        <v>6.9789782202709955E-2</v>
      </c>
      <c r="AF537" s="1202">
        <f>AF536/AF533</f>
        <v>6.9789782202709955E-2</v>
      </c>
      <c r="AG537" s="1202">
        <f>AG536/AG533</f>
        <v>6.9789782202709955E-2</v>
      </c>
      <c r="AH537" s="1202">
        <f>AH536/AH533</f>
        <v>6.9789782202709955E-2</v>
      </c>
      <c r="AI537" s="685"/>
      <c r="AJ537" s="685"/>
      <c r="AK537" s="685"/>
      <c r="AL537" s="685"/>
      <c r="AM537" s="685">
        <f>AM535/AM536</f>
        <v>397.52873563218395</v>
      </c>
      <c r="AN537" s="685"/>
      <c r="AO537" s="685"/>
      <c r="AP537" s="685"/>
      <c r="AQ537" s="685"/>
      <c r="AR537" s="685"/>
      <c r="AS537" s="685"/>
      <c r="AT537" s="685"/>
      <c r="AU537" s="685"/>
      <c r="AV537" s="685"/>
      <c r="AW537" s="685"/>
      <c r="AX537" s="685"/>
      <c r="AY537" s="685"/>
      <c r="AZ537" s="685"/>
      <c r="BA537" s="685"/>
      <c r="BB537" s="685"/>
      <c r="BC537" s="685"/>
      <c r="BD537" s="685"/>
    </row>
    <row r="538" spans="1:56">
      <c r="A538" s="685"/>
      <c r="B538" s="1115" t="s">
        <v>423</v>
      </c>
      <c r="C538" s="1115"/>
      <c r="D538" s="1124"/>
      <c r="E538" s="1115"/>
      <c r="F538" s="1118"/>
      <c r="G538" s="1115"/>
      <c r="H538" s="1168"/>
      <c r="I538" s="1168"/>
      <c r="J538" s="1168">
        <f t="shared" ref="J538:U538" si="371">J533+J536</f>
        <v>90093.8</v>
      </c>
      <c r="K538" s="1168">
        <f t="shared" si="371"/>
        <v>90959.7</v>
      </c>
      <c r="L538" s="1168">
        <f t="shared" si="371"/>
        <v>91247.7</v>
      </c>
      <c r="M538" s="1168">
        <f t="shared" si="371"/>
        <v>91899.7</v>
      </c>
      <c r="N538" s="1168">
        <f t="shared" si="371"/>
        <v>90087</v>
      </c>
      <c r="O538" s="1168">
        <f t="shared" si="371"/>
        <v>90087</v>
      </c>
      <c r="P538" s="1168">
        <f t="shared" si="371"/>
        <v>90087</v>
      </c>
      <c r="Q538" s="1168">
        <f t="shared" si="371"/>
        <v>88554.099999999991</v>
      </c>
      <c r="R538" s="1168">
        <f t="shared" si="371"/>
        <v>88554.099999999991</v>
      </c>
      <c r="S538" s="1168">
        <f t="shared" si="371"/>
        <v>88554.099999999991</v>
      </c>
      <c r="T538" s="1168">
        <f t="shared" si="371"/>
        <v>88554.099999999991</v>
      </c>
      <c r="U538" s="1168">
        <f t="shared" si="371"/>
        <v>88554.099999999991</v>
      </c>
      <c r="V538" s="1168">
        <f>V533-V536</f>
        <v>80094.7</v>
      </c>
      <c r="W538" s="1168">
        <f>W533-W536</f>
        <v>77544.599999999991</v>
      </c>
      <c r="X538" s="1168">
        <f>X533-X536</f>
        <v>76159.7</v>
      </c>
      <c r="Y538" s="1168">
        <f t="shared" ref="Y538:AH538" si="372">Y533-Y536</f>
        <v>76159.7</v>
      </c>
      <c r="Z538" s="1168">
        <f t="shared" si="372"/>
        <v>98672.7</v>
      </c>
      <c r="AA538" s="1168">
        <f t="shared" si="372"/>
        <v>98672.7</v>
      </c>
      <c r="AB538" s="1168">
        <f t="shared" si="372"/>
        <v>98672.7</v>
      </c>
      <c r="AC538" s="1168">
        <f t="shared" si="372"/>
        <v>98672.7</v>
      </c>
      <c r="AD538" s="1168">
        <f t="shared" si="372"/>
        <v>98672.7</v>
      </c>
      <c r="AE538" s="1168">
        <f t="shared" si="372"/>
        <v>98672.7</v>
      </c>
      <c r="AF538" s="1168">
        <f t="shared" si="372"/>
        <v>98672.7</v>
      </c>
      <c r="AG538" s="1168">
        <f t="shared" si="372"/>
        <v>98672.7</v>
      </c>
      <c r="AH538" s="1168">
        <f t="shared" si="372"/>
        <v>98672.7</v>
      </c>
      <c r="AI538" s="685"/>
      <c r="AJ538" s="685"/>
      <c r="AK538" s="685"/>
      <c r="AL538" s="685"/>
      <c r="AM538" s="685">
        <v>2.67</v>
      </c>
      <c r="AN538" s="685"/>
      <c r="AO538" s="685"/>
      <c r="AP538" s="685"/>
      <c r="AQ538" s="685"/>
      <c r="AR538" s="685"/>
      <c r="AS538" s="685"/>
      <c r="AT538" s="685"/>
      <c r="AU538" s="685"/>
      <c r="AV538" s="685"/>
      <c r="AW538" s="685"/>
      <c r="AX538" s="685"/>
      <c r="AY538" s="685"/>
      <c r="AZ538" s="685"/>
      <c r="BA538" s="685"/>
      <c r="BB538" s="685"/>
      <c r="BC538" s="685"/>
      <c r="BD538" s="685"/>
    </row>
    <row r="539" spans="1:56">
      <c r="A539" s="685"/>
      <c r="B539" s="1115"/>
      <c r="C539" s="1168"/>
      <c r="D539" s="1168"/>
      <c r="E539" s="1168"/>
      <c r="F539" s="1168"/>
      <c r="G539" s="1168"/>
      <c r="H539" s="1168"/>
      <c r="I539" s="1168"/>
      <c r="J539" s="1168"/>
      <c r="K539" s="1168"/>
      <c r="L539" s="1168"/>
      <c r="M539" s="1168"/>
      <c r="N539" s="1168"/>
      <c r="O539" s="1168"/>
      <c r="P539" s="1168"/>
      <c r="Q539" s="1168"/>
      <c r="R539" s="1168"/>
      <c r="S539" s="1168"/>
      <c r="T539" s="1168"/>
      <c r="U539" s="1168"/>
      <c r="V539" s="1168"/>
      <c r="W539" s="1168"/>
      <c r="X539" s="1168"/>
      <c r="Y539" s="1168"/>
      <c r="Z539" s="1168"/>
      <c r="AA539" s="1168"/>
      <c r="AB539" s="1168"/>
      <c r="AC539" s="1168"/>
      <c r="AD539" s="1168"/>
      <c r="AE539" s="1168"/>
      <c r="AF539" s="1168"/>
      <c r="AG539" s="1168"/>
      <c r="AH539" s="1168"/>
      <c r="AI539" s="685"/>
      <c r="AJ539" s="685"/>
      <c r="AK539" s="685"/>
      <c r="AL539" s="685"/>
      <c r="AM539" s="685">
        <f>AM537/AM538</f>
        <v>148.88716690343969</v>
      </c>
      <c r="AN539" s="685"/>
      <c r="AO539" s="685"/>
      <c r="AP539" s="685"/>
      <c r="AQ539" s="685"/>
      <c r="AR539" s="685"/>
      <c r="AS539" s="685"/>
      <c r="AT539" s="685"/>
      <c r="AU539" s="685"/>
      <c r="AV539" s="685"/>
      <c r="AW539" s="685"/>
      <c r="AX539" s="685"/>
      <c r="AY539" s="685"/>
      <c r="AZ539" s="685"/>
      <c r="BA539" s="685"/>
      <c r="BB539" s="685"/>
      <c r="BC539" s="685"/>
      <c r="BD539" s="685"/>
    </row>
    <row r="540" spans="1:56">
      <c r="A540" s="685"/>
      <c r="B540" s="1115" t="s">
        <v>427</v>
      </c>
      <c r="C540" s="1168"/>
      <c r="D540" s="1168"/>
      <c r="E540" s="1168"/>
      <c r="F540" s="1168"/>
      <c r="G540" s="1168"/>
      <c r="H540" s="1168"/>
      <c r="I540" s="1168"/>
      <c r="J540" s="1168">
        <f t="shared" ref="J540:U540" si="373">J517+J524+J531+J538</f>
        <v>362444.39999999997</v>
      </c>
      <c r="K540" s="1168">
        <f t="shared" si="373"/>
        <v>365728.9</v>
      </c>
      <c r="L540" s="1168">
        <f t="shared" si="373"/>
        <v>367070.7</v>
      </c>
      <c r="M540" s="1168">
        <f t="shared" si="373"/>
        <v>369623.7</v>
      </c>
      <c r="N540" s="1168">
        <f t="shared" si="373"/>
        <v>362430.5</v>
      </c>
      <c r="O540" s="1168">
        <f t="shared" si="373"/>
        <v>362430.5</v>
      </c>
      <c r="P540" s="1168">
        <f t="shared" si="373"/>
        <v>362430.5</v>
      </c>
      <c r="Q540" s="1168">
        <f t="shared" si="373"/>
        <v>357307.29999999993</v>
      </c>
      <c r="R540" s="1168">
        <f t="shared" si="373"/>
        <v>357307.29999999993</v>
      </c>
      <c r="S540" s="1168">
        <f t="shared" si="373"/>
        <v>357307.29999999993</v>
      </c>
      <c r="T540" s="1168">
        <f t="shared" si="373"/>
        <v>357307.29999999993</v>
      </c>
      <c r="U540" s="1168">
        <f t="shared" si="373"/>
        <v>357307.29999999993</v>
      </c>
      <c r="V540" s="1168">
        <f>V512+V519+V526+V533</f>
        <v>343839.30000000005</v>
      </c>
      <c r="W540" s="1168">
        <f>W512+W519+W526+W533</f>
        <v>340621.8</v>
      </c>
      <c r="X540" s="1168">
        <f>X512+X519+X526+X533</f>
        <v>340621.8</v>
      </c>
      <c r="Y540" s="1168">
        <f t="shared" ref="Y540:AH540" si="374">Y512+Y519+Y526+Y533</f>
        <v>340621.8</v>
      </c>
      <c r="Z540" s="1168">
        <f t="shared" si="374"/>
        <v>415879.80000000005</v>
      </c>
      <c r="AA540" s="1168">
        <f t="shared" si="374"/>
        <v>415879.80000000005</v>
      </c>
      <c r="AB540" s="1168">
        <f t="shared" si="374"/>
        <v>415879.80000000005</v>
      </c>
      <c r="AC540" s="1168">
        <f t="shared" si="374"/>
        <v>415879.80000000005</v>
      </c>
      <c r="AD540" s="1168">
        <f t="shared" si="374"/>
        <v>415879.80000000005</v>
      </c>
      <c r="AE540" s="1168">
        <f t="shared" si="374"/>
        <v>415879.80000000005</v>
      </c>
      <c r="AF540" s="1168">
        <f t="shared" si="374"/>
        <v>415879.80000000005</v>
      </c>
      <c r="AG540" s="1168">
        <f t="shared" si="374"/>
        <v>415879.80000000005</v>
      </c>
      <c r="AH540" s="1168">
        <f t="shared" si="374"/>
        <v>415879.80000000005</v>
      </c>
      <c r="AI540" s="685"/>
      <c r="AJ540" s="685"/>
      <c r="AK540" s="685"/>
      <c r="AL540" s="685"/>
      <c r="AM540" s="685"/>
      <c r="AN540" s="685"/>
      <c r="AO540" s="685"/>
      <c r="AP540" s="685"/>
      <c r="AQ540" s="685"/>
      <c r="AR540" s="685"/>
      <c r="AS540" s="685"/>
      <c r="AT540" s="685"/>
      <c r="AU540" s="685"/>
      <c r="AV540" s="685"/>
      <c r="AW540" s="685"/>
      <c r="AX540" s="685"/>
      <c r="AY540" s="685"/>
      <c r="AZ540" s="685"/>
      <c r="BA540" s="685"/>
      <c r="BB540" s="685"/>
      <c r="BC540" s="685"/>
      <c r="BD540" s="685"/>
    </row>
    <row r="541" spans="1:56">
      <c r="A541" s="685"/>
      <c r="B541" s="1115" t="s">
        <v>428</v>
      </c>
      <c r="C541" s="1168"/>
      <c r="D541" s="1168"/>
      <c r="E541" s="1168"/>
      <c r="F541" s="1168"/>
      <c r="G541" s="1168"/>
      <c r="H541" s="1168"/>
      <c r="I541" s="1168"/>
      <c r="J541" s="1168">
        <f t="shared" ref="J541:AE541" si="375">AVERAGE(I540:J540)</f>
        <v>362444.39999999997</v>
      </c>
      <c r="K541" s="1168">
        <f t="shared" si="375"/>
        <v>364086.65</v>
      </c>
      <c r="L541" s="1168">
        <f t="shared" si="375"/>
        <v>366399.80000000005</v>
      </c>
      <c r="M541" s="1168">
        <f t="shared" si="375"/>
        <v>368347.2</v>
      </c>
      <c r="N541" s="1168">
        <f t="shared" si="375"/>
        <v>366027.1</v>
      </c>
      <c r="O541" s="1168">
        <f t="shared" si="375"/>
        <v>362430.5</v>
      </c>
      <c r="P541" s="1168">
        <f t="shared" si="375"/>
        <v>362430.5</v>
      </c>
      <c r="Q541" s="1168">
        <f t="shared" si="375"/>
        <v>359868.89999999997</v>
      </c>
      <c r="R541" s="1168">
        <f t="shared" si="375"/>
        <v>357307.29999999993</v>
      </c>
      <c r="S541" s="1168">
        <f t="shared" si="375"/>
        <v>357307.29999999993</v>
      </c>
      <c r="T541" s="1168">
        <f t="shared" si="375"/>
        <v>357307.29999999993</v>
      </c>
      <c r="U541" s="1168">
        <f t="shared" si="375"/>
        <v>357307.29999999993</v>
      </c>
      <c r="V541" s="1168">
        <f t="shared" si="375"/>
        <v>350573.3</v>
      </c>
      <c r="W541" s="1168">
        <f t="shared" si="375"/>
        <v>342230.55000000005</v>
      </c>
      <c r="X541" s="1168">
        <f t="shared" si="375"/>
        <v>340621.8</v>
      </c>
      <c r="Y541" s="1168">
        <f t="shared" si="375"/>
        <v>340621.8</v>
      </c>
      <c r="Z541" s="1168">
        <f t="shared" si="375"/>
        <v>378250.80000000005</v>
      </c>
      <c r="AA541" s="1168">
        <f t="shared" si="375"/>
        <v>415879.80000000005</v>
      </c>
      <c r="AB541" s="1168">
        <f t="shared" si="375"/>
        <v>415879.80000000005</v>
      </c>
      <c r="AC541" s="1168">
        <f t="shared" si="375"/>
        <v>415879.80000000005</v>
      </c>
      <c r="AD541" s="1168">
        <f t="shared" si="375"/>
        <v>415879.80000000005</v>
      </c>
      <c r="AE541" s="1168">
        <f t="shared" si="375"/>
        <v>415879.80000000005</v>
      </c>
      <c r="AF541" s="1168">
        <f>AVERAGE(AE540:AF540)</f>
        <v>415879.80000000005</v>
      </c>
      <c r="AG541" s="1168">
        <f>AVERAGE(AF540:AG540)</f>
        <v>415879.80000000005</v>
      </c>
      <c r="AH541" s="1168">
        <f>AVERAGE(AG540:AH540)</f>
        <v>415879.80000000005</v>
      </c>
      <c r="AI541" s="685"/>
      <c r="AJ541" s="685"/>
      <c r="AK541" s="685"/>
      <c r="AL541" s="685"/>
      <c r="AM541" s="685"/>
      <c r="AN541" s="685"/>
      <c r="AO541" s="685"/>
      <c r="AP541" s="685"/>
      <c r="AQ541" s="685"/>
      <c r="AR541" s="685"/>
      <c r="AS541" s="685"/>
      <c r="AT541" s="685"/>
      <c r="AU541" s="685"/>
      <c r="AV541" s="685"/>
      <c r="AW541" s="685"/>
      <c r="AX541" s="685"/>
      <c r="AY541" s="685"/>
      <c r="AZ541" s="685"/>
      <c r="BA541" s="685"/>
      <c r="BB541" s="685"/>
      <c r="BC541" s="685"/>
      <c r="BD541" s="685"/>
    </row>
    <row r="542" spans="1:56">
      <c r="A542" s="685"/>
      <c r="B542" s="1115"/>
      <c r="C542" s="1168"/>
      <c r="D542" s="1168"/>
      <c r="E542" s="1168"/>
      <c r="F542" s="1168"/>
      <c r="G542" s="1168"/>
      <c r="H542" s="1168"/>
      <c r="I542" s="1168"/>
      <c r="J542" s="1123"/>
      <c r="K542" s="1123"/>
      <c r="L542" s="1123"/>
      <c r="M542" s="1123"/>
      <c r="N542" s="1123"/>
      <c r="O542" s="1123"/>
      <c r="P542" s="1123"/>
      <c r="Q542" s="1123"/>
      <c r="R542" s="1123"/>
      <c r="S542" s="1123"/>
      <c r="T542" s="1123"/>
      <c r="U542" s="1123"/>
      <c r="V542" s="1123"/>
      <c r="W542" s="1123"/>
      <c r="X542" s="1123"/>
      <c r="Y542" s="1123"/>
      <c r="Z542" s="1123"/>
      <c r="AA542" s="1123"/>
      <c r="AB542" s="1123"/>
      <c r="AC542" s="1123"/>
      <c r="AD542" s="1123"/>
      <c r="AE542" s="1123"/>
      <c r="AF542" s="1123"/>
      <c r="AG542" s="1123"/>
      <c r="AH542" s="1123"/>
      <c r="AI542" s="685"/>
      <c r="AJ542" s="685"/>
      <c r="AK542" s="685"/>
      <c r="AL542" s="685"/>
      <c r="AM542" s="685"/>
      <c r="AN542" s="685"/>
      <c r="AO542" s="685"/>
      <c r="AP542" s="685"/>
      <c r="AQ542" s="685"/>
      <c r="AR542" s="685"/>
      <c r="AS542" s="685"/>
      <c r="AT542" s="685"/>
      <c r="AU542" s="685"/>
      <c r="AV542" s="685"/>
      <c r="AW542" s="685"/>
      <c r="AX542" s="685"/>
      <c r="AY542" s="685"/>
      <c r="AZ542" s="685"/>
      <c r="BA542" s="685"/>
      <c r="BB542" s="685"/>
      <c r="BC542" s="685"/>
      <c r="BD542" s="685"/>
    </row>
    <row r="543" spans="1:56">
      <c r="A543" s="685"/>
      <c r="B543" s="1115" t="s">
        <v>8112</v>
      </c>
      <c r="C543" s="1168"/>
      <c r="D543" s="1168"/>
      <c r="E543" s="1168"/>
      <c r="F543" s="1168"/>
      <c r="G543" s="1168"/>
      <c r="H543" s="1168"/>
      <c r="I543" s="1168"/>
      <c r="J543" s="1168"/>
      <c r="K543" s="1168"/>
      <c r="L543" s="1168"/>
      <c r="M543" s="1168"/>
      <c r="N543" s="1168"/>
      <c r="O543" s="1168"/>
      <c r="P543" s="1168"/>
      <c r="Q543" s="1168"/>
      <c r="R543" s="1168"/>
      <c r="S543" s="1168"/>
      <c r="T543" s="1168"/>
      <c r="U543" s="1168"/>
      <c r="V543" s="2083">
        <v>61284.3</v>
      </c>
      <c r="W543" s="2083">
        <v>61284.3</v>
      </c>
      <c r="X543" s="2083">
        <v>61284.3</v>
      </c>
      <c r="Y543" s="1174">
        <f>X543</f>
        <v>61284.3</v>
      </c>
      <c r="Z543" s="1174">
        <f t="shared" ref="Z543:AH543" si="376">Y543</f>
        <v>61284.3</v>
      </c>
      <c r="AA543" s="1174">
        <f t="shared" si="376"/>
        <v>61284.3</v>
      </c>
      <c r="AB543" s="1174">
        <f t="shared" si="376"/>
        <v>61284.3</v>
      </c>
      <c r="AC543" s="1174">
        <f t="shared" si="376"/>
        <v>61284.3</v>
      </c>
      <c r="AD543" s="1174">
        <f t="shared" si="376"/>
        <v>61284.3</v>
      </c>
      <c r="AE543" s="1174">
        <f t="shared" si="376"/>
        <v>61284.3</v>
      </c>
      <c r="AF543" s="1174">
        <f t="shared" si="376"/>
        <v>61284.3</v>
      </c>
      <c r="AG543" s="1174">
        <f t="shared" si="376"/>
        <v>61284.3</v>
      </c>
      <c r="AH543" s="1174">
        <f t="shared" si="376"/>
        <v>61284.3</v>
      </c>
      <c r="AI543" s="685"/>
      <c r="AJ543" s="685"/>
      <c r="AK543" s="685"/>
      <c r="AL543" s="685"/>
      <c r="AM543" s="685"/>
      <c r="AN543" s="685"/>
      <c r="AO543" s="685"/>
      <c r="AP543" s="685"/>
      <c r="AQ543" s="685"/>
      <c r="AR543" s="685"/>
      <c r="AS543" s="685"/>
      <c r="AT543" s="685"/>
      <c r="AU543" s="685"/>
      <c r="AV543" s="685"/>
      <c r="AW543" s="685"/>
      <c r="AX543" s="685"/>
      <c r="AY543" s="685"/>
      <c r="AZ543" s="685"/>
      <c r="BA543" s="685"/>
      <c r="BB543" s="685"/>
      <c r="BC543" s="685"/>
      <c r="BD543" s="685"/>
    </row>
    <row r="544" spans="1:56">
      <c r="A544" s="685"/>
      <c r="B544" s="1115" t="s">
        <v>8113</v>
      </c>
      <c r="C544" s="1168"/>
      <c r="D544" s="1168"/>
      <c r="E544" s="1168"/>
      <c r="F544" s="1168"/>
      <c r="G544" s="1168"/>
      <c r="H544" s="1168"/>
      <c r="I544" s="1168"/>
      <c r="J544" s="1168"/>
      <c r="K544" s="1168"/>
      <c r="L544" s="1168"/>
      <c r="M544" s="1168"/>
      <c r="N544" s="1168"/>
      <c r="O544" s="1168"/>
      <c r="P544" s="1168"/>
      <c r="Q544" s="1168"/>
      <c r="R544" s="1168"/>
      <c r="S544" s="1168"/>
      <c r="T544" s="1168"/>
      <c r="U544" s="1168"/>
      <c r="V544" s="1123">
        <f>V540-V543</f>
        <v>282555.00000000006</v>
      </c>
      <c r="W544" s="1123">
        <f>W540-W543</f>
        <v>279337.5</v>
      </c>
      <c r="X544" s="1123">
        <f>X540-X543</f>
        <v>279337.5</v>
      </c>
      <c r="Y544" s="1123">
        <f t="shared" ref="Y544:AH544" si="377">Y540-Y543</f>
        <v>279337.5</v>
      </c>
      <c r="Z544" s="1123">
        <f t="shared" si="377"/>
        <v>354595.50000000006</v>
      </c>
      <c r="AA544" s="1123">
        <f t="shared" si="377"/>
        <v>354595.50000000006</v>
      </c>
      <c r="AB544" s="1123">
        <f t="shared" si="377"/>
        <v>354595.50000000006</v>
      </c>
      <c r="AC544" s="1123">
        <f t="shared" si="377"/>
        <v>354595.50000000006</v>
      </c>
      <c r="AD544" s="1123">
        <f t="shared" si="377"/>
        <v>354595.50000000006</v>
      </c>
      <c r="AE544" s="1123">
        <f t="shared" si="377"/>
        <v>354595.50000000006</v>
      </c>
      <c r="AF544" s="1123">
        <f t="shared" si="377"/>
        <v>354595.50000000006</v>
      </c>
      <c r="AG544" s="1123">
        <f t="shared" si="377"/>
        <v>354595.50000000006</v>
      </c>
      <c r="AH544" s="1123">
        <f t="shared" si="377"/>
        <v>354595.50000000006</v>
      </c>
      <c r="AI544" s="685"/>
      <c r="AJ544" s="685"/>
      <c r="AK544" s="685"/>
      <c r="AL544" s="685"/>
      <c r="AM544" s="685"/>
      <c r="AN544" s="685"/>
      <c r="AO544" s="685"/>
      <c r="AP544" s="685"/>
      <c r="AQ544" s="685"/>
      <c r="AR544" s="685"/>
      <c r="AS544" s="685"/>
      <c r="AT544" s="685"/>
      <c r="AU544" s="685"/>
      <c r="AV544" s="685"/>
      <c r="AW544" s="685"/>
      <c r="AX544" s="685"/>
      <c r="AY544" s="685"/>
      <c r="AZ544" s="685"/>
      <c r="BA544" s="685"/>
      <c r="BB544" s="685"/>
      <c r="BC544" s="685"/>
      <c r="BD544" s="685"/>
    </row>
    <row r="545" spans="1:56">
      <c r="A545" s="685"/>
      <c r="B545" s="1115"/>
      <c r="C545" s="1168"/>
      <c r="D545" s="1168"/>
      <c r="E545" s="1168"/>
      <c r="F545" s="1168"/>
      <c r="G545" s="1168"/>
      <c r="H545" s="1168"/>
      <c r="I545" s="1168"/>
      <c r="J545" s="1123"/>
      <c r="K545" s="1123"/>
      <c r="L545" s="1123"/>
      <c r="M545" s="1123"/>
      <c r="N545" s="1123"/>
      <c r="O545" s="1123"/>
      <c r="P545" s="1123"/>
      <c r="Q545" s="1123"/>
      <c r="R545" s="1123"/>
      <c r="S545" s="1123"/>
      <c r="T545" s="1123"/>
      <c r="U545" s="1123"/>
      <c r="V545" s="1123"/>
      <c r="W545" s="1123"/>
      <c r="X545" s="1123"/>
      <c r="Y545" s="1123"/>
      <c r="Z545" s="1123"/>
      <c r="AA545" s="1123"/>
      <c r="AB545" s="1123"/>
      <c r="AC545" s="1123"/>
      <c r="AD545" s="1123"/>
      <c r="AE545" s="1123"/>
      <c r="AF545" s="1123"/>
      <c r="AG545" s="1123"/>
      <c r="AH545" s="1123"/>
      <c r="AI545" s="685"/>
      <c r="AJ545" s="685"/>
      <c r="AK545" s="685"/>
      <c r="AL545" s="685"/>
      <c r="AM545" s="685"/>
      <c r="AN545" s="685"/>
      <c r="AO545" s="685"/>
      <c r="AP545" s="685"/>
      <c r="AQ545" s="685"/>
      <c r="AR545" s="685"/>
      <c r="AS545" s="685"/>
      <c r="AT545" s="685"/>
      <c r="AU545" s="685"/>
      <c r="AV545" s="685"/>
      <c r="AW545" s="685"/>
      <c r="AX545" s="685"/>
      <c r="AY545" s="685"/>
      <c r="AZ545" s="685"/>
      <c r="BA545" s="685"/>
      <c r="BB545" s="685"/>
      <c r="BC545" s="685"/>
      <c r="BD545" s="685"/>
    </row>
    <row r="546" spans="1:56">
      <c r="A546" s="685"/>
      <c r="B546" s="1113" t="s">
        <v>429</v>
      </c>
      <c r="C546" s="2076"/>
      <c r="D546" s="2076"/>
      <c r="E546" s="2077">
        <v>337782</v>
      </c>
      <c r="F546" s="2077">
        <v>329960</v>
      </c>
      <c r="G546" s="2077">
        <v>328393</v>
      </c>
      <c r="H546" s="2077">
        <v>327231</v>
      </c>
      <c r="I546" s="2077">
        <v>325023</v>
      </c>
      <c r="J546" s="2076">
        <f t="shared" ref="J546:U546" si="378">J512+J519+J526+J533</f>
        <v>330876.7</v>
      </c>
      <c r="K546" s="2076">
        <f t="shared" si="378"/>
        <v>334161.2</v>
      </c>
      <c r="L546" s="2076">
        <f t="shared" si="378"/>
        <v>335503</v>
      </c>
      <c r="M546" s="2076">
        <f t="shared" si="378"/>
        <v>338056</v>
      </c>
      <c r="N546" s="2076">
        <f t="shared" si="378"/>
        <v>338469</v>
      </c>
      <c r="O546" s="2076">
        <f t="shared" si="378"/>
        <v>338469</v>
      </c>
      <c r="P546" s="2076">
        <f t="shared" si="378"/>
        <v>338469</v>
      </c>
      <c r="Q546" s="2076">
        <f t="shared" si="378"/>
        <v>338329.1</v>
      </c>
      <c r="R546" s="2076">
        <f t="shared" si="378"/>
        <v>334329.09999999998</v>
      </c>
      <c r="S546" s="2076">
        <f t="shared" si="378"/>
        <v>335429.09999999998</v>
      </c>
      <c r="T546" s="2076">
        <f t="shared" si="378"/>
        <v>335429.09999999998</v>
      </c>
      <c r="U546" s="2076">
        <f t="shared" si="378"/>
        <v>335429.09999999998</v>
      </c>
      <c r="V546" s="2076">
        <f>V517+V524+V531+V538</f>
        <v>323976.5</v>
      </c>
      <c r="W546" s="2076">
        <f>W517+W524+W531+W538</f>
        <v>315451.8</v>
      </c>
      <c r="X546" s="2076">
        <f>X517+X524+X531+X538</f>
        <v>311114.8</v>
      </c>
      <c r="Y546" s="2076">
        <f t="shared" ref="Y546:AH546" si="379">Y517+Y524+Y531+Y538</f>
        <v>311114.8</v>
      </c>
      <c r="Z546" s="2076">
        <f t="shared" si="379"/>
        <v>386372.8</v>
      </c>
      <c r="AA546" s="2076">
        <f t="shared" si="379"/>
        <v>386372.8</v>
      </c>
      <c r="AB546" s="2076">
        <f t="shared" si="379"/>
        <v>386372.8</v>
      </c>
      <c r="AC546" s="2076">
        <f t="shared" si="379"/>
        <v>386372.8</v>
      </c>
      <c r="AD546" s="2076">
        <f t="shared" si="379"/>
        <v>386372.8</v>
      </c>
      <c r="AE546" s="2076">
        <f t="shared" si="379"/>
        <v>386372.8</v>
      </c>
      <c r="AF546" s="2076">
        <f t="shared" si="379"/>
        <v>386372.8</v>
      </c>
      <c r="AG546" s="2076">
        <f t="shared" si="379"/>
        <v>386372.8</v>
      </c>
      <c r="AH546" s="2076">
        <f t="shared" si="379"/>
        <v>386372.8</v>
      </c>
      <c r="AI546" s="685"/>
      <c r="AJ546" s="685"/>
      <c r="AK546" s="685"/>
      <c r="AL546" s="685"/>
      <c r="AM546" s="685"/>
      <c r="AN546" s="685"/>
      <c r="AO546" s="685"/>
      <c r="AP546" s="685"/>
      <c r="AQ546" s="685"/>
      <c r="AR546" s="685"/>
      <c r="AS546" s="685"/>
      <c r="AT546" s="685"/>
      <c r="AU546" s="685"/>
      <c r="AV546" s="685"/>
      <c r="AW546" s="685"/>
      <c r="AX546" s="685"/>
      <c r="AY546" s="685"/>
      <c r="AZ546" s="685"/>
      <c r="BA546" s="685"/>
      <c r="BB546" s="685"/>
      <c r="BC546" s="685"/>
      <c r="BD546" s="685"/>
    </row>
    <row r="547" spans="1:56">
      <c r="A547" s="685"/>
      <c r="B547" s="1115" t="s">
        <v>428</v>
      </c>
      <c r="C547" s="1168"/>
      <c r="D547" s="1168"/>
      <c r="E547" s="1168"/>
      <c r="F547" s="1168"/>
      <c r="G547" s="1168"/>
      <c r="H547" s="1168"/>
      <c r="I547" s="1168"/>
      <c r="J547" s="1168">
        <f t="shared" ref="J547:AE547" si="380">AVERAGE(I546:J546)</f>
        <v>327949.84999999998</v>
      </c>
      <c r="K547" s="1168">
        <f t="shared" si="380"/>
        <v>332518.95</v>
      </c>
      <c r="L547" s="1168">
        <f t="shared" si="380"/>
        <v>334832.09999999998</v>
      </c>
      <c r="M547" s="1168">
        <f t="shared" si="380"/>
        <v>336779.5</v>
      </c>
      <c r="N547" s="1168">
        <f t="shared" si="380"/>
        <v>338262.5</v>
      </c>
      <c r="O547" s="1168">
        <f t="shared" si="380"/>
        <v>338469</v>
      </c>
      <c r="P547" s="1168">
        <f t="shared" si="380"/>
        <v>338469</v>
      </c>
      <c r="Q547" s="1168">
        <f t="shared" si="380"/>
        <v>338399.05</v>
      </c>
      <c r="R547" s="1168">
        <f t="shared" si="380"/>
        <v>336329.1</v>
      </c>
      <c r="S547" s="1168">
        <f t="shared" si="380"/>
        <v>334879.09999999998</v>
      </c>
      <c r="T547" s="1168">
        <f t="shared" si="380"/>
        <v>335429.09999999998</v>
      </c>
      <c r="U547" s="1168">
        <f t="shared" si="380"/>
        <v>335429.09999999998</v>
      </c>
      <c r="V547" s="1168">
        <f t="shared" si="380"/>
        <v>329702.8</v>
      </c>
      <c r="W547" s="1168">
        <f t="shared" si="380"/>
        <v>319714.15000000002</v>
      </c>
      <c r="X547" s="1168">
        <f t="shared" si="380"/>
        <v>313283.3</v>
      </c>
      <c r="Y547" s="1168">
        <f t="shared" si="380"/>
        <v>311114.8</v>
      </c>
      <c r="Z547" s="1168">
        <f t="shared" si="380"/>
        <v>348743.8</v>
      </c>
      <c r="AA547" s="1168">
        <f t="shared" si="380"/>
        <v>386372.8</v>
      </c>
      <c r="AB547" s="1168">
        <f t="shared" si="380"/>
        <v>386372.8</v>
      </c>
      <c r="AC547" s="1168">
        <f t="shared" si="380"/>
        <v>386372.8</v>
      </c>
      <c r="AD547" s="1168">
        <f t="shared" si="380"/>
        <v>386372.8</v>
      </c>
      <c r="AE547" s="1168">
        <f t="shared" si="380"/>
        <v>386372.8</v>
      </c>
      <c r="AF547" s="1168">
        <f>AVERAGE(AE546:AF546)</f>
        <v>386372.8</v>
      </c>
      <c r="AG547" s="1168">
        <f>AVERAGE(AF546:AG546)</f>
        <v>386372.8</v>
      </c>
      <c r="AH547" s="1168">
        <f>AVERAGE(AG546:AH546)</f>
        <v>386372.8</v>
      </c>
      <c r="AI547" s="685"/>
      <c r="AJ547" s="685"/>
      <c r="AK547" s="685"/>
      <c r="AL547" s="685"/>
      <c r="AM547" s="685"/>
      <c r="AN547" s="685"/>
      <c r="AO547" s="685"/>
      <c r="AP547" s="685"/>
      <c r="AQ547" s="685"/>
      <c r="AR547" s="685"/>
      <c r="AS547" s="685"/>
      <c r="AT547" s="685"/>
      <c r="AU547" s="685"/>
      <c r="AV547" s="685"/>
      <c r="AW547" s="685"/>
      <c r="AX547" s="685"/>
      <c r="AY547" s="685"/>
      <c r="AZ547" s="685"/>
      <c r="BA547" s="685"/>
      <c r="BB547" s="685"/>
      <c r="BC547" s="685"/>
      <c r="BD547" s="685"/>
    </row>
    <row r="548" spans="1:56">
      <c r="A548" s="685"/>
      <c r="B548" s="1115"/>
      <c r="C548" s="1168"/>
      <c r="D548" s="1168"/>
      <c r="E548" s="1168"/>
      <c r="F548" s="1168"/>
      <c r="G548" s="1168"/>
      <c r="H548" s="1168"/>
      <c r="I548" s="1168"/>
      <c r="J548" s="1168"/>
      <c r="K548" s="1168"/>
      <c r="L548" s="1168"/>
      <c r="M548" s="1168"/>
      <c r="N548" s="1168"/>
      <c r="O548" s="1168"/>
      <c r="P548" s="1168"/>
      <c r="Q548" s="1168"/>
      <c r="R548" s="1168"/>
      <c r="S548" s="1168"/>
      <c r="T548" s="1168"/>
      <c r="U548" s="1168"/>
      <c r="V548" s="1168"/>
      <c r="W548" s="1168"/>
      <c r="X548" s="1168"/>
      <c r="Y548" s="1168"/>
      <c r="Z548" s="1168"/>
      <c r="AA548" s="1168"/>
      <c r="AB548" s="1168"/>
      <c r="AC548" s="1168"/>
      <c r="AD548" s="1168"/>
      <c r="AE548" s="1168"/>
      <c r="AF548" s="1168"/>
      <c r="AG548" s="1168"/>
      <c r="AH548" s="1168"/>
      <c r="AI548" s="685"/>
      <c r="AJ548" s="685"/>
      <c r="AK548" s="685"/>
      <c r="AL548" s="685"/>
      <c r="AM548" s="685"/>
      <c r="AN548" s="685"/>
      <c r="AO548" s="685"/>
      <c r="AP548" s="685"/>
      <c r="AQ548" s="685"/>
      <c r="AR548" s="685"/>
      <c r="AS548" s="685"/>
      <c r="AT548" s="685"/>
      <c r="AU548" s="685"/>
      <c r="AV548" s="685"/>
      <c r="AW548" s="685"/>
      <c r="AX548" s="685"/>
      <c r="AY548" s="685"/>
      <c r="AZ548" s="685"/>
      <c r="BA548" s="685"/>
      <c r="BB548" s="685"/>
      <c r="BC548" s="685"/>
      <c r="BD548" s="685"/>
    </row>
    <row r="549" spans="1:56">
      <c r="A549" s="685"/>
      <c r="B549" s="1115" t="s">
        <v>8112</v>
      </c>
      <c r="C549" s="1168"/>
      <c r="D549" s="1168"/>
      <c r="E549" s="1168"/>
      <c r="F549" s="1168"/>
      <c r="G549" s="1168"/>
      <c r="H549" s="1168"/>
      <c r="I549" s="1168"/>
      <c r="J549" s="1168"/>
      <c r="K549" s="1168"/>
      <c r="L549" s="1168"/>
      <c r="M549" s="1168"/>
      <c r="N549" s="1168"/>
      <c r="O549" s="1168"/>
      <c r="P549" s="1168"/>
      <c r="Q549" s="1168"/>
      <c r="R549" s="1168"/>
      <c r="S549" s="1168"/>
      <c r="T549" s="1168"/>
      <c r="U549" s="1168"/>
      <c r="V549" s="2083">
        <v>56232</v>
      </c>
      <c r="W549" s="2083">
        <v>56232</v>
      </c>
      <c r="X549" s="2083">
        <v>56524.6</v>
      </c>
      <c r="Y549" s="1174">
        <f>X549</f>
        <v>56524.6</v>
      </c>
      <c r="Z549" s="1174">
        <f t="shared" ref="Z549:AH549" si="381">Y549</f>
        <v>56524.6</v>
      </c>
      <c r="AA549" s="1174">
        <f t="shared" si="381"/>
        <v>56524.6</v>
      </c>
      <c r="AB549" s="1174">
        <f t="shared" si="381"/>
        <v>56524.6</v>
      </c>
      <c r="AC549" s="1174">
        <f t="shared" si="381"/>
        <v>56524.6</v>
      </c>
      <c r="AD549" s="1174">
        <f t="shared" si="381"/>
        <v>56524.6</v>
      </c>
      <c r="AE549" s="1174">
        <f t="shared" si="381"/>
        <v>56524.6</v>
      </c>
      <c r="AF549" s="1174">
        <f t="shared" si="381"/>
        <v>56524.6</v>
      </c>
      <c r="AG549" s="1174">
        <f t="shared" si="381"/>
        <v>56524.6</v>
      </c>
      <c r="AH549" s="1174">
        <f t="shared" si="381"/>
        <v>56524.6</v>
      </c>
      <c r="AI549" s="685"/>
      <c r="AJ549" s="685"/>
      <c r="AK549" s="685"/>
      <c r="AL549" s="685"/>
      <c r="AM549" s="685"/>
      <c r="AN549" s="685"/>
      <c r="AO549" s="685"/>
      <c r="AP549" s="685"/>
      <c r="AQ549" s="685"/>
      <c r="AR549" s="685"/>
      <c r="AS549" s="685"/>
      <c r="AT549" s="685"/>
      <c r="AU549" s="685"/>
      <c r="AV549" s="685"/>
      <c r="AW549" s="685"/>
      <c r="AX549" s="685"/>
      <c r="AY549" s="685"/>
      <c r="AZ549" s="685"/>
      <c r="BA549" s="685"/>
      <c r="BB549" s="685"/>
      <c r="BC549" s="685"/>
      <c r="BD549" s="685"/>
    </row>
    <row r="550" spans="1:56">
      <c r="A550" s="685"/>
      <c r="B550" s="1113" t="s">
        <v>8113</v>
      </c>
      <c r="C550" s="2076"/>
      <c r="D550" s="2076"/>
      <c r="E550" s="2076"/>
      <c r="F550" s="2076"/>
      <c r="G550" s="2076"/>
      <c r="H550" s="2076"/>
      <c r="I550" s="2076"/>
      <c r="J550" s="2076"/>
      <c r="K550" s="2076"/>
      <c r="L550" s="2076"/>
      <c r="M550" s="2076"/>
      <c r="N550" s="2076"/>
      <c r="O550" s="2076"/>
      <c r="P550" s="2076"/>
      <c r="Q550" s="2076"/>
      <c r="R550" s="2076"/>
      <c r="S550" s="2076"/>
      <c r="T550" s="2076"/>
      <c r="U550" s="2076"/>
      <c r="V550" s="1114">
        <f>V546-V549</f>
        <v>267744.5</v>
      </c>
      <c r="W550" s="1114">
        <f>W546-W549</f>
        <v>259219.8</v>
      </c>
      <c r="X550" s="1114">
        <f>X546-X549</f>
        <v>254590.19999999998</v>
      </c>
      <c r="Y550" s="1114">
        <f t="shared" ref="Y550:AH550" si="382">Y546-Y549</f>
        <v>254590.19999999998</v>
      </c>
      <c r="Z550" s="1114">
        <f t="shared" si="382"/>
        <v>329848.2</v>
      </c>
      <c r="AA550" s="1114">
        <f t="shared" si="382"/>
        <v>329848.2</v>
      </c>
      <c r="AB550" s="1114">
        <f t="shared" si="382"/>
        <v>329848.2</v>
      </c>
      <c r="AC550" s="1114">
        <f t="shared" si="382"/>
        <v>329848.2</v>
      </c>
      <c r="AD550" s="1114">
        <f t="shared" si="382"/>
        <v>329848.2</v>
      </c>
      <c r="AE550" s="1114">
        <f t="shared" si="382"/>
        <v>329848.2</v>
      </c>
      <c r="AF550" s="1114">
        <f t="shared" si="382"/>
        <v>329848.2</v>
      </c>
      <c r="AG550" s="1114">
        <f t="shared" si="382"/>
        <v>329848.2</v>
      </c>
      <c r="AH550" s="1114">
        <f t="shared" si="382"/>
        <v>329848.2</v>
      </c>
      <c r="AI550" s="685"/>
      <c r="AJ550" s="685"/>
      <c r="AK550" s="685"/>
      <c r="AL550" s="685"/>
      <c r="AM550" s="685"/>
      <c r="AN550" s="685"/>
      <c r="AO550" s="685"/>
      <c r="AP550" s="685"/>
      <c r="AQ550" s="685"/>
      <c r="AR550" s="685"/>
      <c r="AS550" s="685"/>
      <c r="AT550" s="685"/>
      <c r="AU550" s="685"/>
      <c r="AV550" s="685"/>
      <c r="AW550" s="685"/>
      <c r="AX550" s="685"/>
      <c r="AY550" s="685"/>
      <c r="AZ550" s="685"/>
      <c r="BA550" s="685"/>
      <c r="BB550" s="685"/>
      <c r="BC550" s="685"/>
      <c r="BD550" s="685"/>
    </row>
    <row r="551" spans="1:56">
      <c r="A551" s="685"/>
      <c r="B551" s="1115"/>
      <c r="C551" s="1168"/>
      <c r="D551" s="1168"/>
      <c r="E551" s="1168"/>
      <c r="F551" s="1168"/>
      <c r="G551" s="1168"/>
      <c r="H551" s="1168"/>
      <c r="I551" s="1168"/>
      <c r="J551" s="1168"/>
      <c r="K551" s="1168"/>
      <c r="L551" s="1168"/>
      <c r="M551" s="1168"/>
      <c r="N551" s="1168"/>
      <c r="O551" s="1168"/>
      <c r="P551" s="1168"/>
      <c r="Q551" s="1168"/>
      <c r="R551" s="1168"/>
      <c r="S551" s="1168"/>
      <c r="T551" s="1168"/>
      <c r="U551" s="1168"/>
      <c r="V551" s="1168"/>
      <c r="W551" s="1168"/>
      <c r="X551" s="1168"/>
      <c r="Y551" s="1168"/>
      <c r="Z551" s="1168"/>
      <c r="AA551" s="1168"/>
      <c r="AB551" s="1168"/>
      <c r="AC551" s="1168"/>
      <c r="AD551" s="1168"/>
      <c r="AE551" s="1168"/>
      <c r="AF551" s="1168"/>
      <c r="AG551" s="1168"/>
      <c r="AH551" s="1168"/>
      <c r="AI551" s="685"/>
      <c r="AJ551" s="685"/>
      <c r="AK551" s="685"/>
      <c r="AL551" s="685"/>
      <c r="AM551" s="685"/>
      <c r="AN551" s="685"/>
      <c r="AO551" s="685"/>
      <c r="AP551" s="685"/>
      <c r="AQ551" s="685"/>
      <c r="AR551" s="685"/>
      <c r="AS551" s="685"/>
      <c r="AT551" s="685"/>
      <c r="AU551" s="685"/>
      <c r="AV551" s="685"/>
      <c r="AW551" s="685"/>
      <c r="AX551" s="685"/>
      <c r="AY551" s="685"/>
      <c r="AZ551" s="685"/>
      <c r="BA551" s="685"/>
      <c r="BB551" s="685"/>
      <c r="BC551" s="685"/>
      <c r="BD551" s="685"/>
    </row>
    <row r="552" spans="1:56">
      <c r="A552" s="685"/>
      <c r="B552" s="1115"/>
      <c r="C552" s="1168"/>
      <c r="D552" s="1168"/>
      <c r="E552" s="1168"/>
      <c r="F552" s="1168"/>
      <c r="G552" s="1168"/>
      <c r="H552" s="1168"/>
      <c r="I552" s="1168"/>
      <c r="J552" s="1168"/>
      <c r="K552" s="1168"/>
      <c r="L552" s="1168"/>
      <c r="M552" s="1168"/>
      <c r="N552" s="1168"/>
      <c r="O552" s="1168"/>
      <c r="P552" s="1168"/>
      <c r="Q552" s="1168"/>
      <c r="R552" s="1168"/>
      <c r="S552" s="1168"/>
      <c r="T552" s="1168"/>
      <c r="U552" s="1168"/>
      <c r="V552" s="1168"/>
      <c r="W552" s="1168"/>
      <c r="X552" s="1168"/>
      <c r="Y552" s="1168"/>
      <c r="Z552" s="1168"/>
      <c r="AA552" s="1168"/>
      <c r="AB552" s="1168"/>
      <c r="AC552" s="1168"/>
      <c r="AD552" s="1168"/>
      <c r="AE552" s="1168"/>
      <c r="AF552" s="1168"/>
      <c r="AG552" s="1168"/>
      <c r="AH552" s="1168"/>
      <c r="AI552" s="685"/>
      <c r="AJ552" s="685"/>
      <c r="AK552" s="685"/>
      <c r="AL552" s="685"/>
      <c r="AM552" s="685"/>
      <c r="AN552" s="685"/>
      <c r="AO552" s="685"/>
      <c r="AP552" s="685"/>
      <c r="AQ552" s="685"/>
      <c r="AR552" s="685"/>
      <c r="AS552" s="685"/>
      <c r="AT552" s="685"/>
      <c r="AU552" s="685"/>
      <c r="AV552" s="685"/>
      <c r="AW552" s="685"/>
      <c r="AX552" s="685"/>
      <c r="AY552" s="685"/>
      <c r="AZ552" s="685"/>
      <c r="BA552" s="685"/>
      <c r="BB552" s="685"/>
      <c r="BC552" s="685"/>
      <c r="BD552" s="685"/>
    </row>
    <row r="553" spans="1:56">
      <c r="A553" s="685"/>
      <c r="B553" s="1115"/>
      <c r="C553" s="1168"/>
      <c r="D553" s="1168"/>
      <c r="E553" s="1168"/>
      <c r="F553" s="1168"/>
      <c r="G553" s="1168"/>
      <c r="H553" s="1168"/>
      <c r="I553" s="1168"/>
      <c r="J553" s="1168"/>
      <c r="K553" s="1168"/>
      <c r="L553" s="1168"/>
      <c r="M553" s="1168"/>
      <c r="N553" s="1168"/>
      <c r="O553" s="1168"/>
      <c r="P553" s="1168"/>
      <c r="Q553" s="1168"/>
      <c r="R553" s="1168"/>
      <c r="S553" s="1168"/>
      <c r="T553" s="1168"/>
      <c r="U553" s="1168"/>
      <c r="V553" s="1168"/>
      <c r="W553" s="1168"/>
      <c r="X553" s="1168"/>
      <c r="Y553" s="1168"/>
      <c r="Z553" s="1168"/>
      <c r="AA553" s="1168"/>
      <c r="AB553" s="1168"/>
      <c r="AC553" s="1168"/>
      <c r="AD553" s="1168"/>
      <c r="AE553" s="1168"/>
      <c r="AF553" s="1168"/>
      <c r="AG553" s="1168"/>
      <c r="AH553" s="1168"/>
      <c r="AI553" s="685"/>
      <c r="AJ553" s="685"/>
      <c r="AK553" s="685"/>
      <c r="AL553" s="685"/>
      <c r="AM553" s="685"/>
      <c r="AN553" s="685"/>
      <c r="AO553" s="685"/>
      <c r="AP553" s="685"/>
      <c r="AQ553" s="685"/>
      <c r="AR553" s="685"/>
      <c r="AS553" s="685"/>
      <c r="AT553" s="685"/>
      <c r="AU553" s="685"/>
      <c r="AV553" s="685"/>
      <c r="AW553" s="685"/>
      <c r="AX553" s="685"/>
      <c r="AY553" s="685"/>
      <c r="AZ553" s="685"/>
      <c r="BA553" s="685"/>
      <c r="BB553" s="685"/>
      <c r="BC553" s="685"/>
      <c r="BD553" s="685"/>
    </row>
    <row r="554" spans="1:56">
      <c r="A554" s="685"/>
      <c r="B554" s="1203" t="s">
        <v>430</v>
      </c>
      <c r="C554" s="1204"/>
      <c r="D554" s="1204"/>
      <c r="E554" s="1204">
        <f>E540/117</f>
        <v>0</v>
      </c>
      <c r="F554" s="1204">
        <f>F540/117</f>
        <v>0</v>
      </c>
      <c r="G554" s="1204">
        <f>G556+G555</f>
        <v>3037.8871794871793</v>
      </c>
      <c r="H554" s="1204">
        <f>H556+H555</f>
        <v>3041.255555555555</v>
      </c>
      <c r="I554" s="1204">
        <f>I555+I556</f>
        <v>3047.5837606837604</v>
      </c>
      <c r="J554" s="1204">
        <f t="shared" ref="J554:V554" si="383">J540/117</f>
        <v>3097.8153846153841</v>
      </c>
      <c r="K554" s="1204">
        <f t="shared" si="383"/>
        <v>3125.8880341880345</v>
      </c>
      <c r="L554" s="1204">
        <f t="shared" si="383"/>
        <v>3137.3564102564105</v>
      </c>
      <c r="M554" s="1204">
        <f t="shared" si="383"/>
        <v>3159.1769230769232</v>
      </c>
      <c r="N554" s="1204">
        <f t="shared" si="383"/>
        <v>3097.6965811965811</v>
      </c>
      <c r="O554" s="1204">
        <f t="shared" si="383"/>
        <v>3097.6965811965811</v>
      </c>
      <c r="P554" s="1204">
        <f t="shared" si="383"/>
        <v>3097.6965811965811</v>
      </c>
      <c r="Q554" s="1204">
        <f t="shared" si="383"/>
        <v>3053.9085470085465</v>
      </c>
      <c r="R554" s="1204">
        <f t="shared" si="383"/>
        <v>3053.9085470085465</v>
      </c>
      <c r="S554" s="1204">
        <f t="shared" si="383"/>
        <v>3053.9085470085465</v>
      </c>
      <c r="T554" s="1204">
        <f t="shared" si="383"/>
        <v>3053.9085470085465</v>
      </c>
      <c r="U554" s="1204">
        <f t="shared" si="383"/>
        <v>3053.9085470085465</v>
      </c>
      <c r="V554" s="2082">
        <f t="shared" si="383"/>
        <v>2938.7974358974361</v>
      </c>
      <c r="W554" s="2082">
        <f t="shared" ref="W554:AH554" si="384">W540/117</f>
        <v>2911.2974358974357</v>
      </c>
      <c r="X554" s="2082">
        <f t="shared" si="384"/>
        <v>2911.2974358974357</v>
      </c>
      <c r="Y554" s="2082">
        <f t="shared" si="384"/>
        <v>2911.2974358974357</v>
      </c>
      <c r="Z554" s="2082">
        <f t="shared" si="384"/>
        <v>3554.5282051282056</v>
      </c>
      <c r="AA554" s="2082">
        <f t="shared" si="384"/>
        <v>3554.5282051282056</v>
      </c>
      <c r="AB554" s="2082">
        <f t="shared" si="384"/>
        <v>3554.5282051282056</v>
      </c>
      <c r="AC554" s="2082">
        <f t="shared" si="384"/>
        <v>3554.5282051282056</v>
      </c>
      <c r="AD554" s="2082">
        <f t="shared" si="384"/>
        <v>3554.5282051282056</v>
      </c>
      <c r="AE554" s="2082">
        <f t="shared" si="384"/>
        <v>3554.5282051282056</v>
      </c>
      <c r="AF554" s="2082">
        <f t="shared" si="384"/>
        <v>3554.5282051282056</v>
      </c>
      <c r="AG554" s="2082">
        <f t="shared" si="384"/>
        <v>3554.5282051282056</v>
      </c>
      <c r="AH554" s="2082">
        <f t="shared" si="384"/>
        <v>3554.5282051282056</v>
      </c>
      <c r="AI554" s="685"/>
      <c r="AJ554" s="685"/>
      <c r="AK554" s="685"/>
      <c r="AL554" s="685"/>
      <c r="AM554" s="685"/>
      <c r="AN554" s="685"/>
      <c r="AO554" s="685"/>
      <c r="AP554" s="685"/>
      <c r="AQ554" s="685"/>
      <c r="AR554" s="685"/>
      <c r="AS554" s="685"/>
      <c r="AT554" s="685"/>
      <c r="AU554" s="685"/>
      <c r="AV554" s="685"/>
      <c r="AW554" s="685"/>
      <c r="AX554" s="685"/>
      <c r="AY554" s="685"/>
      <c r="AZ554" s="685"/>
      <c r="BA554" s="685"/>
      <c r="BB554" s="685"/>
      <c r="BC554" s="685"/>
      <c r="BD554" s="685"/>
    </row>
    <row r="555" spans="1:56">
      <c r="A555" s="685"/>
      <c r="B555" s="1205" t="s">
        <v>431</v>
      </c>
      <c r="C555" s="1130"/>
      <c r="D555" s="1130"/>
      <c r="E555" s="1130"/>
      <c r="F555" s="1130"/>
      <c r="G555" s="1130">
        <f>H555-13.3</f>
        <v>231.10940170940131</v>
      </c>
      <c r="H555" s="1130">
        <f>I555-25.2</f>
        <v>244.40940170940132</v>
      </c>
      <c r="I555" s="1130">
        <f>J555-0.2</f>
        <v>269.60940170940131</v>
      </c>
      <c r="J555" s="1130">
        <f t="shared" ref="J555:AH555" si="385">J554-J556</f>
        <v>269.8094017094013</v>
      </c>
      <c r="K555" s="1130">
        <f t="shared" si="385"/>
        <v>269.80940170940175</v>
      </c>
      <c r="L555" s="1130">
        <f t="shared" si="385"/>
        <v>269.80940170940175</v>
      </c>
      <c r="M555" s="1130">
        <f t="shared" si="385"/>
        <v>269.80940170940175</v>
      </c>
      <c r="N555" s="1130">
        <f t="shared" si="385"/>
        <v>204.79914529914504</v>
      </c>
      <c r="O555" s="1130">
        <f t="shared" si="385"/>
        <v>204.79914529914504</v>
      </c>
      <c r="P555" s="1130">
        <f t="shared" si="385"/>
        <v>204.79914529914504</v>
      </c>
      <c r="Q555" s="1130">
        <f t="shared" si="385"/>
        <v>162.20683760683733</v>
      </c>
      <c r="R555" s="1130">
        <f t="shared" si="385"/>
        <v>196.39487179487151</v>
      </c>
      <c r="S555" s="1130">
        <f t="shared" si="385"/>
        <v>186.99316239316204</v>
      </c>
      <c r="T555" s="1130">
        <f t="shared" si="385"/>
        <v>186.99316239316204</v>
      </c>
      <c r="U555" s="1130">
        <f t="shared" si="385"/>
        <v>186.99316239316204</v>
      </c>
      <c r="V555" s="1130">
        <f t="shared" ref="V555" si="386">V554-V556</f>
        <v>169.76752136752157</v>
      </c>
      <c r="W555" s="1130">
        <f t="shared" si="385"/>
        <v>215.12820512820508</v>
      </c>
      <c r="X555" s="1130">
        <f t="shared" si="385"/>
        <v>252.19658119658106</v>
      </c>
      <c r="Y555" s="1130">
        <f t="shared" si="385"/>
        <v>252.19658119658106</v>
      </c>
      <c r="Z555" s="1130">
        <f t="shared" si="385"/>
        <v>252.19658119658197</v>
      </c>
      <c r="AA555" s="1130">
        <f t="shared" si="385"/>
        <v>252.19658119658197</v>
      </c>
      <c r="AB555" s="1130">
        <f t="shared" si="385"/>
        <v>252.19658119658197</v>
      </c>
      <c r="AC555" s="1130">
        <f t="shared" si="385"/>
        <v>252.19658119658197</v>
      </c>
      <c r="AD555" s="1130">
        <f t="shared" si="385"/>
        <v>252.19658119658197</v>
      </c>
      <c r="AE555" s="1130">
        <f t="shared" si="385"/>
        <v>252.19658119658197</v>
      </c>
      <c r="AF555" s="1130">
        <f t="shared" si="385"/>
        <v>252.19658119658197</v>
      </c>
      <c r="AG555" s="1130">
        <f t="shared" si="385"/>
        <v>252.19658119658197</v>
      </c>
      <c r="AH555" s="1130">
        <f t="shared" si="385"/>
        <v>252.19658119658197</v>
      </c>
      <c r="AI555" s="685"/>
      <c r="AJ555" s="685"/>
      <c r="AK555" s="685"/>
      <c r="AL555" s="685"/>
      <c r="AM555" s="685"/>
      <c r="AN555" s="685"/>
      <c r="AO555" s="685"/>
      <c r="AP555" s="685"/>
      <c r="AQ555" s="685"/>
      <c r="AR555" s="685"/>
      <c r="AS555" s="685"/>
      <c r="AT555" s="685"/>
      <c r="AU555" s="685"/>
      <c r="AV555" s="685"/>
      <c r="AW555" s="685"/>
      <c r="AX555" s="685"/>
      <c r="AY555" s="685"/>
      <c r="AZ555" s="685"/>
      <c r="BA555" s="685"/>
      <c r="BB555" s="685"/>
      <c r="BC555" s="685"/>
      <c r="BD555" s="685"/>
    </row>
    <row r="556" spans="1:56">
      <c r="A556" s="685"/>
      <c r="B556" s="2078" t="s">
        <v>432</v>
      </c>
      <c r="C556" s="2079"/>
      <c r="D556" s="2079"/>
      <c r="E556" s="2079">
        <f t="shared" ref="E556:U556" si="387">E546/117</f>
        <v>2887.0256410256411</v>
      </c>
      <c r="F556" s="2079">
        <f t="shared" si="387"/>
        <v>2820.17094017094</v>
      </c>
      <c r="G556" s="2079">
        <f t="shared" si="387"/>
        <v>2806.7777777777778</v>
      </c>
      <c r="H556" s="2079">
        <f t="shared" si="387"/>
        <v>2796.8461538461538</v>
      </c>
      <c r="I556" s="2079">
        <f t="shared" si="387"/>
        <v>2777.9743589743589</v>
      </c>
      <c r="J556" s="2079">
        <f t="shared" si="387"/>
        <v>2828.0059829059828</v>
      </c>
      <c r="K556" s="2079">
        <f t="shared" si="387"/>
        <v>2856.0786324786327</v>
      </c>
      <c r="L556" s="2079">
        <f t="shared" si="387"/>
        <v>2867.5470085470088</v>
      </c>
      <c r="M556" s="2079">
        <f t="shared" si="387"/>
        <v>2889.3675213675215</v>
      </c>
      <c r="N556" s="2079">
        <f t="shared" si="387"/>
        <v>2892.897435897436</v>
      </c>
      <c r="O556" s="2079">
        <f t="shared" si="387"/>
        <v>2892.897435897436</v>
      </c>
      <c r="P556" s="2079">
        <f t="shared" si="387"/>
        <v>2892.897435897436</v>
      </c>
      <c r="Q556" s="2079">
        <f t="shared" si="387"/>
        <v>2891.7017094017092</v>
      </c>
      <c r="R556" s="2079">
        <f t="shared" si="387"/>
        <v>2857.513675213675</v>
      </c>
      <c r="S556" s="2079">
        <f t="shared" si="387"/>
        <v>2866.9153846153845</v>
      </c>
      <c r="T556" s="2079">
        <f t="shared" si="387"/>
        <v>2866.9153846153845</v>
      </c>
      <c r="U556" s="2079">
        <f t="shared" si="387"/>
        <v>2866.9153846153845</v>
      </c>
      <c r="V556" s="2079">
        <f t="shared" ref="V556:AH556" si="388">V546/117</f>
        <v>2769.0299145299145</v>
      </c>
      <c r="W556" s="2079">
        <f t="shared" si="388"/>
        <v>2696.1692307692306</v>
      </c>
      <c r="X556" s="2079">
        <f t="shared" si="388"/>
        <v>2659.1008547008546</v>
      </c>
      <c r="Y556" s="2079">
        <f t="shared" si="388"/>
        <v>2659.1008547008546</v>
      </c>
      <c r="Z556" s="2079">
        <f t="shared" si="388"/>
        <v>3302.3316239316237</v>
      </c>
      <c r="AA556" s="2079">
        <f t="shared" si="388"/>
        <v>3302.3316239316237</v>
      </c>
      <c r="AB556" s="2079">
        <f t="shared" si="388"/>
        <v>3302.3316239316237</v>
      </c>
      <c r="AC556" s="2079">
        <f t="shared" si="388"/>
        <v>3302.3316239316237</v>
      </c>
      <c r="AD556" s="2079">
        <f t="shared" si="388"/>
        <v>3302.3316239316237</v>
      </c>
      <c r="AE556" s="2079">
        <f t="shared" si="388"/>
        <v>3302.3316239316237</v>
      </c>
      <c r="AF556" s="2079">
        <f t="shared" si="388"/>
        <v>3302.3316239316237</v>
      </c>
      <c r="AG556" s="2079">
        <f t="shared" si="388"/>
        <v>3302.3316239316237</v>
      </c>
      <c r="AH556" s="2079">
        <f t="shared" si="388"/>
        <v>3302.3316239316237</v>
      </c>
      <c r="AI556" s="685"/>
      <c r="AJ556" s="685"/>
      <c r="AK556" s="685"/>
      <c r="AL556" s="685"/>
      <c r="AM556" s="685"/>
      <c r="AN556" s="685"/>
      <c r="AO556" s="685"/>
      <c r="AP556" s="685"/>
      <c r="AQ556" s="685"/>
      <c r="AR556" s="685"/>
      <c r="AS556" s="685"/>
      <c r="AT556" s="685"/>
      <c r="AU556" s="685"/>
      <c r="AV556" s="685"/>
      <c r="AW556" s="685"/>
      <c r="AX556" s="685"/>
      <c r="AY556" s="685"/>
      <c r="AZ556" s="685"/>
      <c r="BA556" s="685"/>
      <c r="BB556" s="685"/>
      <c r="BC556" s="685"/>
      <c r="BD556" s="685"/>
    </row>
    <row r="557" spans="1:56">
      <c r="A557" s="685"/>
      <c r="B557" s="1115"/>
      <c r="C557" s="1168"/>
      <c r="D557" s="1168"/>
      <c r="E557" s="1168"/>
      <c r="F557" s="1168"/>
      <c r="G557" s="1168"/>
      <c r="H557" s="1168"/>
      <c r="I557" s="1168"/>
      <c r="J557" s="1164"/>
      <c r="K557" s="1168"/>
      <c r="L557" s="1168"/>
      <c r="M557" s="1168"/>
      <c r="N557" s="1168"/>
      <c r="O557" s="1168"/>
      <c r="P557" s="1168"/>
      <c r="Q557" s="1168"/>
      <c r="R557" s="1168"/>
      <c r="S557" s="1168"/>
      <c r="T557" s="1168"/>
      <c r="U557" s="1168"/>
      <c r="V557" s="1168"/>
      <c r="W557" s="1168"/>
      <c r="X557" s="2075"/>
      <c r="Y557" s="1168"/>
      <c r="Z557" s="2075">
        <f>Analysis!C3485</f>
        <v>3302.3373514529912</v>
      </c>
      <c r="AA557" s="1168"/>
      <c r="AB557" s="1168"/>
      <c r="AC557" s="1168"/>
      <c r="AD557" s="1168"/>
      <c r="AE557" s="1168"/>
      <c r="AF557" s="1168"/>
      <c r="AG557" s="1168"/>
      <c r="AH557" s="1168"/>
      <c r="AI557" s="685"/>
      <c r="AJ557" s="685"/>
      <c r="AK557" s="685"/>
      <c r="AL557" s="685"/>
      <c r="AM557" s="685"/>
      <c r="AN557" s="685"/>
      <c r="AO557" s="685"/>
      <c r="AP557" s="685"/>
      <c r="AQ557" s="685"/>
      <c r="AR557" s="685"/>
      <c r="AS557" s="685"/>
      <c r="AT557" s="685"/>
      <c r="AU557" s="685"/>
      <c r="AV557" s="685"/>
      <c r="AW557" s="685"/>
      <c r="AX557" s="685"/>
      <c r="AY557" s="685"/>
      <c r="AZ557" s="685"/>
      <c r="BA557" s="685"/>
      <c r="BB557" s="685"/>
      <c r="BC557" s="685"/>
      <c r="BD557" s="685"/>
    </row>
    <row r="558" spans="1:56">
      <c r="A558" s="685"/>
      <c r="B558" s="1115" t="s">
        <v>433</v>
      </c>
      <c r="C558" s="1168"/>
      <c r="D558" s="1168"/>
      <c r="E558" s="1168"/>
      <c r="F558" s="1168"/>
      <c r="G558" s="1168"/>
      <c r="H558" s="1168"/>
      <c r="I558" s="1168"/>
      <c r="J558" s="1168">
        <f t="shared" ref="J558:AC558" si="389">0.456*J512+0.027*J519+0.028*J526+0.028*J533</f>
        <v>57409.265500000009</v>
      </c>
      <c r="K558" s="1168">
        <f t="shared" si="389"/>
        <v>57930.2232</v>
      </c>
      <c r="L558" s="1168">
        <f t="shared" si="389"/>
        <v>58217.907000000007</v>
      </c>
      <c r="M558" s="1168">
        <f t="shared" si="389"/>
        <v>58648.072999999997</v>
      </c>
      <c r="N558" s="1168">
        <f t="shared" si="389"/>
        <v>58818.844000000005</v>
      </c>
      <c r="O558" s="1168">
        <f t="shared" si="389"/>
        <v>58818.844000000005</v>
      </c>
      <c r="P558" s="1168">
        <f t="shared" si="389"/>
        <v>58818.844000000005</v>
      </c>
      <c r="Q558" s="1168">
        <f t="shared" si="389"/>
        <v>59156.780300000006</v>
      </c>
      <c r="R558" s="1168">
        <f t="shared" si="389"/>
        <v>59044.780300000006</v>
      </c>
      <c r="S558" s="1168">
        <f t="shared" si="389"/>
        <v>59075.580300000009</v>
      </c>
      <c r="T558" s="1168">
        <f t="shared" si="389"/>
        <v>59075.580300000009</v>
      </c>
      <c r="U558" s="1168">
        <f t="shared" si="389"/>
        <v>59075.580300000009</v>
      </c>
      <c r="V558" s="1168">
        <f t="shared" si="389"/>
        <v>60633.097900000001</v>
      </c>
      <c r="W558" s="1168">
        <f t="shared" si="389"/>
        <v>60249.405799999993</v>
      </c>
      <c r="X558" s="1168">
        <f t="shared" si="389"/>
        <v>60249.405799999993</v>
      </c>
      <c r="Y558" s="1168">
        <f t="shared" si="389"/>
        <v>60249.405799999993</v>
      </c>
      <c r="Z558" s="1168">
        <f t="shared" si="389"/>
        <v>69225.146800000017</v>
      </c>
      <c r="AA558" s="1168">
        <f t="shared" si="389"/>
        <v>69225.146800000017</v>
      </c>
      <c r="AB558" s="1168">
        <f t="shared" si="389"/>
        <v>69225.146800000017</v>
      </c>
      <c r="AC558" s="1168">
        <f t="shared" si="389"/>
        <v>69225.146800000017</v>
      </c>
      <c r="AD558" s="1168">
        <f>0.456*AD512+0.027*AD519+0.028*AD526+0.028*AD533</f>
        <v>69225.146800000017</v>
      </c>
      <c r="AE558" s="1168">
        <f>0.456*AE512+0.027*AE519+0.028*AE526+0.028*AE533</f>
        <v>69225.146800000017</v>
      </c>
      <c r="AF558" s="1168">
        <f>0.456*AF512+0.027*AF519+0.028*AF526+0.028*AF533</f>
        <v>69225.146800000017</v>
      </c>
      <c r="AG558" s="1168">
        <f>0.456*AG512+0.027*AG519+0.028*AG526+0.028*AG533</f>
        <v>69225.146800000017</v>
      </c>
      <c r="AH558" s="1168">
        <f>0.456*AH512+0.027*AH519+0.028*AH526+0.028*AH533</f>
        <v>69225.146800000017</v>
      </c>
      <c r="AI558" s="685"/>
      <c r="AJ558" s="685"/>
      <c r="AK558" s="685"/>
      <c r="AL558" s="685"/>
      <c r="AM558" s="685"/>
      <c r="AN558" s="685"/>
      <c r="AO558" s="685"/>
      <c r="AP558" s="685"/>
      <c r="AQ558" s="685"/>
      <c r="AR558" s="685"/>
      <c r="AS558" s="685"/>
      <c r="AT558" s="685"/>
      <c r="AU558" s="685"/>
      <c r="AV558" s="685"/>
      <c r="AW558" s="685"/>
      <c r="AX558" s="685"/>
      <c r="AY558" s="685"/>
      <c r="AZ558" s="685"/>
      <c r="BA558" s="685"/>
      <c r="BB558" s="685"/>
      <c r="BC558" s="685"/>
      <c r="BD558" s="685"/>
    </row>
    <row r="559" spans="1:56">
      <c r="A559" s="685"/>
      <c r="B559" s="1115" t="s">
        <v>434</v>
      </c>
      <c r="C559" s="1168"/>
      <c r="D559" s="1168"/>
      <c r="E559" s="1168"/>
      <c r="F559" s="1168"/>
      <c r="G559" s="1168"/>
      <c r="H559" s="1168"/>
      <c r="I559" s="1168"/>
      <c r="J559" s="1170">
        <f t="shared" ref="J559:AC559" si="390">J558/J546</f>
        <v>0.17350652221809515</v>
      </c>
      <c r="K559" s="1170">
        <f t="shared" si="390"/>
        <v>0.1733601124247818</v>
      </c>
      <c r="L559" s="1170">
        <f t="shared" si="390"/>
        <v>0.17352425164603597</v>
      </c>
      <c r="M559" s="1170">
        <f t="shared" si="390"/>
        <v>0.17348626558913316</v>
      </c>
      <c r="N559" s="1170">
        <f t="shared" si="390"/>
        <v>0.1737791171421903</v>
      </c>
      <c r="O559" s="1170">
        <f t="shared" si="390"/>
        <v>0.1737791171421903</v>
      </c>
      <c r="P559" s="1170">
        <f t="shared" si="390"/>
        <v>0.1737791171421903</v>
      </c>
      <c r="Q559" s="1170">
        <f t="shared" si="390"/>
        <v>0.17484981427846441</v>
      </c>
      <c r="R559" s="1170">
        <f t="shared" si="390"/>
        <v>0.17660676351535062</v>
      </c>
      <c r="S559" s="1170">
        <f t="shared" si="390"/>
        <v>0.17611942523770302</v>
      </c>
      <c r="T559" s="1170">
        <f t="shared" si="390"/>
        <v>0.17611942523770302</v>
      </c>
      <c r="U559" s="1170">
        <f t="shared" si="390"/>
        <v>0.17611942523770302</v>
      </c>
      <c r="V559" s="1170">
        <f t="shared" si="390"/>
        <v>0.18715276540119422</v>
      </c>
      <c r="W559" s="1170">
        <f t="shared" si="390"/>
        <v>0.19099401493350171</v>
      </c>
      <c r="X559" s="1170">
        <f t="shared" si="390"/>
        <v>0.19365650814426055</v>
      </c>
      <c r="Y559" s="1170">
        <f t="shared" si="390"/>
        <v>0.19365650814426055</v>
      </c>
      <c r="Z559" s="1170">
        <f t="shared" si="390"/>
        <v>0.17916671877523474</v>
      </c>
      <c r="AA559" s="1170">
        <f t="shared" si="390"/>
        <v>0.17916671877523474</v>
      </c>
      <c r="AB559" s="1170">
        <f t="shared" si="390"/>
        <v>0.17916671877523474</v>
      </c>
      <c r="AC559" s="1170">
        <f t="shared" si="390"/>
        <v>0.17916671877523474</v>
      </c>
      <c r="AD559" s="1170">
        <f>AD558/AD546</f>
        <v>0.17916671877523474</v>
      </c>
      <c r="AE559" s="1170">
        <f>AE558/AE546</f>
        <v>0.17916671877523474</v>
      </c>
      <c r="AF559" s="1170">
        <f>AF558/AF546</f>
        <v>0.17916671877523474</v>
      </c>
      <c r="AG559" s="1170">
        <f>AG558/AG546</f>
        <v>0.17916671877523474</v>
      </c>
      <c r="AH559" s="1170">
        <f>AH558/AH546</f>
        <v>0.17916671877523474</v>
      </c>
      <c r="AI559" s="685"/>
      <c r="AJ559" s="685"/>
      <c r="AK559" s="685"/>
      <c r="AL559" s="685"/>
      <c r="AM559" s="685"/>
      <c r="AN559" s="685"/>
      <c r="AO559" s="685"/>
      <c r="AP559" s="685"/>
      <c r="AQ559" s="685"/>
      <c r="AR559" s="685"/>
      <c r="AS559" s="685"/>
      <c r="AT559" s="685"/>
      <c r="AU559" s="685"/>
      <c r="AV559" s="685"/>
      <c r="AW559" s="685"/>
      <c r="AX559" s="685"/>
      <c r="AY559" s="685"/>
      <c r="AZ559" s="685"/>
      <c r="BA559" s="685"/>
      <c r="BB559" s="685"/>
      <c r="BC559" s="685"/>
      <c r="BD559" s="685"/>
    </row>
    <row r="560" spans="1:56">
      <c r="A560" s="685"/>
      <c r="B560" s="1115"/>
      <c r="C560" s="1168"/>
      <c r="D560" s="1168"/>
      <c r="E560" s="1168"/>
      <c r="F560" s="1168"/>
      <c r="G560" s="1168"/>
      <c r="H560" s="1168"/>
      <c r="I560" s="1168"/>
      <c r="J560" s="1164"/>
      <c r="K560" s="1168"/>
      <c r="L560" s="1168"/>
      <c r="M560" s="1168"/>
      <c r="N560" s="1168"/>
      <c r="O560" s="1168"/>
      <c r="P560" s="1168"/>
      <c r="Q560" s="1168"/>
      <c r="R560" s="1168"/>
      <c r="S560" s="1168"/>
      <c r="T560" s="1168"/>
      <c r="U560" s="1168"/>
      <c r="V560" s="1168"/>
      <c r="W560" s="1168"/>
      <c r="X560" s="1168"/>
      <c r="Y560" s="1168"/>
      <c r="Z560" s="1168"/>
      <c r="AA560" s="1168"/>
      <c r="AB560" s="1168"/>
      <c r="AC560" s="1168"/>
      <c r="AD560" s="1168"/>
      <c r="AE560" s="1168"/>
      <c r="AF560" s="1168"/>
      <c r="AG560" s="1168"/>
      <c r="AH560" s="1168"/>
      <c r="AI560" s="685"/>
      <c r="AJ560" s="685"/>
      <c r="AK560" s="685"/>
      <c r="AL560" s="685"/>
      <c r="AM560" s="685"/>
      <c r="AN560" s="685"/>
      <c r="AO560" s="685"/>
      <c r="AP560" s="685"/>
      <c r="AQ560" s="685"/>
      <c r="AR560" s="685"/>
      <c r="AS560" s="685"/>
      <c r="AT560" s="685"/>
      <c r="AU560" s="685"/>
      <c r="AV560" s="685"/>
      <c r="AW560" s="685"/>
      <c r="AX560" s="685"/>
      <c r="AY560" s="685"/>
      <c r="AZ560" s="685"/>
      <c r="BA560" s="685"/>
      <c r="BB560" s="685"/>
      <c r="BC560" s="685"/>
      <c r="BD560" s="685"/>
    </row>
    <row r="561" spans="1:56">
      <c r="A561" s="685"/>
      <c r="B561" s="1113" t="s">
        <v>435</v>
      </c>
      <c r="C561" s="1168"/>
      <c r="D561" s="1168"/>
      <c r="E561" s="1168"/>
      <c r="F561" s="1168"/>
      <c r="G561" s="1168"/>
      <c r="H561" s="1168"/>
      <c r="I561" s="1168"/>
      <c r="J561" s="1164"/>
      <c r="K561" s="1168"/>
      <c r="L561" s="1168"/>
      <c r="M561" s="1168"/>
      <c r="N561" s="1168"/>
      <c r="O561" s="1168"/>
      <c r="P561" s="1168"/>
      <c r="Q561" s="1168"/>
      <c r="R561" s="1168"/>
      <c r="S561" s="1168"/>
      <c r="T561" s="1168"/>
      <c r="U561" s="1168"/>
      <c r="V561" s="1168"/>
      <c r="W561" s="1168"/>
      <c r="X561" s="1168"/>
      <c r="Y561" s="1168"/>
      <c r="Z561" s="1168"/>
      <c r="AA561" s="1168"/>
      <c r="AB561" s="1168"/>
      <c r="AC561" s="1168"/>
      <c r="AD561" s="1168"/>
      <c r="AE561" s="1168"/>
      <c r="AF561" s="1168"/>
      <c r="AG561" s="1168"/>
      <c r="AH561" s="1168"/>
      <c r="AI561" s="685"/>
      <c r="AJ561" s="685"/>
      <c r="AK561" s="685"/>
      <c r="AL561" s="685"/>
      <c r="AM561" s="685"/>
      <c r="AN561" s="685"/>
      <c r="AO561" s="685"/>
      <c r="AP561" s="685"/>
      <c r="AQ561" s="685"/>
      <c r="AR561" s="685"/>
      <c r="AS561" s="685"/>
      <c r="AT561" s="685"/>
      <c r="AU561" s="685"/>
      <c r="AV561" s="685"/>
      <c r="AW561" s="685"/>
      <c r="AX561" s="685"/>
      <c r="AY561" s="685"/>
      <c r="AZ561" s="685"/>
      <c r="BA561" s="685"/>
      <c r="BB561" s="685"/>
      <c r="BC561" s="685"/>
      <c r="BD561" s="685"/>
    </row>
    <row r="562" spans="1:56">
      <c r="A562" s="685"/>
      <c r="B562" s="1115" t="s">
        <v>436</v>
      </c>
      <c r="C562" s="1168"/>
      <c r="D562" s="1168"/>
      <c r="E562" s="1168"/>
      <c r="F562" s="1168"/>
      <c r="G562" s="1168"/>
      <c r="H562" s="1123"/>
      <c r="I562" s="1123"/>
      <c r="J562" s="1123">
        <f t="shared" ref="J562:AC562" si="391">J567*25</f>
        <v>65322.5</v>
      </c>
      <c r="K562" s="1123">
        <f t="shared" si="391"/>
        <v>65322.5</v>
      </c>
      <c r="L562" s="1123">
        <f t="shared" si="391"/>
        <v>65322.5</v>
      </c>
      <c r="M562" s="1123">
        <f t="shared" si="391"/>
        <v>65322.5</v>
      </c>
      <c r="N562" s="1123">
        <f t="shared" si="391"/>
        <v>64347.5</v>
      </c>
      <c r="O562" s="1123">
        <f t="shared" si="391"/>
        <v>64347.5</v>
      </c>
      <c r="P562" s="1123">
        <f t="shared" si="391"/>
        <v>64347.5</v>
      </c>
      <c r="Q562" s="1123">
        <f t="shared" si="391"/>
        <v>63252.5</v>
      </c>
      <c r="R562" s="1123">
        <f t="shared" si="391"/>
        <v>63252.5</v>
      </c>
      <c r="S562" s="1123">
        <f t="shared" si="391"/>
        <v>63252.5</v>
      </c>
      <c r="T562" s="1123">
        <f t="shared" si="391"/>
        <v>63252.5</v>
      </c>
      <c r="U562" s="1123">
        <f t="shared" si="391"/>
        <v>63252.5</v>
      </c>
      <c r="V562" s="1123">
        <f t="shared" si="391"/>
        <v>63252.5</v>
      </c>
      <c r="W562" s="1123">
        <f t="shared" si="391"/>
        <v>63252.5</v>
      </c>
      <c r="X562" s="1123">
        <f t="shared" si="391"/>
        <v>63252.5</v>
      </c>
      <c r="Y562" s="1123">
        <f t="shared" si="391"/>
        <v>63252.5</v>
      </c>
      <c r="Z562" s="1123">
        <f t="shared" si="391"/>
        <v>63252.5</v>
      </c>
      <c r="AA562" s="1123">
        <f t="shared" si="391"/>
        <v>63252.5</v>
      </c>
      <c r="AB562" s="1123">
        <f t="shared" si="391"/>
        <v>63252.5</v>
      </c>
      <c r="AC562" s="1123">
        <f t="shared" si="391"/>
        <v>63252.5</v>
      </c>
      <c r="AD562" s="1123">
        <f>AD567*25</f>
        <v>63252.5</v>
      </c>
      <c r="AE562" s="1123">
        <f>AE567*25</f>
        <v>63252.5</v>
      </c>
      <c r="AF562" s="1123">
        <f>AF567*25</f>
        <v>63252.5</v>
      </c>
      <c r="AG562" s="1123">
        <f>AG567*25</f>
        <v>63252.5</v>
      </c>
      <c r="AH562" s="1123">
        <f>AH567*25</f>
        <v>63252.5</v>
      </c>
      <c r="AI562" s="685"/>
      <c r="AJ562" s="685"/>
      <c r="AK562" s="685"/>
      <c r="AL562" s="685"/>
      <c r="AM562" s="685"/>
      <c r="AN562" s="685"/>
      <c r="AO562" s="685"/>
      <c r="AP562" s="685"/>
      <c r="AQ562" s="685"/>
      <c r="AR562" s="685"/>
      <c r="AS562" s="685"/>
      <c r="AT562" s="685"/>
      <c r="AU562" s="685"/>
      <c r="AV562" s="685"/>
      <c r="AW562" s="685"/>
      <c r="AX562" s="685"/>
      <c r="AY562" s="685"/>
      <c r="AZ562" s="685"/>
      <c r="BA562" s="685"/>
      <c r="BB562" s="685"/>
      <c r="BC562" s="685"/>
      <c r="BD562" s="685"/>
    </row>
    <row r="563" spans="1:56">
      <c r="A563" s="685"/>
      <c r="B563" s="1115" t="s">
        <v>437</v>
      </c>
      <c r="C563" s="1168"/>
      <c r="D563" s="1168"/>
      <c r="E563" s="1168"/>
      <c r="F563" s="1168"/>
      <c r="G563" s="1168"/>
      <c r="H563" s="1123"/>
      <c r="I563" s="1123"/>
      <c r="J563" s="1123">
        <f t="shared" ref="J563:AC563" si="392">J567*22</f>
        <v>57483.8</v>
      </c>
      <c r="K563" s="1123">
        <f t="shared" si="392"/>
        <v>57483.8</v>
      </c>
      <c r="L563" s="1123">
        <f t="shared" si="392"/>
        <v>57483.8</v>
      </c>
      <c r="M563" s="1123">
        <f t="shared" si="392"/>
        <v>57483.8</v>
      </c>
      <c r="N563" s="1123">
        <f t="shared" si="392"/>
        <v>56625.8</v>
      </c>
      <c r="O563" s="1123">
        <f t="shared" si="392"/>
        <v>56625.8</v>
      </c>
      <c r="P563" s="1123">
        <f t="shared" si="392"/>
        <v>56625.8</v>
      </c>
      <c r="Q563" s="1123">
        <f t="shared" si="392"/>
        <v>55662.2</v>
      </c>
      <c r="R563" s="1123">
        <f t="shared" si="392"/>
        <v>55662.2</v>
      </c>
      <c r="S563" s="1123">
        <f t="shared" si="392"/>
        <v>55662.2</v>
      </c>
      <c r="T563" s="1123">
        <f t="shared" si="392"/>
        <v>55662.2</v>
      </c>
      <c r="U563" s="1123">
        <f t="shared" si="392"/>
        <v>55662.2</v>
      </c>
      <c r="V563" s="1123">
        <f t="shared" si="392"/>
        <v>55662.2</v>
      </c>
      <c r="W563" s="1123">
        <f t="shared" si="392"/>
        <v>55662.2</v>
      </c>
      <c r="X563" s="1123">
        <f t="shared" si="392"/>
        <v>55662.2</v>
      </c>
      <c r="Y563" s="1123">
        <f t="shared" si="392"/>
        <v>55662.2</v>
      </c>
      <c r="Z563" s="1123">
        <f t="shared" si="392"/>
        <v>55662.2</v>
      </c>
      <c r="AA563" s="1123">
        <f t="shared" si="392"/>
        <v>55662.2</v>
      </c>
      <c r="AB563" s="1123">
        <f t="shared" si="392"/>
        <v>55662.2</v>
      </c>
      <c r="AC563" s="1123">
        <f t="shared" si="392"/>
        <v>55662.2</v>
      </c>
      <c r="AD563" s="1123">
        <f>AD567*22</f>
        <v>55662.2</v>
      </c>
      <c r="AE563" s="1123">
        <f>AE567*22</f>
        <v>55662.2</v>
      </c>
      <c r="AF563" s="1123">
        <f>AF567*22</f>
        <v>55662.2</v>
      </c>
      <c r="AG563" s="1123">
        <f>AG567*22</f>
        <v>55662.2</v>
      </c>
      <c r="AH563" s="1123">
        <f>AH567*22</f>
        <v>55662.2</v>
      </c>
      <c r="AI563" s="685"/>
      <c r="AJ563" s="685"/>
      <c r="AK563" s="685"/>
      <c r="AL563" s="685"/>
      <c r="AM563" s="685"/>
      <c r="AN563" s="685"/>
      <c r="AO563" s="685"/>
      <c r="AP563" s="685"/>
      <c r="AQ563" s="685"/>
      <c r="AR563" s="685"/>
      <c r="AS563" s="685"/>
      <c r="AT563" s="685"/>
      <c r="AU563" s="685"/>
      <c r="AV563" s="685"/>
      <c r="AW563" s="685"/>
      <c r="AX563" s="685"/>
      <c r="AY563" s="685"/>
      <c r="AZ563" s="685"/>
      <c r="BA563" s="685"/>
      <c r="BB563" s="685"/>
      <c r="BC563" s="685"/>
      <c r="BD563" s="685"/>
    </row>
    <row r="564" spans="1:56">
      <c r="A564" s="685"/>
      <c r="B564" s="1115" t="s">
        <v>438</v>
      </c>
      <c r="C564" s="1168"/>
      <c r="D564" s="1168"/>
      <c r="E564" s="1168"/>
      <c r="F564" s="1168"/>
      <c r="G564" s="1168"/>
      <c r="H564" s="1123"/>
      <c r="I564" s="1123"/>
      <c r="J564" s="1123">
        <f t="shared" ref="J564:AC564" si="393">J567*35</f>
        <v>91451.5</v>
      </c>
      <c r="K564" s="1123">
        <f t="shared" si="393"/>
        <v>91451.5</v>
      </c>
      <c r="L564" s="1123">
        <f t="shared" si="393"/>
        <v>91451.5</v>
      </c>
      <c r="M564" s="1123">
        <f t="shared" si="393"/>
        <v>91451.5</v>
      </c>
      <c r="N564" s="1123">
        <f t="shared" si="393"/>
        <v>90086.5</v>
      </c>
      <c r="O564" s="1123">
        <f t="shared" si="393"/>
        <v>90086.5</v>
      </c>
      <c r="P564" s="1123">
        <f t="shared" si="393"/>
        <v>90086.5</v>
      </c>
      <c r="Q564" s="1123">
        <f t="shared" si="393"/>
        <v>88553.5</v>
      </c>
      <c r="R564" s="1123">
        <f t="shared" si="393"/>
        <v>88553.5</v>
      </c>
      <c r="S564" s="1123">
        <f t="shared" si="393"/>
        <v>88553.5</v>
      </c>
      <c r="T564" s="1123">
        <f t="shared" si="393"/>
        <v>88553.5</v>
      </c>
      <c r="U564" s="1123">
        <f t="shared" si="393"/>
        <v>88553.5</v>
      </c>
      <c r="V564" s="1123">
        <f t="shared" si="393"/>
        <v>88553.5</v>
      </c>
      <c r="W564" s="1123">
        <f t="shared" si="393"/>
        <v>88553.5</v>
      </c>
      <c r="X564" s="1123">
        <f t="shared" si="393"/>
        <v>88553.5</v>
      </c>
      <c r="Y564" s="1123">
        <f t="shared" si="393"/>
        <v>88553.5</v>
      </c>
      <c r="Z564" s="1123">
        <f t="shared" si="393"/>
        <v>88553.5</v>
      </c>
      <c r="AA564" s="1123">
        <f t="shared" si="393"/>
        <v>88553.5</v>
      </c>
      <c r="AB564" s="1123">
        <f t="shared" si="393"/>
        <v>88553.5</v>
      </c>
      <c r="AC564" s="1123">
        <f t="shared" si="393"/>
        <v>88553.5</v>
      </c>
      <c r="AD564" s="1123">
        <f>AD567*35</f>
        <v>88553.5</v>
      </c>
      <c r="AE564" s="1123">
        <f>AE567*35</f>
        <v>88553.5</v>
      </c>
      <c r="AF564" s="1123">
        <f>AF567*35</f>
        <v>88553.5</v>
      </c>
      <c r="AG564" s="1123">
        <f>AG567*35</f>
        <v>88553.5</v>
      </c>
      <c r="AH564" s="1123">
        <f>AH567*35</f>
        <v>88553.5</v>
      </c>
      <c r="AI564" s="685"/>
      <c r="AJ564" s="685"/>
      <c r="AK564" s="685"/>
      <c r="AL564" s="685"/>
      <c r="AM564" s="685"/>
      <c r="AN564" s="685"/>
      <c r="AO564" s="685"/>
      <c r="AP564" s="685"/>
      <c r="AQ564" s="685"/>
      <c r="AR564" s="685"/>
      <c r="AS564" s="685"/>
      <c r="AT564" s="685"/>
      <c r="AU564" s="685"/>
      <c r="AV564" s="685"/>
      <c r="AW564" s="685"/>
      <c r="AX564" s="685"/>
      <c r="AY564" s="685"/>
      <c r="AZ564" s="685"/>
      <c r="BA564" s="685"/>
      <c r="BB564" s="685"/>
      <c r="BC564" s="685"/>
      <c r="BD564" s="685"/>
    </row>
    <row r="565" spans="1:56">
      <c r="A565" s="685"/>
      <c r="B565" s="1161" t="s">
        <v>439</v>
      </c>
      <c r="C565" s="1157"/>
      <c r="D565" s="1157"/>
      <c r="E565" s="1157"/>
      <c r="F565" s="1157"/>
      <c r="G565" s="1157"/>
      <c r="H565" s="1158"/>
      <c r="I565" s="1158"/>
      <c r="J565" s="1158">
        <f t="shared" ref="J565:AC565" si="394">J567*35</f>
        <v>91451.5</v>
      </c>
      <c r="K565" s="1158">
        <f t="shared" si="394"/>
        <v>91451.5</v>
      </c>
      <c r="L565" s="1158">
        <f t="shared" si="394"/>
        <v>91451.5</v>
      </c>
      <c r="M565" s="1158">
        <f t="shared" si="394"/>
        <v>91451.5</v>
      </c>
      <c r="N565" s="1158">
        <f t="shared" si="394"/>
        <v>90086.5</v>
      </c>
      <c r="O565" s="1158">
        <f t="shared" si="394"/>
        <v>90086.5</v>
      </c>
      <c r="P565" s="1158">
        <f t="shared" si="394"/>
        <v>90086.5</v>
      </c>
      <c r="Q565" s="1158">
        <f t="shared" si="394"/>
        <v>88553.5</v>
      </c>
      <c r="R565" s="1158">
        <f t="shared" si="394"/>
        <v>88553.5</v>
      </c>
      <c r="S565" s="1158">
        <f t="shared" si="394"/>
        <v>88553.5</v>
      </c>
      <c r="T565" s="1158">
        <f t="shared" si="394"/>
        <v>88553.5</v>
      </c>
      <c r="U565" s="1158">
        <f t="shared" si="394"/>
        <v>88553.5</v>
      </c>
      <c r="V565" s="1158">
        <f t="shared" si="394"/>
        <v>88553.5</v>
      </c>
      <c r="W565" s="1158">
        <f t="shared" si="394"/>
        <v>88553.5</v>
      </c>
      <c r="X565" s="1158">
        <f t="shared" si="394"/>
        <v>88553.5</v>
      </c>
      <c r="Y565" s="1158">
        <f t="shared" si="394"/>
        <v>88553.5</v>
      </c>
      <c r="Z565" s="1158">
        <f t="shared" si="394"/>
        <v>88553.5</v>
      </c>
      <c r="AA565" s="1158">
        <f t="shared" si="394"/>
        <v>88553.5</v>
      </c>
      <c r="AB565" s="1158">
        <f t="shared" si="394"/>
        <v>88553.5</v>
      </c>
      <c r="AC565" s="1158">
        <f t="shared" si="394"/>
        <v>88553.5</v>
      </c>
      <c r="AD565" s="1158">
        <f>AD567*35</f>
        <v>88553.5</v>
      </c>
      <c r="AE565" s="1158">
        <f>AE567*35</f>
        <v>88553.5</v>
      </c>
      <c r="AF565" s="1158">
        <f>AF567*35</f>
        <v>88553.5</v>
      </c>
      <c r="AG565" s="1158">
        <f>AG567*35</f>
        <v>88553.5</v>
      </c>
      <c r="AH565" s="1158">
        <f>AH567*35</f>
        <v>88553.5</v>
      </c>
      <c r="AI565" s="685"/>
      <c r="AJ565" s="685"/>
      <c r="AK565" s="685"/>
      <c r="AL565" s="685"/>
      <c r="AM565" s="685"/>
      <c r="AN565" s="685"/>
      <c r="AO565" s="685"/>
      <c r="AP565" s="685"/>
      <c r="AQ565" s="685"/>
      <c r="AR565" s="685"/>
      <c r="AS565" s="685"/>
      <c r="AT565" s="685"/>
      <c r="AU565" s="685"/>
      <c r="AV565" s="685"/>
      <c r="AW565" s="685"/>
      <c r="AX565" s="685"/>
      <c r="AY565" s="685"/>
      <c r="AZ565" s="685"/>
      <c r="BA565" s="685"/>
      <c r="BB565" s="685"/>
      <c r="BC565" s="685"/>
      <c r="BD565" s="685"/>
    </row>
    <row r="566" spans="1:56">
      <c r="A566" s="685"/>
      <c r="B566" s="1115" t="s">
        <v>440</v>
      </c>
      <c r="C566" s="1168"/>
      <c r="D566" s="1168"/>
      <c r="E566" s="1168"/>
      <c r="F566" s="1168"/>
      <c r="G566" s="1168"/>
      <c r="H566" s="1123"/>
      <c r="I566" s="1123"/>
      <c r="J566" s="1123">
        <f t="shared" ref="J566:AC566" si="395">SUM(J562:J565)</f>
        <v>305709.3</v>
      </c>
      <c r="K566" s="1123">
        <f t="shared" si="395"/>
        <v>305709.3</v>
      </c>
      <c r="L566" s="1123">
        <f t="shared" si="395"/>
        <v>305709.3</v>
      </c>
      <c r="M566" s="1123">
        <f t="shared" si="395"/>
        <v>305709.3</v>
      </c>
      <c r="N566" s="1123">
        <f t="shared" si="395"/>
        <v>301146.3</v>
      </c>
      <c r="O566" s="1123">
        <f t="shared" si="395"/>
        <v>301146.3</v>
      </c>
      <c r="P566" s="1123">
        <f t="shared" si="395"/>
        <v>301146.3</v>
      </c>
      <c r="Q566" s="1123">
        <f t="shared" si="395"/>
        <v>296021.7</v>
      </c>
      <c r="R566" s="1123">
        <f t="shared" si="395"/>
        <v>296021.7</v>
      </c>
      <c r="S566" s="1123">
        <f t="shared" si="395"/>
        <v>296021.7</v>
      </c>
      <c r="T566" s="1123">
        <f t="shared" si="395"/>
        <v>296021.7</v>
      </c>
      <c r="U566" s="1123">
        <f t="shared" si="395"/>
        <v>296021.7</v>
      </c>
      <c r="V566" s="1123">
        <f t="shared" si="395"/>
        <v>296021.7</v>
      </c>
      <c r="W566" s="1123">
        <f t="shared" si="395"/>
        <v>296021.7</v>
      </c>
      <c r="X566" s="1123">
        <f t="shared" si="395"/>
        <v>296021.7</v>
      </c>
      <c r="Y566" s="1123">
        <f t="shared" si="395"/>
        <v>296021.7</v>
      </c>
      <c r="Z566" s="1123">
        <f t="shared" si="395"/>
        <v>296021.7</v>
      </c>
      <c r="AA566" s="1123">
        <f t="shared" si="395"/>
        <v>296021.7</v>
      </c>
      <c r="AB566" s="1123">
        <f t="shared" si="395"/>
        <v>296021.7</v>
      </c>
      <c r="AC566" s="1123">
        <f t="shared" si="395"/>
        <v>296021.7</v>
      </c>
      <c r="AD566" s="1123">
        <f>SUM(AD562:AD565)</f>
        <v>296021.7</v>
      </c>
      <c r="AE566" s="1123">
        <f>SUM(AE562:AE565)</f>
        <v>296021.7</v>
      </c>
      <c r="AF566" s="1123">
        <f>SUM(AF562:AF565)</f>
        <v>296021.7</v>
      </c>
      <c r="AG566" s="1123">
        <f>SUM(AG562:AG565)</f>
        <v>296021.7</v>
      </c>
      <c r="AH566" s="1123">
        <f>SUM(AH562:AH565)</f>
        <v>296021.7</v>
      </c>
      <c r="AI566" s="685"/>
      <c r="AJ566" s="685"/>
      <c r="AK566" s="685"/>
      <c r="AL566" s="685"/>
      <c r="AM566" s="685"/>
      <c r="AN566" s="685"/>
      <c r="AO566" s="685"/>
      <c r="AP566" s="685"/>
      <c r="AQ566" s="685"/>
      <c r="AR566" s="685"/>
      <c r="AS566" s="685"/>
      <c r="AT566" s="685"/>
      <c r="AU566" s="685"/>
      <c r="AV566" s="685"/>
      <c r="AW566" s="685"/>
      <c r="AX566" s="685"/>
      <c r="AY566" s="685"/>
      <c r="AZ566" s="685"/>
      <c r="BA566" s="685"/>
      <c r="BB566" s="685"/>
      <c r="BC566" s="685"/>
      <c r="BD566" s="685"/>
    </row>
    <row r="567" spans="1:56">
      <c r="A567" s="685"/>
      <c r="B567" s="1115" t="s">
        <v>441</v>
      </c>
      <c r="C567" s="1168"/>
      <c r="D567" s="1168"/>
      <c r="E567" s="1168"/>
      <c r="F567" s="1168"/>
      <c r="G567" s="1168"/>
      <c r="H567" s="1123"/>
      <c r="I567" s="1123"/>
      <c r="J567" s="1174">
        <v>2612.9</v>
      </c>
      <c r="K567" s="1123">
        <f>J567</f>
        <v>2612.9</v>
      </c>
      <c r="L567" s="1123">
        <f>K567</f>
        <v>2612.9</v>
      </c>
      <c r="M567" s="1123">
        <f>L567</f>
        <v>2612.9</v>
      </c>
      <c r="N567" s="1174">
        <v>2573.9</v>
      </c>
      <c r="O567" s="1123">
        <f>N567</f>
        <v>2573.9</v>
      </c>
      <c r="P567" s="1123">
        <f>O567</f>
        <v>2573.9</v>
      </c>
      <c r="Q567" s="1174">
        <v>2530.1</v>
      </c>
      <c r="R567" s="1123">
        <f t="shared" ref="R567:AE567" si="396">Q567</f>
        <v>2530.1</v>
      </c>
      <c r="S567" s="1123">
        <f t="shared" si="396"/>
        <v>2530.1</v>
      </c>
      <c r="T567" s="1123">
        <f t="shared" si="396"/>
        <v>2530.1</v>
      </c>
      <c r="U567" s="1123">
        <f t="shared" si="396"/>
        <v>2530.1</v>
      </c>
      <c r="V567" s="1123">
        <f t="shared" si="396"/>
        <v>2530.1</v>
      </c>
      <c r="W567" s="1123">
        <f t="shared" si="396"/>
        <v>2530.1</v>
      </c>
      <c r="X567" s="1123">
        <f t="shared" si="396"/>
        <v>2530.1</v>
      </c>
      <c r="Y567" s="1123">
        <f t="shared" si="396"/>
        <v>2530.1</v>
      </c>
      <c r="Z567" s="1123">
        <f t="shared" si="396"/>
        <v>2530.1</v>
      </c>
      <c r="AA567" s="1123">
        <f t="shared" si="396"/>
        <v>2530.1</v>
      </c>
      <c r="AB567" s="1123">
        <f t="shared" si="396"/>
        <v>2530.1</v>
      </c>
      <c r="AC567" s="1123">
        <f t="shared" si="396"/>
        <v>2530.1</v>
      </c>
      <c r="AD567" s="1123">
        <f t="shared" si="396"/>
        <v>2530.1</v>
      </c>
      <c r="AE567" s="1123">
        <f t="shared" si="396"/>
        <v>2530.1</v>
      </c>
      <c r="AF567" s="1123">
        <f>AE567</f>
        <v>2530.1</v>
      </c>
      <c r="AG567" s="1123">
        <f>AF567</f>
        <v>2530.1</v>
      </c>
      <c r="AH567" s="1123">
        <f>AG567</f>
        <v>2530.1</v>
      </c>
      <c r="AI567" s="685"/>
      <c r="AJ567" s="685"/>
      <c r="AK567" s="685"/>
      <c r="AL567" s="685"/>
      <c r="AM567" s="685"/>
      <c r="AN567" s="685"/>
      <c r="AO567" s="685"/>
      <c r="AP567" s="685"/>
      <c r="AQ567" s="685"/>
      <c r="AR567" s="685"/>
      <c r="AS567" s="685"/>
      <c r="AT567" s="685"/>
      <c r="AU567" s="685"/>
      <c r="AV567" s="685"/>
      <c r="AW567" s="685"/>
      <c r="AX567" s="685"/>
      <c r="AY567" s="685"/>
      <c r="AZ567" s="685"/>
      <c r="BA567" s="685"/>
      <c r="BB567" s="685"/>
      <c r="BC567" s="685"/>
      <c r="BD567" s="685"/>
    </row>
    <row r="568" spans="1:56">
      <c r="A568" s="685"/>
      <c r="B568" s="1115" t="s">
        <v>442</v>
      </c>
      <c r="C568" s="1168"/>
      <c r="D568" s="1168"/>
      <c r="E568" s="1168"/>
      <c r="F568" s="1168"/>
      <c r="G568" s="1168"/>
      <c r="H568" s="1123"/>
      <c r="I568" s="1123"/>
      <c r="J568" s="1123">
        <f t="shared" ref="J568:AC568" si="397">J540-J566</f>
        <v>56735.099999999977</v>
      </c>
      <c r="K568" s="1123">
        <f t="shared" si="397"/>
        <v>60019.600000000035</v>
      </c>
      <c r="L568" s="1123">
        <f t="shared" si="397"/>
        <v>61361.400000000023</v>
      </c>
      <c r="M568" s="1123">
        <f t="shared" si="397"/>
        <v>63914.400000000023</v>
      </c>
      <c r="N568" s="1123">
        <f t="shared" si="397"/>
        <v>61284.200000000012</v>
      </c>
      <c r="O568" s="1123">
        <f t="shared" si="397"/>
        <v>61284.200000000012</v>
      </c>
      <c r="P568" s="1123">
        <f t="shared" si="397"/>
        <v>61284.200000000012</v>
      </c>
      <c r="Q568" s="1123">
        <f t="shared" si="397"/>
        <v>61285.599999999919</v>
      </c>
      <c r="R568" s="1123">
        <f t="shared" si="397"/>
        <v>61285.599999999919</v>
      </c>
      <c r="S568" s="1123">
        <f t="shared" si="397"/>
        <v>61285.599999999919</v>
      </c>
      <c r="T568" s="1123">
        <f t="shared" si="397"/>
        <v>61285.599999999919</v>
      </c>
      <c r="U568" s="1123">
        <f t="shared" si="397"/>
        <v>61285.599999999919</v>
      </c>
      <c r="V568" s="1123">
        <f t="shared" si="397"/>
        <v>47817.600000000035</v>
      </c>
      <c r="W568" s="1123">
        <f t="shared" si="397"/>
        <v>44600.099999999977</v>
      </c>
      <c r="X568" s="1123">
        <f t="shared" si="397"/>
        <v>44600.099999999977</v>
      </c>
      <c r="Y568" s="1123">
        <f t="shared" si="397"/>
        <v>44600.099999999977</v>
      </c>
      <c r="Z568" s="1123">
        <f t="shared" si="397"/>
        <v>119858.10000000003</v>
      </c>
      <c r="AA568" s="1123">
        <f t="shared" si="397"/>
        <v>119858.10000000003</v>
      </c>
      <c r="AB568" s="1123">
        <f t="shared" si="397"/>
        <v>119858.10000000003</v>
      </c>
      <c r="AC568" s="1123">
        <f t="shared" si="397"/>
        <v>119858.10000000003</v>
      </c>
      <c r="AD568" s="1123">
        <f>AD540-AD566</f>
        <v>119858.10000000003</v>
      </c>
      <c r="AE568" s="1123">
        <f>AE540-AE566</f>
        <v>119858.10000000003</v>
      </c>
      <c r="AF568" s="1123">
        <f>AF540-AF566</f>
        <v>119858.10000000003</v>
      </c>
      <c r="AG568" s="1123">
        <f>AG540-AG566</f>
        <v>119858.10000000003</v>
      </c>
      <c r="AH568" s="1123">
        <f>AH540-AH566</f>
        <v>119858.10000000003</v>
      </c>
      <c r="AI568" s="685"/>
      <c r="AJ568" s="685"/>
      <c r="AK568" s="685"/>
      <c r="AL568" s="685"/>
      <c r="AM568" s="685"/>
      <c r="AN568" s="685"/>
      <c r="AO568" s="685"/>
      <c r="AP568" s="685"/>
      <c r="AQ568" s="685"/>
      <c r="AR568" s="685"/>
      <c r="AS568" s="685"/>
      <c r="AT568" s="685"/>
      <c r="AU568" s="685"/>
      <c r="AV568" s="685"/>
      <c r="AW568" s="685"/>
      <c r="AX568" s="685"/>
      <c r="AY568" s="685"/>
      <c r="AZ568" s="685"/>
      <c r="BA568" s="685"/>
      <c r="BB568" s="685"/>
      <c r="BC568" s="685"/>
      <c r="BD568" s="685"/>
    </row>
    <row r="569" spans="1:56">
      <c r="A569" s="685"/>
      <c r="B569" s="1115" t="s">
        <v>443</v>
      </c>
      <c r="C569" s="1168"/>
      <c r="D569" s="1168"/>
      <c r="E569" s="1168"/>
      <c r="F569" s="1168"/>
      <c r="G569" s="1168"/>
      <c r="H569" s="1123"/>
      <c r="I569" s="1123"/>
      <c r="J569" s="1123">
        <f t="shared" ref="J569:AC569" si="398">J567/5</f>
        <v>522.58000000000004</v>
      </c>
      <c r="K569" s="1123">
        <f t="shared" si="398"/>
        <v>522.58000000000004</v>
      </c>
      <c r="L569" s="1123">
        <f t="shared" si="398"/>
        <v>522.58000000000004</v>
      </c>
      <c r="M569" s="1123">
        <f t="shared" si="398"/>
        <v>522.58000000000004</v>
      </c>
      <c r="N569" s="1123">
        <f t="shared" si="398"/>
        <v>514.78</v>
      </c>
      <c r="O569" s="1123">
        <f t="shared" si="398"/>
        <v>514.78</v>
      </c>
      <c r="P569" s="1123">
        <f t="shared" si="398"/>
        <v>514.78</v>
      </c>
      <c r="Q569" s="1123">
        <f t="shared" si="398"/>
        <v>506.02</v>
      </c>
      <c r="R569" s="1123">
        <f t="shared" si="398"/>
        <v>506.02</v>
      </c>
      <c r="S569" s="1123">
        <f t="shared" si="398"/>
        <v>506.02</v>
      </c>
      <c r="T569" s="1123">
        <f t="shared" si="398"/>
        <v>506.02</v>
      </c>
      <c r="U569" s="1123">
        <f t="shared" si="398"/>
        <v>506.02</v>
      </c>
      <c r="V569" s="1123">
        <f t="shared" si="398"/>
        <v>506.02</v>
      </c>
      <c r="W569" s="1123">
        <f t="shared" si="398"/>
        <v>506.02</v>
      </c>
      <c r="X569" s="1123">
        <f t="shared" si="398"/>
        <v>506.02</v>
      </c>
      <c r="Y569" s="1123">
        <f t="shared" si="398"/>
        <v>506.02</v>
      </c>
      <c r="Z569" s="1123">
        <f t="shared" si="398"/>
        <v>506.02</v>
      </c>
      <c r="AA569" s="1123">
        <f t="shared" si="398"/>
        <v>506.02</v>
      </c>
      <c r="AB569" s="1123">
        <f t="shared" si="398"/>
        <v>506.02</v>
      </c>
      <c r="AC569" s="1123">
        <f t="shared" si="398"/>
        <v>506.02</v>
      </c>
      <c r="AD569" s="1123">
        <f>AD567/5</f>
        <v>506.02</v>
      </c>
      <c r="AE569" s="1123">
        <f>AE567/5</f>
        <v>506.02</v>
      </c>
      <c r="AF569" s="1123">
        <f>AF567/5</f>
        <v>506.02</v>
      </c>
      <c r="AG569" s="1123">
        <f>AG567/5</f>
        <v>506.02</v>
      </c>
      <c r="AH569" s="1123">
        <f>AH567/5</f>
        <v>506.02</v>
      </c>
      <c r="AI569" s="685"/>
      <c r="AJ569" s="685"/>
      <c r="AK569" s="685"/>
      <c r="AL569" s="685"/>
      <c r="AM569" s="685"/>
      <c r="AN569" s="685"/>
      <c r="AO569" s="685"/>
      <c r="AP569" s="685"/>
      <c r="AQ569" s="685"/>
      <c r="AR569" s="685"/>
      <c r="AS569" s="685"/>
      <c r="AT569" s="685"/>
      <c r="AU569" s="685"/>
      <c r="AV569" s="685"/>
      <c r="AW569" s="685"/>
      <c r="AX569" s="685"/>
      <c r="AY569" s="685"/>
      <c r="AZ569" s="685"/>
      <c r="BA569" s="685"/>
      <c r="BB569" s="685"/>
      <c r="BC569" s="685"/>
      <c r="BD569" s="685"/>
    </row>
    <row r="570" spans="1:56">
      <c r="A570" s="685"/>
      <c r="B570" s="1115"/>
      <c r="C570" s="1168"/>
      <c r="D570" s="1168"/>
      <c r="E570" s="1168"/>
      <c r="F570" s="1168"/>
      <c r="G570" s="1168"/>
      <c r="H570" s="1123"/>
      <c r="I570" s="1123"/>
      <c r="J570" s="1123"/>
      <c r="K570" s="1123"/>
      <c r="L570" s="1123"/>
      <c r="M570" s="1123"/>
      <c r="N570" s="1123"/>
      <c r="O570" s="1123"/>
      <c r="P570" s="1123"/>
      <c r="Q570" s="1123"/>
      <c r="R570" s="1123"/>
      <c r="S570" s="1123"/>
      <c r="T570" s="1123"/>
      <c r="U570" s="1123"/>
      <c r="V570" s="1123"/>
      <c r="W570" s="1123"/>
      <c r="X570" s="1123"/>
      <c r="Y570" s="1123"/>
      <c r="Z570" s="1123"/>
      <c r="AA570" s="1123"/>
      <c r="AB570" s="1123"/>
      <c r="AC570" s="1123"/>
      <c r="AD570" s="1123"/>
      <c r="AE570" s="1123"/>
      <c r="AF570" s="1123"/>
      <c r="AG570" s="1123"/>
      <c r="AH570" s="1123"/>
      <c r="AI570" s="685"/>
      <c r="AJ570" s="685"/>
      <c r="AK570" s="685"/>
      <c r="AL570" s="685"/>
      <c r="AM570" s="685"/>
      <c r="AN570" s="685"/>
      <c r="AO570" s="685"/>
      <c r="AP570" s="685"/>
      <c r="AQ570" s="685"/>
      <c r="AR570" s="685"/>
      <c r="AS570" s="685"/>
      <c r="AT570" s="685"/>
      <c r="AU570" s="685"/>
      <c r="AV570" s="685"/>
      <c r="AW570" s="685"/>
      <c r="AX570" s="685"/>
      <c r="AY570" s="685"/>
      <c r="AZ570" s="685"/>
      <c r="BA570" s="685"/>
      <c r="BB570" s="685"/>
      <c r="BC570" s="685"/>
      <c r="BD570" s="685"/>
    </row>
    <row r="571" spans="1:56">
      <c r="A571" s="685"/>
      <c r="B571" s="1203" t="s">
        <v>444</v>
      </c>
      <c r="C571" s="1204"/>
      <c r="D571" s="1204"/>
      <c r="E571" s="1206"/>
      <c r="F571" s="1206"/>
      <c r="G571" s="1206"/>
      <c r="H571" s="1206">
        <f t="shared" ref="H571:AC571" si="399">H554/5</f>
        <v>608.25111111111096</v>
      </c>
      <c r="I571" s="1206">
        <f t="shared" si="399"/>
        <v>609.51675213675207</v>
      </c>
      <c r="J571" s="1206">
        <f t="shared" si="399"/>
        <v>619.56307692307678</v>
      </c>
      <c r="K571" s="1206">
        <f t="shared" si="399"/>
        <v>625.17760683760685</v>
      </c>
      <c r="L571" s="1206">
        <f t="shared" si="399"/>
        <v>627.47128205128206</v>
      </c>
      <c r="M571" s="1206">
        <f t="shared" si="399"/>
        <v>631.83538461538467</v>
      </c>
      <c r="N571" s="1206">
        <f t="shared" si="399"/>
        <v>619.53931623931624</v>
      </c>
      <c r="O571" s="1207">
        <f t="shared" si="399"/>
        <v>619.53931623931624</v>
      </c>
      <c r="P571" s="1206">
        <f t="shared" si="399"/>
        <v>619.53931623931624</v>
      </c>
      <c r="Q571" s="1206">
        <f t="shared" si="399"/>
        <v>610.78170940170935</v>
      </c>
      <c r="R571" s="1206">
        <f t="shared" si="399"/>
        <v>610.78170940170935</v>
      </c>
      <c r="S571" s="1206">
        <f t="shared" si="399"/>
        <v>610.78170940170935</v>
      </c>
      <c r="T571" s="1206">
        <f t="shared" si="399"/>
        <v>610.78170940170935</v>
      </c>
      <c r="U571" s="1206">
        <f t="shared" si="399"/>
        <v>610.78170940170935</v>
      </c>
      <c r="V571" s="1206">
        <f t="shared" si="399"/>
        <v>587.75948717948722</v>
      </c>
      <c r="W571" s="1206">
        <f t="shared" si="399"/>
        <v>582.25948717948711</v>
      </c>
      <c r="X571" s="1206">
        <f t="shared" si="399"/>
        <v>582.25948717948711</v>
      </c>
      <c r="Y571" s="1206">
        <f t="shared" si="399"/>
        <v>582.25948717948711</v>
      </c>
      <c r="Z571" s="1206">
        <f t="shared" si="399"/>
        <v>710.9056410256411</v>
      </c>
      <c r="AA571" s="1206">
        <f t="shared" si="399"/>
        <v>710.9056410256411</v>
      </c>
      <c r="AB571" s="1206">
        <f t="shared" si="399"/>
        <v>710.9056410256411</v>
      </c>
      <c r="AC571" s="1206">
        <f t="shared" si="399"/>
        <v>710.9056410256411</v>
      </c>
      <c r="AD571" s="1206">
        <f>AD554/5</f>
        <v>710.9056410256411</v>
      </c>
      <c r="AE571" s="1206">
        <f>AE554/5</f>
        <v>710.9056410256411</v>
      </c>
      <c r="AF571" s="1206">
        <f>AF554/5</f>
        <v>710.9056410256411</v>
      </c>
      <c r="AG571" s="1206">
        <f>AG554/5</f>
        <v>710.9056410256411</v>
      </c>
      <c r="AH571" s="1208">
        <f>AH554/5</f>
        <v>710.9056410256411</v>
      </c>
      <c r="AI571" s="685"/>
      <c r="AJ571" s="685"/>
      <c r="AK571" s="685"/>
      <c r="AL571" s="685"/>
      <c r="AM571" s="685"/>
      <c r="AN571" s="685"/>
      <c r="AO571" s="685"/>
      <c r="AP571" s="685"/>
      <c r="AQ571" s="685"/>
      <c r="AR571" s="685"/>
      <c r="AS571" s="685"/>
      <c r="AT571" s="685"/>
      <c r="AU571" s="685"/>
      <c r="AV571" s="685"/>
      <c r="AW571" s="685"/>
      <c r="AX571" s="685"/>
      <c r="AY571" s="685"/>
      <c r="AZ571" s="685"/>
      <c r="BA571" s="685"/>
      <c r="BB571" s="685"/>
      <c r="BC571" s="685"/>
      <c r="BD571" s="685"/>
    </row>
    <row r="572" spans="1:56">
      <c r="A572" s="685"/>
      <c r="B572" s="1205" t="s">
        <v>445</v>
      </c>
      <c r="C572" s="1130"/>
      <c r="D572" s="1130"/>
      <c r="E572" s="1123"/>
      <c r="F572" s="1123"/>
      <c r="G572" s="1123"/>
      <c r="H572" s="1123">
        <f>H571-H573</f>
        <v>48.881880341880219</v>
      </c>
      <c r="I572" s="1123">
        <f>I571-I573</f>
        <v>53.921880341880296</v>
      </c>
      <c r="J572" s="1123">
        <f t="shared" ref="J572:W572" si="400">(J540-J546)/117/5</f>
        <v>53.96188034188026</v>
      </c>
      <c r="K572" s="1123">
        <f t="shared" si="400"/>
        <v>53.961880341880359</v>
      </c>
      <c r="L572" s="1123">
        <f t="shared" si="400"/>
        <v>53.961880341880359</v>
      </c>
      <c r="M572" s="1123">
        <f t="shared" si="400"/>
        <v>53.961880341880359</v>
      </c>
      <c r="N572" s="1123">
        <f t="shared" si="400"/>
        <v>40.959829059829062</v>
      </c>
      <c r="O572" s="1123">
        <f t="shared" si="400"/>
        <v>40.959829059829062</v>
      </c>
      <c r="P572" s="1123">
        <f t="shared" si="400"/>
        <v>40.959829059829062</v>
      </c>
      <c r="Q572" s="1123">
        <f t="shared" si="400"/>
        <v>32.44136752136744</v>
      </c>
      <c r="R572" s="1123">
        <f t="shared" si="400"/>
        <v>39.278974358974281</v>
      </c>
      <c r="S572" s="1123">
        <f t="shared" si="400"/>
        <v>37.398632478632393</v>
      </c>
      <c r="T572" s="1123">
        <f t="shared" si="400"/>
        <v>37.398632478632393</v>
      </c>
      <c r="U572" s="1123">
        <f t="shared" si="400"/>
        <v>37.398632478632393</v>
      </c>
      <c r="V572" s="1123">
        <f t="shared" si="400"/>
        <v>33.95350427350435</v>
      </c>
      <c r="W572" s="1123">
        <f t="shared" si="400"/>
        <v>43.025641025641029</v>
      </c>
      <c r="X572" s="1123">
        <f>X571-X573</f>
        <v>50.439316239316213</v>
      </c>
      <c r="Y572" s="1123">
        <f t="shared" ref="Y572:AH572" si="401">(Y540-Y546)/117/5</f>
        <v>50.439316239316241</v>
      </c>
      <c r="Z572" s="1123">
        <f t="shared" si="401"/>
        <v>50.439316239316341</v>
      </c>
      <c r="AA572" s="1123">
        <f t="shared" si="401"/>
        <v>50.439316239316341</v>
      </c>
      <c r="AB572" s="1123">
        <f t="shared" si="401"/>
        <v>50.439316239316341</v>
      </c>
      <c r="AC572" s="1123">
        <f t="shared" si="401"/>
        <v>50.439316239316341</v>
      </c>
      <c r="AD572" s="1123">
        <f t="shared" si="401"/>
        <v>50.439316239316341</v>
      </c>
      <c r="AE572" s="1123">
        <f t="shared" si="401"/>
        <v>50.439316239316341</v>
      </c>
      <c r="AF572" s="1123">
        <f t="shared" si="401"/>
        <v>50.439316239316341</v>
      </c>
      <c r="AG572" s="1123">
        <f t="shared" si="401"/>
        <v>50.439316239316341</v>
      </c>
      <c r="AH572" s="1209">
        <f t="shared" si="401"/>
        <v>50.439316239316341</v>
      </c>
      <c r="AI572" s="685"/>
      <c r="AJ572" s="685"/>
      <c r="AK572" s="685"/>
      <c r="AL572" s="685"/>
      <c r="AM572" s="685"/>
      <c r="AN572" s="685"/>
      <c r="AO572" s="685"/>
      <c r="AP572" s="685"/>
      <c r="AQ572" s="685"/>
      <c r="AR572" s="685"/>
      <c r="AS572" s="685"/>
      <c r="AT572" s="685"/>
      <c r="AU572" s="685"/>
      <c r="AV572" s="685"/>
      <c r="AW572" s="685"/>
      <c r="AX572" s="685"/>
      <c r="AY572" s="685"/>
      <c r="AZ572" s="685"/>
      <c r="BA572" s="685"/>
      <c r="BB572" s="685"/>
      <c r="BC572" s="685"/>
      <c r="BD572" s="685"/>
    </row>
    <row r="573" spans="1:56">
      <c r="A573" s="685"/>
      <c r="B573" s="2078" t="s">
        <v>446</v>
      </c>
      <c r="C573" s="2079"/>
      <c r="D573" s="2079"/>
      <c r="E573" s="2080"/>
      <c r="F573" s="2080"/>
      <c r="G573" s="2080"/>
      <c r="H573" s="2080">
        <f t="shared" ref="H573:AC573" si="402">H556/5</f>
        <v>559.36923076923074</v>
      </c>
      <c r="I573" s="2080">
        <f t="shared" si="402"/>
        <v>555.59487179487178</v>
      </c>
      <c r="J573" s="2080">
        <f t="shared" si="402"/>
        <v>565.60119658119652</v>
      </c>
      <c r="K573" s="2080">
        <f t="shared" si="402"/>
        <v>571.21572649572659</v>
      </c>
      <c r="L573" s="2080">
        <f t="shared" si="402"/>
        <v>573.5094017094018</v>
      </c>
      <c r="M573" s="2080">
        <f t="shared" si="402"/>
        <v>577.8735042735043</v>
      </c>
      <c r="N573" s="2080">
        <f t="shared" si="402"/>
        <v>578.57948717948716</v>
      </c>
      <c r="O573" s="2080">
        <f t="shared" si="402"/>
        <v>578.57948717948716</v>
      </c>
      <c r="P573" s="2080">
        <f t="shared" si="402"/>
        <v>578.57948717948716</v>
      </c>
      <c r="Q573" s="2080">
        <f t="shared" si="402"/>
        <v>578.34034188034184</v>
      </c>
      <c r="R573" s="2080">
        <f t="shared" si="402"/>
        <v>571.50273504273503</v>
      </c>
      <c r="S573" s="2080">
        <f t="shared" si="402"/>
        <v>573.38307692307694</v>
      </c>
      <c r="T573" s="2080">
        <f t="shared" si="402"/>
        <v>573.38307692307694</v>
      </c>
      <c r="U573" s="2080">
        <f t="shared" si="402"/>
        <v>573.38307692307694</v>
      </c>
      <c r="V573" s="2080">
        <f t="shared" si="402"/>
        <v>553.80598290598289</v>
      </c>
      <c r="W573" s="2080">
        <f t="shared" si="402"/>
        <v>539.23384615384612</v>
      </c>
      <c r="X573" s="2080">
        <f t="shared" si="402"/>
        <v>531.8201709401709</v>
      </c>
      <c r="Y573" s="2080">
        <f t="shared" si="402"/>
        <v>531.8201709401709</v>
      </c>
      <c r="Z573" s="2080">
        <f t="shared" si="402"/>
        <v>660.46632478632478</v>
      </c>
      <c r="AA573" s="2080">
        <f t="shared" si="402"/>
        <v>660.46632478632478</v>
      </c>
      <c r="AB573" s="2080">
        <f t="shared" si="402"/>
        <v>660.46632478632478</v>
      </c>
      <c r="AC573" s="2080">
        <f t="shared" si="402"/>
        <v>660.46632478632478</v>
      </c>
      <c r="AD573" s="2080">
        <f>AD556/5</f>
        <v>660.46632478632478</v>
      </c>
      <c r="AE573" s="2080">
        <f>AE556/5</f>
        <v>660.46632478632478</v>
      </c>
      <c r="AF573" s="2080">
        <f>AF556/5</f>
        <v>660.46632478632478</v>
      </c>
      <c r="AG573" s="2080">
        <f>AG556/5</f>
        <v>660.46632478632478</v>
      </c>
      <c r="AH573" s="2081">
        <f>AH556/5</f>
        <v>660.46632478632478</v>
      </c>
      <c r="AI573" s="685"/>
      <c r="AJ573" s="685"/>
      <c r="AK573" s="685"/>
      <c r="AL573" s="685"/>
      <c r="AM573" s="685"/>
      <c r="AN573" s="685"/>
      <c r="AO573" s="685"/>
      <c r="AP573" s="685"/>
      <c r="AQ573" s="685"/>
      <c r="AR573" s="685"/>
      <c r="AS573" s="685"/>
      <c r="AT573" s="685"/>
      <c r="AU573" s="685"/>
      <c r="AV573" s="685"/>
      <c r="AW573" s="685"/>
      <c r="AX573" s="685"/>
      <c r="AY573" s="685"/>
      <c r="AZ573" s="685"/>
      <c r="BA573" s="685"/>
      <c r="BB573" s="685"/>
      <c r="BC573" s="685"/>
      <c r="BD573" s="685"/>
    </row>
    <row r="574" spans="1:56">
      <c r="A574" s="685"/>
      <c r="B574" s="1115"/>
      <c r="C574" s="1130"/>
      <c r="D574" s="1130"/>
      <c r="E574" s="1130"/>
      <c r="F574" s="1130"/>
      <c r="G574" s="1130"/>
      <c r="H574" s="1123"/>
      <c r="I574" s="1123"/>
      <c r="J574" s="1123"/>
      <c r="K574" s="1123"/>
      <c r="L574" s="1123"/>
      <c r="M574" s="1123"/>
      <c r="N574" s="1123"/>
      <c r="O574" s="1123"/>
      <c r="P574" s="1123"/>
      <c r="Q574" s="1123"/>
      <c r="R574" s="1123"/>
      <c r="S574" s="1123"/>
      <c r="T574" s="1123"/>
      <c r="U574" s="1123"/>
      <c r="V574" s="1123"/>
      <c r="W574" s="1123"/>
      <c r="X574" s="1123"/>
      <c r="Y574" s="1123"/>
      <c r="Z574" s="1123"/>
      <c r="AA574" s="1123"/>
      <c r="AB574" s="1123"/>
      <c r="AC574" s="1123"/>
      <c r="AD574" s="1123"/>
      <c r="AE574" s="1123"/>
      <c r="AF574" s="1123"/>
      <c r="AG574" s="1123"/>
      <c r="AH574" s="1123"/>
      <c r="AI574" s="685"/>
      <c r="AJ574" s="685"/>
      <c r="AK574" s="685"/>
      <c r="AL574" s="685"/>
      <c r="AM574" s="685"/>
      <c r="AN574" s="685"/>
      <c r="AO574" s="685"/>
      <c r="AP574" s="685"/>
      <c r="AQ574" s="685"/>
      <c r="AR574" s="685"/>
      <c r="AS574" s="685"/>
      <c r="AT574" s="685"/>
      <c r="AU574" s="685"/>
      <c r="AV574" s="685"/>
      <c r="AW574" s="685"/>
      <c r="AX574" s="685"/>
      <c r="AY574" s="685"/>
      <c r="AZ574" s="685"/>
      <c r="BA574" s="685"/>
      <c r="BB574" s="685"/>
      <c r="BC574" s="685"/>
      <c r="BD574" s="685"/>
    </row>
    <row r="575" spans="1:56">
      <c r="A575" s="685"/>
      <c r="B575" s="1115" t="s">
        <v>447</v>
      </c>
      <c r="C575" s="1168"/>
      <c r="D575" s="1168"/>
      <c r="E575" s="1168"/>
      <c r="F575" s="1168"/>
      <c r="G575" s="1168"/>
      <c r="H575" s="1123"/>
      <c r="I575" s="1123">
        <f>I573</f>
        <v>555.59487179487178</v>
      </c>
      <c r="J575" s="1123">
        <f>J573</f>
        <v>565.60119658119652</v>
      </c>
      <c r="K575" s="1123">
        <f t="shared" ref="K575:AE575" si="403">AVERAGE(J573:K573)</f>
        <v>568.40846153846155</v>
      </c>
      <c r="L575" s="1123">
        <f t="shared" si="403"/>
        <v>572.36256410256419</v>
      </c>
      <c r="M575" s="1123">
        <f t="shared" si="403"/>
        <v>575.69145299145305</v>
      </c>
      <c r="N575" s="1123">
        <f t="shared" si="403"/>
        <v>578.22649572649573</v>
      </c>
      <c r="O575" s="1123">
        <f t="shared" si="403"/>
        <v>578.57948717948716</v>
      </c>
      <c r="P575" s="1123">
        <f t="shared" si="403"/>
        <v>578.57948717948716</v>
      </c>
      <c r="Q575" s="1123">
        <f t="shared" si="403"/>
        <v>578.4599145299145</v>
      </c>
      <c r="R575" s="1123">
        <f t="shared" si="403"/>
        <v>574.92153846153838</v>
      </c>
      <c r="S575" s="1123">
        <f t="shared" si="403"/>
        <v>572.44290598290604</v>
      </c>
      <c r="T575" s="1123">
        <f t="shared" si="403"/>
        <v>573.38307692307694</v>
      </c>
      <c r="U575" s="1123">
        <f t="shared" si="403"/>
        <v>573.38307692307694</v>
      </c>
      <c r="V575" s="1123">
        <f t="shared" si="403"/>
        <v>563.59452991452986</v>
      </c>
      <c r="W575" s="1123">
        <f t="shared" si="403"/>
        <v>546.51991452991456</v>
      </c>
      <c r="X575" s="1123">
        <f t="shared" si="403"/>
        <v>535.52700854700856</v>
      </c>
      <c r="Y575" s="1123">
        <f t="shared" si="403"/>
        <v>531.8201709401709</v>
      </c>
      <c r="Z575" s="1123">
        <f t="shared" si="403"/>
        <v>596.14324786324778</v>
      </c>
      <c r="AA575" s="1123">
        <f t="shared" si="403"/>
        <v>660.46632478632478</v>
      </c>
      <c r="AB575" s="1123">
        <f t="shared" si="403"/>
        <v>660.46632478632478</v>
      </c>
      <c r="AC575" s="1123">
        <f t="shared" si="403"/>
        <v>660.46632478632478</v>
      </c>
      <c r="AD575" s="1123">
        <f t="shared" si="403"/>
        <v>660.46632478632478</v>
      </c>
      <c r="AE575" s="1123">
        <f t="shared" si="403"/>
        <v>660.46632478632478</v>
      </c>
      <c r="AF575" s="1123">
        <f>AVERAGE(AE573:AF573)</f>
        <v>660.46632478632478</v>
      </c>
      <c r="AG575" s="1123">
        <f>AVERAGE(AF573:AG573)</f>
        <v>660.46632478632478</v>
      </c>
      <c r="AH575" s="1123">
        <f>AVERAGE(AG573:AH573)</f>
        <v>660.46632478632478</v>
      </c>
      <c r="AI575" s="685"/>
      <c r="AJ575" s="685"/>
      <c r="AK575" s="685"/>
      <c r="AL575" s="685"/>
      <c r="AM575" s="685"/>
      <c r="AN575" s="685"/>
      <c r="AO575" s="685"/>
      <c r="AP575" s="685"/>
      <c r="AQ575" s="685"/>
      <c r="AR575" s="685"/>
      <c r="AS575" s="685"/>
      <c r="AT575" s="685"/>
      <c r="AU575" s="685"/>
      <c r="AV575" s="685"/>
      <c r="AW575" s="685"/>
      <c r="AX575" s="685"/>
      <c r="AY575" s="685"/>
      <c r="AZ575" s="685"/>
      <c r="BA575" s="685"/>
      <c r="BB575" s="685"/>
      <c r="BC575" s="685"/>
      <c r="BD575" s="685"/>
    </row>
    <row r="576" spans="1:56">
      <c r="A576" s="685"/>
      <c r="B576" s="1115" t="s">
        <v>448</v>
      </c>
      <c r="C576" s="1115"/>
      <c r="D576" s="1115"/>
      <c r="E576" s="1115"/>
      <c r="F576" s="1115"/>
      <c r="G576" s="1117"/>
      <c r="H576" s="1117"/>
      <c r="I576" s="1117"/>
      <c r="J576" s="1123">
        <f t="shared" ref="J576:AE576" si="404">J573-I573</f>
        <v>10.00632478632474</v>
      </c>
      <c r="K576" s="1123">
        <f t="shared" si="404"/>
        <v>5.6145299145300669</v>
      </c>
      <c r="L576" s="1123">
        <f t="shared" si="404"/>
        <v>2.2936752136752148</v>
      </c>
      <c r="M576" s="1123">
        <f t="shared" si="404"/>
        <v>4.3641025641024953</v>
      </c>
      <c r="N576" s="1123">
        <f t="shared" si="404"/>
        <v>0.70598290598286439</v>
      </c>
      <c r="O576" s="1123">
        <f t="shared" si="404"/>
        <v>0</v>
      </c>
      <c r="P576" s="1123">
        <f t="shared" si="404"/>
        <v>0</v>
      </c>
      <c r="Q576" s="1123">
        <f t="shared" si="404"/>
        <v>-0.23914529914532068</v>
      </c>
      <c r="R576" s="1123">
        <f t="shared" si="404"/>
        <v>-6.8376068376068133</v>
      </c>
      <c r="S576" s="1123">
        <f t="shared" si="404"/>
        <v>1.8803418803419163</v>
      </c>
      <c r="T576" s="1123">
        <f t="shared" si="404"/>
        <v>0</v>
      </c>
      <c r="U576" s="1123">
        <f t="shared" si="404"/>
        <v>0</v>
      </c>
      <c r="V576" s="1123">
        <f t="shared" si="404"/>
        <v>-19.577094017094055</v>
      </c>
      <c r="W576" s="1123">
        <f t="shared" si="404"/>
        <v>-14.572136752136771</v>
      </c>
      <c r="X576" s="1123">
        <f t="shared" si="404"/>
        <v>-7.4136752136752193</v>
      </c>
      <c r="Y576" s="1123">
        <f t="shared" si="404"/>
        <v>0</v>
      </c>
      <c r="Z576" s="1123">
        <f t="shared" si="404"/>
        <v>128.64615384615388</v>
      </c>
      <c r="AA576" s="1123">
        <f t="shared" si="404"/>
        <v>0</v>
      </c>
      <c r="AB576" s="1123">
        <f t="shared" si="404"/>
        <v>0</v>
      </c>
      <c r="AC576" s="1123">
        <f t="shared" si="404"/>
        <v>0</v>
      </c>
      <c r="AD576" s="1123">
        <f t="shared" si="404"/>
        <v>0</v>
      </c>
      <c r="AE576" s="1123">
        <f t="shared" si="404"/>
        <v>0</v>
      </c>
      <c r="AF576" s="1123">
        <f>AF573-AE573</f>
        <v>0</v>
      </c>
      <c r="AG576" s="1123">
        <f>AG573-AF573</f>
        <v>0</v>
      </c>
      <c r="AH576" s="1123">
        <f>AH573-AG573</f>
        <v>0</v>
      </c>
      <c r="AI576" s="685"/>
      <c r="AJ576" s="685"/>
      <c r="AK576" s="685"/>
      <c r="AL576" s="685"/>
      <c r="AM576" s="685"/>
      <c r="AN576" s="685"/>
      <c r="AO576" s="685"/>
      <c r="AP576" s="685"/>
      <c r="AQ576" s="685"/>
      <c r="AR576" s="685"/>
      <c r="AS576" s="685"/>
      <c r="AT576" s="685"/>
      <c r="AU576" s="685"/>
      <c r="AV576" s="685"/>
      <c r="AW576" s="685"/>
      <c r="AX576" s="685"/>
      <c r="AY576" s="685"/>
      <c r="AZ576" s="685"/>
      <c r="BA576" s="685"/>
      <c r="BB576" s="685"/>
      <c r="BC576" s="685"/>
      <c r="BD576" s="685"/>
    </row>
    <row r="577" spans="1:56">
      <c r="A577" s="685"/>
      <c r="B577" s="1115" t="s">
        <v>449</v>
      </c>
      <c r="C577" s="1115"/>
      <c r="D577" s="1115"/>
      <c r="E577" s="1115"/>
      <c r="F577" s="1115"/>
      <c r="G577" s="1117"/>
      <c r="H577" s="1117"/>
      <c r="I577" s="1117"/>
      <c r="J577" s="1123"/>
      <c r="K577" s="1118">
        <f t="shared" ref="K577:AE577" si="405">-K576/J575</f>
        <v>-9.9266584803344854E-3</v>
      </c>
      <c r="L577" s="1118">
        <f t="shared" si="405"/>
        <v>-4.0352587423964879E-3</v>
      </c>
      <c r="M577" s="1118">
        <f t="shared" si="405"/>
        <v>-7.6247169850201324E-3</v>
      </c>
      <c r="N577" s="1118">
        <f t="shared" si="405"/>
        <v>-1.226321673379691E-3</v>
      </c>
      <c r="O577" s="1118">
        <f t="shared" si="405"/>
        <v>0</v>
      </c>
      <c r="P577" s="1118">
        <f t="shared" si="405"/>
        <v>0</v>
      </c>
      <c r="Q577" s="1118">
        <f t="shared" si="405"/>
        <v>4.1333179700360327E-4</v>
      </c>
      <c r="R577" s="1118">
        <f t="shared" si="405"/>
        <v>1.1820364152913508E-2</v>
      </c>
      <c r="S577" s="1118">
        <f t="shared" si="405"/>
        <v>-3.2706060819596675E-3</v>
      </c>
      <c r="T577" s="1118">
        <f t="shared" si="405"/>
        <v>0</v>
      </c>
      <c r="U577" s="1118">
        <f t="shared" si="405"/>
        <v>0</v>
      </c>
      <c r="V577" s="1118">
        <f t="shared" si="405"/>
        <v>3.414313188688764E-2</v>
      </c>
      <c r="W577" s="1118">
        <f t="shared" si="405"/>
        <v>2.5855710051598021E-2</v>
      </c>
      <c r="X577" s="1118">
        <f t="shared" si="405"/>
        <v>1.3565242576845608E-2</v>
      </c>
      <c r="Y577" s="1118">
        <f t="shared" si="405"/>
        <v>0</v>
      </c>
      <c r="Z577" s="1118">
        <f t="shared" si="405"/>
        <v>-0.2418978460683967</v>
      </c>
      <c r="AA577" s="1118">
        <f t="shared" si="405"/>
        <v>0</v>
      </c>
      <c r="AB577" s="1118">
        <f t="shared" si="405"/>
        <v>0</v>
      </c>
      <c r="AC577" s="1118">
        <f t="shared" si="405"/>
        <v>0</v>
      </c>
      <c r="AD577" s="1118">
        <f t="shared" si="405"/>
        <v>0</v>
      </c>
      <c r="AE577" s="1118">
        <f t="shared" si="405"/>
        <v>0</v>
      </c>
      <c r="AF577" s="1118">
        <f>-AF576/AE575</f>
        <v>0</v>
      </c>
      <c r="AG577" s="1118">
        <f>-AG576/AF575</f>
        <v>0</v>
      </c>
      <c r="AH577" s="1118">
        <f>-AH576/AG575</f>
        <v>0</v>
      </c>
      <c r="AI577" s="685"/>
      <c r="AJ577" s="685"/>
      <c r="AK577" s="685"/>
      <c r="AL577" s="685"/>
      <c r="AM577" s="685"/>
      <c r="AN577" s="685"/>
      <c r="AO577" s="685"/>
      <c r="AP577" s="685"/>
      <c r="AQ577" s="685"/>
      <c r="AR577" s="685"/>
      <c r="AS577" s="685"/>
      <c r="AT577" s="685"/>
      <c r="AU577" s="685"/>
      <c r="AV577" s="685"/>
      <c r="AW577" s="685"/>
      <c r="AX577" s="685"/>
      <c r="AY577" s="685"/>
      <c r="AZ577" s="685"/>
      <c r="BA577" s="685"/>
      <c r="BB577" s="685"/>
      <c r="BC577" s="685"/>
      <c r="BD577" s="685"/>
    </row>
    <row r="578" spans="1:56">
      <c r="A578" s="685"/>
      <c r="B578" s="685"/>
      <c r="C578" s="1115"/>
      <c r="D578" s="1115"/>
      <c r="E578" s="1115"/>
      <c r="F578" s="1115"/>
      <c r="G578" s="1117"/>
      <c r="H578" s="1117"/>
      <c r="I578" s="1117"/>
      <c r="J578" s="1117"/>
      <c r="K578" s="1115"/>
      <c r="L578" s="1115"/>
      <c r="M578" s="1115"/>
      <c r="N578" s="1115"/>
      <c r="O578" s="1115"/>
      <c r="P578" s="1115"/>
      <c r="Q578" s="1115"/>
      <c r="R578" s="1115"/>
      <c r="S578" s="1115"/>
      <c r="T578" s="1115"/>
      <c r="U578" s="1115"/>
      <c r="V578" s="1115"/>
      <c r="W578" s="1115"/>
      <c r="X578" s="1115"/>
      <c r="Y578" s="1115"/>
      <c r="Z578" s="1115"/>
      <c r="AA578" s="1115"/>
      <c r="AB578" s="1115"/>
      <c r="AC578" s="1115"/>
      <c r="AD578" s="1115"/>
      <c r="AE578" s="1115"/>
      <c r="AF578" s="1115"/>
      <c r="AG578" s="1115"/>
      <c r="AH578" s="1115"/>
      <c r="AI578" s="685"/>
      <c r="AJ578" s="685"/>
      <c r="AK578" s="685"/>
      <c r="AL578" s="685"/>
      <c r="AM578" s="685"/>
      <c r="AN578" s="685"/>
      <c r="AO578" s="685"/>
      <c r="AP578" s="685"/>
      <c r="AQ578" s="685"/>
      <c r="AR578" s="685"/>
      <c r="AS578" s="685"/>
      <c r="AT578" s="685"/>
      <c r="AU578" s="685"/>
      <c r="AV578" s="685"/>
      <c r="AW578" s="685"/>
      <c r="AX578" s="685"/>
      <c r="AY578" s="685"/>
      <c r="AZ578" s="685"/>
      <c r="BA578" s="685"/>
      <c r="BB578" s="685"/>
      <c r="BC578" s="685"/>
      <c r="BD578" s="685"/>
    </row>
    <row r="579" spans="1:56">
      <c r="A579" s="685"/>
      <c r="B579" s="1115" t="s">
        <v>450</v>
      </c>
      <c r="C579" s="1117"/>
      <c r="D579" s="1117"/>
      <c r="E579" s="1210">
        <v>1.5</v>
      </c>
      <c r="F579" s="1210">
        <v>0.75</v>
      </c>
      <c r="G579" s="1210">
        <f>1.35+1.75</f>
        <v>3.1</v>
      </c>
      <c r="H579" s="1210">
        <v>0</v>
      </c>
      <c r="I579" s="1210">
        <v>0.35</v>
      </c>
      <c r="J579" s="1210">
        <v>0.35</v>
      </c>
      <c r="K579" s="1210">
        <v>0.35</v>
      </c>
      <c r="L579" s="1210">
        <v>0.35</v>
      </c>
      <c r="M579" s="1210">
        <v>0</v>
      </c>
      <c r="N579" s="1210">
        <v>0.35</v>
      </c>
      <c r="O579" s="1210">
        <v>0.35</v>
      </c>
      <c r="P579" s="1210">
        <v>0.35</v>
      </c>
      <c r="Q579" s="1210">
        <v>0.35</v>
      </c>
      <c r="R579" s="1210">
        <v>0</v>
      </c>
      <c r="S579" s="1210">
        <v>0.35</v>
      </c>
      <c r="T579" s="1210">
        <f>0.35+0.002991452991</f>
        <v>0.35299145299099999</v>
      </c>
      <c r="U579" s="1210">
        <f>0.35+0.002991452991</f>
        <v>0.35299145299099999</v>
      </c>
      <c r="V579" s="1210">
        <f>0.35+0.002991452991</f>
        <v>0.35299145299099999</v>
      </c>
      <c r="W579" s="1210">
        <f>0.35+0.002991452991</f>
        <v>0.35299145299099999</v>
      </c>
      <c r="X579" s="1210">
        <f>0.35+0.002991452991</f>
        <v>0.35299145299099999</v>
      </c>
      <c r="Y579" s="1966">
        <v>0</v>
      </c>
      <c r="Z579" s="1966">
        <v>0.35</v>
      </c>
      <c r="AA579" s="1966">
        <v>0.35</v>
      </c>
      <c r="AB579" s="1211">
        <f t="shared" ref="AB579:AH579" si="406">(1+AB580)*AA579</f>
        <v>0.35</v>
      </c>
      <c r="AC579" s="1211">
        <f t="shared" si="406"/>
        <v>0.35</v>
      </c>
      <c r="AD579" s="1211">
        <f t="shared" si="406"/>
        <v>0.35</v>
      </c>
      <c r="AE579" s="1211">
        <f t="shared" si="406"/>
        <v>0.35</v>
      </c>
      <c r="AF579" s="1211">
        <f t="shared" si="406"/>
        <v>0.35</v>
      </c>
      <c r="AG579" s="1211">
        <f t="shared" si="406"/>
        <v>0.35</v>
      </c>
      <c r="AH579" s="1211">
        <f t="shared" si="406"/>
        <v>0.35</v>
      </c>
      <c r="AI579" s="685"/>
      <c r="AJ579" s="685"/>
      <c r="AK579" s="685"/>
      <c r="AL579" s="685"/>
      <c r="AM579" s="685"/>
      <c r="AN579" s="685"/>
      <c r="AO579" s="685"/>
      <c r="AP579" s="685"/>
      <c r="AQ579" s="685"/>
      <c r="AR579" s="685"/>
      <c r="AS579" s="685"/>
      <c r="AT579" s="685"/>
      <c r="AU579" s="685"/>
      <c r="AV579" s="685"/>
      <c r="AW579" s="685"/>
      <c r="AX579" s="685"/>
      <c r="AY579" s="685"/>
      <c r="AZ579" s="685"/>
      <c r="BA579" s="685"/>
      <c r="BB579" s="685"/>
      <c r="BC579" s="685"/>
      <c r="BD579" s="685"/>
    </row>
    <row r="580" spans="1:56">
      <c r="A580" s="685"/>
      <c r="B580" s="1115" t="s">
        <v>192</v>
      </c>
      <c r="C580" s="1117"/>
      <c r="D580" s="1117"/>
      <c r="E580" s="1117"/>
      <c r="F580" s="1117"/>
      <c r="G580" s="1168">
        <f>G581/G579</f>
        <v>0</v>
      </c>
      <c r="H580" s="1168"/>
      <c r="I580" s="1168"/>
      <c r="J580" s="1168"/>
      <c r="K580" s="1168"/>
      <c r="L580" s="1168"/>
      <c r="M580" s="1168"/>
      <c r="N580" s="1168"/>
      <c r="O580" s="1170">
        <f>O579/N579-1</f>
        <v>0</v>
      </c>
      <c r="P580" s="1170">
        <f>P579/O579-1</f>
        <v>0</v>
      </c>
      <c r="Q580" s="1170">
        <f>Q579/P579-1</f>
        <v>0</v>
      </c>
      <c r="R580" s="1170">
        <f>R579/Q579-1</f>
        <v>-1</v>
      </c>
      <c r="S580" s="1170"/>
      <c r="T580" s="1170">
        <f t="shared" ref="T580:Y580" si="407">T579/S579-1</f>
        <v>8.5470085457142186E-3</v>
      </c>
      <c r="U580" s="1170">
        <f t="shared" si="407"/>
        <v>0</v>
      </c>
      <c r="V580" s="1170">
        <f t="shared" si="407"/>
        <v>0</v>
      </c>
      <c r="W580" s="1170">
        <f t="shared" si="407"/>
        <v>0</v>
      </c>
      <c r="X580" s="1170">
        <f t="shared" si="407"/>
        <v>0</v>
      </c>
      <c r="Y580" s="1170">
        <f t="shared" si="407"/>
        <v>-1</v>
      </c>
      <c r="Z580" s="1186">
        <v>0</v>
      </c>
      <c r="AA580" s="1186">
        <v>0</v>
      </c>
      <c r="AB580" s="1186">
        <v>0</v>
      </c>
      <c r="AC580" s="1186">
        <v>0</v>
      </c>
      <c r="AD580" s="1186">
        <v>0</v>
      </c>
      <c r="AE580" s="1186">
        <v>0</v>
      </c>
      <c r="AF580" s="1186">
        <v>0</v>
      </c>
      <c r="AG580" s="1186">
        <v>0</v>
      </c>
      <c r="AH580" s="1186">
        <v>0</v>
      </c>
      <c r="AI580" s="685"/>
      <c r="AJ580" s="685"/>
      <c r="AK580" s="685"/>
      <c r="AL580" s="685"/>
      <c r="AM580" s="685"/>
      <c r="AN580" s="685"/>
      <c r="AO580" s="685"/>
      <c r="AP580" s="685"/>
      <c r="AQ580" s="685"/>
      <c r="AR580" s="685"/>
      <c r="AS580" s="685"/>
      <c r="AT580" s="685"/>
      <c r="AU580" s="685"/>
      <c r="AV580" s="685"/>
      <c r="AW580" s="685"/>
      <c r="AX580" s="685"/>
      <c r="AY580" s="685"/>
      <c r="AZ580" s="685"/>
      <c r="BA580" s="685"/>
      <c r="BB580" s="685"/>
      <c r="BC580" s="685"/>
      <c r="BD580" s="685"/>
    </row>
    <row r="581" spans="1:56">
      <c r="A581" s="685"/>
      <c r="B581" s="1115"/>
      <c r="C581" s="1117"/>
      <c r="D581" s="1117"/>
      <c r="E581" s="1117"/>
      <c r="F581" s="1117"/>
      <c r="G581" s="1168"/>
      <c r="H581" s="1168"/>
      <c r="I581" s="1168"/>
      <c r="J581" s="1168"/>
      <c r="K581" s="1117"/>
      <c r="L581" s="1117"/>
      <c r="M581" s="1117"/>
      <c r="N581" s="1117"/>
      <c r="O581" s="1117"/>
      <c r="P581" s="1117"/>
      <c r="Q581" s="1117"/>
      <c r="R581" s="1117"/>
      <c r="S581" s="1117"/>
      <c r="T581" s="1117"/>
      <c r="U581" s="1117"/>
      <c r="V581" s="1117"/>
      <c r="W581" s="1117"/>
      <c r="X581" s="1117"/>
      <c r="Y581" s="1117"/>
      <c r="Z581" s="1117"/>
      <c r="AA581" s="1117"/>
      <c r="AB581" s="1117"/>
      <c r="AC581" s="1117"/>
      <c r="AD581" s="1117"/>
      <c r="AE581" s="1117"/>
      <c r="AF581" s="1117"/>
      <c r="AG581" s="1117"/>
      <c r="AH581" s="1117"/>
      <c r="AI581" s="685"/>
      <c r="AJ581" s="685"/>
      <c r="AK581" s="685"/>
      <c r="AL581" s="685"/>
      <c r="AM581" s="685"/>
      <c r="AN581" s="685"/>
      <c r="AO581" s="685"/>
      <c r="AP581" s="685"/>
      <c r="AQ581" s="685"/>
      <c r="AR581" s="685"/>
      <c r="AS581" s="685"/>
      <c r="AT581" s="685"/>
      <c r="AU581" s="685"/>
      <c r="AV581" s="685"/>
      <c r="AW581" s="685"/>
      <c r="AX581" s="685"/>
      <c r="AY581" s="685"/>
      <c r="AZ581" s="685"/>
      <c r="BA581" s="685"/>
      <c r="BB581" s="685"/>
      <c r="BC581" s="685"/>
      <c r="BD581" s="685"/>
    </row>
    <row r="582" spans="1:56">
      <c r="A582" s="685"/>
      <c r="B582" s="1115" t="s">
        <v>167</v>
      </c>
      <c r="C582" s="1117"/>
      <c r="D582" s="1117"/>
      <c r="E582" s="1164"/>
      <c r="F582" s="1164"/>
      <c r="G582" s="1164"/>
      <c r="H582" s="1164">
        <f>H579*5/Valuation!E19</f>
        <v>0</v>
      </c>
      <c r="I582" s="1164">
        <f>I579*5/Valuation!F19</f>
        <v>0.13855898653998416</v>
      </c>
      <c r="J582" s="1164">
        <f>J579*5/Valuation!G19</f>
        <v>0.14067524115755628</v>
      </c>
      <c r="K582" s="1164">
        <f>K579*5/Valuation!H19</f>
        <v>0.13297872340425532</v>
      </c>
      <c r="L582" s="1164">
        <f>L579*5/Valuation!I19</f>
        <v>0.13714733542319749</v>
      </c>
      <c r="M582" s="1164">
        <f>M579*5/Valuation!J19</f>
        <v>0</v>
      </c>
      <c r="N582" s="1164">
        <f>N579*5/Valuation!K19</f>
        <v>0.11027095148078135</v>
      </c>
      <c r="O582" s="1164">
        <f>O579*5/Valuation!L19</f>
        <v>9.2838196286472136E-2</v>
      </c>
      <c r="P582" s="1164">
        <f>P579*5/Valuation!M19</f>
        <v>9.2592592592592601E-2</v>
      </c>
      <c r="Q582" s="1164">
        <f>Q579*5/Valuation!N19</f>
        <v>9.0909090909090912E-2</v>
      </c>
      <c r="R582" s="1164">
        <f>R579*5/Valuation!O19</f>
        <v>0</v>
      </c>
      <c r="S582" s="1164">
        <f>S579*5/Valuation!P19</f>
        <v>8.1471135940409681E-2</v>
      </c>
      <c r="T582" s="1164">
        <f>T579*5/Valuation!Q19</f>
        <v>8.7005764268639318E-2</v>
      </c>
      <c r="U582" s="1164">
        <f>U579*5/Valuation!R19</f>
        <v>8.7765154895822983E-2</v>
      </c>
      <c r="V582" s="1164">
        <f>V579*5/Valuation!S19</f>
        <v>9.9715099714971764E-2</v>
      </c>
      <c r="W582" s="1164">
        <f>W579*5/Valuation!T19</f>
        <v>9.644575218333333E-2</v>
      </c>
      <c r="X582" s="1164">
        <f>X579*5/Valuation!U19</f>
        <v>9.197276002892131E-2</v>
      </c>
      <c r="Y582" s="1164">
        <f>Y579*5/Valuation!V19</f>
        <v>0</v>
      </c>
      <c r="Z582" s="1164">
        <f>Z579*5/Valuation!W19</f>
        <v>9.8801397898635415E-2</v>
      </c>
      <c r="AA582" s="1164">
        <f>AA579*5/Valuation!X19</f>
        <v>9.6864115586897462E-2</v>
      </c>
      <c r="AB582" s="1164">
        <f>AB579*5/Valuation!Y19</f>
        <v>9.4964819202840653E-2</v>
      </c>
      <c r="AC582" s="1164">
        <f>AC579*5/Valuation!Z19</f>
        <v>9.3102763924353571E-2</v>
      </c>
      <c r="AD582" s="1164">
        <f>AD579*5/Valuation!AA19</f>
        <v>9.1277219533679982E-2</v>
      </c>
      <c r="AE582" s="1164">
        <f>AE579*5/Valuation!AB19</f>
        <v>8.9487470131058802E-2</v>
      </c>
      <c r="AF582" s="1164">
        <f>AF579*5/Valuation!AC19</f>
        <v>8.7732813853979214E-2</v>
      </c>
      <c r="AG582" s="1164">
        <f>AG579*5/Valuation!AD19</f>
        <v>8.6012562601940415E-2</v>
      </c>
      <c r="AH582" s="1164">
        <f>AH579*5/Valuation!AE19</f>
        <v>8.432604176660824E-2</v>
      </c>
      <c r="AI582" s="685"/>
      <c r="AJ582" s="685"/>
      <c r="AK582" s="685"/>
      <c r="AL582" s="685"/>
      <c r="AM582" s="685"/>
      <c r="AN582" s="685"/>
      <c r="AO582" s="685"/>
      <c r="AP582" s="685"/>
      <c r="AQ582" s="685"/>
      <c r="AR582" s="685"/>
      <c r="AS582" s="685"/>
      <c r="AT582" s="685"/>
      <c r="AU582" s="685"/>
      <c r="AV582" s="685"/>
      <c r="AW582" s="685"/>
      <c r="AX582" s="685"/>
      <c r="AY582" s="685"/>
      <c r="AZ582" s="685"/>
      <c r="BA582" s="685"/>
      <c r="BB582" s="685"/>
      <c r="BC582" s="685"/>
      <c r="BD582" s="685"/>
    </row>
    <row r="583" spans="1:56">
      <c r="A583" s="685"/>
      <c r="B583" s="1115"/>
      <c r="C583" s="1117"/>
      <c r="D583" s="1117"/>
      <c r="E583" s="1117"/>
      <c r="F583" s="1117"/>
      <c r="G583" s="1168"/>
      <c r="H583" s="1168"/>
      <c r="I583" s="1168"/>
      <c r="J583" s="1168"/>
      <c r="K583" s="1117"/>
      <c r="L583" s="1117"/>
      <c r="M583" s="1117"/>
      <c r="N583" s="1117"/>
      <c r="O583" s="1117"/>
      <c r="P583" s="1117"/>
      <c r="Q583" s="1117"/>
      <c r="R583" s="1117"/>
      <c r="S583" s="1117"/>
      <c r="T583" s="1117"/>
      <c r="U583" s="1117"/>
      <c r="V583" s="1117"/>
      <c r="W583" s="1117"/>
      <c r="X583" s="1117"/>
      <c r="Y583" s="1117"/>
      <c r="Z583" s="1117"/>
      <c r="AA583" s="1117"/>
      <c r="AB583" s="1117"/>
      <c r="AC583" s="1117"/>
      <c r="AD583" s="1117"/>
      <c r="AE583" s="1117"/>
      <c r="AF583" s="1117"/>
      <c r="AG583" s="1117"/>
      <c r="AH583" s="1117"/>
      <c r="AI583" s="685"/>
      <c r="AJ583" s="685"/>
      <c r="AK583" s="685"/>
      <c r="AL583" s="685"/>
      <c r="AM583" s="685"/>
      <c r="AN583" s="685"/>
      <c r="AO583" s="685"/>
      <c r="AP583" s="685"/>
      <c r="AQ583" s="685"/>
      <c r="AR583" s="685"/>
      <c r="AS583" s="685"/>
      <c r="AT583" s="685"/>
      <c r="AU583" s="685"/>
      <c r="AV583" s="685"/>
      <c r="AW583" s="685"/>
      <c r="AX583" s="685"/>
      <c r="AY583" s="685"/>
      <c r="AZ583" s="685"/>
      <c r="BA583" s="685"/>
      <c r="BB583" s="685"/>
      <c r="BC583" s="685"/>
      <c r="BD583" s="685"/>
    </row>
    <row r="584" spans="1:56">
      <c r="A584" s="685"/>
      <c r="B584" s="1115" t="s">
        <v>451</v>
      </c>
      <c r="C584" s="1168"/>
      <c r="D584" s="1168"/>
      <c r="E584" s="1168">
        <f>E579*E556</f>
        <v>4330.5384615384619</v>
      </c>
      <c r="F584" s="1168">
        <f>F579*F556</f>
        <v>2115.1282051282051</v>
      </c>
      <c r="G584" s="1168">
        <f>G579*G556</f>
        <v>8701.0111111111109</v>
      </c>
      <c r="H584" s="1168">
        <f>H579*H556</f>
        <v>0</v>
      </c>
      <c r="I584" s="1168">
        <f t="shared" ref="I584:S584" si="408">I579*I554</f>
        <v>1066.6543162393161</v>
      </c>
      <c r="J584" s="1168">
        <f t="shared" si="408"/>
        <v>1084.2353846153844</v>
      </c>
      <c r="K584" s="1168">
        <f t="shared" si="408"/>
        <v>1094.060811965812</v>
      </c>
      <c r="L584" s="1168">
        <f t="shared" si="408"/>
        <v>1098.0747435897435</v>
      </c>
      <c r="M584" s="1168">
        <f t="shared" si="408"/>
        <v>0</v>
      </c>
      <c r="N584" s="1168">
        <f t="shared" si="408"/>
        <v>1084.1938034188033</v>
      </c>
      <c r="O584" s="1168">
        <f t="shared" si="408"/>
        <v>1084.1938034188033</v>
      </c>
      <c r="P584" s="1168">
        <f t="shared" si="408"/>
        <v>1084.1938034188033</v>
      </c>
      <c r="Q584" s="1168">
        <f t="shared" si="408"/>
        <v>1068.8679914529912</v>
      </c>
      <c r="R584" s="1168">
        <f t="shared" si="408"/>
        <v>0</v>
      </c>
      <c r="S584" s="1168">
        <f t="shared" si="408"/>
        <v>1068.8679914529912</v>
      </c>
      <c r="T584" s="1193">
        <v>1053.3920000000001</v>
      </c>
      <c r="U584" s="1193">
        <v>1053.3920000000001</v>
      </c>
      <c r="V584" s="1193">
        <v>1027.354</v>
      </c>
      <c r="W584" s="1193">
        <v>1018.954</v>
      </c>
      <c r="X584" s="1193">
        <v>1018.954</v>
      </c>
      <c r="Y584" s="1168">
        <f t="shared" ref="Y584:AH584" si="409">Y579*Y554</f>
        <v>0</v>
      </c>
      <c r="Z584" s="1168">
        <f t="shared" si="409"/>
        <v>1244.0848717948718</v>
      </c>
      <c r="AA584" s="1168">
        <f t="shared" si="409"/>
        <v>1244.0848717948718</v>
      </c>
      <c r="AB584" s="1168">
        <f t="shared" si="409"/>
        <v>1244.0848717948718</v>
      </c>
      <c r="AC584" s="1168">
        <f t="shared" si="409"/>
        <v>1244.0848717948718</v>
      </c>
      <c r="AD584" s="1168">
        <f t="shared" si="409"/>
        <v>1244.0848717948718</v>
      </c>
      <c r="AE584" s="1168">
        <f t="shared" si="409"/>
        <v>1244.0848717948718</v>
      </c>
      <c r="AF584" s="1168">
        <f t="shared" si="409"/>
        <v>1244.0848717948718</v>
      </c>
      <c r="AG584" s="1168">
        <f t="shared" si="409"/>
        <v>1244.0848717948718</v>
      </c>
      <c r="AH584" s="1168">
        <f t="shared" si="409"/>
        <v>1244.0848717948718</v>
      </c>
      <c r="AI584" s="685"/>
      <c r="AJ584" s="685"/>
      <c r="AK584" s="685"/>
      <c r="AL584" s="685"/>
      <c r="AM584" s="685"/>
      <c r="AN584" s="685"/>
      <c r="AO584" s="685"/>
      <c r="AP584" s="685"/>
      <c r="AQ584" s="685"/>
      <c r="AR584" s="685"/>
      <c r="AS584" s="685"/>
      <c r="AT584" s="685"/>
      <c r="AU584" s="685"/>
      <c r="AV584" s="685"/>
      <c r="AW584" s="685"/>
      <c r="AX584" s="685"/>
      <c r="AY584" s="685"/>
      <c r="AZ584" s="685"/>
      <c r="BA584" s="685"/>
      <c r="BB584" s="685"/>
      <c r="BC584" s="685"/>
      <c r="BD584" s="685"/>
    </row>
    <row r="585" spans="1:56">
      <c r="A585" s="685"/>
      <c r="B585" s="1115" t="s">
        <v>452</v>
      </c>
      <c r="C585" s="1117"/>
      <c r="D585" s="1117"/>
      <c r="E585" s="1117"/>
      <c r="F585" s="1117"/>
      <c r="G585" s="1117"/>
      <c r="H585" s="1117">
        <f t="shared" ref="H585:AC585" si="410">H584/H508</f>
        <v>0</v>
      </c>
      <c r="I585" s="1117">
        <f t="shared" si="410"/>
        <v>0.13139373198316287</v>
      </c>
      <c r="J585" s="1117">
        <f t="shared" si="410"/>
        <v>0.13743286830291845</v>
      </c>
      <c r="K585" s="1117">
        <f t="shared" si="410"/>
        <v>0.12452036283783795</v>
      </c>
      <c r="L585" s="1117">
        <f t="shared" si="410"/>
        <v>0.12977034667990464</v>
      </c>
      <c r="M585" s="1117">
        <f t="shared" si="410"/>
        <v>0</v>
      </c>
      <c r="N585" s="1117">
        <f t="shared" si="410"/>
        <v>0.22680455273075009</v>
      </c>
      <c r="O585" s="1117">
        <f t="shared" si="410"/>
        <v>0.17333511381777553</v>
      </c>
      <c r="P585" s="1117">
        <f t="shared" si="410"/>
        <v>0.38001885854146605</v>
      </c>
      <c r="Q585" s="1117">
        <f t="shared" si="410"/>
        <v>0.34101199318944336</v>
      </c>
      <c r="R585" s="1117">
        <f t="shared" si="410"/>
        <v>0</v>
      </c>
      <c r="S585" s="1117">
        <f t="shared" si="410"/>
        <v>0.21039880151430895</v>
      </c>
      <c r="T585" s="1117">
        <f t="shared" si="410"/>
        <v>0.2049999026953393</v>
      </c>
      <c r="U585" s="1117">
        <f t="shared" si="410"/>
        <v>-8.261204745954652E-2</v>
      </c>
      <c r="V585" s="1117">
        <f t="shared" si="410"/>
        <v>-9.8249260180739317E-2</v>
      </c>
      <c r="W585" s="1117">
        <f t="shared" si="410"/>
        <v>-0.1224357180458088</v>
      </c>
      <c r="X585" s="1117">
        <f t="shared" si="410"/>
        <v>-0.72062470954472158</v>
      </c>
      <c r="Y585" s="1117">
        <f t="shared" ca="1" si="410"/>
        <v>0</v>
      </c>
      <c r="Z585" s="1117">
        <f t="shared" ca="1" si="410"/>
        <v>-4.2912871309603666</v>
      </c>
      <c r="AA585" s="1117">
        <f t="shared" ca="1" si="410"/>
        <v>6.6920517619509958</v>
      </c>
      <c r="AB585" s="1117">
        <f t="shared" ca="1" si="410"/>
        <v>1.1893474643483239</v>
      </c>
      <c r="AC585" s="1117">
        <f t="shared" ca="1" si="410"/>
        <v>0.57282371733677329</v>
      </c>
      <c r="AD585" s="1117">
        <f ca="1">AD584/AD508</f>
        <v>0.38056826009796962</v>
      </c>
      <c r="AE585" s="1117">
        <f ca="1">AE584/AE508</f>
        <v>0.294914672981332</v>
      </c>
      <c r="AF585" s="1117">
        <f ca="1">AF584/AF508</f>
        <v>0.24574500496029603</v>
      </c>
      <c r="AG585" s="1117">
        <f ca="1">AG584/AG508</f>
        <v>0.2252384583898811</v>
      </c>
      <c r="AH585" s="1117">
        <f ca="1">AH584/AH508</f>
        <v>0.20152421487608824</v>
      </c>
      <c r="AI585" s="685"/>
      <c r="AJ585" s="685"/>
      <c r="AK585" s="685"/>
      <c r="AL585" s="685"/>
      <c r="AM585" s="685"/>
      <c r="AN585" s="685"/>
      <c r="AO585" s="685"/>
      <c r="AP585" s="685"/>
      <c r="AQ585" s="685"/>
      <c r="AR585" s="685"/>
      <c r="AS585" s="685"/>
      <c r="AT585" s="685"/>
      <c r="AU585" s="685"/>
      <c r="AV585" s="685"/>
      <c r="AW585" s="685"/>
      <c r="AX585" s="685"/>
      <c r="AY585" s="685"/>
      <c r="AZ585" s="685"/>
      <c r="BA585" s="685"/>
      <c r="BB585" s="685"/>
      <c r="BC585" s="685"/>
      <c r="BD585" s="685"/>
    </row>
    <row r="586" spans="1:56">
      <c r="A586" s="685"/>
      <c r="B586" s="1115" t="s">
        <v>453</v>
      </c>
      <c r="C586" s="1117"/>
      <c r="D586" s="1117"/>
      <c r="E586" s="1117"/>
      <c r="F586" s="1117"/>
      <c r="G586" s="1117"/>
      <c r="H586" s="1117"/>
      <c r="I586" s="1117">
        <f t="shared" ref="I586:AC586" si="411">I579/I509</f>
        <v>2.395395480761334E-2</v>
      </c>
      <c r="J586" s="1117">
        <f t="shared" si="411"/>
        <v>2.5092584647799364E-2</v>
      </c>
      <c r="K586" s="1117">
        <f t="shared" si="411"/>
        <v>2.2754490482063263E-2</v>
      </c>
      <c r="L586" s="1117">
        <f t="shared" si="411"/>
        <v>2.3722046255475065E-2</v>
      </c>
      <c r="M586" s="1117">
        <f t="shared" si="411"/>
        <v>0</v>
      </c>
      <c r="N586" s="1117">
        <f t="shared" si="411"/>
        <v>4.2361948102173662E-2</v>
      </c>
      <c r="O586" s="1117">
        <f t="shared" si="411"/>
        <v>3.2375069227776727E-2</v>
      </c>
      <c r="P586" s="1117">
        <f t="shared" si="411"/>
        <v>7.0978906594048499E-2</v>
      </c>
      <c r="Q586" s="1117">
        <f t="shared" si="411"/>
        <v>6.4579862065505256E-2</v>
      </c>
      <c r="R586" s="1117">
        <f t="shared" si="411"/>
        <v>0</v>
      </c>
      <c r="S586" s="1117">
        <f t="shared" si="411"/>
        <v>3.9503184308310138E-2</v>
      </c>
      <c r="T586" s="1117">
        <f t="shared" si="411"/>
        <v>3.9388795454612713E-2</v>
      </c>
      <c r="U586" s="1117">
        <f t="shared" si="411"/>
        <v>-1.5873124799999309E-2</v>
      </c>
      <c r="V586" s="1117">
        <f t="shared" si="411"/>
        <v>-1.8695238320217401E-2</v>
      </c>
      <c r="W586" s="1117">
        <f t="shared" si="411"/>
        <v>-2.2871512615085621E-2</v>
      </c>
      <c r="X586" s="1117">
        <f t="shared" si="411"/>
        <v>-0.13276498974848669</v>
      </c>
      <c r="Y586" s="1117">
        <f t="shared" ca="1" si="411"/>
        <v>0</v>
      </c>
      <c r="Z586" s="1117">
        <f t="shared" ca="1" si="411"/>
        <v>-0.79736338451308453</v>
      </c>
      <c r="AA586" s="1117">
        <f t="shared" ca="1" si="411"/>
        <v>1.2434490816865544</v>
      </c>
      <c r="AB586" s="1117">
        <f t="shared" ca="1" si="411"/>
        <v>0.22099246463673497</v>
      </c>
      <c r="AC586" s="1117">
        <f t="shared" ca="1" si="411"/>
        <v>0.10643628451000391</v>
      </c>
      <c r="AD586" s="1117">
        <f ca="1">AD579/AD509</f>
        <v>7.071332834399785E-2</v>
      </c>
      <c r="AE586" s="1117">
        <f ca="1">AE579/AE509</f>
        <v>5.4798048840497472E-2</v>
      </c>
      <c r="AF586" s="1117">
        <f ca="1">AF579/AF509</f>
        <v>4.566184058592096E-2</v>
      </c>
      <c r="AG586" s="1117">
        <f ca="1">AG579/AG509</f>
        <v>4.1851522404205185E-2</v>
      </c>
      <c r="AH586" s="1117">
        <f ca="1">AH579/AH509</f>
        <v>3.7445182559708773E-2</v>
      </c>
      <c r="AI586" s="685"/>
      <c r="AJ586" s="685"/>
      <c r="AK586" s="685"/>
      <c r="AL586" s="685"/>
      <c r="AM586" s="685"/>
      <c r="AN586" s="685"/>
      <c r="AO586" s="685"/>
      <c r="AP586" s="685"/>
      <c r="AQ586" s="685"/>
      <c r="AR586" s="685"/>
      <c r="AS586" s="685"/>
      <c r="AT586" s="685"/>
      <c r="AU586" s="685"/>
      <c r="AV586" s="685"/>
      <c r="AW586" s="685"/>
      <c r="AX586" s="685"/>
      <c r="AY586" s="685"/>
      <c r="AZ586" s="685"/>
      <c r="BA586" s="685"/>
      <c r="BB586" s="685"/>
      <c r="BC586" s="685"/>
      <c r="BD586" s="685"/>
    </row>
    <row r="587" spans="1:56">
      <c r="A587" s="685"/>
      <c r="B587" s="1115" t="s">
        <v>454</v>
      </c>
      <c r="C587" s="1117"/>
      <c r="D587" s="1117"/>
      <c r="E587" s="1117"/>
      <c r="F587" s="1117"/>
      <c r="G587" s="1117"/>
      <c r="H587" s="1117">
        <f t="shared" ref="H587:AC587" si="412">H584/H593</f>
        <v>0</v>
      </c>
      <c r="I587" s="1117">
        <f t="shared" si="412"/>
        <v>0.55322385402984142</v>
      </c>
      <c r="J587" s="1117">
        <f t="shared" si="412"/>
        <v>0.19789434017576357</v>
      </c>
      <c r="K587" s="1117">
        <f t="shared" si="412"/>
        <v>0.1930840931492156</v>
      </c>
      <c r="L587" s="1117">
        <f t="shared" si="412"/>
        <v>0.31070415468419976</v>
      </c>
      <c r="M587" s="1117">
        <f t="shared" si="412"/>
        <v>0</v>
      </c>
      <c r="N587" s="1117">
        <f t="shared" si="412"/>
        <v>-0.17960642137524141</v>
      </c>
      <c r="O587" s="1117">
        <f t="shared" si="412"/>
        <v>-0.2317455622285495</v>
      </c>
      <c r="P587" s="1117">
        <f t="shared" si="412"/>
        <v>0.23225242512993377</v>
      </c>
      <c r="Q587" s="1117">
        <f t="shared" si="412"/>
        <v>0.24814402754599379</v>
      </c>
      <c r="R587" s="1117">
        <f t="shared" si="412"/>
        <v>0</v>
      </c>
      <c r="S587" s="1117">
        <f t="shared" si="412"/>
        <v>0.17343621877486529</v>
      </c>
      <c r="T587" s="1117">
        <f t="shared" si="412"/>
        <v>0.3244492845477101</v>
      </c>
      <c r="U587" s="1117">
        <f t="shared" si="412"/>
        <v>-0.11905653702659294</v>
      </c>
      <c r="V587" s="1117">
        <f t="shared" si="412"/>
        <v>-0.30166714235544662</v>
      </c>
      <c r="W587" s="1117">
        <f t="shared" si="412"/>
        <v>0.32964752004260101</v>
      </c>
      <c r="X587" s="1117">
        <f t="shared" si="412"/>
        <v>0.28623003187134105</v>
      </c>
      <c r="Y587" s="1117">
        <f t="shared" ca="1" si="412"/>
        <v>0</v>
      </c>
      <c r="Z587" s="1117">
        <f t="shared" ca="1" si="412"/>
        <v>0.21906085043753787</v>
      </c>
      <c r="AA587" s="1117">
        <f t="shared" ca="1" si="412"/>
        <v>0.19469651805600788</v>
      </c>
      <c r="AB587" s="1117">
        <f t="shared" ca="1" si="412"/>
        <v>0.18213836747704518</v>
      </c>
      <c r="AC587" s="1117">
        <f t="shared" ca="1" si="412"/>
        <v>0.16609054662401401</v>
      </c>
      <c r="AD587" s="1117">
        <f ca="1">AD584/AD593</f>
        <v>0.15283560697085244</v>
      </c>
      <c r="AE587" s="1117">
        <f ca="1">AE584/AE593</f>
        <v>0.14373860801248303</v>
      </c>
      <c r="AF587" s="1117">
        <f ca="1">AF584/AF593</f>
        <v>0.13550992408337312</v>
      </c>
      <c r="AG587" s="1117">
        <f ca="1">AG584/AG593</f>
        <v>0.13212398278553891</v>
      </c>
      <c r="AH587" s="1117">
        <f ca="1">AH584/AH593</f>
        <v>0.12821873390758692</v>
      </c>
      <c r="AI587" s="685"/>
      <c r="AJ587" s="685"/>
      <c r="AK587" s="685"/>
      <c r="AL587" s="685"/>
      <c r="AM587" s="685"/>
      <c r="AN587" s="685"/>
      <c r="AO587" s="685"/>
      <c r="AP587" s="685"/>
      <c r="AQ587" s="685"/>
      <c r="AR587" s="685"/>
      <c r="AS587" s="685"/>
      <c r="AT587" s="685"/>
      <c r="AU587" s="685"/>
      <c r="AV587" s="685"/>
      <c r="AW587" s="685"/>
      <c r="AX587" s="685"/>
      <c r="AY587" s="685"/>
      <c r="AZ587" s="685"/>
      <c r="BA587" s="685"/>
      <c r="BB587" s="685"/>
      <c r="BC587" s="685"/>
      <c r="BD587" s="685"/>
    </row>
    <row r="588" spans="1:56">
      <c r="A588" s="685"/>
      <c r="B588" s="1115"/>
      <c r="C588" s="1115"/>
      <c r="D588" s="1115"/>
      <c r="E588" s="1115"/>
      <c r="F588" s="1115"/>
      <c r="G588" s="1115"/>
      <c r="H588" s="1115"/>
      <c r="I588" s="1115"/>
      <c r="J588" s="1115"/>
      <c r="K588" s="1115"/>
      <c r="L588" s="1115"/>
      <c r="M588" s="1115"/>
      <c r="N588" s="1123"/>
      <c r="O588" s="1123"/>
      <c r="P588" s="1123"/>
      <c r="Q588" s="1123"/>
      <c r="R588" s="1123"/>
      <c r="S588" s="1123"/>
      <c r="T588" s="1123"/>
      <c r="U588" s="1123"/>
      <c r="V588" s="1123"/>
      <c r="W588" s="1123"/>
      <c r="X588" s="1123"/>
      <c r="Y588" s="1123"/>
      <c r="Z588" s="1123"/>
      <c r="AA588" s="1123"/>
      <c r="AB588" s="1123"/>
      <c r="AC588" s="1123"/>
      <c r="AD588" s="1123"/>
      <c r="AE588" s="1123"/>
      <c r="AF588" s="1123"/>
      <c r="AG588" s="1123"/>
      <c r="AH588" s="1123"/>
      <c r="AI588" s="685"/>
      <c r="AJ588" s="685"/>
      <c r="AK588" s="685"/>
      <c r="AL588" s="685"/>
      <c r="AM588" s="685"/>
      <c r="AN588" s="685"/>
      <c r="AO588" s="685"/>
      <c r="AP588" s="685"/>
      <c r="AQ588" s="685"/>
      <c r="AR588" s="685"/>
      <c r="AS588" s="685"/>
      <c r="AT588" s="685"/>
      <c r="AU588" s="685"/>
      <c r="AV588" s="685"/>
      <c r="AW588" s="685"/>
      <c r="AX588" s="685"/>
      <c r="AY588" s="685"/>
      <c r="AZ588" s="685"/>
      <c r="BA588" s="685"/>
      <c r="BB588" s="685"/>
      <c r="BC588" s="685"/>
      <c r="BD588" s="685"/>
    </row>
    <row r="589" spans="1:56">
      <c r="A589" s="685"/>
      <c r="B589" s="1115" t="s">
        <v>418</v>
      </c>
      <c r="C589" s="1123"/>
      <c r="D589" s="1123">
        <f t="shared" ref="D589:AC589" si="413">D508</f>
        <v>0</v>
      </c>
      <c r="E589" s="1123">
        <f t="shared" si="413"/>
        <v>0</v>
      </c>
      <c r="F589" s="1123">
        <f t="shared" si="413"/>
        <v>0</v>
      </c>
      <c r="G589" s="1123">
        <f t="shared" si="413"/>
        <v>0</v>
      </c>
      <c r="H589" s="1123">
        <f t="shared" si="413"/>
        <v>8662</v>
      </c>
      <c r="I589" s="1123">
        <f t="shared" si="413"/>
        <v>8118</v>
      </c>
      <c r="J589" s="1123">
        <f t="shared" si="413"/>
        <v>7889.2000000000007</v>
      </c>
      <c r="K589" s="1123">
        <f t="shared" si="413"/>
        <v>8786.2000000000025</v>
      </c>
      <c r="L589" s="1123">
        <f t="shared" si="413"/>
        <v>8461.6768906249981</v>
      </c>
      <c r="M589" s="1123">
        <f t="shared" si="413"/>
        <v>9978.0000000000018</v>
      </c>
      <c r="N589" s="1123">
        <f t="shared" si="413"/>
        <v>4780.2999999999938</v>
      </c>
      <c r="O589" s="1123">
        <f t="shared" si="413"/>
        <v>6254.8999999999951</v>
      </c>
      <c r="P589" s="1123">
        <f t="shared" si="413"/>
        <v>2853.0000000000018</v>
      </c>
      <c r="Q589" s="1123">
        <f t="shared" si="413"/>
        <v>3134.3999999999996</v>
      </c>
      <c r="R589" s="1123">
        <f t="shared" si="413"/>
        <v>4723.199999999998</v>
      </c>
      <c r="S589" s="1123">
        <f t="shared" si="413"/>
        <v>5080.1999999999944</v>
      </c>
      <c r="T589" s="1123">
        <f t="shared" si="413"/>
        <v>5138.4999999999955</v>
      </c>
      <c r="U589" s="1123">
        <f t="shared" si="413"/>
        <v>-12751.070000000003</v>
      </c>
      <c r="V589" s="1123">
        <f t="shared" si="413"/>
        <v>-10456.607999999998</v>
      </c>
      <c r="W589" s="1123">
        <f t="shared" si="413"/>
        <v>-8322.3590000000058</v>
      </c>
      <c r="X589" s="1123">
        <f t="shared" si="413"/>
        <v>-1413.9870399999991</v>
      </c>
      <c r="Y589" s="1123">
        <f t="shared" ca="1" si="413"/>
        <v>-704.94860783710544</v>
      </c>
      <c r="Z589" s="1123">
        <f t="shared" ca="1" si="413"/>
        <v>-289.90949191424818</v>
      </c>
      <c r="AA589" s="1123">
        <f t="shared" ca="1" si="413"/>
        <v>185.90484892366885</v>
      </c>
      <c r="AB589" s="1123">
        <f t="shared" ca="1" si="413"/>
        <v>1046.0230580947511</v>
      </c>
      <c r="AC589" s="1123">
        <f t="shared" ca="1" si="413"/>
        <v>2171.8459521525924</v>
      </c>
      <c r="AD589" s="1123">
        <f ca="1">AD508</f>
        <v>3269.0189966830321</v>
      </c>
      <c r="AE589" s="1123">
        <f ca="1">AE508</f>
        <v>4218.4570174764476</v>
      </c>
      <c r="AF589" s="1123">
        <f ca="1">AF508</f>
        <v>5062.5031910450152</v>
      </c>
      <c r="AG589" s="1123">
        <f ca="1">AG508</f>
        <v>5523.4123012926939</v>
      </c>
      <c r="AH589" s="1123">
        <f ca="1">AH508</f>
        <v>6173.3765967520367</v>
      </c>
      <c r="AI589" s="685"/>
      <c r="AJ589" s="685"/>
      <c r="AK589" s="685"/>
      <c r="AL589" s="685"/>
      <c r="AM589" s="685"/>
      <c r="AN589" s="685"/>
      <c r="AO589" s="685"/>
      <c r="AP589" s="685"/>
      <c r="AQ589" s="685"/>
      <c r="AR589" s="685"/>
      <c r="AS589" s="685"/>
      <c r="AT589" s="685"/>
      <c r="AU589" s="685"/>
      <c r="AV589" s="685"/>
      <c r="AW589" s="685"/>
      <c r="AX589" s="685"/>
      <c r="AY589" s="685"/>
      <c r="AZ589" s="685"/>
      <c r="BA589" s="685"/>
      <c r="BB589" s="685"/>
      <c r="BC589" s="685"/>
      <c r="BD589" s="685"/>
    </row>
    <row r="590" spans="1:56">
      <c r="A590" s="685"/>
      <c r="B590" s="1115" t="s">
        <v>455</v>
      </c>
      <c r="C590" s="1123"/>
      <c r="D590" s="1123">
        <f t="shared" ref="D590:AC590" si="414">-D502</f>
        <v>0</v>
      </c>
      <c r="E590" s="1123">
        <f t="shared" si="414"/>
        <v>0</v>
      </c>
      <c r="F590" s="1123">
        <f t="shared" si="414"/>
        <v>0</v>
      </c>
      <c r="G590" s="1123">
        <f t="shared" si="414"/>
        <v>0</v>
      </c>
      <c r="H590" s="1123">
        <f t="shared" si="414"/>
        <v>4390</v>
      </c>
      <c r="I590" s="1123">
        <f t="shared" si="414"/>
        <v>5697</v>
      </c>
      <c r="J590" s="1123">
        <f t="shared" si="414"/>
        <v>6501</v>
      </c>
      <c r="K590" s="1123">
        <f t="shared" si="414"/>
        <v>7122.2916099069244</v>
      </c>
      <c r="L590" s="1123">
        <f t="shared" si="414"/>
        <v>8426.7308289351131</v>
      </c>
      <c r="M590" s="1123">
        <f t="shared" si="414"/>
        <v>9411.8212326843186</v>
      </c>
      <c r="N590" s="1123">
        <f t="shared" si="414"/>
        <v>11222.332339055185</v>
      </c>
      <c r="O590" s="1123">
        <f t="shared" si="414"/>
        <v>12681.492375298647</v>
      </c>
      <c r="P590" s="1123">
        <f t="shared" si="414"/>
        <v>13775.112009065635</v>
      </c>
      <c r="Q590" s="1123">
        <f t="shared" si="414"/>
        <v>15461.690203840175</v>
      </c>
      <c r="R590" s="1123">
        <f t="shared" si="414"/>
        <v>15598.453258756492</v>
      </c>
      <c r="S590" s="1123">
        <f t="shared" si="414"/>
        <v>15664.841174858946</v>
      </c>
      <c r="T590" s="1123">
        <f t="shared" si="414"/>
        <v>16057.827405879905</v>
      </c>
      <c r="U590" s="1123">
        <f t="shared" si="414"/>
        <v>15135.795108159535</v>
      </c>
      <c r="V590" s="1123">
        <f t="shared" si="414"/>
        <v>17634</v>
      </c>
      <c r="W590" s="1123">
        <f t="shared" si="414"/>
        <v>16258</v>
      </c>
      <c r="X590" s="1123">
        <f t="shared" si="414"/>
        <v>14258</v>
      </c>
      <c r="Y590" s="1123">
        <f t="shared" si="414"/>
        <v>13953.961219733854</v>
      </c>
      <c r="Z590" s="1123">
        <f t="shared" si="414"/>
        <v>14028.502288162032</v>
      </c>
      <c r="AA590" s="1123">
        <f t="shared" si="414"/>
        <v>13371.182595606751</v>
      </c>
      <c r="AB590" s="1123">
        <f t="shared" si="414"/>
        <v>12664.208529554813</v>
      </c>
      <c r="AC590" s="1123">
        <f t="shared" si="414"/>
        <v>12053.423684546047</v>
      </c>
      <c r="AD590" s="1123">
        <f t="shared" ref="AD590:AH591" si="415">-AD502</f>
        <v>11545.267342408524</v>
      </c>
      <c r="AE590" s="1123">
        <f t="shared" si="415"/>
        <v>11131.769480421153</v>
      </c>
      <c r="AF590" s="1123">
        <f t="shared" si="415"/>
        <v>10806.594692997816</v>
      </c>
      <c r="AG590" s="1123">
        <f t="shared" si="415"/>
        <v>10540.34165419529</v>
      </c>
      <c r="AH590" s="1123">
        <f t="shared" si="415"/>
        <v>10309.394220941171</v>
      </c>
      <c r="AI590" s="685"/>
      <c r="AJ590" s="685"/>
      <c r="AK590" s="685"/>
      <c r="AL590" s="685"/>
      <c r="AM590" s="685"/>
      <c r="AN590" s="685"/>
      <c r="AO590" s="685"/>
      <c r="AP590" s="685"/>
      <c r="AQ590" s="685"/>
      <c r="AR590" s="685"/>
      <c r="AS590" s="685"/>
      <c r="AT590" s="685"/>
      <c r="AU590" s="685"/>
      <c r="AV590" s="685"/>
      <c r="AW590" s="685"/>
      <c r="AX590" s="685"/>
      <c r="AY590" s="685"/>
      <c r="AZ590" s="685"/>
      <c r="BA590" s="685"/>
      <c r="BB590" s="685"/>
      <c r="BC590" s="685"/>
      <c r="BD590" s="685"/>
    </row>
    <row r="591" spans="1:56">
      <c r="A591" s="685"/>
      <c r="B591" s="1115" t="s">
        <v>456</v>
      </c>
      <c r="C591" s="1123"/>
      <c r="D591" s="1123">
        <f t="shared" ref="D591:AC591" si="416">-D503</f>
        <v>0</v>
      </c>
      <c r="E591" s="1123">
        <f t="shared" si="416"/>
        <v>0</v>
      </c>
      <c r="F591" s="1123">
        <f t="shared" si="416"/>
        <v>0</v>
      </c>
      <c r="G591" s="1123">
        <f t="shared" si="416"/>
        <v>0</v>
      </c>
      <c r="H591" s="1123">
        <f t="shared" si="416"/>
        <v>540</v>
      </c>
      <c r="I591" s="1123">
        <f t="shared" si="416"/>
        <v>882</v>
      </c>
      <c r="J591" s="1123">
        <f t="shared" si="416"/>
        <v>928.69999999999982</v>
      </c>
      <c r="K591" s="1123">
        <f t="shared" si="416"/>
        <v>1351.7083900930756</v>
      </c>
      <c r="L591" s="1123">
        <f t="shared" si="416"/>
        <v>1419.2691710648869</v>
      </c>
      <c r="M591" s="1123">
        <f t="shared" si="416"/>
        <v>2151.1787673156814</v>
      </c>
      <c r="N591" s="1123">
        <f t="shared" si="416"/>
        <v>3438.5676609448146</v>
      </c>
      <c r="O591" s="1123">
        <f t="shared" si="416"/>
        <v>4298.3076247013523</v>
      </c>
      <c r="P591" s="1123">
        <f t="shared" si="416"/>
        <v>4760.887990934365</v>
      </c>
      <c r="Q591" s="1123">
        <f t="shared" si="416"/>
        <v>4372.3097961598251</v>
      </c>
      <c r="R591" s="1123">
        <f t="shared" si="416"/>
        <v>5409.5467412435082</v>
      </c>
      <c r="S591" s="1123">
        <f t="shared" si="416"/>
        <v>5596.158825141054</v>
      </c>
      <c r="T591" s="1123">
        <f t="shared" si="416"/>
        <v>5360.4725941200941</v>
      </c>
      <c r="U591" s="1123">
        <f t="shared" si="416"/>
        <v>5981.6048918404667</v>
      </c>
      <c r="V591" s="1123">
        <f t="shared" si="416"/>
        <v>3920.4000000000015</v>
      </c>
      <c r="W591" s="1123">
        <f t="shared" si="416"/>
        <v>4252.9000000000015</v>
      </c>
      <c r="X591" s="1123">
        <f t="shared" si="416"/>
        <v>2902.5</v>
      </c>
      <c r="Y591" s="1123">
        <f t="shared" si="416"/>
        <v>3069.4746399999999</v>
      </c>
      <c r="Z591" s="1123">
        <f t="shared" si="416"/>
        <v>3109.8158106000001</v>
      </c>
      <c r="AA591" s="1123">
        <f t="shared" si="416"/>
        <v>3128.7026294460006</v>
      </c>
      <c r="AB591" s="1123">
        <f t="shared" si="416"/>
        <v>3127.5681423956307</v>
      </c>
      <c r="AC591" s="1123">
        <f t="shared" si="416"/>
        <v>3108.1311777558371</v>
      </c>
      <c r="AD591" s="1123">
        <f t="shared" si="415"/>
        <v>3072.3305129792666</v>
      </c>
      <c r="AE591" s="1123">
        <f t="shared" si="415"/>
        <v>3022.2577095505603</v>
      </c>
      <c r="AF591" s="1123">
        <f t="shared" si="415"/>
        <v>2960.091073386362</v>
      </c>
      <c r="AG591" s="1123">
        <f t="shared" si="415"/>
        <v>2888.0329564663621</v>
      </c>
      <c r="AH591" s="1123">
        <f t="shared" si="415"/>
        <v>2808.252293427498</v>
      </c>
      <c r="AI591" s="685"/>
      <c r="AJ591" s="685"/>
      <c r="AK591" s="685"/>
      <c r="AL591" s="685"/>
      <c r="AM591" s="685"/>
      <c r="AN591" s="685"/>
      <c r="AO591" s="685"/>
      <c r="AP591" s="685"/>
      <c r="AQ591" s="685"/>
      <c r="AR591" s="685"/>
      <c r="AS591" s="685"/>
      <c r="AT591" s="685"/>
      <c r="AU591" s="685"/>
      <c r="AV591" s="685"/>
      <c r="AW591" s="685"/>
      <c r="AX591" s="685"/>
      <c r="AY591" s="685"/>
      <c r="AZ591" s="685"/>
      <c r="BA591" s="685"/>
      <c r="BB591" s="685"/>
      <c r="BC591" s="685"/>
      <c r="BD591" s="685"/>
    </row>
    <row r="592" spans="1:56">
      <c r="A592" s="685"/>
      <c r="B592" s="1161" t="s">
        <v>457</v>
      </c>
      <c r="C592" s="1158"/>
      <c r="D592" s="1158"/>
      <c r="E592" s="1158"/>
      <c r="F592" s="1158"/>
      <c r="G592" s="1158"/>
      <c r="H592" s="1158">
        <f t="shared" ref="H592:AC592" si="417">-H87</f>
        <v>-6740.55</v>
      </c>
      <c r="I592" s="1158">
        <f t="shared" si="417"/>
        <v>-12768.93</v>
      </c>
      <c r="J592" s="1158">
        <f t="shared" si="417"/>
        <v>-9840.0399999999991</v>
      </c>
      <c r="K592" s="1158">
        <f t="shared" si="417"/>
        <v>-11593.960000000001</v>
      </c>
      <c r="L592" s="1158">
        <f t="shared" si="417"/>
        <v>-14773.527999999998</v>
      </c>
      <c r="M592" s="1158">
        <f t="shared" si="417"/>
        <v>-16944.960999999999</v>
      </c>
      <c r="N592" s="1158">
        <f t="shared" si="417"/>
        <v>-25477.698</v>
      </c>
      <c r="O592" s="1158">
        <f t="shared" si="417"/>
        <v>-27913.08</v>
      </c>
      <c r="P592" s="1158">
        <f t="shared" si="417"/>
        <v>-16720.829999999998</v>
      </c>
      <c r="Q592" s="1158">
        <f t="shared" si="417"/>
        <v>-18660.95</v>
      </c>
      <c r="R592" s="1158">
        <f t="shared" si="417"/>
        <v>-19067.125</v>
      </c>
      <c r="S592" s="1158">
        <f t="shared" si="417"/>
        <v>-20178.311999999998</v>
      </c>
      <c r="T592" s="1158">
        <f t="shared" si="417"/>
        <v>-23310.092270413064</v>
      </c>
      <c r="U592" s="1158">
        <f t="shared" si="417"/>
        <v>-17214.16</v>
      </c>
      <c r="V592" s="1158">
        <f t="shared" si="417"/>
        <v>-14503.380000000001</v>
      </c>
      <c r="W592" s="1158">
        <f t="shared" si="417"/>
        <v>-9097.5</v>
      </c>
      <c r="X592" s="1158">
        <f t="shared" si="417"/>
        <v>-12186.6</v>
      </c>
      <c r="Y592" s="1158">
        <f t="shared" si="417"/>
        <v>-14278.20668726951</v>
      </c>
      <c r="Z592" s="1158">
        <f t="shared" si="417"/>
        <v>-11169.233759721894</v>
      </c>
      <c r="AA592" s="1158">
        <f t="shared" si="417"/>
        <v>-10295.922991520487</v>
      </c>
      <c r="AB592" s="1158">
        <f t="shared" si="417"/>
        <v>-10007.361481214053</v>
      </c>
      <c r="AC592" s="1158">
        <f t="shared" si="417"/>
        <v>-9842.9993612570379</v>
      </c>
      <c r="AD592" s="1158">
        <f>-AD87</f>
        <v>-9746.5970199636795</v>
      </c>
      <c r="AE592" s="1158">
        <f>-AE87</f>
        <v>-9717.2948397674299</v>
      </c>
      <c r="AF592" s="1158">
        <f>-AF87</f>
        <v>-9648.4231927797882</v>
      </c>
      <c r="AG592" s="1158">
        <f>-AG87</f>
        <v>-9535.7456636803963</v>
      </c>
      <c r="AH592" s="1158">
        <f>-AH87</f>
        <v>-9588.1908191442399</v>
      </c>
      <c r="AI592" s="685"/>
      <c r="AJ592" s="685"/>
      <c r="AK592" s="685"/>
      <c r="AL592" s="685"/>
      <c r="AM592" s="685"/>
      <c r="AN592" s="685"/>
      <c r="AO592" s="685"/>
      <c r="AP592" s="685"/>
      <c r="AQ592" s="685"/>
      <c r="AR592" s="685"/>
      <c r="AS592" s="685"/>
      <c r="AT592" s="685"/>
      <c r="AU592" s="685"/>
      <c r="AV592" s="685"/>
      <c r="AW592" s="685"/>
      <c r="AX592" s="685"/>
      <c r="AY592" s="685"/>
      <c r="AZ592" s="685"/>
      <c r="BA592" s="685"/>
      <c r="BB592" s="685"/>
      <c r="BC592" s="685"/>
      <c r="BD592" s="685"/>
    </row>
    <row r="593" spans="1:56">
      <c r="A593" s="685"/>
      <c r="B593" s="1113" t="s">
        <v>458</v>
      </c>
      <c r="C593" s="1114"/>
      <c r="D593" s="1114"/>
      <c r="E593" s="1114"/>
      <c r="F593" s="1114"/>
      <c r="G593" s="1114"/>
      <c r="H593" s="1114">
        <f t="shared" ref="H593:AC593" si="418">SUM(H589:H592)</f>
        <v>6851.45</v>
      </c>
      <c r="I593" s="1114">
        <f t="shared" si="418"/>
        <v>1928.0699999999997</v>
      </c>
      <c r="J593" s="1114">
        <f t="shared" si="418"/>
        <v>5478.8600000000024</v>
      </c>
      <c r="K593" s="1114">
        <f t="shared" si="418"/>
        <v>5666.2400000000034</v>
      </c>
      <c r="L593" s="1114">
        <f t="shared" si="418"/>
        <v>3534.1488906250015</v>
      </c>
      <c r="M593" s="1114">
        <f t="shared" si="418"/>
        <v>4596.0390000000007</v>
      </c>
      <c r="N593" s="1114">
        <f t="shared" si="418"/>
        <v>-6036.4980000000069</v>
      </c>
      <c r="O593" s="1114">
        <f t="shared" si="418"/>
        <v>-4678.3800000000083</v>
      </c>
      <c r="P593" s="1114">
        <f t="shared" si="418"/>
        <v>4668.1700000000019</v>
      </c>
      <c r="Q593" s="1114">
        <f t="shared" si="418"/>
        <v>4307.4500000000007</v>
      </c>
      <c r="R593" s="1114">
        <f t="shared" si="418"/>
        <v>6664.0749999999971</v>
      </c>
      <c r="S593" s="1114">
        <f t="shared" si="418"/>
        <v>6162.8879999999954</v>
      </c>
      <c r="T593" s="1114">
        <f t="shared" si="418"/>
        <v>3246.7077295869312</v>
      </c>
      <c r="U593" s="1114">
        <f t="shared" si="418"/>
        <v>-8847.8300000000017</v>
      </c>
      <c r="V593" s="1114">
        <f t="shared" si="418"/>
        <v>-3405.5879999999979</v>
      </c>
      <c r="W593" s="1114">
        <f t="shared" si="418"/>
        <v>3091.0409999999956</v>
      </c>
      <c r="X593" s="1114">
        <f t="shared" si="418"/>
        <v>3559.9129599999997</v>
      </c>
      <c r="Y593" s="1114">
        <f t="shared" ca="1" si="418"/>
        <v>2040.2805646272391</v>
      </c>
      <c r="Z593" s="1114">
        <f t="shared" ca="1" si="418"/>
        <v>5679.1748471258907</v>
      </c>
      <c r="AA593" s="1114">
        <f t="shared" ca="1" si="418"/>
        <v>6389.8670824559322</v>
      </c>
      <c r="AB593" s="1114">
        <f t="shared" ca="1" si="418"/>
        <v>6830.4382488311439</v>
      </c>
      <c r="AC593" s="1114">
        <f t="shared" ca="1" si="418"/>
        <v>7490.4014531974408</v>
      </c>
      <c r="AD593" s="1114">
        <f ca="1">SUM(AD589:AD592)</f>
        <v>8140.0198321071439</v>
      </c>
      <c r="AE593" s="1114">
        <f ca="1">SUM(AE589:AE592)</f>
        <v>8655.189367680734</v>
      </c>
      <c r="AF593" s="1114">
        <f ca="1">SUM(AF589:AF592)</f>
        <v>9180.7657646494044</v>
      </c>
      <c r="AG593" s="1114">
        <f ca="1">SUM(AG589:AG592)</f>
        <v>9416.0412482739503</v>
      </c>
      <c r="AH593" s="1114">
        <f ca="1">SUM(AH589:AH592)</f>
        <v>9702.8322919764632</v>
      </c>
      <c r="AI593" s="685"/>
      <c r="AJ593" s="685"/>
      <c r="AK593" s="685"/>
      <c r="AL593" s="685"/>
      <c r="AM593" s="685"/>
      <c r="AN593" s="685"/>
      <c r="AO593" s="685"/>
      <c r="AP593" s="685"/>
      <c r="AQ593" s="685"/>
      <c r="AR593" s="685"/>
      <c r="AS593" s="685"/>
      <c r="AT593" s="685"/>
      <c r="AU593" s="685"/>
      <c r="AV593" s="685"/>
      <c r="AW593" s="685"/>
      <c r="AX593" s="685"/>
      <c r="AY593" s="685"/>
      <c r="AZ593" s="685"/>
      <c r="BA593" s="685"/>
      <c r="BB593" s="685"/>
      <c r="BC593" s="685"/>
      <c r="BD593" s="685"/>
    </row>
    <row r="594" spans="1:56">
      <c r="A594" s="685"/>
      <c r="B594" s="1115" t="s">
        <v>459</v>
      </c>
      <c r="C594" s="1211"/>
      <c r="D594" s="1164"/>
      <c r="E594" s="1164"/>
      <c r="F594" s="1164"/>
      <c r="G594" s="1164"/>
      <c r="H594" s="1164"/>
      <c r="I594" s="1164"/>
      <c r="J594" s="1169">
        <f t="shared" ref="J594:AC594" si="419">J593/J573</f>
        <v>9.6867899734251512</v>
      </c>
      <c r="K594" s="1169">
        <f t="shared" si="419"/>
        <v>9.9196148445720258</v>
      </c>
      <c r="L594" s="1169">
        <f t="shared" si="419"/>
        <v>6.1623207572380148</v>
      </c>
      <c r="M594" s="1169">
        <f t="shared" si="419"/>
        <v>7.9533651673095589</v>
      </c>
      <c r="N594" s="1169">
        <f t="shared" si="419"/>
        <v>-10.433308013436989</v>
      </c>
      <c r="O594" s="1169">
        <f t="shared" si="419"/>
        <v>-8.0859762637051098</v>
      </c>
      <c r="P594" s="1169">
        <f t="shared" si="419"/>
        <v>8.0683295959157295</v>
      </c>
      <c r="Q594" s="1169">
        <f t="shared" si="419"/>
        <v>7.4479500876513445</v>
      </c>
      <c r="R594" s="1169">
        <f t="shared" si="419"/>
        <v>11.660617861263043</v>
      </c>
      <c r="S594" s="1169">
        <f t="shared" si="419"/>
        <v>10.748290711807643</v>
      </c>
      <c r="T594" s="1169">
        <f t="shared" si="419"/>
        <v>5.6623710399853637</v>
      </c>
      <c r="U594" s="1169">
        <f t="shared" si="419"/>
        <v>-15.430922809022833</v>
      </c>
      <c r="V594" s="1169">
        <f t="shared" si="419"/>
        <v>-6.1494243563962163</v>
      </c>
      <c r="W594" s="1169">
        <f t="shared" si="419"/>
        <v>5.7322829826933868</v>
      </c>
      <c r="X594" s="1169">
        <f t="shared" si="419"/>
        <v>6.6938283926062017</v>
      </c>
      <c r="Y594" s="1169">
        <f t="shared" ca="1" si="419"/>
        <v>3.8364106442603663</v>
      </c>
      <c r="Z594" s="1169">
        <f t="shared" ca="1" si="419"/>
        <v>8.598734915006041</v>
      </c>
      <c r="AA594" s="1169">
        <f t="shared" ca="1" si="419"/>
        <v>9.6747810488645172</v>
      </c>
      <c r="AB594" s="1169">
        <f t="shared" ca="1" si="419"/>
        <v>10.34184180554692</v>
      </c>
      <c r="AC594" s="1169">
        <f t="shared" ca="1" si="419"/>
        <v>11.341080040107645</v>
      </c>
      <c r="AD594" s="1169">
        <f ca="1">AD593/AD573</f>
        <v>12.324655363376198</v>
      </c>
      <c r="AE594" s="1169">
        <f ca="1">AE593/AE573</f>
        <v>13.104664148442202</v>
      </c>
      <c r="AF594" s="1169">
        <f ca="1">AF593/AF573</f>
        <v>13.900429772281852</v>
      </c>
      <c r="AG594" s="1169">
        <f ca="1">AG593/AG573</f>
        <v>14.256656085108116</v>
      </c>
      <c r="AH594" s="1169">
        <f ca="1">AH593/AH573</f>
        <v>14.690881166599283</v>
      </c>
      <c r="AI594" s="685"/>
      <c r="AJ594" s="685"/>
      <c r="AK594" s="685"/>
      <c r="AL594" s="685"/>
      <c r="AM594" s="685"/>
      <c r="AN594" s="685"/>
      <c r="AO594" s="685"/>
      <c r="AP594" s="685"/>
      <c r="AQ594" s="685"/>
      <c r="AR594" s="685"/>
      <c r="AS594" s="685"/>
      <c r="AT594" s="685"/>
      <c r="AU594" s="685"/>
      <c r="AV594" s="685"/>
      <c r="AW594" s="685"/>
      <c r="AX594" s="685"/>
      <c r="AY594" s="685"/>
      <c r="AZ594" s="685"/>
      <c r="BA594" s="685"/>
      <c r="BB594" s="685"/>
      <c r="BC594" s="685"/>
      <c r="BD594" s="685"/>
    </row>
    <row r="595" spans="1:56">
      <c r="A595" s="685"/>
      <c r="B595" s="1115" t="s">
        <v>192</v>
      </c>
      <c r="C595" s="1117"/>
      <c r="D595" s="1117"/>
      <c r="E595" s="1117"/>
      <c r="F595" s="1117"/>
      <c r="G595" s="1117"/>
      <c r="H595" s="1117"/>
      <c r="I595" s="1117"/>
      <c r="J595" s="1117"/>
      <c r="K595" s="1117">
        <f t="shared" ref="K595:AE595" si="420">K594/J594-1</f>
        <v>2.4035296706711895E-2</v>
      </c>
      <c r="L595" s="1117">
        <f t="shared" si="420"/>
        <v>-0.37877419095460019</v>
      </c>
      <c r="M595" s="1117">
        <f t="shared" si="420"/>
        <v>0.290644463446317</v>
      </c>
      <c r="N595" s="1117">
        <f t="shared" si="420"/>
        <v>-2.311810509634419</v>
      </c>
      <c r="O595" s="1117">
        <f t="shared" si="420"/>
        <v>-0.22498441977451122</v>
      </c>
      <c r="P595" s="1117">
        <f t="shared" si="420"/>
        <v>-1.9978176206293616</v>
      </c>
      <c r="Q595" s="1117">
        <f t="shared" si="420"/>
        <v>-7.6890699727788392E-2</v>
      </c>
      <c r="R595" s="1117">
        <f t="shared" si="420"/>
        <v>0.56561439376403388</v>
      </c>
      <c r="S595" s="1117">
        <f t="shared" si="420"/>
        <v>-7.8240034988727447E-2</v>
      </c>
      <c r="T595" s="1117">
        <f t="shared" si="420"/>
        <v>-0.47318404462535524</v>
      </c>
      <c r="U595" s="1117">
        <f t="shared" si="420"/>
        <v>-3.7251698449387942</v>
      </c>
      <c r="V595" s="1117">
        <f t="shared" si="420"/>
        <v>-0.60148693422272204</v>
      </c>
      <c r="W595" s="1117">
        <f t="shared" si="420"/>
        <v>-1.9321657850349931</v>
      </c>
      <c r="X595" s="1117">
        <f t="shared" si="420"/>
        <v>0.1677421391818692</v>
      </c>
      <c r="Y595" s="1117">
        <f t="shared" ca="1" si="420"/>
        <v>-0.4268734692245848</v>
      </c>
      <c r="Z595" s="1117">
        <f t="shared" ca="1" si="420"/>
        <v>1.2413489358524648</v>
      </c>
      <c r="AA595" s="1117">
        <f t="shared" ca="1" si="420"/>
        <v>0.1251400519372472</v>
      </c>
      <c r="AB595" s="1117">
        <f t="shared" ca="1" si="420"/>
        <v>6.8948408580336018E-2</v>
      </c>
      <c r="AC595" s="1117">
        <f t="shared" ca="1" si="420"/>
        <v>9.662091659773564E-2</v>
      </c>
      <c r="AD595" s="1117">
        <f t="shared" ca="1" si="420"/>
        <v>8.6726777325452753E-2</v>
      </c>
      <c r="AE595" s="1117">
        <f t="shared" ca="1" si="420"/>
        <v>6.3288486539256006E-2</v>
      </c>
      <c r="AF595" s="1117">
        <f ca="1">AF594/AE594-1</f>
        <v>6.0723847236805684E-2</v>
      </c>
      <c r="AG595" s="1117">
        <f ca="1">AG594/AF594-1</f>
        <v>2.5626999931800398E-2</v>
      </c>
      <c r="AH595" s="1117">
        <f ca="1">AH594/AG594-1</f>
        <v>3.0457708939527484E-2</v>
      </c>
      <c r="AI595" s="685"/>
      <c r="AJ595" s="685"/>
      <c r="AK595" s="685"/>
      <c r="AL595" s="685"/>
      <c r="AM595" s="685"/>
      <c r="AN595" s="685"/>
      <c r="AO595" s="685"/>
      <c r="AP595" s="685"/>
      <c r="AQ595" s="685"/>
      <c r="AR595" s="685"/>
      <c r="AS595" s="685"/>
      <c r="AT595" s="685"/>
      <c r="AU595" s="685"/>
      <c r="AV595" s="685"/>
      <c r="AW595" s="685"/>
      <c r="AX595" s="685"/>
      <c r="AY595" s="685"/>
      <c r="AZ595" s="685"/>
      <c r="BA595" s="685"/>
      <c r="BB595" s="685"/>
      <c r="BC595" s="685"/>
      <c r="BD595" s="685"/>
    </row>
    <row r="596" spans="1:56">
      <c r="A596" s="685"/>
      <c r="B596" s="944"/>
      <c r="C596" s="944"/>
      <c r="D596" s="944"/>
      <c r="E596" s="944"/>
      <c r="F596" s="944"/>
      <c r="G596" s="944"/>
      <c r="H596" s="944"/>
      <c r="I596" s="944"/>
      <c r="J596" s="944"/>
      <c r="K596" s="944"/>
      <c r="L596" s="944"/>
      <c r="M596" s="944"/>
      <c r="N596" s="944"/>
      <c r="O596" s="944"/>
      <c r="P596" s="944"/>
      <c r="Q596" s="944"/>
      <c r="R596" s="944"/>
      <c r="S596" s="944"/>
      <c r="T596" s="944"/>
      <c r="U596" s="944"/>
      <c r="V596" s="944"/>
      <c r="W596" s="944"/>
      <c r="X596" s="944"/>
      <c r="Y596" s="944"/>
      <c r="Z596" s="944"/>
      <c r="AA596" s="944"/>
      <c r="AB596" s="944"/>
      <c r="AC596" s="944"/>
      <c r="AD596" s="944"/>
      <c r="AE596" s="944"/>
      <c r="AF596" s="944"/>
      <c r="AG596" s="944"/>
      <c r="AH596" s="944"/>
      <c r="AI596" s="685"/>
      <c r="AJ596" s="685"/>
      <c r="AK596" s="685"/>
      <c r="AL596" s="685"/>
      <c r="AM596" s="685"/>
      <c r="AN596" s="685"/>
      <c r="AO596" s="685"/>
      <c r="AP596" s="685"/>
      <c r="AQ596" s="685"/>
      <c r="AR596" s="685"/>
      <c r="AS596" s="685"/>
      <c r="AT596" s="685"/>
      <c r="AU596" s="685"/>
      <c r="AV596" s="685"/>
      <c r="AW596" s="685"/>
      <c r="AX596" s="685"/>
      <c r="AY596" s="685"/>
      <c r="AZ596" s="685"/>
      <c r="BA596" s="685"/>
      <c r="BB596" s="685"/>
      <c r="BC596" s="685"/>
      <c r="BD596" s="685"/>
    </row>
    <row r="597" spans="1:56" hidden="1">
      <c r="A597" s="685"/>
      <c r="B597" s="1113" t="s">
        <v>460</v>
      </c>
      <c r="C597" s="1115"/>
      <c r="D597" s="1112">
        <f t="shared" ref="D597:AH597" si="421">D2</f>
        <v>2005</v>
      </c>
      <c r="E597" s="1112">
        <f t="shared" si="421"/>
        <v>2006</v>
      </c>
      <c r="F597" s="1112">
        <f t="shared" si="421"/>
        <v>2007</v>
      </c>
      <c r="G597" s="1112">
        <f t="shared" si="421"/>
        <v>2008</v>
      </c>
      <c r="H597" s="1112">
        <f t="shared" si="421"/>
        <v>2009</v>
      </c>
      <c r="I597" s="1112">
        <f t="shared" si="421"/>
        <v>2010</v>
      </c>
      <c r="J597" s="1112">
        <f t="shared" si="421"/>
        <v>2011</v>
      </c>
      <c r="K597" s="1112">
        <f t="shared" si="421"/>
        <v>2012</v>
      </c>
      <c r="L597" s="1112">
        <f t="shared" si="421"/>
        <v>2013</v>
      </c>
      <c r="M597" s="1112">
        <f t="shared" si="421"/>
        <v>2014</v>
      </c>
      <c r="N597" s="1112">
        <f t="shared" si="421"/>
        <v>2015</v>
      </c>
      <c r="O597" s="1112">
        <f t="shared" si="421"/>
        <v>2016</v>
      </c>
      <c r="P597" s="1112">
        <f t="shared" si="421"/>
        <v>2017</v>
      </c>
      <c r="Q597" s="1112">
        <f t="shared" si="421"/>
        <v>2018</v>
      </c>
      <c r="R597" s="1112">
        <f t="shared" si="421"/>
        <v>2019</v>
      </c>
      <c r="S597" s="1112">
        <f t="shared" si="421"/>
        <v>2020</v>
      </c>
      <c r="T597" s="1112">
        <f t="shared" si="421"/>
        <v>2021</v>
      </c>
      <c r="U597" s="1112">
        <f t="shared" si="421"/>
        <v>2022</v>
      </c>
      <c r="V597" s="1112">
        <f t="shared" si="421"/>
        <v>2023</v>
      </c>
      <c r="W597" s="1112">
        <f t="shared" si="421"/>
        <v>2024</v>
      </c>
      <c r="X597" s="1112">
        <f t="shared" si="421"/>
        <v>2025</v>
      </c>
      <c r="Y597" s="1112">
        <f t="shared" si="421"/>
        <v>2026</v>
      </c>
      <c r="Z597" s="1112">
        <f t="shared" si="421"/>
        <v>2027</v>
      </c>
      <c r="AA597" s="1112">
        <f t="shared" si="421"/>
        <v>2028</v>
      </c>
      <c r="AB597" s="1112">
        <f t="shared" si="421"/>
        <v>2029</v>
      </c>
      <c r="AC597" s="1112">
        <f t="shared" si="421"/>
        <v>2030</v>
      </c>
      <c r="AD597" s="1112">
        <f t="shared" si="421"/>
        <v>2031</v>
      </c>
      <c r="AE597" s="1112">
        <f t="shared" si="421"/>
        <v>2032</v>
      </c>
      <c r="AF597" s="1112">
        <f t="shared" si="421"/>
        <v>2033</v>
      </c>
      <c r="AG597" s="1112">
        <f t="shared" si="421"/>
        <v>2034</v>
      </c>
      <c r="AH597" s="1112">
        <f t="shared" si="421"/>
        <v>2035</v>
      </c>
      <c r="AI597" s="685"/>
      <c r="AJ597" s="685"/>
      <c r="AK597" s="685"/>
      <c r="AL597" s="685"/>
      <c r="AM597" s="685"/>
      <c r="AN597" s="685"/>
      <c r="AO597" s="685"/>
      <c r="AP597" s="685"/>
      <c r="AQ597" s="685"/>
      <c r="AR597" s="685"/>
      <c r="AS597" s="685"/>
      <c r="AT597" s="685"/>
      <c r="AU597" s="685"/>
      <c r="AV597" s="685"/>
      <c r="AW597" s="685"/>
      <c r="AX597" s="685"/>
      <c r="AY597" s="685"/>
      <c r="AZ597" s="685"/>
      <c r="BA597" s="685"/>
      <c r="BB597" s="685"/>
      <c r="BC597" s="685"/>
      <c r="BD597" s="685"/>
    </row>
    <row r="598" spans="1:56" hidden="1">
      <c r="A598" s="685"/>
      <c r="B598" s="1115" t="s">
        <v>461</v>
      </c>
      <c r="C598" s="1115"/>
      <c r="D598" s="1212"/>
      <c r="E598" s="1212"/>
      <c r="F598" s="1212"/>
      <c r="G598" s="1212"/>
      <c r="H598" s="1212"/>
      <c r="I598" s="1212"/>
      <c r="J598" s="1212"/>
      <c r="K598" s="1212"/>
      <c r="L598" s="1212"/>
      <c r="M598" s="1212"/>
      <c r="N598" s="1212"/>
      <c r="O598" s="1212"/>
      <c r="P598" s="1212"/>
      <c r="Q598" s="1212"/>
      <c r="R598" s="1212"/>
      <c r="S598" s="1212"/>
      <c r="T598" s="1212"/>
      <c r="U598" s="1212"/>
      <c r="V598" s="1212"/>
      <c r="W598" s="1212"/>
      <c r="X598" s="1212"/>
      <c r="Y598" s="1212"/>
      <c r="Z598" s="1212"/>
      <c r="AA598" s="1212"/>
      <c r="AB598" s="1212"/>
      <c r="AC598" s="1212"/>
      <c r="AD598" s="1212"/>
      <c r="AE598" s="1212"/>
      <c r="AF598" s="1212"/>
      <c r="AG598" s="1212"/>
      <c r="AH598" s="1212"/>
      <c r="AI598" s="685"/>
      <c r="AJ598" s="685"/>
      <c r="AK598" s="685"/>
      <c r="AL598" s="685"/>
      <c r="AM598" s="685"/>
      <c r="AN598" s="685"/>
      <c r="AO598" s="685"/>
      <c r="AP598" s="685"/>
      <c r="AQ598" s="685"/>
      <c r="AR598" s="685"/>
      <c r="AS598" s="685"/>
      <c r="AT598" s="685"/>
      <c r="AU598" s="685"/>
      <c r="AV598" s="685"/>
      <c r="AW598" s="685"/>
      <c r="AX598" s="685"/>
      <c r="AY598" s="685"/>
      <c r="AZ598" s="685"/>
      <c r="BA598" s="685"/>
      <c r="BB598" s="685"/>
      <c r="BC598" s="685"/>
      <c r="BD598" s="685"/>
    </row>
    <row r="599" spans="1:56" hidden="1">
      <c r="A599" s="685"/>
      <c r="B599" s="1115" t="s">
        <v>461</v>
      </c>
      <c r="C599" s="1115"/>
      <c r="D599" s="1212"/>
      <c r="E599" s="1212"/>
      <c r="F599" s="1212"/>
      <c r="G599" s="1212"/>
      <c r="H599" s="1212"/>
      <c r="I599" s="1212"/>
      <c r="J599" s="1212">
        <f t="shared" ref="J599:AE599" si="422">I599+J610-J621</f>
        <v>0</v>
      </c>
      <c r="K599" s="1212">
        <f t="shared" si="422"/>
        <v>0</v>
      </c>
      <c r="L599" s="1212">
        <f t="shared" si="422"/>
        <v>0</v>
      </c>
      <c r="M599" s="1212">
        <f t="shared" si="422"/>
        <v>0</v>
      </c>
      <c r="N599" s="1212">
        <f t="shared" si="422"/>
        <v>0</v>
      </c>
      <c r="O599" s="1212">
        <f t="shared" si="422"/>
        <v>0</v>
      </c>
      <c r="P599" s="1212">
        <f t="shared" si="422"/>
        <v>0</v>
      </c>
      <c r="Q599" s="1212">
        <f t="shared" si="422"/>
        <v>0</v>
      </c>
      <c r="R599" s="1212">
        <f t="shared" si="422"/>
        <v>0</v>
      </c>
      <c r="S599" s="1212">
        <f t="shared" si="422"/>
        <v>0</v>
      </c>
      <c r="T599" s="1212">
        <f t="shared" si="422"/>
        <v>0</v>
      </c>
      <c r="U599" s="1212">
        <f t="shared" si="422"/>
        <v>0</v>
      </c>
      <c r="V599" s="1212">
        <f t="shared" si="422"/>
        <v>0</v>
      </c>
      <c r="W599" s="1212">
        <f t="shared" si="422"/>
        <v>0</v>
      </c>
      <c r="X599" s="1212">
        <f t="shared" si="422"/>
        <v>0</v>
      </c>
      <c r="Y599" s="1212">
        <f t="shared" si="422"/>
        <v>0</v>
      </c>
      <c r="Z599" s="1212">
        <f t="shared" si="422"/>
        <v>0</v>
      </c>
      <c r="AA599" s="1212">
        <f t="shared" si="422"/>
        <v>0</v>
      </c>
      <c r="AB599" s="1212">
        <f t="shared" si="422"/>
        <v>0</v>
      </c>
      <c r="AC599" s="1212">
        <f t="shared" si="422"/>
        <v>0</v>
      </c>
      <c r="AD599" s="1212">
        <f t="shared" si="422"/>
        <v>0</v>
      </c>
      <c r="AE599" s="1212">
        <f t="shared" si="422"/>
        <v>0</v>
      </c>
      <c r="AF599" s="1212">
        <f t="shared" ref="AF599:AF606" si="423">AE599+AF610-AF621</f>
        <v>0</v>
      </c>
      <c r="AG599" s="1212">
        <f t="shared" ref="AG599:AG606" si="424">AF599+AG610-AG621</f>
        <v>0</v>
      </c>
      <c r="AH599" s="1212">
        <f t="shared" ref="AH599:AH606" si="425">AG599+AH610-AH621</f>
        <v>0</v>
      </c>
      <c r="AI599" s="685"/>
      <c r="AJ599" s="685"/>
      <c r="AK599" s="685"/>
      <c r="AL599" s="685"/>
      <c r="AM599" s="685"/>
      <c r="AN599" s="685"/>
      <c r="AO599" s="685"/>
      <c r="AP599" s="685"/>
      <c r="AQ599" s="685"/>
      <c r="AR599" s="685"/>
      <c r="AS599" s="685"/>
      <c r="AT599" s="685"/>
      <c r="AU599" s="685"/>
      <c r="AV599" s="685"/>
      <c r="AW599" s="685"/>
      <c r="AX599" s="685"/>
      <c r="AY599" s="685"/>
      <c r="AZ599" s="685"/>
      <c r="BA599" s="685"/>
      <c r="BB599" s="685"/>
      <c r="BC599" s="685"/>
      <c r="BD599" s="685"/>
    </row>
    <row r="600" spans="1:56" hidden="1">
      <c r="A600" s="685"/>
      <c r="B600" s="1115" t="s">
        <v>461</v>
      </c>
      <c r="C600" s="1115"/>
      <c r="D600" s="1212"/>
      <c r="E600" s="1212"/>
      <c r="F600" s="1212"/>
      <c r="G600" s="1212"/>
      <c r="H600" s="1212"/>
      <c r="I600" s="1212"/>
      <c r="J600" s="1212">
        <f t="shared" ref="J600:AE600" si="426">I600+J611-J622</f>
        <v>0</v>
      </c>
      <c r="K600" s="1212">
        <f t="shared" si="426"/>
        <v>0</v>
      </c>
      <c r="L600" s="1212">
        <f t="shared" si="426"/>
        <v>0</v>
      </c>
      <c r="M600" s="1212">
        <f t="shared" si="426"/>
        <v>0</v>
      </c>
      <c r="N600" s="1212">
        <f t="shared" si="426"/>
        <v>0</v>
      </c>
      <c r="O600" s="1212">
        <f t="shared" si="426"/>
        <v>0</v>
      </c>
      <c r="P600" s="1212">
        <f t="shared" si="426"/>
        <v>0</v>
      </c>
      <c r="Q600" s="1212">
        <f t="shared" si="426"/>
        <v>0</v>
      </c>
      <c r="R600" s="1212">
        <f t="shared" si="426"/>
        <v>0</v>
      </c>
      <c r="S600" s="1212">
        <f t="shared" si="426"/>
        <v>0</v>
      </c>
      <c r="T600" s="1212">
        <f t="shared" si="426"/>
        <v>0</v>
      </c>
      <c r="U600" s="1212">
        <f t="shared" si="426"/>
        <v>0</v>
      </c>
      <c r="V600" s="1212">
        <f t="shared" si="426"/>
        <v>0</v>
      </c>
      <c r="W600" s="1212">
        <f t="shared" si="426"/>
        <v>0</v>
      </c>
      <c r="X600" s="1212">
        <f t="shared" si="426"/>
        <v>0</v>
      </c>
      <c r="Y600" s="1212">
        <f t="shared" si="426"/>
        <v>0</v>
      </c>
      <c r="Z600" s="1212">
        <f t="shared" si="426"/>
        <v>0</v>
      </c>
      <c r="AA600" s="1212">
        <f t="shared" si="426"/>
        <v>0</v>
      </c>
      <c r="AB600" s="1212">
        <f t="shared" si="426"/>
        <v>0</v>
      </c>
      <c r="AC600" s="1212">
        <f t="shared" si="426"/>
        <v>0</v>
      </c>
      <c r="AD600" s="1212">
        <f t="shared" si="426"/>
        <v>0</v>
      </c>
      <c r="AE600" s="1212">
        <f t="shared" si="426"/>
        <v>0</v>
      </c>
      <c r="AF600" s="1212">
        <f t="shared" si="423"/>
        <v>0</v>
      </c>
      <c r="AG600" s="1212">
        <f t="shared" si="424"/>
        <v>0</v>
      </c>
      <c r="AH600" s="1212">
        <f t="shared" si="425"/>
        <v>0</v>
      </c>
      <c r="AI600" s="685"/>
      <c r="AJ600" s="685"/>
      <c r="AK600" s="685"/>
      <c r="AL600" s="685"/>
      <c r="AM600" s="685"/>
      <c r="AN600" s="685"/>
      <c r="AO600" s="685"/>
      <c r="AP600" s="685"/>
      <c r="AQ600" s="685"/>
      <c r="AR600" s="685"/>
      <c r="AS600" s="685"/>
      <c r="AT600" s="685"/>
      <c r="AU600" s="685"/>
      <c r="AV600" s="685"/>
      <c r="AW600" s="685"/>
      <c r="AX600" s="685"/>
      <c r="AY600" s="685"/>
      <c r="AZ600" s="685"/>
      <c r="BA600" s="685"/>
      <c r="BB600" s="685"/>
      <c r="BC600" s="685"/>
      <c r="BD600" s="685"/>
    </row>
    <row r="601" spans="1:56" hidden="1">
      <c r="A601" s="685"/>
      <c r="B601" s="1115" t="s">
        <v>461</v>
      </c>
      <c r="C601" s="1115"/>
      <c r="D601" s="1212"/>
      <c r="E601" s="1212"/>
      <c r="F601" s="1212"/>
      <c r="G601" s="1212"/>
      <c r="H601" s="1212"/>
      <c r="I601" s="1212"/>
      <c r="J601" s="1212">
        <f t="shared" ref="J601:AE601" si="427">I601+J612-J623</f>
        <v>0</v>
      </c>
      <c r="K601" s="1212">
        <f t="shared" si="427"/>
        <v>0</v>
      </c>
      <c r="L601" s="1212">
        <f t="shared" si="427"/>
        <v>0</v>
      </c>
      <c r="M601" s="1212">
        <f t="shared" si="427"/>
        <v>0</v>
      </c>
      <c r="N601" s="1212">
        <f t="shared" si="427"/>
        <v>0</v>
      </c>
      <c r="O601" s="1212">
        <f t="shared" si="427"/>
        <v>0</v>
      </c>
      <c r="P601" s="1212">
        <f t="shared" si="427"/>
        <v>0</v>
      </c>
      <c r="Q601" s="1212">
        <f t="shared" si="427"/>
        <v>0</v>
      </c>
      <c r="R601" s="1212">
        <f t="shared" si="427"/>
        <v>0</v>
      </c>
      <c r="S601" s="1212">
        <f t="shared" si="427"/>
        <v>0</v>
      </c>
      <c r="T601" s="1212">
        <f t="shared" si="427"/>
        <v>0</v>
      </c>
      <c r="U601" s="1212">
        <f t="shared" si="427"/>
        <v>0</v>
      </c>
      <c r="V601" s="1212">
        <f t="shared" si="427"/>
        <v>0</v>
      </c>
      <c r="W601" s="1212">
        <f t="shared" si="427"/>
        <v>0</v>
      </c>
      <c r="X601" s="1212">
        <f t="shared" si="427"/>
        <v>0</v>
      </c>
      <c r="Y601" s="1212">
        <f t="shared" si="427"/>
        <v>0</v>
      </c>
      <c r="Z601" s="1212">
        <f t="shared" si="427"/>
        <v>0</v>
      </c>
      <c r="AA601" s="1212">
        <f t="shared" si="427"/>
        <v>0</v>
      </c>
      <c r="AB601" s="1212">
        <f t="shared" si="427"/>
        <v>0</v>
      </c>
      <c r="AC601" s="1212">
        <f t="shared" si="427"/>
        <v>0</v>
      </c>
      <c r="AD601" s="1212">
        <f t="shared" si="427"/>
        <v>0</v>
      </c>
      <c r="AE601" s="1212">
        <f t="shared" si="427"/>
        <v>0</v>
      </c>
      <c r="AF601" s="1212">
        <f t="shared" si="423"/>
        <v>0</v>
      </c>
      <c r="AG601" s="1212">
        <f t="shared" si="424"/>
        <v>0</v>
      </c>
      <c r="AH601" s="1212">
        <f t="shared" si="425"/>
        <v>0</v>
      </c>
      <c r="AI601" s="685"/>
      <c r="AJ601" s="685"/>
      <c r="AK601" s="685"/>
      <c r="AL601" s="685"/>
      <c r="AM601" s="685"/>
      <c r="AN601" s="685"/>
      <c r="AO601" s="685"/>
      <c r="AP601" s="685"/>
      <c r="AQ601" s="685"/>
      <c r="AR601" s="685"/>
      <c r="AS601" s="685"/>
      <c r="AT601" s="685"/>
      <c r="AU601" s="685"/>
      <c r="AV601" s="685"/>
      <c r="AW601" s="685"/>
      <c r="AX601" s="685"/>
      <c r="AY601" s="685"/>
      <c r="AZ601" s="685"/>
      <c r="BA601" s="685"/>
      <c r="BB601" s="685"/>
      <c r="BC601" s="685"/>
      <c r="BD601" s="685"/>
    </row>
    <row r="602" spans="1:56" hidden="1">
      <c r="A602" s="685"/>
      <c r="B602" s="1115" t="s">
        <v>461</v>
      </c>
      <c r="C602" s="1115"/>
      <c r="D602" s="1212"/>
      <c r="E602" s="1212"/>
      <c r="F602" s="1212"/>
      <c r="G602" s="1212"/>
      <c r="H602" s="1212"/>
      <c r="I602" s="1212"/>
      <c r="J602" s="1212">
        <f t="shared" ref="J602:AE602" si="428">I602+J613-J624</f>
        <v>0</v>
      </c>
      <c r="K602" s="1212">
        <f t="shared" si="428"/>
        <v>0</v>
      </c>
      <c r="L602" s="1212">
        <f t="shared" si="428"/>
        <v>0</v>
      </c>
      <c r="M602" s="1212">
        <f t="shared" si="428"/>
        <v>0</v>
      </c>
      <c r="N602" s="1212">
        <f t="shared" si="428"/>
        <v>0</v>
      </c>
      <c r="O602" s="1212">
        <f t="shared" si="428"/>
        <v>0</v>
      </c>
      <c r="P602" s="1212">
        <f t="shared" si="428"/>
        <v>0</v>
      </c>
      <c r="Q602" s="1212">
        <f t="shared" si="428"/>
        <v>0</v>
      </c>
      <c r="R602" s="1212">
        <f t="shared" si="428"/>
        <v>0</v>
      </c>
      <c r="S602" s="1212">
        <f t="shared" si="428"/>
        <v>0</v>
      </c>
      <c r="T602" s="1212">
        <f t="shared" si="428"/>
        <v>0</v>
      </c>
      <c r="U602" s="1212">
        <f t="shared" si="428"/>
        <v>0</v>
      </c>
      <c r="V602" s="1212">
        <f t="shared" si="428"/>
        <v>0</v>
      </c>
      <c r="W602" s="1212">
        <f t="shared" si="428"/>
        <v>0</v>
      </c>
      <c r="X602" s="1212">
        <f t="shared" si="428"/>
        <v>0</v>
      </c>
      <c r="Y602" s="1212">
        <f t="shared" si="428"/>
        <v>0</v>
      </c>
      <c r="Z602" s="1212">
        <f t="shared" si="428"/>
        <v>0</v>
      </c>
      <c r="AA602" s="1212">
        <f t="shared" si="428"/>
        <v>0</v>
      </c>
      <c r="AB602" s="1212">
        <f t="shared" si="428"/>
        <v>0</v>
      </c>
      <c r="AC602" s="1212">
        <f t="shared" si="428"/>
        <v>0</v>
      </c>
      <c r="AD602" s="1212">
        <f t="shared" si="428"/>
        <v>0</v>
      </c>
      <c r="AE602" s="1212">
        <f t="shared" si="428"/>
        <v>0</v>
      </c>
      <c r="AF602" s="1212">
        <f t="shared" si="423"/>
        <v>0</v>
      </c>
      <c r="AG602" s="1212">
        <f t="shared" si="424"/>
        <v>0</v>
      </c>
      <c r="AH602" s="1212">
        <f t="shared" si="425"/>
        <v>0</v>
      </c>
      <c r="AI602" s="685"/>
      <c r="AJ602" s="685"/>
      <c r="AK602" s="685"/>
      <c r="AL602" s="685"/>
      <c r="AM602" s="685"/>
      <c r="AN602" s="685"/>
      <c r="AO602" s="685"/>
      <c r="AP602" s="685"/>
      <c r="AQ602" s="685"/>
      <c r="AR602" s="685"/>
      <c r="AS602" s="685"/>
      <c r="AT602" s="685"/>
      <c r="AU602" s="685"/>
      <c r="AV602" s="685"/>
      <c r="AW602" s="685"/>
      <c r="AX602" s="685"/>
      <c r="AY602" s="685"/>
      <c r="AZ602" s="685"/>
      <c r="BA602" s="685"/>
      <c r="BB602" s="685"/>
      <c r="BC602" s="685"/>
      <c r="BD602" s="685"/>
    </row>
    <row r="603" spans="1:56" hidden="1">
      <c r="A603" s="685"/>
      <c r="B603" s="1115" t="s">
        <v>461</v>
      </c>
      <c r="C603" s="1115"/>
      <c r="D603" s="1212"/>
      <c r="E603" s="1212"/>
      <c r="F603" s="1212"/>
      <c r="G603" s="1212"/>
      <c r="H603" s="1212"/>
      <c r="I603" s="1212"/>
      <c r="J603" s="1212">
        <f t="shared" ref="J603:AE603" si="429">I603+J614-J625</f>
        <v>0</v>
      </c>
      <c r="K603" s="1212">
        <f t="shared" si="429"/>
        <v>0</v>
      </c>
      <c r="L603" s="1212">
        <f t="shared" si="429"/>
        <v>0</v>
      </c>
      <c r="M603" s="1212">
        <f t="shared" si="429"/>
        <v>0</v>
      </c>
      <c r="N603" s="1212">
        <f t="shared" si="429"/>
        <v>0</v>
      </c>
      <c r="O603" s="1212">
        <f t="shared" si="429"/>
        <v>0</v>
      </c>
      <c r="P603" s="1212">
        <f t="shared" si="429"/>
        <v>0</v>
      </c>
      <c r="Q603" s="1212">
        <f t="shared" si="429"/>
        <v>0</v>
      </c>
      <c r="R603" s="1212">
        <f t="shared" si="429"/>
        <v>0</v>
      </c>
      <c r="S603" s="1212">
        <f t="shared" si="429"/>
        <v>0</v>
      </c>
      <c r="T603" s="1212">
        <f t="shared" si="429"/>
        <v>0</v>
      </c>
      <c r="U603" s="1212">
        <f t="shared" si="429"/>
        <v>0</v>
      </c>
      <c r="V603" s="1212">
        <f t="shared" si="429"/>
        <v>0</v>
      </c>
      <c r="W603" s="1212">
        <f t="shared" si="429"/>
        <v>0</v>
      </c>
      <c r="X603" s="1212">
        <f t="shared" si="429"/>
        <v>0</v>
      </c>
      <c r="Y603" s="1212">
        <f t="shared" si="429"/>
        <v>0</v>
      </c>
      <c r="Z603" s="1212">
        <f t="shared" si="429"/>
        <v>0</v>
      </c>
      <c r="AA603" s="1212">
        <f t="shared" si="429"/>
        <v>0</v>
      </c>
      <c r="AB603" s="1212">
        <f t="shared" si="429"/>
        <v>0</v>
      </c>
      <c r="AC603" s="1212">
        <f t="shared" si="429"/>
        <v>0</v>
      </c>
      <c r="AD603" s="1212">
        <f t="shared" si="429"/>
        <v>0</v>
      </c>
      <c r="AE603" s="1212">
        <f t="shared" si="429"/>
        <v>0</v>
      </c>
      <c r="AF603" s="1212">
        <f t="shared" si="423"/>
        <v>0</v>
      </c>
      <c r="AG603" s="1212">
        <f t="shared" si="424"/>
        <v>0</v>
      </c>
      <c r="AH603" s="1212">
        <f t="shared" si="425"/>
        <v>0</v>
      </c>
      <c r="AI603" s="685"/>
      <c r="AJ603" s="685"/>
      <c r="AK603" s="685"/>
      <c r="AL603" s="685"/>
      <c r="AM603" s="685"/>
      <c r="AN603" s="685"/>
      <c r="AO603" s="685"/>
      <c r="AP603" s="685"/>
      <c r="AQ603" s="685"/>
      <c r="AR603" s="685"/>
      <c r="AS603" s="685"/>
      <c r="AT603" s="685"/>
      <c r="AU603" s="685"/>
      <c r="AV603" s="685"/>
      <c r="AW603" s="685"/>
      <c r="AX603" s="685"/>
      <c r="AY603" s="685"/>
      <c r="AZ603" s="685"/>
      <c r="BA603" s="685"/>
      <c r="BB603" s="685"/>
      <c r="BC603" s="685"/>
      <c r="BD603" s="685"/>
    </row>
    <row r="604" spans="1:56" hidden="1">
      <c r="A604" s="685"/>
      <c r="B604" s="1115" t="s">
        <v>461</v>
      </c>
      <c r="C604" s="1115"/>
      <c r="D604" s="1212"/>
      <c r="E604" s="1212"/>
      <c r="F604" s="1212"/>
      <c r="G604" s="1212"/>
      <c r="H604" s="1212"/>
      <c r="I604" s="1212"/>
      <c r="J604" s="1212">
        <f t="shared" ref="J604:AE604" si="430">I604+J615-J626</f>
        <v>0</v>
      </c>
      <c r="K604" s="1212">
        <f t="shared" si="430"/>
        <v>0</v>
      </c>
      <c r="L604" s="1212">
        <f t="shared" si="430"/>
        <v>0</v>
      </c>
      <c r="M604" s="1212">
        <f t="shared" si="430"/>
        <v>0</v>
      </c>
      <c r="N604" s="1212">
        <f t="shared" si="430"/>
        <v>0</v>
      </c>
      <c r="O604" s="1212">
        <f t="shared" si="430"/>
        <v>0</v>
      </c>
      <c r="P604" s="1212">
        <f t="shared" si="430"/>
        <v>0</v>
      </c>
      <c r="Q604" s="1212">
        <f t="shared" si="430"/>
        <v>0</v>
      </c>
      <c r="R604" s="1212">
        <f t="shared" si="430"/>
        <v>0</v>
      </c>
      <c r="S604" s="1212">
        <f t="shared" si="430"/>
        <v>0</v>
      </c>
      <c r="T604" s="1212">
        <f t="shared" si="430"/>
        <v>0</v>
      </c>
      <c r="U604" s="1212">
        <f t="shared" si="430"/>
        <v>0</v>
      </c>
      <c r="V604" s="1212">
        <f t="shared" si="430"/>
        <v>0</v>
      </c>
      <c r="W604" s="1212">
        <f t="shared" si="430"/>
        <v>0</v>
      </c>
      <c r="X604" s="1212">
        <f t="shared" si="430"/>
        <v>0</v>
      </c>
      <c r="Y604" s="1212">
        <f t="shared" si="430"/>
        <v>0</v>
      </c>
      <c r="Z604" s="1212">
        <f t="shared" si="430"/>
        <v>0</v>
      </c>
      <c r="AA604" s="1212">
        <f t="shared" si="430"/>
        <v>0</v>
      </c>
      <c r="AB604" s="1212">
        <f t="shared" si="430"/>
        <v>0</v>
      </c>
      <c r="AC604" s="1212">
        <f t="shared" si="430"/>
        <v>0</v>
      </c>
      <c r="AD604" s="1212">
        <f t="shared" si="430"/>
        <v>0</v>
      </c>
      <c r="AE604" s="1212">
        <f t="shared" si="430"/>
        <v>0</v>
      </c>
      <c r="AF604" s="1212">
        <f t="shared" si="423"/>
        <v>0</v>
      </c>
      <c r="AG604" s="1212">
        <f t="shared" si="424"/>
        <v>0</v>
      </c>
      <c r="AH604" s="1212">
        <f t="shared" si="425"/>
        <v>0</v>
      </c>
      <c r="AI604" s="685"/>
      <c r="AJ604" s="685"/>
      <c r="AK604" s="685"/>
      <c r="AL604" s="685"/>
      <c r="AM604" s="685"/>
      <c r="AN604" s="685"/>
      <c r="AO604" s="685"/>
      <c r="AP604" s="685"/>
      <c r="AQ604" s="685"/>
      <c r="AR604" s="685"/>
      <c r="AS604" s="685"/>
      <c r="AT604" s="685"/>
      <c r="AU604" s="685"/>
      <c r="AV604" s="685"/>
      <c r="AW604" s="685"/>
      <c r="AX604" s="685"/>
      <c r="AY604" s="685"/>
      <c r="AZ604" s="685"/>
      <c r="BA604" s="685"/>
      <c r="BB604" s="685"/>
      <c r="BC604" s="685"/>
      <c r="BD604" s="685"/>
    </row>
    <row r="605" spans="1:56" hidden="1">
      <c r="A605" s="685"/>
      <c r="B605" s="1115" t="s">
        <v>461</v>
      </c>
      <c r="C605" s="1115"/>
      <c r="D605" s="1212"/>
      <c r="E605" s="1212"/>
      <c r="F605" s="1212"/>
      <c r="G605" s="1212"/>
      <c r="H605" s="1212"/>
      <c r="I605" s="1212"/>
      <c r="J605" s="1212">
        <f t="shared" ref="J605:AE605" si="431">I605+J616-J627</f>
        <v>0</v>
      </c>
      <c r="K605" s="1212">
        <f t="shared" si="431"/>
        <v>0</v>
      </c>
      <c r="L605" s="1212">
        <f t="shared" si="431"/>
        <v>0</v>
      </c>
      <c r="M605" s="1212">
        <f t="shared" si="431"/>
        <v>0</v>
      </c>
      <c r="N605" s="1212">
        <f t="shared" si="431"/>
        <v>0</v>
      </c>
      <c r="O605" s="1212">
        <f t="shared" si="431"/>
        <v>0</v>
      </c>
      <c r="P605" s="1212">
        <f t="shared" si="431"/>
        <v>0</v>
      </c>
      <c r="Q605" s="1212">
        <f t="shared" si="431"/>
        <v>0</v>
      </c>
      <c r="R605" s="1212">
        <f t="shared" si="431"/>
        <v>0</v>
      </c>
      <c r="S605" s="1212">
        <f t="shared" si="431"/>
        <v>0</v>
      </c>
      <c r="T605" s="1212">
        <f t="shared" si="431"/>
        <v>0</v>
      </c>
      <c r="U605" s="1212">
        <f t="shared" si="431"/>
        <v>0</v>
      </c>
      <c r="V605" s="1212">
        <f t="shared" si="431"/>
        <v>0</v>
      </c>
      <c r="W605" s="1212">
        <f t="shared" si="431"/>
        <v>0</v>
      </c>
      <c r="X605" s="1212">
        <f t="shared" si="431"/>
        <v>0</v>
      </c>
      <c r="Y605" s="1212">
        <f t="shared" si="431"/>
        <v>0</v>
      </c>
      <c r="Z605" s="1212">
        <f t="shared" si="431"/>
        <v>0</v>
      </c>
      <c r="AA605" s="1212">
        <f t="shared" si="431"/>
        <v>0</v>
      </c>
      <c r="AB605" s="1212">
        <f t="shared" si="431"/>
        <v>0</v>
      </c>
      <c r="AC605" s="1212">
        <f t="shared" si="431"/>
        <v>0</v>
      </c>
      <c r="AD605" s="1212">
        <f t="shared" si="431"/>
        <v>0</v>
      </c>
      <c r="AE605" s="1212">
        <f t="shared" si="431"/>
        <v>0</v>
      </c>
      <c r="AF605" s="1212">
        <f t="shared" si="423"/>
        <v>0</v>
      </c>
      <c r="AG605" s="1212">
        <f t="shared" si="424"/>
        <v>0</v>
      </c>
      <c r="AH605" s="1212">
        <f t="shared" si="425"/>
        <v>0</v>
      </c>
      <c r="AI605" s="685"/>
      <c r="AJ605" s="685"/>
      <c r="AK605" s="685"/>
      <c r="AL605" s="685"/>
      <c r="AM605" s="685"/>
      <c r="AN605" s="685"/>
      <c r="AO605" s="685"/>
      <c r="AP605" s="685"/>
      <c r="AQ605" s="685"/>
      <c r="AR605" s="685"/>
      <c r="AS605" s="685"/>
      <c r="AT605" s="685"/>
      <c r="AU605" s="685"/>
      <c r="AV605" s="685"/>
      <c r="AW605" s="685"/>
      <c r="AX605" s="685"/>
      <c r="AY605" s="685"/>
      <c r="AZ605" s="685"/>
      <c r="BA605" s="685"/>
      <c r="BB605" s="685"/>
      <c r="BC605" s="685"/>
      <c r="BD605" s="685"/>
    </row>
    <row r="606" spans="1:56" hidden="1">
      <c r="A606" s="685"/>
      <c r="B606" s="1115" t="s">
        <v>461</v>
      </c>
      <c r="C606" s="1115"/>
      <c r="D606" s="1213"/>
      <c r="E606" s="1213"/>
      <c r="F606" s="1213"/>
      <c r="G606" s="1213"/>
      <c r="H606" s="1213"/>
      <c r="I606" s="1213"/>
      <c r="J606" s="1213">
        <f t="shared" ref="J606:AE606" si="432">I606+J617-J628</f>
        <v>0</v>
      </c>
      <c r="K606" s="1213">
        <f t="shared" si="432"/>
        <v>0</v>
      </c>
      <c r="L606" s="1213">
        <f t="shared" si="432"/>
        <v>0</v>
      </c>
      <c r="M606" s="1213">
        <f t="shared" si="432"/>
        <v>0</v>
      </c>
      <c r="N606" s="1213">
        <f t="shared" si="432"/>
        <v>0</v>
      </c>
      <c r="O606" s="1213">
        <f t="shared" si="432"/>
        <v>0</v>
      </c>
      <c r="P606" s="1213">
        <f t="shared" si="432"/>
        <v>0</v>
      </c>
      <c r="Q606" s="1213">
        <f t="shared" si="432"/>
        <v>0</v>
      </c>
      <c r="R606" s="1213">
        <f t="shared" si="432"/>
        <v>0</v>
      </c>
      <c r="S606" s="1213">
        <f t="shared" si="432"/>
        <v>0</v>
      </c>
      <c r="T606" s="1213">
        <f t="shared" si="432"/>
        <v>0</v>
      </c>
      <c r="U606" s="1213">
        <f t="shared" si="432"/>
        <v>0</v>
      </c>
      <c r="V606" s="1213">
        <f t="shared" si="432"/>
        <v>0</v>
      </c>
      <c r="W606" s="1213">
        <f t="shared" si="432"/>
        <v>0</v>
      </c>
      <c r="X606" s="1213">
        <f t="shared" si="432"/>
        <v>0</v>
      </c>
      <c r="Y606" s="1213">
        <f t="shared" si="432"/>
        <v>0</v>
      </c>
      <c r="Z606" s="1213">
        <f t="shared" si="432"/>
        <v>0</v>
      </c>
      <c r="AA606" s="1213">
        <f t="shared" si="432"/>
        <v>0</v>
      </c>
      <c r="AB606" s="1213">
        <f t="shared" si="432"/>
        <v>0</v>
      </c>
      <c r="AC606" s="1213">
        <f t="shared" si="432"/>
        <v>0</v>
      </c>
      <c r="AD606" s="1213">
        <f t="shared" si="432"/>
        <v>0</v>
      </c>
      <c r="AE606" s="1213">
        <f t="shared" si="432"/>
        <v>0</v>
      </c>
      <c r="AF606" s="1213">
        <f t="shared" si="423"/>
        <v>0</v>
      </c>
      <c r="AG606" s="1213">
        <f t="shared" si="424"/>
        <v>0</v>
      </c>
      <c r="AH606" s="1213">
        <f t="shared" si="425"/>
        <v>0</v>
      </c>
      <c r="AI606" s="685"/>
      <c r="AJ606" s="685"/>
      <c r="AK606" s="685"/>
      <c r="AL606" s="685"/>
      <c r="AM606" s="685"/>
      <c r="AN606" s="685"/>
      <c r="AO606" s="685"/>
      <c r="AP606" s="685"/>
      <c r="AQ606" s="685"/>
      <c r="AR606" s="685"/>
      <c r="AS606" s="685"/>
      <c r="AT606" s="685"/>
      <c r="AU606" s="685"/>
      <c r="AV606" s="685"/>
      <c r="AW606" s="685"/>
      <c r="AX606" s="685"/>
      <c r="AY606" s="685"/>
      <c r="AZ606" s="685"/>
      <c r="BA606" s="685"/>
      <c r="BB606" s="685"/>
      <c r="BC606" s="685"/>
      <c r="BD606" s="685"/>
    </row>
    <row r="607" spans="1:56" hidden="1">
      <c r="A607" s="685"/>
      <c r="B607" s="1115" t="s">
        <v>85</v>
      </c>
      <c r="C607" s="1115"/>
      <c r="D607" s="1212"/>
      <c r="E607" s="1212">
        <f t="shared" ref="E607:AC607" si="433">SUM(E599:E606)</f>
        <v>0</v>
      </c>
      <c r="F607" s="1212">
        <f t="shared" si="433"/>
        <v>0</v>
      </c>
      <c r="G607" s="1212">
        <f t="shared" si="433"/>
        <v>0</v>
      </c>
      <c r="H607" s="1212">
        <f t="shared" si="433"/>
        <v>0</v>
      </c>
      <c r="I607" s="1212">
        <f t="shared" si="433"/>
        <v>0</v>
      </c>
      <c r="J607" s="1212">
        <f t="shared" si="433"/>
        <v>0</v>
      </c>
      <c r="K607" s="1212">
        <f t="shared" si="433"/>
        <v>0</v>
      </c>
      <c r="L607" s="1212">
        <f t="shared" si="433"/>
        <v>0</v>
      </c>
      <c r="M607" s="1212">
        <f t="shared" si="433"/>
        <v>0</v>
      </c>
      <c r="N607" s="1212">
        <f t="shared" si="433"/>
        <v>0</v>
      </c>
      <c r="O607" s="1212">
        <f t="shared" si="433"/>
        <v>0</v>
      </c>
      <c r="P607" s="1212">
        <f t="shared" si="433"/>
        <v>0</v>
      </c>
      <c r="Q607" s="1212">
        <f t="shared" si="433"/>
        <v>0</v>
      </c>
      <c r="R607" s="1212">
        <f t="shared" si="433"/>
        <v>0</v>
      </c>
      <c r="S607" s="1212">
        <f t="shared" si="433"/>
        <v>0</v>
      </c>
      <c r="T607" s="1212">
        <f t="shared" si="433"/>
        <v>0</v>
      </c>
      <c r="U607" s="1212">
        <f t="shared" si="433"/>
        <v>0</v>
      </c>
      <c r="V607" s="1212">
        <f t="shared" si="433"/>
        <v>0</v>
      </c>
      <c r="W607" s="1212">
        <f t="shared" si="433"/>
        <v>0</v>
      </c>
      <c r="X607" s="1212">
        <f t="shared" si="433"/>
        <v>0</v>
      </c>
      <c r="Y607" s="1212">
        <f t="shared" si="433"/>
        <v>0</v>
      </c>
      <c r="Z607" s="1212">
        <f t="shared" si="433"/>
        <v>0</v>
      </c>
      <c r="AA607" s="1212">
        <f t="shared" si="433"/>
        <v>0</v>
      </c>
      <c r="AB607" s="1212">
        <f t="shared" si="433"/>
        <v>0</v>
      </c>
      <c r="AC607" s="1212">
        <f t="shared" si="433"/>
        <v>0</v>
      </c>
      <c r="AD607" s="1212">
        <f>SUM(AD599:AD606)</f>
        <v>0</v>
      </c>
      <c r="AE607" s="1212">
        <f>SUM(AE599:AE606)</f>
        <v>0</v>
      </c>
      <c r="AF607" s="1212">
        <f>SUM(AF599:AF606)</f>
        <v>0</v>
      </c>
      <c r="AG607" s="1212">
        <f>SUM(AG599:AG606)</f>
        <v>0</v>
      </c>
      <c r="AH607" s="1212">
        <f>SUM(AH599:AH606)</f>
        <v>0</v>
      </c>
      <c r="AI607" s="685"/>
      <c r="AJ607" s="685"/>
      <c r="AK607" s="685"/>
      <c r="AL607" s="685"/>
      <c r="AM607" s="685"/>
      <c r="AN607" s="685"/>
      <c r="AO607" s="685"/>
      <c r="AP607" s="685"/>
      <c r="AQ607" s="685"/>
      <c r="AR607" s="685"/>
      <c r="AS607" s="685"/>
      <c r="AT607" s="685"/>
      <c r="AU607" s="685"/>
      <c r="AV607" s="685"/>
      <c r="AW607" s="685"/>
      <c r="AX607" s="685"/>
      <c r="AY607" s="685"/>
      <c r="AZ607" s="685"/>
      <c r="BA607" s="685"/>
      <c r="BB607" s="685"/>
      <c r="BC607" s="685"/>
      <c r="BD607" s="685"/>
    </row>
    <row r="608" spans="1:56" hidden="1">
      <c r="A608" s="685"/>
      <c r="B608" s="1115"/>
      <c r="C608" s="1115"/>
      <c r="D608" s="1212"/>
      <c r="E608" s="1212"/>
      <c r="F608" s="1212"/>
      <c r="G608" s="1212"/>
      <c r="H608" s="1212"/>
      <c r="I608" s="1212"/>
      <c r="J608" s="1212"/>
      <c r="K608" s="1212"/>
      <c r="L608" s="1212"/>
      <c r="M608" s="1212"/>
      <c r="N608" s="1212"/>
      <c r="O608" s="1212"/>
      <c r="P608" s="1212"/>
      <c r="Q608" s="1212"/>
      <c r="R608" s="1212"/>
      <c r="S608" s="1212"/>
      <c r="T608" s="1212"/>
      <c r="U608" s="1212"/>
      <c r="V608" s="1212"/>
      <c r="W608" s="1212"/>
      <c r="X608" s="1212"/>
      <c r="Y608" s="1212"/>
      <c r="Z608" s="1212"/>
      <c r="AA608" s="1212"/>
      <c r="AB608" s="1212"/>
      <c r="AC608" s="1212"/>
      <c r="AD608" s="1212"/>
      <c r="AE608" s="1212"/>
      <c r="AF608" s="1212"/>
      <c r="AG608" s="1212"/>
      <c r="AH608" s="1212"/>
      <c r="AI608" s="685"/>
      <c r="AJ608" s="685"/>
      <c r="AK608" s="685"/>
      <c r="AL608" s="685"/>
      <c r="AM608" s="685"/>
      <c r="AN608" s="685"/>
      <c r="AO608" s="685"/>
      <c r="AP608" s="685"/>
      <c r="AQ608" s="685"/>
      <c r="AR608" s="685"/>
      <c r="AS608" s="685"/>
      <c r="AT608" s="685"/>
      <c r="AU608" s="685"/>
      <c r="AV608" s="685"/>
      <c r="AW608" s="685"/>
      <c r="AX608" s="685"/>
      <c r="AY608" s="685"/>
      <c r="AZ608" s="685"/>
      <c r="BA608" s="685"/>
      <c r="BB608" s="685"/>
      <c r="BC608" s="685"/>
      <c r="BD608" s="685"/>
    </row>
    <row r="609" spans="1:56" hidden="1">
      <c r="A609" s="685"/>
      <c r="B609" s="1115" t="s">
        <v>462</v>
      </c>
      <c r="C609" s="1115"/>
      <c r="D609" s="1212"/>
      <c r="E609" s="1212"/>
      <c r="F609" s="1212"/>
      <c r="G609" s="1212"/>
      <c r="H609" s="1212"/>
      <c r="I609" s="1212"/>
      <c r="J609" s="1212"/>
      <c r="K609" s="1212"/>
      <c r="L609" s="1212"/>
      <c r="M609" s="1212"/>
      <c r="N609" s="1212"/>
      <c r="O609" s="1212"/>
      <c r="P609" s="1212"/>
      <c r="Q609" s="1212"/>
      <c r="R609" s="1212"/>
      <c r="S609" s="1212"/>
      <c r="T609" s="1212"/>
      <c r="U609" s="1212"/>
      <c r="V609" s="1212"/>
      <c r="W609" s="1212"/>
      <c r="X609" s="1212"/>
      <c r="Y609" s="1212"/>
      <c r="Z609" s="1212"/>
      <c r="AA609" s="1212"/>
      <c r="AB609" s="1212"/>
      <c r="AC609" s="1212"/>
      <c r="AD609" s="1212"/>
      <c r="AE609" s="1212"/>
      <c r="AF609" s="1212"/>
      <c r="AG609" s="1212"/>
      <c r="AH609" s="1212"/>
      <c r="AI609" s="685"/>
      <c r="AJ609" s="685"/>
      <c r="AK609" s="685"/>
      <c r="AL609" s="685"/>
      <c r="AM609" s="685"/>
      <c r="AN609" s="685"/>
      <c r="AO609" s="685"/>
      <c r="AP609" s="685"/>
      <c r="AQ609" s="685"/>
      <c r="AR609" s="685"/>
      <c r="AS609" s="685"/>
      <c r="AT609" s="685"/>
      <c r="AU609" s="685"/>
      <c r="AV609" s="685"/>
      <c r="AW609" s="685"/>
      <c r="AX609" s="685"/>
      <c r="AY609" s="685"/>
      <c r="AZ609" s="685"/>
      <c r="BA609" s="685"/>
      <c r="BB609" s="685"/>
      <c r="BC609" s="685"/>
      <c r="BD609" s="685"/>
    </row>
    <row r="610" spans="1:56" hidden="1">
      <c r="A610" s="685"/>
      <c r="B610" s="1115" t="str">
        <f t="shared" ref="B610:B617" si="434">B599</f>
        <v>xx</v>
      </c>
      <c r="C610" s="1115"/>
      <c r="D610" s="1212"/>
      <c r="E610" s="1212"/>
      <c r="F610" s="1212">
        <f t="shared" ref="F610:G615" si="435">+F599-E599</f>
        <v>0</v>
      </c>
      <c r="G610" s="1212">
        <f t="shared" si="435"/>
        <v>0</v>
      </c>
      <c r="H610" s="1212"/>
      <c r="I610" s="1212"/>
      <c r="J610" s="1212"/>
      <c r="K610" s="1212"/>
      <c r="L610" s="1212"/>
      <c r="M610" s="1212"/>
      <c r="N610" s="1212"/>
      <c r="O610" s="1212"/>
      <c r="P610" s="1212"/>
      <c r="Q610" s="1212"/>
      <c r="R610" s="1212"/>
      <c r="S610" s="1212"/>
      <c r="T610" s="1212"/>
      <c r="U610" s="1212"/>
      <c r="V610" s="1212"/>
      <c r="W610" s="1212"/>
      <c r="X610" s="1212"/>
      <c r="Y610" s="1212"/>
      <c r="Z610" s="1212"/>
      <c r="AA610" s="1212"/>
      <c r="AB610" s="1212"/>
      <c r="AC610" s="1212"/>
      <c r="AD610" s="1212"/>
      <c r="AE610" s="1212"/>
      <c r="AF610" s="1212"/>
      <c r="AG610" s="1212"/>
      <c r="AH610" s="1212"/>
      <c r="AI610" s="685"/>
      <c r="AJ610" s="685"/>
      <c r="AK610" s="685"/>
      <c r="AL610" s="685"/>
      <c r="AM610" s="685"/>
      <c r="AN610" s="685"/>
      <c r="AO610" s="685"/>
      <c r="AP610" s="685"/>
      <c r="AQ610" s="685"/>
      <c r="AR610" s="685"/>
      <c r="AS610" s="685"/>
      <c r="AT610" s="685"/>
      <c r="AU610" s="685"/>
      <c r="AV610" s="685"/>
      <c r="AW610" s="685"/>
      <c r="AX610" s="685"/>
      <c r="AY610" s="685"/>
      <c r="AZ610" s="685"/>
      <c r="BA610" s="685"/>
      <c r="BB610" s="685"/>
      <c r="BC610" s="685"/>
      <c r="BD610" s="685"/>
    </row>
    <row r="611" spans="1:56" hidden="1">
      <c r="A611" s="685"/>
      <c r="B611" s="1115" t="str">
        <f t="shared" si="434"/>
        <v>xx</v>
      </c>
      <c r="C611" s="1115"/>
      <c r="D611" s="1212"/>
      <c r="E611" s="1212"/>
      <c r="F611" s="1212">
        <f t="shared" si="435"/>
        <v>0</v>
      </c>
      <c r="G611" s="1212">
        <f t="shared" si="435"/>
        <v>0</v>
      </c>
      <c r="H611" s="1212"/>
      <c r="I611" s="1212"/>
      <c r="J611" s="1212"/>
      <c r="K611" s="1212"/>
      <c r="L611" s="1212"/>
      <c r="M611" s="1212"/>
      <c r="N611" s="1212"/>
      <c r="O611" s="1212"/>
      <c r="P611" s="1212"/>
      <c r="Q611" s="1212"/>
      <c r="R611" s="1212"/>
      <c r="S611" s="1212"/>
      <c r="T611" s="1212"/>
      <c r="U611" s="1212"/>
      <c r="V611" s="1212"/>
      <c r="W611" s="1212"/>
      <c r="X611" s="1212"/>
      <c r="Y611" s="1212"/>
      <c r="Z611" s="1212"/>
      <c r="AA611" s="1212"/>
      <c r="AB611" s="1212"/>
      <c r="AC611" s="1212"/>
      <c r="AD611" s="1212"/>
      <c r="AE611" s="1212"/>
      <c r="AF611" s="1212"/>
      <c r="AG611" s="1212"/>
      <c r="AH611" s="1212"/>
      <c r="AI611" s="685"/>
      <c r="AJ611" s="685"/>
      <c r="AK611" s="685"/>
      <c r="AL611" s="685"/>
      <c r="AM611" s="685"/>
      <c r="AN611" s="685"/>
      <c r="AO611" s="685"/>
      <c r="AP611" s="685"/>
      <c r="AQ611" s="685"/>
      <c r="AR611" s="685"/>
      <c r="AS611" s="685"/>
      <c r="AT611" s="685"/>
      <c r="AU611" s="685"/>
      <c r="AV611" s="685"/>
      <c r="AW611" s="685"/>
      <c r="AX611" s="685"/>
      <c r="AY611" s="685"/>
      <c r="AZ611" s="685"/>
      <c r="BA611" s="685"/>
      <c r="BB611" s="685"/>
      <c r="BC611" s="685"/>
      <c r="BD611" s="685"/>
    </row>
    <row r="612" spans="1:56" hidden="1">
      <c r="A612" s="685"/>
      <c r="B612" s="1115" t="str">
        <f t="shared" si="434"/>
        <v>xx</v>
      </c>
      <c r="C612" s="1115"/>
      <c r="D612" s="1212"/>
      <c r="E612" s="1212"/>
      <c r="F612" s="1212">
        <f t="shared" si="435"/>
        <v>0</v>
      </c>
      <c r="G612" s="1212">
        <f t="shared" si="435"/>
        <v>0</v>
      </c>
      <c r="H612" s="1212"/>
      <c r="I612" s="1212"/>
      <c r="J612" s="1212"/>
      <c r="K612" s="1212"/>
      <c r="L612" s="1212"/>
      <c r="M612" s="1212"/>
      <c r="N612" s="1212"/>
      <c r="O612" s="1212"/>
      <c r="P612" s="1212"/>
      <c r="Q612" s="1212"/>
      <c r="R612" s="1212"/>
      <c r="S612" s="1212"/>
      <c r="T612" s="1212"/>
      <c r="U612" s="1212"/>
      <c r="V612" s="1212"/>
      <c r="W612" s="1212"/>
      <c r="X612" s="1212"/>
      <c r="Y612" s="1212"/>
      <c r="Z612" s="1212"/>
      <c r="AA612" s="1212"/>
      <c r="AB612" s="1212"/>
      <c r="AC612" s="1212"/>
      <c r="AD612" s="1212"/>
      <c r="AE612" s="1212"/>
      <c r="AF612" s="1212"/>
      <c r="AG612" s="1212"/>
      <c r="AH612" s="1212"/>
      <c r="AI612" s="685"/>
      <c r="AJ612" s="685"/>
      <c r="AK612" s="685"/>
      <c r="AL612" s="685"/>
      <c r="AM612" s="685"/>
      <c r="AN612" s="685"/>
      <c r="AO612" s="685"/>
      <c r="AP612" s="685"/>
      <c r="AQ612" s="685"/>
      <c r="AR612" s="685"/>
      <c r="AS612" s="685"/>
      <c r="AT612" s="685"/>
      <c r="AU612" s="685"/>
      <c r="AV612" s="685"/>
      <c r="AW612" s="685"/>
      <c r="AX612" s="685"/>
      <c r="AY612" s="685"/>
      <c r="AZ612" s="685"/>
      <c r="BA612" s="685"/>
      <c r="BB612" s="685"/>
      <c r="BC612" s="685"/>
      <c r="BD612" s="685"/>
    </row>
    <row r="613" spans="1:56" hidden="1">
      <c r="A613" s="685"/>
      <c r="B613" s="1115" t="str">
        <f t="shared" si="434"/>
        <v>xx</v>
      </c>
      <c r="C613" s="1115"/>
      <c r="D613" s="1212"/>
      <c r="E613" s="1212"/>
      <c r="F613" s="1212">
        <f t="shared" si="435"/>
        <v>0</v>
      </c>
      <c r="G613" s="1212">
        <f t="shared" si="435"/>
        <v>0</v>
      </c>
      <c r="H613" s="1212"/>
      <c r="I613" s="1212"/>
      <c r="J613" s="1212"/>
      <c r="K613" s="1212"/>
      <c r="L613" s="1212"/>
      <c r="M613" s="1212"/>
      <c r="N613" s="1212"/>
      <c r="O613" s="1212"/>
      <c r="P613" s="1212"/>
      <c r="Q613" s="1212"/>
      <c r="R613" s="1212"/>
      <c r="S613" s="1212"/>
      <c r="T613" s="1212"/>
      <c r="U613" s="1212"/>
      <c r="V613" s="1212"/>
      <c r="W613" s="1212"/>
      <c r="X613" s="1212"/>
      <c r="Y613" s="1212"/>
      <c r="Z613" s="1212"/>
      <c r="AA613" s="1212"/>
      <c r="AB613" s="1212"/>
      <c r="AC613" s="1212"/>
      <c r="AD613" s="1212"/>
      <c r="AE613" s="1212"/>
      <c r="AF613" s="1212"/>
      <c r="AG613" s="1212"/>
      <c r="AH613" s="1212"/>
      <c r="AI613" s="685"/>
      <c r="AJ613" s="685"/>
      <c r="AK613" s="685"/>
      <c r="AL613" s="685"/>
      <c r="AM613" s="685"/>
      <c r="AN613" s="685"/>
      <c r="AO613" s="685"/>
      <c r="AP613" s="685"/>
      <c r="AQ613" s="685"/>
      <c r="AR613" s="685"/>
      <c r="AS613" s="685"/>
      <c r="AT613" s="685"/>
      <c r="AU613" s="685"/>
      <c r="AV613" s="685"/>
      <c r="AW613" s="685"/>
      <c r="AX613" s="685"/>
      <c r="AY613" s="685"/>
      <c r="AZ613" s="685"/>
      <c r="BA613" s="685"/>
      <c r="BB613" s="685"/>
      <c r="BC613" s="685"/>
      <c r="BD613" s="685"/>
    </row>
    <row r="614" spans="1:56" hidden="1">
      <c r="A614" s="685"/>
      <c r="B614" s="1115" t="str">
        <f t="shared" si="434"/>
        <v>xx</v>
      </c>
      <c r="C614" s="1115"/>
      <c r="D614" s="1212"/>
      <c r="E614" s="1212"/>
      <c r="F614" s="1212">
        <f t="shared" si="435"/>
        <v>0</v>
      </c>
      <c r="G614" s="1212">
        <f t="shared" si="435"/>
        <v>0</v>
      </c>
      <c r="H614" s="1212"/>
      <c r="I614" s="1212"/>
      <c r="J614" s="1212"/>
      <c r="K614" s="1212"/>
      <c r="L614" s="1212"/>
      <c r="M614" s="1212"/>
      <c r="N614" s="1212"/>
      <c r="O614" s="1212"/>
      <c r="P614" s="1212"/>
      <c r="Q614" s="1212"/>
      <c r="R614" s="1212"/>
      <c r="S614" s="1212"/>
      <c r="T614" s="1212"/>
      <c r="U614" s="1212"/>
      <c r="V614" s="1212"/>
      <c r="W614" s="1212"/>
      <c r="X614" s="1212"/>
      <c r="Y614" s="1212"/>
      <c r="Z614" s="1212"/>
      <c r="AA614" s="1212"/>
      <c r="AB614" s="1212"/>
      <c r="AC614" s="1212"/>
      <c r="AD614" s="1212"/>
      <c r="AE614" s="1212"/>
      <c r="AF614" s="1212"/>
      <c r="AG614" s="1212"/>
      <c r="AH614" s="1212"/>
      <c r="AI614" s="685"/>
      <c r="AJ614" s="685"/>
      <c r="AK614" s="685"/>
      <c r="AL614" s="685"/>
      <c r="AM614" s="685"/>
      <c r="AN614" s="685"/>
      <c r="AO614" s="685"/>
      <c r="AP614" s="685"/>
      <c r="AQ614" s="685"/>
      <c r="AR614" s="685"/>
      <c r="AS614" s="685"/>
      <c r="AT614" s="685"/>
      <c r="AU614" s="685"/>
      <c r="AV614" s="685"/>
      <c r="AW614" s="685"/>
      <c r="AX614" s="685"/>
      <c r="AY614" s="685"/>
      <c r="AZ614" s="685"/>
      <c r="BA614" s="685"/>
      <c r="BB614" s="685"/>
      <c r="BC614" s="685"/>
      <c r="BD614" s="685"/>
    </row>
    <row r="615" spans="1:56" hidden="1">
      <c r="A615" s="685"/>
      <c r="B615" s="1115" t="str">
        <f t="shared" si="434"/>
        <v>xx</v>
      </c>
      <c r="C615" s="1115"/>
      <c r="D615" s="1212"/>
      <c r="E615" s="1212"/>
      <c r="F615" s="1212">
        <f t="shared" si="435"/>
        <v>0</v>
      </c>
      <c r="G615" s="1212">
        <f t="shared" si="435"/>
        <v>0</v>
      </c>
      <c r="H615" s="1212"/>
      <c r="I615" s="1212"/>
      <c r="J615" s="1212"/>
      <c r="K615" s="1212"/>
      <c r="L615" s="1212"/>
      <c r="M615" s="1212"/>
      <c r="N615" s="1212"/>
      <c r="O615" s="1212"/>
      <c r="P615" s="1212"/>
      <c r="Q615" s="1212"/>
      <c r="R615" s="1212"/>
      <c r="S615" s="1212"/>
      <c r="T615" s="1212"/>
      <c r="U615" s="1212"/>
      <c r="V615" s="1212"/>
      <c r="W615" s="1212"/>
      <c r="X615" s="1212"/>
      <c r="Y615" s="1212"/>
      <c r="Z615" s="1212"/>
      <c r="AA615" s="1212"/>
      <c r="AB615" s="1212"/>
      <c r="AC615" s="1212"/>
      <c r="AD615" s="1212"/>
      <c r="AE615" s="1212"/>
      <c r="AF615" s="1212"/>
      <c r="AG615" s="1212"/>
      <c r="AH615" s="1212"/>
      <c r="AI615" s="685"/>
      <c r="AJ615" s="685"/>
      <c r="AK615" s="685"/>
      <c r="AL615" s="685"/>
      <c r="AM615" s="685"/>
      <c r="AN615" s="685"/>
      <c r="AO615" s="685"/>
      <c r="AP615" s="685"/>
      <c r="AQ615" s="685"/>
      <c r="AR615" s="685"/>
      <c r="AS615" s="685"/>
      <c r="AT615" s="685"/>
      <c r="AU615" s="685"/>
      <c r="AV615" s="685"/>
      <c r="AW615" s="685"/>
      <c r="AX615" s="685"/>
      <c r="AY615" s="685"/>
      <c r="AZ615" s="685"/>
      <c r="BA615" s="685"/>
      <c r="BB615" s="685"/>
      <c r="BC615" s="685"/>
      <c r="BD615" s="685"/>
    </row>
    <row r="616" spans="1:56" hidden="1">
      <c r="A616" s="685"/>
      <c r="B616" s="1115" t="str">
        <f t="shared" si="434"/>
        <v>xx</v>
      </c>
      <c r="C616" s="1115"/>
      <c r="D616" s="1212"/>
      <c r="E616" s="1212"/>
      <c r="F616" s="1212"/>
      <c r="G616" s="1212"/>
      <c r="H616" s="1212"/>
      <c r="I616" s="1212"/>
      <c r="J616" s="1212"/>
      <c r="K616" s="1212"/>
      <c r="L616" s="1212"/>
      <c r="M616" s="1212"/>
      <c r="N616" s="1212"/>
      <c r="O616" s="1212"/>
      <c r="P616" s="1212"/>
      <c r="Q616" s="1212"/>
      <c r="R616" s="1212"/>
      <c r="S616" s="1212"/>
      <c r="T616" s="1212"/>
      <c r="U616" s="1212"/>
      <c r="V616" s="1212"/>
      <c r="W616" s="1212"/>
      <c r="X616" s="1212"/>
      <c r="Y616" s="1212"/>
      <c r="Z616" s="1212"/>
      <c r="AA616" s="1212"/>
      <c r="AB616" s="1212"/>
      <c r="AC616" s="1212"/>
      <c r="AD616" s="1212"/>
      <c r="AE616" s="1212"/>
      <c r="AF616" s="1212"/>
      <c r="AG616" s="1212"/>
      <c r="AH616" s="1212"/>
      <c r="AI616" s="685"/>
      <c r="AJ616" s="685"/>
      <c r="AK616" s="685"/>
      <c r="AL616" s="685"/>
      <c r="AM616" s="685"/>
      <c r="AN616" s="685"/>
      <c r="AO616" s="685"/>
      <c r="AP616" s="685"/>
      <c r="AQ616" s="685"/>
      <c r="AR616" s="685"/>
      <c r="AS616" s="685"/>
      <c r="AT616" s="685"/>
      <c r="AU616" s="685"/>
      <c r="AV616" s="685"/>
      <c r="AW616" s="685"/>
      <c r="AX616" s="685"/>
      <c r="AY616" s="685"/>
      <c r="AZ616" s="685"/>
      <c r="BA616" s="685"/>
      <c r="BB616" s="685"/>
      <c r="BC616" s="685"/>
      <c r="BD616" s="685"/>
    </row>
    <row r="617" spans="1:56" hidden="1">
      <c r="A617" s="685"/>
      <c r="B617" s="1115" t="str">
        <f t="shared" si="434"/>
        <v>xx</v>
      </c>
      <c r="C617" s="1115"/>
      <c r="D617" s="1213"/>
      <c r="E617" s="1213"/>
      <c r="F617" s="1213"/>
      <c r="G617" s="1213"/>
      <c r="H617" s="1213"/>
      <c r="I617" s="1213"/>
      <c r="J617" s="1213"/>
      <c r="K617" s="1213"/>
      <c r="L617" s="1213"/>
      <c r="M617" s="1213"/>
      <c r="N617" s="1213"/>
      <c r="O617" s="1213"/>
      <c r="P617" s="1213"/>
      <c r="Q617" s="1213"/>
      <c r="R617" s="1213"/>
      <c r="S617" s="1213"/>
      <c r="T617" s="1213"/>
      <c r="U617" s="1213"/>
      <c r="V617" s="1213"/>
      <c r="W617" s="1213"/>
      <c r="X617" s="1213"/>
      <c r="Y617" s="1213"/>
      <c r="Z617" s="1213"/>
      <c r="AA617" s="1213"/>
      <c r="AB617" s="1213"/>
      <c r="AC617" s="1213"/>
      <c r="AD617" s="1213"/>
      <c r="AE617" s="1213"/>
      <c r="AF617" s="1213"/>
      <c r="AG617" s="1213"/>
      <c r="AH617" s="1213"/>
      <c r="AI617" s="685"/>
      <c r="AJ617" s="685"/>
      <c r="AK617" s="685"/>
      <c r="AL617" s="685"/>
      <c r="AM617" s="685"/>
      <c r="AN617" s="685"/>
      <c r="AO617" s="685"/>
      <c r="AP617" s="685"/>
      <c r="AQ617" s="685"/>
      <c r="AR617" s="685"/>
      <c r="AS617" s="685"/>
      <c r="AT617" s="685"/>
      <c r="AU617" s="685"/>
      <c r="AV617" s="685"/>
      <c r="AW617" s="685"/>
      <c r="AX617" s="685"/>
      <c r="AY617" s="685"/>
      <c r="AZ617" s="685"/>
      <c r="BA617" s="685"/>
      <c r="BB617" s="685"/>
      <c r="BC617" s="685"/>
      <c r="BD617" s="685"/>
    </row>
    <row r="618" spans="1:56" hidden="1">
      <c r="A618" s="685"/>
      <c r="B618" s="1115" t="s">
        <v>85</v>
      </c>
      <c r="C618" s="1115"/>
      <c r="D618" s="1212">
        <f t="shared" ref="D618:AC618" si="436">SUM(D610:D617)</f>
        <v>0</v>
      </c>
      <c r="E618" s="1212">
        <f t="shared" si="436"/>
        <v>0</v>
      </c>
      <c r="F618" s="1212">
        <f t="shared" si="436"/>
        <v>0</v>
      </c>
      <c r="G618" s="1212">
        <f t="shared" si="436"/>
        <v>0</v>
      </c>
      <c r="H618" s="1212">
        <f t="shared" si="436"/>
        <v>0</v>
      </c>
      <c r="I618" s="1212">
        <f t="shared" si="436"/>
        <v>0</v>
      </c>
      <c r="J618" s="1212">
        <f t="shared" si="436"/>
        <v>0</v>
      </c>
      <c r="K618" s="1212">
        <f t="shared" si="436"/>
        <v>0</v>
      </c>
      <c r="L618" s="1212">
        <f t="shared" si="436"/>
        <v>0</v>
      </c>
      <c r="M618" s="1212">
        <f t="shared" si="436"/>
        <v>0</v>
      </c>
      <c r="N618" s="1212">
        <f t="shared" si="436"/>
        <v>0</v>
      </c>
      <c r="O618" s="1212">
        <f t="shared" si="436"/>
        <v>0</v>
      </c>
      <c r="P618" s="1212">
        <f t="shared" si="436"/>
        <v>0</v>
      </c>
      <c r="Q618" s="1212">
        <f t="shared" si="436"/>
        <v>0</v>
      </c>
      <c r="R618" s="1212">
        <f t="shared" si="436"/>
        <v>0</v>
      </c>
      <c r="S618" s="1212">
        <f t="shared" si="436"/>
        <v>0</v>
      </c>
      <c r="T618" s="1212">
        <f t="shared" si="436"/>
        <v>0</v>
      </c>
      <c r="U618" s="1212">
        <f t="shared" si="436"/>
        <v>0</v>
      </c>
      <c r="V618" s="1212">
        <f t="shared" si="436"/>
        <v>0</v>
      </c>
      <c r="W618" s="1212">
        <f t="shared" si="436"/>
        <v>0</v>
      </c>
      <c r="X618" s="1212">
        <f t="shared" si="436"/>
        <v>0</v>
      </c>
      <c r="Y618" s="1212">
        <f t="shared" si="436"/>
        <v>0</v>
      </c>
      <c r="Z618" s="1212">
        <f t="shared" si="436"/>
        <v>0</v>
      </c>
      <c r="AA618" s="1212">
        <f t="shared" si="436"/>
        <v>0</v>
      </c>
      <c r="AB618" s="1212">
        <f t="shared" si="436"/>
        <v>0</v>
      </c>
      <c r="AC618" s="1212">
        <f t="shared" si="436"/>
        <v>0</v>
      </c>
      <c r="AD618" s="1212">
        <f>SUM(AD610:AD617)</f>
        <v>0</v>
      </c>
      <c r="AE618" s="1212">
        <f>SUM(AE610:AE617)</f>
        <v>0</v>
      </c>
      <c r="AF618" s="1212">
        <f>SUM(AF610:AF617)</f>
        <v>0</v>
      </c>
      <c r="AG618" s="1212">
        <f>SUM(AG610:AG617)</f>
        <v>0</v>
      </c>
      <c r="AH618" s="1212">
        <f>SUM(AH610:AH617)</f>
        <v>0</v>
      </c>
      <c r="AI618" s="685"/>
      <c r="AJ618" s="685"/>
      <c r="AK618" s="685"/>
      <c r="AL618" s="685"/>
      <c r="AM618" s="685"/>
      <c r="AN618" s="685"/>
      <c r="AO618" s="685"/>
      <c r="AP618" s="685"/>
      <c r="AQ618" s="685"/>
      <c r="AR618" s="685"/>
      <c r="AS618" s="685"/>
      <c r="AT618" s="685"/>
      <c r="AU618" s="685"/>
      <c r="AV618" s="685"/>
      <c r="AW618" s="685"/>
      <c r="AX618" s="685"/>
      <c r="AY618" s="685"/>
      <c r="AZ618" s="685"/>
      <c r="BA618" s="685"/>
      <c r="BB618" s="685"/>
      <c r="BC618" s="685"/>
      <c r="BD618" s="685"/>
    </row>
    <row r="619" spans="1:56" hidden="1">
      <c r="A619" s="685"/>
      <c r="B619" s="1115"/>
      <c r="C619" s="1115"/>
      <c r="D619" s="1212"/>
      <c r="E619" s="1212"/>
      <c r="F619" s="1212"/>
      <c r="G619" s="1212"/>
      <c r="H619" s="1212"/>
      <c r="I619" s="1212"/>
      <c r="J619" s="1212"/>
      <c r="K619" s="1212"/>
      <c r="L619" s="1212"/>
      <c r="M619" s="1212"/>
      <c r="N619" s="1212"/>
      <c r="O619" s="1212"/>
      <c r="P619" s="1212"/>
      <c r="Q619" s="1212"/>
      <c r="R619" s="1212"/>
      <c r="S619" s="1212"/>
      <c r="T619" s="1212"/>
      <c r="U619" s="1212"/>
      <c r="V619" s="1212"/>
      <c r="W619" s="1212"/>
      <c r="X619" s="1212"/>
      <c r="Y619" s="1212"/>
      <c r="Z619" s="1212"/>
      <c r="AA619" s="1212"/>
      <c r="AB619" s="1212"/>
      <c r="AC619" s="1212"/>
      <c r="AD619" s="1212"/>
      <c r="AE619" s="1212"/>
      <c r="AF619" s="1212"/>
      <c r="AG619" s="1212"/>
      <c r="AH619" s="1212"/>
      <c r="AI619" s="685"/>
      <c r="AJ619" s="685"/>
      <c r="AK619" s="685"/>
      <c r="AL619" s="685"/>
      <c r="AM619" s="685"/>
      <c r="AN619" s="685"/>
      <c r="AO619" s="685"/>
      <c r="AP619" s="685"/>
      <c r="AQ619" s="685"/>
      <c r="AR619" s="685"/>
      <c r="AS619" s="685"/>
      <c r="AT619" s="685"/>
      <c r="AU619" s="685"/>
      <c r="AV619" s="685"/>
      <c r="AW619" s="685"/>
      <c r="AX619" s="685"/>
      <c r="AY619" s="685"/>
      <c r="AZ619" s="685"/>
      <c r="BA619" s="685"/>
      <c r="BB619" s="685"/>
      <c r="BC619" s="685"/>
      <c r="BD619" s="685"/>
    </row>
    <row r="620" spans="1:56" hidden="1">
      <c r="A620" s="685"/>
      <c r="B620" s="1115" t="s">
        <v>463</v>
      </c>
      <c r="C620" s="1115"/>
      <c r="D620" s="1212"/>
      <c r="E620" s="1212"/>
      <c r="F620" s="1212"/>
      <c r="G620" s="1212"/>
      <c r="H620" s="1212"/>
      <c r="I620" s="1212"/>
      <c r="J620" s="1212"/>
      <c r="K620" s="1212"/>
      <c r="L620" s="1212"/>
      <c r="M620" s="1212"/>
      <c r="N620" s="1212"/>
      <c r="O620" s="1212"/>
      <c r="P620" s="1212"/>
      <c r="Q620" s="1212"/>
      <c r="R620" s="1212"/>
      <c r="S620" s="1212"/>
      <c r="T620" s="1212"/>
      <c r="U620" s="1212"/>
      <c r="V620" s="1212"/>
      <c r="W620" s="1212"/>
      <c r="X620" s="1212"/>
      <c r="Y620" s="1212"/>
      <c r="Z620" s="1212"/>
      <c r="AA620" s="1212"/>
      <c r="AB620" s="1212"/>
      <c r="AC620" s="1212"/>
      <c r="AD620" s="1212"/>
      <c r="AE620" s="1212"/>
      <c r="AF620" s="1212"/>
      <c r="AG620" s="1212"/>
      <c r="AH620" s="1212"/>
      <c r="AI620" s="685"/>
      <c r="AJ620" s="685"/>
      <c r="AK620" s="685"/>
      <c r="AL620" s="685"/>
      <c r="AM620" s="685"/>
      <c r="AN620" s="685"/>
      <c r="AO620" s="685"/>
      <c r="AP620" s="685"/>
      <c r="AQ620" s="685"/>
      <c r="AR620" s="685"/>
      <c r="AS620" s="685"/>
      <c r="AT620" s="685"/>
      <c r="AU620" s="685"/>
      <c r="AV620" s="685"/>
      <c r="AW620" s="685"/>
      <c r="AX620" s="685"/>
      <c r="AY620" s="685"/>
      <c r="AZ620" s="685"/>
      <c r="BA620" s="685"/>
      <c r="BB620" s="685"/>
      <c r="BC620" s="685"/>
      <c r="BD620" s="685"/>
    </row>
    <row r="621" spans="1:56" hidden="1">
      <c r="A621" s="685"/>
      <c r="B621" s="1115" t="str">
        <f t="shared" ref="B621:B628" si="437">B610</f>
        <v>xx</v>
      </c>
      <c r="C621" s="1115"/>
      <c r="D621" s="1212"/>
      <c r="E621" s="1212"/>
      <c r="F621" s="1212"/>
      <c r="G621" s="1212"/>
      <c r="H621" s="1212"/>
      <c r="I621" s="1212"/>
      <c r="J621" s="1212"/>
      <c r="K621" s="1212"/>
      <c r="L621" s="1212"/>
      <c r="M621" s="1212"/>
      <c r="N621" s="1212"/>
      <c r="O621" s="1212"/>
      <c r="P621" s="1212"/>
      <c r="Q621" s="1212"/>
      <c r="R621" s="1212"/>
      <c r="S621" s="1212"/>
      <c r="T621" s="1212"/>
      <c r="U621" s="1212"/>
      <c r="V621" s="1212"/>
      <c r="W621" s="1212"/>
      <c r="X621" s="1212"/>
      <c r="Y621" s="1212"/>
      <c r="Z621" s="1212"/>
      <c r="AA621" s="1212"/>
      <c r="AB621" s="1212"/>
      <c r="AC621" s="1212"/>
      <c r="AD621" s="1212"/>
      <c r="AE621" s="1212"/>
      <c r="AF621" s="1212"/>
      <c r="AG621" s="1212"/>
      <c r="AH621" s="1212"/>
      <c r="AI621" s="685"/>
      <c r="AJ621" s="685"/>
      <c r="AK621" s="685"/>
      <c r="AL621" s="685"/>
      <c r="AM621" s="685"/>
      <c r="AN621" s="685"/>
      <c r="AO621" s="685"/>
      <c r="AP621" s="685"/>
      <c r="AQ621" s="685"/>
      <c r="AR621" s="685"/>
      <c r="AS621" s="685"/>
      <c r="AT621" s="685"/>
      <c r="AU621" s="685"/>
      <c r="AV621" s="685"/>
      <c r="AW621" s="685"/>
      <c r="AX621" s="685"/>
      <c r="AY621" s="685"/>
      <c r="AZ621" s="685"/>
      <c r="BA621" s="685"/>
      <c r="BB621" s="685"/>
      <c r="BC621" s="685"/>
      <c r="BD621" s="685"/>
    </row>
    <row r="622" spans="1:56" hidden="1">
      <c r="A622" s="685"/>
      <c r="B622" s="1115" t="str">
        <f t="shared" si="437"/>
        <v>xx</v>
      </c>
      <c r="C622" s="1115"/>
      <c r="D622" s="1212"/>
      <c r="E622" s="1212"/>
      <c r="F622" s="1212"/>
      <c r="G622" s="1212"/>
      <c r="H622" s="1212"/>
      <c r="I622" s="1212"/>
      <c r="J622" s="1212"/>
      <c r="K622" s="1212"/>
      <c r="L622" s="1212"/>
      <c r="M622" s="1212"/>
      <c r="N622" s="1212"/>
      <c r="O622" s="1212"/>
      <c r="P622" s="1212"/>
      <c r="Q622" s="1212"/>
      <c r="R622" s="1212"/>
      <c r="S622" s="1212"/>
      <c r="T622" s="1212"/>
      <c r="U622" s="1212"/>
      <c r="V622" s="1212"/>
      <c r="W622" s="1212"/>
      <c r="X622" s="1212"/>
      <c r="Y622" s="1212"/>
      <c r="Z622" s="1212"/>
      <c r="AA622" s="1212"/>
      <c r="AB622" s="1212"/>
      <c r="AC622" s="1212"/>
      <c r="AD622" s="1212"/>
      <c r="AE622" s="1212"/>
      <c r="AF622" s="1212"/>
      <c r="AG622" s="1212"/>
      <c r="AH622" s="1212"/>
      <c r="AI622" s="685"/>
      <c r="AJ622" s="685"/>
      <c r="AK622" s="685"/>
      <c r="AL622" s="685"/>
      <c r="AM622" s="685"/>
      <c r="AN622" s="685"/>
      <c r="AO622" s="685"/>
      <c r="AP622" s="685"/>
      <c r="AQ622" s="685"/>
      <c r="AR622" s="685"/>
      <c r="AS622" s="685"/>
      <c r="AT622" s="685"/>
      <c r="AU622" s="685"/>
      <c r="AV622" s="685"/>
      <c r="AW622" s="685"/>
      <c r="AX622" s="685"/>
      <c r="AY622" s="685"/>
      <c r="AZ622" s="685"/>
      <c r="BA622" s="685"/>
      <c r="BB622" s="685"/>
      <c r="BC622" s="685"/>
      <c r="BD622" s="685"/>
    </row>
    <row r="623" spans="1:56" hidden="1">
      <c r="A623" s="685"/>
      <c r="B623" s="1115" t="str">
        <f t="shared" si="437"/>
        <v>xx</v>
      </c>
      <c r="C623" s="1115"/>
      <c r="D623" s="1212"/>
      <c r="E623" s="1212"/>
      <c r="F623" s="1212"/>
      <c r="G623" s="1212"/>
      <c r="H623" s="1212"/>
      <c r="I623" s="1212"/>
      <c r="J623" s="1212"/>
      <c r="K623" s="1212"/>
      <c r="L623" s="1212"/>
      <c r="M623" s="1212"/>
      <c r="N623" s="1212"/>
      <c r="O623" s="1212"/>
      <c r="P623" s="1212"/>
      <c r="Q623" s="1212"/>
      <c r="R623" s="1212"/>
      <c r="S623" s="1212"/>
      <c r="T623" s="1212"/>
      <c r="U623" s="1212"/>
      <c r="V623" s="1212"/>
      <c r="W623" s="1212"/>
      <c r="X623" s="1212"/>
      <c r="Y623" s="1212"/>
      <c r="Z623" s="1212"/>
      <c r="AA623" s="1212"/>
      <c r="AB623" s="1212"/>
      <c r="AC623" s="1212"/>
      <c r="AD623" s="1212"/>
      <c r="AE623" s="1212"/>
      <c r="AF623" s="1212"/>
      <c r="AG623" s="1212"/>
      <c r="AH623" s="1212"/>
      <c r="AI623" s="685"/>
      <c r="AJ623" s="685"/>
      <c r="AK623" s="685"/>
      <c r="AL623" s="685"/>
      <c r="AM623" s="685"/>
      <c r="AN623" s="685"/>
      <c r="AO623" s="685"/>
      <c r="AP623" s="685"/>
      <c r="AQ623" s="685"/>
      <c r="AR623" s="685"/>
      <c r="AS623" s="685"/>
      <c r="AT623" s="685"/>
      <c r="AU623" s="685"/>
      <c r="AV623" s="685"/>
      <c r="AW623" s="685"/>
      <c r="AX623" s="685"/>
      <c r="AY623" s="685"/>
      <c r="AZ623" s="685"/>
      <c r="BA623" s="685"/>
      <c r="BB623" s="685"/>
      <c r="BC623" s="685"/>
      <c r="BD623" s="685"/>
    </row>
    <row r="624" spans="1:56" hidden="1">
      <c r="A624" s="685"/>
      <c r="B624" s="1115" t="str">
        <f t="shared" si="437"/>
        <v>xx</v>
      </c>
      <c r="C624" s="1115"/>
      <c r="D624" s="1212"/>
      <c r="E624" s="1212"/>
      <c r="F624" s="1212"/>
      <c r="G624" s="1212"/>
      <c r="H624" s="1212"/>
      <c r="I624" s="1212"/>
      <c r="J624" s="1212"/>
      <c r="K624" s="1212"/>
      <c r="L624" s="1212"/>
      <c r="M624" s="1212"/>
      <c r="N624" s="1212"/>
      <c r="O624" s="1212"/>
      <c r="P624" s="1212"/>
      <c r="Q624" s="1212"/>
      <c r="R624" s="1212"/>
      <c r="S624" s="1212"/>
      <c r="T624" s="1212"/>
      <c r="U624" s="1212"/>
      <c r="V624" s="1212"/>
      <c r="W624" s="1212"/>
      <c r="X624" s="1212"/>
      <c r="Y624" s="1212"/>
      <c r="Z624" s="1212"/>
      <c r="AA624" s="1212"/>
      <c r="AB624" s="1212"/>
      <c r="AC624" s="1212"/>
      <c r="AD624" s="1212"/>
      <c r="AE624" s="1212"/>
      <c r="AF624" s="1212"/>
      <c r="AG624" s="1212"/>
      <c r="AH624" s="1212"/>
      <c r="AI624" s="685"/>
      <c r="AJ624" s="685"/>
      <c r="AK624" s="685"/>
      <c r="AL624" s="685"/>
      <c r="AM624" s="685"/>
      <c r="AN624" s="685"/>
      <c r="AO624" s="685"/>
      <c r="AP624" s="685"/>
      <c r="AQ624" s="685"/>
      <c r="AR624" s="685"/>
      <c r="AS624" s="685"/>
      <c r="AT624" s="685"/>
      <c r="AU624" s="685"/>
      <c r="AV624" s="685"/>
      <c r="AW624" s="685"/>
      <c r="AX624" s="685"/>
      <c r="AY624" s="685"/>
      <c r="AZ624" s="685"/>
      <c r="BA624" s="685"/>
      <c r="BB624" s="685"/>
      <c r="BC624" s="685"/>
      <c r="BD624" s="685"/>
    </row>
    <row r="625" spans="1:56" hidden="1">
      <c r="A625" s="685"/>
      <c r="B625" s="1115" t="str">
        <f t="shared" si="437"/>
        <v>xx</v>
      </c>
      <c r="C625" s="1115"/>
      <c r="D625" s="1212"/>
      <c r="E625" s="1212"/>
      <c r="F625" s="1212"/>
      <c r="G625" s="1212"/>
      <c r="H625" s="1212"/>
      <c r="I625" s="1212"/>
      <c r="J625" s="1212"/>
      <c r="K625" s="1212"/>
      <c r="L625" s="1212"/>
      <c r="M625" s="1212"/>
      <c r="N625" s="1212"/>
      <c r="O625" s="1212"/>
      <c r="P625" s="1212"/>
      <c r="Q625" s="1212"/>
      <c r="R625" s="1212"/>
      <c r="S625" s="1212"/>
      <c r="T625" s="1212"/>
      <c r="U625" s="1212"/>
      <c r="V625" s="1212"/>
      <c r="W625" s="1212"/>
      <c r="X625" s="1212"/>
      <c r="Y625" s="1212"/>
      <c r="Z625" s="1212"/>
      <c r="AA625" s="1212"/>
      <c r="AB625" s="1212"/>
      <c r="AC625" s="1212"/>
      <c r="AD625" s="1212"/>
      <c r="AE625" s="1212"/>
      <c r="AF625" s="1212"/>
      <c r="AG625" s="1212"/>
      <c r="AH625" s="1212"/>
      <c r="AI625" s="685"/>
      <c r="AJ625" s="685"/>
      <c r="AK625" s="685"/>
      <c r="AL625" s="685"/>
      <c r="AM625" s="685"/>
      <c r="AN625" s="685"/>
      <c r="AO625" s="685"/>
      <c r="AP625" s="685"/>
      <c r="AQ625" s="685"/>
      <c r="AR625" s="685"/>
      <c r="AS625" s="685"/>
      <c r="AT625" s="685"/>
      <c r="AU625" s="685"/>
      <c r="AV625" s="685"/>
      <c r="AW625" s="685"/>
      <c r="AX625" s="685"/>
      <c r="AY625" s="685"/>
      <c r="AZ625" s="685"/>
      <c r="BA625" s="685"/>
      <c r="BB625" s="685"/>
      <c r="BC625" s="685"/>
      <c r="BD625" s="685"/>
    </row>
    <row r="626" spans="1:56" hidden="1">
      <c r="A626" s="685"/>
      <c r="B626" s="1115" t="str">
        <f t="shared" si="437"/>
        <v>xx</v>
      </c>
      <c r="C626" s="1115"/>
      <c r="D626" s="1212"/>
      <c r="E626" s="1212"/>
      <c r="F626" s="1212"/>
      <c r="G626" s="1212"/>
      <c r="H626" s="1212"/>
      <c r="I626" s="1212"/>
      <c r="J626" s="1212"/>
      <c r="K626" s="1212"/>
      <c r="L626" s="1212"/>
      <c r="M626" s="1212"/>
      <c r="N626" s="1212"/>
      <c r="O626" s="1212"/>
      <c r="P626" s="1212"/>
      <c r="Q626" s="1212"/>
      <c r="R626" s="1212"/>
      <c r="S626" s="1212"/>
      <c r="T626" s="1212"/>
      <c r="U626" s="1212"/>
      <c r="V626" s="1212"/>
      <c r="W626" s="1212"/>
      <c r="X626" s="1212"/>
      <c r="Y626" s="1212"/>
      <c r="Z626" s="1212"/>
      <c r="AA626" s="1212"/>
      <c r="AB626" s="1212"/>
      <c r="AC626" s="1212"/>
      <c r="AD626" s="1212"/>
      <c r="AE626" s="1212"/>
      <c r="AF626" s="1212"/>
      <c r="AG626" s="1212"/>
      <c r="AH626" s="1212"/>
      <c r="AI626" s="685"/>
      <c r="AJ626" s="685"/>
      <c r="AK626" s="685"/>
      <c r="AL626" s="685"/>
      <c r="AM626" s="685"/>
      <c r="AN626" s="685"/>
      <c r="AO626" s="685"/>
      <c r="AP626" s="685"/>
      <c r="AQ626" s="685"/>
      <c r="AR626" s="685"/>
      <c r="AS626" s="685"/>
      <c r="AT626" s="685"/>
      <c r="AU626" s="685"/>
      <c r="AV626" s="685"/>
      <c r="AW626" s="685"/>
      <c r="AX626" s="685"/>
      <c r="AY626" s="685"/>
      <c r="AZ626" s="685"/>
      <c r="BA626" s="685"/>
      <c r="BB626" s="685"/>
      <c r="BC626" s="685"/>
      <c r="BD626" s="685"/>
    </row>
    <row r="627" spans="1:56" hidden="1">
      <c r="A627" s="685"/>
      <c r="B627" s="1115" t="str">
        <f t="shared" si="437"/>
        <v>xx</v>
      </c>
      <c r="C627" s="1115"/>
      <c r="D627" s="1212"/>
      <c r="E627" s="1212"/>
      <c r="F627" s="1212"/>
      <c r="G627" s="1212"/>
      <c r="H627" s="1212"/>
      <c r="I627" s="1212"/>
      <c r="J627" s="1212"/>
      <c r="K627" s="1212"/>
      <c r="L627" s="1212"/>
      <c r="M627" s="1212"/>
      <c r="N627" s="1212"/>
      <c r="O627" s="1212"/>
      <c r="P627" s="1212"/>
      <c r="Q627" s="1212"/>
      <c r="R627" s="1212"/>
      <c r="S627" s="1212"/>
      <c r="T627" s="1212"/>
      <c r="U627" s="1212"/>
      <c r="V627" s="1212"/>
      <c r="W627" s="1212"/>
      <c r="X627" s="1212"/>
      <c r="Y627" s="1212"/>
      <c r="Z627" s="1212"/>
      <c r="AA627" s="1212"/>
      <c r="AB627" s="1212"/>
      <c r="AC627" s="1212"/>
      <c r="AD627" s="1212"/>
      <c r="AE627" s="1212"/>
      <c r="AF627" s="1212"/>
      <c r="AG627" s="1212"/>
      <c r="AH627" s="1212"/>
      <c r="AI627" s="685"/>
      <c r="AJ627" s="685"/>
      <c r="AK627" s="685"/>
      <c r="AL627" s="685"/>
      <c r="AM627" s="685"/>
      <c r="AN627" s="685"/>
      <c r="AO627" s="685"/>
      <c r="AP627" s="685"/>
      <c r="AQ627" s="685"/>
      <c r="AR627" s="685"/>
      <c r="AS627" s="685"/>
      <c r="AT627" s="685"/>
      <c r="AU627" s="685"/>
      <c r="AV627" s="685"/>
      <c r="AW627" s="685"/>
      <c r="AX627" s="685"/>
      <c r="AY627" s="685"/>
      <c r="AZ627" s="685"/>
      <c r="BA627" s="685"/>
      <c r="BB627" s="685"/>
      <c r="BC627" s="685"/>
      <c r="BD627" s="685"/>
    </row>
    <row r="628" spans="1:56" hidden="1">
      <c r="A628" s="685"/>
      <c r="B628" s="1115" t="str">
        <f t="shared" si="437"/>
        <v>xx</v>
      </c>
      <c r="C628" s="1115"/>
      <c r="D628" s="1213"/>
      <c r="E628" s="1213"/>
      <c r="F628" s="1213"/>
      <c r="G628" s="1213"/>
      <c r="H628" s="1213"/>
      <c r="I628" s="1213"/>
      <c r="J628" s="1213"/>
      <c r="K628" s="1213"/>
      <c r="L628" s="1213"/>
      <c r="M628" s="1213"/>
      <c r="N628" s="1213"/>
      <c r="O628" s="1213"/>
      <c r="P628" s="1213"/>
      <c r="Q628" s="1213"/>
      <c r="R628" s="1213"/>
      <c r="S628" s="1213"/>
      <c r="T628" s="1213"/>
      <c r="U628" s="1213"/>
      <c r="V628" s="1213"/>
      <c r="W628" s="1213"/>
      <c r="X628" s="1213"/>
      <c r="Y628" s="1213"/>
      <c r="Z628" s="1213"/>
      <c r="AA628" s="1213"/>
      <c r="AB628" s="1213"/>
      <c r="AC628" s="1213"/>
      <c r="AD628" s="1213"/>
      <c r="AE628" s="1213"/>
      <c r="AF628" s="1213"/>
      <c r="AG628" s="1213"/>
      <c r="AH628" s="1213"/>
      <c r="AI628" s="685"/>
      <c r="AJ628" s="685"/>
      <c r="AK628" s="685"/>
      <c r="AL628" s="685"/>
      <c r="AM628" s="685"/>
      <c r="AN628" s="685"/>
      <c r="AO628" s="685"/>
      <c r="AP628" s="685"/>
      <c r="AQ628" s="685"/>
      <c r="AR628" s="685"/>
      <c r="AS628" s="685"/>
      <c r="AT628" s="685"/>
      <c r="AU628" s="685"/>
      <c r="AV628" s="685"/>
      <c r="AW628" s="685"/>
      <c r="AX628" s="685"/>
      <c r="AY628" s="685"/>
      <c r="AZ628" s="685"/>
      <c r="BA628" s="685"/>
      <c r="BB628" s="685"/>
      <c r="BC628" s="685"/>
      <c r="BD628" s="685"/>
    </row>
    <row r="629" spans="1:56" hidden="1">
      <c r="A629" s="685"/>
      <c r="B629" s="1115" t="s">
        <v>85</v>
      </c>
      <c r="C629" s="1115"/>
      <c r="D629" s="1212"/>
      <c r="E629" s="1212"/>
      <c r="F629" s="1212">
        <f t="shared" ref="F629:AC629" si="438">SUM(F621:F628)</f>
        <v>0</v>
      </c>
      <c r="G629" s="1212">
        <f t="shared" si="438"/>
        <v>0</v>
      </c>
      <c r="H629" s="1212">
        <f t="shared" si="438"/>
        <v>0</v>
      </c>
      <c r="I629" s="1212">
        <f t="shared" si="438"/>
        <v>0</v>
      </c>
      <c r="J629" s="1212">
        <f t="shared" si="438"/>
        <v>0</v>
      </c>
      <c r="K629" s="1212">
        <f t="shared" si="438"/>
        <v>0</v>
      </c>
      <c r="L629" s="1212">
        <f t="shared" si="438"/>
        <v>0</v>
      </c>
      <c r="M629" s="1212">
        <f t="shared" si="438"/>
        <v>0</v>
      </c>
      <c r="N629" s="1212">
        <f t="shared" si="438"/>
        <v>0</v>
      </c>
      <c r="O629" s="1212">
        <f t="shared" si="438"/>
        <v>0</v>
      </c>
      <c r="P629" s="1212">
        <f t="shared" si="438"/>
        <v>0</v>
      </c>
      <c r="Q629" s="1212">
        <f t="shared" si="438"/>
        <v>0</v>
      </c>
      <c r="R629" s="1212">
        <f t="shared" si="438"/>
        <v>0</v>
      </c>
      <c r="S629" s="1212">
        <f t="shared" si="438"/>
        <v>0</v>
      </c>
      <c r="T629" s="1212">
        <f t="shared" si="438"/>
        <v>0</v>
      </c>
      <c r="U629" s="1212">
        <f t="shared" si="438"/>
        <v>0</v>
      </c>
      <c r="V629" s="1212">
        <f t="shared" si="438"/>
        <v>0</v>
      </c>
      <c r="W629" s="1212">
        <f t="shared" si="438"/>
        <v>0</v>
      </c>
      <c r="X629" s="1212">
        <f t="shared" si="438"/>
        <v>0</v>
      </c>
      <c r="Y629" s="1212">
        <f t="shared" si="438"/>
        <v>0</v>
      </c>
      <c r="Z629" s="1212">
        <f t="shared" si="438"/>
        <v>0</v>
      </c>
      <c r="AA629" s="1212">
        <f t="shared" si="438"/>
        <v>0</v>
      </c>
      <c r="AB629" s="1212">
        <f t="shared" si="438"/>
        <v>0</v>
      </c>
      <c r="AC629" s="1212">
        <f t="shared" si="438"/>
        <v>0</v>
      </c>
      <c r="AD629" s="1212">
        <f>SUM(AD621:AD628)</f>
        <v>0</v>
      </c>
      <c r="AE629" s="1212">
        <f>SUM(AE621:AE628)</f>
        <v>0</v>
      </c>
      <c r="AF629" s="1212">
        <f>SUM(AF621:AF628)</f>
        <v>0</v>
      </c>
      <c r="AG629" s="1212">
        <f>SUM(AG621:AG628)</f>
        <v>0</v>
      </c>
      <c r="AH629" s="1212">
        <f>SUM(AH621:AH628)</f>
        <v>0</v>
      </c>
      <c r="AI629" s="685"/>
      <c r="AJ629" s="685"/>
      <c r="AK629" s="685"/>
      <c r="AL629" s="685"/>
      <c r="AM629" s="685"/>
      <c r="AN629" s="685"/>
      <c r="AO629" s="685"/>
      <c r="AP629" s="685"/>
      <c r="AQ629" s="685"/>
      <c r="AR629" s="685"/>
      <c r="AS629" s="685"/>
      <c r="AT629" s="685"/>
      <c r="AU629" s="685"/>
      <c r="AV629" s="685"/>
      <c r="AW629" s="685"/>
      <c r="AX629" s="685"/>
      <c r="AY629" s="685"/>
      <c r="AZ629" s="685"/>
      <c r="BA629" s="685"/>
      <c r="BB629" s="685"/>
      <c r="BC629" s="685"/>
      <c r="BD629" s="685"/>
    </row>
    <row r="630" spans="1:56" hidden="1">
      <c r="A630" s="685"/>
      <c r="B630" s="1115"/>
      <c r="C630" s="1115"/>
      <c r="D630" s="1212"/>
      <c r="E630" s="1212"/>
      <c r="F630" s="1212"/>
      <c r="G630" s="1212"/>
      <c r="H630" s="1212"/>
      <c r="I630" s="1212"/>
      <c r="J630" s="1212"/>
      <c r="K630" s="1212"/>
      <c r="L630" s="1212"/>
      <c r="M630" s="1212"/>
      <c r="N630" s="1212"/>
      <c r="O630" s="1212"/>
      <c r="P630" s="1212"/>
      <c r="Q630" s="1212"/>
      <c r="R630" s="1212"/>
      <c r="S630" s="1212"/>
      <c r="T630" s="1212"/>
      <c r="U630" s="1212"/>
      <c r="V630" s="1212"/>
      <c r="W630" s="1212"/>
      <c r="X630" s="1212"/>
      <c r="Y630" s="1212"/>
      <c r="Z630" s="1212"/>
      <c r="AA630" s="1212"/>
      <c r="AB630" s="1212"/>
      <c r="AC630" s="1212"/>
      <c r="AD630" s="1212"/>
      <c r="AE630" s="1212"/>
      <c r="AF630" s="1212"/>
      <c r="AG630" s="1212"/>
      <c r="AH630" s="1212"/>
      <c r="AI630" s="685"/>
      <c r="AJ630" s="685"/>
      <c r="AK630" s="685"/>
      <c r="AL630" s="685"/>
      <c r="AM630" s="685"/>
      <c r="AN630" s="685"/>
      <c r="AO630" s="685"/>
      <c r="AP630" s="685"/>
      <c r="AQ630" s="685"/>
      <c r="AR630" s="685"/>
      <c r="AS630" s="685"/>
      <c r="AT630" s="685"/>
      <c r="AU630" s="685"/>
      <c r="AV630" s="685"/>
      <c r="AW630" s="685"/>
      <c r="AX630" s="685"/>
      <c r="AY630" s="685"/>
      <c r="AZ630" s="685"/>
      <c r="BA630" s="685"/>
      <c r="BB630" s="685"/>
      <c r="BC630" s="685"/>
      <c r="BD630" s="685"/>
    </row>
    <row r="631" spans="1:56" hidden="1">
      <c r="A631" s="685"/>
      <c r="B631" s="1115" t="s">
        <v>464</v>
      </c>
      <c r="C631" s="1115"/>
      <c r="D631" s="1212"/>
      <c r="E631" s="1212"/>
      <c r="F631" s="1212"/>
      <c r="G631" s="1212"/>
      <c r="H631" s="1212"/>
      <c r="I631" s="1212"/>
      <c r="J631" s="1212"/>
      <c r="K631" s="1212"/>
      <c r="L631" s="1212"/>
      <c r="M631" s="1212"/>
      <c r="N631" s="1212"/>
      <c r="O631" s="1212"/>
      <c r="P631" s="1212"/>
      <c r="Q631" s="1212"/>
      <c r="R631" s="1212"/>
      <c r="S631" s="1212"/>
      <c r="T631" s="1212"/>
      <c r="U631" s="1212"/>
      <c r="V631" s="1212"/>
      <c r="W631" s="1212"/>
      <c r="X631" s="1212"/>
      <c r="Y631" s="1212"/>
      <c r="Z631" s="1212"/>
      <c r="AA631" s="1212"/>
      <c r="AB631" s="1212"/>
      <c r="AC631" s="1212"/>
      <c r="AD631" s="1212"/>
      <c r="AE631" s="1212"/>
      <c r="AF631" s="1212"/>
      <c r="AG631" s="1212"/>
      <c r="AH631" s="1212"/>
      <c r="AI631" s="685"/>
      <c r="AJ631" s="685"/>
      <c r="AK631" s="685"/>
      <c r="AL631" s="685"/>
      <c r="AM631" s="685"/>
      <c r="AN631" s="685"/>
      <c r="AO631" s="685"/>
      <c r="AP631" s="685"/>
      <c r="AQ631" s="685"/>
      <c r="AR631" s="685"/>
      <c r="AS631" s="685"/>
      <c r="AT631" s="685"/>
      <c r="AU631" s="685"/>
      <c r="AV631" s="685"/>
      <c r="AW631" s="685"/>
      <c r="AX631" s="685"/>
      <c r="AY631" s="685"/>
      <c r="AZ631" s="685"/>
      <c r="BA631" s="685"/>
      <c r="BB631" s="685"/>
      <c r="BC631" s="685"/>
      <c r="BD631" s="685"/>
    </row>
    <row r="632" spans="1:56" hidden="1">
      <c r="A632" s="685"/>
      <c r="B632" s="1115" t="str">
        <f t="shared" ref="B632:B640" si="439">B621</f>
        <v>xx</v>
      </c>
      <c r="C632" s="1115"/>
      <c r="D632" s="1212"/>
      <c r="E632" s="1214"/>
      <c r="F632" s="1214"/>
      <c r="G632" s="1214"/>
      <c r="H632" s="1214"/>
      <c r="I632" s="1214"/>
      <c r="J632" s="1214"/>
      <c r="K632" s="1214"/>
      <c r="L632" s="1214"/>
      <c r="M632" s="1214"/>
      <c r="N632" s="1214"/>
      <c r="O632" s="1214"/>
      <c r="P632" s="1214"/>
      <c r="Q632" s="1214"/>
      <c r="R632" s="1214"/>
      <c r="S632" s="1214"/>
      <c r="T632" s="1214"/>
      <c r="U632" s="1214"/>
      <c r="V632" s="1214"/>
      <c r="W632" s="1214"/>
      <c r="X632" s="1214"/>
      <c r="Y632" s="1214"/>
      <c r="Z632" s="1214"/>
      <c r="AA632" s="1214"/>
      <c r="AB632" s="1214"/>
      <c r="AC632" s="1214"/>
      <c r="AD632" s="1214"/>
      <c r="AE632" s="1214"/>
      <c r="AF632" s="1214"/>
      <c r="AG632" s="1214"/>
      <c r="AH632" s="1214"/>
      <c r="AI632" s="685"/>
      <c r="AJ632" s="685"/>
      <c r="AK632" s="685"/>
      <c r="AL632" s="685"/>
      <c r="AM632" s="685"/>
      <c r="AN632" s="685"/>
      <c r="AO632" s="685"/>
      <c r="AP632" s="685"/>
      <c r="AQ632" s="685"/>
      <c r="AR632" s="685"/>
      <c r="AS632" s="685"/>
      <c r="AT632" s="685"/>
      <c r="AU632" s="685"/>
      <c r="AV632" s="685"/>
      <c r="AW632" s="685"/>
      <c r="AX632" s="685"/>
      <c r="AY632" s="685"/>
      <c r="AZ632" s="685"/>
      <c r="BA632" s="685"/>
      <c r="BB632" s="685"/>
      <c r="BC632" s="685"/>
      <c r="BD632" s="685"/>
    </row>
    <row r="633" spans="1:56" hidden="1">
      <c r="A633" s="685"/>
      <c r="B633" s="1115" t="str">
        <f t="shared" si="439"/>
        <v>xx</v>
      </c>
      <c r="C633" s="1115"/>
      <c r="D633" s="1212"/>
      <c r="E633" s="1214"/>
      <c r="F633" s="1214"/>
      <c r="G633" s="1214"/>
      <c r="H633" s="1214"/>
      <c r="I633" s="1214"/>
      <c r="J633" s="1214"/>
      <c r="K633" s="1214"/>
      <c r="L633" s="1214"/>
      <c r="M633" s="1214"/>
      <c r="N633" s="1214"/>
      <c r="O633" s="1214"/>
      <c r="P633" s="1214"/>
      <c r="Q633" s="1214"/>
      <c r="R633" s="1214"/>
      <c r="S633" s="1214"/>
      <c r="T633" s="1214"/>
      <c r="U633" s="1214"/>
      <c r="V633" s="1214"/>
      <c r="W633" s="1214"/>
      <c r="X633" s="1214"/>
      <c r="Y633" s="1214"/>
      <c r="Z633" s="1214"/>
      <c r="AA633" s="1214"/>
      <c r="AB633" s="1214"/>
      <c r="AC633" s="1214"/>
      <c r="AD633" s="1214"/>
      <c r="AE633" s="1214"/>
      <c r="AF633" s="1214"/>
      <c r="AG633" s="1214"/>
      <c r="AH633" s="1214"/>
      <c r="AI633" s="685"/>
      <c r="AJ633" s="685"/>
      <c r="AK633" s="685"/>
      <c r="AL633" s="685"/>
      <c r="AM633" s="685"/>
      <c r="AN633" s="685"/>
      <c r="AO633" s="685"/>
      <c r="AP633" s="685"/>
      <c r="AQ633" s="685"/>
      <c r="AR633" s="685"/>
      <c r="AS633" s="685"/>
      <c r="AT633" s="685"/>
      <c r="AU633" s="685"/>
      <c r="AV633" s="685"/>
      <c r="AW633" s="685"/>
      <c r="AX633" s="685"/>
      <c r="AY633" s="685"/>
      <c r="AZ633" s="685"/>
      <c r="BA633" s="685"/>
      <c r="BB633" s="685"/>
      <c r="BC633" s="685"/>
      <c r="BD633" s="685"/>
    </row>
    <row r="634" spans="1:56" hidden="1">
      <c r="A634" s="685"/>
      <c r="B634" s="1115" t="str">
        <f t="shared" si="439"/>
        <v>xx</v>
      </c>
      <c r="C634" s="1115"/>
      <c r="D634" s="1212"/>
      <c r="E634" s="1214"/>
      <c r="F634" s="1214"/>
      <c r="G634" s="1214"/>
      <c r="H634" s="1214"/>
      <c r="I634" s="1214"/>
      <c r="J634" s="1214"/>
      <c r="K634" s="1214"/>
      <c r="L634" s="1214"/>
      <c r="M634" s="1214"/>
      <c r="N634" s="1214"/>
      <c r="O634" s="1214"/>
      <c r="P634" s="1214"/>
      <c r="Q634" s="1214"/>
      <c r="R634" s="1214"/>
      <c r="S634" s="1214"/>
      <c r="T634" s="1214"/>
      <c r="U634" s="1214"/>
      <c r="V634" s="1214"/>
      <c r="W634" s="1214"/>
      <c r="X634" s="1214"/>
      <c r="Y634" s="1214"/>
      <c r="Z634" s="1214"/>
      <c r="AA634" s="1214"/>
      <c r="AB634" s="1214"/>
      <c r="AC634" s="1214"/>
      <c r="AD634" s="1214"/>
      <c r="AE634" s="1214"/>
      <c r="AF634" s="1214"/>
      <c r="AG634" s="1214"/>
      <c r="AH634" s="1214"/>
      <c r="AI634" s="685"/>
      <c r="AJ634" s="685"/>
      <c r="AK634" s="685"/>
      <c r="AL634" s="685"/>
      <c r="AM634" s="685"/>
      <c r="AN634" s="685"/>
      <c r="AO634" s="685"/>
      <c r="AP634" s="685"/>
      <c r="AQ634" s="685"/>
      <c r="AR634" s="685"/>
      <c r="AS634" s="685"/>
      <c r="AT634" s="685"/>
      <c r="AU634" s="685"/>
      <c r="AV634" s="685"/>
      <c r="AW634" s="685"/>
      <c r="AX634" s="685"/>
      <c r="AY634" s="685"/>
      <c r="AZ634" s="685"/>
      <c r="BA634" s="685"/>
      <c r="BB634" s="685"/>
      <c r="BC634" s="685"/>
      <c r="BD634" s="685"/>
    </row>
    <row r="635" spans="1:56" hidden="1">
      <c r="A635" s="685"/>
      <c r="B635" s="1115" t="str">
        <f t="shared" si="439"/>
        <v>xx</v>
      </c>
      <c r="C635" s="1115"/>
      <c r="D635" s="1212"/>
      <c r="E635" s="1214"/>
      <c r="F635" s="1214"/>
      <c r="G635" s="1214"/>
      <c r="H635" s="1214"/>
      <c r="I635" s="1214"/>
      <c r="J635" s="1214"/>
      <c r="K635" s="1214"/>
      <c r="L635" s="1214"/>
      <c r="M635" s="1214"/>
      <c r="N635" s="1214"/>
      <c r="O635" s="1214"/>
      <c r="P635" s="1214"/>
      <c r="Q635" s="1214"/>
      <c r="R635" s="1214"/>
      <c r="S635" s="1214"/>
      <c r="T635" s="1214"/>
      <c r="U635" s="1214"/>
      <c r="V635" s="1214"/>
      <c r="W635" s="1214"/>
      <c r="X635" s="1214"/>
      <c r="Y635" s="1214"/>
      <c r="Z635" s="1214"/>
      <c r="AA635" s="1214"/>
      <c r="AB635" s="1214"/>
      <c r="AC635" s="1214"/>
      <c r="AD635" s="1214"/>
      <c r="AE635" s="1214"/>
      <c r="AF635" s="1214"/>
      <c r="AG635" s="1214"/>
      <c r="AH635" s="1214"/>
      <c r="AI635" s="685"/>
      <c r="AJ635" s="685"/>
      <c r="AK635" s="685"/>
      <c r="AL635" s="685"/>
      <c r="AM635" s="685"/>
      <c r="AN635" s="685"/>
      <c r="AO635" s="685"/>
      <c r="AP635" s="685"/>
      <c r="AQ635" s="685"/>
      <c r="AR635" s="685"/>
      <c r="AS635" s="685"/>
      <c r="AT635" s="685"/>
      <c r="AU635" s="685"/>
      <c r="AV635" s="685"/>
      <c r="AW635" s="685"/>
      <c r="AX635" s="685"/>
      <c r="AY635" s="685"/>
      <c r="AZ635" s="685"/>
      <c r="BA635" s="685"/>
      <c r="BB635" s="685"/>
      <c r="BC635" s="685"/>
      <c r="BD635" s="685"/>
    </row>
    <row r="636" spans="1:56" hidden="1">
      <c r="A636" s="685"/>
      <c r="B636" s="1115" t="str">
        <f t="shared" si="439"/>
        <v>xx</v>
      </c>
      <c r="C636" s="1115"/>
      <c r="D636" s="1212"/>
      <c r="E636" s="1214"/>
      <c r="F636" s="1214"/>
      <c r="G636" s="1214"/>
      <c r="H636" s="1214"/>
      <c r="I636" s="1214"/>
      <c r="J636" s="1214"/>
      <c r="K636" s="1214"/>
      <c r="L636" s="1214"/>
      <c r="M636" s="1214"/>
      <c r="N636" s="1214"/>
      <c r="O636" s="1214"/>
      <c r="P636" s="1214"/>
      <c r="Q636" s="1214"/>
      <c r="R636" s="1214"/>
      <c r="S636" s="1214"/>
      <c r="T636" s="1214"/>
      <c r="U636" s="1214"/>
      <c r="V636" s="1214"/>
      <c r="W636" s="1214"/>
      <c r="X636" s="1214"/>
      <c r="Y636" s="1214"/>
      <c r="Z636" s="1214"/>
      <c r="AA636" s="1214"/>
      <c r="AB636" s="1214"/>
      <c r="AC636" s="1214"/>
      <c r="AD636" s="1214"/>
      <c r="AE636" s="1214"/>
      <c r="AF636" s="1214"/>
      <c r="AG636" s="1214"/>
      <c r="AH636" s="1214"/>
      <c r="AI636" s="685"/>
      <c r="AJ636" s="685"/>
      <c r="AK636" s="685"/>
      <c r="AL636" s="685"/>
      <c r="AM636" s="685"/>
      <c r="AN636" s="685"/>
      <c r="AO636" s="685"/>
      <c r="AP636" s="685"/>
      <c r="AQ636" s="685"/>
      <c r="AR636" s="685"/>
      <c r="AS636" s="685"/>
      <c r="AT636" s="685"/>
      <c r="AU636" s="685"/>
      <c r="AV636" s="685"/>
      <c r="AW636" s="685"/>
      <c r="AX636" s="685"/>
      <c r="AY636" s="685"/>
      <c r="AZ636" s="685"/>
      <c r="BA636" s="685"/>
      <c r="BB636" s="685"/>
      <c r="BC636" s="685"/>
      <c r="BD636" s="685"/>
    </row>
    <row r="637" spans="1:56" hidden="1">
      <c r="A637" s="685"/>
      <c r="B637" s="1115" t="str">
        <f t="shared" si="439"/>
        <v>xx</v>
      </c>
      <c r="C637" s="1115"/>
      <c r="D637" s="1212"/>
      <c r="E637" s="1214"/>
      <c r="F637" s="1214"/>
      <c r="G637" s="1214"/>
      <c r="H637" s="1214"/>
      <c r="I637" s="1214"/>
      <c r="J637" s="1214"/>
      <c r="K637" s="1214"/>
      <c r="L637" s="1214"/>
      <c r="M637" s="1214"/>
      <c r="N637" s="1214"/>
      <c r="O637" s="1214"/>
      <c r="P637" s="1214"/>
      <c r="Q637" s="1214"/>
      <c r="R637" s="1214"/>
      <c r="S637" s="1214"/>
      <c r="T637" s="1214"/>
      <c r="U637" s="1214"/>
      <c r="V637" s="1214"/>
      <c r="W637" s="1214"/>
      <c r="X637" s="1214"/>
      <c r="Y637" s="1214"/>
      <c r="Z637" s="1214"/>
      <c r="AA637" s="1214"/>
      <c r="AB637" s="1214"/>
      <c r="AC637" s="1214"/>
      <c r="AD637" s="1214"/>
      <c r="AE637" s="1214"/>
      <c r="AF637" s="1214"/>
      <c r="AG637" s="1214"/>
      <c r="AH637" s="1214"/>
      <c r="AI637" s="685"/>
      <c r="AJ637" s="685"/>
      <c r="AK637" s="685"/>
      <c r="AL637" s="685"/>
      <c r="AM637" s="685"/>
      <c r="AN637" s="685"/>
      <c r="AO637" s="685"/>
      <c r="AP637" s="685"/>
      <c r="AQ637" s="685"/>
      <c r="AR637" s="685"/>
      <c r="AS637" s="685"/>
      <c r="AT637" s="685"/>
      <c r="AU637" s="685"/>
      <c r="AV637" s="685"/>
      <c r="AW637" s="685"/>
      <c r="AX637" s="685"/>
      <c r="AY637" s="685"/>
      <c r="AZ637" s="685"/>
      <c r="BA637" s="685"/>
      <c r="BB637" s="685"/>
      <c r="BC637" s="685"/>
      <c r="BD637" s="685"/>
    </row>
    <row r="638" spans="1:56" hidden="1">
      <c r="A638" s="685"/>
      <c r="B638" s="1115" t="str">
        <f t="shared" si="439"/>
        <v>xx</v>
      </c>
      <c r="C638" s="1115"/>
      <c r="D638" s="1212"/>
      <c r="E638" s="1214"/>
      <c r="F638" s="1214"/>
      <c r="G638" s="1214"/>
      <c r="H638" s="1214"/>
      <c r="I638" s="1214"/>
      <c r="J638" s="1214"/>
      <c r="K638" s="1214"/>
      <c r="L638" s="1214"/>
      <c r="M638" s="1214"/>
      <c r="N638" s="1214"/>
      <c r="O638" s="1214"/>
      <c r="P638" s="1214"/>
      <c r="Q638" s="1214"/>
      <c r="R638" s="1214"/>
      <c r="S638" s="1214"/>
      <c r="T638" s="1214"/>
      <c r="U638" s="1214"/>
      <c r="V638" s="1214"/>
      <c r="W638" s="1214"/>
      <c r="X638" s="1214"/>
      <c r="Y638" s="1214"/>
      <c r="Z638" s="1214"/>
      <c r="AA638" s="1214"/>
      <c r="AB638" s="1214"/>
      <c r="AC638" s="1214"/>
      <c r="AD638" s="1214"/>
      <c r="AE638" s="1214"/>
      <c r="AF638" s="1214"/>
      <c r="AG638" s="1214"/>
      <c r="AH638" s="1214"/>
      <c r="AI638" s="685"/>
      <c r="AJ638" s="685"/>
      <c r="AK638" s="685"/>
      <c r="AL638" s="685"/>
      <c r="AM638" s="685"/>
      <c r="AN638" s="685"/>
      <c r="AO638" s="685"/>
      <c r="AP638" s="685"/>
      <c r="AQ638" s="685"/>
      <c r="AR638" s="685"/>
      <c r="AS638" s="685"/>
      <c r="AT638" s="685"/>
      <c r="AU638" s="685"/>
      <c r="AV638" s="685"/>
      <c r="AW638" s="685"/>
      <c r="AX638" s="685"/>
      <c r="AY638" s="685"/>
      <c r="AZ638" s="685"/>
      <c r="BA638" s="685"/>
      <c r="BB638" s="685"/>
      <c r="BC638" s="685"/>
      <c r="BD638" s="685"/>
    </row>
    <row r="639" spans="1:56" hidden="1">
      <c r="A639" s="685"/>
      <c r="B639" s="1115" t="str">
        <f t="shared" si="439"/>
        <v>xx</v>
      </c>
      <c r="C639" s="1115"/>
      <c r="D639" s="1213"/>
      <c r="E639" s="1215"/>
      <c r="F639" s="1215"/>
      <c r="G639" s="1215"/>
      <c r="H639" s="1215"/>
      <c r="I639" s="1215"/>
      <c r="J639" s="1215"/>
      <c r="K639" s="1215"/>
      <c r="L639" s="1215"/>
      <c r="M639" s="1215"/>
      <c r="N639" s="1215"/>
      <c r="O639" s="1215"/>
      <c r="P639" s="1215"/>
      <c r="Q639" s="1215"/>
      <c r="R639" s="1215"/>
      <c r="S639" s="1215"/>
      <c r="T639" s="1215"/>
      <c r="U639" s="1215"/>
      <c r="V639" s="1215"/>
      <c r="W639" s="1215"/>
      <c r="X639" s="1215"/>
      <c r="Y639" s="1215"/>
      <c r="Z639" s="1215"/>
      <c r="AA639" s="1215"/>
      <c r="AB639" s="1215"/>
      <c r="AC639" s="1215"/>
      <c r="AD639" s="1215"/>
      <c r="AE639" s="1215"/>
      <c r="AF639" s="1215"/>
      <c r="AG639" s="1215"/>
      <c r="AH639" s="1215"/>
      <c r="AI639" s="685"/>
      <c r="AJ639" s="685"/>
      <c r="AK639" s="685"/>
      <c r="AL639" s="685"/>
      <c r="AM639" s="685"/>
      <c r="AN639" s="685"/>
      <c r="AO639" s="685"/>
      <c r="AP639" s="685"/>
      <c r="AQ639" s="685"/>
      <c r="AR639" s="685"/>
      <c r="AS639" s="685"/>
      <c r="AT639" s="685"/>
      <c r="AU639" s="685"/>
      <c r="AV639" s="685"/>
      <c r="AW639" s="685"/>
      <c r="AX639" s="685"/>
      <c r="AY639" s="685"/>
      <c r="AZ639" s="685"/>
      <c r="BA639" s="685"/>
      <c r="BB639" s="685"/>
      <c r="BC639" s="685"/>
      <c r="BD639" s="685"/>
    </row>
    <row r="640" spans="1:56" hidden="1">
      <c r="A640" s="685"/>
      <c r="B640" s="1115" t="str">
        <f t="shared" si="439"/>
        <v>Total</v>
      </c>
      <c r="C640" s="1115"/>
      <c r="D640" s="1212"/>
      <c r="E640" s="1212"/>
      <c r="F640" s="1118" t="e">
        <f t="shared" ref="F640:AE640" si="440">F650/AVERAGE(E607,F607)</f>
        <v>#DIV/0!</v>
      </c>
      <c r="G640" s="1118" t="e">
        <f t="shared" si="440"/>
        <v>#DIV/0!</v>
      </c>
      <c r="H640" s="1118" t="e">
        <f t="shared" si="440"/>
        <v>#DIV/0!</v>
      </c>
      <c r="I640" s="1118" t="e">
        <f t="shared" si="440"/>
        <v>#DIV/0!</v>
      </c>
      <c r="J640" s="1118" t="e">
        <f t="shared" si="440"/>
        <v>#DIV/0!</v>
      </c>
      <c r="K640" s="1118" t="e">
        <f t="shared" si="440"/>
        <v>#DIV/0!</v>
      </c>
      <c r="L640" s="1118" t="e">
        <f t="shared" si="440"/>
        <v>#DIV/0!</v>
      </c>
      <c r="M640" s="1118" t="e">
        <f t="shared" si="440"/>
        <v>#DIV/0!</v>
      </c>
      <c r="N640" s="1118" t="e">
        <f t="shared" si="440"/>
        <v>#DIV/0!</v>
      </c>
      <c r="O640" s="1118" t="e">
        <f t="shared" si="440"/>
        <v>#DIV/0!</v>
      </c>
      <c r="P640" s="1118" t="e">
        <f t="shared" si="440"/>
        <v>#DIV/0!</v>
      </c>
      <c r="Q640" s="1118" t="e">
        <f t="shared" si="440"/>
        <v>#DIV/0!</v>
      </c>
      <c r="R640" s="1118" t="e">
        <f t="shared" si="440"/>
        <v>#DIV/0!</v>
      </c>
      <c r="S640" s="1118" t="e">
        <f t="shared" si="440"/>
        <v>#DIV/0!</v>
      </c>
      <c r="T640" s="1118" t="e">
        <f t="shared" si="440"/>
        <v>#DIV/0!</v>
      </c>
      <c r="U640" s="1118" t="e">
        <f t="shared" si="440"/>
        <v>#DIV/0!</v>
      </c>
      <c r="V640" s="1118" t="e">
        <f t="shared" si="440"/>
        <v>#DIV/0!</v>
      </c>
      <c r="W640" s="1118" t="e">
        <f t="shared" si="440"/>
        <v>#DIV/0!</v>
      </c>
      <c r="X640" s="1118" t="e">
        <f t="shared" si="440"/>
        <v>#DIV/0!</v>
      </c>
      <c r="Y640" s="1118" t="e">
        <f t="shared" si="440"/>
        <v>#DIV/0!</v>
      </c>
      <c r="Z640" s="1118" t="e">
        <f t="shared" si="440"/>
        <v>#DIV/0!</v>
      </c>
      <c r="AA640" s="1118" t="e">
        <f t="shared" si="440"/>
        <v>#DIV/0!</v>
      </c>
      <c r="AB640" s="1118" t="e">
        <f t="shared" si="440"/>
        <v>#DIV/0!</v>
      </c>
      <c r="AC640" s="1118" t="e">
        <f t="shared" si="440"/>
        <v>#DIV/0!</v>
      </c>
      <c r="AD640" s="1118" t="e">
        <f t="shared" si="440"/>
        <v>#DIV/0!</v>
      </c>
      <c r="AE640" s="1118" t="e">
        <f t="shared" si="440"/>
        <v>#DIV/0!</v>
      </c>
      <c r="AF640" s="1118" t="e">
        <f>AF650/AVERAGE(AE607,AF607)</f>
        <v>#DIV/0!</v>
      </c>
      <c r="AG640" s="1118" t="e">
        <f>AG650/AVERAGE(AF607,AG607)</f>
        <v>#DIV/0!</v>
      </c>
      <c r="AH640" s="1118" t="e">
        <f>AH650/AVERAGE(AG607,AH607)</f>
        <v>#DIV/0!</v>
      </c>
      <c r="AI640" s="685"/>
      <c r="AJ640" s="685"/>
      <c r="AK640" s="685"/>
      <c r="AL640" s="685"/>
      <c r="AM640" s="685"/>
      <c r="AN640" s="685"/>
      <c r="AO640" s="685"/>
      <c r="AP640" s="685"/>
      <c r="AQ640" s="685"/>
      <c r="AR640" s="685"/>
      <c r="AS640" s="685"/>
      <c r="AT640" s="685"/>
      <c r="AU640" s="685"/>
      <c r="AV640" s="685"/>
      <c r="AW640" s="685"/>
      <c r="AX640" s="685"/>
      <c r="AY640" s="685"/>
      <c r="AZ640" s="685"/>
      <c r="BA640" s="685"/>
      <c r="BB640" s="685"/>
      <c r="BC640" s="685"/>
      <c r="BD640" s="685"/>
    </row>
    <row r="641" spans="1:56" hidden="1">
      <c r="A641" s="685"/>
      <c r="B641" s="1115"/>
      <c r="C641" s="1115"/>
      <c r="D641" s="1212"/>
      <c r="E641" s="1212"/>
      <c r="F641" s="1212"/>
      <c r="G641" s="1212"/>
      <c r="H641" s="1212"/>
      <c r="I641" s="1212"/>
      <c r="J641" s="1212"/>
      <c r="K641" s="1212"/>
      <c r="L641" s="1212"/>
      <c r="M641" s="1212"/>
      <c r="N641" s="1212"/>
      <c r="O641" s="1212"/>
      <c r="P641" s="1212"/>
      <c r="Q641" s="1212"/>
      <c r="R641" s="1212"/>
      <c r="S641" s="1212"/>
      <c r="T641" s="1212"/>
      <c r="U641" s="1212"/>
      <c r="V641" s="1212"/>
      <c r="W641" s="1212"/>
      <c r="X641" s="1212"/>
      <c r="Y641" s="1212"/>
      <c r="Z641" s="1212"/>
      <c r="AA641" s="1212"/>
      <c r="AB641" s="1212"/>
      <c r="AC641" s="1212"/>
      <c r="AD641" s="1212"/>
      <c r="AE641" s="1212"/>
      <c r="AF641" s="1212"/>
      <c r="AG641" s="1212"/>
      <c r="AH641" s="1212"/>
      <c r="AI641" s="685"/>
      <c r="AJ641" s="685"/>
      <c r="AK641" s="685"/>
      <c r="AL641" s="685"/>
      <c r="AM641" s="685"/>
      <c r="AN641" s="685"/>
      <c r="AO641" s="685"/>
      <c r="AP641" s="685"/>
      <c r="AQ641" s="685"/>
      <c r="AR641" s="685"/>
      <c r="AS641" s="685"/>
      <c r="AT641" s="685"/>
      <c r="AU641" s="685"/>
      <c r="AV641" s="685"/>
      <c r="AW641" s="685"/>
      <c r="AX641" s="685"/>
      <c r="AY641" s="685"/>
      <c r="AZ641" s="685"/>
      <c r="BA641" s="685"/>
      <c r="BB641" s="685"/>
      <c r="BC641" s="685"/>
      <c r="BD641" s="685"/>
    </row>
    <row r="642" spans="1:56" hidden="1">
      <c r="A642" s="685"/>
      <c r="B642" s="1115" t="str">
        <f t="shared" ref="B642:B647" si="441">B610</f>
        <v>xx</v>
      </c>
      <c r="C642" s="944"/>
      <c r="D642" s="1212"/>
      <c r="E642" s="1212"/>
      <c r="F642" s="1212" t="e">
        <f t="shared" ref="F642:AE642" si="442">F632*AVERAGE(E599,F599)</f>
        <v>#DIV/0!</v>
      </c>
      <c r="G642" s="1212" t="e">
        <f t="shared" si="442"/>
        <v>#DIV/0!</v>
      </c>
      <c r="H642" s="1212" t="e">
        <f t="shared" si="442"/>
        <v>#DIV/0!</v>
      </c>
      <c r="I642" s="1212" t="e">
        <f t="shared" si="442"/>
        <v>#DIV/0!</v>
      </c>
      <c r="J642" s="1212">
        <f t="shared" si="442"/>
        <v>0</v>
      </c>
      <c r="K642" s="1212">
        <f t="shared" si="442"/>
        <v>0</v>
      </c>
      <c r="L642" s="1212">
        <f t="shared" si="442"/>
        <v>0</v>
      </c>
      <c r="M642" s="1212">
        <f t="shared" si="442"/>
        <v>0</v>
      </c>
      <c r="N642" s="1212">
        <f t="shared" si="442"/>
        <v>0</v>
      </c>
      <c r="O642" s="1212">
        <f t="shared" si="442"/>
        <v>0</v>
      </c>
      <c r="P642" s="1212">
        <f t="shared" si="442"/>
        <v>0</v>
      </c>
      <c r="Q642" s="1212">
        <f t="shared" si="442"/>
        <v>0</v>
      </c>
      <c r="R642" s="1212">
        <f t="shared" si="442"/>
        <v>0</v>
      </c>
      <c r="S642" s="1212">
        <f t="shared" si="442"/>
        <v>0</v>
      </c>
      <c r="T642" s="1212">
        <f t="shared" si="442"/>
        <v>0</v>
      </c>
      <c r="U642" s="1212">
        <f t="shared" si="442"/>
        <v>0</v>
      </c>
      <c r="V642" s="1212">
        <f t="shared" si="442"/>
        <v>0</v>
      </c>
      <c r="W642" s="1212">
        <f t="shared" si="442"/>
        <v>0</v>
      </c>
      <c r="X642" s="1212">
        <f t="shared" si="442"/>
        <v>0</v>
      </c>
      <c r="Y642" s="1212">
        <f t="shared" si="442"/>
        <v>0</v>
      </c>
      <c r="Z642" s="1212">
        <f t="shared" si="442"/>
        <v>0</v>
      </c>
      <c r="AA642" s="1212">
        <f t="shared" si="442"/>
        <v>0</v>
      </c>
      <c r="AB642" s="1212">
        <f t="shared" si="442"/>
        <v>0</v>
      </c>
      <c r="AC642" s="1212">
        <f t="shared" si="442"/>
        <v>0</v>
      </c>
      <c r="AD642" s="1212">
        <f t="shared" si="442"/>
        <v>0</v>
      </c>
      <c r="AE642" s="1212">
        <f t="shared" si="442"/>
        <v>0</v>
      </c>
      <c r="AF642" s="1212">
        <f t="shared" ref="AF642:AF649" si="443">AF632*AVERAGE(AE599,AF599)</f>
        <v>0</v>
      </c>
      <c r="AG642" s="1212">
        <f t="shared" ref="AG642:AG649" si="444">AG632*AVERAGE(AF599,AG599)</f>
        <v>0</v>
      </c>
      <c r="AH642" s="1212">
        <f t="shared" ref="AH642:AH649" si="445">AH632*AVERAGE(AG599,AH599)</f>
        <v>0</v>
      </c>
      <c r="AI642" s="685"/>
      <c r="AJ642" s="685"/>
      <c r="AK642" s="685"/>
      <c r="AL642" s="685"/>
      <c r="AM642" s="685"/>
      <c r="AN642" s="685"/>
      <c r="AO642" s="685"/>
      <c r="AP642" s="685"/>
      <c r="AQ642" s="685"/>
      <c r="AR642" s="685"/>
      <c r="AS642" s="685"/>
      <c r="AT642" s="685"/>
      <c r="AU642" s="685"/>
      <c r="AV642" s="685"/>
      <c r="AW642" s="685"/>
      <c r="AX642" s="685"/>
      <c r="AY642" s="685"/>
      <c r="AZ642" s="685"/>
      <c r="BA642" s="685"/>
      <c r="BB642" s="685"/>
      <c r="BC642" s="685"/>
      <c r="BD642" s="685"/>
    </row>
    <row r="643" spans="1:56" hidden="1">
      <c r="A643" s="685"/>
      <c r="B643" s="1115" t="str">
        <f t="shared" si="441"/>
        <v>xx</v>
      </c>
      <c r="C643" s="944"/>
      <c r="D643" s="1212"/>
      <c r="E643" s="1212"/>
      <c r="F643" s="1212" t="e">
        <f t="shared" ref="F643:H646" si="446">F633*AVERAGE(E600,F600)</f>
        <v>#DIV/0!</v>
      </c>
      <c r="G643" s="1212" t="e">
        <f t="shared" si="446"/>
        <v>#DIV/0!</v>
      </c>
      <c r="H643" s="1212" t="e">
        <f t="shared" si="446"/>
        <v>#DIV/0!</v>
      </c>
      <c r="I643" s="1212" t="e">
        <f>I633*AVERAGE(H600)</f>
        <v>#DIV/0!</v>
      </c>
      <c r="J643" s="1212">
        <f t="shared" ref="J643:AE643" si="447">J633*AVERAGE(I600,J600)</f>
        <v>0</v>
      </c>
      <c r="K643" s="1212">
        <f t="shared" si="447"/>
        <v>0</v>
      </c>
      <c r="L643" s="1212">
        <f t="shared" si="447"/>
        <v>0</v>
      </c>
      <c r="M643" s="1212">
        <f t="shared" si="447"/>
        <v>0</v>
      </c>
      <c r="N643" s="1212">
        <f t="shared" si="447"/>
        <v>0</v>
      </c>
      <c r="O643" s="1212">
        <f t="shared" si="447"/>
        <v>0</v>
      </c>
      <c r="P643" s="1212">
        <f t="shared" si="447"/>
        <v>0</v>
      </c>
      <c r="Q643" s="1212">
        <f t="shared" si="447"/>
        <v>0</v>
      </c>
      <c r="R643" s="1212">
        <f t="shared" si="447"/>
        <v>0</v>
      </c>
      <c r="S643" s="1212">
        <f t="shared" si="447"/>
        <v>0</v>
      </c>
      <c r="T643" s="1212">
        <f t="shared" si="447"/>
        <v>0</v>
      </c>
      <c r="U643" s="1212">
        <f t="shared" si="447"/>
        <v>0</v>
      </c>
      <c r="V643" s="1212">
        <f t="shared" si="447"/>
        <v>0</v>
      </c>
      <c r="W643" s="1212">
        <f t="shared" si="447"/>
        <v>0</v>
      </c>
      <c r="X643" s="1212">
        <f t="shared" si="447"/>
        <v>0</v>
      </c>
      <c r="Y643" s="1212">
        <f t="shared" si="447"/>
        <v>0</v>
      </c>
      <c r="Z643" s="1212">
        <f t="shared" si="447"/>
        <v>0</v>
      </c>
      <c r="AA643" s="1212">
        <f t="shared" si="447"/>
        <v>0</v>
      </c>
      <c r="AB643" s="1212">
        <f t="shared" si="447"/>
        <v>0</v>
      </c>
      <c r="AC643" s="1212">
        <f t="shared" si="447"/>
        <v>0</v>
      </c>
      <c r="AD643" s="1212">
        <f t="shared" si="447"/>
        <v>0</v>
      </c>
      <c r="AE643" s="1212">
        <f t="shared" si="447"/>
        <v>0</v>
      </c>
      <c r="AF643" s="1212">
        <f t="shared" si="443"/>
        <v>0</v>
      </c>
      <c r="AG643" s="1212">
        <f t="shared" si="444"/>
        <v>0</v>
      </c>
      <c r="AH643" s="1212">
        <f t="shared" si="445"/>
        <v>0</v>
      </c>
      <c r="AI643" s="685"/>
      <c r="AJ643" s="685"/>
      <c r="AK643" s="685"/>
      <c r="AL643" s="685"/>
      <c r="AM643" s="685"/>
      <c r="AN643" s="685"/>
      <c r="AO643" s="685"/>
      <c r="AP643" s="685"/>
      <c r="AQ643" s="685"/>
      <c r="AR643" s="685"/>
      <c r="AS643" s="685"/>
      <c r="AT643" s="685"/>
      <c r="AU643" s="685"/>
      <c r="AV643" s="685"/>
      <c r="AW643" s="685"/>
      <c r="AX643" s="685"/>
      <c r="AY643" s="685"/>
      <c r="AZ643" s="685"/>
      <c r="BA643" s="685"/>
      <c r="BB643" s="685"/>
      <c r="BC643" s="685"/>
      <c r="BD643" s="685"/>
    </row>
    <row r="644" spans="1:56" hidden="1">
      <c r="A644" s="685"/>
      <c r="B644" s="1115" t="str">
        <f t="shared" si="441"/>
        <v>xx</v>
      </c>
      <c r="C644" s="1212"/>
      <c r="D644" s="1212"/>
      <c r="E644" s="1212"/>
      <c r="F644" s="1212" t="e">
        <f t="shared" si="446"/>
        <v>#DIV/0!</v>
      </c>
      <c r="G644" s="1212" t="e">
        <f t="shared" si="446"/>
        <v>#DIV/0!</v>
      </c>
      <c r="H644" s="1212" t="e">
        <f t="shared" si="446"/>
        <v>#DIV/0!</v>
      </c>
      <c r="I644" s="1212" t="e">
        <f t="shared" ref="I644:I649" si="448">I634*AVERAGE(H601,I601)</f>
        <v>#DIV/0!</v>
      </c>
      <c r="J644" s="1212">
        <f t="shared" ref="J644:AE644" si="449">J634*AVERAGE(I601,J601)</f>
        <v>0</v>
      </c>
      <c r="K644" s="1212">
        <f t="shared" si="449"/>
        <v>0</v>
      </c>
      <c r="L644" s="1212">
        <f t="shared" si="449"/>
        <v>0</v>
      </c>
      <c r="M644" s="1212">
        <f t="shared" si="449"/>
        <v>0</v>
      </c>
      <c r="N644" s="1212">
        <f t="shared" si="449"/>
        <v>0</v>
      </c>
      <c r="O644" s="1212">
        <f t="shared" si="449"/>
        <v>0</v>
      </c>
      <c r="P644" s="1212">
        <f t="shared" si="449"/>
        <v>0</v>
      </c>
      <c r="Q644" s="1212">
        <f t="shared" si="449"/>
        <v>0</v>
      </c>
      <c r="R644" s="1212">
        <f t="shared" si="449"/>
        <v>0</v>
      </c>
      <c r="S644" s="1212">
        <f t="shared" si="449"/>
        <v>0</v>
      </c>
      <c r="T644" s="1212">
        <f t="shared" si="449"/>
        <v>0</v>
      </c>
      <c r="U644" s="1212">
        <f t="shared" si="449"/>
        <v>0</v>
      </c>
      <c r="V644" s="1212">
        <f t="shared" si="449"/>
        <v>0</v>
      </c>
      <c r="W644" s="1212">
        <f t="shared" si="449"/>
        <v>0</v>
      </c>
      <c r="X644" s="1212">
        <f t="shared" si="449"/>
        <v>0</v>
      </c>
      <c r="Y644" s="1212">
        <f t="shared" si="449"/>
        <v>0</v>
      </c>
      <c r="Z644" s="1212">
        <f t="shared" si="449"/>
        <v>0</v>
      </c>
      <c r="AA644" s="1212">
        <f t="shared" si="449"/>
        <v>0</v>
      </c>
      <c r="AB644" s="1212">
        <f t="shared" si="449"/>
        <v>0</v>
      </c>
      <c r="AC644" s="1212">
        <f t="shared" si="449"/>
        <v>0</v>
      </c>
      <c r="AD644" s="1212">
        <f t="shared" si="449"/>
        <v>0</v>
      </c>
      <c r="AE644" s="1212">
        <f t="shared" si="449"/>
        <v>0</v>
      </c>
      <c r="AF644" s="1212">
        <f t="shared" si="443"/>
        <v>0</v>
      </c>
      <c r="AG644" s="1212">
        <f t="shared" si="444"/>
        <v>0</v>
      </c>
      <c r="AH644" s="1212">
        <f t="shared" si="445"/>
        <v>0</v>
      </c>
      <c r="AI644" s="685"/>
      <c r="AJ644" s="685"/>
      <c r="AK644" s="685"/>
      <c r="AL644" s="685"/>
      <c r="AM644" s="685"/>
      <c r="AN644" s="685"/>
      <c r="AO644" s="685"/>
      <c r="AP644" s="685"/>
      <c r="AQ644" s="685"/>
      <c r="AR644" s="685"/>
      <c r="AS644" s="685"/>
      <c r="AT644" s="685"/>
      <c r="AU644" s="685"/>
      <c r="AV644" s="685"/>
      <c r="AW644" s="685"/>
      <c r="AX644" s="685"/>
      <c r="AY644" s="685"/>
      <c r="AZ644" s="685"/>
      <c r="BA644" s="685"/>
      <c r="BB644" s="685"/>
      <c r="BC644" s="685"/>
      <c r="BD644" s="685"/>
    </row>
    <row r="645" spans="1:56" hidden="1">
      <c r="A645" s="685"/>
      <c r="B645" s="1115" t="str">
        <f t="shared" si="441"/>
        <v>xx</v>
      </c>
      <c r="C645" s="1212"/>
      <c r="D645" s="1212"/>
      <c r="E645" s="1212"/>
      <c r="F645" s="1212" t="e">
        <f t="shared" si="446"/>
        <v>#DIV/0!</v>
      </c>
      <c r="G645" s="1212" t="e">
        <f t="shared" si="446"/>
        <v>#DIV/0!</v>
      </c>
      <c r="H645" s="1212" t="e">
        <f t="shared" si="446"/>
        <v>#DIV/0!</v>
      </c>
      <c r="I645" s="1212" t="e">
        <f t="shared" si="448"/>
        <v>#DIV/0!</v>
      </c>
      <c r="J645" s="1212">
        <f t="shared" ref="J645:AE645" si="450">J635*AVERAGE(I602,J602)</f>
        <v>0</v>
      </c>
      <c r="K645" s="1212">
        <f t="shared" si="450"/>
        <v>0</v>
      </c>
      <c r="L645" s="1212">
        <f t="shared" si="450"/>
        <v>0</v>
      </c>
      <c r="M645" s="1212">
        <f t="shared" si="450"/>
        <v>0</v>
      </c>
      <c r="N645" s="1212">
        <f t="shared" si="450"/>
        <v>0</v>
      </c>
      <c r="O645" s="1212">
        <f t="shared" si="450"/>
        <v>0</v>
      </c>
      <c r="P645" s="1212">
        <f t="shared" si="450"/>
        <v>0</v>
      </c>
      <c r="Q645" s="1212">
        <f t="shared" si="450"/>
        <v>0</v>
      </c>
      <c r="R645" s="1212">
        <f t="shared" si="450"/>
        <v>0</v>
      </c>
      <c r="S645" s="1212">
        <f t="shared" si="450"/>
        <v>0</v>
      </c>
      <c r="T645" s="1212">
        <f t="shared" si="450"/>
        <v>0</v>
      </c>
      <c r="U645" s="1212">
        <f t="shared" si="450"/>
        <v>0</v>
      </c>
      <c r="V645" s="1212">
        <f t="shared" si="450"/>
        <v>0</v>
      </c>
      <c r="W645" s="1212">
        <f t="shared" si="450"/>
        <v>0</v>
      </c>
      <c r="X645" s="1212">
        <f t="shared" si="450"/>
        <v>0</v>
      </c>
      <c r="Y645" s="1212">
        <f t="shared" si="450"/>
        <v>0</v>
      </c>
      <c r="Z645" s="1212">
        <f t="shared" si="450"/>
        <v>0</v>
      </c>
      <c r="AA645" s="1212">
        <f t="shared" si="450"/>
        <v>0</v>
      </c>
      <c r="AB645" s="1212">
        <f t="shared" si="450"/>
        <v>0</v>
      </c>
      <c r="AC645" s="1212">
        <f t="shared" si="450"/>
        <v>0</v>
      </c>
      <c r="AD645" s="1212">
        <f t="shared" si="450"/>
        <v>0</v>
      </c>
      <c r="AE645" s="1212">
        <f t="shared" si="450"/>
        <v>0</v>
      </c>
      <c r="AF645" s="1212">
        <f t="shared" si="443"/>
        <v>0</v>
      </c>
      <c r="AG645" s="1212">
        <f t="shared" si="444"/>
        <v>0</v>
      </c>
      <c r="AH645" s="1212">
        <f t="shared" si="445"/>
        <v>0</v>
      </c>
      <c r="AI645" s="685"/>
      <c r="AJ645" s="685"/>
      <c r="AK645" s="685"/>
      <c r="AL645" s="685"/>
      <c r="AM645" s="685"/>
      <c r="AN645" s="685"/>
      <c r="AO645" s="685"/>
      <c r="AP645" s="685"/>
      <c r="AQ645" s="685"/>
      <c r="AR645" s="685"/>
      <c r="AS645" s="685"/>
      <c r="AT645" s="685"/>
      <c r="AU645" s="685"/>
      <c r="AV645" s="685"/>
      <c r="AW645" s="685"/>
      <c r="AX645" s="685"/>
      <c r="AY645" s="685"/>
      <c r="AZ645" s="685"/>
      <c r="BA645" s="685"/>
      <c r="BB645" s="685"/>
      <c r="BC645" s="685"/>
      <c r="BD645" s="685"/>
    </row>
    <row r="646" spans="1:56" hidden="1">
      <c r="A646" s="685"/>
      <c r="B646" s="1115" t="str">
        <f t="shared" si="441"/>
        <v>xx</v>
      </c>
      <c r="C646" s="1212"/>
      <c r="D646" s="1212"/>
      <c r="E646" s="1212"/>
      <c r="F646" s="1212" t="e">
        <f t="shared" si="446"/>
        <v>#DIV/0!</v>
      </c>
      <c r="G646" s="1212" t="e">
        <f t="shared" si="446"/>
        <v>#DIV/0!</v>
      </c>
      <c r="H646" s="1212" t="e">
        <f t="shared" si="446"/>
        <v>#DIV/0!</v>
      </c>
      <c r="I646" s="1212" t="e">
        <f t="shared" si="448"/>
        <v>#DIV/0!</v>
      </c>
      <c r="J646" s="1212">
        <f t="shared" ref="J646:AE646" si="451">J636*AVERAGE(I603,J603)</f>
        <v>0</v>
      </c>
      <c r="K646" s="1212">
        <f t="shared" si="451"/>
        <v>0</v>
      </c>
      <c r="L646" s="1212">
        <f t="shared" si="451"/>
        <v>0</v>
      </c>
      <c r="M646" s="1212">
        <f t="shared" si="451"/>
        <v>0</v>
      </c>
      <c r="N646" s="1212">
        <f t="shared" si="451"/>
        <v>0</v>
      </c>
      <c r="O646" s="1212">
        <f t="shared" si="451"/>
        <v>0</v>
      </c>
      <c r="P646" s="1212">
        <f t="shared" si="451"/>
        <v>0</v>
      </c>
      <c r="Q646" s="1212">
        <f t="shared" si="451"/>
        <v>0</v>
      </c>
      <c r="R646" s="1212">
        <f t="shared" si="451"/>
        <v>0</v>
      </c>
      <c r="S646" s="1212">
        <f t="shared" si="451"/>
        <v>0</v>
      </c>
      <c r="T646" s="1212">
        <f t="shared" si="451"/>
        <v>0</v>
      </c>
      <c r="U646" s="1212">
        <f t="shared" si="451"/>
        <v>0</v>
      </c>
      <c r="V646" s="1212">
        <f t="shared" si="451"/>
        <v>0</v>
      </c>
      <c r="W646" s="1212">
        <f t="shared" si="451"/>
        <v>0</v>
      </c>
      <c r="X646" s="1212">
        <f t="shared" si="451"/>
        <v>0</v>
      </c>
      <c r="Y646" s="1212">
        <f t="shared" si="451"/>
        <v>0</v>
      </c>
      <c r="Z646" s="1212">
        <f t="shared" si="451"/>
        <v>0</v>
      </c>
      <c r="AA646" s="1212">
        <f t="shared" si="451"/>
        <v>0</v>
      </c>
      <c r="AB646" s="1212">
        <f t="shared" si="451"/>
        <v>0</v>
      </c>
      <c r="AC646" s="1212">
        <f t="shared" si="451"/>
        <v>0</v>
      </c>
      <c r="AD646" s="1212">
        <f t="shared" si="451"/>
        <v>0</v>
      </c>
      <c r="AE646" s="1212">
        <f t="shared" si="451"/>
        <v>0</v>
      </c>
      <c r="AF646" s="1212">
        <f t="shared" si="443"/>
        <v>0</v>
      </c>
      <c r="AG646" s="1212">
        <f t="shared" si="444"/>
        <v>0</v>
      </c>
      <c r="AH646" s="1212">
        <f t="shared" si="445"/>
        <v>0</v>
      </c>
      <c r="AI646" s="685"/>
      <c r="AJ646" s="685"/>
      <c r="AK646" s="685"/>
      <c r="AL646" s="685"/>
      <c r="AM646" s="685"/>
      <c r="AN646" s="685"/>
      <c r="AO646" s="685"/>
      <c r="AP646" s="685"/>
      <c r="AQ646" s="685"/>
      <c r="AR646" s="685"/>
      <c r="AS646" s="685"/>
      <c r="AT646" s="685"/>
      <c r="AU646" s="685"/>
      <c r="AV646" s="685"/>
      <c r="AW646" s="685"/>
      <c r="AX646" s="685"/>
      <c r="AY646" s="685"/>
      <c r="AZ646" s="685"/>
      <c r="BA646" s="685"/>
      <c r="BB646" s="685"/>
      <c r="BC646" s="685"/>
      <c r="BD646" s="685"/>
    </row>
    <row r="647" spans="1:56" hidden="1">
      <c r="A647" s="685"/>
      <c r="B647" s="1115" t="str">
        <f t="shared" si="441"/>
        <v>xx</v>
      </c>
      <c r="C647" s="944"/>
      <c r="D647" s="1212"/>
      <c r="E647" s="1212"/>
      <c r="F647" s="1212" t="e">
        <f>F650-F642-F643-F645-F646-F644-F648-F648</f>
        <v>#DIV/0!</v>
      </c>
      <c r="G647" s="1212" t="e">
        <f>G650-G642-G643-G645-G646-G644-G648-G648</f>
        <v>#DIV/0!</v>
      </c>
      <c r="H647" s="1212" t="e">
        <f>H650-H642-H643-H645-H646-H644-H648-H648</f>
        <v>#DIV/0!</v>
      </c>
      <c r="I647" s="1212" t="e">
        <f t="shared" si="448"/>
        <v>#DIV/0!</v>
      </c>
      <c r="J647" s="1212">
        <f t="shared" ref="J647:AE647" si="452">J637*AVERAGE(I604,J604)</f>
        <v>0</v>
      </c>
      <c r="K647" s="1212">
        <f t="shared" si="452"/>
        <v>0</v>
      </c>
      <c r="L647" s="1212">
        <f t="shared" si="452"/>
        <v>0</v>
      </c>
      <c r="M647" s="1212">
        <f t="shared" si="452"/>
        <v>0</v>
      </c>
      <c r="N647" s="1212">
        <f t="shared" si="452"/>
        <v>0</v>
      </c>
      <c r="O647" s="1212">
        <f t="shared" si="452"/>
        <v>0</v>
      </c>
      <c r="P647" s="1212">
        <f t="shared" si="452"/>
        <v>0</v>
      </c>
      <c r="Q647" s="1212">
        <f t="shared" si="452"/>
        <v>0</v>
      </c>
      <c r="R647" s="1212">
        <f t="shared" si="452"/>
        <v>0</v>
      </c>
      <c r="S647" s="1212">
        <f t="shared" si="452"/>
        <v>0</v>
      </c>
      <c r="T647" s="1212">
        <f t="shared" si="452"/>
        <v>0</v>
      </c>
      <c r="U647" s="1212">
        <f t="shared" si="452"/>
        <v>0</v>
      </c>
      <c r="V647" s="1212">
        <f t="shared" si="452"/>
        <v>0</v>
      </c>
      <c r="W647" s="1212">
        <f t="shared" si="452"/>
        <v>0</v>
      </c>
      <c r="X647" s="1212">
        <f t="shared" si="452"/>
        <v>0</v>
      </c>
      <c r="Y647" s="1212">
        <f t="shared" si="452"/>
        <v>0</v>
      </c>
      <c r="Z647" s="1212">
        <f t="shared" si="452"/>
        <v>0</v>
      </c>
      <c r="AA647" s="1212">
        <f t="shared" si="452"/>
        <v>0</v>
      </c>
      <c r="AB647" s="1212">
        <f t="shared" si="452"/>
        <v>0</v>
      </c>
      <c r="AC647" s="1212">
        <f t="shared" si="452"/>
        <v>0</v>
      </c>
      <c r="AD647" s="1212">
        <f t="shared" si="452"/>
        <v>0</v>
      </c>
      <c r="AE647" s="1212">
        <f t="shared" si="452"/>
        <v>0</v>
      </c>
      <c r="AF647" s="1212">
        <f t="shared" si="443"/>
        <v>0</v>
      </c>
      <c r="AG647" s="1212">
        <f t="shared" si="444"/>
        <v>0</v>
      </c>
      <c r="AH647" s="1212">
        <f t="shared" si="445"/>
        <v>0</v>
      </c>
      <c r="AI647" s="685"/>
      <c r="AJ647" s="685"/>
      <c r="AK647" s="685"/>
      <c r="AL647" s="685"/>
      <c r="AM647" s="685"/>
      <c r="AN647" s="685"/>
      <c r="AO647" s="685"/>
      <c r="AP647" s="685"/>
      <c r="AQ647" s="685"/>
      <c r="AR647" s="685"/>
      <c r="AS647" s="685"/>
      <c r="AT647" s="685"/>
      <c r="AU647" s="685"/>
      <c r="AV647" s="685"/>
      <c r="AW647" s="685"/>
      <c r="AX647" s="685"/>
      <c r="AY647" s="685"/>
      <c r="AZ647" s="685"/>
      <c r="BA647" s="685"/>
      <c r="BB647" s="685"/>
      <c r="BC647" s="685"/>
      <c r="BD647" s="685"/>
    </row>
    <row r="648" spans="1:56" hidden="1">
      <c r="A648" s="685"/>
      <c r="B648" s="1115" t="str">
        <f>B638</f>
        <v>xx</v>
      </c>
      <c r="C648" s="1115"/>
      <c r="D648" s="1212"/>
      <c r="E648" s="1212"/>
      <c r="F648" s="1212" t="e">
        <f t="shared" ref="F648:H649" si="453">F638*AVERAGE(E605,F605)</f>
        <v>#DIV/0!</v>
      </c>
      <c r="G648" s="1212" t="e">
        <f t="shared" si="453"/>
        <v>#DIV/0!</v>
      </c>
      <c r="H648" s="1212" t="e">
        <f t="shared" si="453"/>
        <v>#DIV/0!</v>
      </c>
      <c r="I648" s="1212" t="e">
        <f t="shared" si="448"/>
        <v>#DIV/0!</v>
      </c>
      <c r="J648" s="1212">
        <f t="shared" ref="J648:AE648" si="454">J638*AVERAGE(I605,J605)</f>
        <v>0</v>
      </c>
      <c r="K648" s="1212">
        <f t="shared" si="454"/>
        <v>0</v>
      </c>
      <c r="L648" s="1212">
        <f t="shared" si="454"/>
        <v>0</v>
      </c>
      <c r="M648" s="1212">
        <f t="shared" si="454"/>
        <v>0</v>
      </c>
      <c r="N648" s="1212">
        <f t="shared" si="454"/>
        <v>0</v>
      </c>
      <c r="O648" s="1212">
        <f t="shared" si="454"/>
        <v>0</v>
      </c>
      <c r="P648" s="1212">
        <f t="shared" si="454"/>
        <v>0</v>
      </c>
      <c r="Q648" s="1212">
        <f t="shared" si="454"/>
        <v>0</v>
      </c>
      <c r="R648" s="1212">
        <f t="shared" si="454"/>
        <v>0</v>
      </c>
      <c r="S648" s="1212">
        <f t="shared" si="454"/>
        <v>0</v>
      </c>
      <c r="T648" s="1212">
        <f t="shared" si="454"/>
        <v>0</v>
      </c>
      <c r="U648" s="1212">
        <f t="shared" si="454"/>
        <v>0</v>
      </c>
      <c r="V648" s="1212">
        <f t="shared" si="454"/>
        <v>0</v>
      </c>
      <c r="W648" s="1212">
        <f t="shared" si="454"/>
        <v>0</v>
      </c>
      <c r="X648" s="1212">
        <f t="shared" si="454"/>
        <v>0</v>
      </c>
      <c r="Y648" s="1212">
        <f t="shared" si="454"/>
        <v>0</v>
      </c>
      <c r="Z648" s="1212">
        <f t="shared" si="454"/>
        <v>0</v>
      </c>
      <c r="AA648" s="1212">
        <f t="shared" si="454"/>
        <v>0</v>
      </c>
      <c r="AB648" s="1212">
        <f t="shared" si="454"/>
        <v>0</v>
      </c>
      <c r="AC648" s="1212">
        <f t="shared" si="454"/>
        <v>0</v>
      </c>
      <c r="AD648" s="1212">
        <f t="shared" si="454"/>
        <v>0</v>
      </c>
      <c r="AE648" s="1212">
        <f t="shared" si="454"/>
        <v>0</v>
      </c>
      <c r="AF648" s="1212">
        <f t="shared" si="443"/>
        <v>0</v>
      </c>
      <c r="AG648" s="1212">
        <f t="shared" si="444"/>
        <v>0</v>
      </c>
      <c r="AH648" s="1212">
        <f t="shared" si="445"/>
        <v>0</v>
      </c>
      <c r="AI648" s="685"/>
      <c r="AJ648" s="685"/>
      <c r="AK648" s="685"/>
      <c r="AL648" s="685"/>
      <c r="AM648" s="685"/>
      <c r="AN648" s="685"/>
      <c r="AO648" s="685"/>
      <c r="AP648" s="685"/>
      <c r="AQ648" s="685"/>
      <c r="AR648" s="685"/>
      <c r="AS648" s="685"/>
      <c r="AT648" s="685"/>
      <c r="AU648" s="685"/>
      <c r="AV648" s="685"/>
      <c r="AW648" s="685"/>
      <c r="AX648" s="685"/>
      <c r="AY648" s="685"/>
      <c r="AZ648" s="685"/>
      <c r="BA648" s="685"/>
      <c r="BB648" s="685"/>
      <c r="BC648" s="685"/>
      <c r="BD648" s="685"/>
    </row>
    <row r="649" spans="1:56" hidden="1">
      <c r="A649" s="685"/>
      <c r="B649" s="1115" t="str">
        <f>B639</f>
        <v>xx</v>
      </c>
      <c r="C649" s="1115"/>
      <c r="D649" s="1161"/>
      <c r="E649" s="1213"/>
      <c r="F649" s="1213" t="e">
        <f t="shared" si="453"/>
        <v>#DIV/0!</v>
      </c>
      <c r="G649" s="1213" t="e">
        <f t="shared" si="453"/>
        <v>#DIV/0!</v>
      </c>
      <c r="H649" s="1213" t="e">
        <f t="shared" si="453"/>
        <v>#DIV/0!</v>
      </c>
      <c r="I649" s="1213" t="e">
        <f t="shared" si="448"/>
        <v>#DIV/0!</v>
      </c>
      <c r="J649" s="1213">
        <f t="shared" ref="J649:AE649" si="455">J639*AVERAGE(I606,J606)</f>
        <v>0</v>
      </c>
      <c r="K649" s="1213">
        <f t="shared" si="455"/>
        <v>0</v>
      </c>
      <c r="L649" s="1213">
        <f t="shared" si="455"/>
        <v>0</v>
      </c>
      <c r="M649" s="1213">
        <f t="shared" si="455"/>
        <v>0</v>
      </c>
      <c r="N649" s="1213">
        <f t="shared" si="455"/>
        <v>0</v>
      </c>
      <c r="O649" s="1213">
        <f t="shared" si="455"/>
        <v>0</v>
      </c>
      <c r="P649" s="1213">
        <f t="shared" si="455"/>
        <v>0</v>
      </c>
      <c r="Q649" s="1213">
        <f t="shared" si="455"/>
        <v>0</v>
      </c>
      <c r="R649" s="1213">
        <f t="shared" si="455"/>
        <v>0</v>
      </c>
      <c r="S649" s="1213">
        <f t="shared" si="455"/>
        <v>0</v>
      </c>
      <c r="T649" s="1213">
        <f t="shared" si="455"/>
        <v>0</v>
      </c>
      <c r="U649" s="1213">
        <f t="shared" si="455"/>
        <v>0</v>
      </c>
      <c r="V649" s="1213">
        <f t="shared" si="455"/>
        <v>0</v>
      </c>
      <c r="W649" s="1213">
        <f t="shared" si="455"/>
        <v>0</v>
      </c>
      <c r="X649" s="1213">
        <f t="shared" si="455"/>
        <v>0</v>
      </c>
      <c r="Y649" s="1213">
        <f t="shared" si="455"/>
        <v>0</v>
      </c>
      <c r="Z649" s="1213">
        <f t="shared" si="455"/>
        <v>0</v>
      </c>
      <c r="AA649" s="1213">
        <f t="shared" si="455"/>
        <v>0</v>
      </c>
      <c r="AB649" s="1213">
        <f t="shared" si="455"/>
        <v>0</v>
      </c>
      <c r="AC649" s="1213">
        <f t="shared" si="455"/>
        <v>0</v>
      </c>
      <c r="AD649" s="1213">
        <f t="shared" si="455"/>
        <v>0</v>
      </c>
      <c r="AE649" s="1213">
        <f t="shared" si="455"/>
        <v>0</v>
      </c>
      <c r="AF649" s="1213">
        <f t="shared" si="443"/>
        <v>0</v>
      </c>
      <c r="AG649" s="1213">
        <f t="shared" si="444"/>
        <v>0</v>
      </c>
      <c r="AH649" s="1213">
        <f t="shared" si="445"/>
        <v>0</v>
      </c>
      <c r="AI649" s="685"/>
      <c r="AJ649" s="685"/>
      <c r="AK649" s="685"/>
      <c r="AL649" s="685"/>
      <c r="AM649" s="685"/>
      <c r="AN649" s="685"/>
      <c r="AO649" s="685"/>
      <c r="AP649" s="685"/>
      <c r="AQ649" s="685"/>
      <c r="AR649" s="685"/>
      <c r="AS649" s="685"/>
      <c r="AT649" s="685"/>
      <c r="AU649" s="685"/>
      <c r="AV649" s="685"/>
      <c r="AW649" s="685"/>
      <c r="AX649" s="685"/>
      <c r="AY649" s="685"/>
      <c r="AZ649" s="685"/>
      <c r="BA649" s="685"/>
      <c r="BB649" s="685"/>
      <c r="BC649" s="685"/>
      <c r="BD649" s="685"/>
    </row>
    <row r="650" spans="1:56" hidden="1">
      <c r="A650" s="685"/>
      <c r="B650" s="1115" t="s">
        <v>85</v>
      </c>
      <c r="C650" s="1115"/>
      <c r="D650" s="1216">
        <f t="shared" ref="D650:I650" si="456">-D292</f>
        <v>0</v>
      </c>
      <c r="E650" s="1216">
        <f t="shared" si="456"/>
        <v>0</v>
      </c>
      <c r="F650" s="1216">
        <f t="shared" si="456"/>
        <v>0</v>
      </c>
      <c r="G650" s="1216">
        <f t="shared" si="456"/>
        <v>0</v>
      </c>
      <c r="H650" s="1216">
        <f t="shared" si="456"/>
        <v>-3136</v>
      </c>
      <c r="I650" s="1216">
        <f t="shared" si="456"/>
        <v>-3615</v>
      </c>
      <c r="J650" s="1212">
        <f t="shared" ref="J650:AC650" si="457">SUM(J642:J649)</f>
        <v>0</v>
      </c>
      <c r="K650" s="1212">
        <f t="shared" si="457"/>
        <v>0</v>
      </c>
      <c r="L650" s="1212">
        <f t="shared" si="457"/>
        <v>0</v>
      </c>
      <c r="M650" s="1212">
        <f t="shared" si="457"/>
        <v>0</v>
      </c>
      <c r="N650" s="1212">
        <f t="shared" si="457"/>
        <v>0</v>
      </c>
      <c r="O650" s="1212">
        <f t="shared" si="457"/>
        <v>0</v>
      </c>
      <c r="P650" s="1212">
        <f t="shared" si="457"/>
        <v>0</v>
      </c>
      <c r="Q650" s="1212">
        <f t="shared" si="457"/>
        <v>0</v>
      </c>
      <c r="R650" s="1212">
        <f t="shared" si="457"/>
        <v>0</v>
      </c>
      <c r="S650" s="1212">
        <f t="shared" si="457"/>
        <v>0</v>
      </c>
      <c r="T650" s="1212">
        <f t="shared" si="457"/>
        <v>0</v>
      </c>
      <c r="U650" s="1212">
        <f t="shared" si="457"/>
        <v>0</v>
      </c>
      <c r="V650" s="1212">
        <f t="shared" si="457"/>
        <v>0</v>
      </c>
      <c r="W650" s="1212">
        <f t="shared" si="457"/>
        <v>0</v>
      </c>
      <c r="X650" s="1212">
        <f t="shared" si="457"/>
        <v>0</v>
      </c>
      <c r="Y650" s="1212">
        <f t="shared" si="457"/>
        <v>0</v>
      </c>
      <c r="Z650" s="1212">
        <f t="shared" si="457"/>
        <v>0</v>
      </c>
      <c r="AA650" s="1212">
        <f t="shared" si="457"/>
        <v>0</v>
      </c>
      <c r="AB650" s="1212">
        <f t="shared" si="457"/>
        <v>0</v>
      </c>
      <c r="AC650" s="1212">
        <f t="shared" si="457"/>
        <v>0</v>
      </c>
      <c r="AD650" s="1212">
        <f>SUM(AD642:AD649)</f>
        <v>0</v>
      </c>
      <c r="AE650" s="1212">
        <f>SUM(AE642:AE649)</f>
        <v>0</v>
      </c>
      <c r="AF650" s="1212">
        <f>SUM(AF642:AF649)</f>
        <v>0</v>
      </c>
      <c r="AG650" s="1212">
        <f>SUM(AG642:AG649)</f>
        <v>0</v>
      </c>
      <c r="AH650" s="1212">
        <f>SUM(AH642:AH649)</f>
        <v>0</v>
      </c>
      <c r="AI650" s="685"/>
      <c r="AJ650" s="685"/>
      <c r="AK650" s="685"/>
      <c r="AL650" s="685"/>
      <c r="AM650" s="685"/>
      <c r="AN650" s="685"/>
      <c r="AO650" s="685"/>
      <c r="AP650" s="685"/>
      <c r="AQ650" s="685"/>
      <c r="AR650" s="685"/>
      <c r="AS650" s="685"/>
      <c r="AT650" s="685"/>
      <c r="AU650" s="685"/>
      <c r="AV650" s="685"/>
      <c r="AW650" s="685"/>
      <c r="AX650" s="685"/>
      <c r="AY650" s="685"/>
      <c r="AZ650" s="685"/>
      <c r="BA650" s="685"/>
      <c r="BB650" s="685"/>
      <c r="BC650" s="685"/>
      <c r="BD650" s="685"/>
    </row>
    <row r="651" spans="1:56">
      <c r="A651" s="685"/>
      <c r="B651" s="685"/>
      <c r="C651" s="685"/>
      <c r="D651" s="685"/>
      <c r="E651" s="685"/>
      <c r="F651" s="685"/>
      <c r="G651" s="685"/>
      <c r="H651" s="685"/>
      <c r="I651" s="685"/>
      <c r="J651" s="685"/>
      <c r="K651" s="685"/>
      <c r="L651" s="685"/>
      <c r="M651" s="685"/>
      <c r="N651" s="685"/>
      <c r="O651" s="685"/>
      <c r="P651" s="685"/>
      <c r="Q651" s="685"/>
      <c r="R651" s="685"/>
      <c r="S651" s="685"/>
      <c r="T651" s="685"/>
      <c r="U651" s="685"/>
      <c r="V651" s="685"/>
      <c r="W651" s="685"/>
      <c r="X651" s="685"/>
      <c r="Y651" s="685"/>
      <c r="Z651" s="685"/>
      <c r="AA651" s="685"/>
      <c r="AB651" s="685"/>
      <c r="AC651" s="685"/>
      <c r="AD651" s="685"/>
      <c r="AE651" s="685"/>
      <c r="AF651" s="685"/>
      <c r="AG651" s="685"/>
      <c r="AH651" s="685"/>
      <c r="AI651" s="685"/>
      <c r="AJ651" s="685"/>
      <c r="AK651" s="685"/>
      <c r="AL651" s="685"/>
      <c r="AM651" s="685"/>
      <c r="AN651" s="685"/>
      <c r="AO651" s="685"/>
      <c r="AP651" s="685"/>
      <c r="AQ651" s="685"/>
      <c r="AR651" s="685"/>
      <c r="AS651" s="685"/>
      <c r="AT651" s="685"/>
      <c r="AU651" s="685"/>
      <c r="AV651" s="685"/>
      <c r="AW651" s="685"/>
      <c r="AX651" s="685"/>
      <c r="AY651" s="685"/>
      <c r="AZ651" s="685"/>
      <c r="BA651" s="685"/>
      <c r="BB651" s="685"/>
      <c r="BC651" s="685"/>
      <c r="BD651" s="685"/>
    </row>
    <row r="652" spans="1:56">
      <c r="A652" s="685"/>
      <c r="B652" s="685"/>
      <c r="C652" s="685"/>
      <c r="D652" s="685"/>
      <c r="E652" s="685"/>
      <c r="F652" s="685"/>
      <c r="G652" s="685"/>
      <c r="H652" s="685"/>
      <c r="I652" s="685"/>
      <c r="J652" s="685"/>
      <c r="K652" s="685"/>
      <c r="L652" s="685"/>
      <c r="M652" s="685"/>
      <c r="N652" s="685"/>
      <c r="O652" s="685"/>
      <c r="P652" s="685"/>
      <c r="Q652" s="685"/>
      <c r="R652" s="685"/>
      <c r="S652" s="685"/>
      <c r="T652" s="685"/>
      <c r="U652" s="685"/>
      <c r="V652" s="685"/>
      <c r="W652" s="685"/>
      <c r="X652" s="685"/>
      <c r="Y652" s="685"/>
      <c r="Z652" s="685"/>
      <c r="AA652" s="685"/>
      <c r="AB652" s="685"/>
      <c r="AC652" s="685"/>
      <c r="AD652" s="685"/>
      <c r="AE652" s="685"/>
      <c r="AF652" s="685"/>
      <c r="AG652" s="685"/>
      <c r="AH652" s="685"/>
      <c r="AI652" s="685"/>
      <c r="AJ652" s="685"/>
      <c r="AK652" s="685"/>
      <c r="AL652" s="685"/>
      <c r="AM652" s="685"/>
      <c r="AN652" s="685"/>
      <c r="AO652" s="685"/>
      <c r="AP652" s="685"/>
      <c r="AQ652" s="685"/>
      <c r="AR652" s="685"/>
      <c r="AS652" s="685"/>
      <c r="AT652" s="685"/>
      <c r="AU652" s="685"/>
      <c r="AV652" s="685"/>
      <c r="AW652" s="685"/>
      <c r="AX652" s="685"/>
      <c r="AY652" s="685"/>
      <c r="AZ652" s="685"/>
      <c r="BA652" s="685"/>
      <c r="BB652" s="685"/>
      <c r="BC652" s="685"/>
      <c r="BD652" s="685"/>
    </row>
    <row r="653" spans="1:56">
      <c r="A653" s="685"/>
      <c r="B653" s="685"/>
      <c r="C653" s="685"/>
      <c r="D653" s="685"/>
      <c r="E653" s="685"/>
      <c r="F653" s="685"/>
      <c r="G653" s="685"/>
      <c r="H653" s="685"/>
      <c r="I653" s="685"/>
      <c r="J653" s="685"/>
      <c r="K653" s="685"/>
      <c r="L653" s="685"/>
      <c r="M653" s="685"/>
      <c r="N653" s="685"/>
      <c r="O653" s="685"/>
      <c r="P653" s="685"/>
      <c r="Q653" s="685"/>
      <c r="R653" s="685"/>
      <c r="S653" s="685"/>
      <c r="T653" s="685"/>
      <c r="U653" s="685"/>
      <c r="V653" s="685"/>
      <c r="W653" s="685"/>
      <c r="X653" s="685"/>
      <c r="Y653" s="685"/>
      <c r="Z653" s="685"/>
      <c r="AA653" s="685"/>
      <c r="AB653" s="685"/>
      <c r="AC653" s="685"/>
      <c r="AD653" s="685"/>
      <c r="AE653" s="685"/>
      <c r="AF653" s="685"/>
      <c r="AG653" s="685"/>
      <c r="AH653" s="685"/>
      <c r="AI653" s="685"/>
      <c r="AJ653" s="685"/>
      <c r="AK653" s="685"/>
      <c r="AL653" s="685"/>
      <c r="AM653" s="685"/>
      <c r="AN653" s="685"/>
      <c r="AO653" s="685"/>
      <c r="AP653" s="685"/>
      <c r="AQ653" s="685"/>
      <c r="AR653" s="685"/>
      <c r="AS653" s="685"/>
      <c r="AT653" s="685"/>
      <c r="AU653" s="685"/>
      <c r="AV653" s="685"/>
      <c r="AW653" s="685"/>
      <c r="AX653" s="685"/>
      <c r="AY653" s="685"/>
      <c r="AZ653" s="685"/>
      <c r="BA653" s="685"/>
      <c r="BB653" s="685"/>
      <c r="BC653" s="685"/>
      <c r="BD653" s="685"/>
    </row>
    <row r="654" spans="1:56">
      <c r="A654" s="685"/>
      <c r="B654" s="685"/>
      <c r="C654" s="685"/>
      <c r="D654" s="685"/>
      <c r="E654" s="685"/>
      <c r="F654" s="685"/>
      <c r="G654" s="685"/>
      <c r="H654" s="685"/>
      <c r="I654" s="685"/>
      <c r="J654" s="685"/>
      <c r="K654" s="685"/>
      <c r="L654" s="685"/>
      <c r="M654" s="685"/>
      <c r="N654" s="685"/>
      <c r="O654" s="685"/>
      <c r="P654" s="685"/>
      <c r="Q654" s="685"/>
      <c r="R654" s="685"/>
      <c r="S654" s="685"/>
      <c r="T654" s="685"/>
      <c r="U654" s="685"/>
      <c r="V654" s="685"/>
      <c r="W654" s="685"/>
      <c r="X654" s="685"/>
      <c r="Y654" s="685"/>
      <c r="Z654" s="685"/>
      <c r="AA654" s="685"/>
      <c r="AB654" s="685"/>
      <c r="AC654" s="685"/>
      <c r="AD654" s="685"/>
      <c r="AE654" s="685"/>
      <c r="AF654" s="685"/>
      <c r="AG654" s="685"/>
      <c r="AH654" s="685"/>
      <c r="AI654" s="685"/>
      <c r="AJ654" s="685"/>
      <c r="AK654" s="685"/>
      <c r="AL654" s="685"/>
      <c r="AM654" s="685"/>
      <c r="AN654" s="685"/>
      <c r="AO654" s="685"/>
      <c r="AP654" s="685"/>
      <c r="AQ654" s="685"/>
      <c r="AR654" s="685"/>
      <c r="AS654" s="685"/>
      <c r="AT654" s="685"/>
      <c r="AU654" s="685"/>
      <c r="AV654" s="685"/>
      <c r="AW654" s="685"/>
      <c r="AX654" s="685"/>
      <c r="AY654" s="685"/>
      <c r="AZ654" s="685"/>
      <c r="BA654" s="685"/>
      <c r="BB654" s="685"/>
      <c r="BC654" s="685"/>
      <c r="BD654" s="685"/>
    </row>
    <row r="655" spans="1:56">
      <c r="A655" s="685"/>
      <c r="B655" s="685"/>
      <c r="C655" s="685"/>
      <c r="D655" s="685"/>
      <c r="E655" s="685"/>
      <c r="F655" s="685"/>
      <c r="G655" s="685"/>
      <c r="H655" s="685"/>
      <c r="I655" s="685"/>
      <c r="J655" s="685"/>
      <c r="K655" s="685"/>
      <c r="L655" s="685"/>
      <c r="M655" s="685"/>
      <c r="N655" s="685"/>
      <c r="O655" s="685"/>
      <c r="P655" s="685"/>
      <c r="Q655" s="685"/>
      <c r="R655" s="685"/>
      <c r="S655" s="685"/>
      <c r="T655" s="685"/>
      <c r="U655" s="685"/>
      <c r="V655" s="685"/>
      <c r="W655" s="685"/>
      <c r="X655" s="685"/>
      <c r="Y655" s="685"/>
      <c r="Z655" s="685"/>
      <c r="AA655" s="685"/>
      <c r="AB655" s="685"/>
      <c r="AC655" s="685"/>
      <c r="AD655" s="685"/>
      <c r="AE655" s="685"/>
      <c r="AF655" s="685"/>
      <c r="AG655" s="685"/>
      <c r="AH655" s="685"/>
      <c r="AI655" s="685"/>
      <c r="AJ655" s="685"/>
      <c r="AK655" s="685"/>
      <c r="AL655" s="685"/>
      <c r="AM655" s="685"/>
      <c r="AN655" s="685"/>
      <c r="AO655" s="685"/>
      <c r="AP655" s="685"/>
      <c r="AQ655" s="685"/>
      <c r="AR655" s="685"/>
      <c r="AS655" s="685"/>
      <c r="AT655" s="685"/>
      <c r="AU655" s="685"/>
      <c r="AV655" s="685"/>
      <c r="AW655" s="685"/>
      <c r="AX655" s="685"/>
      <c r="AY655" s="685"/>
      <c r="AZ655" s="685"/>
      <c r="BA655" s="685"/>
      <c r="BB655" s="685"/>
      <c r="BC655" s="685"/>
      <c r="BD655" s="685"/>
    </row>
    <row r="656" spans="1:56">
      <c r="A656" s="685"/>
      <c r="B656" s="685"/>
      <c r="C656" s="685"/>
      <c r="D656" s="685"/>
      <c r="E656" s="685"/>
      <c r="F656" s="685"/>
      <c r="G656" s="685"/>
      <c r="H656" s="685"/>
      <c r="I656" s="685"/>
      <c r="J656" s="685"/>
      <c r="K656" s="685"/>
      <c r="L656" s="685"/>
      <c r="M656" s="685"/>
      <c r="N656" s="685"/>
      <c r="O656" s="685"/>
      <c r="P656" s="685"/>
      <c r="Q656" s="685"/>
      <c r="R656" s="685"/>
      <c r="S656" s="685"/>
      <c r="T656" s="685"/>
      <c r="U656" s="685"/>
      <c r="V656" s="685"/>
      <c r="W656" s="685"/>
      <c r="X656" s="685"/>
      <c r="Y656" s="685"/>
      <c r="Z656" s="685"/>
      <c r="AA656" s="685"/>
      <c r="AB656" s="685"/>
      <c r="AC656" s="685"/>
      <c r="AD656" s="685"/>
      <c r="AE656" s="685"/>
      <c r="AF656" s="685"/>
      <c r="AG656" s="685"/>
      <c r="AH656" s="685"/>
      <c r="AI656" s="685"/>
      <c r="AJ656" s="685"/>
      <c r="AK656" s="685"/>
      <c r="AL656" s="685"/>
      <c r="AM656" s="685"/>
      <c r="AN656" s="685"/>
      <c r="AO656" s="685"/>
      <c r="AP656" s="685"/>
      <c r="AQ656" s="685"/>
      <c r="AR656" s="685"/>
      <c r="AS656" s="685"/>
      <c r="AT656" s="685"/>
      <c r="AU656" s="685"/>
      <c r="AV656" s="685"/>
      <c r="AW656" s="685"/>
      <c r="AX656" s="685"/>
      <c r="AY656" s="685"/>
      <c r="AZ656" s="685"/>
      <c r="BA656" s="685"/>
      <c r="BB656" s="685"/>
      <c r="BC656" s="685"/>
      <c r="BD656" s="685"/>
    </row>
    <row r="657" spans="1:56">
      <c r="A657" s="685"/>
      <c r="B657" s="685"/>
      <c r="C657" s="685"/>
      <c r="D657" s="685"/>
      <c r="E657" s="685"/>
      <c r="F657" s="685"/>
      <c r="G657" s="685"/>
      <c r="H657" s="685"/>
      <c r="I657" s="685"/>
      <c r="J657" s="685"/>
      <c r="K657" s="685"/>
      <c r="L657" s="685"/>
      <c r="M657" s="685"/>
      <c r="N657" s="685"/>
      <c r="O657" s="685"/>
      <c r="P657" s="685"/>
      <c r="Q657" s="685"/>
      <c r="R657" s="685"/>
      <c r="S657" s="685"/>
      <c r="T657" s="685"/>
      <c r="U657" s="685"/>
      <c r="V657" s="685"/>
      <c r="W657" s="685"/>
      <c r="X657" s="685"/>
      <c r="Y657" s="685"/>
      <c r="Z657" s="685"/>
      <c r="AA657" s="685"/>
      <c r="AB657" s="685"/>
      <c r="AC657" s="685"/>
      <c r="AD657" s="685"/>
      <c r="AE657" s="685"/>
      <c r="AF657" s="685"/>
      <c r="AG657" s="685"/>
      <c r="AH657" s="685"/>
      <c r="AI657" s="685"/>
      <c r="AJ657" s="685"/>
      <c r="AK657" s="685"/>
      <c r="AL657" s="685"/>
      <c r="AM657" s="685"/>
      <c r="AN657" s="685"/>
      <c r="AO657" s="685"/>
      <c r="AP657" s="685"/>
      <c r="AQ657" s="685"/>
      <c r="AR657" s="685"/>
      <c r="AS657" s="685"/>
      <c r="AT657" s="685"/>
      <c r="AU657" s="685"/>
      <c r="AV657" s="685"/>
      <c r="AW657" s="685"/>
      <c r="AX657" s="685"/>
      <c r="AY657" s="685"/>
      <c r="AZ657" s="685"/>
      <c r="BA657" s="685"/>
      <c r="BB657" s="685"/>
      <c r="BC657" s="685"/>
      <c r="BD657" s="685"/>
    </row>
    <row r="658" spans="1:56">
      <c r="A658" s="685"/>
      <c r="B658" s="685"/>
      <c r="C658" s="685"/>
      <c r="D658" s="685"/>
      <c r="E658" s="685"/>
      <c r="F658" s="685"/>
      <c r="G658" s="685"/>
      <c r="H658" s="685"/>
      <c r="I658" s="685"/>
      <c r="J658" s="685"/>
      <c r="K658" s="685"/>
      <c r="L658" s="685"/>
      <c r="M658" s="685"/>
      <c r="N658" s="685"/>
      <c r="O658" s="685"/>
      <c r="P658" s="685"/>
      <c r="Q658" s="685"/>
      <c r="R658" s="685"/>
      <c r="S658" s="685"/>
      <c r="T658" s="685"/>
      <c r="U658" s="685"/>
      <c r="V658" s="685"/>
      <c r="W658" s="685"/>
      <c r="X658" s="685"/>
      <c r="Y658" s="685"/>
      <c r="Z658" s="685"/>
      <c r="AA658" s="685"/>
      <c r="AB658" s="685"/>
      <c r="AC658" s="685"/>
      <c r="AD658" s="685"/>
      <c r="AE658" s="685"/>
      <c r="AF658" s="685"/>
      <c r="AG658" s="685"/>
      <c r="AH658" s="685"/>
      <c r="AI658" s="685"/>
      <c r="AJ658" s="685"/>
      <c r="AK658" s="685"/>
      <c r="AL658" s="685"/>
      <c r="AM658" s="685"/>
      <c r="AN658" s="685"/>
      <c r="AO658" s="685"/>
      <c r="AP658" s="685"/>
      <c r="AQ658" s="685"/>
      <c r="AR658" s="685"/>
      <c r="AS658" s="685"/>
      <c r="AT658" s="685"/>
      <c r="AU658" s="685"/>
      <c r="AV658" s="685"/>
      <c r="AW658" s="685"/>
      <c r="AX658" s="685"/>
      <c r="AY658" s="685"/>
      <c r="AZ658" s="685"/>
      <c r="BA658" s="685"/>
      <c r="BB658" s="685"/>
      <c r="BC658" s="685"/>
      <c r="BD658" s="685"/>
    </row>
    <row r="659" spans="1:56">
      <c r="A659" s="685"/>
      <c r="B659" s="685"/>
      <c r="C659" s="685"/>
      <c r="D659" s="685"/>
      <c r="E659" s="685"/>
      <c r="F659" s="685"/>
      <c r="G659" s="685"/>
      <c r="H659" s="685"/>
      <c r="I659" s="685"/>
      <c r="J659" s="685"/>
      <c r="K659" s="685"/>
      <c r="L659" s="685"/>
      <c r="M659" s="685"/>
      <c r="N659" s="685"/>
      <c r="O659" s="685"/>
      <c r="P659" s="685"/>
      <c r="Q659" s="685"/>
      <c r="R659" s="685"/>
      <c r="S659" s="685"/>
      <c r="T659" s="685"/>
      <c r="U659" s="685"/>
      <c r="V659" s="685"/>
      <c r="W659" s="685"/>
      <c r="X659" s="685"/>
      <c r="Y659" s="685"/>
      <c r="Z659" s="685"/>
      <c r="AA659" s="685"/>
      <c r="AB659" s="685"/>
      <c r="AC659" s="685"/>
      <c r="AD659" s="685"/>
      <c r="AE659" s="685"/>
      <c r="AF659" s="685"/>
      <c r="AG659" s="685"/>
      <c r="AH659" s="685"/>
      <c r="AI659" s="685"/>
      <c r="AJ659" s="685"/>
      <c r="AK659" s="685"/>
      <c r="AL659" s="685"/>
      <c r="AM659" s="685"/>
      <c r="AN659" s="685"/>
      <c r="AO659" s="685"/>
      <c r="AP659" s="685"/>
      <c r="AQ659" s="685"/>
      <c r="AR659" s="685"/>
      <c r="AS659" s="685"/>
      <c r="AT659" s="685"/>
      <c r="AU659" s="685"/>
      <c r="AV659" s="685"/>
      <c r="AW659" s="685"/>
      <c r="AX659" s="685"/>
      <c r="AY659" s="685"/>
      <c r="AZ659" s="685"/>
      <c r="BA659" s="685"/>
      <c r="BB659" s="685"/>
      <c r="BC659" s="685"/>
      <c r="BD659" s="685"/>
    </row>
    <row r="660" spans="1:56">
      <c r="A660" s="685"/>
      <c r="B660" s="685"/>
      <c r="C660" s="685"/>
      <c r="D660" s="685"/>
      <c r="E660" s="685"/>
      <c r="F660" s="685"/>
      <c r="G660" s="685"/>
      <c r="H660" s="685"/>
      <c r="I660" s="685"/>
      <c r="J660" s="685"/>
      <c r="K660" s="685"/>
      <c r="L660" s="685"/>
      <c r="M660" s="685"/>
      <c r="N660" s="685"/>
      <c r="O660" s="685"/>
      <c r="P660" s="685"/>
      <c r="Q660" s="685"/>
      <c r="R660" s="685"/>
      <c r="S660" s="685"/>
      <c r="T660" s="685"/>
      <c r="U660" s="685"/>
      <c r="V660" s="685"/>
      <c r="W660" s="685"/>
      <c r="X660" s="685"/>
      <c r="Y660" s="685"/>
      <c r="Z660" s="685"/>
      <c r="AA660" s="685"/>
      <c r="AB660" s="685"/>
      <c r="AC660" s="685"/>
      <c r="AD660" s="685"/>
      <c r="AE660" s="685"/>
      <c r="AF660" s="685"/>
      <c r="AG660" s="685"/>
      <c r="AH660" s="685"/>
      <c r="AI660" s="685"/>
      <c r="AJ660" s="685"/>
      <c r="AK660" s="685"/>
      <c r="AL660" s="685"/>
      <c r="AM660" s="685"/>
      <c r="AN660" s="685"/>
      <c r="AO660" s="685"/>
      <c r="AP660" s="685"/>
      <c r="AQ660" s="685"/>
      <c r="AR660" s="685"/>
      <c r="AS660" s="685"/>
      <c r="AT660" s="685"/>
      <c r="AU660" s="685"/>
      <c r="AV660" s="685"/>
      <c r="AW660" s="685"/>
      <c r="AX660" s="685"/>
      <c r="AY660" s="685"/>
      <c r="AZ660" s="685"/>
      <c r="BA660" s="685"/>
      <c r="BB660" s="685"/>
      <c r="BC660" s="685"/>
      <c r="BD660" s="685"/>
    </row>
    <row r="661" spans="1:56">
      <c r="A661" s="685"/>
      <c r="B661" s="685"/>
      <c r="C661" s="685"/>
      <c r="D661" s="685"/>
      <c r="E661" s="685"/>
      <c r="F661" s="685"/>
      <c r="G661" s="685"/>
      <c r="H661" s="685"/>
      <c r="I661" s="685"/>
      <c r="J661" s="685"/>
      <c r="K661" s="685"/>
      <c r="L661" s="685"/>
      <c r="M661" s="685"/>
      <c r="N661" s="685"/>
      <c r="O661" s="685"/>
      <c r="P661" s="685"/>
      <c r="Q661" s="685"/>
      <c r="R661" s="685"/>
      <c r="S661" s="685"/>
      <c r="T661" s="685"/>
      <c r="U661" s="685"/>
      <c r="V661" s="685"/>
      <c r="W661" s="685"/>
      <c r="X661" s="685"/>
      <c r="Y661" s="685"/>
      <c r="Z661" s="685"/>
      <c r="AA661" s="685"/>
      <c r="AB661" s="685"/>
      <c r="AC661" s="685"/>
      <c r="AD661" s="685"/>
      <c r="AE661" s="685"/>
      <c r="AF661" s="685"/>
      <c r="AG661" s="685"/>
      <c r="AH661" s="685"/>
      <c r="AI661" s="685"/>
      <c r="AJ661" s="685"/>
      <c r="AK661" s="685"/>
      <c r="AL661" s="685"/>
      <c r="AM661" s="685"/>
      <c r="AN661" s="685"/>
      <c r="AO661" s="685"/>
      <c r="AP661" s="685"/>
      <c r="AQ661" s="685"/>
      <c r="AR661" s="685"/>
      <c r="AS661" s="685"/>
      <c r="AT661" s="685"/>
      <c r="AU661" s="685"/>
      <c r="AV661" s="685"/>
      <c r="AW661" s="685"/>
      <c r="AX661" s="685"/>
      <c r="AY661" s="685"/>
      <c r="AZ661" s="685"/>
      <c r="BA661" s="685"/>
      <c r="BB661" s="685"/>
      <c r="BC661" s="685"/>
      <c r="BD661" s="685"/>
    </row>
    <row r="662" spans="1:56">
      <c r="A662" s="685"/>
      <c r="B662" s="685"/>
      <c r="C662" s="685"/>
      <c r="D662" s="685"/>
      <c r="E662" s="685"/>
      <c r="F662" s="685"/>
      <c r="G662" s="685"/>
      <c r="H662" s="685"/>
      <c r="I662" s="685"/>
      <c r="J662" s="685"/>
      <c r="K662" s="685"/>
      <c r="L662" s="685"/>
      <c r="M662" s="685"/>
      <c r="N662" s="685"/>
      <c r="O662" s="685"/>
      <c r="P662" s="685"/>
      <c r="Q662" s="685"/>
      <c r="R662" s="685"/>
      <c r="S662" s="685"/>
      <c r="T662" s="685"/>
      <c r="U662" s="685"/>
      <c r="V662" s="685"/>
      <c r="W662" s="685"/>
      <c r="X662" s="685"/>
      <c r="Y662" s="685"/>
      <c r="Z662" s="685"/>
      <c r="AA662" s="685"/>
      <c r="AB662" s="685"/>
      <c r="AC662" s="685"/>
      <c r="AD662" s="685"/>
      <c r="AE662" s="685"/>
      <c r="AF662" s="685"/>
      <c r="AG662" s="685"/>
      <c r="AH662" s="685"/>
      <c r="AI662" s="685"/>
      <c r="AJ662" s="685"/>
      <c r="AK662" s="685"/>
      <c r="AL662" s="685"/>
      <c r="AM662" s="685"/>
      <c r="AN662" s="685"/>
      <c r="AO662" s="685"/>
      <c r="AP662" s="685"/>
      <c r="AQ662" s="685"/>
      <c r="AR662" s="685"/>
      <c r="AS662" s="685"/>
      <c r="AT662" s="685"/>
      <c r="AU662" s="685"/>
      <c r="AV662" s="685"/>
      <c r="AW662" s="685"/>
      <c r="AX662" s="685"/>
      <c r="AY662" s="685"/>
      <c r="AZ662" s="685"/>
      <c r="BA662" s="685"/>
      <c r="BB662" s="685"/>
      <c r="BC662" s="685"/>
      <c r="BD662" s="685"/>
    </row>
    <row r="663" spans="1:56">
      <c r="A663" s="685"/>
      <c r="B663" s="685"/>
      <c r="C663" s="685"/>
      <c r="D663" s="685"/>
      <c r="E663" s="685"/>
      <c r="F663" s="685"/>
      <c r="G663" s="685"/>
      <c r="H663" s="685"/>
      <c r="I663" s="685"/>
      <c r="J663" s="685"/>
      <c r="K663" s="685"/>
      <c r="L663" s="685"/>
      <c r="M663" s="685"/>
      <c r="N663" s="685"/>
      <c r="O663" s="685"/>
      <c r="P663" s="685"/>
      <c r="Q663" s="685"/>
      <c r="R663" s="685"/>
      <c r="S663" s="685"/>
      <c r="T663" s="685"/>
      <c r="U663" s="685"/>
      <c r="V663" s="685"/>
      <c r="W663" s="685"/>
      <c r="X663" s="685"/>
      <c r="Y663" s="685"/>
      <c r="Z663" s="685"/>
      <c r="AA663" s="685"/>
      <c r="AB663" s="685"/>
      <c r="AC663" s="685"/>
      <c r="AD663" s="685"/>
      <c r="AE663" s="685"/>
      <c r="AF663" s="685"/>
      <c r="AG663" s="685"/>
      <c r="AH663" s="685"/>
      <c r="AI663" s="685"/>
      <c r="AJ663" s="685"/>
      <c r="AK663" s="685"/>
      <c r="AL663" s="685"/>
      <c r="AM663" s="685"/>
      <c r="AN663" s="685"/>
      <c r="AO663" s="685"/>
      <c r="AP663" s="685"/>
      <c r="AQ663" s="685"/>
      <c r="AR663" s="685"/>
      <c r="AS663" s="685"/>
      <c r="AT663" s="685"/>
      <c r="AU663" s="685"/>
      <c r="AV663" s="685"/>
      <c r="AW663" s="685"/>
      <c r="AX663" s="685"/>
      <c r="AY663" s="685"/>
      <c r="AZ663" s="685"/>
      <c r="BA663" s="685"/>
      <c r="BB663" s="685"/>
      <c r="BC663" s="685"/>
      <c r="BD663" s="685"/>
    </row>
    <row r="664" spans="1:56">
      <c r="A664" s="685"/>
      <c r="B664" s="685"/>
      <c r="C664" s="685"/>
      <c r="D664" s="685"/>
      <c r="E664" s="685"/>
      <c r="F664" s="685"/>
      <c r="G664" s="685"/>
      <c r="H664" s="685"/>
      <c r="I664" s="685"/>
      <c r="J664" s="685"/>
      <c r="K664" s="685"/>
      <c r="L664" s="685"/>
      <c r="M664" s="685"/>
      <c r="N664" s="685"/>
      <c r="O664" s="685"/>
      <c r="P664" s="685"/>
      <c r="Q664" s="685"/>
      <c r="R664" s="685"/>
      <c r="S664" s="685"/>
      <c r="T664" s="685"/>
      <c r="U664" s="685"/>
      <c r="V664" s="685"/>
      <c r="W664" s="685"/>
      <c r="X664" s="685"/>
      <c r="Y664" s="685"/>
      <c r="Z664" s="685"/>
      <c r="AA664" s="685"/>
      <c r="AB664" s="685"/>
      <c r="AC664" s="685"/>
      <c r="AD664" s="685"/>
      <c r="AE664" s="685"/>
      <c r="AF664" s="685"/>
      <c r="AG664" s="685"/>
      <c r="AH664" s="685"/>
      <c r="AI664" s="685"/>
      <c r="AJ664" s="685"/>
      <c r="AK664" s="685"/>
      <c r="AL664" s="685"/>
      <c r="AM664" s="685"/>
      <c r="AN664" s="685"/>
      <c r="AO664" s="685"/>
      <c r="AP664" s="685"/>
      <c r="AQ664" s="685"/>
      <c r="AR664" s="685"/>
      <c r="AS664" s="685"/>
      <c r="AT664" s="685"/>
      <c r="AU664" s="685"/>
      <c r="AV664" s="685"/>
      <c r="AW664" s="685"/>
      <c r="AX664" s="685"/>
      <c r="AY664" s="685"/>
      <c r="AZ664" s="685"/>
      <c r="BA664" s="685"/>
      <c r="BB664" s="685"/>
      <c r="BC664" s="685"/>
      <c r="BD664" s="685"/>
    </row>
    <row r="665" spans="1:56">
      <c r="A665" s="685"/>
      <c r="B665" s="685"/>
      <c r="C665" s="685"/>
      <c r="D665" s="685"/>
      <c r="E665" s="685"/>
      <c r="F665" s="685"/>
      <c r="G665" s="685"/>
      <c r="H665" s="685"/>
      <c r="I665" s="685"/>
      <c r="J665" s="685"/>
      <c r="K665" s="685"/>
      <c r="L665" s="685"/>
      <c r="M665" s="685"/>
      <c r="N665" s="685"/>
      <c r="O665" s="685"/>
      <c r="P665" s="685"/>
      <c r="Q665" s="685"/>
      <c r="R665" s="685"/>
      <c r="S665" s="685"/>
      <c r="T665" s="685"/>
      <c r="U665" s="685"/>
      <c r="V665" s="685"/>
      <c r="W665" s="685"/>
      <c r="X665" s="685"/>
      <c r="Y665" s="685"/>
      <c r="Z665" s="685"/>
      <c r="AA665" s="685"/>
      <c r="AB665" s="685"/>
      <c r="AC665" s="685"/>
      <c r="AD665" s="685"/>
      <c r="AE665" s="685"/>
      <c r="AF665" s="685"/>
      <c r="AG665" s="685"/>
      <c r="AH665" s="685"/>
      <c r="AI665" s="685"/>
      <c r="AJ665" s="685"/>
      <c r="AK665" s="685"/>
      <c r="AL665" s="685"/>
      <c r="AM665" s="685"/>
      <c r="AN665" s="685"/>
      <c r="AO665" s="685"/>
      <c r="AP665" s="685"/>
      <c r="AQ665" s="685"/>
      <c r="AR665" s="685"/>
      <c r="AS665" s="685"/>
      <c r="AT665" s="685"/>
      <c r="AU665" s="685"/>
      <c r="AV665" s="685"/>
      <c r="AW665" s="685"/>
      <c r="AX665" s="685"/>
      <c r="AY665" s="685"/>
      <c r="AZ665" s="685"/>
      <c r="BA665" s="685"/>
      <c r="BB665" s="685"/>
      <c r="BC665" s="685"/>
      <c r="BD665" s="685"/>
    </row>
    <row r="666" spans="1:56">
      <c r="A666" s="685"/>
      <c r="B666" s="685"/>
      <c r="C666" s="685"/>
      <c r="D666" s="685"/>
      <c r="E666" s="685"/>
      <c r="F666" s="685"/>
      <c r="G666" s="685"/>
      <c r="H666" s="685"/>
      <c r="I666" s="685"/>
      <c r="J666" s="685"/>
      <c r="K666" s="685"/>
      <c r="L666" s="685"/>
      <c r="M666" s="685"/>
      <c r="N666" s="685"/>
      <c r="O666" s="685"/>
      <c r="P666" s="685"/>
      <c r="Q666" s="685"/>
      <c r="R666" s="685"/>
      <c r="S666" s="685"/>
      <c r="T666" s="685"/>
      <c r="U666" s="685"/>
      <c r="V666" s="685"/>
      <c r="W666" s="685"/>
      <c r="X666" s="685"/>
      <c r="Y666" s="685"/>
      <c r="Z666" s="685"/>
      <c r="AA666" s="685"/>
      <c r="AB666" s="685"/>
      <c r="AC666" s="685"/>
      <c r="AD666" s="685"/>
      <c r="AE666" s="685"/>
      <c r="AF666" s="685"/>
      <c r="AG666" s="685"/>
      <c r="AH666" s="685"/>
      <c r="AI666" s="685"/>
      <c r="AJ666" s="685"/>
      <c r="AK666" s="685"/>
      <c r="AL666" s="685"/>
      <c r="AM666" s="685"/>
      <c r="AN666" s="685"/>
      <c r="AO666" s="685"/>
      <c r="AP666" s="685"/>
      <c r="AQ666" s="685"/>
      <c r="AR666" s="685"/>
      <c r="AS666" s="685"/>
      <c r="AT666" s="685"/>
      <c r="AU666" s="685"/>
      <c r="AV666" s="685"/>
      <c r="AW666" s="685"/>
      <c r="AX666" s="685"/>
      <c r="AY666" s="685"/>
      <c r="AZ666" s="685"/>
      <c r="BA666" s="685"/>
      <c r="BB666" s="685"/>
      <c r="BC666" s="685"/>
      <c r="BD666" s="685"/>
    </row>
    <row r="667" spans="1:56">
      <c r="A667" s="685"/>
      <c r="B667" s="685"/>
      <c r="C667" s="685"/>
      <c r="D667" s="685"/>
      <c r="E667" s="685"/>
      <c r="F667" s="685"/>
      <c r="G667" s="685"/>
      <c r="H667" s="685"/>
      <c r="I667" s="685"/>
      <c r="J667" s="685"/>
      <c r="K667" s="685"/>
      <c r="L667" s="685"/>
      <c r="M667" s="685"/>
      <c r="N667" s="685"/>
      <c r="O667" s="685"/>
      <c r="P667" s="685"/>
      <c r="Q667" s="685"/>
      <c r="R667" s="685"/>
      <c r="S667" s="685"/>
      <c r="T667" s="685"/>
      <c r="U667" s="685"/>
      <c r="V667" s="685"/>
      <c r="W667" s="685"/>
      <c r="X667" s="685"/>
      <c r="Y667" s="685"/>
      <c r="Z667" s="685"/>
      <c r="AA667" s="685"/>
      <c r="AB667" s="685"/>
      <c r="AC667" s="685"/>
      <c r="AD667" s="685"/>
      <c r="AE667" s="685"/>
      <c r="AF667" s="685"/>
      <c r="AG667" s="685"/>
      <c r="AH667" s="685"/>
      <c r="AI667" s="685"/>
      <c r="AJ667" s="685"/>
      <c r="AK667" s="685"/>
      <c r="AL667" s="685"/>
      <c r="AM667" s="685"/>
      <c r="AN667" s="685"/>
      <c r="AO667" s="685"/>
      <c r="AP667" s="685"/>
      <c r="AQ667" s="685"/>
      <c r="AR667" s="685"/>
      <c r="AS667" s="685"/>
      <c r="AT667" s="685"/>
      <c r="AU667" s="685"/>
      <c r="AV667" s="685"/>
      <c r="AW667" s="685"/>
      <c r="AX667" s="685"/>
      <c r="AY667" s="685"/>
      <c r="AZ667" s="685"/>
      <c r="BA667" s="685"/>
      <c r="BB667" s="685"/>
      <c r="BC667" s="685"/>
      <c r="BD667" s="685"/>
    </row>
    <row r="668" spans="1:56">
      <c r="A668" s="685"/>
      <c r="B668" s="685"/>
      <c r="C668" s="685"/>
      <c r="D668" s="685"/>
      <c r="E668" s="685"/>
      <c r="F668" s="685"/>
      <c r="G668" s="685"/>
      <c r="H668" s="685"/>
      <c r="I668" s="685"/>
      <c r="J668" s="685"/>
      <c r="K668" s="685"/>
      <c r="L668" s="685"/>
      <c r="M668" s="685"/>
      <c r="N668" s="685"/>
      <c r="O668" s="685"/>
      <c r="P668" s="685"/>
      <c r="Q668" s="685"/>
      <c r="R668" s="685"/>
      <c r="S668" s="685"/>
      <c r="T668" s="685"/>
      <c r="U668" s="685"/>
      <c r="V668" s="685"/>
      <c r="W668" s="685"/>
      <c r="X668" s="685"/>
      <c r="Y668" s="685"/>
      <c r="Z668" s="685"/>
      <c r="AA668" s="685"/>
      <c r="AB668" s="685"/>
      <c r="AC668" s="685"/>
      <c r="AD668" s="685"/>
      <c r="AE668" s="685"/>
      <c r="AF668" s="685"/>
      <c r="AG668" s="685"/>
      <c r="AH668" s="685"/>
      <c r="AI668" s="685"/>
      <c r="AJ668" s="685"/>
      <c r="AK668" s="685"/>
      <c r="AL668" s="685"/>
      <c r="AM668" s="685"/>
      <c r="AN668" s="685"/>
      <c r="AO668" s="685"/>
      <c r="AP668" s="685"/>
      <c r="AQ668" s="685"/>
      <c r="AR668" s="685"/>
      <c r="AS668" s="685"/>
      <c r="AT668" s="685"/>
      <c r="AU668" s="685"/>
      <c r="AV668" s="685"/>
      <c r="AW668" s="685"/>
      <c r="AX668" s="685"/>
      <c r="AY668" s="685"/>
      <c r="AZ668" s="685"/>
      <c r="BA668" s="685"/>
      <c r="BB668" s="685"/>
      <c r="BC668" s="685"/>
      <c r="BD668" s="685"/>
    </row>
    <row r="669" spans="1:56">
      <c r="A669" s="685"/>
      <c r="B669" s="685"/>
      <c r="C669" s="685"/>
      <c r="D669" s="685"/>
      <c r="E669" s="685"/>
      <c r="F669" s="685"/>
      <c r="G669" s="685"/>
      <c r="H669" s="685"/>
      <c r="I669" s="685"/>
      <c r="J669" s="685"/>
      <c r="K669" s="685"/>
      <c r="L669" s="685"/>
      <c r="M669" s="685"/>
      <c r="N669" s="685"/>
      <c r="O669" s="685"/>
      <c r="P669" s="685"/>
      <c r="Q669" s="685"/>
      <c r="R669" s="685"/>
      <c r="S669" s="685"/>
      <c r="T669" s="685"/>
      <c r="U669" s="685"/>
      <c r="V669" s="685"/>
      <c r="W669" s="685"/>
      <c r="X669" s="685"/>
      <c r="Y669" s="685"/>
      <c r="Z669" s="685"/>
      <c r="AA669" s="685"/>
      <c r="AB669" s="685"/>
      <c r="AC669" s="685"/>
      <c r="AD669" s="685"/>
      <c r="AE669" s="685"/>
      <c r="AF669" s="685"/>
      <c r="AG669" s="685"/>
      <c r="AH669" s="685"/>
      <c r="AI669" s="685"/>
      <c r="AJ669" s="685"/>
      <c r="AK669" s="685"/>
      <c r="AL669" s="685"/>
      <c r="AM669" s="685"/>
      <c r="AN669" s="685"/>
      <c r="AO669" s="685"/>
      <c r="AP669" s="685"/>
      <c r="AQ669" s="685"/>
      <c r="AR669" s="685"/>
      <c r="AS669" s="685"/>
      <c r="AT669" s="685"/>
      <c r="AU669" s="685"/>
      <c r="AV669" s="685"/>
      <c r="AW669" s="685"/>
      <c r="AX669" s="685"/>
      <c r="AY669" s="685"/>
      <c r="AZ669" s="685"/>
      <c r="BA669" s="685"/>
      <c r="BB669" s="685"/>
      <c r="BC669" s="685"/>
      <c r="BD669" s="685"/>
    </row>
    <row r="670" spans="1:56">
      <c r="A670" s="685"/>
      <c r="B670" s="685"/>
      <c r="C670" s="685"/>
      <c r="D670" s="685"/>
      <c r="E670" s="685"/>
      <c r="F670" s="685"/>
      <c r="G670" s="685"/>
      <c r="H670" s="685"/>
      <c r="I670" s="685"/>
      <c r="J670" s="685"/>
      <c r="K670" s="685"/>
      <c r="L670" s="685"/>
      <c r="M670" s="685"/>
      <c r="N670" s="685"/>
      <c r="O670" s="685"/>
      <c r="P670" s="685"/>
      <c r="Q670" s="685"/>
      <c r="R670" s="685"/>
      <c r="S670" s="685"/>
      <c r="T670" s="685"/>
      <c r="U670" s="685"/>
      <c r="V670" s="685"/>
      <c r="W670" s="685"/>
      <c r="X670" s="685"/>
      <c r="Y670" s="685"/>
      <c r="Z670" s="685"/>
      <c r="AA670" s="685"/>
      <c r="AB670" s="685"/>
      <c r="AC670" s="685"/>
      <c r="AD670" s="685"/>
      <c r="AE670" s="685"/>
      <c r="AF670" s="685"/>
      <c r="AG670" s="685"/>
      <c r="AH670" s="685"/>
      <c r="AI670" s="685"/>
      <c r="AJ670" s="685"/>
      <c r="AK670" s="685"/>
      <c r="AL670" s="685"/>
      <c r="AM670" s="685"/>
      <c r="AN670" s="685"/>
      <c r="AO670" s="685"/>
      <c r="AP670" s="685"/>
      <c r="AQ670" s="685"/>
      <c r="AR670" s="685"/>
      <c r="AS670" s="685"/>
      <c r="AT670" s="685"/>
      <c r="AU670" s="685"/>
      <c r="AV670" s="685"/>
      <c r="AW670" s="685"/>
      <c r="AX670" s="685"/>
      <c r="AY670" s="685"/>
      <c r="AZ670" s="685"/>
      <c r="BA670" s="685"/>
      <c r="BB670" s="685"/>
      <c r="BC670" s="685"/>
      <c r="BD670" s="685"/>
    </row>
    <row r="671" spans="1:56">
      <c r="A671" s="685"/>
      <c r="B671" s="685"/>
      <c r="C671" s="685"/>
      <c r="D671" s="685"/>
      <c r="E671" s="685"/>
      <c r="F671" s="685"/>
      <c r="G671" s="685"/>
      <c r="H671" s="685"/>
      <c r="I671" s="685"/>
      <c r="J671" s="685"/>
      <c r="K671" s="685"/>
      <c r="L671" s="685"/>
      <c r="M671" s="685"/>
      <c r="N671" s="685"/>
      <c r="O671" s="685"/>
      <c r="P671" s="685"/>
      <c r="Q671" s="685"/>
      <c r="R671" s="685"/>
      <c r="S671" s="685"/>
      <c r="T671" s="685"/>
      <c r="U671" s="685"/>
      <c r="V671" s="685"/>
      <c r="W671" s="685"/>
      <c r="X671" s="685"/>
      <c r="Y671" s="685"/>
      <c r="Z671" s="685"/>
      <c r="AA671" s="685"/>
      <c r="AB671" s="685"/>
      <c r="AC671" s="685"/>
      <c r="AD671" s="685"/>
      <c r="AE671" s="685"/>
      <c r="AF671" s="685"/>
      <c r="AG671" s="685"/>
      <c r="AH671" s="685"/>
      <c r="AI671" s="685"/>
      <c r="AJ671" s="685"/>
      <c r="AK671" s="685"/>
      <c r="AL671" s="685"/>
      <c r="AM671" s="685"/>
      <c r="AN671" s="685"/>
      <c r="AO671" s="685"/>
      <c r="AP671" s="685"/>
      <c r="AQ671" s="685"/>
      <c r="AR671" s="685"/>
      <c r="AS671" s="685"/>
      <c r="AT671" s="685"/>
      <c r="AU671" s="685"/>
      <c r="AV671" s="685"/>
      <c r="AW671" s="685"/>
      <c r="AX671" s="685"/>
      <c r="AY671" s="685"/>
      <c r="AZ671" s="685"/>
      <c r="BA671" s="685"/>
      <c r="BB671" s="685"/>
      <c r="BC671" s="685"/>
      <c r="BD671" s="685"/>
    </row>
    <row r="672" spans="1:56">
      <c r="A672" s="685"/>
      <c r="B672" s="685"/>
      <c r="C672" s="685"/>
      <c r="D672" s="685"/>
      <c r="E672" s="685"/>
      <c r="F672" s="685"/>
      <c r="G672" s="685"/>
      <c r="H672" s="685"/>
      <c r="I672" s="685"/>
      <c r="J672" s="685"/>
      <c r="K672" s="685"/>
      <c r="L672" s="685"/>
      <c r="M672" s="685"/>
      <c r="N672" s="685"/>
      <c r="O672" s="685"/>
      <c r="P672" s="685"/>
      <c r="Q672" s="685"/>
      <c r="R672" s="685"/>
      <c r="S672" s="685"/>
      <c r="T672" s="685"/>
      <c r="U672" s="685"/>
      <c r="V672" s="685"/>
      <c r="W672" s="685"/>
      <c r="X672" s="685"/>
      <c r="Y672" s="685"/>
      <c r="Z672" s="685"/>
      <c r="AA672" s="685"/>
      <c r="AB672" s="685"/>
      <c r="AC672" s="685"/>
      <c r="AD672" s="685"/>
      <c r="AE672" s="685"/>
      <c r="AF672" s="685"/>
      <c r="AG672" s="685"/>
      <c r="AH672" s="685"/>
      <c r="AI672" s="685"/>
      <c r="AJ672" s="685"/>
      <c r="AK672" s="685"/>
      <c r="AL672" s="685"/>
      <c r="AM672" s="685"/>
      <c r="AN672" s="685"/>
      <c r="AO672" s="685"/>
      <c r="AP672" s="685"/>
      <c r="AQ672" s="685"/>
      <c r="AR672" s="685"/>
      <c r="AS672" s="685"/>
      <c r="AT672" s="685"/>
      <c r="AU672" s="685"/>
      <c r="AV672" s="685"/>
      <c r="AW672" s="685"/>
      <c r="AX672" s="685"/>
      <c r="AY672" s="685"/>
      <c r="AZ672" s="685"/>
      <c r="BA672" s="685"/>
      <c r="BB672" s="685"/>
      <c r="BC672" s="685"/>
      <c r="BD672" s="685"/>
    </row>
    <row r="673" spans="1:56">
      <c r="A673" s="685"/>
      <c r="B673" s="685"/>
      <c r="C673" s="685"/>
      <c r="D673" s="685"/>
      <c r="E673" s="685"/>
      <c r="F673" s="685"/>
      <c r="G673" s="685"/>
      <c r="H673" s="685"/>
      <c r="I673" s="685"/>
      <c r="J673" s="685"/>
      <c r="K673" s="685"/>
      <c r="L673" s="685"/>
      <c r="M673" s="685"/>
      <c r="N673" s="685"/>
      <c r="O673" s="685"/>
      <c r="P673" s="685"/>
      <c r="Q673" s="685"/>
      <c r="R673" s="685"/>
      <c r="S673" s="685"/>
      <c r="T673" s="685"/>
      <c r="U673" s="685"/>
      <c r="V673" s="685"/>
      <c r="W673" s="685"/>
      <c r="X673" s="685"/>
      <c r="Y673" s="685"/>
      <c r="Z673" s="685"/>
      <c r="AA673" s="685"/>
      <c r="AB673" s="685"/>
      <c r="AC673" s="685"/>
      <c r="AD673" s="685"/>
      <c r="AE673" s="685"/>
      <c r="AF673" s="685"/>
      <c r="AG673" s="685"/>
      <c r="AH673" s="685"/>
      <c r="AI673" s="685"/>
      <c r="AJ673" s="685"/>
      <c r="AK673" s="685"/>
      <c r="AL673" s="685"/>
      <c r="AM673" s="685"/>
      <c r="AN673" s="685"/>
      <c r="AO673" s="685"/>
      <c r="AP673" s="685"/>
      <c r="AQ673" s="685"/>
      <c r="AR673" s="685"/>
      <c r="AS673" s="685"/>
      <c r="AT673" s="685"/>
      <c r="AU673" s="685"/>
      <c r="AV673" s="685"/>
      <c r="AW673" s="685"/>
      <c r="AX673" s="685"/>
      <c r="AY673" s="685"/>
      <c r="AZ673" s="685"/>
      <c r="BA673" s="685"/>
      <c r="BB673" s="685"/>
      <c r="BC673" s="685"/>
      <c r="BD673" s="685"/>
    </row>
    <row r="674" spans="1:56">
      <c r="A674" s="685"/>
      <c r="B674" s="685"/>
      <c r="C674" s="685"/>
      <c r="D674" s="685"/>
      <c r="E674" s="685"/>
      <c r="F674" s="685"/>
      <c r="G674" s="685"/>
      <c r="H674" s="685"/>
      <c r="I674" s="685"/>
      <c r="J674" s="685"/>
      <c r="K674" s="685"/>
      <c r="L674" s="685"/>
      <c r="M674" s="685"/>
      <c r="N674" s="685"/>
      <c r="O674" s="685"/>
      <c r="P674" s="685"/>
      <c r="Q674" s="685"/>
      <c r="R674" s="685"/>
      <c r="S674" s="685"/>
      <c r="T674" s="685"/>
      <c r="U674" s="685"/>
      <c r="V674" s="685"/>
      <c r="W674" s="685"/>
      <c r="X674" s="685"/>
      <c r="Y674" s="685"/>
      <c r="Z674" s="685"/>
      <c r="AA674" s="685"/>
      <c r="AB674" s="685"/>
      <c r="AC674" s="685"/>
      <c r="AD674" s="685"/>
      <c r="AE674" s="685"/>
      <c r="AF674" s="685"/>
      <c r="AG674" s="685"/>
      <c r="AH674" s="685"/>
      <c r="AI674" s="685"/>
      <c r="AJ674" s="685"/>
      <c r="AK674" s="685"/>
      <c r="AL674" s="685"/>
      <c r="AM674" s="685"/>
      <c r="AN674" s="685"/>
      <c r="AO674" s="685"/>
      <c r="AP674" s="685"/>
      <c r="AQ674" s="685"/>
      <c r="AR674" s="685"/>
      <c r="AS674" s="685"/>
      <c r="AT674" s="685"/>
      <c r="AU674" s="685"/>
      <c r="AV674" s="685"/>
      <c r="AW674" s="685"/>
      <c r="AX674" s="685"/>
      <c r="AY674" s="685"/>
      <c r="AZ674" s="685"/>
      <c r="BA674" s="685"/>
      <c r="BB674" s="685"/>
      <c r="BC674" s="685"/>
      <c r="BD674" s="685"/>
    </row>
    <row r="675" spans="1:56">
      <c r="A675" s="685"/>
      <c r="B675" s="685"/>
      <c r="C675" s="685"/>
      <c r="D675" s="685"/>
      <c r="E675" s="685"/>
      <c r="F675" s="685"/>
      <c r="G675" s="685"/>
      <c r="H675" s="685"/>
      <c r="I675" s="685"/>
      <c r="J675" s="685"/>
      <c r="K675" s="685"/>
      <c r="L675" s="685"/>
      <c r="M675" s="685"/>
      <c r="N675" s="685"/>
      <c r="O675" s="685"/>
      <c r="P675" s="685"/>
      <c r="Q675" s="685"/>
      <c r="R675" s="685"/>
      <c r="S675" s="685"/>
      <c r="T675" s="685"/>
      <c r="U675" s="685"/>
      <c r="V675" s="685"/>
      <c r="W675" s="685"/>
      <c r="X675" s="685"/>
      <c r="Y675" s="685"/>
      <c r="Z675" s="685"/>
      <c r="AA675" s="685"/>
      <c r="AB675" s="685"/>
      <c r="AC675" s="685"/>
      <c r="AD675" s="685"/>
      <c r="AE675" s="685"/>
      <c r="AF675" s="685"/>
      <c r="AG675" s="685"/>
      <c r="AH675" s="685"/>
      <c r="AI675" s="685"/>
      <c r="AJ675" s="685"/>
      <c r="AK675" s="685"/>
      <c r="AL675" s="685"/>
      <c r="AM675" s="685"/>
      <c r="AN675" s="685"/>
      <c r="AO675" s="685"/>
      <c r="AP675" s="685"/>
      <c r="AQ675" s="685"/>
      <c r="AR675" s="685"/>
      <c r="AS675" s="685"/>
      <c r="AT675" s="685"/>
      <c r="AU675" s="685"/>
      <c r="AV675" s="685"/>
      <c r="AW675" s="685"/>
      <c r="AX675" s="685"/>
      <c r="AY675" s="685"/>
      <c r="AZ675" s="685"/>
      <c r="BA675" s="685"/>
      <c r="BB675" s="685"/>
      <c r="BC675" s="685"/>
      <c r="BD675" s="685"/>
    </row>
    <row r="676" spans="1:56">
      <c r="A676" s="685"/>
      <c r="B676" s="685"/>
      <c r="C676" s="685"/>
      <c r="D676" s="685"/>
      <c r="E676" s="685"/>
      <c r="F676" s="685"/>
      <c r="G676" s="685"/>
      <c r="H676" s="685"/>
      <c r="I676" s="685"/>
      <c r="J676" s="685"/>
      <c r="K676" s="685"/>
      <c r="L676" s="685"/>
      <c r="M676" s="685"/>
      <c r="N676" s="685"/>
      <c r="O676" s="685"/>
      <c r="P676" s="685"/>
      <c r="Q676" s="685"/>
      <c r="R676" s="685"/>
      <c r="S676" s="685"/>
      <c r="T676" s="685"/>
      <c r="U676" s="685"/>
      <c r="V676" s="685"/>
      <c r="W676" s="685"/>
      <c r="X676" s="685"/>
      <c r="Y676" s="685"/>
      <c r="Z676" s="685"/>
      <c r="AA676" s="685"/>
      <c r="AB676" s="685"/>
      <c r="AC676" s="685"/>
      <c r="AD676" s="685"/>
      <c r="AE676" s="685"/>
      <c r="AF676" s="685"/>
      <c r="AG676" s="685"/>
      <c r="AH676" s="685"/>
      <c r="AI676" s="685"/>
      <c r="AJ676" s="685"/>
      <c r="AK676" s="685"/>
      <c r="AL676" s="685"/>
      <c r="AM676" s="685"/>
      <c r="AN676" s="685"/>
      <c r="AO676" s="685"/>
      <c r="AP676" s="685"/>
      <c r="AQ676" s="685"/>
      <c r="AR676" s="685"/>
      <c r="AS676" s="685"/>
      <c r="AT676" s="685"/>
      <c r="AU676" s="685"/>
      <c r="AV676" s="685"/>
      <c r="AW676" s="685"/>
      <c r="AX676" s="685"/>
      <c r="AY676" s="685"/>
      <c r="AZ676" s="685"/>
      <c r="BA676" s="685"/>
      <c r="BB676" s="685"/>
      <c r="BC676" s="685"/>
      <c r="BD676" s="685"/>
    </row>
    <row r="677" spans="1:56">
      <c r="A677" s="685"/>
      <c r="B677" s="685"/>
      <c r="C677" s="685"/>
      <c r="D677" s="685"/>
      <c r="E677" s="685"/>
      <c r="F677" s="685"/>
      <c r="G677" s="685"/>
      <c r="H677" s="685"/>
      <c r="I677" s="685"/>
      <c r="J677" s="685"/>
      <c r="K677" s="685"/>
      <c r="L677" s="685"/>
      <c r="M677" s="685"/>
      <c r="N677" s="685"/>
      <c r="O677" s="685"/>
      <c r="P677" s="685"/>
      <c r="Q677" s="685"/>
      <c r="R677" s="685"/>
      <c r="S677" s="685"/>
      <c r="T677" s="685"/>
      <c r="U677" s="685"/>
      <c r="V677" s="685"/>
      <c r="W677" s="685"/>
      <c r="X677" s="685"/>
      <c r="Y677" s="685"/>
      <c r="Z677" s="685"/>
      <c r="AA677" s="685"/>
      <c r="AB677" s="685"/>
      <c r="AC677" s="685"/>
      <c r="AD677" s="685"/>
      <c r="AE677" s="685"/>
      <c r="AF677" s="685"/>
      <c r="AG677" s="685"/>
      <c r="AH677" s="685"/>
      <c r="AI677" s="685"/>
      <c r="AJ677" s="685"/>
      <c r="AK677" s="685"/>
      <c r="AL677" s="685"/>
      <c r="AM677" s="685"/>
      <c r="AN677" s="685"/>
      <c r="AO677" s="685"/>
      <c r="AP677" s="685"/>
      <c r="AQ677" s="685"/>
      <c r="AR677" s="685"/>
      <c r="AS677" s="685"/>
      <c r="AT677" s="685"/>
      <c r="AU677" s="685"/>
      <c r="AV677" s="685"/>
      <c r="AW677" s="685"/>
      <c r="AX677" s="685"/>
      <c r="AY677" s="685"/>
      <c r="AZ677" s="685"/>
      <c r="BA677" s="685"/>
      <c r="BB677" s="685"/>
      <c r="BC677" s="685"/>
      <c r="BD677" s="685"/>
    </row>
    <row r="678" spans="1:56">
      <c r="A678" s="685"/>
      <c r="B678" s="685"/>
      <c r="C678" s="685"/>
      <c r="D678" s="685"/>
      <c r="E678" s="685"/>
      <c r="F678" s="685"/>
      <c r="G678" s="685"/>
      <c r="H678" s="685"/>
      <c r="I678" s="685"/>
      <c r="J678" s="685"/>
      <c r="K678" s="685"/>
      <c r="L678" s="685"/>
      <c r="M678" s="685"/>
      <c r="N678" s="685"/>
      <c r="O678" s="685"/>
      <c r="P678" s="685"/>
      <c r="Q678" s="685"/>
      <c r="R678" s="685"/>
      <c r="S678" s="685"/>
      <c r="T678" s="685"/>
      <c r="U678" s="685"/>
      <c r="V678" s="685"/>
      <c r="W678" s="685"/>
      <c r="X678" s="685"/>
      <c r="Y678" s="685"/>
      <c r="Z678" s="685"/>
      <c r="AA678" s="685"/>
      <c r="AB678" s="685"/>
      <c r="AC678" s="685"/>
      <c r="AD678" s="685"/>
      <c r="AE678" s="685"/>
      <c r="AF678" s="685"/>
      <c r="AG678" s="685"/>
      <c r="AH678" s="685"/>
      <c r="AI678" s="685"/>
      <c r="AJ678" s="685"/>
      <c r="AK678" s="685"/>
      <c r="AL678" s="685"/>
      <c r="AM678" s="685"/>
      <c r="AN678" s="685"/>
      <c r="AO678" s="685"/>
      <c r="AP678" s="685"/>
      <c r="AQ678" s="685"/>
      <c r="AR678" s="685"/>
      <c r="AS678" s="685"/>
      <c r="AT678" s="685"/>
      <c r="AU678" s="685"/>
      <c r="AV678" s="685"/>
      <c r="AW678" s="685"/>
      <c r="AX678" s="685"/>
      <c r="AY678" s="685"/>
      <c r="AZ678" s="685"/>
      <c r="BA678" s="685"/>
      <c r="BB678" s="685"/>
      <c r="BC678" s="685"/>
      <c r="BD678" s="685"/>
    </row>
    <row r="679" spans="1:56">
      <c r="A679" s="685"/>
      <c r="B679" s="685"/>
      <c r="C679" s="685"/>
      <c r="D679" s="685"/>
      <c r="E679" s="685"/>
      <c r="F679" s="685"/>
      <c r="G679" s="685"/>
      <c r="H679" s="685"/>
      <c r="I679" s="685"/>
      <c r="J679" s="685"/>
      <c r="K679" s="685"/>
      <c r="L679" s="685"/>
      <c r="M679" s="685"/>
      <c r="N679" s="685"/>
      <c r="O679" s="685"/>
      <c r="P679" s="685"/>
      <c r="Q679" s="685"/>
      <c r="R679" s="685"/>
      <c r="S679" s="685"/>
      <c r="T679" s="685"/>
      <c r="U679" s="685"/>
      <c r="V679" s="685"/>
      <c r="W679" s="685"/>
      <c r="X679" s="685"/>
      <c r="Y679" s="685"/>
      <c r="Z679" s="685"/>
      <c r="AA679" s="685"/>
      <c r="AB679" s="685"/>
      <c r="AC679" s="685"/>
      <c r="AD679" s="685"/>
      <c r="AE679" s="685"/>
      <c r="AF679" s="685"/>
      <c r="AG679" s="685"/>
      <c r="AH679" s="685"/>
      <c r="AI679" s="685"/>
      <c r="AJ679" s="685"/>
      <c r="AK679" s="685"/>
      <c r="AL679" s="685"/>
      <c r="AM679" s="685"/>
      <c r="AN679" s="685"/>
      <c r="AO679" s="685"/>
      <c r="AP679" s="685"/>
      <c r="AQ679" s="685"/>
      <c r="AR679" s="685"/>
      <c r="AS679" s="685"/>
      <c r="AT679" s="685"/>
      <c r="AU679" s="685"/>
      <c r="AV679" s="685"/>
      <c r="AW679" s="685"/>
      <c r="AX679" s="685"/>
      <c r="AY679" s="685"/>
      <c r="AZ679" s="685"/>
      <c r="BA679" s="685"/>
      <c r="BB679" s="685"/>
      <c r="BC679" s="685"/>
      <c r="BD679" s="685"/>
    </row>
    <row r="680" spans="1:56">
      <c r="A680" s="685"/>
      <c r="B680" s="685"/>
      <c r="C680" s="685"/>
      <c r="D680" s="685"/>
      <c r="E680" s="685"/>
      <c r="F680" s="685"/>
      <c r="G680" s="685"/>
      <c r="H680" s="685"/>
      <c r="I680" s="685"/>
      <c r="J680" s="685"/>
      <c r="K680" s="685"/>
      <c r="L680" s="685"/>
      <c r="M680" s="685"/>
      <c r="N680" s="685"/>
      <c r="O680" s="685"/>
      <c r="P680" s="685"/>
      <c r="Q680" s="685"/>
      <c r="R680" s="685"/>
      <c r="S680" s="685"/>
      <c r="T680" s="685"/>
      <c r="U680" s="685"/>
      <c r="V680" s="685"/>
      <c r="W680" s="685"/>
      <c r="X680" s="685"/>
      <c r="Y680" s="685"/>
      <c r="Z680" s="685"/>
      <c r="AA680" s="685"/>
      <c r="AB680" s="685"/>
      <c r="AC680" s="685"/>
      <c r="AD680" s="685"/>
      <c r="AE680" s="685"/>
      <c r="AF680" s="685"/>
      <c r="AG680" s="685"/>
      <c r="AH680" s="685"/>
      <c r="AI680" s="685"/>
      <c r="AJ680" s="685"/>
      <c r="AK680" s="685"/>
      <c r="AL680" s="685"/>
      <c r="AM680" s="685"/>
      <c r="AN680" s="685"/>
      <c r="AO680" s="685"/>
      <c r="AP680" s="685"/>
      <c r="AQ680" s="685"/>
      <c r="AR680" s="685"/>
      <c r="AS680" s="685"/>
      <c r="AT680" s="685"/>
      <c r="AU680" s="685"/>
      <c r="AV680" s="685"/>
      <c r="AW680" s="685"/>
      <c r="AX680" s="685"/>
      <c r="AY680" s="685"/>
      <c r="AZ680" s="685"/>
      <c r="BA680" s="685"/>
      <c r="BB680" s="685"/>
      <c r="BC680" s="685"/>
      <c r="BD680" s="685"/>
    </row>
    <row r="681" spans="1:56">
      <c r="A681" s="685"/>
      <c r="B681" s="685"/>
      <c r="C681" s="685"/>
      <c r="D681" s="685"/>
      <c r="E681" s="685"/>
      <c r="F681" s="685"/>
      <c r="G681" s="685"/>
      <c r="H681" s="685"/>
      <c r="I681" s="685"/>
      <c r="J681" s="685"/>
      <c r="K681" s="685"/>
      <c r="L681" s="685"/>
      <c r="M681" s="685"/>
      <c r="N681" s="685"/>
      <c r="O681" s="685"/>
      <c r="P681" s="685"/>
      <c r="Q681" s="685"/>
      <c r="R681" s="685"/>
      <c r="S681" s="685"/>
      <c r="T681" s="685"/>
      <c r="U681" s="685"/>
      <c r="V681" s="685"/>
      <c r="W681" s="685"/>
      <c r="X681" s="685"/>
      <c r="Y681" s="685"/>
      <c r="Z681" s="685"/>
      <c r="AA681" s="685"/>
      <c r="AB681" s="685"/>
      <c r="AC681" s="685"/>
      <c r="AD681" s="685"/>
      <c r="AE681" s="685"/>
      <c r="AF681" s="685"/>
      <c r="AG681" s="685"/>
      <c r="AH681" s="685"/>
      <c r="AI681" s="685"/>
      <c r="AJ681" s="685"/>
      <c r="AK681" s="685"/>
      <c r="AL681" s="685"/>
      <c r="AM681" s="685"/>
      <c r="AN681" s="685"/>
      <c r="AO681" s="685"/>
      <c r="AP681" s="685"/>
      <c r="AQ681" s="685"/>
      <c r="AR681" s="685"/>
      <c r="AS681" s="685"/>
      <c r="AT681" s="685"/>
      <c r="AU681" s="685"/>
      <c r="AV681" s="685"/>
      <c r="AW681" s="685"/>
      <c r="AX681" s="685"/>
      <c r="AY681" s="685"/>
      <c r="AZ681" s="685"/>
      <c r="BA681" s="685"/>
      <c r="BB681" s="685"/>
      <c r="BC681" s="685"/>
      <c r="BD681" s="685"/>
    </row>
    <row r="682" spans="1:56">
      <c r="A682" s="685"/>
      <c r="B682" s="685"/>
      <c r="C682" s="685"/>
      <c r="D682" s="685"/>
      <c r="E682" s="685"/>
      <c r="F682" s="685"/>
      <c r="G682" s="685"/>
      <c r="H682" s="685"/>
      <c r="I682" s="685"/>
      <c r="J682" s="685"/>
      <c r="K682" s="685"/>
      <c r="L682" s="685"/>
      <c r="M682" s="685"/>
      <c r="N682" s="685"/>
      <c r="O682" s="685"/>
      <c r="P682" s="685"/>
      <c r="Q682" s="685"/>
      <c r="R682" s="685"/>
      <c r="S682" s="685"/>
      <c r="T682" s="685"/>
      <c r="U682" s="685"/>
      <c r="V682" s="685"/>
      <c r="W682" s="685"/>
      <c r="X682" s="685"/>
      <c r="Y682" s="685"/>
      <c r="Z682" s="685"/>
      <c r="AA682" s="685"/>
      <c r="AB682" s="685"/>
      <c r="AC682" s="685"/>
      <c r="AD682" s="685"/>
      <c r="AE682" s="685"/>
      <c r="AF682" s="685"/>
      <c r="AG682" s="685"/>
      <c r="AH682" s="685"/>
      <c r="AI682" s="685"/>
      <c r="AJ682" s="685"/>
      <c r="AK682" s="685"/>
      <c r="AL682" s="685"/>
      <c r="AM682" s="685"/>
      <c r="AN682" s="685"/>
      <c r="AO682" s="685"/>
      <c r="AP682" s="685"/>
      <c r="AQ682" s="685"/>
      <c r="AR682" s="685"/>
      <c r="AS682" s="685"/>
      <c r="AT682" s="685"/>
      <c r="AU682" s="685"/>
      <c r="AV682" s="685"/>
      <c r="AW682" s="685"/>
      <c r="AX682" s="685"/>
      <c r="AY682" s="685"/>
      <c r="AZ682" s="685"/>
      <c r="BA682" s="685"/>
      <c r="BB682" s="685"/>
      <c r="BC682" s="685"/>
      <c r="BD682" s="685"/>
    </row>
    <row r="683" spans="1:56">
      <c r="A683" s="685"/>
      <c r="B683" s="685"/>
      <c r="C683" s="685"/>
      <c r="D683" s="685"/>
      <c r="E683" s="685"/>
      <c r="F683" s="685"/>
      <c r="G683" s="685"/>
      <c r="H683" s="685"/>
      <c r="I683" s="685"/>
      <c r="J683" s="685"/>
      <c r="K683" s="685"/>
      <c r="L683" s="685"/>
      <c r="M683" s="685"/>
      <c r="N683" s="685"/>
      <c r="O683" s="685"/>
      <c r="P683" s="685"/>
      <c r="Q683" s="685"/>
      <c r="R683" s="685"/>
      <c r="S683" s="685"/>
      <c r="T683" s="685"/>
      <c r="U683" s="685"/>
      <c r="V683" s="685"/>
      <c r="W683" s="685"/>
      <c r="X683" s="685"/>
      <c r="Y683" s="685"/>
      <c r="Z683" s="685"/>
      <c r="AA683" s="685"/>
      <c r="AB683" s="685"/>
      <c r="AC683" s="685"/>
      <c r="AD683" s="685"/>
      <c r="AE683" s="685"/>
      <c r="AF683" s="685"/>
      <c r="AG683" s="685"/>
      <c r="AH683" s="685"/>
      <c r="AI683" s="685"/>
      <c r="AJ683" s="685"/>
      <c r="AK683" s="685"/>
      <c r="AL683" s="685"/>
      <c r="AM683" s="685"/>
      <c r="AN683" s="685"/>
      <c r="AO683" s="685"/>
      <c r="AP683" s="685"/>
      <c r="AQ683" s="685"/>
      <c r="AR683" s="685"/>
      <c r="AS683" s="685"/>
      <c r="AT683" s="685"/>
      <c r="AU683" s="685"/>
      <c r="AV683" s="685"/>
      <c r="AW683" s="685"/>
      <c r="AX683" s="685"/>
      <c r="AY683" s="685"/>
      <c r="AZ683" s="685"/>
      <c r="BA683" s="685"/>
      <c r="BB683" s="685"/>
      <c r="BC683" s="685"/>
      <c r="BD683" s="685"/>
    </row>
    <row r="684" spans="1:56">
      <c r="A684" s="685"/>
      <c r="B684" s="685"/>
      <c r="C684" s="685"/>
      <c r="D684" s="685"/>
      <c r="E684" s="685"/>
      <c r="F684" s="685"/>
      <c r="G684" s="685"/>
      <c r="H684" s="685"/>
      <c r="I684" s="685"/>
      <c r="J684" s="685"/>
      <c r="K684" s="685"/>
      <c r="L684" s="685"/>
      <c r="M684" s="685"/>
      <c r="N684" s="685"/>
      <c r="O684" s="685"/>
      <c r="P684" s="685"/>
      <c r="Q684" s="685"/>
      <c r="R684" s="685"/>
      <c r="S684" s="685"/>
      <c r="T684" s="685"/>
      <c r="U684" s="685"/>
      <c r="V684" s="685"/>
      <c r="W684" s="685"/>
      <c r="X684" s="685"/>
      <c r="Y684" s="685"/>
      <c r="Z684" s="685"/>
      <c r="AA684" s="685"/>
      <c r="AB684" s="685"/>
      <c r="AC684" s="685"/>
      <c r="AD684" s="685"/>
      <c r="AE684" s="685"/>
      <c r="AF684" s="685"/>
      <c r="AG684" s="685"/>
      <c r="AH684" s="685"/>
      <c r="AI684" s="685"/>
      <c r="AJ684" s="685"/>
      <c r="AK684" s="685"/>
      <c r="AL684" s="685"/>
      <c r="AM684" s="685"/>
      <c r="AN684" s="685"/>
      <c r="AO684" s="685"/>
      <c r="AP684" s="685"/>
      <c r="AQ684" s="685"/>
      <c r="AR684" s="685"/>
      <c r="AS684" s="685"/>
      <c r="AT684" s="685"/>
      <c r="AU684" s="685"/>
      <c r="AV684" s="685"/>
      <c r="AW684" s="685"/>
      <c r="AX684" s="685"/>
      <c r="AY684" s="685"/>
      <c r="AZ684" s="685"/>
      <c r="BA684" s="685"/>
      <c r="BB684" s="685"/>
      <c r="BC684" s="685"/>
      <c r="BD684" s="685"/>
    </row>
    <row r="685" spans="1:56">
      <c r="A685" s="685"/>
      <c r="B685" s="685"/>
      <c r="C685" s="685"/>
      <c r="D685" s="685"/>
      <c r="E685" s="685"/>
      <c r="F685" s="685"/>
      <c r="G685" s="685"/>
      <c r="H685" s="685"/>
      <c r="I685" s="685"/>
      <c r="J685" s="685"/>
      <c r="K685" s="685"/>
      <c r="L685" s="685"/>
      <c r="M685" s="685"/>
      <c r="N685" s="685"/>
      <c r="O685" s="685"/>
      <c r="P685" s="685"/>
      <c r="Q685" s="685"/>
      <c r="R685" s="685"/>
      <c r="S685" s="685"/>
      <c r="T685" s="685"/>
      <c r="U685" s="685"/>
      <c r="V685" s="685"/>
      <c r="W685" s="685"/>
      <c r="X685" s="685"/>
      <c r="Y685" s="685"/>
      <c r="Z685" s="685"/>
      <c r="AA685" s="685"/>
      <c r="AB685" s="685"/>
      <c r="AC685" s="685"/>
      <c r="AD685" s="685"/>
      <c r="AE685" s="685"/>
      <c r="AF685" s="685"/>
      <c r="AG685" s="685"/>
      <c r="AH685" s="685"/>
      <c r="AI685" s="685"/>
      <c r="AJ685" s="685"/>
      <c r="AK685" s="685"/>
      <c r="AL685" s="685"/>
      <c r="AM685" s="685"/>
      <c r="AN685" s="685"/>
      <c r="AO685" s="685"/>
      <c r="AP685" s="685"/>
      <c r="AQ685" s="685"/>
      <c r="AR685" s="685"/>
      <c r="AS685" s="685"/>
      <c r="AT685" s="685"/>
      <c r="AU685" s="685"/>
      <c r="AV685" s="685"/>
      <c r="AW685" s="685"/>
      <c r="AX685" s="685"/>
      <c r="AY685" s="685"/>
      <c r="AZ685" s="685"/>
      <c r="BA685" s="685"/>
      <c r="BB685" s="685"/>
      <c r="BC685" s="685"/>
      <c r="BD685" s="685"/>
    </row>
    <row r="686" spans="1:56">
      <c r="A686" s="685"/>
      <c r="B686" s="685"/>
      <c r="C686" s="685"/>
      <c r="D686" s="685"/>
      <c r="E686" s="685"/>
      <c r="F686" s="685"/>
      <c r="G686" s="685"/>
      <c r="H686" s="685"/>
      <c r="I686" s="685"/>
      <c r="J686" s="685"/>
      <c r="K686" s="685"/>
      <c r="L686" s="685"/>
      <c r="M686" s="685"/>
      <c r="N686" s="685"/>
      <c r="O686" s="685"/>
      <c r="P686" s="685"/>
      <c r="Q686" s="685"/>
      <c r="R686" s="685"/>
      <c r="S686" s="685"/>
      <c r="T686" s="685"/>
      <c r="U686" s="685"/>
      <c r="V686" s="685"/>
      <c r="W686" s="685"/>
      <c r="X686" s="685"/>
      <c r="Y686" s="685"/>
      <c r="Z686" s="685"/>
      <c r="AA686" s="685"/>
      <c r="AB686" s="685"/>
      <c r="AC686" s="685"/>
      <c r="AD686" s="685"/>
      <c r="AE686" s="685"/>
      <c r="AF686" s="685"/>
      <c r="AG686" s="685"/>
      <c r="AH686" s="685"/>
      <c r="AI686" s="685"/>
      <c r="AJ686" s="685"/>
      <c r="AK686" s="685"/>
      <c r="AL686" s="685"/>
      <c r="AM686" s="685"/>
      <c r="AN686" s="685"/>
      <c r="AO686" s="685"/>
      <c r="AP686" s="685"/>
      <c r="AQ686" s="685"/>
      <c r="AR686" s="685"/>
      <c r="AS686" s="685"/>
      <c r="AT686" s="685"/>
      <c r="AU686" s="685"/>
      <c r="AV686" s="685"/>
      <c r="AW686" s="685"/>
      <c r="AX686" s="685"/>
      <c r="AY686" s="685"/>
      <c r="AZ686" s="685"/>
      <c r="BA686" s="685"/>
      <c r="BB686" s="685"/>
      <c r="BC686" s="685"/>
      <c r="BD686" s="685"/>
    </row>
  </sheetData>
  <pageMargins left="0.70866141732283472" right="0.70866141732283472" top="0.74803149606299213" bottom="0.74803149606299213" header="0.31496062992125984" footer="0.31496062992125984"/>
  <pageSetup paperSize="9" scale="18" fitToHeight="2" orientation="portrait" r:id="rId1"/>
  <rowBreaks count="1" manualBreakCount="1">
    <brk id="222"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59999389629810485"/>
    <pageSetUpPr fitToPage="1"/>
  </sheetPr>
  <dimension ref="A1:AG356"/>
  <sheetViews>
    <sheetView zoomScale="80" zoomScaleNormal="80" workbookViewId="0">
      <pane xSplit="2" ySplit="1" topLeftCell="C11" activePane="bottomRight" state="frozen"/>
      <selection pane="topRight" activeCell="C1" sqref="C1"/>
      <selection pane="bottomLeft" activeCell="A2" sqref="A2"/>
      <selection pane="bottomRight" activeCell="W42" sqref="W42"/>
    </sheetView>
  </sheetViews>
  <sheetFormatPr defaultColWidth="9.140625" defaultRowHeight="15" outlineLevelRow="1"/>
  <cols>
    <col min="1" max="1" width="1.5703125" style="685" customWidth="1"/>
    <col min="2" max="2" width="45.140625" style="685" customWidth="1"/>
    <col min="3" max="5" width="9.140625" style="685" customWidth="1"/>
    <col min="6" max="6" width="8.85546875" style="685"/>
    <col min="7" max="20" width="9.140625" style="685" customWidth="1"/>
    <col min="21" max="32" width="9.140625" style="685"/>
    <col min="33" max="33" width="9.42578125" style="685" customWidth="1"/>
    <col min="34" max="16384" width="9.140625" style="685"/>
  </cols>
  <sheetData>
    <row r="1" spans="1:32" ht="25.5" customHeight="1">
      <c r="A1" s="817"/>
      <c r="B1" s="2027"/>
      <c r="C1" s="2027"/>
      <c r="D1" s="2027">
        <f>Master!H11</f>
        <v>2009</v>
      </c>
      <c r="E1" s="2027">
        <f>Master!I11</f>
        <v>2010</v>
      </c>
      <c r="F1" s="2027">
        <f>Master!J11</f>
        <v>2011</v>
      </c>
      <c r="G1" s="2027">
        <f>Master!K11</f>
        <v>2012</v>
      </c>
      <c r="H1" s="2027">
        <f>Master!L11</f>
        <v>2013</v>
      </c>
      <c r="I1" s="2027">
        <f>Master!M11</f>
        <v>2014</v>
      </c>
      <c r="J1" s="2027">
        <f>Master!N11</f>
        <v>2015</v>
      </c>
      <c r="K1" s="2027">
        <f>Master!O11</f>
        <v>2016</v>
      </c>
      <c r="L1" s="2027">
        <f>Master!P11</f>
        <v>2017</v>
      </c>
      <c r="M1" s="2027">
        <f>Master!Q11</f>
        <v>2018</v>
      </c>
      <c r="N1" s="2027">
        <f>Master!R11</f>
        <v>2019</v>
      </c>
      <c r="O1" s="2027">
        <f>Master!S11</f>
        <v>2020</v>
      </c>
      <c r="P1" s="2027">
        <f>Master!T11</f>
        <v>2021</v>
      </c>
      <c r="Q1" s="2027">
        <f>Master!U11</f>
        <v>2022</v>
      </c>
      <c r="R1" s="2027">
        <f>Master!V11</f>
        <v>2023</v>
      </c>
      <c r="S1" s="2027">
        <f>Master!W11</f>
        <v>2024</v>
      </c>
      <c r="T1" s="2027">
        <f>Master!X11</f>
        <v>2025</v>
      </c>
      <c r="U1" s="2037">
        <f>Master!Y11</f>
        <v>2026</v>
      </c>
      <c r="V1" s="2037">
        <f>Master!Z11</f>
        <v>2027</v>
      </c>
      <c r="W1" s="2037">
        <f>Master!AA11</f>
        <v>2028</v>
      </c>
      <c r="X1" s="2037">
        <f>Master!AB11</f>
        <v>2029</v>
      </c>
      <c r="Y1" s="2037">
        <f>Master!AC11</f>
        <v>2030</v>
      </c>
      <c r="Z1" s="2037">
        <f>Master!AD11</f>
        <v>2031</v>
      </c>
      <c r="AA1" s="2037">
        <f>Master!AE11</f>
        <v>2032</v>
      </c>
      <c r="AB1" s="2037">
        <f>Master!AF11</f>
        <v>2033</v>
      </c>
      <c r="AC1" s="2037">
        <f>Master!AG11</f>
        <v>2034</v>
      </c>
      <c r="AD1" s="2037">
        <f>Master!AH11</f>
        <v>2035</v>
      </c>
      <c r="AF1" s="685">
        <f ca="1">SOP!G42</f>
        <v>2.1807837624824744</v>
      </c>
    </row>
    <row r="4" spans="1:32">
      <c r="B4" s="817" t="s">
        <v>894</v>
      </c>
      <c r="T4" s="795"/>
      <c r="U4" s="795"/>
      <c r="V4" s="795"/>
      <c r="W4" s="795"/>
      <c r="X4" s="795"/>
      <c r="Y4" s="795"/>
      <c r="Z4" s="795"/>
      <c r="AA4" s="795"/>
      <c r="AB4" s="795"/>
      <c r="AC4" s="795"/>
      <c r="AD4" s="795"/>
    </row>
    <row r="5" spans="1:32">
      <c r="B5" s="1132" t="s">
        <v>6</v>
      </c>
      <c r="P5" s="1612">
        <f>Interims!BH259</f>
        <v>4166.46</v>
      </c>
      <c r="Q5" s="1612">
        <f>Interims!BM259</f>
        <v>4458.22</v>
      </c>
      <c r="R5" s="1612">
        <f>Interims!BR259</f>
        <v>4059.4940000000001</v>
      </c>
      <c r="S5" s="1612">
        <f>Interims!BW259</f>
        <v>3846.518</v>
      </c>
      <c r="T5" s="1612">
        <f>Interims!CB259</f>
        <v>3646.569</v>
      </c>
      <c r="U5" s="795">
        <f>T5+U12</f>
        <v>3506.569</v>
      </c>
      <c r="V5" s="795">
        <f t="shared" ref="V5:AD5" si="0">U5+V12</f>
        <v>3356.569</v>
      </c>
      <c r="W5" s="795">
        <f t="shared" si="0"/>
        <v>3206.569</v>
      </c>
      <c r="X5" s="795">
        <f t="shared" si="0"/>
        <v>3056.569</v>
      </c>
      <c r="Y5" s="795">
        <f t="shared" si="0"/>
        <v>2906.569</v>
      </c>
      <c r="Z5" s="795">
        <f t="shared" si="0"/>
        <v>2756.569</v>
      </c>
      <c r="AA5" s="795">
        <f t="shared" si="0"/>
        <v>2606.569</v>
      </c>
      <c r="AB5" s="795">
        <f t="shared" si="0"/>
        <v>2456.569</v>
      </c>
      <c r="AC5" s="795">
        <f t="shared" si="0"/>
        <v>2306.569</v>
      </c>
      <c r="AD5" s="795">
        <f t="shared" si="0"/>
        <v>2156.569</v>
      </c>
    </row>
    <row r="6" spans="1:32">
      <c r="B6" s="1132" t="s">
        <v>519</v>
      </c>
      <c r="P6" s="1612">
        <f>Interims!BH260</f>
        <v>5649.1019999999999</v>
      </c>
      <c r="Q6" s="1612">
        <f>Interims!BM260</f>
        <v>5984.1509999999998</v>
      </c>
      <c r="R6" s="1612">
        <f>Interims!BR260</f>
        <v>5678.4309999999996</v>
      </c>
      <c r="S6" s="1612">
        <f>Interims!BW260</f>
        <v>5626.2060000000001</v>
      </c>
      <c r="T6" s="1612">
        <f>Interims!CB260</f>
        <v>5673.1229999999996</v>
      </c>
      <c r="U6" s="795">
        <f t="shared" ref="U6:AD7" si="1">T6+U13</f>
        <v>5773.1229999999996</v>
      </c>
      <c r="V6" s="795">
        <f t="shared" si="1"/>
        <v>5848.1229999999996</v>
      </c>
      <c r="W6" s="795">
        <f t="shared" si="1"/>
        <v>5913.1229999999996</v>
      </c>
      <c r="X6" s="795">
        <f t="shared" si="1"/>
        <v>5973.1229999999996</v>
      </c>
      <c r="Y6" s="795">
        <f t="shared" si="1"/>
        <v>6028.1229999999996</v>
      </c>
      <c r="Z6" s="795">
        <f t="shared" si="1"/>
        <v>6063.1229999999996</v>
      </c>
      <c r="AA6" s="795">
        <f t="shared" si="1"/>
        <v>6078.1229999999996</v>
      </c>
      <c r="AB6" s="795">
        <f t="shared" si="1"/>
        <v>6078.1229999999996</v>
      </c>
      <c r="AC6" s="795">
        <f t="shared" si="1"/>
        <v>6078.1229999999996</v>
      </c>
      <c r="AD6" s="795">
        <f t="shared" si="1"/>
        <v>6078.1229999999996</v>
      </c>
    </row>
    <row r="7" spans="1:32">
      <c r="B7" s="1132" t="s">
        <v>518</v>
      </c>
      <c r="P7" s="1612">
        <f>Interims!BH261</f>
        <v>4617.2650000000003</v>
      </c>
      <c r="Q7" s="1612">
        <f>Interims!BM261</f>
        <v>5233.7240000000002</v>
      </c>
      <c r="R7" s="1612">
        <f>Interims!BR261</f>
        <v>5351.1450000000004</v>
      </c>
      <c r="S7" s="1612">
        <f>Interims!BW261</f>
        <v>5382.9489999999996</v>
      </c>
      <c r="T7" s="1612">
        <f>Interims!CB261</f>
        <v>5552.3130000000001</v>
      </c>
      <c r="U7" s="795">
        <f t="shared" si="1"/>
        <v>5712.3130000000001</v>
      </c>
      <c r="V7" s="795">
        <f t="shared" si="1"/>
        <v>5842.3130000000001</v>
      </c>
      <c r="W7" s="795">
        <f t="shared" si="1"/>
        <v>5942.3130000000001</v>
      </c>
      <c r="X7" s="795">
        <f t="shared" si="1"/>
        <v>6012.3130000000001</v>
      </c>
      <c r="Y7" s="795">
        <f t="shared" si="1"/>
        <v>6072.3130000000001</v>
      </c>
      <c r="Z7" s="795">
        <f t="shared" si="1"/>
        <v>6107.3130000000001</v>
      </c>
      <c r="AA7" s="795">
        <f t="shared" si="1"/>
        <v>6122.3130000000001</v>
      </c>
      <c r="AB7" s="795">
        <f t="shared" si="1"/>
        <v>6122.3130000000001</v>
      </c>
      <c r="AC7" s="795">
        <f t="shared" si="1"/>
        <v>6122.3130000000001</v>
      </c>
      <c r="AD7" s="795">
        <f t="shared" si="1"/>
        <v>6122.3130000000001</v>
      </c>
    </row>
    <row r="8" spans="1:32">
      <c r="B8" s="1132" t="s">
        <v>48</v>
      </c>
      <c r="P8" s="1612">
        <f>Interims!BH262</f>
        <v>156.05099999999999</v>
      </c>
      <c r="Q8" s="1612">
        <f>Interims!BM262</f>
        <v>240.20699999999999</v>
      </c>
      <c r="R8" s="1612">
        <f>Interims!BR262</f>
        <v>307.80700000000002</v>
      </c>
      <c r="S8" s="1612">
        <f>Interims!BW262</f>
        <v>333.97300000000001</v>
      </c>
      <c r="T8" s="1612">
        <f>Interims!CB262</f>
        <v>652.86</v>
      </c>
      <c r="U8" s="795">
        <f>Mobile!Q8</f>
        <v>1033</v>
      </c>
      <c r="V8" s="795">
        <f>Mobile!R8</f>
        <v>1383</v>
      </c>
      <c r="W8" s="795">
        <f>Mobile!S8</f>
        <v>1708</v>
      </c>
      <c r="X8" s="795">
        <f>Mobile!T8</f>
        <v>2008</v>
      </c>
      <c r="Y8" s="795">
        <f>Mobile!U8</f>
        <v>2308</v>
      </c>
      <c r="Z8" s="795">
        <f>Mobile!V8</f>
        <v>2608</v>
      </c>
      <c r="AA8" s="795">
        <f>Mobile!W8</f>
        <v>2908</v>
      </c>
      <c r="AB8" s="795">
        <f>Mobile!X8</f>
        <v>3208</v>
      </c>
      <c r="AC8" s="795">
        <f>Mobile!Y8</f>
        <v>3508</v>
      </c>
      <c r="AD8" s="795">
        <f>Mobile!Z8</f>
        <v>3808</v>
      </c>
    </row>
    <row r="9" spans="1:32">
      <c r="B9" s="1680" t="s">
        <v>85</v>
      </c>
      <c r="C9" s="1395"/>
      <c r="D9" s="1395"/>
      <c r="E9" s="1395"/>
      <c r="F9" s="1395"/>
      <c r="G9" s="1395"/>
      <c r="H9" s="1395"/>
      <c r="I9" s="1395"/>
      <c r="J9" s="1395"/>
      <c r="K9" s="1395"/>
      <c r="L9" s="1395"/>
      <c r="M9" s="1395"/>
      <c r="N9" s="1395"/>
      <c r="O9" s="1395"/>
      <c r="P9" s="1396">
        <f t="shared" ref="P9:S9" si="2">P5+P6+P7+P8</f>
        <v>14588.878000000001</v>
      </c>
      <c r="Q9" s="1396">
        <f t="shared" si="2"/>
        <v>15916.302</v>
      </c>
      <c r="R9" s="1396">
        <f t="shared" si="2"/>
        <v>15396.877</v>
      </c>
      <c r="S9" s="1396">
        <f t="shared" si="2"/>
        <v>15189.645999999999</v>
      </c>
      <c r="T9" s="1396">
        <f>T5+T6+T7+T8</f>
        <v>15524.865</v>
      </c>
      <c r="U9" s="1396">
        <f t="shared" ref="U9:AD9" si="3">U5+U6+U7+U8</f>
        <v>16025.004999999999</v>
      </c>
      <c r="V9" s="1396">
        <f t="shared" si="3"/>
        <v>16430.004999999997</v>
      </c>
      <c r="W9" s="1396">
        <f t="shared" si="3"/>
        <v>16770.004999999997</v>
      </c>
      <c r="X9" s="1396">
        <f t="shared" si="3"/>
        <v>17050.004999999997</v>
      </c>
      <c r="Y9" s="1396">
        <f t="shared" si="3"/>
        <v>17315.004999999997</v>
      </c>
      <c r="Z9" s="1396">
        <f t="shared" si="3"/>
        <v>17535.004999999997</v>
      </c>
      <c r="AA9" s="1396">
        <f t="shared" si="3"/>
        <v>17715.004999999997</v>
      </c>
      <c r="AB9" s="1396">
        <f t="shared" si="3"/>
        <v>17865.004999999997</v>
      </c>
      <c r="AC9" s="1396">
        <f t="shared" si="3"/>
        <v>18015.004999999997</v>
      </c>
      <c r="AD9" s="1396">
        <f t="shared" si="3"/>
        <v>18165.004999999997</v>
      </c>
    </row>
    <row r="10" spans="1:32">
      <c r="T10" s="795"/>
    </row>
    <row r="11" spans="1:32">
      <c r="B11" s="817" t="s">
        <v>587</v>
      </c>
    </row>
    <row r="12" spans="1:32">
      <c r="B12" s="685" t="s">
        <v>6</v>
      </c>
      <c r="Q12" s="795">
        <f t="shared" ref="Q12:S16" si="4">Q5-P5</f>
        <v>291.76000000000022</v>
      </c>
      <c r="R12" s="795">
        <f t="shared" si="4"/>
        <v>-398.72600000000011</v>
      </c>
      <c r="S12" s="795">
        <f t="shared" si="4"/>
        <v>-212.97600000000011</v>
      </c>
      <c r="T12" s="795">
        <f>T5-S5</f>
        <v>-199.94900000000007</v>
      </c>
      <c r="U12" s="936">
        <v>-140</v>
      </c>
      <c r="V12" s="936">
        <v>-150</v>
      </c>
      <c r="W12" s="936">
        <v>-150</v>
      </c>
      <c r="X12" s="936">
        <v>-150</v>
      </c>
      <c r="Y12" s="936">
        <v>-150</v>
      </c>
      <c r="Z12" s="936">
        <v>-150</v>
      </c>
      <c r="AA12" s="936">
        <v>-150</v>
      </c>
      <c r="AB12" s="936">
        <v>-150</v>
      </c>
      <c r="AC12" s="936">
        <v>-150</v>
      </c>
      <c r="AD12" s="936">
        <v>-150</v>
      </c>
    </row>
    <row r="13" spans="1:32">
      <c r="B13" s="685" t="s">
        <v>519</v>
      </c>
      <c r="Q13" s="795">
        <f t="shared" si="4"/>
        <v>335.04899999999998</v>
      </c>
      <c r="R13" s="795">
        <f t="shared" si="4"/>
        <v>-305.72000000000025</v>
      </c>
      <c r="S13" s="795">
        <f t="shared" si="4"/>
        <v>-52.224999999999454</v>
      </c>
      <c r="T13" s="795">
        <f t="shared" ref="T13:AD16" si="5">T6-S6</f>
        <v>46.916999999999462</v>
      </c>
      <c r="U13" s="936">
        <v>100</v>
      </c>
      <c r="V13" s="936">
        <v>75</v>
      </c>
      <c r="W13" s="936">
        <v>65</v>
      </c>
      <c r="X13" s="936">
        <v>60</v>
      </c>
      <c r="Y13" s="936">
        <v>55</v>
      </c>
      <c r="Z13" s="936">
        <v>35</v>
      </c>
      <c r="AA13" s="936">
        <v>15</v>
      </c>
      <c r="AB13" s="936">
        <v>0</v>
      </c>
      <c r="AC13" s="936">
        <v>0</v>
      </c>
      <c r="AD13" s="936">
        <v>0</v>
      </c>
    </row>
    <row r="14" spans="1:32">
      <c r="B14" s="685" t="s">
        <v>518</v>
      </c>
      <c r="Q14" s="795">
        <f t="shared" si="4"/>
        <v>616.45899999999983</v>
      </c>
      <c r="R14" s="795">
        <f t="shared" si="4"/>
        <v>117.42100000000028</v>
      </c>
      <c r="S14" s="795">
        <f t="shared" si="4"/>
        <v>31.803999999999178</v>
      </c>
      <c r="T14" s="795">
        <f t="shared" si="5"/>
        <v>169.36400000000049</v>
      </c>
      <c r="U14" s="910">
        <v>160</v>
      </c>
      <c r="V14" s="936">
        <v>130</v>
      </c>
      <c r="W14" s="936">
        <v>100</v>
      </c>
      <c r="X14" s="936">
        <v>70</v>
      </c>
      <c r="Y14" s="936">
        <v>60</v>
      </c>
      <c r="Z14" s="936">
        <v>35</v>
      </c>
      <c r="AA14" s="936">
        <v>15</v>
      </c>
      <c r="AB14" s="936">
        <v>0</v>
      </c>
      <c r="AC14" s="936">
        <v>0</v>
      </c>
      <c r="AD14" s="936">
        <v>0</v>
      </c>
    </row>
    <row r="15" spans="1:32">
      <c r="B15" s="685" t="s">
        <v>48</v>
      </c>
      <c r="Q15" s="795">
        <f t="shared" si="4"/>
        <v>84.156000000000006</v>
      </c>
      <c r="R15" s="795">
        <f t="shared" si="4"/>
        <v>67.600000000000023</v>
      </c>
      <c r="S15" s="795">
        <f t="shared" si="4"/>
        <v>26.165999999999997</v>
      </c>
      <c r="T15" s="795">
        <f t="shared" si="5"/>
        <v>318.887</v>
      </c>
      <c r="U15" s="795">
        <f t="shared" ref="U15" si="6">U8-T8</f>
        <v>380.14</v>
      </c>
      <c r="V15" s="795">
        <f t="shared" ref="V15" si="7">V8-U8</f>
        <v>350</v>
      </c>
      <c r="W15" s="795">
        <f t="shared" ref="W15" si="8">W8-V8</f>
        <v>325</v>
      </c>
      <c r="X15" s="795">
        <f t="shared" ref="X15" si="9">X8-W8</f>
        <v>300</v>
      </c>
      <c r="Y15" s="795">
        <f t="shared" ref="Y15" si="10">Y8-X8</f>
        <v>300</v>
      </c>
      <c r="Z15" s="795">
        <f t="shared" ref="Z15" si="11">Z8-Y8</f>
        <v>300</v>
      </c>
      <c r="AA15" s="795">
        <f t="shared" ref="AA15" si="12">AA8-Z8</f>
        <v>300</v>
      </c>
      <c r="AB15" s="795">
        <f t="shared" ref="AB15" si="13">AB8-AA8</f>
        <v>300</v>
      </c>
      <c r="AC15" s="795">
        <f t="shared" ref="AC15" si="14">AC8-AB8</f>
        <v>300</v>
      </c>
      <c r="AD15" s="795">
        <f t="shared" ref="AD15" si="15">AD8-AC8</f>
        <v>300</v>
      </c>
    </row>
    <row r="16" spans="1:32">
      <c r="B16" s="1680" t="s">
        <v>85</v>
      </c>
      <c r="C16" s="1395"/>
      <c r="D16" s="1395"/>
      <c r="E16" s="1395"/>
      <c r="F16" s="1395"/>
      <c r="G16" s="1395"/>
      <c r="H16" s="1395"/>
      <c r="I16" s="1395"/>
      <c r="J16" s="1395"/>
      <c r="K16" s="1395"/>
      <c r="L16" s="1395"/>
      <c r="M16" s="1395"/>
      <c r="N16" s="1395"/>
      <c r="O16" s="1395"/>
      <c r="P16" s="1395"/>
      <c r="Q16" s="1396">
        <f t="shared" si="4"/>
        <v>1327.4239999999991</v>
      </c>
      <c r="R16" s="1396">
        <f t="shared" si="4"/>
        <v>-519.42499999999927</v>
      </c>
      <c r="S16" s="1396">
        <f t="shared" si="4"/>
        <v>-207.23100000000159</v>
      </c>
      <c r="T16" s="1396">
        <f t="shared" si="5"/>
        <v>335.21900000000096</v>
      </c>
      <c r="U16" s="1396">
        <f t="shared" si="5"/>
        <v>500.13999999999942</v>
      </c>
      <c r="V16" s="1396">
        <f t="shared" si="5"/>
        <v>404.99999999999818</v>
      </c>
      <c r="W16" s="1396">
        <f t="shared" si="5"/>
        <v>340</v>
      </c>
      <c r="X16" s="1396">
        <f t="shared" si="5"/>
        <v>280</v>
      </c>
      <c r="Y16" s="1396">
        <f t="shared" si="5"/>
        <v>265</v>
      </c>
      <c r="Z16" s="1396">
        <f t="shared" si="5"/>
        <v>220</v>
      </c>
      <c r="AA16" s="1396">
        <f t="shared" si="5"/>
        <v>180</v>
      </c>
      <c r="AB16" s="1396">
        <f t="shared" si="5"/>
        <v>150</v>
      </c>
      <c r="AC16" s="1396">
        <f t="shared" si="5"/>
        <v>150</v>
      </c>
      <c r="AD16" s="1396">
        <f t="shared" si="5"/>
        <v>150</v>
      </c>
    </row>
    <row r="17" spans="2:33">
      <c r="Q17" s="795"/>
      <c r="R17" s="795"/>
      <c r="S17" s="795"/>
      <c r="T17" s="795"/>
    </row>
    <row r="18" spans="2:33">
      <c r="B18" s="685" t="s">
        <v>836</v>
      </c>
      <c r="P18" s="795">
        <f t="shared" ref="P18:S18" si="16">P9</f>
        <v>14588.878000000001</v>
      </c>
      <c r="Q18" s="795">
        <f t="shared" si="16"/>
        <v>15916.302</v>
      </c>
      <c r="R18" s="795">
        <f t="shared" si="16"/>
        <v>15396.877</v>
      </c>
      <c r="S18" s="795">
        <f t="shared" si="16"/>
        <v>15189.645999999999</v>
      </c>
      <c r="T18" s="795">
        <f>T9</f>
        <v>15524.865</v>
      </c>
      <c r="U18" s="795">
        <f t="shared" ref="U18:AD18" si="17">U9</f>
        <v>16025.004999999999</v>
      </c>
      <c r="V18" s="795">
        <f t="shared" si="17"/>
        <v>16430.004999999997</v>
      </c>
      <c r="W18" s="795">
        <f t="shared" si="17"/>
        <v>16770.004999999997</v>
      </c>
      <c r="X18" s="795">
        <f t="shared" si="17"/>
        <v>17050.004999999997</v>
      </c>
      <c r="Y18" s="795">
        <f t="shared" si="17"/>
        <v>17315.004999999997</v>
      </c>
      <c r="Z18" s="795">
        <f t="shared" si="17"/>
        <v>17535.004999999997</v>
      </c>
      <c r="AA18" s="795">
        <f t="shared" si="17"/>
        <v>17715.004999999997</v>
      </c>
      <c r="AB18" s="795">
        <f t="shared" si="17"/>
        <v>17865.004999999997</v>
      </c>
      <c r="AC18" s="795">
        <f t="shared" si="17"/>
        <v>18015.004999999997</v>
      </c>
      <c r="AD18" s="795">
        <f t="shared" si="17"/>
        <v>18165.004999999997</v>
      </c>
    </row>
    <row r="19" spans="2:33">
      <c r="B19" s="685" t="s">
        <v>428</v>
      </c>
      <c r="Q19" s="795">
        <f t="shared" ref="Q19:S19" si="18">AVERAGE(P18,Q18)</f>
        <v>15252.59</v>
      </c>
      <c r="R19" s="795">
        <f t="shared" si="18"/>
        <v>15656.5895</v>
      </c>
      <c r="S19" s="795">
        <f t="shared" si="18"/>
        <v>15293.261500000001</v>
      </c>
      <c r="T19" s="795">
        <f>AVERAGE(S18,T18)</f>
        <v>15357.255499999999</v>
      </c>
      <c r="U19" s="795">
        <f t="shared" ref="U19:AD19" si="19">AVERAGE(T18,U18)</f>
        <v>15774.934999999999</v>
      </c>
      <c r="V19" s="795">
        <f t="shared" si="19"/>
        <v>16227.504999999997</v>
      </c>
      <c r="W19" s="795">
        <f t="shared" si="19"/>
        <v>16600.004999999997</v>
      </c>
      <c r="X19" s="795">
        <f t="shared" si="19"/>
        <v>16910.004999999997</v>
      </c>
      <c r="Y19" s="795">
        <f t="shared" si="19"/>
        <v>17182.504999999997</v>
      </c>
      <c r="Z19" s="795">
        <f t="shared" si="19"/>
        <v>17425.004999999997</v>
      </c>
      <c r="AA19" s="795">
        <f t="shared" si="19"/>
        <v>17625.004999999997</v>
      </c>
      <c r="AB19" s="795">
        <f t="shared" si="19"/>
        <v>17790.004999999997</v>
      </c>
      <c r="AC19" s="795">
        <f t="shared" si="19"/>
        <v>17940.004999999997</v>
      </c>
      <c r="AD19" s="795">
        <f t="shared" si="19"/>
        <v>18090.004999999997</v>
      </c>
    </row>
    <row r="21" spans="2:33">
      <c r="AG21" s="795"/>
    </row>
    <row r="22" spans="2:33">
      <c r="AG22" s="795"/>
    </row>
    <row r="23" spans="2:33">
      <c r="AG23" s="795"/>
    </row>
    <row r="24" spans="2:33">
      <c r="AG24" s="795"/>
    </row>
    <row r="25" spans="2:33">
      <c r="B25" s="817" t="s">
        <v>6903</v>
      </c>
      <c r="C25" s="817"/>
      <c r="D25" s="817"/>
      <c r="E25" s="817"/>
      <c r="F25" s="817"/>
      <c r="G25" s="817"/>
      <c r="H25" s="817"/>
      <c r="I25" s="817"/>
      <c r="J25" s="817"/>
      <c r="K25" s="817"/>
      <c r="L25" s="817"/>
      <c r="M25" s="817"/>
      <c r="N25" s="817"/>
      <c r="O25" s="817"/>
      <c r="P25" s="817"/>
      <c r="Q25" s="817"/>
      <c r="R25" s="817"/>
      <c r="S25" s="2035">
        <v>42960.4</v>
      </c>
      <c r="T25" s="2035">
        <v>42181.599999999999</v>
      </c>
      <c r="U25" s="818">
        <f>T25*(1+U26)</f>
        <v>42645.597599999994</v>
      </c>
      <c r="V25" s="818">
        <f t="shared" ref="V25:AD25" si="20">U25*(1+V26)</f>
        <v>43285.28156399999</v>
      </c>
      <c r="W25" s="818">
        <f t="shared" si="20"/>
        <v>44150.987195279988</v>
      </c>
      <c r="X25" s="818">
        <f t="shared" si="20"/>
        <v>45034.006939185587</v>
      </c>
      <c r="Y25" s="818">
        <f t="shared" si="20"/>
        <v>45934.687077969298</v>
      </c>
      <c r="Z25" s="818">
        <f t="shared" si="20"/>
        <v>46623.707384138834</v>
      </c>
      <c r="AA25" s="818">
        <f t="shared" si="20"/>
        <v>47089.944457980222</v>
      </c>
      <c r="AB25" s="818">
        <f t="shared" si="20"/>
        <v>47443.119041415077</v>
      </c>
      <c r="AC25" s="818">
        <f t="shared" si="20"/>
        <v>47680.334636622145</v>
      </c>
      <c r="AD25" s="818">
        <f t="shared" si="20"/>
        <v>47918.736309805252</v>
      </c>
      <c r="AG25" s="795"/>
    </row>
    <row r="26" spans="2:33">
      <c r="B26" s="817" t="s">
        <v>8081</v>
      </c>
      <c r="C26" s="817"/>
      <c r="D26" s="817"/>
      <c r="E26" s="817"/>
      <c r="F26" s="817"/>
      <c r="G26" s="817"/>
      <c r="H26" s="817"/>
      <c r="I26" s="817"/>
      <c r="J26" s="817"/>
      <c r="K26" s="817"/>
      <c r="L26" s="817"/>
      <c r="M26" s="817"/>
      <c r="N26" s="817"/>
      <c r="O26" s="817"/>
      <c r="P26" s="817"/>
      <c r="Q26" s="817"/>
      <c r="R26" s="817"/>
      <c r="S26" s="817"/>
      <c r="T26" s="1904">
        <f>T25/S25-1</f>
        <v>-1.8128322827534293E-2</v>
      </c>
      <c r="U26" s="2036">
        <v>1.0999999999999999E-2</v>
      </c>
      <c r="V26" s="2036">
        <v>1.4999999999999999E-2</v>
      </c>
      <c r="W26" s="2036">
        <v>0.02</v>
      </c>
      <c r="X26" s="2036">
        <v>0.02</v>
      </c>
      <c r="Y26" s="2036">
        <v>0.02</v>
      </c>
      <c r="Z26" s="2036">
        <v>1.4999999999999999E-2</v>
      </c>
      <c r="AA26" s="2036">
        <v>0.01</v>
      </c>
      <c r="AB26" s="2036">
        <v>7.4999999999999997E-3</v>
      </c>
      <c r="AC26" s="2036">
        <v>5.0000000000000001E-3</v>
      </c>
      <c r="AD26" s="2036">
        <v>5.0000000000000001E-3</v>
      </c>
      <c r="AG26" s="795"/>
    </row>
    <row r="27" spans="2:33">
      <c r="AG27" s="795"/>
    </row>
    <row r="28" spans="2:33">
      <c r="B28" s="685" t="s">
        <v>8103</v>
      </c>
      <c r="S28" s="796">
        <f>S25/S19*1000/12</f>
        <v>234.09220677573148</v>
      </c>
      <c r="T28" s="796">
        <f>T25/T19*1000/12</f>
        <v>228.89072421392828</v>
      </c>
      <c r="U28" s="796">
        <f t="shared" ref="U28:AD28" si="21">U25/U19*1000/12</f>
        <v>225.28142271267677</v>
      </c>
      <c r="V28" s="796">
        <f t="shared" si="21"/>
        <v>222.28351166738199</v>
      </c>
      <c r="W28" s="796">
        <f t="shared" si="21"/>
        <v>221.6414352248689</v>
      </c>
      <c r="X28" s="796">
        <f t="shared" si="21"/>
        <v>221.92979313718709</v>
      </c>
      <c r="Y28" s="796">
        <f t="shared" si="21"/>
        <v>222.77837776452125</v>
      </c>
      <c r="Z28" s="796">
        <f t="shared" si="21"/>
        <v>222.97318988879695</v>
      </c>
      <c r="AA28" s="796">
        <f t="shared" si="21"/>
        <v>222.64742836470225</v>
      </c>
      <c r="AB28" s="796">
        <f t="shared" si="21"/>
        <v>222.23677022301322</v>
      </c>
      <c r="AC28" s="796">
        <f t="shared" si="21"/>
        <v>221.48049678461697</v>
      </c>
      <c r="AD28" s="796">
        <f t="shared" si="21"/>
        <v>220.7422289721371</v>
      </c>
      <c r="AG28" s="795"/>
    </row>
    <row r="29" spans="2:33">
      <c r="B29" s="685" t="s">
        <v>8081</v>
      </c>
      <c r="T29" s="750">
        <f>T28/S28-1</f>
        <v>-2.2219802331080563E-2</v>
      </c>
      <c r="U29" s="750">
        <f t="shared" ref="U29:AD29" si="22">U28/T28-1</f>
        <v>-1.5768666526993713E-2</v>
      </c>
      <c r="V29" s="750">
        <f t="shared" si="22"/>
        <v>-1.3307404619502528E-2</v>
      </c>
      <c r="W29" s="750">
        <f t="shared" si="22"/>
        <v>-2.8885473227265868E-3</v>
      </c>
      <c r="X29" s="750">
        <f t="shared" si="22"/>
        <v>1.3010108512681029E-3</v>
      </c>
      <c r="Y29" s="750">
        <f t="shared" si="22"/>
        <v>3.8236624985703571E-3</v>
      </c>
      <c r="Z29" s="750">
        <f t="shared" si="22"/>
        <v>8.7446603315166627E-4</v>
      </c>
      <c r="AA29" s="750">
        <f t="shared" si="22"/>
        <v>-1.4609896564568015E-3</v>
      </c>
      <c r="AB29" s="750">
        <f t="shared" si="22"/>
        <v>-1.8444324495693332E-3</v>
      </c>
      <c r="AC29" s="750">
        <f t="shared" si="22"/>
        <v>-3.4030076914695062E-3</v>
      </c>
      <c r="AD29" s="750">
        <f t="shared" si="22"/>
        <v>-3.3333310300356356E-3</v>
      </c>
      <c r="AG29" s="795"/>
    </row>
    <row r="30" spans="2:33">
      <c r="AG30" s="795"/>
    </row>
    <row r="31" spans="2:33">
      <c r="AG31" s="795"/>
    </row>
    <row r="32" spans="2:33">
      <c r="B32" s="817" t="s">
        <v>8104</v>
      </c>
      <c r="C32" s="817"/>
      <c r="D32" s="817"/>
      <c r="E32" s="817"/>
      <c r="F32" s="817"/>
      <c r="G32" s="817"/>
      <c r="H32" s="817"/>
      <c r="I32" s="817"/>
      <c r="J32" s="817"/>
      <c r="K32" s="817"/>
      <c r="L32" s="817"/>
      <c r="M32" s="817"/>
      <c r="N32" s="817"/>
      <c r="O32" s="817"/>
      <c r="P32" s="817"/>
      <c r="Q32" s="817"/>
      <c r="R32" s="2035">
        <v>4529.6589999999997</v>
      </c>
      <c r="S32" s="2035">
        <v>4265.8</v>
      </c>
      <c r="T32" s="2035">
        <v>4299.6000000000004</v>
      </c>
      <c r="U32" s="818">
        <f>T32*(1+U33)</f>
        <v>4890.7950000000001</v>
      </c>
      <c r="V32" s="818">
        <f t="shared" ref="V32:AD32" si="23">U32*(1+V33)</f>
        <v>4939.7029499999999</v>
      </c>
      <c r="W32" s="818">
        <f t="shared" si="23"/>
        <v>4989.0999794999998</v>
      </c>
      <c r="X32" s="818">
        <f t="shared" si="23"/>
        <v>5038.9909792950002</v>
      </c>
      <c r="Y32" s="818">
        <f t="shared" si="23"/>
        <v>5089.38088908795</v>
      </c>
      <c r="Z32" s="818">
        <f t="shared" si="23"/>
        <v>5140.2746979788299</v>
      </c>
      <c r="AA32" s="818">
        <f t="shared" si="23"/>
        <v>5191.6774449586183</v>
      </c>
      <c r="AB32" s="818">
        <f t="shared" si="23"/>
        <v>5243.5942194082045</v>
      </c>
      <c r="AC32" s="818">
        <f t="shared" si="23"/>
        <v>5296.0301616022862</v>
      </c>
      <c r="AD32" s="818">
        <f t="shared" si="23"/>
        <v>5348.9904632183088</v>
      </c>
      <c r="AG32" s="795"/>
    </row>
    <row r="33" spans="2:30">
      <c r="B33" s="817" t="s">
        <v>8081</v>
      </c>
      <c r="C33" s="817"/>
      <c r="D33" s="817"/>
      <c r="E33" s="817"/>
      <c r="F33" s="817"/>
      <c r="G33" s="817"/>
      <c r="H33" s="817"/>
      <c r="I33" s="817"/>
      <c r="J33" s="817"/>
      <c r="K33" s="817"/>
      <c r="L33" s="817"/>
      <c r="M33" s="817"/>
      <c r="N33" s="817"/>
      <c r="O33" s="817"/>
      <c r="P33" s="817"/>
      <c r="Q33" s="817"/>
      <c r="R33" s="817"/>
      <c r="S33" s="1904">
        <f>S32/R32-1</f>
        <v>-5.8251404796696549E-2</v>
      </c>
      <c r="T33" s="1904">
        <f>T32/S32-1</f>
        <v>7.9234844577804608E-3</v>
      </c>
      <c r="U33" s="2036">
        <v>0.13750000000000001</v>
      </c>
      <c r="V33" s="2036">
        <v>0.01</v>
      </c>
      <c r="W33" s="2036">
        <v>0.01</v>
      </c>
      <c r="X33" s="2036">
        <v>0.01</v>
      </c>
      <c r="Y33" s="2036">
        <v>0.01</v>
      </c>
      <c r="Z33" s="2036">
        <v>0.01</v>
      </c>
      <c r="AA33" s="2036">
        <v>0.01</v>
      </c>
      <c r="AB33" s="2036">
        <v>0.01</v>
      </c>
      <c r="AC33" s="2036">
        <v>0.01</v>
      </c>
      <c r="AD33" s="2036">
        <v>0.01</v>
      </c>
    </row>
    <row r="36" spans="2:30">
      <c r="B36" s="685" t="s">
        <v>8105</v>
      </c>
      <c r="S36" s="795">
        <f t="shared" ref="S36:AD36" si="24">S25+S32</f>
        <v>47226.200000000004</v>
      </c>
      <c r="T36" s="795">
        <f t="shared" si="24"/>
        <v>46481.2</v>
      </c>
      <c r="U36" s="795">
        <f t="shared" si="24"/>
        <v>47536.392599999992</v>
      </c>
      <c r="V36" s="795">
        <f t="shared" si="24"/>
        <v>48224.984513999989</v>
      </c>
      <c r="W36" s="795">
        <f t="shared" si="24"/>
        <v>49140.08717477999</v>
      </c>
      <c r="X36" s="795">
        <f t="shared" si="24"/>
        <v>50072.997918480585</v>
      </c>
      <c r="Y36" s="795">
        <f t="shared" si="24"/>
        <v>51024.06796705725</v>
      </c>
      <c r="Z36" s="795">
        <f t="shared" si="24"/>
        <v>51763.982082117662</v>
      </c>
      <c r="AA36" s="795">
        <f t="shared" si="24"/>
        <v>52281.621902938838</v>
      </c>
      <c r="AB36" s="795">
        <f t="shared" si="24"/>
        <v>52686.713260823279</v>
      </c>
      <c r="AC36" s="795">
        <f t="shared" si="24"/>
        <v>52976.364798224429</v>
      </c>
      <c r="AD36" s="795">
        <f t="shared" si="24"/>
        <v>53267.726773023562</v>
      </c>
    </row>
    <row r="37" spans="2:30">
      <c r="B37" s="685" t="s">
        <v>8081</v>
      </c>
      <c r="T37" s="750">
        <f>T36/S36-1</f>
        <v>-1.577514176452921E-2</v>
      </c>
      <c r="U37" s="750">
        <f>U36/T36-1</f>
        <v>2.2701492216207653E-2</v>
      </c>
      <c r="V37" s="750">
        <f t="shared" ref="V37:AD37" si="25">V36/U36-1</f>
        <v>1.4485573606609625E-2</v>
      </c>
      <c r="W37" s="750">
        <f t="shared" si="25"/>
        <v>1.8975696311822388E-2</v>
      </c>
      <c r="X37" s="750">
        <f t="shared" si="25"/>
        <v>1.8984718940006085E-2</v>
      </c>
      <c r="Y37" s="750">
        <f t="shared" si="25"/>
        <v>1.8993671002583312E-2</v>
      </c>
      <c r="Z37" s="750">
        <f t="shared" si="25"/>
        <v>1.4501276447383971E-2</v>
      </c>
      <c r="AA37" s="750">
        <f t="shared" si="25"/>
        <v>1.0000000000000009E-2</v>
      </c>
      <c r="AB37" s="750">
        <f t="shared" si="25"/>
        <v>7.7482553742593829E-3</v>
      </c>
      <c r="AC37" s="750">
        <f t="shared" si="25"/>
        <v>5.4976201678635928E-3</v>
      </c>
      <c r="AD37" s="750">
        <f t="shared" si="25"/>
        <v>5.4998483929364905E-3</v>
      </c>
    </row>
    <row r="40" spans="2:30">
      <c r="B40" s="685" t="s">
        <v>34</v>
      </c>
      <c r="O40" s="795">
        <f>Master!S56</f>
        <v>18898.3</v>
      </c>
      <c r="P40" s="795">
        <f>Master!T56</f>
        <v>20285</v>
      </c>
      <c r="Q40" s="795">
        <f>Master!U56</f>
        <v>19902.8</v>
      </c>
      <c r="R40" s="795">
        <f>Master!V56</f>
        <v>18727.5</v>
      </c>
      <c r="S40" s="795">
        <f>Master!W56</f>
        <v>18485.599999999999</v>
      </c>
      <c r="T40" s="795">
        <f>Master!X56</f>
        <v>19240.815000000002</v>
      </c>
      <c r="U40" s="795">
        <f>Master!Y56</f>
        <v>20254.536453000001</v>
      </c>
      <c r="V40" s="795">
        <f>Master!Z56</f>
        <v>20650.485630767995</v>
      </c>
      <c r="W40" s="795">
        <f>Master!AA56</f>
        <v>21089.870465907596</v>
      </c>
      <c r="X40" s="795">
        <f>Master!AB56</f>
        <v>21556.655914104249</v>
      </c>
      <c r="Y40" s="795">
        <f>Master!AC56</f>
        <v>22122.266213009621</v>
      </c>
      <c r="Z40" s="795">
        <f>Master!AD56</f>
        <v>22701.895258164182</v>
      </c>
      <c r="AA40" s="795">
        <f>Master!AE56</f>
        <v>23191.860345697543</v>
      </c>
      <c r="AB40" s="795">
        <f>Master!AF56</f>
        <v>23637.871341203223</v>
      </c>
      <c r="AC40" s="795">
        <f>Master!AG56</f>
        <v>23839.364159200995</v>
      </c>
      <c r="AD40" s="795">
        <f>Master!AH56</f>
        <v>24103.646364793163</v>
      </c>
    </row>
    <row r="41" spans="2:30">
      <c r="B41" s="685" t="s">
        <v>8081</v>
      </c>
      <c r="P41" s="750">
        <f t="shared" ref="P41:S41" si="26">P40/O40-1</f>
        <v>7.3376970415328424E-2</v>
      </c>
      <c r="Q41" s="750">
        <f t="shared" si="26"/>
        <v>-1.8841508503820603E-2</v>
      </c>
      <c r="R41" s="750">
        <f t="shared" si="26"/>
        <v>-5.9051992684446386E-2</v>
      </c>
      <c r="S41" s="750">
        <f t="shared" si="26"/>
        <v>-1.2916833533573646E-2</v>
      </c>
      <c r="T41" s="750">
        <f>T40/S40-1</f>
        <v>4.0854232483663155E-2</v>
      </c>
      <c r="U41" s="750">
        <f>U40/T40-1</f>
        <v>5.2685993446743185E-2</v>
      </c>
      <c r="V41" s="750">
        <f t="shared" ref="V41" si="27">V40/U40-1</f>
        <v>1.9548666477101628E-2</v>
      </c>
      <c r="W41" s="750">
        <f t="shared" ref="W41" si="28">W40/V40-1</f>
        <v>2.1277215606249067E-2</v>
      </c>
      <c r="X41" s="750">
        <f t="shared" ref="X41" si="29">X40/W40-1</f>
        <v>2.2133158615233128E-2</v>
      </c>
      <c r="Y41" s="750">
        <f t="shared" ref="Y41" si="30">Y40/X40-1</f>
        <v>2.6238313640071675E-2</v>
      </c>
      <c r="Z41" s="750">
        <f t="shared" ref="Z41" si="31">Z40/Y40-1</f>
        <v>2.6201160386257971E-2</v>
      </c>
      <c r="AA41" s="750">
        <f t="shared" ref="AA41" si="32">AA40/Z40-1</f>
        <v>2.1582563127946708E-2</v>
      </c>
      <c r="AB41" s="750">
        <f t="shared" ref="AB41" si="33">AB40/AA40-1</f>
        <v>1.9231359143141002E-2</v>
      </c>
      <c r="AC41" s="750">
        <f t="shared" ref="AC41" si="34">AC40/AB40-1</f>
        <v>8.5241524115815537E-3</v>
      </c>
      <c r="AD41" s="750">
        <f t="shared" ref="AD41" si="35">AD40/AC40-1</f>
        <v>1.1085958661786188E-2</v>
      </c>
    </row>
    <row r="42" spans="2:30">
      <c r="B42" s="685" t="s">
        <v>2852</v>
      </c>
      <c r="O42" s="750"/>
      <c r="P42" s="750"/>
      <c r="Q42" s="750"/>
      <c r="R42" s="750"/>
      <c r="S42" s="750">
        <f t="shared" ref="S42" si="36">S40/S36</f>
        <v>0.39142679275486908</v>
      </c>
      <c r="T42" s="750">
        <f>T40/T36</f>
        <v>0.41394832749584787</v>
      </c>
      <c r="U42" s="750">
        <f t="shared" ref="U42:AD42" si="37">U40/U36</f>
        <v>0.4260848445828429</v>
      </c>
      <c r="V42" s="750">
        <f t="shared" si="37"/>
        <v>0.42821134809847455</v>
      </c>
      <c r="W42" s="750">
        <f t="shared" si="37"/>
        <v>0.42917853179412924</v>
      </c>
      <c r="X42" s="750">
        <f t="shared" si="37"/>
        <v>0.43050459948890479</v>
      </c>
      <c r="Y42" s="750">
        <f t="shared" si="37"/>
        <v>0.43356531720074643</v>
      </c>
      <c r="Z42" s="750">
        <f t="shared" si="37"/>
        <v>0.43856547245824734</v>
      </c>
      <c r="AA42" s="750">
        <f t="shared" si="37"/>
        <v>0.44359489054783685</v>
      </c>
      <c r="AB42" s="750">
        <f t="shared" si="37"/>
        <v>0.44864957174658004</v>
      </c>
      <c r="AC42" s="750">
        <f t="shared" si="37"/>
        <v>0.45000000000000007</v>
      </c>
      <c r="AD42" s="750">
        <f t="shared" si="37"/>
        <v>0.45250000000000001</v>
      </c>
    </row>
    <row r="45" spans="2:30">
      <c r="B45" s="685" t="s">
        <v>35</v>
      </c>
      <c r="O45" s="795">
        <f>Master!S84</f>
        <v>14230.5</v>
      </c>
      <c r="P45" s="795">
        <f>Master!T84</f>
        <v>17333.977760915466</v>
      </c>
      <c r="Q45" s="795">
        <f>Master!U84</f>
        <v>12989.048999999999</v>
      </c>
      <c r="R45" s="795">
        <f>Master!V84</f>
        <v>11204.1</v>
      </c>
      <c r="S45" s="795">
        <f>Master!W84</f>
        <v>7305.36</v>
      </c>
      <c r="T45" s="795">
        <f>Master!X84</f>
        <v>10355.962701017601</v>
      </c>
      <c r="U45" s="795">
        <f>Master!Y84</f>
        <v>12845.11698726951</v>
      </c>
      <c r="V45" s="795">
        <f>Master!Z84</f>
        <v>10108.425969721895</v>
      </c>
      <c r="W45" s="795">
        <f>Master!AA84</f>
        <v>9669.4440965204867</v>
      </c>
      <c r="X45" s="795">
        <f>Master!AB84</f>
        <v>9576.3305889640542</v>
      </c>
      <c r="Y45" s="795">
        <f>Master!AC84</f>
        <v>9507.5208259070387</v>
      </c>
      <c r="Z45" s="795">
        <f>Master!AD84</f>
        <v>9421.1514820881803</v>
      </c>
      <c r="AA45" s="795">
        <f>Master!AE84</f>
        <v>9399.8470341644606</v>
      </c>
      <c r="AB45" s="795">
        <f>Master!AF84</f>
        <v>9337.2402774569673</v>
      </c>
      <c r="AC45" s="795">
        <f>Master!AG84</f>
        <v>9343.5956636803967</v>
      </c>
      <c r="AD45" s="795">
        <f>Master!AH84</f>
        <v>9396.0408191442402</v>
      </c>
    </row>
    <row r="46" spans="2:30">
      <c r="B46" s="685" t="s">
        <v>8081</v>
      </c>
      <c r="P46" s="750">
        <f t="shared" ref="P46" si="38">P45/O45-1</f>
        <v>0.21808634699521923</v>
      </c>
      <c r="Q46" s="750">
        <f t="shared" ref="Q46" si="39">Q45/P45-1</f>
        <v>-0.25065964782257788</v>
      </c>
      <c r="R46" s="750">
        <f t="shared" ref="R46" si="40">R45/Q45-1</f>
        <v>-0.13741952932812851</v>
      </c>
      <c r="S46" s="750">
        <f t="shared" ref="S46" si="41">S45/R45-1</f>
        <v>-0.347974402227756</v>
      </c>
      <c r="T46" s="750">
        <f>T45/S45-1</f>
        <v>0.4175841712136843</v>
      </c>
      <c r="U46" s="750">
        <f>U45/T45-1</f>
        <v>0.24035952601560839</v>
      </c>
      <c r="V46" s="750">
        <f t="shared" ref="V46" si="42">V45/U45-1</f>
        <v>-0.21305302398256742</v>
      </c>
      <c r="W46" s="750">
        <f t="shared" ref="W46" si="43">W45/V45-1</f>
        <v>-4.3427322366143328E-2</v>
      </c>
      <c r="X46" s="750">
        <f t="shared" ref="X46" si="44">X45/W45-1</f>
        <v>-9.6296650176548315E-3</v>
      </c>
      <c r="Y46" s="750">
        <f t="shared" ref="Y46" si="45">Y45/X45-1</f>
        <v>-7.1853997121102964E-3</v>
      </c>
      <c r="Z46" s="750">
        <f t="shared" ref="Z46" si="46">Z45/Y45-1</f>
        <v>-9.0843181309170351E-3</v>
      </c>
      <c r="AA46" s="750">
        <f t="shared" ref="AA46" si="47">AA45/Z45-1</f>
        <v>-2.2613422535688876E-3</v>
      </c>
      <c r="AB46" s="750">
        <f t="shared" ref="AB46" si="48">AB45/AA45-1</f>
        <v>-6.6604016512123998E-3</v>
      </c>
      <c r="AC46" s="750">
        <f t="shared" ref="AC46" si="49">AC45/AB45-1</f>
        <v>6.8064931763323067E-4</v>
      </c>
      <c r="AD46" s="750">
        <f t="shared" ref="AD46" si="50">AD45/AC45-1</f>
        <v>5.6129521601306909E-3</v>
      </c>
    </row>
    <row r="47" spans="2:30">
      <c r="B47" s="685" t="s">
        <v>1039</v>
      </c>
      <c r="O47" s="750"/>
      <c r="P47" s="750"/>
      <c r="Q47" s="750"/>
      <c r="R47" s="750"/>
      <c r="S47" s="750">
        <f t="shared" ref="S47:AD47" si="51">S45/S36</f>
        <v>0.15468871092740891</v>
      </c>
      <c r="T47" s="750">
        <f t="shared" si="51"/>
        <v>0.22279895314702722</v>
      </c>
      <c r="U47" s="750">
        <f t="shared" si="51"/>
        <v>0.27021648645819862</v>
      </c>
      <c r="V47" s="750">
        <f t="shared" si="51"/>
        <v>0.20960972971981692</v>
      </c>
      <c r="W47" s="750">
        <f t="shared" si="51"/>
        <v>0.19677303506053007</v>
      </c>
      <c r="X47" s="750">
        <f t="shared" si="51"/>
        <v>0.19124739853911743</v>
      </c>
      <c r="Y47" s="750">
        <f t="shared" si="51"/>
        <v>0.18633404204551848</v>
      </c>
      <c r="Z47" s="750">
        <f t="shared" si="51"/>
        <v>0.18200206211227329</v>
      </c>
      <c r="AA47" s="750">
        <f t="shared" si="51"/>
        <v>0.17979256748414071</v>
      </c>
      <c r="AB47" s="750">
        <f t="shared" si="51"/>
        <v>0.17722191610688193</v>
      </c>
      <c r="AC47" s="750">
        <f t="shared" si="51"/>
        <v>0.17637291081160705</v>
      </c>
      <c r="AD47" s="750">
        <f t="shared" si="51"/>
        <v>0.17639275013895822</v>
      </c>
    </row>
    <row r="53" spans="2:30">
      <c r="B53" s="804" t="s">
        <v>465</v>
      </c>
      <c r="C53" s="743"/>
      <c r="D53" s="743">
        <f t="shared" ref="D53:Y53" si="52">D107</f>
        <v>2009</v>
      </c>
      <c r="E53" s="743">
        <f t="shared" si="52"/>
        <v>2010</v>
      </c>
      <c r="F53" s="743">
        <f t="shared" si="52"/>
        <v>2011</v>
      </c>
      <c r="G53" s="743">
        <f t="shared" si="52"/>
        <v>2012</v>
      </c>
      <c r="H53" s="743">
        <f t="shared" si="52"/>
        <v>2013</v>
      </c>
      <c r="I53" s="743">
        <f t="shared" si="52"/>
        <v>2014</v>
      </c>
      <c r="J53" s="743">
        <f t="shared" si="52"/>
        <v>2015</v>
      </c>
      <c r="K53" s="743">
        <f t="shared" si="52"/>
        <v>2016</v>
      </c>
      <c r="L53" s="743">
        <f t="shared" si="52"/>
        <v>2017</v>
      </c>
      <c r="M53" s="743">
        <f t="shared" si="52"/>
        <v>2018</v>
      </c>
      <c r="N53" s="743">
        <f t="shared" si="52"/>
        <v>2019</v>
      </c>
      <c r="O53" s="743">
        <f t="shared" si="52"/>
        <v>2020</v>
      </c>
      <c r="P53" s="743">
        <f t="shared" si="52"/>
        <v>2021</v>
      </c>
      <c r="Q53" s="743">
        <f t="shared" si="52"/>
        <v>2022</v>
      </c>
      <c r="R53" s="743">
        <f t="shared" si="52"/>
        <v>2023</v>
      </c>
      <c r="S53" s="743">
        <f t="shared" si="52"/>
        <v>2024</v>
      </c>
      <c r="T53" s="743">
        <f t="shared" si="52"/>
        <v>2025</v>
      </c>
      <c r="U53" s="743">
        <f t="shared" si="52"/>
        <v>2026</v>
      </c>
      <c r="V53" s="743">
        <f t="shared" si="52"/>
        <v>2027</v>
      </c>
      <c r="W53" s="743">
        <f t="shared" si="52"/>
        <v>2028</v>
      </c>
      <c r="X53" s="743">
        <f t="shared" si="52"/>
        <v>2029</v>
      </c>
      <c r="Y53" s="743">
        <f t="shared" si="52"/>
        <v>2030</v>
      </c>
      <c r="Z53" s="743">
        <f>Z107</f>
        <v>2031</v>
      </c>
      <c r="AA53" s="743">
        <f>AA107</f>
        <v>2032</v>
      </c>
      <c r="AB53" s="743">
        <f>AB107</f>
        <v>2033</v>
      </c>
      <c r="AC53" s="743">
        <f>AC107</f>
        <v>2034</v>
      </c>
      <c r="AD53" s="743">
        <f>AD107</f>
        <v>2035</v>
      </c>
    </row>
    <row r="54" spans="2:30">
      <c r="B54" s="685" t="s">
        <v>466</v>
      </c>
      <c r="O54" s="910">
        <v>9000</v>
      </c>
      <c r="P54" s="910">
        <v>10000</v>
      </c>
      <c r="Q54" s="834">
        <v>11500</v>
      </c>
      <c r="R54" s="834">
        <v>13000</v>
      </c>
      <c r="S54" s="795">
        <f t="shared" ref="S54:AD54" si="53">R54+S61</f>
        <v>14500</v>
      </c>
      <c r="T54" s="795">
        <f t="shared" si="53"/>
        <v>16000</v>
      </c>
      <c r="U54" s="795">
        <f t="shared" si="53"/>
        <v>17000</v>
      </c>
      <c r="V54" s="795">
        <f t="shared" si="53"/>
        <v>17500</v>
      </c>
      <c r="W54" s="795">
        <f t="shared" si="53"/>
        <v>18000</v>
      </c>
      <c r="X54" s="795">
        <f t="shared" si="53"/>
        <v>18500</v>
      </c>
      <c r="Y54" s="795">
        <f t="shared" si="53"/>
        <v>19000</v>
      </c>
      <c r="Z54" s="795">
        <f t="shared" si="53"/>
        <v>19500</v>
      </c>
      <c r="AA54" s="795">
        <f t="shared" si="53"/>
        <v>20000</v>
      </c>
      <c r="AB54" s="795">
        <f t="shared" si="53"/>
        <v>20500</v>
      </c>
      <c r="AC54" s="795">
        <f t="shared" si="53"/>
        <v>21000</v>
      </c>
      <c r="AD54" s="795">
        <f t="shared" si="53"/>
        <v>21500</v>
      </c>
    </row>
    <row r="55" spans="2:30">
      <c r="B55" s="685" t="s">
        <v>467</v>
      </c>
      <c r="O55" s="910">
        <v>15800</v>
      </c>
      <c r="P55" s="910">
        <v>17800</v>
      </c>
      <c r="Q55" s="910">
        <v>18700</v>
      </c>
      <c r="R55" s="910">
        <v>19600</v>
      </c>
      <c r="S55" s="795">
        <f t="shared" ref="S55:AD55" si="54">R55+S62</f>
        <v>20000</v>
      </c>
      <c r="T55" s="795">
        <f t="shared" si="54"/>
        <v>20400</v>
      </c>
      <c r="U55" s="795">
        <f t="shared" si="54"/>
        <v>20800</v>
      </c>
      <c r="V55" s="795">
        <f t="shared" si="54"/>
        <v>21200</v>
      </c>
      <c r="W55" s="795">
        <f t="shared" si="54"/>
        <v>21600</v>
      </c>
      <c r="X55" s="795">
        <f t="shared" si="54"/>
        <v>22000</v>
      </c>
      <c r="Y55" s="795">
        <f t="shared" si="54"/>
        <v>22400</v>
      </c>
      <c r="Z55" s="795">
        <f t="shared" si="54"/>
        <v>22800</v>
      </c>
      <c r="AA55" s="795">
        <f t="shared" si="54"/>
        <v>23200</v>
      </c>
      <c r="AB55" s="795">
        <f t="shared" si="54"/>
        <v>23600</v>
      </c>
      <c r="AC55" s="795">
        <f t="shared" si="54"/>
        <v>24000</v>
      </c>
      <c r="AD55" s="795">
        <f t="shared" si="54"/>
        <v>24400</v>
      </c>
    </row>
    <row r="56" spans="2:30">
      <c r="B56" s="685" t="s">
        <v>468</v>
      </c>
      <c r="O56" s="910">
        <v>8955</v>
      </c>
      <c r="P56" s="910">
        <v>9569</v>
      </c>
      <c r="Q56" s="910">
        <v>11560</v>
      </c>
      <c r="R56" s="910">
        <v>15438</v>
      </c>
      <c r="S56" s="795">
        <f t="shared" ref="S56:X56" si="55">R56+S63</f>
        <v>16938</v>
      </c>
      <c r="T56" s="795">
        <f t="shared" si="55"/>
        <v>17938</v>
      </c>
      <c r="U56" s="795">
        <f t="shared" si="55"/>
        <v>18188</v>
      </c>
      <c r="V56" s="795">
        <f t="shared" si="55"/>
        <v>18438</v>
      </c>
      <c r="W56" s="795">
        <f t="shared" si="55"/>
        <v>18688</v>
      </c>
      <c r="X56" s="795">
        <f t="shared" si="55"/>
        <v>18938</v>
      </c>
      <c r="Y56" s="795">
        <f t="shared" ref="Y56:AD56" si="56">X56+Y63</f>
        <v>19188</v>
      </c>
      <c r="Z56" s="795">
        <f t="shared" si="56"/>
        <v>19438</v>
      </c>
      <c r="AA56" s="795">
        <f t="shared" si="56"/>
        <v>19688</v>
      </c>
      <c r="AB56" s="795">
        <f t="shared" si="56"/>
        <v>19938</v>
      </c>
      <c r="AC56" s="795">
        <f t="shared" si="56"/>
        <v>20188</v>
      </c>
      <c r="AD56" s="795">
        <f t="shared" si="56"/>
        <v>20438</v>
      </c>
    </row>
    <row r="57" spans="2:30">
      <c r="B57" s="743" t="s">
        <v>469</v>
      </c>
      <c r="C57" s="743"/>
      <c r="D57" s="743"/>
      <c r="E57" s="743"/>
      <c r="F57" s="743"/>
      <c r="G57" s="743"/>
      <c r="H57" s="743"/>
      <c r="I57" s="743"/>
      <c r="J57" s="743"/>
      <c r="K57" s="743"/>
      <c r="L57" s="743"/>
      <c r="M57" s="743"/>
      <c r="N57" s="743"/>
      <c r="O57" s="920">
        <v>12300</v>
      </c>
      <c r="P57" s="920">
        <v>14700</v>
      </c>
      <c r="Q57" s="920">
        <v>17332</v>
      </c>
      <c r="R57" s="920">
        <v>17557</v>
      </c>
      <c r="S57" s="833">
        <f t="shared" ref="S57:AD57" si="57">R57+S64</f>
        <v>17664.943499999994</v>
      </c>
      <c r="T57" s="833">
        <f t="shared" si="57"/>
        <v>17791.316999999995</v>
      </c>
      <c r="U57" s="833">
        <f t="shared" si="57"/>
        <v>17852.819199999998</v>
      </c>
      <c r="V57" s="833">
        <f t="shared" si="57"/>
        <v>17923.641100000008</v>
      </c>
      <c r="W57" s="833">
        <f t="shared" si="57"/>
        <v>18003.463000000003</v>
      </c>
      <c r="X57" s="833">
        <f t="shared" si="57"/>
        <v>18132.153999999995</v>
      </c>
      <c r="Y57" s="833">
        <f t="shared" si="57"/>
        <v>18270.845000000001</v>
      </c>
      <c r="Z57" s="833">
        <f t="shared" si="57"/>
        <v>18409.536000000007</v>
      </c>
      <c r="AA57" s="833">
        <f t="shared" si="57"/>
        <v>18548.227000000014</v>
      </c>
      <c r="AB57" s="833">
        <f t="shared" si="57"/>
        <v>18686.91800000002</v>
      </c>
      <c r="AC57" s="833">
        <f t="shared" si="57"/>
        <v>18825.609000000026</v>
      </c>
      <c r="AD57" s="833">
        <f t="shared" si="57"/>
        <v>18964.300000000032</v>
      </c>
    </row>
    <row r="58" spans="2:30">
      <c r="B58" s="685" t="s">
        <v>470</v>
      </c>
      <c r="O58" s="795">
        <f>SUM(O54:O57)</f>
        <v>46055</v>
      </c>
      <c r="P58" s="795">
        <f>SUM(P54:P57)</f>
        <v>52069</v>
      </c>
      <c r="Q58" s="795">
        <f t="shared" ref="Q58:Y58" si="58">SUM(Q54:Q57)</f>
        <v>59092</v>
      </c>
      <c r="R58" s="795">
        <f t="shared" si="58"/>
        <v>65595</v>
      </c>
      <c r="S58" s="795">
        <f t="shared" si="58"/>
        <v>69102.943499999994</v>
      </c>
      <c r="T58" s="795">
        <f t="shared" si="58"/>
        <v>72129.316999999995</v>
      </c>
      <c r="U58" s="795">
        <f t="shared" si="58"/>
        <v>73840.819199999998</v>
      </c>
      <c r="V58" s="795">
        <f t="shared" si="58"/>
        <v>75061.641100000008</v>
      </c>
      <c r="W58" s="795">
        <f t="shared" si="58"/>
        <v>76291.463000000003</v>
      </c>
      <c r="X58" s="795">
        <f t="shared" si="58"/>
        <v>77570.153999999995</v>
      </c>
      <c r="Y58" s="795">
        <f t="shared" si="58"/>
        <v>78858.845000000001</v>
      </c>
      <c r="Z58" s="795">
        <f>SUM(Z54:Z57)</f>
        <v>80147.536000000007</v>
      </c>
      <c r="AA58" s="795">
        <f>SUM(AA54:AA57)</f>
        <v>81436.227000000014</v>
      </c>
      <c r="AB58" s="795">
        <f>SUM(AB54:AB57)</f>
        <v>82724.91800000002</v>
      </c>
      <c r="AC58" s="795">
        <f>SUM(AC54:AC57)</f>
        <v>84013.609000000026</v>
      </c>
      <c r="AD58" s="795">
        <f>SUM(AD54:AD57)</f>
        <v>85302.300000000032</v>
      </c>
    </row>
    <row r="60" spans="2:30">
      <c r="B60" s="817" t="s">
        <v>471</v>
      </c>
    </row>
    <row r="61" spans="2:30">
      <c r="B61" s="685" t="s">
        <v>466</v>
      </c>
      <c r="O61" s="795"/>
      <c r="P61" s="795">
        <f t="shared" ref="P61:R64" si="59">P54-O54</f>
        <v>1000</v>
      </c>
      <c r="Q61" s="795">
        <f t="shared" si="59"/>
        <v>1500</v>
      </c>
      <c r="R61" s="795">
        <f t="shared" si="59"/>
        <v>1500</v>
      </c>
      <c r="S61" s="834">
        <v>1500</v>
      </c>
      <c r="T61" s="834">
        <v>1500</v>
      </c>
      <c r="U61" s="834">
        <v>1000</v>
      </c>
      <c r="V61" s="834">
        <v>500</v>
      </c>
      <c r="W61" s="834">
        <v>500</v>
      </c>
      <c r="X61" s="834">
        <v>500</v>
      </c>
      <c r="Y61" s="834">
        <v>500</v>
      </c>
      <c r="Z61" s="834">
        <v>500</v>
      </c>
      <c r="AA61" s="834">
        <v>500</v>
      </c>
      <c r="AB61" s="834">
        <v>500</v>
      </c>
      <c r="AC61" s="834">
        <v>500</v>
      </c>
      <c r="AD61" s="834">
        <v>500</v>
      </c>
    </row>
    <row r="62" spans="2:30">
      <c r="B62" s="685" t="s">
        <v>467</v>
      </c>
      <c r="O62" s="795"/>
      <c r="P62" s="795">
        <f t="shared" si="59"/>
        <v>2000</v>
      </c>
      <c r="Q62" s="795">
        <f t="shared" si="59"/>
        <v>900</v>
      </c>
      <c r="R62" s="795">
        <f t="shared" si="59"/>
        <v>900</v>
      </c>
      <c r="S62" s="834">
        <v>400</v>
      </c>
      <c r="T62" s="834">
        <v>400</v>
      </c>
      <c r="U62" s="834">
        <v>400</v>
      </c>
      <c r="V62" s="834">
        <v>400</v>
      </c>
      <c r="W62" s="834">
        <v>400</v>
      </c>
      <c r="X62" s="834">
        <v>400</v>
      </c>
      <c r="Y62" s="834">
        <v>400</v>
      </c>
      <c r="Z62" s="834">
        <v>400</v>
      </c>
      <c r="AA62" s="834">
        <v>400</v>
      </c>
      <c r="AB62" s="834">
        <v>400</v>
      </c>
      <c r="AC62" s="834">
        <v>400</v>
      </c>
      <c r="AD62" s="834">
        <v>400</v>
      </c>
    </row>
    <row r="63" spans="2:30">
      <c r="B63" s="685" t="s">
        <v>468</v>
      </c>
      <c r="O63" s="795"/>
      <c r="P63" s="795">
        <f t="shared" si="59"/>
        <v>614</v>
      </c>
      <c r="Q63" s="795">
        <f t="shared" si="59"/>
        <v>1991</v>
      </c>
      <c r="R63" s="795">
        <f t="shared" si="59"/>
        <v>3878</v>
      </c>
      <c r="S63" s="834">
        <v>1500</v>
      </c>
      <c r="T63" s="834">
        <v>1000</v>
      </c>
      <c r="U63" s="834">
        <v>250</v>
      </c>
      <c r="V63" s="834">
        <v>250</v>
      </c>
      <c r="W63" s="834">
        <v>250</v>
      </c>
      <c r="X63" s="834">
        <v>250</v>
      </c>
      <c r="Y63" s="834">
        <v>250</v>
      </c>
      <c r="Z63" s="834">
        <v>250</v>
      </c>
      <c r="AA63" s="834">
        <v>250</v>
      </c>
      <c r="AB63" s="834">
        <v>250</v>
      </c>
      <c r="AC63" s="834">
        <v>250</v>
      </c>
      <c r="AD63" s="834">
        <v>250</v>
      </c>
    </row>
    <row r="64" spans="2:30">
      <c r="B64" s="743" t="s">
        <v>469</v>
      </c>
      <c r="C64" s="743"/>
      <c r="D64" s="743"/>
      <c r="E64" s="743"/>
      <c r="F64" s="743"/>
      <c r="G64" s="743"/>
      <c r="H64" s="743"/>
      <c r="I64" s="743"/>
      <c r="J64" s="743"/>
      <c r="K64" s="743"/>
      <c r="L64" s="743"/>
      <c r="M64" s="743"/>
      <c r="N64" s="743"/>
      <c r="O64" s="833"/>
      <c r="P64" s="833">
        <f t="shared" si="59"/>
        <v>2400</v>
      </c>
      <c r="Q64" s="833">
        <f t="shared" si="59"/>
        <v>2632</v>
      </c>
      <c r="R64" s="833">
        <f t="shared" si="59"/>
        <v>225</v>
      </c>
      <c r="S64" s="951">
        <v>107.94349999999397</v>
      </c>
      <c r="T64" s="951">
        <v>126.37349999999969</v>
      </c>
      <c r="U64" s="951">
        <v>61.502200000003171</v>
      </c>
      <c r="V64" s="951">
        <v>70.821900000009208</v>
      </c>
      <c r="W64" s="951">
        <v>79.821899999995338</v>
      </c>
      <c r="X64" s="951">
        <v>128.69099999999278</v>
      </c>
      <c r="Y64" s="951">
        <v>138.691000000005</v>
      </c>
      <c r="Z64" s="951">
        <v>138.691000000005</v>
      </c>
      <c r="AA64" s="951">
        <v>138.691000000005</v>
      </c>
      <c r="AB64" s="951">
        <v>138.691000000005</v>
      </c>
      <c r="AC64" s="951">
        <v>138.691000000005</v>
      </c>
      <c r="AD64" s="951">
        <v>138.691000000005</v>
      </c>
    </row>
    <row r="65" spans="2:30">
      <c r="B65" s="685" t="s">
        <v>470</v>
      </c>
      <c r="O65" s="795"/>
      <c r="P65" s="795">
        <f>SUM(P61:P64)</f>
        <v>6014</v>
      </c>
      <c r="Q65" s="795">
        <f>SUM(Q61:Q64)</f>
        <v>7023</v>
      </c>
      <c r="R65" s="795">
        <f t="shared" ref="R65:Y65" si="60">SUM(R61:R64)</f>
        <v>6503</v>
      </c>
      <c r="S65" s="795">
        <f t="shared" si="60"/>
        <v>3507.9434999999939</v>
      </c>
      <c r="T65" s="795">
        <f t="shared" si="60"/>
        <v>3026.3734999999997</v>
      </c>
      <c r="U65" s="795">
        <f t="shared" si="60"/>
        <v>1711.5022000000031</v>
      </c>
      <c r="V65" s="795">
        <f t="shared" si="60"/>
        <v>1220.8219000000092</v>
      </c>
      <c r="W65" s="795">
        <f t="shared" si="60"/>
        <v>1229.8218999999954</v>
      </c>
      <c r="X65" s="795">
        <f t="shared" si="60"/>
        <v>1278.6909999999928</v>
      </c>
      <c r="Y65" s="795">
        <f t="shared" si="60"/>
        <v>1288.691000000005</v>
      </c>
      <c r="Z65" s="795">
        <f>SUM(Z61:Z64)</f>
        <v>1288.691000000005</v>
      </c>
      <c r="AA65" s="795">
        <f>SUM(AA61:AA64)</f>
        <v>1288.691000000005</v>
      </c>
      <c r="AB65" s="795">
        <f>SUM(AB61:AB64)</f>
        <v>1288.691000000005</v>
      </c>
      <c r="AC65" s="795">
        <f>SUM(AC61:AC64)</f>
        <v>1288.691000000005</v>
      </c>
      <c r="AD65" s="795">
        <f>SUM(AD61:AD64)</f>
        <v>1288.691000000005</v>
      </c>
    </row>
    <row r="67" spans="2:30">
      <c r="B67" s="804" t="s">
        <v>472</v>
      </c>
      <c r="C67" s="743"/>
      <c r="D67" s="743">
        <f t="shared" ref="D67:Y67" si="61">D53</f>
        <v>2009</v>
      </c>
      <c r="E67" s="743">
        <f t="shared" si="61"/>
        <v>2010</v>
      </c>
      <c r="F67" s="743">
        <f t="shared" si="61"/>
        <v>2011</v>
      </c>
      <c r="G67" s="743">
        <f t="shared" si="61"/>
        <v>2012</v>
      </c>
      <c r="H67" s="743">
        <f t="shared" si="61"/>
        <v>2013</v>
      </c>
      <c r="I67" s="743">
        <f t="shared" si="61"/>
        <v>2014</v>
      </c>
      <c r="J67" s="743">
        <f t="shared" si="61"/>
        <v>2015</v>
      </c>
      <c r="K67" s="743">
        <f t="shared" si="61"/>
        <v>2016</v>
      </c>
      <c r="L67" s="743">
        <f t="shared" si="61"/>
        <v>2017</v>
      </c>
      <c r="M67" s="743">
        <f t="shared" si="61"/>
        <v>2018</v>
      </c>
      <c r="N67" s="743">
        <f t="shared" si="61"/>
        <v>2019</v>
      </c>
      <c r="O67" s="743">
        <f t="shared" si="61"/>
        <v>2020</v>
      </c>
      <c r="P67" s="743">
        <f t="shared" si="61"/>
        <v>2021</v>
      </c>
      <c r="Q67" s="743">
        <f t="shared" si="61"/>
        <v>2022</v>
      </c>
      <c r="R67" s="743">
        <f t="shared" si="61"/>
        <v>2023</v>
      </c>
      <c r="S67" s="743">
        <f t="shared" si="61"/>
        <v>2024</v>
      </c>
      <c r="T67" s="743">
        <f t="shared" si="61"/>
        <v>2025</v>
      </c>
      <c r="U67" s="743">
        <f t="shared" si="61"/>
        <v>2026</v>
      </c>
      <c r="V67" s="743">
        <f t="shared" si="61"/>
        <v>2027</v>
      </c>
      <c r="W67" s="743">
        <f t="shared" si="61"/>
        <v>2028</v>
      </c>
      <c r="X67" s="743">
        <f t="shared" si="61"/>
        <v>2029</v>
      </c>
      <c r="Y67" s="743">
        <f t="shared" si="61"/>
        <v>2030</v>
      </c>
      <c r="Z67" s="743">
        <f>Z53</f>
        <v>2031</v>
      </c>
      <c r="AA67" s="743">
        <f>AA53</f>
        <v>2032</v>
      </c>
      <c r="AB67" s="743">
        <f>AB53</f>
        <v>2033</v>
      </c>
      <c r="AC67" s="743">
        <f>AC53</f>
        <v>2034</v>
      </c>
      <c r="AD67" s="743">
        <f>AD53</f>
        <v>2035</v>
      </c>
    </row>
    <row r="68" spans="2:30">
      <c r="B68" s="685" t="s">
        <v>466</v>
      </c>
      <c r="N68" s="910">
        <f>(2733+3317)/2</f>
        <v>3025</v>
      </c>
      <c r="O68" s="910">
        <f>(4281+3317)/2</f>
        <v>3799</v>
      </c>
      <c r="P68" s="910">
        <v>4800</v>
      </c>
      <c r="Q68" s="795">
        <f t="shared" ref="Q68:Y68" si="62">Q86*Q54</f>
        <v>5750</v>
      </c>
      <c r="R68" s="795">
        <f t="shared" si="62"/>
        <v>6500</v>
      </c>
      <c r="S68" s="795">
        <f t="shared" si="62"/>
        <v>7250</v>
      </c>
      <c r="T68" s="795">
        <f t="shared" si="62"/>
        <v>7840</v>
      </c>
      <c r="U68" s="795">
        <f t="shared" si="62"/>
        <v>8160</v>
      </c>
      <c r="V68" s="795">
        <f t="shared" si="62"/>
        <v>8225</v>
      </c>
      <c r="W68" s="795">
        <f t="shared" si="62"/>
        <v>8280</v>
      </c>
      <c r="X68" s="795">
        <f t="shared" si="62"/>
        <v>8325</v>
      </c>
      <c r="Y68" s="795">
        <f t="shared" si="62"/>
        <v>8359.9999999999982</v>
      </c>
      <c r="Z68" s="795">
        <f>Z86*Z54</f>
        <v>8384.9999999999982</v>
      </c>
      <c r="AA68" s="795">
        <f>AA86*AA54</f>
        <v>8399.9999999999982</v>
      </c>
      <c r="AB68" s="795">
        <f>AB86*AB54</f>
        <v>8404.9999999999982</v>
      </c>
      <c r="AC68" s="795">
        <f>AC86*AC54</f>
        <v>8399.9999999999982</v>
      </c>
      <c r="AD68" s="795">
        <f>AD86*AD54</f>
        <v>8384.9999999999982</v>
      </c>
    </row>
    <row r="69" spans="2:30">
      <c r="B69" s="685" t="s">
        <v>467</v>
      </c>
      <c r="O69" s="795">
        <f>O94/O101</f>
        <v>5801.288752835173</v>
      </c>
      <c r="P69" s="795">
        <f>P94/P101</f>
        <v>6414.5897777777782</v>
      </c>
      <c r="Q69" s="795">
        <f>Q94/Q101</f>
        <v>6967.1533333333336</v>
      </c>
      <c r="R69" s="795">
        <f t="shared" ref="R69:Y69" si="63">R94/R101</f>
        <v>6706.253333333334</v>
      </c>
      <c r="S69" s="795">
        <f t="shared" si="63"/>
        <v>6602.5213333333331</v>
      </c>
      <c r="T69" s="795">
        <f t="shared" si="63"/>
        <v>6598.9195555555552</v>
      </c>
      <c r="U69" s="795">
        <f t="shared" si="63"/>
        <v>6572.2528888888883</v>
      </c>
      <c r="V69" s="795">
        <f t="shared" si="63"/>
        <v>6550.0306666666665</v>
      </c>
      <c r="W69" s="795">
        <f t="shared" si="63"/>
        <v>6522.9958000000006</v>
      </c>
      <c r="X69" s="795">
        <f t="shared" si="63"/>
        <v>6501.8682322222221</v>
      </c>
      <c r="Y69" s="795">
        <f t="shared" si="63"/>
        <v>6484.2414872777772</v>
      </c>
      <c r="Z69" s="795">
        <f>Z94/Z101</f>
        <v>6469.9405240250007</v>
      </c>
      <c r="AA69" s="795">
        <f>AA94/AA101</f>
        <v>6458.7990533793054</v>
      </c>
      <c r="AB69" s="795">
        <f>AB94/AB101</f>
        <v>6450.6591007103398</v>
      </c>
      <c r="AC69" s="795">
        <f>AC94/AC101</f>
        <v>6445.3705901192679</v>
      </c>
      <c r="AD69" s="795">
        <f>AD94/AD101</f>
        <v>6442.7909495021931</v>
      </c>
    </row>
    <row r="70" spans="2:30">
      <c r="B70" s="685" t="s">
        <v>468</v>
      </c>
      <c r="O70" s="910">
        <v>3933</v>
      </c>
      <c r="P70" s="910">
        <v>4153</v>
      </c>
      <c r="Q70" s="910">
        <v>4398</v>
      </c>
      <c r="R70" s="910">
        <v>4946</v>
      </c>
      <c r="S70" s="834">
        <v>5404.7199868594134</v>
      </c>
      <c r="T70" s="834">
        <v>5768.3351374641179</v>
      </c>
      <c r="U70" s="834">
        <v>5978.3374704336802</v>
      </c>
      <c r="V70" s="834">
        <v>6145.5615503909239</v>
      </c>
      <c r="W70" s="834">
        <v>6270.007377335849</v>
      </c>
      <c r="X70" s="834">
        <v>6390.5642721887461</v>
      </c>
      <c r="Y70" s="834">
        <v>6507.2322349496135</v>
      </c>
      <c r="Z70" s="834">
        <v>6507.2322349496135</v>
      </c>
      <c r="AA70" s="834">
        <v>6507.2322349496135</v>
      </c>
      <c r="AB70" s="834">
        <v>6507.2322349496135</v>
      </c>
      <c r="AC70" s="834">
        <v>6507.2322349496135</v>
      </c>
      <c r="AD70" s="834">
        <v>6507.2322349496135</v>
      </c>
    </row>
    <row r="71" spans="2:30">
      <c r="B71" s="743" t="s">
        <v>469</v>
      </c>
      <c r="C71" s="743"/>
      <c r="D71" s="743"/>
      <c r="E71" s="743"/>
      <c r="F71" s="743"/>
      <c r="G71" s="743"/>
      <c r="H71" s="743"/>
      <c r="I71" s="743"/>
      <c r="J71" s="743"/>
      <c r="K71" s="743"/>
      <c r="L71" s="743"/>
      <c r="M71" s="743"/>
      <c r="N71" s="743"/>
      <c r="O71" s="920">
        <v>2444</v>
      </c>
      <c r="P71" s="920">
        <v>3459</v>
      </c>
      <c r="Q71" s="920">
        <v>4300</v>
      </c>
      <c r="R71" s="920">
        <v>4779</v>
      </c>
      <c r="S71" s="951">
        <v>5149.4799999999996</v>
      </c>
      <c r="T71" s="951">
        <v>5469.48</v>
      </c>
      <c r="U71" s="951">
        <v>5769.48</v>
      </c>
      <c r="V71" s="951">
        <v>6019.48</v>
      </c>
      <c r="W71" s="951">
        <v>6219.48</v>
      </c>
      <c r="X71" s="951">
        <v>6419.48</v>
      </c>
      <c r="Y71" s="951">
        <v>6619.48</v>
      </c>
      <c r="Z71" s="951">
        <v>6619.48</v>
      </c>
      <c r="AA71" s="951">
        <v>6619.48</v>
      </c>
      <c r="AB71" s="951">
        <v>6619.48</v>
      </c>
      <c r="AC71" s="951">
        <v>6619.48</v>
      </c>
      <c r="AD71" s="951">
        <v>6619.48</v>
      </c>
    </row>
    <row r="72" spans="2:30">
      <c r="B72" s="685" t="s">
        <v>470</v>
      </c>
      <c r="O72" s="795">
        <f t="shared" ref="O72:Y72" si="64">SUM(O68:O71)</f>
        <v>15977.288752835173</v>
      </c>
      <c r="P72" s="795">
        <f t="shared" si="64"/>
        <v>18826.589777777779</v>
      </c>
      <c r="Q72" s="795">
        <f t="shared" si="64"/>
        <v>21415.153333333335</v>
      </c>
      <c r="R72" s="795">
        <f t="shared" si="64"/>
        <v>22931.253333333334</v>
      </c>
      <c r="S72" s="795">
        <f t="shared" si="64"/>
        <v>24406.721320192748</v>
      </c>
      <c r="T72" s="795">
        <f t="shared" si="64"/>
        <v>25676.734693019673</v>
      </c>
      <c r="U72" s="795">
        <f t="shared" si="64"/>
        <v>26480.070359322566</v>
      </c>
      <c r="V72" s="795">
        <f t="shared" si="64"/>
        <v>26940.07221705759</v>
      </c>
      <c r="W72" s="795">
        <f t="shared" si="64"/>
        <v>27292.483177335849</v>
      </c>
      <c r="X72" s="795">
        <f t="shared" si="64"/>
        <v>27636.912504410968</v>
      </c>
      <c r="Y72" s="795">
        <f t="shared" si="64"/>
        <v>27970.95372222739</v>
      </c>
      <c r="Z72" s="795">
        <f>SUM(Z68:Z71)</f>
        <v>27981.652758974611</v>
      </c>
      <c r="AA72" s="795">
        <f>SUM(AA68:AA71)</f>
        <v>27985.511288328915</v>
      </c>
      <c r="AB72" s="795">
        <f>SUM(AB68:AB71)</f>
        <v>27982.371335659951</v>
      </c>
      <c r="AC72" s="795">
        <f>SUM(AC68:AC71)</f>
        <v>27972.082825068879</v>
      </c>
      <c r="AD72" s="795">
        <f>SUM(AD68:AD71)</f>
        <v>27954.503184451805</v>
      </c>
    </row>
    <row r="73" spans="2:30">
      <c r="P73" s="796"/>
      <c r="Q73" s="796"/>
      <c r="R73" s="796"/>
      <c r="S73" s="796"/>
      <c r="T73" s="796"/>
      <c r="U73" s="796"/>
      <c r="V73" s="796"/>
      <c r="W73" s="796"/>
      <c r="X73" s="796"/>
      <c r="Y73" s="796"/>
      <c r="Z73" s="796"/>
      <c r="AA73" s="796"/>
      <c r="AB73" s="796"/>
      <c r="AC73" s="796"/>
      <c r="AD73" s="796"/>
    </row>
    <row r="74" spans="2:30">
      <c r="P74" s="796"/>
      <c r="Q74" s="796"/>
      <c r="R74" s="796"/>
      <c r="S74" s="796"/>
      <c r="T74" s="796"/>
      <c r="U74" s="796"/>
      <c r="V74" s="796"/>
      <c r="W74" s="796"/>
      <c r="X74" s="796"/>
      <c r="Y74" s="796"/>
      <c r="Z74" s="796"/>
      <c r="AA74" s="796"/>
      <c r="AB74" s="796"/>
      <c r="AC74" s="796"/>
      <c r="AD74" s="796"/>
    </row>
    <row r="75" spans="2:30">
      <c r="B75" s="804" t="s">
        <v>473</v>
      </c>
      <c r="C75" s="743"/>
      <c r="D75" s="743">
        <f>D63</f>
        <v>0</v>
      </c>
      <c r="E75" s="743">
        <f>E63</f>
        <v>0</v>
      </c>
      <c r="F75" s="743">
        <f t="shared" ref="F75:Y75" si="65">F67</f>
        <v>2011</v>
      </c>
      <c r="G75" s="743">
        <f t="shared" si="65"/>
        <v>2012</v>
      </c>
      <c r="H75" s="743">
        <f t="shared" si="65"/>
        <v>2013</v>
      </c>
      <c r="I75" s="743">
        <f t="shared" si="65"/>
        <v>2014</v>
      </c>
      <c r="J75" s="743">
        <f t="shared" si="65"/>
        <v>2015</v>
      </c>
      <c r="K75" s="743">
        <f t="shared" si="65"/>
        <v>2016</v>
      </c>
      <c r="L75" s="743">
        <f t="shared" si="65"/>
        <v>2017</v>
      </c>
      <c r="M75" s="743">
        <f t="shared" si="65"/>
        <v>2018</v>
      </c>
      <c r="N75" s="743">
        <f t="shared" si="65"/>
        <v>2019</v>
      </c>
      <c r="O75" s="743">
        <f t="shared" si="65"/>
        <v>2020</v>
      </c>
      <c r="P75" s="743">
        <f t="shared" si="65"/>
        <v>2021</v>
      </c>
      <c r="Q75" s="743">
        <f t="shared" si="65"/>
        <v>2022</v>
      </c>
      <c r="R75" s="743">
        <f t="shared" si="65"/>
        <v>2023</v>
      </c>
      <c r="S75" s="743">
        <f t="shared" si="65"/>
        <v>2024</v>
      </c>
      <c r="T75" s="743">
        <f t="shared" si="65"/>
        <v>2025</v>
      </c>
      <c r="U75" s="743">
        <f t="shared" si="65"/>
        <v>2026</v>
      </c>
      <c r="V75" s="743">
        <f t="shared" si="65"/>
        <v>2027</v>
      </c>
      <c r="W75" s="743">
        <f t="shared" si="65"/>
        <v>2028</v>
      </c>
      <c r="X75" s="743">
        <f t="shared" si="65"/>
        <v>2029</v>
      </c>
      <c r="Y75" s="743">
        <f t="shared" si="65"/>
        <v>2030</v>
      </c>
      <c r="Z75" s="743">
        <f t="shared" ref="Z75:AD76" si="66">Z67</f>
        <v>2031</v>
      </c>
      <c r="AA75" s="743">
        <f t="shared" si="66"/>
        <v>2032</v>
      </c>
      <c r="AB75" s="743">
        <f t="shared" si="66"/>
        <v>2033</v>
      </c>
      <c r="AC75" s="743">
        <f t="shared" si="66"/>
        <v>2034</v>
      </c>
      <c r="AD75" s="743">
        <f t="shared" si="66"/>
        <v>2035</v>
      </c>
    </row>
    <row r="76" spans="2:30">
      <c r="B76" s="685" t="s">
        <v>466</v>
      </c>
      <c r="N76" s="795">
        <f>N68</f>
        <v>3025</v>
      </c>
      <c r="O76" s="795">
        <f t="shared" ref="O76:Y76" si="67">O68</f>
        <v>3799</v>
      </c>
      <c r="P76" s="795">
        <f t="shared" si="67"/>
        <v>4800</v>
      </c>
      <c r="Q76" s="795">
        <f t="shared" si="67"/>
        <v>5750</v>
      </c>
      <c r="R76" s="795">
        <f t="shared" si="67"/>
        <v>6500</v>
      </c>
      <c r="S76" s="795">
        <f t="shared" si="67"/>
        <v>7250</v>
      </c>
      <c r="T76" s="795">
        <f t="shared" si="67"/>
        <v>7840</v>
      </c>
      <c r="U76" s="795">
        <f t="shared" si="67"/>
        <v>8160</v>
      </c>
      <c r="V76" s="795">
        <f t="shared" si="67"/>
        <v>8225</v>
      </c>
      <c r="W76" s="795">
        <f t="shared" si="67"/>
        <v>8280</v>
      </c>
      <c r="X76" s="795">
        <f t="shared" si="67"/>
        <v>8325</v>
      </c>
      <c r="Y76" s="795">
        <f t="shared" si="67"/>
        <v>8359.9999999999982</v>
      </c>
      <c r="Z76" s="795">
        <f t="shared" si="66"/>
        <v>8384.9999999999982</v>
      </c>
      <c r="AA76" s="795">
        <f t="shared" si="66"/>
        <v>8399.9999999999982</v>
      </c>
      <c r="AB76" s="795">
        <f t="shared" si="66"/>
        <v>8404.9999999999982</v>
      </c>
      <c r="AC76" s="795">
        <f t="shared" si="66"/>
        <v>8399.9999999999982</v>
      </c>
      <c r="AD76" s="795">
        <f t="shared" si="66"/>
        <v>8384.9999999999982</v>
      </c>
    </row>
    <row r="77" spans="2:30">
      <c r="B77" s="685" t="s">
        <v>467</v>
      </c>
      <c r="N77" s="795">
        <f>N157</f>
        <v>4696.0540000000001</v>
      </c>
      <c r="O77" s="795">
        <f>O157</f>
        <v>5430.8590000000004</v>
      </c>
      <c r="P77" s="795">
        <f t="shared" ref="P77:Y77" si="68">P157</f>
        <v>5649.1019999999999</v>
      </c>
      <c r="Q77" s="795">
        <f t="shared" si="68"/>
        <v>5984.1509999999998</v>
      </c>
      <c r="R77" s="795">
        <f t="shared" si="68"/>
        <v>5678.4309999999996</v>
      </c>
      <c r="S77" s="795">
        <f t="shared" si="68"/>
        <v>5626.2060000000001</v>
      </c>
      <c r="T77" s="795">
        <f t="shared" si="68"/>
        <v>5668</v>
      </c>
      <c r="U77" s="795">
        <f t="shared" si="68"/>
        <v>5713</v>
      </c>
      <c r="V77" s="795">
        <f t="shared" si="68"/>
        <v>5763</v>
      </c>
      <c r="W77" s="795">
        <f t="shared" si="68"/>
        <v>5818</v>
      </c>
      <c r="X77" s="795">
        <f t="shared" si="68"/>
        <v>5878</v>
      </c>
      <c r="Y77" s="795">
        <f t="shared" si="68"/>
        <v>5938</v>
      </c>
      <c r="Z77" s="795">
        <f>Z157</f>
        <v>5998</v>
      </c>
      <c r="AA77" s="795">
        <f>AA157</f>
        <v>6058</v>
      </c>
      <c r="AB77" s="795">
        <f>AB157</f>
        <v>6118</v>
      </c>
      <c r="AC77" s="795">
        <f>AC157</f>
        <v>6178</v>
      </c>
      <c r="AD77" s="795">
        <f>AD157</f>
        <v>6238</v>
      </c>
    </row>
    <row r="78" spans="2:30">
      <c r="B78" s="685" t="s">
        <v>468</v>
      </c>
      <c r="N78" s="795">
        <f>N156</f>
        <v>3097.6280000000002</v>
      </c>
      <c r="O78" s="795">
        <f>O156</f>
        <v>3510</v>
      </c>
      <c r="P78" s="795">
        <f>P156</f>
        <v>3833.893</v>
      </c>
      <c r="Q78" s="795">
        <f t="shared" ref="Q78:Y78" si="69">Q156</f>
        <v>4138</v>
      </c>
      <c r="R78" s="795">
        <f t="shared" si="69"/>
        <v>4722</v>
      </c>
      <c r="S78" s="795">
        <f t="shared" si="69"/>
        <v>5251.5519999999997</v>
      </c>
      <c r="T78" s="795">
        <f t="shared" si="69"/>
        <v>5701.5519999999997</v>
      </c>
      <c r="U78" s="795">
        <f t="shared" si="69"/>
        <v>6001.5519999999997</v>
      </c>
      <c r="V78" s="795">
        <f t="shared" si="69"/>
        <v>6201.5519999999997</v>
      </c>
      <c r="W78" s="795">
        <f t="shared" si="69"/>
        <v>6351.5519999999997</v>
      </c>
      <c r="X78" s="795">
        <f t="shared" si="69"/>
        <v>6501.5519999999997</v>
      </c>
      <c r="Y78" s="795">
        <f t="shared" si="69"/>
        <v>6651.5519999999997</v>
      </c>
      <c r="Z78" s="795">
        <f>Z156</f>
        <v>6651.5519999999997</v>
      </c>
      <c r="AA78" s="795">
        <f>AA156</f>
        <v>6651.5519999999997</v>
      </c>
      <c r="AB78" s="795">
        <f>AB156</f>
        <v>6651.5519999999997</v>
      </c>
      <c r="AC78" s="795">
        <f>AC156</f>
        <v>6651.5519999999997</v>
      </c>
      <c r="AD78" s="795">
        <f>AD156</f>
        <v>6651.5519999999997</v>
      </c>
    </row>
    <row r="79" spans="2:30">
      <c r="B79" s="743" t="s">
        <v>469</v>
      </c>
      <c r="C79" s="743"/>
      <c r="D79" s="743"/>
      <c r="E79" s="743"/>
      <c r="F79" s="743"/>
      <c r="G79" s="743"/>
      <c r="H79" s="743"/>
      <c r="I79" s="743"/>
      <c r="J79" s="743"/>
      <c r="K79" s="743"/>
      <c r="L79" s="743"/>
      <c r="M79" s="743"/>
      <c r="N79" s="833">
        <f>N164</f>
        <v>1481.2121212121212</v>
      </c>
      <c r="O79" s="833">
        <f>O164</f>
        <v>2444</v>
      </c>
      <c r="P79" s="833">
        <f t="shared" ref="P79:Y79" si="70">P164</f>
        <v>3458</v>
      </c>
      <c r="Q79" s="833">
        <f t="shared" si="70"/>
        <v>4297</v>
      </c>
      <c r="R79" s="833">
        <f t="shared" si="70"/>
        <v>4779</v>
      </c>
      <c r="S79" s="833">
        <f t="shared" si="70"/>
        <v>5149.4799999999996</v>
      </c>
      <c r="T79" s="833">
        <f t="shared" si="70"/>
        <v>5469.48</v>
      </c>
      <c r="U79" s="833">
        <f t="shared" si="70"/>
        <v>5769.48</v>
      </c>
      <c r="V79" s="833">
        <f t="shared" si="70"/>
        <v>6019.48</v>
      </c>
      <c r="W79" s="833">
        <f t="shared" si="70"/>
        <v>6219.48</v>
      </c>
      <c r="X79" s="833">
        <f t="shared" si="70"/>
        <v>6419.48</v>
      </c>
      <c r="Y79" s="833">
        <f t="shared" si="70"/>
        <v>6619.48</v>
      </c>
      <c r="Z79" s="833">
        <f>Z164</f>
        <v>6619.48</v>
      </c>
      <c r="AA79" s="833">
        <f>AA164</f>
        <v>6619.48</v>
      </c>
      <c r="AB79" s="833">
        <f>AB164</f>
        <v>6619.48</v>
      </c>
      <c r="AC79" s="833">
        <f>AC164</f>
        <v>6619.48</v>
      </c>
      <c r="AD79" s="833">
        <f>AD164</f>
        <v>6619.48</v>
      </c>
    </row>
    <row r="80" spans="2:30">
      <c r="B80" s="685" t="s">
        <v>470</v>
      </c>
      <c r="N80" s="795">
        <f t="shared" ref="N80:Y80" si="71">SUM(N76:N79)</f>
        <v>12299.894121212123</v>
      </c>
      <c r="O80" s="795">
        <f t="shared" si="71"/>
        <v>15183.859</v>
      </c>
      <c r="P80" s="795">
        <f t="shared" si="71"/>
        <v>17740.994999999999</v>
      </c>
      <c r="Q80" s="795">
        <f t="shared" si="71"/>
        <v>20169.150999999998</v>
      </c>
      <c r="R80" s="795">
        <f t="shared" si="71"/>
        <v>21679.431</v>
      </c>
      <c r="S80" s="795">
        <f t="shared" si="71"/>
        <v>23277.238000000001</v>
      </c>
      <c r="T80" s="795">
        <f t="shared" si="71"/>
        <v>24679.031999999999</v>
      </c>
      <c r="U80" s="795">
        <f t="shared" si="71"/>
        <v>25644.031999999999</v>
      </c>
      <c r="V80" s="795">
        <f t="shared" si="71"/>
        <v>26209.031999999999</v>
      </c>
      <c r="W80" s="795">
        <f t="shared" si="71"/>
        <v>26669.031999999999</v>
      </c>
      <c r="X80" s="795">
        <f t="shared" si="71"/>
        <v>27124.031999999999</v>
      </c>
      <c r="Y80" s="795">
        <f t="shared" si="71"/>
        <v>27569.031999999996</v>
      </c>
      <c r="Z80" s="795">
        <f>SUM(Z76:Z79)</f>
        <v>27654.031999999996</v>
      </c>
      <c r="AA80" s="795">
        <f>SUM(AA76:AA79)</f>
        <v>27729.031999999996</v>
      </c>
      <c r="AB80" s="795">
        <f>SUM(AB76:AB79)</f>
        <v>27794.031999999996</v>
      </c>
      <c r="AC80" s="795">
        <f>SUM(AC76:AC79)</f>
        <v>27849.031999999996</v>
      </c>
      <c r="AD80" s="795">
        <f>SUM(AD76:AD79)</f>
        <v>27894.031999999996</v>
      </c>
    </row>
    <row r="81" spans="2:30">
      <c r="P81" s="796"/>
      <c r="Q81" s="796"/>
      <c r="R81" s="796"/>
      <c r="S81" s="796"/>
      <c r="T81" s="796"/>
      <c r="U81" s="796"/>
      <c r="V81" s="796"/>
      <c r="W81" s="796"/>
      <c r="X81" s="796"/>
      <c r="Y81" s="796"/>
      <c r="Z81" s="796"/>
      <c r="AA81" s="796"/>
      <c r="AB81" s="796"/>
      <c r="AC81" s="796"/>
      <c r="AD81" s="796"/>
    </row>
    <row r="82" spans="2:30">
      <c r="B82" s="839" t="s">
        <v>474</v>
      </c>
      <c r="O82" s="922">
        <f>O154-O76</f>
        <v>6212</v>
      </c>
      <c r="P82" s="922">
        <f t="shared" ref="P82:Y82" si="72">P154-P76</f>
        <v>5237</v>
      </c>
      <c r="Q82" s="922">
        <f t="shared" si="72"/>
        <v>4275</v>
      </c>
      <c r="R82" s="922">
        <f t="shared" si="72"/>
        <v>3989</v>
      </c>
      <c r="S82" s="922">
        <f t="shared" si="72"/>
        <v>3171.8054161869077</v>
      </c>
      <c r="T82" s="922">
        <f t="shared" si="72"/>
        <v>2480.2309007949716</v>
      </c>
      <c r="U82" s="922">
        <f t="shared" si="72"/>
        <v>2022.4435996214543</v>
      </c>
      <c r="V82" s="922">
        <f t="shared" si="72"/>
        <v>1781.5393084559782</v>
      </c>
      <c r="W82" s="922">
        <f t="shared" si="72"/>
        <v>1455.4464661764305</v>
      </c>
      <c r="X82" s="922">
        <f t="shared" si="72"/>
        <v>1102.434472647361</v>
      </c>
      <c r="Y82" s="922">
        <f t="shared" si="72"/>
        <v>671.01334112868608</v>
      </c>
      <c r="Z82" s="922">
        <f>Z154-Z76</f>
        <v>214.84693132842403</v>
      </c>
      <c r="AA82" s="922">
        <f>AA154-AA76</f>
        <v>-267.54529512544923</v>
      </c>
      <c r="AB82" s="922">
        <f>AB154-AB76</f>
        <v>-777.69618705908943</v>
      </c>
      <c r="AC82" s="922">
        <f>AC154-AC76</f>
        <v>-1317.1925276962029</v>
      </c>
      <c r="AD82" s="922">
        <f>AD154-AD76</f>
        <v>-1887.6767051098468</v>
      </c>
    </row>
    <row r="83" spans="2:30">
      <c r="B83" s="839" t="s">
        <v>475</v>
      </c>
      <c r="O83" s="922">
        <f t="shared" ref="O83:Y83" si="73">O166-O80</f>
        <v>6750.1409999999996</v>
      </c>
      <c r="P83" s="922">
        <f t="shared" si="73"/>
        <v>6835.005000000001</v>
      </c>
      <c r="Q83" s="922">
        <f t="shared" si="73"/>
        <v>4583.3294000000024</v>
      </c>
      <c r="R83" s="922">
        <f t="shared" si="73"/>
        <v>4387.2082279999995</v>
      </c>
      <c r="S83" s="922">
        <f t="shared" si="73"/>
        <v>3977.0268160800006</v>
      </c>
      <c r="T83" s="922">
        <f t="shared" si="73"/>
        <v>3799.0763719920033</v>
      </c>
      <c r="U83" s="922">
        <f t="shared" si="73"/>
        <v>4095.1315642140507</v>
      </c>
      <c r="V83" s="922">
        <f t="shared" si="73"/>
        <v>4829.4173207761851</v>
      </c>
      <c r="W83" s="922">
        <f t="shared" si="73"/>
        <v>5525.7854084292667</v>
      </c>
      <c r="X83" s="922">
        <f t="shared" si="73"/>
        <v>6260.2124398601663</v>
      </c>
      <c r="Y83" s="922">
        <f t="shared" si="73"/>
        <v>6849.0245932757352</v>
      </c>
      <c r="Z83" s="922">
        <f>Z166-Z80</f>
        <v>7825.0951350519863</v>
      </c>
      <c r="AA83" s="922">
        <f>AA166-AA80</f>
        <v>8839.1208758619796</v>
      </c>
      <c r="AB83" s="922">
        <f>AB166-AB80</f>
        <v>9891.8155954503491</v>
      </c>
      <c r="AC83" s="922">
        <f>AC166-AC80</f>
        <v>10983.91044267191</v>
      </c>
      <c r="AD83" s="922">
        <f>AD166-AD80</f>
        <v>12116.154344744155</v>
      </c>
    </row>
    <row r="84" spans="2:30">
      <c r="B84" s="839"/>
      <c r="O84" s="922"/>
      <c r="P84" s="922"/>
      <c r="Q84" s="922"/>
      <c r="R84" s="922"/>
      <c r="S84" s="922"/>
      <c r="T84" s="922"/>
      <c r="U84" s="922"/>
      <c r="V84" s="922"/>
      <c r="W84" s="922"/>
      <c r="X84" s="922"/>
      <c r="Y84" s="922"/>
      <c r="Z84" s="922"/>
      <c r="AA84" s="922"/>
      <c r="AB84" s="922"/>
      <c r="AC84" s="922"/>
      <c r="AD84" s="922"/>
    </row>
    <row r="85" spans="2:30">
      <c r="B85" s="804" t="s">
        <v>476</v>
      </c>
      <c r="C85" s="743"/>
      <c r="D85" s="743">
        <f t="shared" ref="D85:Y85" si="74">D53</f>
        <v>2009</v>
      </c>
      <c r="E85" s="743">
        <f t="shared" si="74"/>
        <v>2010</v>
      </c>
      <c r="F85" s="743">
        <f t="shared" si="74"/>
        <v>2011</v>
      </c>
      <c r="G85" s="743">
        <f t="shared" si="74"/>
        <v>2012</v>
      </c>
      <c r="H85" s="743">
        <f t="shared" si="74"/>
        <v>2013</v>
      </c>
      <c r="I85" s="743">
        <f t="shared" si="74"/>
        <v>2014</v>
      </c>
      <c r="J85" s="743">
        <f t="shared" si="74"/>
        <v>2015</v>
      </c>
      <c r="K85" s="743">
        <f t="shared" si="74"/>
        <v>2016</v>
      </c>
      <c r="L85" s="743">
        <f t="shared" si="74"/>
        <v>2017</v>
      </c>
      <c r="M85" s="743">
        <f t="shared" si="74"/>
        <v>2018</v>
      </c>
      <c r="N85" s="743">
        <f t="shared" si="74"/>
        <v>2019</v>
      </c>
      <c r="O85" s="743">
        <f t="shared" si="74"/>
        <v>2020</v>
      </c>
      <c r="P85" s="743">
        <f t="shared" si="74"/>
        <v>2021</v>
      </c>
      <c r="Q85" s="743">
        <f t="shared" si="74"/>
        <v>2022</v>
      </c>
      <c r="R85" s="743">
        <f t="shared" si="74"/>
        <v>2023</v>
      </c>
      <c r="S85" s="743">
        <f t="shared" si="74"/>
        <v>2024</v>
      </c>
      <c r="T85" s="743">
        <f t="shared" si="74"/>
        <v>2025</v>
      </c>
      <c r="U85" s="743">
        <f t="shared" si="74"/>
        <v>2026</v>
      </c>
      <c r="V85" s="743">
        <f t="shared" si="74"/>
        <v>2027</v>
      </c>
      <c r="W85" s="743">
        <f t="shared" si="74"/>
        <v>2028</v>
      </c>
      <c r="X85" s="743">
        <f t="shared" si="74"/>
        <v>2029</v>
      </c>
      <c r="Y85" s="743">
        <f t="shared" si="74"/>
        <v>2030</v>
      </c>
      <c r="Z85" s="743">
        <f>Z53</f>
        <v>2031</v>
      </c>
      <c r="AA85" s="743">
        <f>AA53</f>
        <v>2032</v>
      </c>
      <c r="AB85" s="743">
        <f>AB53</f>
        <v>2033</v>
      </c>
      <c r="AC85" s="743">
        <f>AC53</f>
        <v>2034</v>
      </c>
      <c r="AD85" s="743">
        <f>AD53</f>
        <v>2035</v>
      </c>
    </row>
    <row r="86" spans="2:30">
      <c r="B86" s="685" t="s">
        <v>466</v>
      </c>
      <c r="O86" s="789">
        <f t="shared" ref="O86:P90" si="75">O68/O54</f>
        <v>0.4221111111111111</v>
      </c>
      <c r="P86" s="789">
        <f t="shared" si="75"/>
        <v>0.48</v>
      </c>
      <c r="Q86" s="918">
        <v>0.5</v>
      </c>
      <c r="R86" s="918">
        <v>0.5</v>
      </c>
      <c r="S86" s="918">
        <v>0.5</v>
      </c>
      <c r="T86" s="918">
        <f t="shared" ref="T86:AD86" si="76">S86-1%</f>
        <v>0.49</v>
      </c>
      <c r="U86" s="918">
        <f t="shared" si="76"/>
        <v>0.48</v>
      </c>
      <c r="V86" s="918">
        <f t="shared" si="76"/>
        <v>0.47</v>
      </c>
      <c r="W86" s="918">
        <f t="shared" si="76"/>
        <v>0.45999999999999996</v>
      </c>
      <c r="X86" s="918">
        <f t="shared" si="76"/>
        <v>0.44999999999999996</v>
      </c>
      <c r="Y86" s="918">
        <f t="shared" si="76"/>
        <v>0.43999999999999995</v>
      </c>
      <c r="Z86" s="918">
        <f t="shared" si="76"/>
        <v>0.42999999999999994</v>
      </c>
      <c r="AA86" s="918">
        <f t="shared" si="76"/>
        <v>0.41999999999999993</v>
      </c>
      <c r="AB86" s="918">
        <f t="shared" si="76"/>
        <v>0.40999999999999992</v>
      </c>
      <c r="AC86" s="918">
        <f t="shared" si="76"/>
        <v>0.39999999999999991</v>
      </c>
      <c r="AD86" s="918">
        <f t="shared" si="76"/>
        <v>0.3899999999999999</v>
      </c>
    </row>
    <row r="87" spans="2:30">
      <c r="B87" s="685" t="s">
        <v>467</v>
      </c>
      <c r="O87" s="789">
        <f t="shared" si="75"/>
        <v>0.36717017423007425</v>
      </c>
      <c r="P87" s="789">
        <f t="shared" si="75"/>
        <v>0.36037021223470667</v>
      </c>
      <c r="Q87" s="789">
        <f t="shared" ref="Q87:Y87" si="77">Q69/Q55</f>
        <v>0.37257504456327989</v>
      </c>
      <c r="R87" s="789">
        <f>R69/R55</f>
        <v>0.34215578231292521</v>
      </c>
      <c r="S87" s="789">
        <f t="shared" si="77"/>
        <v>0.33012606666666666</v>
      </c>
      <c r="T87" s="789">
        <f t="shared" si="77"/>
        <v>0.32347644880174292</v>
      </c>
      <c r="U87" s="789">
        <f t="shared" si="77"/>
        <v>0.31597369658119656</v>
      </c>
      <c r="V87" s="789">
        <f t="shared" si="77"/>
        <v>0.30896371069182388</v>
      </c>
      <c r="W87" s="789">
        <f t="shared" si="77"/>
        <v>0.30199054629629635</v>
      </c>
      <c r="X87" s="789">
        <f t="shared" si="77"/>
        <v>0.29553946510101009</v>
      </c>
      <c r="Y87" s="789">
        <f t="shared" si="77"/>
        <v>0.28947506639632936</v>
      </c>
      <c r="Z87" s="789">
        <f t="shared" ref="Z87:AD90" si="78">Z69/Z55</f>
        <v>0.2837693212291667</v>
      </c>
      <c r="AA87" s="789">
        <f t="shared" si="78"/>
        <v>0.27839651092152179</v>
      </c>
      <c r="AB87" s="789">
        <f t="shared" si="78"/>
        <v>0.27333301274196353</v>
      </c>
      <c r="AC87" s="789">
        <f t="shared" si="78"/>
        <v>0.26855710792163617</v>
      </c>
      <c r="AD87" s="789">
        <f t="shared" si="78"/>
        <v>0.26404880940582759</v>
      </c>
    </row>
    <row r="88" spans="2:30">
      <c r="B88" s="685" t="s">
        <v>468</v>
      </c>
      <c r="O88" s="789">
        <f t="shared" si="75"/>
        <v>0.43919597989949749</v>
      </c>
      <c r="P88" s="789">
        <f t="shared" si="75"/>
        <v>0.4340056432229073</v>
      </c>
      <c r="Q88" s="789">
        <f t="shared" ref="Q88:Y88" si="79">Q70/Q56</f>
        <v>0.38044982698961938</v>
      </c>
      <c r="R88" s="789">
        <f t="shared" si="79"/>
        <v>0.32037828734292007</v>
      </c>
      <c r="S88" s="789">
        <f t="shared" si="79"/>
        <v>0.31908843941784232</v>
      </c>
      <c r="T88" s="789">
        <f t="shared" si="79"/>
        <v>0.32157069558836648</v>
      </c>
      <c r="U88" s="789">
        <f t="shared" si="79"/>
        <v>0.32869680396050582</v>
      </c>
      <c r="V88" s="789">
        <f t="shared" si="79"/>
        <v>0.33330955366042542</v>
      </c>
      <c r="W88" s="789">
        <f t="shared" si="79"/>
        <v>0.33550981257148166</v>
      </c>
      <c r="X88" s="789">
        <f t="shared" si="79"/>
        <v>0.33744662964350758</v>
      </c>
      <c r="Y88" s="789">
        <f t="shared" si="79"/>
        <v>0.33913030200904803</v>
      </c>
      <c r="Z88" s="789">
        <f t="shared" si="78"/>
        <v>0.33476860967947392</v>
      </c>
      <c r="AA88" s="789">
        <f t="shared" si="78"/>
        <v>0.330517687675214</v>
      </c>
      <c r="AB88" s="789">
        <f t="shared" si="78"/>
        <v>0.32637336919197579</v>
      </c>
      <c r="AC88" s="789">
        <f t="shared" si="78"/>
        <v>0.32233169382552079</v>
      </c>
      <c r="AD88" s="789">
        <f t="shared" si="78"/>
        <v>0.3183888949481169</v>
      </c>
    </row>
    <row r="89" spans="2:30">
      <c r="B89" s="743" t="s">
        <v>469</v>
      </c>
      <c r="C89" s="743"/>
      <c r="D89" s="743"/>
      <c r="E89" s="743"/>
      <c r="F89" s="743"/>
      <c r="G89" s="743"/>
      <c r="H89" s="743"/>
      <c r="I89" s="743"/>
      <c r="J89" s="743"/>
      <c r="K89" s="743"/>
      <c r="L89" s="743"/>
      <c r="M89" s="743"/>
      <c r="N89" s="743"/>
      <c r="O89" s="842">
        <f t="shared" si="75"/>
        <v>0.19869918699186992</v>
      </c>
      <c r="P89" s="842">
        <f t="shared" si="75"/>
        <v>0.23530612244897958</v>
      </c>
      <c r="Q89" s="842">
        <f t="shared" ref="Q89:Y89" si="80">Q71/Q57</f>
        <v>0.24809600738518348</v>
      </c>
      <c r="R89" s="842">
        <f t="shared" si="80"/>
        <v>0.27219912285698011</v>
      </c>
      <c r="S89" s="842">
        <f t="shared" si="80"/>
        <v>0.29150843307254287</v>
      </c>
      <c r="T89" s="842">
        <f t="shared" si="80"/>
        <v>0.3074241215532274</v>
      </c>
      <c r="U89" s="842">
        <f t="shared" si="80"/>
        <v>0.32316912726030411</v>
      </c>
      <c r="V89" s="842">
        <f t="shared" si="80"/>
        <v>0.33584024397810536</v>
      </c>
      <c r="W89" s="842">
        <f t="shared" si="80"/>
        <v>0.34546020396187105</v>
      </c>
      <c r="X89" s="842">
        <f t="shared" si="80"/>
        <v>0.35403846669292582</v>
      </c>
      <c r="Y89" s="842">
        <f t="shared" si="80"/>
        <v>0.36229741974167035</v>
      </c>
      <c r="Z89" s="842">
        <f t="shared" si="78"/>
        <v>0.35956799780287763</v>
      </c>
      <c r="AA89" s="842">
        <f t="shared" si="78"/>
        <v>0.35687939337813768</v>
      </c>
      <c r="AB89" s="842">
        <f t="shared" si="78"/>
        <v>0.35423069764634235</v>
      </c>
      <c r="AC89" s="842">
        <f t="shared" si="78"/>
        <v>0.35162102856805272</v>
      </c>
      <c r="AD89" s="842">
        <f t="shared" si="78"/>
        <v>0.34904952990619154</v>
      </c>
    </row>
    <row r="90" spans="2:30">
      <c r="B90" s="685" t="s">
        <v>477</v>
      </c>
      <c r="O90" s="789">
        <f t="shared" si="75"/>
        <v>0.3469175714436038</v>
      </c>
      <c r="P90" s="789">
        <f t="shared" si="75"/>
        <v>0.36157002780498532</v>
      </c>
      <c r="Q90" s="789">
        <f t="shared" ref="Q90:Y90" si="81">Q72/Q58</f>
        <v>0.36240359665154903</v>
      </c>
      <c r="R90" s="789">
        <f t="shared" si="81"/>
        <v>0.34958843407780066</v>
      </c>
      <c r="S90" s="789">
        <f t="shared" si="81"/>
        <v>0.35319365694158528</v>
      </c>
      <c r="T90" s="789">
        <f t="shared" si="81"/>
        <v>0.35598194688325796</v>
      </c>
      <c r="U90" s="789">
        <f t="shared" si="81"/>
        <v>0.3586101921161049</v>
      </c>
      <c r="V90" s="789">
        <f t="shared" si="81"/>
        <v>0.35890598476480134</v>
      </c>
      <c r="W90" s="789">
        <f t="shared" si="81"/>
        <v>0.35773967497956943</v>
      </c>
      <c r="X90" s="789">
        <f t="shared" si="81"/>
        <v>0.35628281083999097</v>
      </c>
      <c r="Y90" s="789">
        <f t="shared" si="81"/>
        <v>0.35469646711446751</v>
      </c>
      <c r="Z90" s="789">
        <f t="shared" si="78"/>
        <v>0.34912679984291228</v>
      </c>
      <c r="AA90" s="789">
        <f t="shared" si="78"/>
        <v>0.34364940910546987</v>
      </c>
      <c r="AB90" s="789">
        <f t="shared" si="78"/>
        <v>0.33825807280534198</v>
      </c>
      <c r="AC90" s="789">
        <f t="shared" si="78"/>
        <v>0.33294704462783964</v>
      </c>
      <c r="AD90" s="789">
        <f t="shared" si="78"/>
        <v>0.32771101347152182</v>
      </c>
    </row>
    <row r="92" spans="2:30">
      <c r="B92" s="804" t="s">
        <v>478</v>
      </c>
      <c r="C92" s="743"/>
      <c r="D92" s="743">
        <f t="shared" ref="D92:Y92" si="82">D67</f>
        <v>2009</v>
      </c>
      <c r="E92" s="743">
        <f t="shared" si="82"/>
        <v>2010</v>
      </c>
      <c r="F92" s="743">
        <f t="shared" si="82"/>
        <v>2011</v>
      </c>
      <c r="G92" s="743">
        <f t="shared" si="82"/>
        <v>2012</v>
      </c>
      <c r="H92" s="743">
        <f t="shared" si="82"/>
        <v>2013</v>
      </c>
      <c r="I92" s="743">
        <f t="shared" si="82"/>
        <v>2014</v>
      </c>
      <c r="J92" s="743">
        <f t="shared" si="82"/>
        <v>2015</v>
      </c>
      <c r="K92" s="743">
        <f t="shared" si="82"/>
        <v>2016</v>
      </c>
      <c r="L92" s="743">
        <f t="shared" si="82"/>
        <v>2017</v>
      </c>
      <c r="M92" s="743">
        <f t="shared" si="82"/>
        <v>2018</v>
      </c>
      <c r="N92" s="743">
        <f t="shared" si="82"/>
        <v>2019</v>
      </c>
      <c r="O92" s="743">
        <f t="shared" si="82"/>
        <v>2020</v>
      </c>
      <c r="P92" s="743">
        <f t="shared" si="82"/>
        <v>2021</v>
      </c>
      <c r="Q92" s="743">
        <f t="shared" si="82"/>
        <v>2022</v>
      </c>
      <c r="R92" s="743">
        <f t="shared" si="82"/>
        <v>2023</v>
      </c>
      <c r="S92" s="743">
        <f t="shared" si="82"/>
        <v>2024</v>
      </c>
      <c r="T92" s="743">
        <f t="shared" si="82"/>
        <v>2025</v>
      </c>
      <c r="U92" s="743">
        <f t="shared" si="82"/>
        <v>2026</v>
      </c>
      <c r="V92" s="743">
        <f t="shared" si="82"/>
        <v>2027</v>
      </c>
      <c r="W92" s="743">
        <f t="shared" si="82"/>
        <v>2028</v>
      </c>
      <c r="X92" s="743">
        <f t="shared" si="82"/>
        <v>2029</v>
      </c>
      <c r="Y92" s="743">
        <f t="shared" si="82"/>
        <v>2030</v>
      </c>
      <c r="Z92" s="743">
        <f>Z67</f>
        <v>2031</v>
      </c>
      <c r="AA92" s="743">
        <f>AA67</f>
        <v>2032</v>
      </c>
      <c r="AB92" s="743">
        <f>AB67</f>
        <v>2033</v>
      </c>
      <c r="AC92" s="743">
        <f>AC67</f>
        <v>2034</v>
      </c>
      <c r="AD92" s="743">
        <f>AD67</f>
        <v>2035</v>
      </c>
    </row>
    <row r="93" spans="2:30">
      <c r="B93" s="685" t="s">
        <v>466</v>
      </c>
      <c r="O93" s="795">
        <f>O54</f>
        <v>9000</v>
      </c>
      <c r="P93" s="795">
        <f>P54</f>
        <v>10000</v>
      </c>
      <c r="Q93" s="795">
        <f t="shared" ref="Q93:Y93" si="83">Q100*Q68</f>
        <v>14375</v>
      </c>
      <c r="R93" s="795">
        <f t="shared" si="83"/>
        <v>16250</v>
      </c>
      <c r="S93" s="795">
        <f t="shared" si="83"/>
        <v>18125</v>
      </c>
      <c r="T93" s="795">
        <f t="shared" si="83"/>
        <v>19600</v>
      </c>
      <c r="U93" s="795">
        <f t="shared" si="83"/>
        <v>20400</v>
      </c>
      <c r="V93" s="795">
        <f t="shared" si="83"/>
        <v>20562.5</v>
      </c>
      <c r="W93" s="795">
        <f t="shared" si="83"/>
        <v>20700</v>
      </c>
      <c r="X93" s="795">
        <f t="shared" si="83"/>
        <v>20812.5</v>
      </c>
      <c r="Y93" s="795">
        <f t="shared" si="83"/>
        <v>20899.999999999996</v>
      </c>
      <c r="Z93" s="795">
        <f>Z100*Z68</f>
        <v>20962.499999999996</v>
      </c>
      <c r="AA93" s="795">
        <f>AA100*AA68</f>
        <v>20999.999999999996</v>
      </c>
      <c r="AB93" s="795">
        <f>AB100*AB68</f>
        <v>21012.499999999996</v>
      </c>
      <c r="AC93" s="795">
        <f>AC100*AC68</f>
        <v>20999.999999999996</v>
      </c>
      <c r="AD93" s="795">
        <f>AD100*AD68</f>
        <v>20962.499999999996</v>
      </c>
    </row>
    <row r="94" spans="2:30">
      <c r="B94" s="685" t="s">
        <v>467</v>
      </c>
      <c r="O94" s="795">
        <f>Interims!BC263</f>
        <v>14087.585999999999</v>
      </c>
      <c r="P94" s="795">
        <f>P112+P157+'SKY Mex'!R54</f>
        <v>14432.827000000001</v>
      </c>
      <c r="Q94" s="795">
        <f>Q112+Q157+'SKY Mex'!S54</f>
        <v>15676.095000000001</v>
      </c>
      <c r="R94" s="795">
        <f>R112+R157+'SKY Mex'!T54</f>
        <v>15089.070000000002</v>
      </c>
      <c r="S94" s="795">
        <f>S112+S157+'SKY Mex'!U54</f>
        <v>14855.672999999999</v>
      </c>
      <c r="T94" s="795">
        <f>T112+T157+'SKY Mex'!V54</f>
        <v>14847.569</v>
      </c>
      <c r="U94" s="795">
        <f>U112+U157+'SKY Mex'!W54</f>
        <v>14787.569</v>
      </c>
      <c r="V94" s="795">
        <f>V112+V157+'SKY Mex'!X54</f>
        <v>14737.569</v>
      </c>
      <c r="W94" s="795">
        <f>W112+W157+'SKY Mex'!Y54</f>
        <v>14676.74055</v>
      </c>
      <c r="X94" s="795">
        <f>X112+X157+'SKY Mex'!Z54</f>
        <v>14629.2035225</v>
      </c>
      <c r="Y94" s="795">
        <f>Y112+Y157+'SKY Mex'!AA54</f>
        <v>14589.543346375</v>
      </c>
      <c r="Z94" s="795">
        <f>Z112+Z157+'SKY Mex'!AB54</f>
        <v>14557.366179056251</v>
      </c>
      <c r="AA94" s="795">
        <f>AA112+AA157+'SKY Mex'!AC54</f>
        <v>14532.297870103437</v>
      </c>
      <c r="AB94" s="795">
        <f>AB112+AB157+'SKY Mex'!AD54</f>
        <v>14513.982976598265</v>
      </c>
      <c r="AC94" s="795">
        <f>AC112+AC157+'SKY Mex'!AE54</f>
        <v>14502.083827768352</v>
      </c>
      <c r="AD94" s="795">
        <f>AD112+AD157+'SKY Mex'!AF54</f>
        <v>14496.279636379935</v>
      </c>
    </row>
    <row r="95" spans="2:30">
      <c r="B95" s="685" t="s">
        <v>468</v>
      </c>
      <c r="O95" s="910">
        <v>9550</v>
      </c>
      <c r="P95" s="910">
        <v>10404.832</v>
      </c>
      <c r="Q95" s="910">
        <v>11218</v>
      </c>
      <c r="R95" s="910">
        <v>12718</v>
      </c>
      <c r="S95" s="834">
        <v>13897.697</v>
      </c>
      <c r="T95" s="834">
        <v>14832.697</v>
      </c>
      <c r="U95" s="834">
        <v>15372.697</v>
      </c>
      <c r="V95" s="834">
        <v>15802.697</v>
      </c>
      <c r="W95" s="834">
        <v>16122.697</v>
      </c>
      <c r="X95" s="834">
        <v>16432.697</v>
      </c>
      <c r="Y95" s="834">
        <v>16732.697</v>
      </c>
      <c r="Z95" s="834">
        <v>16732.697</v>
      </c>
      <c r="AA95" s="834">
        <v>16732.697</v>
      </c>
      <c r="AB95" s="834">
        <v>16732.697</v>
      </c>
      <c r="AC95" s="834">
        <v>16732.697</v>
      </c>
      <c r="AD95" s="834">
        <v>16732.697</v>
      </c>
    </row>
    <row r="96" spans="2:30">
      <c r="B96" s="743" t="s">
        <v>469</v>
      </c>
      <c r="C96" s="743"/>
      <c r="D96" s="743"/>
      <c r="E96" s="743"/>
      <c r="F96" s="743"/>
      <c r="G96" s="743"/>
      <c r="H96" s="743"/>
      <c r="I96" s="743"/>
      <c r="J96" s="743"/>
      <c r="K96" s="743"/>
      <c r="L96" s="743"/>
      <c r="M96" s="743"/>
      <c r="N96" s="743"/>
      <c r="O96" s="833">
        <f>O118+O164+'SKY Mex'!Q69</f>
        <v>6458</v>
      </c>
      <c r="P96" s="833">
        <f>P118+P164+'SKY Mex'!R69</f>
        <v>9195.66</v>
      </c>
      <c r="Q96" s="833">
        <f>Q118+Q164+'SKY Mex'!S69</f>
        <v>11126</v>
      </c>
      <c r="R96" s="833">
        <f>R118+R164+'SKY Mex'!T69</f>
        <v>12686.44</v>
      </c>
      <c r="S96" s="833">
        <f>S118+S164+'SKY Mex'!U69</f>
        <v>14102.06855</v>
      </c>
      <c r="T96" s="833">
        <f>T118+T164+'SKY Mex'!V69</f>
        <v>15414.915634000001</v>
      </c>
      <c r="U96" s="833">
        <f>U118+U164+'SKY Mex'!W69</f>
        <v>16665.531656470001</v>
      </c>
      <c r="V96" s="833">
        <f>V118+V164+'SKY Mex'!X69</f>
        <v>17872.629655826</v>
      </c>
      <c r="W96" s="833">
        <f>W118+W164+'SKY Mex'!Y69</f>
        <v>19036.304210003473</v>
      </c>
      <c r="X96" s="833">
        <f>X118+X164+'SKY Mex'!Z69</f>
        <v>20206.651140298913</v>
      </c>
      <c r="Y96" s="833">
        <f>Y118+Y164+'SKY Mex'!AA69</f>
        <v>21383.767526779266</v>
      </c>
      <c r="Z96" s="833">
        <f>Z118+Z164+'SKY Mex'!AB69</f>
        <v>22367.75172387519</v>
      </c>
      <c r="AA96" s="833">
        <f>AA118+AA164+'SKY Mex'!AC69</f>
        <v>23358.703376160356</v>
      </c>
      <c r="AB96" s="833">
        <f>AB118+AB164+'SKY Mex'!AD69</f>
        <v>24356.723434318839</v>
      </c>
      <c r="AC96" s="833">
        <f>AC118+AC164+'SKY Mex'!AE69</f>
        <v>25361.914171302873</v>
      </c>
      <c r="AD96" s="833">
        <f>AD118+AD164+'SKY Mex'!AF69</f>
        <v>26374.379198683157</v>
      </c>
    </row>
    <row r="97" spans="2:32">
      <c r="B97" s="685" t="s">
        <v>470</v>
      </c>
      <c r="O97" s="795">
        <f t="shared" ref="O97:Y97" si="84">SUM(O93:O96)</f>
        <v>39095.585999999996</v>
      </c>
      <c r="P97" s="795">
        <f t="shared" si="84"/>
        <v>44033.319000000003</v>
      </c>
      <c r="Q97" s="795">
        <f t="shared" si="84"/>
        <v>52395.095000000001</v>
      </c>
      <c r="R97" s="795">
        <f t="shared" si="84"/>
        <v>56743.51</v>
      </c>
      <c r="S97" s="795">
        <f t="shared" si="84"/>
        <v>60980.438549999992</v>
      </c>
      <c r="T97" s="795">
        <f t="shared" si="84"/>
        <v>64695.181634000008</v>
      </c>
      <c r="U97" s="795">
        <f t="shared" si="84"/>
        <v>67225.797656470007</v>
      </c>
      <c r="V97" s="795">
        <f t="shared" si="84"/>
        <v>68975.395655825996</v>
      </c>
      <c r="W97" s="795">
        <f t="shared" si="84"/>
        <v>70535.741760003468</v>
      </c>
      <c r="X97" s="795">
        <f t="shared" si="84"/>
        <v>72081.051662798913</v>
      </c>
      <c r="Y97" s="795">
        <f t="shared" si="84"/>
        <v>73606.00787315426</v>
      </c>
      <c r="Z97" s="795">
        <f>SUM(Z93:Z96)</f>
        <v>74620.314902931437</v>
      </c>
      <c r="AA97" s="795">
        <f>SUM(AA93:AA96)</f>
        <v>75623.698246263782</v>
      </c>
      <c r="AB97" s="795">
        <f>SUM(AB93:AB96)</f>
        <v>76615.90341091709</v>
      </c>
      <c r="AC97" s="795">
        <f>SUM(AC93:AC96)</f>
        <v>77596.694999071216</v>
      </c>
      <c r="AD97" s="795">
        <f>SUM(AD93:AD96)</f>
        <v>78565.855835063092</v>
      </c>
    </row>
    <row r="99" spans="2:32">
      <c r="B99" s="804" t="s">
        <v>479</v>
      </c>
      <c r="C99" s="743"/>
      <c r="D99" s="743">
        <f t="shared" ref="D99:Y99" si="85">D92</f>
        <v>2009</v>
      </c>
      <c r="E99" s="743">
        <f t="shared" si="85"/>
        <v>2010</v>
      </c>
      <c r="F99" s="743">
        <f t="shared" si="85"/>
        <v>2011</v>
      </c>
      <c r="G99" s="743">
        <f t="shared" si="85"/>
        <v>2012</v>
      </c>
      <c r="H99" s="743">
        <f t="shared" si="85"/>
        <v>2013</v>
      </c>
      <c r="I99" s="743">
        <f t="shared" si="85"/>
        <v>2014</v>
      </c>
      <c r="J99" s="743">
        <f t="shared" si="85"/>
        <v>2015</v>
      </c>
      <c r="K99" s="743">
        <f t="shared" si="85"/>
        <v>2016</v>
      </c>
      <c r="L99" s="743">
        <f t="shared" si="85"/>
        <v>2017</v>
      </c>
      <c r="M99" s="743">
        <f t="shared" si="85"/>
        <v>2018</v>
      </c>
      <c r="N99" s="743">
        <f t="shared" si="85"/>
        <v>2019</v>
      </c>
      <c r="O99" s="743">
        <f t="shared" si="85"/>
        <v>2020</v>
      </c>
      <c r="P99" s="743">
        <f t="shared" si="85"/>
        <v>2021</v>
      </c>
      <c r="Q99" s="743">
        <f t="shared" si="85"/>
        <v>2022</v>
      </c>
      <c r="R99" s="743">
        <f t="shared" si="85"/>
        <v>2023</v>
      </c>
      <c r="S99" s="743">
        <f t="shared" si="85"/>
        <v>2024</v>
      </c>
      <c r="T99" s="743">
        <f t="shared" si="85"/>
        <v>2025</v>
      </c>
      <c r="U99" s="743">
        <f t="shared" si="85"/>
        <v>2026</v>
      </c>
      <c r="V99" s="743">
        <f t="shared" si="85"/>
        <v>2027</v>
      </c>
      <c r="W99" s="743">
        <f t="shared" si="85"/>
        <v>2028</v>
      </c>
      <c r="X99" s="743">
        <f t="shared" si="85"/>
        <v>2029</v>
      </c>
      <c r="Y99" s="743">
        <f t="shared" si="85"/>
        <v>2030</v>
      </c>
      <c r="Z99" s="743">
        <f>Z92</f>
        <v>2031</v>
      </c>
      <c r="AA99" s="743">
        <f>AA92</f>
        <v>2032</v>
      </c>
      <c r="AB99" s="743">
        <f>AB92</f>
        <v>2033</v>
      </c>
      <c r="AC99" s="743">
        <f>AC92</f>
        <v>2034</v>
      </c>
      <c r="AD99" s="743">
        <f>AD92</f>
        <v>2035</v>
      </c>
    </row>
    <row r="100" spans="2:32">
      <c r="B100" s="685" t="s">
        <v>466</v>
      </c>
      <c r="O100" s="917">
        <f>O93/O68</f>
        <v>2.3690444853908925</v>
      </c>
      <c r="P100" s="917">
        <f>P93/P68</f>
        <v>2.0833333333333335</v>
      </c>
      <c r="Q100" s="952">
        <v>2.5</v>
      </c>
      <c r="R100" s="952">
        <v>2.5</v>
      </c>
      <c r="S100" s="952">
        <v>2.5</v>
      </c>
      <c r="T100" s="952">
        <v>2.5</v>
      </c>
      <c r="U100" s="952">
        <v>2.5</v>
      </c>
      <c r="V100" s="952">
        <v>2.5</v>
      </c>
      <c r="W100" s="952">
        <v>2.5</v>
      </c>
      <c r="X100" s="952">
        <v>2.5</v>
      </c>
      <c r="Y100" s="952">
        <v>2.5</v>
      </c>
      <c r="Z100" s="952">
        <v>2.5</v>
      </c>
      <c r="AA100" s="952">
        <v>2.5</v>
      </c>
      <c r="AB100" s="952">
        <v>2.5</v>
      </c>
      <c r="AC100" s="952">
        <v>2.5</v>
      </c>
      <c r="AD100" s="952">
        <v>2.5</v>
      </c>
    </row>
    <row r="101" spans="2:32">
      <c r="B101" s="685" t="s">
        <v>467</v>
      </c>
      <c r="O101" s="953">
        <f>Interims!BC264</f>
        <v>2.4283545605474637</v>
      </c>
      <c r="P101" s="953">
        <v>2.25</v>
      </c>
      <c r="Q101" s="952">
        <f>P101</f>
        <v>2.25</v>
      </c>
      <c r="R101" s="952">
        <f t="shared" ref="R101:AD101" si="86">Q101</f>
        <v>2.25</v>
      </c>
      <c r="S101" s="952">
        <f t="shared" si="86"/>
        <v>2.25</v>
      </c>
      <c r="T101" s="952">
        <f t="shared" si="86"/>
        <v>2.25</v>
      </c>
      <c r="U101" s="952">
        <f t="shared" si="86"/>
        <v>2.25</v>
      </c>
      <c r="V101" s="952">
        <f t="shared" si="86"/>
        <v>2.25</v>
      </c>
      <c r="W101" s="952">
        <f t="shared" si="86"/>
        <v>2.25</v>
      </c>
      <c r="X101" s="952">
        <f t="shared" si="86"/>
        <v>2.25</v>
      </c>
      <c r="Y101" s="952">
        <f t="shared" si="86"/>
        <v>2.25</v>
      </c>
      <c r="Z101" s="952">
        <f t="shared" si="86"/>
        <v>2.25</v>
      </c>
      <c r="AA101" s="952">
        <f t="shared" si="86"/>
        <v>2.25</v>
      </c>
      <c r="AB101" s="952">
        <f t="shared" si="86"/>
        <v>2.25</v>
      </c>
      <c r="AC101" s="952">
        <f t="shared" si="86"/>
        <v>2.25</v>
      </c>
      <c r="AD101" s="952">
        <f t="shared" si="86"/>
        <v>2.25</v>
      </c>
    </row>
    <row r="102" spans="2:32">
      <c r="B102" s="685" t="s">
        <v>468</v>
      </c>
      <c r="O102" s="917">
        <f t="shared" ref="O102:Y102" si="87">O95/O70</f>
        <v>2.4281718789727944</v>
      </c>
      <c r="P102" s="917">
        <f t="shared" si="87"/>
        <v>2.505377317601734</v>
      </c>
      <c r="Q102" s="917">
        <f t="shared" si="87"/>
        <v>2.5507048658481128</v>
      </c>
      <c r="R102" s="917">
        <f t="shared" si="87"/>
        <v>2.5713708046906589</v>
      </c>
      <c r="S102" s="917">
        <f t="shared" si="87"/>
        <v>2.5714000047717005</v>
      </c>
      <c r="T102" s="917">
        <f t="shared" si="87"/>
        <v>2.5714000047717005</v>
      </c>
      <c r="U102" s="917">
        <f t="shared" si="87"/>
        <v>2.5714000047717005</v>
      </c>
      <c r="V102" s="917">
        <f t="shared" si="87"/>
        <v>2.5714000047717005</v>
      </c>
      <c r="W102" s="917">
        <f t="shared" si="87"/>
        <v>2.5714000047717005</v>
      </c>
      <c r="X102" s="917">
        <f t="shared" si="87"/>
        <v>2.5714000047717005</v>
      </c>
      <c r="Y102" s="917">
        <f t="shared" si="87"/>
        <v>2.5714000047717005</v>
      </c>
      <c r="Z102" s="917">
        <f>Z95/Z70</f>
        <v>2.5714000047717005</v>
      </c>
      <c r="AA102" s="917">
        <f>AA95/AA70</f>
        <v>2.5714000047717005</v>
      </c>
      <c r="AB102" s="917">
        <f>AB95/AB70</f>
        <v>2.5714000047717005</v>
      </c>
      <c r="AC102" s="917">
        <f>AC95/AC70</f>
        <v>2.5714000047717005</v>
      </c>
      <c r="AD102" s="917">
        <f>AD95/AD70</f>
        <v>2.5714000047717005</v>
      </c>
    </row>
    <row r="103" spans="2:32">
      <c r="B103" s="743" t="s">
        <v>469</v>
      </c>
      <c r="C103" s="743"/>
      <c r="D103" s="743"/>
      <c r="E103" s="743"/>
      <c r="F103" s="743"/>
      <c r="G103" s="743"/>
      <c r="H103" s="743"/>
      <c r="I103" s="743"/>
      <c r="J103" s="743"/>
      <c r="K103" s="743"/>
      <c r="L103" s="743"/>
      <c r="M103" s="743"/>
      <c r="N103" s="743"/>
      <c r="O103" s="954">
        <f>O96/O71</f>
        <v>2.6423895253682486</v>
      </c>
      <c r="P103" s="955">
        <v>2.65</v>
      </c>
      <c r="Q103" s="956">
        <f t="shared" ref="Q103:AD103" si="88">P103+Q123</f>
        <v>2.65</v>
      </c>
      <c r="R103" s="956">
        <f t="shared" si="88"/>
        <v>2.65</v>
      </c>
      <c r="S103" s="956">
        <f t="shared" si="88"/>
        <v>2.65</v>
      </c>
      <c r="T103" s="956">
        <f t="shared" si="88"/>
        <v>2.65</v>
      </c>
      <c r="U103" s="956">
        <f t="shared" si="88"/>
        <v>2.65</v>
      </c>
      <c r="V103" s="956">
        <f t="shared" si="88"/>
        <v>2.65</v>
      </c>
      <c r="W103" s="956">
        <f t="shared" si="88"/>
        <v>2.65</v>
      </c>
      <c r="X103" s="956">
        <f t="shared" si="88"/>
        <v>2.65</v>
      </c>
      <c r="Y103" s="956">
        <f t="shared" si="88"/>
        <v>2.65</v>
      </c>
      <c r="Z103" s="956">
        <f t="shared" si="88"/>
        <v>2.65</v>
      </c>
      <c r="AA103" s="956">
        <f t="shared" si="88"/>
        <v>2.65</v>
      </c>
      <c r="AB103" s="956">
        <f t="shared" si="88"/>
        <v>2.65</v>
      </c>
      <c r="AC103" s="956">
        <f t="shared" si="88"/>
        <v>2.65</v>
      </c>
      <c r="AD103" s="956">
        <f t="shared" si="88"/>
        <v>2.65</v>
      </c>
    </row>
    <row r="104" spans="2:32">
      <c r="B104" s="685" t="s">
        <v>470</v>
      </c>
      <c r="P104" s="917">
        <f t="shared" ref="P104:Y104" si="89">P97/P72</f>
        <v>2.3388898106217479</v>
      </c>
      <c r="Q104" s="917">
        <f t="shared" si="89"/>
        <v>2.4466364627165871</v>
      </c>
      <c r="R104" s="917">
        <f t="shared" si="89"/>
        <v>2.4745053911866424</v>
      </c>
      <c r="S104" s="917">
        <f t="shared" si="89"/>
        <v>2.4985100518006984</v>
      </c>
      <c r="T104" s="917">
        <f t="shared" si="89"/>
        <v>2.5196031507693095</v>
      </c>
      <c r="U104" s="917">
        <f t="shared" si="89"/>
        <v>2.5387318365943279</v>
      </c>
      <c r="V104" s="917">
        <f t="shared" si="89"/>
        <v>2.560327051096507</v>
      </c>
      <c r="W104" s="917">
        <f t="shared" si="89"/>
        <v>2.5844384075164539</v>
      </c>
      <c r="X104" s="917">
        <f t="shared" si="89"/>
        <v>2.6081441496511042</v>
      </c>
      <c r="Y104" s="917">
        <f t="shared" si="89"/>
        <v>2.6315158433322399</v>
      </c>
      <c r="Z104" s="917">
        <f>Z97/Z72</f>
        <v>2.6667586631028546</v>
      </c>
      <c r="AA104" s="917">
        <f>AA97/AA72</f>
        <v>2.7022446532110318</v>
      </c>
      <c r="AB104" s="917">
        <f>AB97/AB72</f>
        <v>2.7380061000505673</v>
      </c>
      <c r="AC104" s="917">
        <f>AC97/AC72</f>
        <v>2.7740764062634704</v>
      </c>
      <c r="AD104" s="917">
        <f>AD97/AD72</f>
        <v>2.8104901495355903</v>
      </c>
    </row>
    <row r="107" spans="2:32">
      <c r="B107" s="804" t="s">
        <v>480</v>
      </c>
      <c r="C107" s="804"/>
      <c r="D107" s="804">
        <f t="shared" ref="D107:AD107" si="90">D1</f>
        <v>2009</v>
      </c>
      <c r="E107" s="804">
        <f t="shared" si="90"/>
        <v>2010</v>
      </c>
      <c r="F107" s="804">
        <f t="shared" si="90"/>
        <v>2011</v>
      </c>
      <c r="G107" s="804">
        <f t="shared" si="90"/>
        <v>2012</v>
      </c>
      <c r="H107" s="804">
        <f t="shared" si="90"/>
        <v>2013</v>
      </c>
      <c r="I107" s="804">
        <f t="shared" si="90"/>
        <v>2014</v>
      </c>
      <c r="J107" s="804">
        <f t="shared" si="90"/>
        <v>2015</v>
      </c>
      <c r="K107" s="804">
        <f t="shared" si="90"/>
        <v>2016</v>
      </c>
      <c r="L107" s="804">
        <f t="shared" si="90"/>
        <v>2017</v>
      </c>
      <c r="M107" s="804">
        <f t="shared" si="90"/>
        <v>2018</v>
      </c>
      <c r="N107" s="804">
        <f t="shared" si="90"/>
        <v>2019</v>
      </c>
      <c r="O107" s="804">
        <f t="shared" si="90"/>
        <v>2020</v>
      </c>
      <c r="P107" s="804">
        <f t="shared" si="90"/>
        <v>2021</v>
      </c>
      <c r="Q107" s="804">
        <f t="shared" si="90"/>
        <v>2022</v>
      </c>
      <c r="R107" s="804">
        <f t="shared" si="90"/>
        <v>2023</v>
      </c>
      <c r="S107" s="804">
        <f t="shared" si="90"/>
        <v>2024</v>
      </c>
      <c r="T107" s="804">
        <f t="shared" si="90"/>
        <v>2025</v>
      </c>
      <c r="U107" s="804">
        <f t="shared" si="90"/>
        <v>2026</v>
      </c>
      <c r="V107" s="804">
        <f t="shared" si="90"/>
        <v>2027</v>
      </c>
      <c r="W107" s="804">
        <f t="shared" si="90"/>
        <v>2028</v>
      </c>
      <c r="X107" s="804">
        <f t="shared" si="90"/>
        <v>2029</v>
      </c>
      <c r="Y107" s="804">
        <f t="shared" si="90"/>
        <v>2030</v>
      </c>
      <c r="Z107" s="804">
        <f t="shared" si="90"/>
        <v>2031</v>
      </c>
      <c r="AA107" s="804">
        <f t="shared" si="90"/>
        <v>2032</v>
      </c>
      <c r="AB107" s="804">
        <f t="shared" si="90"/>
        <v>2033</v>
      </c>
      <c r="AC107" s="804">
        <f t="shared" si="90"/>
        <v>2034</v>
      </c>
      <c r="AD107" s="804">
        <f t="shared" si="90"/>
        <v>2035</v>
      </c>
    </row>
    <row r="108" spans="2:32">
      <c r="B108" s="685" t="s">
        <v>466</v>
      </c>
      <c r="D108" s="936">
        <v>15882</v>
      </c>
      <c r="E108" s="936">
        <v>15591</v>
      </c>
      <c r="F108" s="936">
        <v>14814</v>
      </c>
      <c r="G108" s="934">
        <v>14221.285</v>
      </c>
      <c r="H108" s="934">
        <v>13543</v>
      </c>
      <c r="I108" s="934">
        <v>13100</v>
      </c>
      <c r="J108" s="934">
        <v>13063</v>
      </c>
      <c r="K108" s="934">
        <v>12857</v>
      </c>
      <c r="L108" s="934">
        <v>12625</v>
      </c>
      <c r="M108" s="934">
        <v>12715</v>
      </c>
      <c r="N108" s="934">
        <v>12299</v>
      </c>
      <c r="O108" s="934">
        <v>11914</v>
      </c>
      <c r="P108" s="934">
        <v>11371</v>
      </c>
      <c r="Q108" s="934">
        <v>10799</v>
      </c>
      <c r="R108" s="934">
        <v>10682</v>
      </c>
      <c r="S108" s="796">
        <f t="shared" ref="S108:Y110" si="91">S135*S$120</f>
        <v>10580.380649999999</v>
      </c>
      <c r="T108" s="796">
        <f t="shared" si="91"/>
        <v>10202.717636999998</v>
      </c>
      <c r="U108" s="796">
        <f t="shared" si="91"/>
        <v>9709.5814811099972</v>
      </c>
      <c r="V108" s="796">
        <f t="shared" si="91"/>
        <v>9205.5623303384982</v>
      </c>
      <c r="W108" s="796">
        <f t="shared" si="91"/>
        <v>8690.4918384034554</v>
      </c>
      <c r="X108" s="796">
        <f t="shared" si="91"/>
        <v>8164.1993803966798</v>
      </c>
      <c r="Y108" s="796">
        <f t="shared" si="91"/>
        <v>7626.5120240459282</v>
      </c>
      <c r="Z108" s="796">
        <f t="shared" ref="Z108:AD110" si="92">Z135*Z$120</f>
        <v>7077.2545006301225</v>
      </c>
      <c r="AA108" s="796">
        <f t="shared" si="92"/>
        <v>6516.2491755435958</v>
      </c>
      <c r="AB108" s="796">
        <f t="shared" si="92"/>
        <v>5943.3160185052757</v>
      </c>
      <c r="AC108" s="796">
        <f t="shared" si="92"/>
        <v>5358.2725734086353</v>
      </c>
      <c r="AD108" s="796">
        <f t="shared" si="92"/>
        <v>4760.9339278082107</v>
      </c>
    </row>
    <row r="109" spans="2:32">
      <c r="B109" s="685" t="s">
        <v>481</v>
      </c>
      <c r="D109" s="936">
        <v>962</v>
      </c>
      <c r="E109" s="936">
        <v>1043</v>
      </c>
      <c r="F109" s="936">
        <v>1039</v>
      </c>
      <c r="G109" s="934">
        <v>997</v>
      </c>
      <c r="H109" s="934">
        <v>936</v>
      </c>
      <c r="I109" s="934">
        <v>908</v>
      </c>
      <c r="J109" s="934">
        <v>815</v>
      </c>
      <c r="K109" s="934">
        <v>507</v>
      </c>
      <c r="L109" s="934">
        <v>461</v>
      </c>
      <c r="M109" s="934">
        <v>0</v>
      </c>
      <c r="N109" s="934">
        <f>M109</f>
        <v>0</v>
      </c>
      <c r="O109" s="934">
        <f>N109</f>
        <v>0</v>
      </c>
      <c r="P109" s="934">
        <f>O109</f>
        <v>0</v>
      </c>
      <c r="Q109" s="934">
        <f>P109</f>
        <v>0</v>
      </c>
      <c r="R109" s="934">
        <f>Q109</f>
        <v>0</v>
      </c>
      <c r="S109" s="796">
        <f t="shared" si="91"/>
        <v>0</v>
      </c>
      <c r="T109" s="796">
        <f t="shared" si="91"/>
        <v>0</v>
      </c>
      <c r="U109" s="796">
        <f t="shared" si="91"/>
        <v>0</v>
      </c>
      <c r="V109" s="796">
        <f t="shared" si="91"/>
        <v>0</v>
      </c>
      <c r="W109" s="796">
        <f t="shared" si="91"/>
        <v>0</v>
      </c>
      <c r="X109" s="796">
        <f t="shared" si="91"/>
        <v>0</v>
      </c>
      <c r="Y109" s="796">
        <f t="shared" si="91"/>
        <v>0</v>
      </c>
      <c r="Z109" s="796">
        <f t="shared" si="92"/>
        <v>0</v>
      </c>
      <c r="AA109" s="796">
        <f t="shared" si="92"/>
        <v>0</v>
      </c>
      <c r="AB109" s="796">
        <f t="shared" si="92"/>
        <v>0</v>
      </c>
      <c r="AC109" s="796">
        <f t="shared" si="92"/>
        <v>0</v>
      </c>
      <c r="AD109" s="796">
        <f t="shared" si="92"/>
        <v>0</v>
      </c>
    </row>
    <row r="110" spans="2:32">
      <c r="B110" s="685" t="s">
        <v>482</v>
      </c>
      <c r="D110" s="936">
        <v>345</v>
      </c>
      <c r="E110" s="936">
        <v>344</v>
      </c>
      <c r="F110" s="936">
        <v>337</v>
      </c>
      <c r="G110" s="934">
        <v>349</v>
      </c>
      <c r="H110" s="934">
        <v>322</v>
      </c>
      <c r="I110" s="934">
        <v>323</v>
      </c>
      <c r="J110" s="934">
        <v>289</v>
      </c>
      <c r="K110" s="934">
        <v>221</v>
      </c>
      <c r="L110" s="934">
        <v>197</v>
      </c>
      <c r="M110" s="934">
        <v>149</v>
      </c>
      <c r="N110" s="934">
        <v>149</v>
      </c>
      <c r="O110" s="934">
        <v>149</v>
      </c>
      <c r="P110" s="796">
        <f>P137*P$120</f>
        <v>155.89930439155214</v>
      </c>
      <c r="Q110" s="796">
        <f>Q137*Q$120</f>
        <v>165.95792826014079</v>
      </c>
      <c r="R110" s="796">
        <f>R137*R$120</f>
        <v>174.25582467314786</v>
      </c>
      <c r="S110" s="796">
        <f t="shared" si="91"/>
        <v>180.35477853670801</v>
      </c>
      <c r="T110" s="796">
        <f t="shared" si="91"/>
        <v>183.96187410744218</v>
      </c>
      <c r="U110" s="796">
        <f t="shared" si="91"/>
        <v>185.80149284851657</v>
      </c>
      <c r="V110" s="796">
        <f t="shared" si="91"/>
        <v>187.65950777700175</v>
      </c>
      <c r="W110" s="796">
        <f t="shared" si="91"/>
        <v>189.53610285477177</v>
      </c>
      <c r="X110" s="796">
        <f t="shared" si="91"/>
        <v>191.43146388331951</v>
      </c>
      <c r="Y110" s="796">
        <f t="shared" si="91"/>
        <v>193.3457785221527</v>
      </c>
      <c r="Z110" s="796">
        <f t="shared" si="92"/>
        <v>195.27923630737422</v>
      </c>
      <c r="AA110" s="796">
        <f t="shared" si="92"/>
        <v>197.23202867044796</v>
      </c>
      <c r="AB110" s="796">
        <f t="shared" si="92"/>
        <v>199.20434895715243</v>
      </c>
      <c r="AC110" s="796">
        <f t="shared" si="92"/>
        <v>201.19639244672396</v>
      </c>
      <c r="AD110" s="796">
        <f t="shared" si="92"/>
        <v>203.2083563711912</v>
      </c>
    </row>
    <row r="111" spans="2:32">
      <c r="B111" s="685" t="s">
        <v>468</v>
      </c>
      <c r="D111" s="936">
        <v>415</v>
      </c>
      <c r="E111" s="936">
        <v>463</v>
      </c>
      <c r="F111" s="936">
        <v>495</v>
      </c>
      <c r="G111" s="934">
        <v>556</v>
      </c>
      <c r="H111" s="934">
        <v>578</v>
      </c>
      <c r="I111" s="934">
        <v>721</v>
      </c>
      <c r="J111" s="934">
        <v>896</v>
      </c>
      <c r="K111" s="934">
        <v>1176</v>
      </c>
      <c r="L111" s="934">
        <v>1467</v>
      </c>
      <c r="M111" s="934">
        <v>1813</v>
      </c>
      <c r="N111" s="934">
        <v>2130.538</v>
      </c>
      <c r="O111" s="934">
        <v>2627</v>
      </c>
      <c r="P111" s="934">
        <v>3031.1190000000001</v>
      </c>
      <c r="Q111" s="934">
        <v>3404.125</v>
      </c>
      <c r="R111" s="934">
        <v>4082</v>
      </c>
      <c r="S111" s="820">
        <v>4532.0550000000003</v>
      </c>
      <c r="T111" s="820">
        <v>4867.0550000000003</v>
      </c>
      <c r="U111" s="820">
        <v>4967.0550000000003</v>
      </c>
      <c r="V111" s="820">
        <v>5067.0550000000003</v>
      </c>
      <c r="W111" s="820">
        <v>5117.0550000000003</v>
      </c>
      <c r="X111" s="820">
        <v>5167.0550000000003</v>
      </c>
      <c r="Y111" s="820">
        <v>5217.0550000000003</v>
      </c>
      <c r="Z111" s="820">
        <v>5217.0550000000003</v>
      </c>
      <c r="AA111" s="820">
        <v>5217.0550000000003</v>
      </c>
      <c r="AB111" s="820">
        <v>5217.0550000000003</v>
      </c>
      <c r="AC111" s="820">
        <v>5217.0550000000003</v>
      </c>
      <c r="AD111" s="820">
        <v>5217.0550000000003</v>
      </c>
    </row>
    <row r="112" spans="2:32">
      <c r="B112" s="817" t="s">
        <v>467</v>
      </c>
      <c r="C112" s="817"/>
      <c r="D112" s="937">
        <f t="shared" ref="D112:K112" si="93">D113+D114+D115+D116+D117</f>
        <v>356</v>
      </c>
      <c r="E112" s="937">
        <f t="shared" si="93"/>
        <v>501</v>
      </c>
      <c r="F112" s="937">
        <f t="shared" si="93"/>
        <v>649</v>
      </c>
      <c r="G112" s="937">
        <f t="shared" si="93"/>
        <v>754</v>
      </c>
      <c r="H112" s="937">
        <f t="shared" si="93"/>
        <v>1058</v>
      </c>
      <c r="I112" s="937">
        <f t="shared" si="93"/>
        <v>1325.5</v>
      </c>
      <c r="J112" s="937">
        <f t="shared" si="93"/>
        <v>1891</v>
      </c>
      <c r="K112" s="937">
        <f t="shared" si="93"/>
        <v>2113</v>
      </c>
      <c r="L112" s="1783">
        <f>Interims!AN261</f>
        <v>2121.9520000000002</v>
      </c>
      <c r="M112" s="1783">
        <f>Interims!AS261</f>
        <v>2978.5079999999998</v>
      </c>
      <c r="N112" s="1783">
        <f>Interims!AX261</f>
        <v>3637.9920000000002</v>
      </c>
      <c r="O112" s="1783">
        <f>Interims!BC261</f>
        <v>4296.53</v>
      </c>
      <c r="P112" s="1783">
        <f>Interims!BH261</f>
        <v>4617.2650000000003</v>
      </c>
      <c r="Q112" s="1783">
        <f>Interims!BM261</f>
        <v>5233.7240000000002</v>
      </c>
      <c r="R112" s="1783">
        <f>Interims!BR261</f>
        <v>5351.1450000000004</v>
      </c>
      <c r="S112" s="1783">
        <f>Interims!BW261</f>
        <v>5382.9489999999996</v>
      </c>
      <c r="T112" s="1784">
        <v>5533</v>
      </c>
      <c r="U112" s="1784">
        <f>T112+75</f>
        <v>5608</v>
      </c>
      <c r="V112" s="1784">
        <f>U112+50</f>
        <v>5658</v>
      </c>
      <c r="W112" s="1784">
        <f t="shared" ref="W112:AD112" si="94">V112+50</f>
        <v>5708</v>
      </c>
      <c r="X112" s="1784">
        <f t="shared" si="94"/>
        <v>5758</v>
      </c>
      <c r="Y112" s="1784">
        <f t="shared" si="94"/>
        <v>5808</v>
      </c>
      <c r="Z112" s="1784">
        <f t="shared" si="94"/>
        <v>5858</v>
      </c>
      <c r="AA112" s="1784">
        <f t="shared" si="94"/>
        <v>5908</v>
      </c>
      <c r="AB112" s="1784">
        <f t="shared" si="94"/>
        <v>5958</v>
      </c>
      <c r="AC112" s="1784">
        <f t="shared" si="94"/>
        <v>6008</v>
      </c>
      <c r="AD112" s="1784">
        <f t="shared" si="94"/>
        <v>6058</v>
      </c>
      <c r="AE112" s="2034"/>
      <c r="AF112" s="796"/>
    </row>
    <row r="113" spans="2:30" outlineLevel="1">
      <c r="B113" s="685" t="s">
        <v>483</v>
      </c>
      <c r="D113" s="936">
        <v>134</v>
      </c>
      <c r="E113" s="936">
        <v>190</v>
      </c>
      <c r="F113" s="936">
        <v>251</v>
      </c>
      <c r="G113" s="934">
        <v>319</v>
      </c>
      <c r="H113" s="934">
        <v>415</v>
      </c>
      <c r="I113" s="934">
        <v>474</v>
      </c>
      <c r="J113" s="796">
        <f t="shared" ref="J113:M116" si="95">J140*J$120</f>
        <v>617.6</v>
      </c>
      <c r="K113" s="796">
        <f t="shared" si="95"/>
        <v>649.40000000000009</v>
      </c>
      <c r="L113" s="796">
        <f t="shared" si="95"/>
        <v>665.47050000000002</v>
      </c>
      <c r="M113" s="796">
        <f t="shared" si="95"/>
        <v>859.005</v>
      </c>
      <c r="N113" s="934">
        <f>Interims!AX261-N114-N115-N116-N117</f>
        <v>553.07971929824555</v>
      </c>
      <c r="O113" s="796">
        <f>Interims!BC261-O114-O115-O116-O117</f>
        <v>466.35799999999949</v>
      </c>
      <c r="P113" s="796"/>
      <c r="Q113" s="796"/>
      <c r="R113" s="796"/>
      <c r="S113" s="796"/>
      <c r="T113" s="796"/>
      <c r="U113" s="796"/>
      <c r="V113" s="796"/>
      <c r="W113" s="796"/>
      <c r="X113" s="796"/>
      <c r="Y113" s="796"/>
      <c r="Z113" s="796"/>
      <c r="AA113" s="796"/>
      <c r="AB113" s="796"/>
      <c r="AC113" s="796"/>
      <c r="AD113" s="796"/>
    </row>
    <row r="114" spans="2:30" outlineLevel="1">
      <c r="B114" s="685" t="s">
        <v>484</v>
      </c>
      <c r="D114" s="936">
        <v>146</v>
      </c>
      <c r="E114" s="936">
        <v>205</v>
      </c>
      <c r="F114" s="936">
        <v>266</v>
      </c>
      <c r="G114" s="934">
        <v>302</v>
      </c>
      <c r="H114" s="934">
        <v>348</v>
      </c>
      <c r="I114" s="934">
        <v>433</v>
      </c>
      <c r="J114" s="796">
        <f t="shared" si="95"/>
        <v>530.75</v>
      </c>
      <c r="K114" s="796">
        <f t="shared" si="95"/>
        <v>611.20000000000005</v>
      </c>
      <c r="L114" s="796">
        <f t="shared" si="95"/>
        <v>626.89250000000004</v>
      </c>
      <c r="M114" s="796">
        <f t="shared" si="95"/>
        <v>811.28250000000003</v>
      </c>
      <c r="N114" s="957">
        <f t="shared" ref="N114:O117" si="96">N141*N$120</f>
        <v>1101.7543859649124</v>
      </c>
      <c r="O114" s="796">
        <f t="shared" si="96"/>
        <v>1431.84</v>
      </c>
      <c r="P114" s="796"/>
      <c r="Q114" s="796"/>
      <c r="R114" s="796"/>
      <c r="S114" s="796"/>
      <c r="T114" s="796"/>
      <c r="U114" s="796"/>
      <c r="V114" s="796"/>
      <c r="W114" s="796"/>
      <c r="X114" s="796"/>
      <c r="Y114" s="796"/>
      <c r="Z114" s="796"/>
      <c r="AA114" s="796"/>
      <c r="AB114" s="796"/>
      <c r="AC114" s="796"/>
      <c r="AD114" s="796"/>
    </row>
    <row r="115" spans="2:30" outlineLevel="1">
      <c r="B115" s="685" t="s">
        <v>485</v>
      </c>
      <c r="D115" s="936">
        <v>76</v>
      </c>
      <c r="E115" s="936">
        <v>106</v>
      </c>
      <c r="F115" s="936">
        <v>132</v>
      </c>
      <c r="G115" s="934">
        <v>133</v>
      </c>
      <c r="H115" s="934">
        <v>153</v>
      </c>
      <c r="I115" s="934">
        <v>183</v>
      </c>
      <c r="J115" s="796">
        <f t="shared" si="95"/>
        <v>289.5</v>
      </c>
      <c r="K115" s="796">
        <f t="shared" si="95"/>
        <v>324.70000000000005</v>
      </c>
      <c r="L115" s="796">
        <f t="shared" si="95"/>
        <v>337.5575</v>
      </c>
      <c r="M115" s="796">
        <f t="shared" si="95"/>
        <v>477.22500000000002</v>
      </c>
      <c r="N115" s="957">
        <f t="shared" si="96"/>
        <v>572.91228070175453</v>
      </c>
      <c r="O115" s="796">
        <f t="shared" si="96"/>
        <v>835.24000000000012</v>
      </c>
      <c r="P115" s="796"/>
      <c r="Q115" s="796"/>
      <c r="R115" s="796"/>
      <c r="S115" s="796"/>
      <c r="T115" s="796"/>
      <c r="U115" s="796"/>
      <c r="V115" s="796"/>
      <c r="W115" s="796"/>
      <c r="X115" s="796"/>
      <c r="Y115" s="796"/>
      <c r="Z115" s="796"/>
      <c r="AA115" s="796"/>
      <c r="AB115" s="796"/>
      <c r="AC115" s="796"/>
      <c r="AD115" s="796"/>
    </row>
    <row r="116" spans="2:30" outlineLevel="1">
      <c r="B116" s="685" t="s">
        <v>486</v>
      </c>
      <c r="D116" s="936"/>
      <c r="E116" s="936"/>
      <c r="F116" s="936"/>
      <c r="G116" s="934"/>
      <c r="H116" s="934">
        <v>142</v>
      </c>
      <c r="I116" s="934">
        <v>138</v>
      </c>
      <c r="J116" s="796">
        <f t="shared" si="95"/>
        <v>181.79354838709679</v>
      </c>
      <c r="K116" s="796">
        <f t="shared" si="95"/>
        <v>229.20000000000002</v>
      </c>
      <c r="L116" s="796">
        <f t="shared" si="95"/>
        <v>241.11250000000001</v>
      </c>
      <c r="M116" s="796">
        <f t="shared" si="95"/>
        <v>343.60199999999998</v>
      </c>
      <c r="N116" s="957">
        <f t="shared" si="96"/>
        <v>418.66666666666669</v>
      </c>
      <c r="O116" s="796">
        <f t="shared" si="96"/>
        <v>477.28000000000003</v>
      </c>
      <c r="P116" s="796"/>
      <c r="Q116" s="796"/>
      <c r="R116" s="796"/>
      <c r="S116" s="796"/>
      <c r="T116" s="796"/>
      <c r="U116" s="796"/>
      <c r="V116" s="796"/>
      <c r="W116" s="796"/>
      <c r="X116" s="796"/>
      <c r="Y116" s="796"/>
      <c r="Z116" s="796"/>
      <c r="AA116" s="796"/>
      <c r="AB116" s="796"/>
      <c r="AC116" s="796"/>
      <c r="AD116" s="796"/>
    </row>
    <row r="117" spans="2:30" outlineLevel="1">
      <c r="B117" s="685" t="s">
        <v>487</v>
      </c>
      <c r="D117" s="936"/>
      <c r="E117" s="936"/>
      <c r="F117" s="936"/>
      <c r="G117" s="934"/>
      <c r="H117" s="934"/>
      <c r="I117" s="934">
        <f>650*0.15</f>
        <v>97.5</v>
      </c>
      <c r="J117" s="934">
        <f>1891-J113-J114-J115-J116</f>
        <v>271.3564516129033</v>
      </c>
      <c r="K117" s="934">
        <f>2113-K113-K114-K115-K116</f>
        <v>298.49999999999977</v>
      </c>
      <c r="L117" s="934">
        <f>2122-L113-L114-L115-L116</f>
        <v>250.96700000000004</v>
      </c>
      <c r="M117" s="934">
        <f>2979-M113-M114-M115-M116</f>
        <v>487.88549999999987</v>
      </c>
      <c r="N117" s="957">
        <f t="shared" si="96"/>
        <v>991.57894736842115</v>
      </c>
      <c r="O117" s="796">
        <f t="shared" si="96"/>
        <v>1085.8119999999999</v>
      </c>
      <c r="P117" s="796"/>
      <c r="Q117" s="796"/>
      <c r="R117" s="796"/>
      <c r="S117" s="796"/>
      <c r="T117" s="796"/>
      <c r="U117" s="796"/>
      <c r="V117" s="796"/>
      <c r="W117" s="796"/>
      <c r="X117" s="796"/>
      <c r="Y117" s="796"/>
      <c r="Z117" s="796"/>
      <c r="AA117" s="796"/>
      <c r="AB117" s="796"/>
      <c r="AC117" s="796"/>
      <c r="AD117" s="796"/>
    </row>
    <row r="118" spans="2:30">
      <c r="B118" s="685" t="s">
        <v>469</v>
      </c>
      <c r="D118" s="936"/>
      <c r="E118" s="936"/>
      <c r="F118" s="936"/>
      <c r="G118" s="934"/>
      <c r="H118" s="934"/>
      <c r="I118" s="934"/>
      <c r="J118" s="934"/>
      <c r="K118" s="934"/>
      <c r="L118" s="934"/>
      <c r="M118" s="934"/>
      <c r="N118" s="934">
        <v>1371.0982658959538</v>
      </c>
      <c r="O118" s="934">
        <v>2372</v>
      </c>
      <c r="P118" s="796">
        <f t="shared" ref="P118:Y118" si="97">P145*P$120</f>
        <v>3495.6600000000003</v>
      </c>
      <c r="Q118" s="796">
        <f t="shared" si="97"/>
        <v>3987.0000000000005</v>
      </c>
      <c r="R118" s="796">
        <f t="shared" si="97"/>
        <v>4465.4400000000005</v>
      </c>
      <c r="S118" s="796">
        <f t="shared" si="97"/>
        <v>4910.5885500000013</v>
      </c>
      <c r="T118" s="796">
        <f t="shared" si="97"/>
        <v>5303.4356340000013</v>
      </c>
      <c r="U118" s="796">
        <f t="shared" si="97"/>
        <v>5654.051656470001</v>
      </c>
      <c r="V118" s="796">
        <f t="shared" si="97"/>
        <v>6011.1496558260014</v>
      </c>
      <c r="W118" s="796">
        <f t="shared" si="97"/>
        <v>6374.8242100034749</v>
      </c>
      <c r="X118" s="796">
        <f t="shared" si="97"/>
        <v>6745.1711402989149</v>
      </c>
      <c r="Y118" s="796">
        <f t="shared" si="97"/>
        <v>7122.2875267792642</v>
      </c>
      <c r="Z118" s="796">
        <f t="shared" ref="Z118:AD119" si="98">Z145*Z$120</f>
        <v>7506.2717238751893</v>
      </c>
      <c r="AA118" s="796">
        <f t="shared" si="98"/>
        <v>7897.2233761603557</v>
      </c>
      <c r="AB118" s="796">
        <f t="shared" si="98"/>
        <v>8295.2434343188379</v>
      </c>
      <c r="AC118" s="796">
        <f t="shared" si="98"/>
        <v>8700.4341713028734</v>
      </c>
      <c r="AD118" s="796">
        <f t="shared" si="98"/>
        <v>9112.8991986831588</v>
      </c>
    </row>
    <row r="119" spans="2:30">
      <c r="B119" s="743" t="s">
        <v>488</v>
      </c>
      <c r="C119" s="743"/>
      <c r="D119" s="743">
        <v>1544</v>
      </c>
      <c r="E119" s="743">
        <v>1949</v>
      </c>
      <c r="F119" s="743">
        <v>2349</v>
      </c>
      <c r="G119" s="927">
        <f>G120-SUM(G108:G115)</f>
        <v>2957.7150000000001</v>
      </c>
      <c r="H119" s="927">
        <f>H120-SUM(H108:H116)</f>
        <v>3095</v>
      </c>
      <c r="I119" s="927">
        <f>I120-SUM(I108:I117)</f>
        <v>897</v>
      </c>
      <c r="J119" s="927">
        <f>J120-SUM(J108:J117)</f>
        <v>455</v>
      </c>
      <c r="K119" s="927">
        <f t="shared" ref="K119:Q119" si="99">K120-K118-K112-K111-K110-K109-K108</f>
        <v>2226</v>
      </c>
      <c r="L119" s="927">
        <f t="shared" si="99"/>
        <v>2417.0479999999989</v>
      </c>
      <c r="M119" s="927">
        <f t="shared" si="99"/>
        <v>1433.4920000000002</v>
      </c>
      <c r="N119" s="927">
        <f t="shared" si="99"/>
        <v>2447.4594534022908</v>
      </c>
      <c r="O119" s="927">
        <f t="shared" si="99"/>
        <v>2505.4700000000012</v>
      </c>
      <c r="P119" s="927">
        <f t="shared" si="99"/>
        <v>2298.0566956084476</v>
      </c>
      <c r="Q119" s="927">
        <f t="shared" si="99"/>
        <v>2990.1930717398573</v>
      </c>
      <c r="R119" s="927">
        <f t="shared" ref="R119:Y119" si="100">R146*R$120</f>
        <v>3020.0971753268486</v>
      </c>
      <c r="S119" s="927">
        <f t="shared" si="100"/>
        <v>3230.2384402132911</v>
      </c>
      <c r="T119" s="927">
        <f t="shared" si="100"/>
        <v>3337.7537391925553</v>
      </c>
      <c r="U119" s="927">
        <f t="shared" si="100"/>
        <v>3542.9880761819809</v>
      </c>
      <c r="V119" s="927">
        <f t="shared" si="100"/>
        <v>3753.5066190372768</v>
      </c>
      <c r="W119" s="927">
        <f t="shared" si="100"/>
        <v>4019.3845284420577</v>
      </c>
      <c r="X119" s="927">
        <f t="shared" si="100"/>
        <v>4290.6979398730318</v>
      </c>
      <c r="Y119" s="927">
        <f t="shared" si="100"/>
        <v>4567.5239755797811</v>
      </c>
      <c r="Z119" s="927">
        <f t="shared" si="98"/>
        <v>4899.9407567066801</v>
      </c>
      <c r="AA119" s="927">
        <f t="shared" si="98"/>
        <v>5238.0274155585557</v>
      </c>
      <c r="AB119" s="927">
        <f t="shared" si="98"/>
        <v>5581.8641080117968</v>
      </c>
      <c r="AC119" s="927">
        <f t="shared" si="98"/>
        <v>5931.532026072553</v>
      </c>
      <c r="AD119" s="927">
        <f t="shared" si="98"/>
        <v>6287.1134105837227</v>
      </c>
    </row>
    <row r="120" spans="2:30">
      <c r="B120" s="685" t="s">
        <v>489</v>
      </c>
      <c r="D120" s="936">
        <v>19504</v>
      </c>
      <c r="E120" s="936">
        <v>19891</v>
      </c>
      <c r="F120" s="936">
        <v>19683</v>
      </c>
      <c r="G120" s="934">
        <v>20589</v>
      </c>
      <c r="H120" s="934">
        <v>20590</v>
      </c>
      <c r="I120" s="934">
        <v>18600</v>
      </c>
      <c r="J120" s="934">
        <v>19300</v>
      </c>
      <c r="K120" s="934">
        <v>19100</v>
      </c>
      <c r="L120" s="934">
        <v>19289</v>
      </c>
      <c r="M120" s="934">
        <v>19089</v>
      </c>
      <c r="N120" s="934">
        <f>O120/1.083</f>
        <v>22035.087719298248</v>
      </c>
      <c r="O120" s="934">
        <v>23864</v>
      </c>
      <c r="P120" s="934">
        <v>24969</v>
      </c>
      <c r="Q120" s="934">
        <v>26580</v>
      </c>
      <c r="R120" s="796">
        <f t="shared" ref="R120:AD120" si="101">(1+R122)*Q120</f>
        <v>27909</v>
      </c>
      <c r="S120" s="796">
        <f t="shared" si="101"/>
        <v>28885.814999999999</v>
      </c>
      <c r="T120" s="796">
        <f t="shared" si="101"/>
        <v>29463.531299999999</v>
      </c>
      <c r="U120" s="796">
        <f t="shared" si="101"/>
        <v>29758.166612999998</v>
      </c>
      <c r="V120" s="796">
        <f t="shared" si="101"/>
        <v>30055.748279129999</v>
      </c>
      <c r="W120" s="796">
        <f t="shared" si="101"/>
        <v>30356.3057619213</v>
      </c>
      <c r="X120" s="796">
        <f t="shared" si="101"/>
        <v>30659.868819540512</v>
      </c>
      <c r="Y120" s="796">
        <f t="shared" si="101"/>
        <v>30966.467507735917</v>
      </c>
      <c r="Z120" s="796">
        <f t="shared" si="101"/>
        <v>31276.132182813275</v>
      </c>
      <c r="AA120" s="796">
        <f t="shared" si="101"/>
        <v>31588.893504641408</v>
      </c>
      <c r="AB120" s="796">
        <f t="shared" si="101"/>
        <v>31904.782439687824</v>
      </c>
      <c r="AC120" s="796">
        <f t="shared" si="101"/>
        <v>32223.830264084703</v>
      </c>
      <c r="AD120" s="796">
        <f t="shared" si="101"/>
        <v>32546.068566725549</v>
      </c>
    </row>
    <row r="121" spans="2:30">
      <c r="B121" s="685" t="s">
        <v>490</v>
      </c>
      <c r="D121" s="685">
        <v>17960</v>
      </c>
      <c r="E121" s="685">
        <v>17942</v>
      </c>
      <c r="F121" s="685">
        <v>17334</v>
      </c>
      <c r="G121" s="685">
        <v>16887</v>
      </c>
    </row>
    <row r="122" spans="2:30">
      <c r="B122" s="685" t="s">
        <v>491</v>
      </c>
      <c r="E122" s="814">
        <f t="shared" ref="E122:M122" si="102">E120/D120-1</f>
        <v>1.9842083675143618E-2</v>
      </c>
      <c r="F122" s="814">
        <f t="shared" si="102"/>
        <v>-1.0456990598763261E-2</v>
      </c>
      <c r="G122" s="814">
        <f t="shared" si="102"/>
        <v>4.6029568663313425E-2</v>
      </c>
      <c r="H122" s="814">
        <f t="shared" si="102"/>
        <v>4.85696245569045E-5</v>
      </c>
      <c r="I122" s="814">
        <f t="shared" si="102"/>
        <v>-9.6648858669256876E-2</v>
      </c>
      <c r="J122" s="814">
        <f t="shared" si="102"/>
        <v>3.7634408602150504E-2</v>
      </c>
      <c r="K122" s="814">
        <f t="shared" si="102"/>
        <v>-1.0362694300518172E-2</v>
      </c>
      <c r="L122" s="814">
        <f t="shared" si="102"/>
        <v>9.8952879581151176E-3</v>
      </c>
      <c r="M122" s="814">
        <f t="shared" si="102"/>
        <v>-1.0368603867489279E-2</v>
      </c>
      <c r="N122" s="814">
        <f>N120/M120-1</f>
        <v>0.15433431396606667</v>
      </c>
      <c r="O122" s="814">
        <f>O120/N120-1</f>
        <v>8.2999999999999963E-2</v>
      </c>
      <c r="P122" s="814">
        <f>P120/O120-1</f>
        <v>4.6304056319141695E-2</v>
      </c>
      <c r="Q122" s="814">
        <f>Q120/P120-1</f>
        <v>6.4520004805959319E-2</v>
      </c>
      <c r="R122" s="914">
        <v>0.05</v>
      </c>
      <c r="S122" s="914">
        <v>3.5000000000000003E-2</v>
      </c>
      <c r="T122" s="914">
        <v>0.02</v>
      </c>
      <c r="U122" s="914">
        <v>0.01</v>
      </c>
      <c r="V122" s="914">
        <v>0.01</v>
      </c>
      <c r="W122" s="914">
        <v>0.01</v>
      </c>
      <c r="X122" s="914">
        <v>0.01</v>
      </c>
      <c r="Y122" s="914">
        <v>0.01</v>
      </c>
      <c r="Z122" s="914">
        <v>0.01</v>
      </c>
      <c r="AA122" s="914">
        <v>0.01</v>
      </c>
      <c r="AB122" s="914">
        <v>0.01</v>
      </c>
      <c r="AC122" s="914">
        <v>0.01</v>
      </c>
      <c r="AD122" s="914">
        <v>0.01</v>
      </c>
    </row>
    <row r="123" spans="2:30">
      <c r="E123" s="814"/>
      <c r="F123" s="814"/>
      <c r="G123" s="814"/>
      <c r="H123" s="814"/>
      <c r="I123" s="814"/>
      <c r="J123" s="814"/>
      <c r="K123" s="814"/>
      <c r="L123" s="814"/>
      <c r="M123" s="814"/>
      <c r="N123" s="814"/>
      <c r="O123" s="814"/>
      <c r="P123" s="814"/>
      <c r="Q123" s="814"/>
      <c r="R123" s="814"/>
      <c r="S123" s="814"/>
      <c r="T123" s="814"/>
      <c r="U123" s="814"/>
      <c r="V123" s="814"/>
      <c r="W123" s="814"/>
      <c r="X123" s="814"/>
      <c r="Y123" s="814"/>
      <c r="Z123" s="814"/>
      <c r="AA123" s="814"/>
      <c r="AB123" s="814"/>
      <c r="AC123" s="814"/>
      <c r="AD123" s="814"/>
    </row>
    <row r="124" spans="2:30">
      <c r="B124" s="685" t="s">
        <v>492</v>
      </c>
      <c r="E124" s="814"/>
      <c r="F124" s="796">
        <f t="shared" ref="F124:R124" si="103">F112-E112</f>
        <v>148</v>
      </c>
      <c r="G124" s="796">
        <f t="shared" si="103"/>
        <v>105</v>
      </c>
      <c r="H124" s="796">
        <f t="shared" si="103"/>
        <v>304</v>
      </c>
      <c r="I124" s="796">
        <f t="shared" si="103"/>
        <v>267.5</v>
      </c>
      <c r="J124" s="796">
        <f t="shared" si="103"/>
        <v>565.5</v>
      </c>
      <c r="K124" s="796">
        <f t="shared" si="103"/>
        <v>222</v>
      </c>
      <c r="L124" s="796">
        <f t="shared" si="103"/>
        <v>8.9520000000002256</v>
      </c>
      <c r="M124" s="796">
        <f t="shared" si="103"/>
        <v>856.55599999999959</v>
      </c>
      <c r="N124" s="796">
        <f t="shared" si="103"/>
        <v>659.48400000000038</v>
      </c>
      <c r="O124" s="796">
        <f t="shared" si="103"/>
        <v>658.53799999999956</v>
      </c>
      <c r="P124" s="796">
        <f t="shared" si="103"/>
        <v>320.73500000000058</v>
      </c>
      <c r="Q124" s="796">
        <f t="shared" si="103"/>
        <v>616.45899999999983</v>
      </c>
      <c r="R124" s="796">
        <f t="shared" si="103"/>
        <v>117.42100000000028</v>
      </c>
      <c r="S124" s="796">
        <f>S112-R112</f>
        <v>31.803999999999178</v>
      </c>
      <c r="T124" s="796">
        <f t="shared" ref="T124:AD124" si="104">T112-S112</f>
        <v>150.05100000000039</v>
      </c>
      <c r="U124" s="796">
        <f t="shared" si="104"/>
        <v>75</v>
      </c>
      <c r="V124" s="796">
        <f t="shared" si="104"/>
        <v>50</v>
      </c>
      <c r="W124" s="796">
        <f t="shared" si="104"/>
        <v>50</v>
      </c>
      <c r="X124" s="796">
        <f t="shared" si="104"/>
        <v>50</v>
      </c>
      <c r="Y124" s="796">
        <f t="shared" si="104"/>
        <v>50</v>
      </c>
      <c r="Z124" s="796">
        <f t="shared" si="104"/>
        <v>50</v>
      </c>
      <c r="AA124" s="796">
        <f t="shared" si="104"/>
        <v>50</v>
      </c>
      <c r="AB124" s="796">
        <f t="shared" si="104"/>
        <v>50</v>
      </c>
      <c r="AC124" s="796">
        <f t="shared" si="104"/>
        <v>50</v>
      </c>
      <c r="AD124" s="796">
        <f t="shared" si="104"/>
        <v>50</v>
      </c>
    </row>
    <row r="125" spans="2:30">
      <c r="E125" s="814"/>
      <c r="F125" s="814"/>
      <c r="G125" s="814"/>
      <c r="H125" s="814"/>
      <c r="I125" s="814"/>
      <c r="J125" s="814"/>
      <c r="K125" s="814"/>
      <c r="L125" s="814"/>
      <c r="M125" s="814"/>
      <c r="N125" s="814"/>
      <c r="O125" s="814"/>
      <c r="P125" s="814"/>
      <c r="Q125" s="814"/>
      <c r="R125" s="814"/>
      <c r="S125" s="814"/>
      <c r="T125" s="814"/>
      <c r="U125" s="814"/>
      <c r="V125" s="814"/>
      <c r="W125" s="814"/>
      <c r="X125" s="814"/>
      <c r="Y125" s="814"/>
      <c r="Z125" s="814"/>
      <c r="AA125" s="814"/>
      <c r="AB125" s="814"/>
      <c r="AC125" s="814"/>
      <c r="AD125" s="814"/>
    </row>
    <row r="126" spans="2:30">
      <c r="B126" s="685" t="s">
        <v>493</v>
      </c>
      <c r="E126" s="936">
        <v>14326</v>
      </c>
      <c r="F126" s="936">
        <v>14149</v>
      </c>
      <c r="G126" s="936">
        <v>14289</v>
      </c>
      <c r="H126" s="936">
        <v>14027</v>
      </c>
      <c r="I126" s="796">
        <f t="shared" ref="I126:T126" si="105">(1+I127)*H126</f>
        <v>13886.73</v>
      </c>
      <c r="J126" s="796">
        <f t="shared" si="105"/>
        <v>13747.8627</v>
      </c>
      <c r="K126" s="796">
        <f t="shared" si="105"/>
        <v>13610.384072999999</v>
      </c>
      <c r="L126" s="796">
        <f t="shared" si="105"/>
        <v>13474.280232269999</v>
      </c>
      <c r="M126" s="796">
        <f t="shared" si="105"/>
        <v>13339.537429947299</v>
      </c>
      <c r="N126" s="934">
        <f>O126/1.089</f>
        <v>16253.443526170799</v>
      </c>
      <c r="O126" s="934">
        <v>17700</v>
      </c>
      <c r="P126" s="796">
        <f t="shared" si="105"/>
        <v>17523</v>
      </c>
      <c r="Q126" s="796">
        <f t="shared" si="105"/>
        <v>17347.77</v>
      </c>
      <c r="R126" s="796">
        <f t="shared" si="105"/>
        <v>17174.292300000001</v>
      </c>
      <c r="S126" s="796">
        <f t="shared" si="105"/>
        <v>17002.549376999999</v>
      </c>
      <c r="T126" s="796">
        <f t="shared" si="105"/>
        <v>16832.523883229998</v>
      </c>
      <c r="U126" s="796">
        <f t="shared" ref="U126:AD126" si="106">(1+U127)*T126</f>
        <v>16664.198644397697</v>
      </c>
      <c r="V126" s="796">
        <f t="shared" si="106"/>
        <v>16497.556657953719</v>
      </c>
      <c r="W126" s="796">
        <f t="shared" si="106"/>
        <v>16332.581091374183</v>
      </c>
      <c r="X126" s="796">
        <f t="shared" si="106"/>
        <v>16169.25528046044</v>
      </c>
      <c r="Y126" s="796">
        <f t="shared" si="106"/>
        <v>16007.562727655835</v>
      </c>
      <c r="Z126" s="796">
        <f t="shared" si="106"/>
        <v>15847.487100379276</v>
      </c>
      <c r="AA126" s="796">
        <f t="shared" si="106"/>
        <v>15689.012229375483</v>
      </c>
      <c r="AB126" s="796">
        <f t="shared" si="106"/>
        <v>15532.122107081728</v>
      </c>
      <c r="AC126" s="796">
        <f t="shared" si="106"/>
        <v>15376.800886010911</v>
      </c>
      <c r="AD126" s="796">
        <f t="shared" si="106"/>
        <v>15223.032877150801</v>
      </c>
    </row>
    <row r="127" spans="2:30">
      <c r="B127" s="685" t="s">
        <v>192</v>
      </c>
      <c r="F127" s="789">
        <f>F126/E126-1</f>
        <v>-1.2355158453162041E-2</v>
      </c>
      <c r="G127" s="789">
        <f>G126/F126-1</f>
        <v>9.8946922043960939E-3</v>
      </c>
      <c r="H127" s="789">
        <f>H126/G126-1</f>
        <v>-1.8335782769962949E-2</v>
      </c>
      <c r="I127" s="933">
        <v>-0.01</v>
      </c>
      <c r="J127" s="933">
        <v>-0.01</v>
      </c>
      <c r="K127" s="933">
        <v>-0.01</v>
      </c>
      <c r="L127" s="933">
        <v>-0.01</v>
      </c>
      <c r="M127" s="933">
        <v>-0.01</v>
      </c>
      <c r="N127" s="933">
        <v>-0.01</v>
      </c>
      <c r="O127" s="789">
        <f>O126/N126-1</f>
        <v>8.8999999999999968E-2</v>
      </c>
      <c r="P127" s="914">
        <v>-0.01</v>
      </c>
      <c r="Q127" s="914">
        <v>-0.01</v>
      </c>
      <c r="R127" s="914">
        <v>-0.01</v>
      </c>
      <c r="S127" s="914">
        <v>-0.01</v>
      </c>
      <c r="T127" s="914">
        <v>-0.01</v>
      </c>
      <c r="U127" s="914">
        <v>-0.01</v>
      </c>
      <c r="V127" s="914">
        <v>-0.01</v>
      </c>
      <c r="W127" s="914">
        <v>-0.01</v>
      </c>
      <c r="X127" s="914">
        <v>-0.01</v>
      </c>
      <c r="Y127" s="914">
        <v>-0.01</v>
      </c>
      <c r="Z127" s="914">
        <v>-0.01</v>
      </c>
      <c r="AA127" s="914">
        <v>-0.01</v>
      </c>
      <c r="AB127" s="914">
        <v>-0.01</v>
      </c>
      <c r="AC127" s="914">
        <v>-0.01</v>
      </c>
      <c r="AD127" s="914">
        <v>-0.01</v>
      </c>
    </row>
    <row r="128" spans="2:30">
      <c r="B128" s="685" t="s">
        <v>494</v>
      </c>
      <c r="E128" s="685">
        <f t="shared" ref="E128:M128" si="107">E120-E126</f>
        <v>5565</v>
      </c>
      <c r="F128" s="685">
        <f t="shared" si="107"/>
        <v>5534</v>
      </c>
      <c r="G128" s="796">
        <f t="shared" si="107"/>
        <v>6300</v>
      </c>
      <c r="H128" s="796">
        <f t="shared" si="107"/>
        <v>6563</v>
      </c>
      <c r="I128" s="796">
        <f t="shared" si="107"/>
        <v>4713.2700000000004</v>
      </c>
      <c r="J128" s="796">
        <f t="shared" si="107"/>
        <v>5552.1373000000003</v>
      </c>
      <c r="K128" s="796">
        <f t="shared" si="107"/>
        <v>5489.6159270000007</v>
      </c>
      <c r="L128" s="796">
        <f t="shared" si="107"/>
        <v>5814.719767730001</v>
      </c>
      <c r="M128" s="796">
        <f t="shared" si="107"/>
        <v>5749.4625700527013</v>
      </c>
      <c r="N128" s="796">
        <f t="shared" ref="N128:T128" si="108">N120-N126</f>
        <v>5781.6441931274494</v>
      </c>
      <c r="O128" s="796">
        <f t="shared" si="108"/>
        <v>6164</v>
      </c>
      <c r="P128" s="796">
        <f t="shared" si="108"/>
        <v>7446</v>
      </c>
      <c r="Q128" s="796">
        <f t="shared" si="108"/>
        <v>9232.23</v>
      </c>
      <c r="R128" s="796">
        <f t="shared" si="108"/>
        <v>10734.707699999999</v>
      </c>
      <c r="S128" s="796">
        <f t="shared" si="108"/>
        <v>11883.265622999999</v>
      </c>
      <c r="T128" s="796">
        <f t="shared" si="108"/>
        <v>12631.00741677</v>
      </c>
      <c r="U128" s="796">
        <f t="shared" ref="U128:AD128" si="109">U120-U126</f>
        <v>13093.967968602301</v>
      </c>
      <c r="V128" s="796">
        <f t="shared" si="109"/>
        <v>13558.19162117628</v>
      </c>
      <c r="W128" s="796">
        <f t="shared" si="109"/>
        <v>14023.724670547117</v>
      </c>
      <c r="X128" s="796">
        <f t="shared" si="109"/>
        <v>14490.613539080072</v>
      </c>
      <c r="Y128" s="796">
        <f t="shared" si="109"/>
        <v>14958.904780080082</v>
      </c>
      <c r="Z128" s="796">
        <f t="shared" si="109"/>
        <v>15428.645082433999</v>
      </c>
      <c r="AA128" s="796">
        <f t="shared" si="109"/>
        <v>15899.881275265925</v>
      </c>
      <c r="AB128" s="796">
        <f t="shared" si="109"/>
        <v>16372.660332606096</v>
      </c>
      <c r="AC128" s="796">
        <f t="shared" si="109"/>
        <v>16847.029378073792</v>
      </c>
      <c r="AD128" s="796">
        <f t="shared" si="109"/>
        <v>17323.035689574746</v>
      </c>
    </row>
    <row r="129" spans="2:30">
      <c r="B129" s="685" t="s">
        <v>192</v>
      </c>
      <c r="F129" s="789">
        <f t="shared" ref="F129:T129" si="110">F128/E128-1</f>
        <v>-5.5705300988320161E-3</v>
      </c>
      <c r="G129" s="789">
        <f t="shared" si="110"/>
        <v>0.13841705818576067</v>
      </c>
      <c r="H129" s="789">
        <f t="shared" si="110"/>
        <v>4.1746031746031642E-2</v>
      </c>
      <c r="I129" s="789">
        <f t="shared" si="110"/>
        <v>-0.28184214536035346</v>
      </c>
      <c r="J129" s="789">
        <f t="shared" si="110"/>
        <v>0.1779798950622391</v>
      </c>
      <c r="K129" s="789">
        <f t="shared" si="110"/>
        <v>-1.1260775737660489E-2</v>
      </c>
      <c r="L129" s="789">
        <f t="shared" si="110"/>
        <v>5.9221600391207163E-2</v>
      </c>
      <c r="M129" s="789">
        <f t="shared" si="110"/>
        <v>-1.1222758840324198E-2</v>
      </c>
      <c r="N129" s="789">
        <f t="shared" si="110"/>
        <v>5.597327173216593E-3</v>
      </c>
      <c r="O129" s="789">
        <f t="shared" si="110"/>
        <v>6.6132711405356037E-2</v>
      </c>
      <c r="P129" s="789">
        <f t="shared" si="110"/>
        <v>0.20798182998053205</v>
      </c>
      <c r="Q129" s="789">
        <f t="shared" si="110"/>
        <v>0.23989121676067682</v>
      </c>
      <c r="R129" s="789">
        <f t="shared" si="110"/>
        <v>0.16274266347350519</v>
      </c>
      <c r="S129" s="789">
        <f t="shared" si="110"/>
        <v>0.1069948018239939</v>
      </c>
      <c r="T129" s="789">
        <f t="shared" si="110"/>
        <v>6.2923931644071951E-2</v>
      </c>
      <c r="U129" s="789">
        <f t="shared" ref="U129:AD129" si="111">U128/T128-1</f>
        <v>3.6652702081200195E-2</v>
      </c>
      <c r="V129" s="789">
        <f t="shared" si="111"/>
        <v>3.5453244859551258E-2</v>
      </c>
      <c r="W129" s="789">
        <f t="shared" si="111"/>
        <v>3.4335924906366611E-2</v>
      </c>
      <c r="X129" s="789">
        <f t="shared" si="111"/>
        <v>3.3292786296177379E-2</v>
      </c>
      <c r="Y129" s="789">
        <f t="shared" si="111"/>
        <v>3.2316867725239229E-2</v>
      </c>
      <c r="Z129" s="789">
        <f t="shared" si="111"/>
        <v>3.1402051771827866E-2</v>
      </c>
      <c r="AA129" s="789">
        <f t="shared" si="111"/>
        <v>3.0542940764671789E-2</v>
      </c>
      <c r="AB129" s="789">
        <f t="shared" si="111"/>
        <v>2.973475393653624E-2</v>
      </c>
      <c r="AC129" s="789">
        <f t="shared" si="111"/>
        <v>2.8973241723154297E-2</v>
      </c>
      <c r="AD129" s="789">
        <f t="shared" si="111"/>
        <v>2.8254613963009545E-2</v>
      </c>
    </row>
    <row r="130" spans="2:30">
      <c r="G130" s="814"/>
      <c r="H130" s="814"/>
      <c r="I130" s="814"/>
      <c r="J130" s="814"/>
      <c r="K130" s="814"/>
      <c r="L130" s="814"/>
      <c r="M130" s="814"/>
      <c r="N130" s="814"/>
      <c r="O130" s="814"/>
      <c r="P130" s="814"/>
      <c r="Q130" s="814"/>
      <c r="R130" s="814"/>
      <c r="S130" s="814"/>
      <c r="T130" s="814"/>
      <c r="U130" s="814"/>
      <c r="V130" s="814"/>
      <c r="W130" s="814"/>
      <c r="X130" s="814"/>
      <c r="Y130" s="814"/>
      <c r="Z130" s="814"/>
      <c r="AA130" s="814"/>
      <c r="AB130" s="814"/>
      <c r="AC130" s="814"/>
      <c r="AD130" s="814"/>
    </row>
    <row r="131" spans="2:30">
      <c r="B131" s="936" t="s">
        <v>495</v>
      </c>
      <c r="C131" s="936"/>
      <c r="D131" s="936">
        <v>28000</v>
      </c>
      <c r="E131" s="936">
        <v>28000</v>
      </c>
      <c r="F131" s="936">
        <f t="shared" ref="F131:L131" si="112">G131-250</f>
        <v>28800</v>
      </c>
      <c r="G131" s="936">
        <f t="shared" si="112"/>
        <v>29050</v>
      </c>
      <c r="H131" s="936">
        <f t="shared" si="112"/>
        <v>29300</v>
      </c>
      <c r="I131" s="936">
        <f t="shared" si="112"/>
        <v>29550</v>
      </c>
      <c r="J131" s="936">
        <f t="shared" si="112"/>
        <v>29800</v>
      </c>
      <c r="K131" s="936">
        <f t="shared" si="112"/>
        <v>30050</v>
      </c>
      <c r="L131" s="936">
        <f t="shared" si="112"/>
        <v>30300</v>
      </c>
      <c r="M131" s="936">
        <f>N131-250</f>
        <v>30550</v>
      </c>
      <c r="N131" s="936">
        <v>30800</v>
      </c>
      <c r="O131" s="936">
        <v>31100</v>
      </c>
      <c r="P131" s="820">
        <f>O131*1.02</f>
        <v>31722</v>
      </c>
      <c r="Q131" s="820">
        <f t="shared" ref="Q131:AD131" si="113">P131*1.02</f>
        <v>32356.440000000002</v>
      </c>
      <c r="R131" s="820">
        <f t="shared" si="113"/>
        <v>33003.568800000001</v>
      </c>
      <c r="S131" s="820">
        <f t="shared" si="113"/>
        <v>33663.640176000001</v>
      </c>
      <c r="T131" s="820">
        <f t="shared" si="113"/>
        <v>34336.912979519999</v>
      </c>
      <c r="U131" s="820">
        <f t="shared" si="113"/>
        <v>35023.651239110397</v>
      </c>
      <c r="V131" s="820">
        <f t="shared" si="113"/>
        <v>35724.124263892605</v>
      </c>
      <c r="W131" s="820">
        <f t="shared" si="113"/>
        <v>36438.60674917046</v>
      </c>
      <c r="X131" s="820">
        <f t="shared" si="113"/>
        <v>37167.37888415387</v>
      </c>
      <c r="Y131" s="820">
        <f t="shared" si="113"/>
        <v>37910.726461836945</v>
      </c>
      <c r="Z131" s="820">
        <f t="shared" si="113"/>
        <v>38668.940991073687</v>
      </c>
      <c r="AA131" s="820">
        <f t="shared" si="113"/>
        <v>39442.319810895162</v>
      </c>
      <c r="AB131" s="820">
        <f t="shared" si="113"/>
        <v>40231.166207113063</v>
      </c>
      <c r="AC131" s="820">
        <f t="shared" si="113"/>
        <v>41035.789531255323</v>
      </c>
      <c r="AD131" s="820">
        <f t="shared" si="113"/>
        <v>41856.505321880431</v>
      </c>
    </row>
    <row r="132" spans="2:30">
      <c r="B132" s="685" t="s">
        <v>496</v>
      </c>
      <c r="E132" s="789">
        <f t="shared" ref="E132:M132" si="114">E126/E131</f>
        <v>0.51164285714285718</v>
      </c>
      <c r="F132" s="789">
        <f t="shared" si="114"/>
        <v>0.49128472222222225</v>
      </c>
      <c r="G132" s="789">
        <f t="shared" si="114"/>
        <v>0.49187607573149744</v>
      </c>
      <c r="H132" s="789">
        <f t="shared" si="114"/>
        <v>0.47873720136518771</v>
      </c>
      <c r="I132" s="789">
        <f t="shared" si="114"/>
        <v>0.4699401015228426</v>
      </c>
      <c r="J132" s="789">
        <f t="shared" si="114"/>
        <v>0.46133767449664431</v>
      </c>
      <c r="K132" s="789">
        <f t="shared" si="114"/>
        <v>0.45292459477537433</v>
      </c>
      <c r="L132" s="789">
        <f t="shared" si="114"/>
        <v>0.44469571723663365</v>
      </c>
      <c r="M132" s="789">
        <f t="shared" si="114"/>
        <v>0.4366460697200425</v>
      </c>
      <c r="N132" s="789">
        <f t="shared" ref="N132:T132" si="115">N126/N131</f>
        <v>0.52770920539515576</v>
      </c>
      <c r="O132" s="789">
        <f t="shared" si="115"/>
        <v>0.56913183279742763</v>
      </c>
      <c r="P132" s="789">
        <f t="shared" si="115"/>
        <v>0.5523926612445621</v>
      </c>
      <c r="Q132" s="789">
        <f t="shared" si="115"/>
        <v>0.53614581826678087</v>
      </c>
      <c r="R132" s="789">
        <f t="shared" si="115"/>
        <v>0.52037682361187554</v>
      </c>
      <c r="S132" s="789">
        <f t="shared" si="115"/>
        <v>0.50507162291740859</v>
      </c>
      <c r="T132" s="789">
        <f t="shared" si="115"/>
        <v>0.49021657518454365</v>
      </c>
      <c r="U132" s="789">
        <f t="shared" ref="U132:AD132" si="116">U126/U131</f>
        <v>0.47579844062029236</v>
      </c>
      <c r="V132" s="789">
        <f t="shared" si="116"/>
        <v>0.46180436883734255</v>
      </c>
      <c r="W132" s="789">
        <f t="shared" si="116"/>
        <v>0.44822188740095009</v>
      </c>
      <c r="X132" s="789">
        <f t="shared" si="116"/>
        <v>0.43503889071268687</v>
      </c>
      <c r="Y132" s="789">
        <f t="shared" si="116"/>
        <v>0.42224362922113723</v>
      </c>
      <c r="Z132" s="789">
        <f t="shared" si="116"/>
        <v>0.40982469894992729</v>
      </c>
      <c r="AA132" s="789">
        <f t="shared" si="116"/>
        <v>0.39777103133375291</v>
      </c>
      <c r="AB132" s="789">
        <f t="shared" si="116"/>
        <v>0.38607188335334847</v>
      </c>
      <c r="AC132" s="789">
        <f t="shared" si="116"/>
        <v>0.37471682796060291</v>
      </c>
      <c r="AD132" s="789">
        <f t="shared" si="116"/>
        <v>0.36369574478529104</v>
      </c>
    </row>
    <row r="133" spans="2:30">
      <c r="R133" s="796"/>
      <c r="S133" s="796"/>
      <c r="T133" s="796"/>
      <c r="U133" s="796"/>
      <c r="V133" s="796"/>
      <c r="W133" s="796"/>
      <c r="X133" s="796"/>
      <c r="Y133" s="796"/>
      <c r="Z133" s="796"/>
      <c r="AA133" s="796"/>
      <c r="AB133" s="796"/>
      <c r="AC133" s="796"/>
      <c r="AD133" s="796"/>
    </row>
    <row r="134" spans="2:30">
      <c r="B134" s="685" t="s">
        <v>497</v>
      </c>
      <c r="R134" s="796"/>
      <c r="S134" s="796"/>
      <c r="T134" s="796"/>
      <c r="U134" s="796"/>
      <c r="V134" s="796"/>
      <c r="W134" s="796"/>
      <c r="X134" s="796"/>
      <c r="Y134" s="796"/>
      <c r="Z134" s="796"/>
      <c r="AA134" s="796"/>
      <c r="AB134" s="796"/>
      <c r="AC134" s="796"/>
      <c r="AD134" s="796"/>
    </row>
    <row r="135" spans="2:30">
      <c r="B135" s="685" t="str">
        <f>B108</f>
        <v>Telmex</v>
      </c>
      <c r="D135" s="814">
        <f t="shared" ref="D135:Q135" si="117">D108/D$120</f>
        <v>0.81429450369155043</v>
      </c>
      <c r="E135" s="814">
        <f t="shared" si="117"/>
        <v>0.78382182896787489</v>
      </c>
      <c r="F135" s="814">
        <f t="shared" si="117"/>
        <v>0.75262917238225879</v>
      </c>
      <c r="G135" s="814">
        <f t="shared" si="117"/>
        <v>0.69072247316528246</v>
      </c>
      <c r="H135" s="814">
        <f t="shared" si="117"/>
        <v>0.65774647887323945</v>
      </c>
      <c r="I135" s="814">
        <f t="shared" si="117"/>
        <v>0.70430107526881724</v>
      </c>
      <c r="J135" s="814">
        <f t="shared" si="117"/>
        <v>0.67683937823834195</v>
      </c>
      <c r="K135" s="814">
        <f t="shared" si="117"/>
        <v>0.67314136125654456</v>
      </c>
      <c r="L135" s="814">
        <f t="shared" si="117"/>
        <v>0.65451811913525848</v>
      </c>
      <c r="M135" s="814">
        <f t="shared" si="117"/>
        <v>0.66609041856566609</v>
      </c>
      <c r="N135" s="814">
        <f t="shared" si="117"/>
        <v>0.55815525477706995</v>
      </c>
      <c r="O135" s="814">
        <f t="shared" si="117"/>
        <v>0.49924572577941667</v>
      </c>
      <c r="P135" s="814">
        <f t="shared" si="117"/>
        <v>0.45540470183026954</v>
      </c>
      <c r="Q135" s="814">
        <f t="shared" si="117"/>
        <v>0.40628291948833711</v>
      </c>
      <c r="R135" s="914">
        <f t="shared" ref="R135:AD135" si="118">Q135-2%</f>
        <v>0.3862829194883371</v>
      </c>
      <c r="S135" s="914">
        <f t="shared" si="118"/>
        <v>0.36628291948833708</v>
      </c>
      <c r="T135" s="914">
        <f t="shared" si="118"/>
        <v>0.34628291948833706</v>
      </c>
      <c r="U135" s="914">
        <f t="shared" si="118"/>
        <v>0.32628291948833704</v>
      </c>
      <c r="V135" s="914">
        <f t="shared" si="118"/>
        <v>0.30628291948833702</v>
      </c>
      <c r="W135" s="914">
        <f t="shared" si="118"/>
        <v>0.28628291948833701</v>
      </c>
      <c r="X135" s="914">
        <f t="shared" si="118"/>
        <v>0.26628291948833699</v>
      </c>
      <c r="Y135" s="914">
        <f t="shared" si="118"/>
        <v>0.246282919488337</v>
      </c>
      <c r="Z135" s="914">
        <f t="shared" si="118"/>
        <v>0.22628291948833701</v>
      </c>
      <c r="AA135" s="914">
        <f t="shared" si="118"/>
        <v>0.20628291948833702</v>
      </c>
      <c r="AB135" s="914">
        <f t="shared" si="118"/>
        <v>0.18628291948833703</v>
      </c>
      <c r="AC135" s="914">
        <f t="shared" si="118"/>
        <v>0.16628291948833704</v>
      </c>
      <c r="AD135" s="914">
        <f t="shared" si="118"/>
        <v>0.14628291948833705</v>
      </c>
    </row>
    <row r="136" spans="2:30">
      <c r="B136" s="685" t="str">
        <f>B109</f>
        <v>Axtel</v>
      </c>
      <c r="D136" s="814">
        <f t="shared" ref="D136:Q136" si="119">D109/D$120</f>
        <v>4.9323215750615261E-2</v>
      </c>
      <c r="E136" s="814">
        <f t="shared" si="119"/>
        <v>5.2435774973606152E-2</v>
      </c>
      <c r="F136" s="814">
        <f t="shared" si="119"/>
        <v>5.2786668698877201E-2</v>
      </c>
      <c r="G136" s="814">
        <f t="shared" si="119"/>
        <v>4.8423915683131771E-2</v>
      </c>
      <c r="H136" s="814">
        <f t="shared" si="119"/>
        <v>4.5458960660514816E-2</v>
      </c>
      <c r="I136" s="814">
        <f t="shared" si="119"/>
        <v>4.8817204301075272E-2</v>
      </c>
      <c r="J136" s="814">
        <f t="shared" si="119"/>
        <v>4.2227979274611402E-2</v>
      </c>
      <c r="K136" s="814">
        <f t="shared" si="119"/>
        <v>2.6544502617801048E-2</v>
      </c>
      <c r="L136" s="814">
        <f t="shared" si="119"/>
        <v>2.3899631914562704E-2</v>
      </c>
      <c r="M136" s="814">
        <f t="shared" si="119"/>
        <v>0</v>
      </c>
      <c r="N136" s="814">
        <f t="shared" si="119"/>
        <v>0</v>
      </c>
      <c r="O136" s="814">
        <f t="shared" si="119"/>
        <v>0</v>
      </c>
      <c r="P136" s="814">
        <f t="shared" si="119"/>
        <v>0</v>
      </c>
      <c r="Q136" s="814">
        <f t="shared" si="119"/>
        <v>0</v>
      </c>
      <c r="R136" s="914">
        <f t="shared" ref="R136:AD136" si="120">Q136</f>
        <v>0</v>
      </c>
      <c r="S136" s="914">
        <f t="shared" si="120"/>
        <v>0</v>
      </c>
      <c r="T136" s="914">
        <f t="shared" si="120"/>
        <v>0</v>
      </c>
      <c r="U136" s="914">
        <f t="shared" si="120"/>
        <v>0</v>
      </c>
      <c r="V136" s="914">
        <f t="shared" si="120"/>
        <v>0</v>
      </c>
      <c r="W136" s="914">
        <f t="shared" si="120"/>
        <v>0</v>
      </c>
      <c r="X136" s="914">
        <f t="shared" si="120"/>
        <v>0</v>
      </c>
      <c r="Y136" s="914">
        <f t="shared" si="120"/>
        <v>0</v>
      </c>
      <c r="Z136" s="914">
        <f t="shared" si="120"/>
        <v>0</v>
      </c>
      <c r="AA136" s="914">
        <f t="shared" si="120"/>
        <v>0</v>
      </c>
      <c r="AB136" s="914">
        <f t="shared" si="120"/>
        <v>0</v>
      </c>
      <c r="AC136" s="914">
        <f t="shared" si="120"/>
        <v>0</v>
      </c>
      <c r="AD136" s="914">
        <f t="shared" si="120"/>
        <v>0</v>
      </c>
    </row>
    <row r="137" spans="2:30">
      <c r="B137" s="685" t="str">
        <f>B110</f>
        <v>Maxcom</v>
      </c>
      <c r="D137" s="814">
        <f t="shared" ref="D137:O137" si="121">D110/D$120</f>
        <v>1.7688679245283018E-2</v>
      </c>
      <c r="E137" s="814">
        <f t="shared" si="121"/>
        <v>1.7294253682570006E-2</v>
      </c>
      <c r="F137" s="814">
        <f t="shared" si="121"/>
        <v>1.7121373774323021E-2</v>
      </c>
      <c r="G137" s="814">
        <f t="shared" si="121"/>
        <v>1.695079897032396E-2</v>
      </c>
      <c r="H137" s="814">
        <f t="shared" si="121"/>
        <v>1.5638659543467704E-2</v>
      </c>
      <c r="I137" s="814">
        <f t="shared" si="121"/>
        <v>1.7365591397849461E-2</v>
      </c>
      <c r="J137" s="814">
        <f t="shared" si="121"/>
        <v>1.4974093264248705E-2</v>
      </c>
      <c r="K137" s="814">
        <f t="shared" si="121"/>
        <v>1.1570680628272252E-2</v>
      </c>
      <c r="L137" s="814">
        <f t="shared" si="121"/>
        <v>1.0213074809476905E-2</v>
      </c>
      <c r="M137" s="814">
        <f t="shared" si="121"/>
        <v>7.8055424590078052E-3</v>
      </c>
      <c r="N137" s="814">
        <f t="shared" si="121"/>
        <v>6.7619426751592349E-3</v>
      </c>
      <c r="O137" s="814">
        <f t="shared" si="121"/>
        <v>6.2437143814951393E-3</v>
      </c>
      <c r="P137" s="914">
        <f t="shared" ref="P137:AD137" si="122">O137</f>
        <v>6.2437143814951393E-3</v>
      </c>
      <c r="Q137" s="914">
        <f t="shared" si="122"/>
        <v>6.2437143814951393E-3</v>
      </c>
      <c r="R137" s="914">
        <f t="shared" si="122"/>
        <v>6.2437143814951393E-3</v>
      </c>
      <c r="S137" s="914">
        <f t="shared" si="122"/>
        <v>6.2437143814951393E-3</v>
      </c>
      <c r="T137" s="914">
        <f t="shared" si="122"/>
        <v>6.2437143814951393E-3</v>
      </c>
      <c r="U137" s="914">
        <f t="shared" si="122"/>
        <v>6.2437143814951393E-3</v>
      </c>
      <c r="V137" s="914">
        <f t="shared" si="122"/>
        <v>6.2437143814951393E-3</v>
      </c>
      <c r="W137" s="914">
        <f t="shared" si="122"/>
        <v>6.2437143814951393E-3</v>
      </c>
      <c r="X137" s="914">
        <f t="shared" si="122"/>
        <v>6.2437143814951393E-3</v>
      </c>
      <c r="Y137" s="914">
        <f t="shared" si="122"/>
        <v>6.2437143814951393E-3</v>
      </c>
      <c r="Z137" s="914">
        <f t="shared" si="122"/>
        <v>6.2437143814951393E-3</v>
      </c>
      <c r="AA137" s="914">
        <f t="shared" si="122"/>
        <v>6.2437143814951393E-3</v>
      </c>
      <c r="AB137" s="914">
        <f t="shared" si="122"/>
        <v>6.2437143814951393E-3</v>
      </c>
      <c r="AC137" s="914">
        <f t="shared" si="122"/>
        <v>6.2437143814951393E-3</v>
      </c>
      <c r="AD137" s="914">
        <f t="shared" si="122"/>
        <v>6.2437143814951393E-3</v>
      </c>
    </row>
    <row r="138" spans="2:30">
      <c r="B138" s="685" t="str">
        <f>B111</f>
        <v>Megacable</v>
      </c>
      <c r="D138" s="814">
        <f t="shared" ref="D138:O138" si="123">D111/D$120</f>
        <v>2.1277686628383922E-2</v>
      </c>
      <c r="E138" s="814">
        <f t="shared" si="123"/>
        <v>2.3276858880900909E-2</v>
      </c>
      <c r="F138" s="814">
        <f t="shared" si="123"/>
        <v>2.5148605395518976E-2</v>
      </c>
      <c r="G138" s="814">
        <f t="shared" si="123"/>
        <v>2.700471125358201E-2</v>
      </c>
      <c r="H138" s="814">
        <f t="shared" si="123"/>
        <v>2.8071879553181155E-2</v>
      </c>
      <c r="I138" s="814">
        <f t="shared" si="123"/>
        <v>3.8763440860215055E-2</v>
      </c>
      <c r="J138" s="814">
        <f t="shared" si="123"/>
        <v>4.6424870466321246E-2</v>
      </c>
      <c r="K138" s="814">
        <f t="shared" si="123"/>
        <v>6.1570680628272249E-2</v>
      </c>
      <c r="L138" s="814">
        <f t="shared" si="123"/>
        <v>7.6053709368033601E-2</v>
      </c>
      <c r="M138" s="814">
        <f t="shared" si="123"/>
        <v>9.497616428309498E-2</v>
      </c>
      <c r="N138" s="814">
        <f t="shared" si="123"/>
        <v>9.6688428343949029E-2</v>
      </c>
      <c r="O138" s="814">
        <f t="shared" si="123"/>
        <v>0.11008213208179685</v>
      </c>
      <c r="P138" s="814">
        <f t="shared" ref="P138:Y138" si="124">P111/P$120</f>
        <v>0.12139529015979815</v>
      </c>
      <c r="Q138" s="814">
        <f t="shared" si="124"/>
        <v>0.12807091798344619</v>
      </c>
      <c r="R138" s="814">
        <f t="shared" si="124"/>
        <v>0.14626106273961803</v>
      </c>
      <c r="S138" s="814">
        <f t="shared" si="124"/>
        <v>0.15689552120997799</v>
      </c>
      <c r="T138" s="814">
        <f t="shared" si="124"/>
        <v>0.1651891265321615</v>
      </c>
      <c r="U138" s="814">
        <f t="shared" si="124"/>
        <v>0.16691401270097461</v>
      </c>
      <c r="V138" s="814">
        <f t="shared" si="124"/>
        <v>0.16858854928321459</v>
      </c>
      <c r="W138" s="814">
        <f t="shared" si="124"/>
        <v>0.16856645996822156</v>
      </c>
      <c r="X138" s="814">
        <f t="shared" si="124"/>
        <v>0.16852828139652284</v>
      </c>
      <c r="Y138" s="814">
        <f t="shared" si="124"/>
        <v>0.16847433433266798</v>
      </c>
      <c r="Z138" s="814">
        <f>Z111/Z$120</f>
        <v>0.16680627161650294</v>
      </c>
      <c r="AA138" s="814">
        <f>AA111/AA$120</f>
        <v>0.1651547243727752</v>
      </c>
      <c r="AB138" s="814">
        <f>AB111/AB$120</f>
        <v>0.16351952908195563</v>
      </c>
      <c r="AC138" s="814">
        <f>AC111/AC$120</f>
        <v>0.16190052384352041</v>
      </c>
      <c r="AD138" s="814">
        <f>AD111/AD$120</f>
        <v>0.16029754835992122</v>
      </c>
    </row>
    <row r="139" spans="2:30">
      <c r="B139" s="685" t="s">
        <v>467</v>
      </c>
      <c r="D139" s="814">
        <f t="shared" ref="D139:Q139" si="125">D112/D$120</f>
        <v>1.8252666119770302E-2</v>
      </c>
      <c r="E139" s="814">
        <f t="shared" si="125"/>
        <v>2.5187270624905736E-2</v>
      </c>
      <c r="F139" s="814">
        <f t="shared" si="125"/>
        <v>3.297261596301377E-2</v>
      </c>
      <c r="G139" s="814">
        <f t="shared" si="125"/>
        <v>3.662149691582884E-2</v>
      </c>
      <c r="H139" s="814">
        <f t="shared" si="125"/>
        <v>5.1384167071393878E-2</v>
      </c>
      <c r="I139" s="814">
        <f t="shared" si="125"/>
        <v>7.1263440860215049E-2</v>
      </c>
      <c r="J139" s="814">
        <f t="shared" si="125"/>
        <v>9.7979274611398964E-2</v>
      </c>
      <c r="K139" s="814">
        <f t="shared" si="125"/>
        <v>0.1106282722513089</v>
      </c>
      <c r="L139" s="814">
        <f t="shared" si="125"/>
        <v>0.11000839856913268</v>
      </c>
      <c r="M139" s="814">
        <f t="shared" si="125"/>
        <v>0.15603268898318401</v>
      </c>
      <c r="N139" s="814">
        <f t="shared" si="125"/>
        <v>0.16509995541401273</v>
      </c>
      <c r="O139" s="814">
        <f t="shared" si="125"/>
        <v>0.18004232316459939</v>
      </c>
      <c r="P139" s="814">
        <f t="shared" si="125"/>
        <v>0.1849199006768393</v>
      </c>
      <c r="Q139" s="814">
        <f t="shared" si="125"/>
        <v>0.196904589917231</v>
      </c>
      <c r="R139" s="914">
        <v>0.193</v>
      </c>
      <c r="S139" s="914">
        <v>0.18875</v>
      </c>
      <c r="T139" s="914">
        <v>0.189</v>
      </c>
      <c r="U139" s="914">
        <f t="shared" ref="U139:AD139" si="126">T139+0.25%</f>
        <v>0.1915</v>
      </c>
      <c r="V139" s="914">
        <f t="shared" si="126"/>
        <v>0.19400000000000001</v>
      </c>
      <c r="W139" s="914">
        <f t="shared" si="126"/>
        <v>0.19650000000000001</v>
      </c>
      <c r="X139" s="914">
        <f t="shared" si="126"/>
        <v>0.19900000000000001</v>
      </c>
      <c r="Y139" s="914">
        <f t="shared" si="126"/>
        <v>0.20150000000000001</v>
      </c>
      <c r="Z139" s="914">
        <f t="shared" si="126"/>
        <v>0.20400000000000001</v>
      </c>
      <c r="AA139" s="914">
        <f t="shared" si="126"/>
        <v>0.20650000000000002</v>
      </c>
      <c r="AB139" s="914">
        <f t="shared" si="126"/>
        <v>0.20900000000000002</v>
      </c>
      <c r="AC139" s="914">
        <f t="shared" si="126"/>
        <v>0.21150000000000002</v>
      </c>
      <c r="AD139" s="914">
        <f t="shared" si="126"/>
        <v>0.21400000000000002</v>
      </c>
    </row>
    <row r="140" spans="2:30" outlineLevel="1">
      <c r="B140" s="685" t="str">
        <f>B113</f>
        <v>Cablevision</v>
      </c>
      <c r="D140" s="814">
        <f t="shared" ref="D140:I142" si="127">D113/D$120</f>
        <v>6.870385561936013E-3</v>
      </c>
      <c r="E140" s="814">
        <f t="shared" si="127"/>
        <v>9.552058720024131E-3</v>
      </c>
      <c r="F140" s="814">
        <f t="shared" si="127"/>
        <v>1.2752121119748007E-2</v>
      </c>
      <c r="G140" s="814">
        <f t="shared" si="127"/>
        <v>1.5493710233619893E-2</v>
      </c>
      <c r="H140" s="814">
        <f t="shared" si="127"/>
        <v>2.015541525012142E-2</v>
      </c>
      <c r="I140" s="814">
        <f t="shared" si="127"/>
        <v>2.5483870967741934E-2</v>
      </c>
      <c r="J140" s="933">
        <v>3.2000000000000001E-2</v>
      </c>
      <c r="K140" s="933">
        <f>J140+0.2%</f>
        <v>3.4000000000000002E-2</v>
      </c>
      <c r="L140" s="933">
        <f>K140+0.05%</f>
        <v>3.4500000000000003E-2</v>
      </c>
      <c r="M140" s="933">
        <v>4.4999999999999998E-2</v>
      </c>
      <c r="N140" s="933">
        <v>0.05</v>
      </c>
      <c r="O140" s="933">
        <v>6.6900000000000001E-2</v>
      </c>
      <c r="P140" s="814"/>
      <c r="Q140" s="814"/>
      <c r="R140" s="814"/>
      <c r="S140" s="814"/>
      <c r="T140" s="814"/>
      <c r="U140" s="814"/>
      <c r="V140" s="814"/>
      <c r="W140" s="814"/>
      <c r="X140" s="814"/>
      <c r="Y140" s="814"/>
      <c r="Z140" s="814"/>
      <c r="AA140" s="814"/>
      <c r="AB140" s="814"/>
      <c r="AC140" s="814"/>
      <c r="AD140" s="814"/>
    </row>
    <row r="141" spans="2:30" outlineLevel="1">
      <c r="B141" s="685" t="str">
        <f>B114</f>
        <v>Cablemas</v>
      </c>
      <c r="D141" s="814">
        <f t="shared" si="127"/>
        <v>7.4856439704675962E-3</v>
      </c>
      <c r="E141" s="814">
        <f t="shared" si="127"/>
        <v>1.0306168618973405E-2</v>
      </c>
      <c r="F141" s="814">
        <f t="shared" si="127"/>
        <v>1.3514200071127368E-2</v>
      </c>
      <c r="G141" s="814">
        <f t="shared" si="127"/>
        <v>1.4668026616154257E-2</v>
      </c>
      <c r="H141" s="814">
        <f t="shared" si="127"/>
        <v>1.6901408450704224E-2</v>
      </c>
      <c r="I141" s="814">
        <f t="shared" si="127"/>
        <v>2.327956989247312E-2</v>
      </c>
      <c r="J141" s="933">
        <v>2.75E-2</v>
      </c>
      <c r="K141" s="933">
        <v>3.2000000000000001E-2</v>
      </c>
      <c r="L141" s="933">
        <f>K141+0.05%</f>
        <v>3.2500000000000001E-2</v>
      </c>
      <c r="M141" s="933">
        <v>4.2500000000000003E-2</v>
      </c>
      <c r="N141" s="933">
        <v>0.05</v>
      </c>
      <c r="O141" s="933">
        <v>0.06</v>
      </c>
      <c r="P141" s="814"/>
      <c r="Q141" s="814"/>
      <c r="R141" s="814"/>
      <c r="S141" s="814"/>
      <c r="T141" s="814"/>
      <c r="U141" s="814"/>
      <c r="V141" s="814"/>
      <c r="W141" s="814"/>
      <c r="X141" s="814"/>
      <c r="Y141" s="814"/>
      <c r="Z141" s="814"/>
      <c r="AA141" s="814"/>
      <c r="AB141" s="814"/>
      <c r="AC141" s="814"/>
      <c r="AD141" s="814"/>
    </row>
    <row r="142" spans="2:30" outlineLevel="1">
      <c r="B142" s="685" t="str">
        <f>B115</f>
        <v>TVI</v>
      </c>
      <c r="D142" s="814">
        <f t="shared" si="127"/>
        <v>3.8966365873666941E-3</v>
      </c>
      <c r="E142" s="814">
        <f t="shared" si="127"/>
        <v>5.3290432859081993E-3</v>
      </c>
      <c r="F142" s="814">
        <f t="shared" si="127"/>
        <v>6.7062947721383938E-3</v>
      </c>
      <c r="G142" s="814">
        <f t="shared" si="127"/>
        <v>6.4597600660546897E-3</v>
      </c>
      <c r="H142" s="814">
        <f t="shared" si="127"/>
        <v>7.4307916464303059E-3</v>
      </c>
      <c r="I142" s="814">
        <f t="shared" si="127"/>
        <v>9.8387096774193543E-3</v>
      </c>
      <c r="J142" s="933">
        <v>1.4999999999999999E-2</v>
      </c>
      <c r="K142" s="933">
        <f>J142+0.2%</f>
        <v>1.7000000000000001E-2</v>
      </c>
      <c r="L142" s="933">
        <f>K142+0.05%</f>
        <v>1.7500000000000002E-2</v>
      </c>
      <c r="M142" s="933">
        <v>2.5000000000000001E-2</v>
      </c>
      <c r="N142" s="933">
        <f>M142+0.1%</f>
        <v>2.6000000000000002E-2</v>
      </c>
      <c r="O142" s="933">
        <v>3.5000000000000003E-2</v>
      </c>
      <c r="P142" s="814"/>
      <c r="Q142" s="814"/>
      <c r="R142" s="814"/>
      <c r="S142" s="814"/>
      <c r="T142" s="814"/>
      <c r="U142" s="814"/>
      <c r="V142" s="814"/>
      <c r="W142" s="814"/>
      <c r="X142" s="814"/>
      <c r="Y142" s="814"/>
      <c r="Z142" s="814"/>
      <c r="AA142" s="814"/>
      <c r="AB142" s="814"/>
      <c r="AC142" s="814"/>
      <c r="AD142" s="814"/>
    </row>
    <row r="143" spans="2:30" outlineLevel="1">
      <c r="B143" s="685" t="str">
        <f>B116</f>
        <v>Cablecom</v>
      </c>
      <c r="D143" s="814"/>
      <c r="E143" s="814"/>
      <c r="F143" s="814"/>
      <c r="G143" s="814"/>
      <c r="H143" s="814">
        <f>H116/H$120</f>
        <v>6.8965517241379309E-3</v>
      </c>
      <c r="I143" s="814">
        <f>I116/I$120</f>
        <v>7.4193548387096776E-3</v>
      </c>
      <c r="J143" s="933">
        <f>I143+0.2%</f>
        <v>9.4193548387096777E-3</v>
      </c>
      <c r="K143" s="933">
        <v>1.2E-2</v>
      </c>
      <c r="L143" s="933">
        <f>K143+0.05%</f>
        <v>1.2500000000000001E-2</v>
      </c>
      <c r="M143" s="933">
        <v>1.7999999999999999E-2</v>
      </c>
      <c r="N143" s="933">
        <f>M143+0.1%</f>
        <v>1.9E-2</v>
      </c>
      <c r="O143" s="933">
        <f>N143+0.1%</f>
        <v>0.02</v>
      </c>
      <c r="P143" s="814"/>
      <c r="Q143" s="814"/>
      <c r="R143" s="814"/>
      <c r="S143" s="814"/>
      <c r="T143" s="814"/>
      <c r="U143" s="814"/>
      <c r="V143" s="814"/>
      <c r="W143" s="814"/>
      <c r="X143" s="814"/>
      <c r="Y143" s="814"/>
      <c r="Z143" s="814"/>
      <c r="AA143" s="814"/>
      <c r="AB143" s="814"/>
      <c r="AC143" s="814"/>
      <c r="AD143" s="814"/>
    </row>
    <row r="144" spans="2:30" outlineLevel="1">
      <c r="B144" s="685" t="str">
        <f>B117</f>
        <v>Cablevision Red</v>
      </c>
      <c r="D144" s="814"/>
      <c r="E144" s="814"/>
      <c r="F144" s="814"/>
      <c r="G144" s="814"/>
      <c r="H144" s="814"/>
      <c r="I144" s="814">
        <f>I117/I$120</f>
        <v>5.2419354838709681E-3</v>
      </c>
      <c r="J144" s="814">
        <f>J117/J$120</f>
        <v>1.405991977268929E-2</v>
      </c>
      <c r="K144" s="814">
        <f>K117/K$120</f>
        <v>1.5628272251308889E-2</v>
      </c>
      <c r="L144" s="814">
        <f>L117/L$120</f>
        <v>1.3010887034060866E-2</v>
      </c>
      <c r="M144" s="814">
        <f>M117/M$120</f>
        <v>2.5558462989156053E-2</v>
      </c>
      <c r="N144" s="933">
        <v>4.4999999999999998E-2</v>
      </c>
      <c r="O144" s="933">
        <f>N144+0.05%</f>
        <v>4.5499999999999999E-2</v>
      </c>
      <c r="P144" s="814"/>
      <c r="Q144" s="814"/>
      <c r="R144" s="814"/>
      <c r="S144" s="814"/>
      <c r="T144" s="814"/>
      <c r="U144" s="814"/>
      <c r="V144" s="814"/>
      <c r="W144" s="814"/>
      <c r="X144" s="814"/>
      <c r="Y144" s="814"/>
      <c r="Z144" s="814"/>
      <c r="AA144" s="814"/>
      <c r="AB144" s="814"/>
      <c r="AC144" s="814"/>
      <c r="AD144" s="814"/>
    </row>
    <row r="145" spans="2:31">
      <c r="B145" s="685" t="s">
        <v>469</v>
      </c>
      <c r="D145" s="814"/>
      <c r="E145" s="814"/>
      <c r="F145" s="814"/>
      <c r="G145" s="814"/>
      <c r="H145" s="814"/>
      <c r="I145" s="814"/>
      <c r="J145" s="814"/>
      <c r="K145" s="814"/>
      <c r="L145" s="814"/>
      <c r="M145" s="814"/>
      <c r="N145" s="814">
        <f>N118/N$120</f>
        <v>6.2223408563749485E-2</v>
      </c>
      <c r="O145" s="814">
        <f>O118/O$120</f>
        <v>9.9396580623533362E-2</v>
      </c>
      <c r="P145" s="914">
        <v>0.14000000000000001</v>
      </c>
      <c r="Q145" s="914">
        <f t="shared" ref="Q145:AD145" si="128">P145+1%</f>
        <v>0.15000000000000002</v>
      </c>
      <c r="R145" s="914">
        <f t="shared" si="128"/>
        <v>0.16000000000000003</v>
      </c>
      <c r="S145" s="914">
        <f t="shared" si="128"/>
        <v>0.17000000000000004</v>
      </c>
      <c r="T145" s="914">
        <f t="shared" si="128"/>
        <v>0.18000000000000005</v>
      </c>
      <c r="U145" s="914">
        <f t="shared" si="128"/>
        <v>0.19000000000000006</v>
      </c>
      <c r="V145" s="914">
        <f t="shared" si="128"/>
        <v>0.20000000000000007</v>
      </c>
      <c r="W145" s="914">
        <f t="shared" si="128"/>
        <v>0.21000000000000008</v>
      </c>
      <c r="X145" s="914">
        <f t="shared" si="128"/>
        <v>0.22000000000000008</v>
      </c>
      <c r="Y145" s="914">
        <f t="shared" si="128"/>
        <v>0.23000000000000009</v>
      </c>
      <c r="Z145" s="914">
        <f t="shared" si="128"/>
        <v>0.2400000000000001</v>
      </c>
      <c r="AA145" s="914">
        <f t="shared" si="128"/>
        <v>0.25000000000000011</v>
      </c>
      <c r="AB145" s="914">
        <f t="shared" si="128"/>
        <v>0.26000000000000012</v>
      </c>
      <c r="AC145" s="914">
        <f t="shared" si="128"/>
        <v>0.27000000000000013</v>
      </c>
      <c r="AD145" s="914">
        <f t="shared" si="128"/>
        <v>0.28000000000000014</v>
      </c>
    </row>
    <row r="146" spans="2:31">
      <c r="B146" s="743" t="str">
        <f>B119</f>
        <v xml:space="preserve">Others </v>
      </c>
      <c r="C146" s="743"/>
      <c r="D146" s="958">
        <f t="shared" ref="D146:M146" si="129">D119/D$120</f>
        <v>7.9163248564397048E-2</v>
      </c>
      <c r="E146" s="958">
        <f t="shared" si="129"/>
        <v>9.7984012870142273E-2</v>
      </c>
      <c r="F146" s="958">
        <f t="shared" si="129"/>
        <v>0.11934156378600823</v>
      </c>
      <c r="G146" s="958">
        <f t="shared" si="129"/>
        <v>0.14365510709602217</v>
      </c>
      <c r="H146" s="958">
        <f t="shared" si="129"/>
        <v>0.15031568722680913</v>
      </c>
      <c r="I146" s="958">
        <f t="shared" si="129"/>
        <v>4.8225806451612903E-2</v>
      </c>
      <c r="J146" s="958">
        <f t="shared" si="129"/>
        <v>2.3575129533678758E-2</v>
      </c>
      <c r="K146" s="958">
        <f t="shared" si="129"/>
        <v>0.11654450261780104</v>
      </c>
      <c r="L146" s="958">
        <f t="shared" si="129"/>
        <v>0.12530706620353563</v>
      </c>
      <c r="M146" s="958">
        <f t="shared" si="129"/>
        <v>7.5095185709047108E-2</v>
      </c>
      <c r="N146" s="958">
        <f>N119/N$120</f>
        <v>0.11107101022605936</v>
      </c>
      <c r="O146" s="958">
        <f>O119/O$120</f>
        <v>0.10498952396915862</v>
      </c>
      <c r="P146" s="958">
        <f>P119/P$120</f>
        <v>9.2036392951597892E-2</v>
      </c>
      <c r="Q146" s="958">
        <f>Q119/Q$120</f>
        <v>0.11249785822949049</v>
      </c>
      <c r="R146" s="958">
        <f t="shared" ref="R146:Y146" si="130">R147-R139-R138-R137-R136-R135-R145</f>
        <v>0.1082123033905496</v>
      </c>
      <c r="S146" s="958">
        <f t="shared" si="130"/>
        <v>0.11182784492018977</v>
      </c>
      <c r="T146" s="958">
        <f t="shared" si="130"/>
        <v>0.11328423959800621</v>
      </c>
      <c r="U146" s="958">
        <f t="shared" si="130"/>
        <v>0.1190593534291931</v>
      </c>
      <c r="V146" s="958">
        <f t="shared" si="130"/>
        <v>0.12488481684695313</v>
      </c>
      <c r="W146" s="958">
        <f t="shared" si="130"/>
        <v>0.13240690616194611</v>
      </c>
      <c r="X146" s="958">
        <f t="shared" si="130"/>
        <v>0.13994508473364481</v>
      </c>
      <c r="Y146" s="958">
        <f t="shared" si="130"/>
        <v>0.14749903179749968</v>
      </c>
      <c r="Z146" s="958">
        <f>Z147-Z139-Z138-Z137-Z136-Z135-Z145</f>
        <v>0.15666709451366478</v>
      </c>
      <c r="AA146" s="958">
        <f>AA147-AA139-AA138-AA137-AA136-AA135-AA145</f>
        <v>0.16581864175739247</v>
      </c>
      <c r="AB146" s="958">
        <f>AB147-AB139-AB138-AB137-AB136-AB135-AB145</f>
        <v>0.17495383704821194</v>
      </c>
      <c r="AC146" s="958">
        <f>AC147-AC139-AC138-AC137-AC136-AC135-AC145</f>
        <v>0.18407284228664722</v>
      </c>
      <c r="AD146" s="958">
        <f>AD147-AD139-AD138-AD137-AD136-AD135-AD145</f>
        <v>0.19317581777024651</v>
      </c>
    </row>
    <row r="147" spans="2:31">
      <c r="B147" s="685" t="str">
        <f>B120</f>
        <v>Total voice (from Cofetel)</v>
      </c>
      <c r="D147" s="789">
        <f t="shared" ref="D147:Y147" si="131">D120/D$120</f>
        <v>1</v>
      </c>
      <c r="E147" s="789">
        <f t="shared" si="131"/>
        <v>1</v>
      </c>
      <c r="F147" s="789">
        <f t="shared" si="131"/>
        <v>1</v>
      </c>
      <c r="G147" s="789">
        <f t="shared" si="131"/>
        <v>1</v>
      </c>
      <c r="H147" s="789">
        <f t="shared" si="131"/>
        <v>1</v>
      </c>
      <c r="I147" s="789">
        <f t="shared" si="131"/>
        <v>1</v>
      </c>
      <c r="J147" s="789">
        <f t="shared" si="131"/>
        <v>1</v>
      </c>
      <c r="K147" s="789">
        <f t="shared" si="131"/>
        <v>1</v>
      </c>
      <c r="L147" s="789">
        <f t="shared" si="131"/>
        <v>1</v>
      </c>
      <c r="M147" s="789">
        <f t="shared" si="131"/>
        <v>1</v>
      </c>
      <c r="N147" s="789">
        <f t="shared" si="131"/>
        <v>1</v>
      </c>
      <c r="O147" s="789">
        <f t="shared" si="131"/>
        <v>1</v>
      </c>
      <c r="P147" s="789">
        <f t="shared" si="131"/>
        <v>1</v>
      </c>
      <c r="Q147" s="789">
        <f t="shared" si="131"/>
        <v>1</v>
      </c>
      <c r="R147" s="789">
        <f t="shared" si="131"/>
        <v>1</v>
      </c>
      <c r="S147" s="789">
        <f t="shared" si="131"/>
        <v>1</v>
      </c>
      <c r="T147" s="789">
        <f t="shared" si="131"/>
        <v>1</v>
      </c>
      <c r="U147" s="789">
        <f t="shared" si="131"/>
        <v>1</v>
      </c>
      <c r="V147" s="789">
        <f t="shared" si="131"/>
        <v>1</v>
      </c>
      <c r="W147" s="789">
        <f t="shared" si="131"/>
        <v>1</v>
      </c>
      <c r="X147" s="789">
        <f t="shared" si="131"/>
        <v>1</v>
      </c>
      <c r="Y147" s="789">
        <f t="shared" si="131"/>
        <v>1</v>
      </c>
      <c r="Z147" s="789">
        <f>Z120/Z$120</f>
        <v>1</v>
      </c>
      <c r="AA147" s="789">
        <f>AA120/AA$120</f>
        <v>1</v>
      </c>
      <c r="AB147" s="789">
        <f>AB120/AB$120</f>
        <v>1</v>
      </c>
      <c r="AC147" s="789">
        <f>AC120/AC$120</f>
        <v>1</v>
      </c>
      <c r="AD147" s="789">
        <f>AD120/AD$120</f>
        <v>1</v>
      </c>
    </row>
    <row r="149" spans="2:31">
      <c r="B149" s="817" t="s">
        <v>498</v>
      </c>
      <c r="D149" s="937">
        <f>D112</f>
        <v>356</v>
      </c>
      <c r="E149" s="937">
        <f t="shared" ref="E149:Y149" si="132">E112</f>
        <v>501</v>
      </c>
      <c r="F149" s="937">
        <f t="shared" si="132"/>
        <v>649</v>
      </c>
      <c r="G149" s="937">
        <f t="shared" si="132"/>
        <v>754</v>
      </c>
      <c r="H149" s="937">
        <f t="shared" si="132"/>
        <v>1058</v>
      </c>
      <c r="I149" s="937">
        <f t="shared" si="132"/>
        <v>1325.5</v>
      </c>
      <c r="J149" s="937">
        <f t="shared" si="132"/>
        <v>1891</v>
      </c>
      <c r="K149" s="937">
        <f t="shared" si="132"/>
        <v>2113</v>
      </c>
      <c r="L149" s="937">
        <f t="shared" si="132"/>
        <v>2121.9520000000002</v>
      </c>
      <c r="M149" s="937">
        <f t="shared" si="132"/>
        <v>2978.5079999999998</v>
      </c>
      <c r="N149" s="937">
        <f t="shared" si="132"/>
        <v>3637.9920000000002</v>
      </c>
      <c r="O149" s="937">
        <f t="shared" si="132"/>
        <v>4296.53</v>
      </c>
      <c r="P149" s="937">
        <f t="shared" si="132"/>
        <v>4617.2650000000003</v>
      </c>
      <c r="Q149" s="937">
        <f t="shared" si="132"/>
        <v>5233.7240000000002</v>
      </c>
      <c r="R149" s="937">
        <f t="shared" si="132"/>
        <v>5351.1450000000004</v>
      </c>
      <c r="S149" s="937">
        <f>S112</f>
        <v>5382.9489999999996</v>
      </c>
      <c r="T149" s="937">
        <f t="shared" si="132"/>
        <v>5533</v>
      </c>
      <c r="U149" s="937">
        <f t="shared" si="132"/>
        <v>5608</v>
      </c>
      <c r="V149" s="937">
        <f t="shared" si="132"/>
        <v>5658</v>
      </c>
      <c r="W149" s="937">
        <f t="shared" si="132"/>
        <v>5708</v>
      </c>
      <c r="X149" s="937">
        <f t="shared" si="132"/>
        <v>5758</v>
      </c>
      <c r="Y149" s="937">
        <f t="shared" si="132"/>
        <v>5808</v>
      </c>
      <c r="Z149" s="937">
        <f>Z112</f>
        <v>5858</v>
      </c>
      <c r="AA149" s="937">
        <f>AA112</f>
        <v>5908</v>
      </c>
      <c r="AB149" s="937">
        <f>AB112</f>
        <v>5958</v>
      </c>
      <c r="AC149" s="937">
        <f>AC112</f>
        <v>6008</v>
      </c>
      <c r="AD149" s="937">
        <f>AD112</f>
        <v>6058</v>
      </c>
    </row>
    <row r="150" spans="2:31">
      <c r="B150" s="817" t="s">
        <v>499</v>
      </c>
      <c r="J150" s="937">
        <f>J149-I149</f>
        <v>565.5</v>
      </c>
      <c r="K150" s="937">
        <f t="shared" ref="K150:AD150" si="133">K149-J149</f>
        <v>222</v>
      </c>
      <c r="L150" s="937">
        <f t="shared" si="133"/>
        <v>8.9520000000002256</v>
      </c>
      <c r="M150" s="937">
        <f t="shared" si="133"/>
        <v>856.55599999999959</v>
      </c>
      <c r="N150" s="937">
        <f t="shared" si="133"/>
        <v>659.48400000000038</v>
      </c>
      <c r="O150" s="937">
        <f t="shared" si="133"/>
        <v>658.53799999999956</v>
      </c>
      <c r="P150" s="937">
        <f t="shared" si="133"/>
        <v>320.73500000000058</v>
      </c>
      <c r="Q150" s="937">
        <f t="shared" si="133"/>
        <v>616.45899999999983</v>
      </c>
      <c r="R150" s="937">
        <f t="shared" si="133"/>
        <v>117.42100000000028</v>
      </c>
      <c r="S150" s="937">
        <f t="shared" si="133"/>
        <v>31.803999999999178</v>
      </c>
      <c r="T150" s="937">
        <f t="shared" si="133"/>
        <v>150.05100000000039</v>
      </c>
      <c r="U150" s="937">
        <f t="shared" si="133"/>
        <v>75</v>
      </c>
      <c r="V150" s="937">
        <f t="shared" si="133"/>
        <v>50</v>
      </c>
      <c r="W150" s="937">
        <f t="shared" si="133"/>
        <v>50</v>
      </c>
      <c r="X150" s="937">
        <f t="shared" si="133"/>
        <v>50</v>
      </c>
      <c r="Y150" s="937">
        <f t="shared" si="133"/>
        <v>50</v>
      </c>
      <c r="Z150" s="937">
        <f t="shared" si="133"/>
        <v>50</v>
      </c>
      <c r="AA150" s="937">
        <f t="shared" si="133"/>
        <v>50</v>
      </c>
      <c r="AB150" s="937">
        <f t="shared" si="133"/>
        <v>50</v>
      </c>
      <c r="AC150" s="937">
        <f t="shared" si="133"/>
        <v>50</v>
      </c>
      <c r="AD150" s="937">
        <f t="shared" si="133"/>
        <v>50</v>
      </c>
    </row>
    <row r="151" spans="2:31">
      <c r="B151" s="817" t="s">
        <v>500</v>
      </c>
      <c r="C151" s="817"/>
      <c r="D151" s="959">
        <f t="shared" ref="D151:Y151" si="134">D139</f>
        <v>1.8252666119770302E-2</v>
      </c>
      <c r="E151" s="959">
        <f t="shared" si="134"/>
        <v>2.5187270624905736E-2</v>
      </c>
      <c r="F151" s="959">
        <f t="shared" si="134"/>
        <v>3.297261596301377E-2</v>
      </c>
      <c r="G151" s="959">
        <f t="shared" si="134"/>
        <v>3.662149691582884E-2</v>
      </c>
      <c r="H151" s="959">
        <f t="shared" si="134"/>
        <v>5.1384167071393878E-2</v>
      </c>
      <c r="I151" s="959">
        <f t="shared" si="134"/>
        <v>7.1263440860215049E-2</v>
      </c>
      <c r="J151" s="959">
        <f t="shared" si="134"/>
        <v>9.7979274611398964E-2</v>
      </c>
      <c r="K151" s="959">
        <f t="shared" si="134"/>
        <v>0.1106282722513089</v>
      </c>
      <c r="L151" s="959">
        <f t="shared" si="134"/>
        <v>0.11000839856913268</v>
      </c>
      <c r="M151" s="959">
        <f t="shared" si="134"/>
        <v>0.15603268898318401</v>
      </c>
      <c r="N151" s="959">
        <f t="shared" si="134"/>
        <v>0.16509995541401273</v>
      </c>
      <c r="O151" s="959">
        <f t="shared" si="134"/>
        <v>0.18004232316459939</v>
      </c>
      <c r="P151" s="959">
        <f t="shared" si="134"/>
        <v>0.1849199006768393</v>
      </c>
      <c r="Q151" s="959">
        <f t="shared" si="134"/>
        <v>0.196904589917231</v>
      </c>
      <c r="R151" s="959">
        <f t="shared" si="134"/>
        <v>0.193</v>
      </c>
      <c r="S151" s="959">
        <f t="shared" si="134"/>
        <v>0.18875</v>
      </c>
      <c r="T151" s="959">
        <f t="shared" si="134"/>
        <v>0.189</v>
      </c>
      <c r="U151" s="959">
        <f t="shared" si="134"/>
        <v>0.1915</v>
      </c>
      <c r="V151" s="959">
        <f t="shared" si="134"/>
        <v>0.19400000000000001</v>
      </c>
      <c r="W151" s="959">
        <f t="shared" si="134"/>
        <v>0.19650000000000001</v>
      </c>
      <c r="X151" s="959">
        <f t="shared" si="134"/>
        <v>0.19900000000000001</v>
      </c>
      <c r="Y151" s="959">
        <f t="shared" si="134"/>
        <v>0.20150000000000001</v>
      </c>
      <c r="Z151" s="959">
        <f>Z139</f>
        <v>0.20400000000000001</v>
      </c>
      <c r="AA151" s="959">
        <f>AA139</f>
        <v>0.20650000000000002</v>
      </c>
      <c r="AB151" s="959">
        <f>AB139</f>
        <v>0.20900000000000002</v>
      </c>
      <c r="AC151" s="959">
        <f>AC139</f>
        <v>0.21150000000000002</v>
      </c>
      <c r="AD151" s="959">
        <f>AD139</f>
        <v>0.21400000000000002</v>
      </c>
    </row>
    <row r="152" spans="2:31">
      <c r="J152" s="789"/>
    </row>
    <row r="153" spans="2:31">
      <c r="B153" s="804" t="s">
        <v>501</v>
      </c>
      <c r="C153" s="804"/>
      <c r="D153" s="804">
        <f t="shared" ref="D153:Y153" si="135">D107</f>
        <v>2009</v>
      </c>
      <c r="E153" s="804">
        <f t="shared" si="135"/>
        <v>2010</v>
      </c>
      <c r="F153" s="804">
        <f t="shared" si="135"/>
        <v>2011</v>
      </c>
      <c r="G153" s="804">
        <f t="shared" si="135"/>
        <v>2012</v>
      </c>
      <c r="H153" s="804">
        <f t="shared" si="135"/>
        <v>2013</v>
      </c>
      <c r="I153" s="804">
        <f t="shared" si="135"/>
        <v>2014</v>
      </c>
      <c r="J153" s="804">
        <f t="shared" si="135"/>
        <v>2015</v>
      </c>
      <c r="K153" s="804">
        <f t="shared" si="135"/>
        <v>2016</v>
      </c>
      <c r="L153" s="804">
        <f t="shared" si="135"/>
        <v>2017</v>
      </c>
      <c r="M153" s="804">
        <f t="shared" si="135"/>
        <v>2018</v>
      </c>
      <c r="N153" s="804">
        <f t="shared" si="135"/>
        <v>2019</v>
      </c>
      <c r="O153" s="804">
        <f t="shared" si="135"/>
        <v>2020</v>
      </c>
      <c r="P153" s="804">
        <f t="shared" si="135"/>
        <v>2021</v>
      </c>
      <c r="Q153" s="804">
        <f t="shared" si="135"/>
        <v>2022</v>
      </c>
      <c r="R153" s="804">
        <f t="shared" si="135"/>
        <v>2023</v>
      </c>
      <c r="S153" s="804">
        <f t="shared" si="135"/>
        <v>2024</v>
      </c>
      <c r="T153" s="804">
        <f t="shared" si="135"/>
        <v>2025</v>
      </c>
      <c r="U153" s="804">
        <f t="shared" si="135"/>
        <v>2026</v>
      </c>
      <c r="V153" s="804">
        <f t="shared" si="135"/>
        <v>2027</v>
      </c>
      <c r="W153" s="804">
        <f t="shared" si="135"/>
        <v>2028</v>
      </c>
      <c r="X153" s="804">
        <f t="shared" si="135"/>
        <v>2029</v>
      </c>
      <c r="Y153" s="804">
        <f t="shared" si="135"/>
        <v>2030</v>
      </c>
      <c r="Z153" s="804">
        <f>Z107</f>
        <v>2031</v>
      </c>
      <c r="AA153" s="804">
        <f>AA107</f>
        <v>2032</v>
      </c>
      <c r="AB153" s="804">
        <f>AB107</f>
        <v>2033</v>
      </c>
      <c r="AC153" s="804">
        <f>AC107</f>
        <v>2034</v>
      </c>
      <c r="AD153" s="804">
        <f>AD107</f>
        <v>2035</v>
      </c>
    </row>
    <row r="154" spans="2:31">
      <c r="B154" s="685" t="s">
        <v>466</v>
      </c>
      <c r="D154" s="936">
        <v>6524</v>
      </c>
      <c r="E154" s="936">
        <v>7359</v>
      </c>
      <c r="F154" s="936">
        <v>7952</v>
      </c>
      <c r="G154" s="934">
        <v>8448.5569999999989</v>
      </c>
      <c r="H154" s="934">
        <v>8908</v>
      </c>
      <c r="I154" s="934">
        <v>9200</v>
      </c>
      <c r="J154" s="934">
        <v>8637</v>
      </c>
      <c r="K154" s="934">
        <v>9060</v>
      </c>
      <c r="L154" s="934">
        <v>9266</v>
      </c>
      <c r="M154" s="934">
        <v>9622</v>
      </c>
      <c r="N154" s="934">
        <v>9693</v>
      </c>
      <c r="O154" s="934">
        <v>10011</v>
      </c>
      <c r="P154" s="934">
        <v>10037</v>
      </c>
      <c r="Q154" s="934">
        <v>10025</v>
      </c>
      <c r="R154" s="934">
        <v>10489</v>
      </c>
      <c r="S154" s="796">
        <f t="shared" ref="S154:AD154" si="136">S184*S$166</f>
        <v>10421.805416186908</v>
      </c>
      <c r="T154" s="796">
        <f t="shared" si="136"/>
        <v>10320.230900794972</v>
      </c>
      <c r="U154" s="796">
        <f t="shared" si="136"/>
        <v>10182.443599621454</v>
      </c>
      <c r="V154" s="796">
        <f t="shared" si="136"/>
        <v>10006.539308455978</v>
      </c>
      <c r="W154" s="796">
        <f t="shared" si="136"/>
        <v>9735.4464661764305</v>
      </c>
      <c r="X154" s="796">
        <f t="shared" si="136"/>
        <v>9427.434472647361</v>
      </c>
      <c r="Y154" s="796">
        <f t="shared" si="136"/>
        <v>9031.0133411286843</v>
      </c>
      <c r="Z154" s="796">
        <f t="shared" si="136"/>
        <v>8599.8469313284222</v>
      </c>
      <c r="AA154" s="796">
        <f t="shared" si="136"/>
        <v>8132.454704874549</v>
      </c>
      <c r="AB154" s="796">
        <f t="shared" si="136"/>
        <v>7627.3038129409088</v>
      </c>
      <c r="AC154" s="796">
        <f t="shared" si="136"/>
        <v>7082.8074723037953</v>
      </c>
      <c r="AD154" s="796">
        <f t="shared" si="136"/>
        <v>6497.3232948901514</v>
      </c>
    </row>
    <row r="155" spans="2:31">
      <c r="B155" s="685" t="s">
        <v>482</v>
      </c>
      <c r="D155" s="936">
        <v>62</v>
      </c>
      <c r="E155" s="936">
        <v>90</v>
      </c>
      <c r="F155" s="936">
        <v>105</v>
      </c>
      <c r="G155" s="934">
        <v>135</v>
      </c>
      <c r="H155" s="934">
        <v>157</v>
      </c>
      <c r="I155" s="934">
        <v>172</v>
      </c>
      <c r="J155" s="934">
        <v>163</v>
      </c>
      <c r="K155" s="934">
        <v>94</v>
      </c>
      <c r="L155" s="934">
        <v>76</v>
      </c>
      <c r="M155" s="934">
        <v>58</v>
      </c>
      <c r="N155" s="934">
        <v>58</v>
      </c>
      <c r="O155" s="934">
        <v>58</v>
      </c>
      <c r="P155" s="796">
        <f>P185*P$166</f>
        <v>64.98623142153734</v>
      </c>
      <c r="Q155" s="796">
        <f>Q185*Q$166</f>
        <v>65.452897930154109</v>
      </c>
      <c r="R155" s="796">
        <f>R185*R$166</f>
        <v>68.927923553569812</v>
      </c>
      <c r="S155" s="796">
        <f t="shared" ref="S155:AD155" si="137">S185*S$166</f>
        <v>72.068357770248937</v>
      </c>
      <c r="T155" s="796">
        <f t="shared" si="137"/>
        <v>75.304563033442889</v>
      </c>
      <c r="U155" s="796">
        <f t="shared" si="137"/>
        <v>78.639166897256089</v>
      </c>
      <c r="V155" s="796">
        <f t="shared" si="137"/>
        <v>82.074863709538562</v>
      </c>
      <c r="W155" s="796">
        <f t="shared" si="137"/>
        <v>85.132643826429174</v>
      </c>
      <c r="X155" s="796">
        <f t="shared" si="137"/>
        <v>88.277841593502771</v>
      </c>
      <c r="Y155" s="796">
        <f t="shared" si="137"/>
        <v>91.011547479255611</v>
      </c>
      <c r="Z155" s="796">
        <f t="shared" si="137"/>
        <v>93.817332626653368</v>
      </c>
      <c r="AA155" s="796">
        <f t="shared" si="137"/>
        <v>96.69703960973807</v>
      </c>
      <c r="AB155" s="796">
        <f t="shared" si="137"/>
        <v>99.652555873808708</v>
      </c>
      <c r="AC155" s="796">
        <f t="shared" si="137"/>
        <v>102.68581479324203</v>
      </c>
      <c r="AD155" s="796">
        <f t="shared" si="137"/>
        <v>105.79879675367744</v>
      </c>
    </row>
    <row r="156" spans="2:31">
      <c r="B156" s="685" t="s">
        <v>468</v>
      </c>
      <c r="D156" s="936">
        <v>516</v>
      </c>
      <c r="E156" s="936">
        <v>594</v>
      </c>
      <c r="F156" s="936">
        <v>683</v>
      </c>
      <c r="G156" s="934">
        <v>835</v>
      </c>
      <c r="H156" s="934">
        <v>951</v>
      </c>
      <c r="I156" s="934">
        <v>1331</v>
      </c>
      <c r="J156" s="934">
        <v>1831</v>
      </c>
      <c r="K156" s="934">
        <v>2228</v>
      </c>
      <c r="L156" s="934">
        <v>2625</v>
      </c>
      <c r="M156" s="934">
        <v>2942</v>
      </c>
      <c r="N156" s="934">
        <v>3097.6280000000002</v>
      </c>
      <c r="O156" s="934">
        <v>3510</v>
      </c>
      <c r="P156" s="934">
        <v>3833.893</v>
      </c>
      <c r="Q156" s="934">
        <v>4138</v>
      </c>
      <c r="R156" s="934">
        <v>4722</v>
      </c>
      <c r="S156" s="820">
        <v>5251.5519999999997</v>
      </c>
      <c r="T156" s="820">
        <v>5701.5519999999997</v>
      </c>
      <c r="U156" s="820">
        <v>6001.5519999999997</v>
      </c>
      <c r="V156" s="820">
        <v>6201.5519999999997</v>
      </c>
      <c r="W156" s="820">
        <v>6351.5519999999997</v>
      </c>
      <c r="X156" s="820">
        <v>6501.5519999999997</v>
      </c>
      <c r="Y156" s="820">
        <v>6651.5519999999997</v>
      </c>
      <c r="Z156" s="820">
        <v>6651.5519999999997</v>
      </c>
      <c r="AA156" s="820">
        <v>6651.5519999999997</v>
      </c>
      <c r="AB156" s="820">
        <v>6651.5519999999997</v>
      </c>
      <c r="AC156" s="820">
        <v>6651.5519999999997</v>
      </c>
      <c r="AD156" s="820">
        <v>6651.5519999999997</v>
      </c>
    </row>
    <row r="157" spans="2:31">
      <c r="B157" s="817" t="s">
        <v>467</v>
      </c>
      <c r="C157" s="817"/>
      <c r="D157" s="937">
        <f>D158+D159+D160+D161+D162</f>
        <v>652</v>
      </c>
      <c r="E157" s="937">
        <f t="shared" ref="E157:K157" si="138">E158+E159+E160+E161+E162</f>
        <v>806</v>
      </c>
      <c r="F157" s="937">
        <f t="shared" si="138"/>
        <v>1066</v>
      </c>
      <c r="G157" s="937">
        <f t="shared" si="138"/>
        <v>1306</v>
      </c>
      <c r="H157" s="937">
        <f t="shared" si="138"/>
        <v>1908</v>
      </c>
      <c r="I157" s="937">
        <f t="shared" si="138"/>
        <v>2418.9</v>
      </c>
      <c r="J157" s="937">
        <f t="shared" si="138"/>
        <v>3066.9999999999995</v>
      </c>
      <c r="K157" s="937">
        <f t="shared" si="138"/>
        <v>3412</v>
      </c>
      <c r="L157" s="1783">
        <f>Interims!AN260</f>
        <v>3797.3359999999998</v>
      </c>
      <c r="M157" s="1783">
        <f>Interims!AS260</f>
        <v>4479.0169999999998</v>
      </c>
      <c r="N157" s="1783">
        <f>Interims!AX260</f>
        <v>4696.0540000000001</v>
      </c>
      <c r="O157" s="1783">
        <f>Interims!BC260</f>
        <v>5430.8590000000004</v>
      </c>
      <c r="P157" s="1783">
        <f>Interims!BH260</f>
        <v>5649.1019999999999</v>
      </c>
      <c r="Q157" s="1783">
        <f>Interims!BM260</f>
        <v>5984.1509999999998</v>
      </c>
      <c r="R157" s="1783">
        <f>Interims!BR260</f>
        <v>5678.4309999999996</v>
      </c>
      <c r="S157" s="1783">
        <f>Interims!BW260</f>
        <v>5626.2060000000001</v>
      </c>
      <c r="T157" s="1784">
        <v>5668</v>
      </c>
      <c r="U157" s="1784">
        <f>T157+45</f>
        <v>5713</v>
      </c>
      <c r="V157" s="1784">
        <f>U157+50</f>
        <v>5763</v>
      </c>
      <c r="W157" s="1784">
        <f>V157+55</f>
        <v>5818</v>
      </c>
      <c r="X157" s="1784">
        <f t="shared" ref="X157:AD157" si="139">W157+60</f>
        <v>5878</v>
      </c>
      <c r="Y157" s="1784">
        <f t="shared" si="139"/>
        <v>5938</v>
      </c>
      <c r="Z157" s="1784">
        <f t="shared" si="139"/>
        <v>5998</v>
      </c>
      <c r="AA157" s="1784">
        <f t="shared" si="139"/>
        <v>6058</v>
      </c>
      <c r="AB157" s="1784">
        <f t="shared" si="139"/>
        <v>6118</v>
      </c>
      <c r="AC157" s="1784">
        <f t="shared" si="139"/>
        <v>6178</v>
      </c>
      <c r="AD157" s="1784">
        <f t="shared" si="139"/>
        <v>6238</v>
      </c>
      <c r="AE157" s="1412"/>
    </row>
    <row r="158" spans="2:31" outlineLevel="1">
      <c r="B158" s="685" t="s">
        <v>483</v>
      </c>
      <c r="D158" s="936">
        <v>251</v>
      </c>
      <c r="E158" s="936">
        <v>299</v>
      </c>
      <c r="F158" s="936">
        <v>408</v>
      </c>
      <c r="G158" s="934">
        <v>509</v>
      </c>
      <c r="H158" s="934">
        <v>666</v>
      </c>
      <c r="I158" s="934">
        <v>779</v>
      </c>
      <c r="J158" s="796">
        <f t="shared" ref="J158:M161" si="140">J188*J$166</f>
        <v>933.01</v>
      </c>
      <c r="K158" s="796">
        <f t="shared" si="140"/>
        <v>1051.8330000000001</v>
      </c>
      <c r="L158" s="796">
        <f t="shared" si="140"/>
        <v>1171.6600000000001</v>
      </c>
      <c r="M158" s="796">
        <f t="shared" si="140"/>
        <v>1377</v>
      </c>
      <c r="N158" s="934">
        <f>Interims!AX260-N159-N160-N161-N162</f>
        <v>1445.663306495459</v>
      </c>
      <c r="O158" s="796">
        <f>Interims!BC260-O159-O160-O161-O162</f>
        <v>1477.8440992099777</v>
      </c>
      <c r="P158" s="796">
        <f t="shared" ref="P158:Y158" si="141">P188*P$166</f>
        <v>1655.8537695898794</v>
      </c>
      <c r="Q158" s="796">
        <f t="shared" si="141"/>
        <v>1667.7444652115726</v>
      </c>
      <c r="R158" s="796">
        <f t="shared" si="141"/>
        <v>1756.288363697234</v>
      </c>
      <c r="S158" s="796">
        <f t="shared" si="141"/>
        <v>1836.306849491654</v>
      </c>
      <c r="T158" s="796">
        <f t="shared" si="141"/>
        <v>1918.7655883199893</v>
      </c>
      <c r="U158" s="796">
        <f t="shared" si="141"/>
        <v>2003.7315304465262</v>
      </c>
      <c r="V158" s="796">
        <f t="shared" si="141"/>
        <v>2091.2733280449088</v>
      </c>
      <c r="W158" s="796">
        <f t="shared" si="141"/>
        <v>2169.1857815350531</v>
      </c>
      <c r="X158" s="796">
        <f t="shared" si="141"/>
        <v>2249.3256429301932</v>
      </c>
      <c r="Y158" s="796">
        <f t="shared" si="141"/>
        <v>2318.9806621066659</v>
      </c>
      <c r="Z158" s="796">
        <f t="shared" ref="Z158:AD163" si="142">Z188*Z$166</f>
        <v>2390.4722659641275</v>
      </c>
      <c r="AA158" s="796">
        <f t="shared" si="142"/>
        <v>2463.8474034193946</v>
      </c>
      <c r="AB158" s="796">
        <f t="shared" si="142"/>
        <v>2539.1541667120828</v>
      </c>
      <c r="AC158" s="796">
        <f t="shared" si="142"/>
        <v>2616.4418183579546</v>
      </c>
      <c r="AD158" s="796">
        <f t="shared" si="142"/>
        <v>2695.760818723068</v>
      </c>
    </row>
    <row r="159" spans="2:31" outlineLevel="1">
      <c r="B159" s="685" t="s">
        <v>484</v>
      </c>
      <c r="D159" s="936">
        <v>289</v>
      </c>
      <c r="E159" s="936">
        <v>360</v>
      </c>
      <c r="F159" s="936">
        <v>467</v>
      </c>
      <c r="G159" s="934">
        <v>567</v>
      </c>
      <c r="H159" s="934">
        <v>705</v>
      </c>
      <c r="I159" s="934">
        <v>853</v>
      </c>
      <c r="J159" s="796">
        <f t="shared" si="140"/>
        <v>1076.55</v>
      </c>
      <c r="K159" s="796">
        <f t="shared" si="140"/>
        <v>1208.8230000000001</v>
      </c>
      <c r="L159" s="796">
        <f t="shared" si="140"/>
        <v>1339.04</v>
      </c>
      <c r="M159" s="796">
        <f t="shared" si="140"/>
        <v>1542.24</v>
      </c>
      <c r="N159" s="957">
        <f t="shared" ref="N159:O162" si="143">N189*N$166</f>
        <v>1611.0814159292038</v>
      </c>
      <c r="O159" s="796">
        <f t="shared" si="143"/>
        <v>1864.39</v>
      </c>
      <c r="P159" s="796">
        <f t="shared" ref="P159:Y159" si="144">P189*P$166</f>
        <v>2211.84</v>
      </c>
      <c r="Q159" s="796">
        <f t="shared" si="144"/>
        <v>2227.7232359999998</v>
      </c>
      <c r="R159" s="796">
        <f t="shared" si="144"/>
        <v>2345.9975305200001</v>
      </c>
      <c r="S159" s="796">
        <f t="shared" si="144"/>
        <v>2452.8838334472002</v>
      </c>
      <c r="T159" s="796">
        <f t="shared" si="144"/>
        <v>2563.0297534792803</v>
      </c>
      <c r="U159" s="796">
        <f t="shared" si="144"/>
        <v>2676.5247207792645</v>
      </c>
      <c r="V159" s="796">
        <f t="shared" si="144"/>
        <v>2793.4604388698563</v>
      </c>
      <c r="W159" s="796">
        <f t="shared" si="144"/>
        <v>2897.5335667586337</v>
      </c>
      <c r="X159" s="796">
        <f t="shared" si="144"/>
        <v>3004.5819995874149</v>
      </c>
      <c r="Y159" s="796">
        <f t="shared" si="144"/>
        <v>3097.6250933948158</v>
      </c>
      <c r="Z159" s="796">
        <f t="shared" si="142"/>
        <v>3193.1214421546783</v>
      </c>
      <c r="AA159" s="796">
        <f t="shared" si="142"/>
        <v>3291.1337588275778</v>
      </c>
      <c r="AB159" s="796">
        <f t="shared" si="142"/>
        <v>3391.7262835905308</v>
      </c>
      <c r="AC159" s="796">
        <f t="shared" si="142"/>
        <v>3494.9648198404711</v>
      </c>
      <c r="AD159" s="796">
        <f t="shared" si="142"/>
        <v>3600.9167710269735</v>
      </c>
    </row>
    <row r="160" spans="2:31" outlineLevel="1">
      <c r="B160" s="685" t="str">
        <f>B142</f>
        <v>TVI</v>
      </c>
      <c r="D160" s="936">
        <v>112</v>
      </c>
      <c r="E160" s="936">
        <v>147</v>
      </c>
      <c r="F160" s="936">
        <v>191</v>
      </c>
      <c r="G160" s="934">
        <v>230</v>
      </c>
      <c r="H160" s="934">
        <v>295</v>
      </c>
      <c r="I160" s="934">
        <v>391</v>
      </c>
      <c r="J160" s="796">
        <f t="shared" si="140"/>
        <v>502.39000000000004</v>
      </c>
      <c r="K160" s="796">
        <f t="shared" si="140"/>
        <v>580.86300000000006</v>
      </c>
      <c r="L160" s="796">
        <f t="shared" si="140"/>
        <v>652.78200000000015</v>
      </c>
      <c r="M160" s="796">
        <f t="shared" si="140"/>
        <v>743.58000000000015</v>
      </c>
      <c r="N160" s="957">
        <f t="shared" si="143"/>
        <v>776.42477876106204</v>
      </c>
      <c r="O160" s="796">
        <f t="shared" si="143"/>
        <v>987.03</v>
      </c>
      <c r="P160" s="796">
        <f t="shared" ref="P160:Y160" si="145">P190*P$166</f>
        <v>1105.92</v>
      </c>
      <c r="Q160" s="796">
        <f t="shared" si="145"/>
        <v>1113.8616179999999</v>
      </c>
      <c r="R160" s="796">
        <f t="shared" si="145"/>
        <v>1172.99876526</v>
      </c>
      <c r="S160" s="796">
        <f t="shared" si="145"/>
        <v>1226.4419167236001</v>
      </c>
      <c r="T160" s="796">
        <f t="shared" si="145"/>
        <v>1281.5148767396402</v>
      </c>
      <c r="U160" s="796">
        <f t="shared" si="145"/>
        <v>1338.2623603896322</v>
      </c>
      <c r="V160" s="796">
        <f t="shared" si="145"/>
        <v>1396.7302194349281</v>
      </c>
      <c r="W160" s="796">
        <f t="shared" si="145"/>
        <v>1448.7667833793168</v>
      </c>
      <c r="X160" s="796">
        <f t="shared" si="145"/>
        <v>1502.2909997937074</v>
      </c>
      <c r="Y160" s="796">
        <f t="shared" si="145"/>
        <v>1548.8125466974079</v>
      </c>
      <c r="Z160" s="796">
        <f t="shared" si="142"/>
        <v>1596.5607210773392</v>
      </c>
      <c r="AA160" s="796">
        <f t="shared" si="142"/>
        <v>1645.5668794137889</v>
      </c>
      <c r="AB160" s="796">
        <f t="shared" si="142"/>
        <v>1695.8631417952654</v>
      </c>
      <c r="AC160" s="796">
        <f t="shared" si="142"/>
        <v>1747.4824099202356</v>
      </c>
      <c r="AD160" s="796">
        <f t="shared" si="142"/>
        <v>1800.4583855134867</v>
      </c>
    </row>
    <row r="161" spans="2:30" outlineLevel="1">
      <c r="B161" s="685" t="s">
        <v>486</v>
      </c>
      <c r="D161" s="936"/>
      <c r="E161" s="936"/>
      <c r="F161" s="936"/>
      <c r="G161" s="934"/>
      <c r="H161" s="934">
        <v>242</v>
      </c>
      <c r="I161" s="934">
        <v>252.9</v>
      </c>
      <c r="J161" s="796">
        <f t="shared" si="140"/>
        <v>286.0907708451503</v>
      </c>
      <c r="K161" s="796">
        <f t="shared" si="140"/>
        <v>344.296077992059</v>
      </c>
      <c r="L161" s="796">
        <f t="shared" si="140"/>
        <v>400.55847362450373</v>
      </c>
      <c r="M161" s="796">
        <f t="shared" si="140"/>
        <v>466.914690867839</v>
      </c>
      <c r="N161" s="957">
        <f t="shared" si="143"/>
        <v>493.63308218593625</v>
      </c>
      <c r="O161" s="796">
        <f t="shared" si="143"/>
        <v>684.34079999999994</v>
      </c>
      <c r="P161" s="796">
        <f t="shared" ref="P161:Y161" si="146">P191*P$166</f>
        <v>766.77119999999991</v>
      </c>
      <c r="Q161" s="796">
        <f t="shared" si="146"/>
        <v>772.27738848000001</v>
      </c>
      <c r="R161" s="796">
        <f t="shared" si="146"/>
        <v>813.27914391359991</v>
      </c>
      <c r="S161" s="796">
        <f t="shared" si="146"/>
        <v>850.333062261696</v>
      </c>
      <c r="T161" s="796">
        <f t="shared" si="146"/>
        <v>888.51698120615049</v>
      </c>
      <c r="U161" s="796">
        <f t="shared" si="146"/>
        <v>927.86190320347828</v>
      </c>
      <c r="V161" s="796">
        <f t="shared" si="146"/>
        <v>968.39961880821693</v>
      </c>
      <c r="W161" s="796">
        <f t="shared" si="146"/>
        <v>1004.478303142993</v>
      </c>
      <c r="X161" s="796">
        <f t="shared" si="146"/>
        <v>1041.5884265236371</v>
      </c>
      <c r="Y161" s="796">
        <f t="shared" si="146"/>
        <v>1073.8433657102028</v>
      </c>
      <c r="Z161" s="796">
        <f t="shared" si="142"/>
        <v>1106.9487666136217</v>
      </c>
      <c r="AA161" s="796">
        <f t="shared" si="142"/>
        <v>1140.9263697268937</v>
      </c>
      <c r="AB161" s="796">
        <f t="shared" si="142"/>
        <v>1175.7984449780506</v>
      </c>
      <c r="AC161" s="796">
        <f t="shared" si="142"/>
        <v>1211.5878042113634</v>
      </c>
      <c r="AD161" s="796">
        <f t="shared" si="142"/>
        <v>1248.3178139560175</v>
      </c>
    </row>
    <row r="162" spans="2:30" outlineLevel="1">
      <c r="B162" s="685" t="s">
        <v>487</v>
      </c>
      <c r="D162" s="936"/>
      <c r="E162" s="936"/>
      <c r="F162" s="936"/>
      <c r="G162" s="934"/>
      <c r="H162" s="934"/>
      <c r="I162" s="934">
        <f>0.22*650</f>
        <v>143</v>
      </c>
      <c r="J162" s="934">
        <f>3067-J158-J159-J160-J161</f>
        <v>268.95922915484942</v>
      </c>
      <c r="K162" s="934">
        <f>3412-K158-K159-K160-K161</f>
        <v>226.18492200794077</v>
      </c>
      <c r="L162" s="934">
        <f>3797-L158-L159-L160-L161</f>
        <v>232.9595263754963</v>
      </c>
      <c r="M162" s="934">
        <f>4479-M158-M159-M160-M161</f>
        <v>349.26530913216084</v>
      </c>
      <c r="N162" s="957">
        <f t="shared" si="143"/>
        <v>369.25141662833869</v>
      </c>
      <c r="O162" s="796">
        <f t="shared" si="143"/>
        <v>417.25410079002262</v>
      </c>
      <c r="P162" s="796">
        <f t="shared" ref="P162:Y162" si="147">P192*P$166</f>
        <v>467.51330268148064</v>
      </c>
      <c r="Q162" s="796">
        <f t="shared" si="147"/>
        <v>470.87051844737209</v>
      </c>
      <c r="R162" s="796">
        <f t="shared" si="147"/>
        <v>495.86997864945153</v>
      </c>
      <c r="S162" s="796">
        <f t="shared" si="147"/>
        <v>518.46237615239409</v>
      </c>
      <c r="T162" s="796">
        <f t="shared" si="147"/>
        <v>541.74375403284114</v>
      </c>
      <c r="U162" s="796">
        <f t="shared" si="147"/>
        <v>565.73301501019137</v>
      </c>
      <c r="V162" s="796">
        <f t="shared" si="147"/>
        <v>590.44954232046848</v>
      </c>
      <c r="W162" s="796">
        <f t="shared" si="147"/>
        <v>612.44732323575818</v>
      </c>
      <c r="X162" s="796">
        <f t="shared" si="147"/>
        <v>635.07398989277681</v>
      </c>
      <c r="Y162" s="796">
        <f t="shared" si="147"/>
        <v>654.74036905112496</v>
      </c>
      <c r="Z162" s="796">
        <f t="shared" si="142"/>
        <v>674.92528902849483</v>
      </c>
      <c r="AA162" s="796">
        <f t="shared" si="142"/>
        <v>695.64200536928365</v>
      </c>
      <c r="AB162" s="796">
        <f t="shared" si="142"/>
        <v>716.9040964233368</v>
      </c>
      <c r="AC162" s="796">
        <f t="shared" si="142"/>
        <v>738.72547095594837</v>
      </c>
      <c r="AD162" s="796">
        <f t="shared" si="142"/>
        <v>761.12037593313869</v>
      </c>
    </row>
    <row r="163" spans="2:30">
      <c r="B163" s="685" t="s">
        <v>502</v>
      </c>
      <c r="D163" s="936">
        <v>709</v>
      </c>
      <c r="E163" s="936">
        <v>733</v>
      </c>
      <c r="F163" s="936">
        <v>617</v>
      </c>
      <c r="G163" s="934">
        <v>616</v>
      </c>
      <c r="H163" s="934">
        <v>483</v>
      </c>
      <c r="I163" s="934">
        <v>280</v>
      </c>
      <c r="J163" s="934">
        <v>202</v>
      </c>
      <c r="K163" s="934">
        <v>260</v>
      </c>
      <c r="L163" s="934">
        <v>100</v>
      </c>
      <c r="M163" s="934">
        <v>35</v>
      </c>
      <c r="N163" s="934">
        <v>35</v>
      </c>
      <c r="O163" s="934">
        <v>35</v>
      </c>
      <c r="P163" s="796">
        <f t="shared" ref="P163:Y163" si="148">P193*P$166</f>
        <v>39.215829306100119</v>
      </c>
      <c r="Q163" s="796">
        <f t="shared" si="148"/>
        <v>39.497438406127472</v>
      </c>
      <c r="R163" s="796">
        <f t="shared" si="148"/>
        <v>41.594436627154188</v>
      </c>
      <c r="S163" s="796">
        <f t="shared" si="148"/>
        <v>43.489526240667459</v>
      </c>
      <c r="T163" s="796">
        <f t="shared" si="148"/>
        <v>45.442408727077598</v>
      </c>
      <c r="U163" s="796">
        <f t="shared" si="148"/>
        <v>47.454669679378668</v>
      </c>
      <c r="V163" s="796">
        <f t="shared" si="148"/>
        <v>49.527934997135333</v>
      </c>
      <c r="W163" s="796">
        <f t="shared" si="148"/>
        <v>51.373147136638295</v>
      </c>
      <c r="X163" s="796">
        <f t="shared" si="148"/>
        <v>53.271111306424082</v>
      </c>
      <c r="Y163" s="796">
        <f t="shared" si="148"/>
        <v>54.920761409895626</v>
      </c>
      <c r="Z163" s="796">
        <f t="shared" si="142"/>
        <v>56.613907619532206</v>
      </c>
      <c r="AA163" s="796">
        <f t="shared" si="142"/>
        <v>58.351661833462622</v>
      </c>
      <c r="AB163" s="796">
        <f t="shared" si="142"/>
        <v>60.135163027298354</v>
      </c>
      <c r="AC163" s="796">
        <f t="shared" si="142"/>
        <v>61.965577892473632</v>
      </c>
      <c r="AD163" s="796">
        <f t="shared" si="142"/>
        <v>63.844101489288107</v>
      </c>
    </row>
    <row r="164" spans="2:30">
      <c r="B164" s="685" t="s">
        <v>469</v>
      </c>
      <c r="D164" s="936"/>
      <c r="E164" s="936"/>
      <c r="F164" s="934">
        <v>0</v>
      </c>
      <c r="G164" s="934">
        <v>0</v>
      </c>
      <c r="H164" s="934">
        <v>0</v>
      </c>
      <c r="I164" s="934">
        <v>150</v>
      </c>
      <c r="J164" s="934">
        <v>289</v>
      </c>
      <c r="K164" s="934">
        <v>586</v>
      </c>
      <c r="L164" s="934">
        <v>835</v>
      </c>
      <c r="M164" s="934">
        <v>1188</v>
      </c>
      <c r="N164" s="934">
        <v>1481.2121212121212</v>
      </c>
      <c r="O164" s="934">
        <v>2444</v>
      </c>
      <c r="P164" s="934">
        <v>3458</v>
      </c>
      <c r="Q164" s="934">
        <v>4297</v>
      </c>
      <c r="R164" s="934">
        <v>4779</v>
      </c>
      <c r="S164" s="820">
        <v>5149.4799999999996</v>
      </c>
      <c r="T164" s="820">
        <v>5469.48</v>
      </c>
      <c r="U164" s="820">
        <v>5769.48</v>
      </c>
      <c r="V164" s="820">
        <v>6019.48</v>
      </c>
      <c r="W164" s="820">
        <v>6219.48</v>
      </c>
      <c r="X164" s="820">
        <v>6419.48</v>
      </c>
      <c r="Y164" s="820">
        <v>6619.48</v>
      </c>
      <c r="Z164" s="820">
        <v>6619.48</v>
      </c>
      <c r="AA164" s="820">
        <v>6619.48</v>
      </c>
      <c r="AB164" s="820">
        <v>6619.48</v>
      </c>
      <c r="AC164" s="820">
        <v>6619.48</v>
      </c>
      <c r="AD164" s="820">
        <v>6619.48</v>
      </c>
    </row>
    <row r="165" spans="2:30">
      <c r="B165" s="743" t="s">
        <v>503</v>
      </c>
      <c r="C165" s="743"/>
      <c r="D165" s="960">
        <v>1088</v>
      </c>
      <c r="E165" s="960">
        <v>1673</v>
      </c>
      <c r="F165" s="960">
        <v>1727</v>
      </c>
      <c r="G165" s="961">
        <v>1470</v>
      </c>
      <c r="H165" s="961">
        <v>1349</v>
      </c>
      <c r="I165" s="927">
        <f>I166-I154-I155-I156-I157-I163-I173-I164</f>
        <v>552.09999999999991</v>
      </c>
      <c r="J165" s="927">
        <f>J166-J154-J155-J156-J157-J163-J173-J164</f>
        <v>165.00000000000045</v>
      </c>
      <c r="K165" s="927">
        <f>K166-K154-K155-K156-K157-K163-K173-K164</f>
        <v>59</v>
      </c>
      <c r="L165" s="927">
        <f>L166-L154-L155-L156-L157-L163-L173-L164</f>
        <v>38.664000000000215</v>
      </c>
      <c r="M165" s="927">
        <f>M166-M154-M155-M156-M157-M163-M173-M164</f>
        <v>35.983000000000175</v>
      </c>
      <c r="N165" s="927">
        <f>N166-N154-N155-N156-N157-N163-N164</f>
        <v>349.72534781442914</v>
      </c>
      <c r="O165" s="927">
        <f>O166-O154-O155-O156-O157-O163-O164</f>
        <v>445.14099999999962</v>
      </c>
      <c r="P165" s="927">
        <f>P166-P154-P155-P156-P157-P163-P164</f>
        <v>1493.8029392723629</v>
      </c>
      <c r="Q165" s="927">
        <f t="shared" ref="Q165:Y165" si="149">Q195*Q$166</f>
        <v>203.37906366371988</v>
      </c>
      <c r="R165" s="927">
        <f t="shared" si="149"/>
        <v>280.88312747793032</v>
      </c>
      <c r="S165" s="927">
        <f t="shared" si="149"/>
        <v>595.01968397524718</v>
      </c>
      <c r="T165" s="927">
        <f t="shared" si="149"/>
        <v>1012.7178135565347</v>
      </c>
      <c r="U165" s="927">
        <f t="shared" si="149"/>
        <v>1619.68903832673</v>
      </c>
      <c r="V165" s="927">
        <f t="shared" si="149"/>
        <v>2373.4253560877883</v>
      </c>
      <c r="W165" s="927">
        <f t="shared" si="149"/>
        <v>3138.4987294729331</v>
      </c>
      <c r="X165" s="927">
        <f t="shared" si="149"/>
        <v>3940.0219591819186</v>
      </c>
      <c r="Y165" s="927">
        <f t="shared" si="149"/>
        <v>4698.4738476215816</v>
      </c>
      <c r="Z165" s="927">
        <f>Z195*Z$166</f>
        <v>5580.5694731327385</v>
      </c>
      <c r="AA165" s="927">
        <f>AA195*AA$166</f>
        <v>6504.5546433095878</v>
      </c>
      <c r="AB165" s="927">
        <f>AB195*AB$166</f>
        <v>7471.9548449977256</v>
      </c>
      <c r="AC165" s="927">
        <f>AC195*AC$166</f>
        <v>8484.3451617770916</v>
      </c>
      <c r="AD165" s="927">
        <f>AD195*AD$166</f>
        <v>9543.351742298144</v>
      </c>
    </row>
    <row r="166" spans="2:30">
      <c r="B166" s="685" t="s">
        <v>504</v>
      </c>
      <c r="D166" s="796" t="e">
        <f>D154+#REF!+D155+D156+D157+D163+D173+D165</f>
        <v>#REF!</v>
      </c>
      <c r="E166" s="796" t="e">
        <f>E154+#REF!+E155+E156+E157+E163+E173+E165</f>
        <v>#REF!</v>
      </c>
      <c r="F166" s="796">
        <f>F154+F164+F155+F156+F157+F163+F173+F165</f>
        <v>12150</v>
      </c>
      <c r="G166" s="796">
        <f>G154+G164+G155+G156+G157+G163+G173+G165</f>
        <v>12810.556999999999</v>
      </c>
      <c r="H166" s="796">
        <f>H154+H164+H155+H156+H157+H163+H173+H165</f>
        <v>13756</v>
      </c>
      <c r="I166" s="934">
        <v>14104</v>
      </c>
      <c r="J166" s="934">
        <v>14354</v>
      </c>
      <c r="K166" s="934">
        <v>15699</v>
      </c>
      <c r="L166" s="934">
        <v>16738</v>
      </c>
      <c r="M166" s="934">
        <v>18360</v>
      </c>
      <c r="N166" s="934">
        <f>O166/1.13</f>
        <v>19410.619469026551</v>
      </c>
      <c r="O166" s="934">
        <v>21934</v>
      </c>
      <c r="P166" s="934">
        <v>24576</v>
      </c>
      <c r="Q166" s="796">
        <f t="shared" ref="Q166:Y166" si="150">Q178+Q180</f>
        <v>24752.4804</v>
      </c>
      <c r="R166" s="796">
        <f t="shared" si="150"/>
        <v>26066.639228</v>
      </c>
      <c r="S166" s="796">
        <f t="shared" si="150"/>
        <v>27254.264816080002</v>
      </c>
      <c r="T166" s="796">
        <f t="shared" si="150"/>
        <v>28478.108371992003</v>
      </c>
      <c r="U166" s="796">
        <f t="shared" si="150"/>
        <v>29739.16356421405</v>
      </c>
      <c r="V166" s="796">
        <f t="shared" si="150"/>
        <v>31038.449320776184</v>
      </c>
      <c r="W166" s="796">
        <f t="shared" si="150"/>
        <v>32194.817408429266</v>
      </c>
      <c r="X166" s="796">
        <f t="shared" si="150"/>
        <v>33384.244439860166</v>
      </c>
      <c r="Y166" s="796">
        <f t="shared" si="150"/>
        <v>34418.056593275731</v>
      </c>
      <c r="Z166" s="796">
        <f>Z178+Z180</f>
        <v>35479.127135051982</v>
      </c>
      <c r="AA166" s="796">
        <f>AA178+AA180</f>
        <v>36568.152875861975</v>
      </c>
      <c r="AB166" s="796">
        <f>AB178+AB180</f>
        <v>37685.847595450345</v>
      </c>
      <c r="AC166" s="796">
        <f>AC178+AC180</f>
        <v>38832.942442671905</v>
      </c>
      <c r="AD166" s="796">
        <f>AD178+AD180</f>
        <v>40010.18634474415</v>
      </c>
    </row>
    <row r="167" spans="2:30">
      <c r="B167" s="685" t="s">
        <v>505</v>
      </c>
      <c r="E167" s="685" t="e">
        <f t="shared" ref="E167:T167" si="151">E166-D166</f>
        <v>#REF!</v>
      </c>
      <c r="F167" s="685" t="e">
        <f t="shared" si="151"/>
        <v>#REF!</v>
      </c>
      <c r="G167" s="796">
        <f t="shared" si="151"/>
        <v>660.55699999999888</v>
      </c>
      <c r="H167" s="796">
        <f t="shared" si="151"/>
        <v>945.44300000000112</v>
      </c>
      <c r="I167" s="796">
        <f t="shared" si="151"/>
        <v>348</v>
      </c>
      <c r="J167" s="796">
        <f t="shared" si="151"/>
        <v>250</v>
      </c>
      <c r="K167" s="796">
        <f t="shared" si="151"/>
        <v>1345</v>
      </c>
      <c r="L167" s="796">
        <f t="shared" si="151"/>
        <v>1039</v>
      </c>
      <c r="M167" s="796">
        <f t="shared" si="151"/>
        <v>1622</v>
      </c>
      <c r="N167" s="796">
        <f t="shared" si="151"/>
        <v>1050.6194690265511</v>
      </c>
      <c r="O167" s="796">
        <f t="shared" si="151"/>
        <v>2523.3805309734489</v>
      </c>
      <c r="P167" s="796">
        <f t="shared" si="151"/>
        <v>2642</v>
      </c>
      <c r="Q167" s="796">
        <f t="shared" si="151"/>
        <v>176.48040000000037</v>
      </c>
      <c r="R167" s="796">
        <f t="shared" si="151"/>
        <v>1314.1588279999996</v>
      </c>
      <c r="S167" s="796">
        <f t="shared" si="151"/>
        <v>1187.6255880800018</v>
      </c>
      <c r="T167" s="796">
        <f t="shared" si="151"/>
        <v>1223.8435559120007</v>
      </c>
      <c r="U167" s="796">
        <f t="shared" ref="U167:AD167" si="152">U166-T166</f>
        <v>1261.0551922220475</v>
      </c>
      <c r="V167" s="796">
        <f t="shared" si="152"/>
        <v>1299.2857565621343</v>
      </c>
      <c r="W167" s="796">
        <f t="shared" si="152"/>
        <v>1156.3680876530816</v>
      </c>
      <c r="X167" s="796">
        <f t="shared" si="152"/>
        <v>1189.4270314308997</v>
      </c>
      <c r="Y167" s="796">
        <f t="shared" si="152"/>
        <v>1033.8121534155653</v>
      </c>
      <c r="Z167" s="796">
        <f t="shared" si="152"/>
        <v>1061.070541776251</v>
      </c>
      <c r="AA167" s="796">
        <f t="shared" si="152"/>
        <v>1089.0257408099933</v>
      </c>
      <c r="AB167" s="796">
        <f t="shared" si="152"/>
        <v>1117.6947195883695</v>
      </c>
      <c r="AC167" s="796">
        <f t="shared" si="152"/>
        <v>1147.0948472215605</v>
      </c>
      <c r="AD167" s="796">
        <f t="shared" si="152"/>
        <v>1177.243902072245</v>
      </c>
    </row>
    <row r="168" spans="2:30">
      <c r="G168" s="796"/>
      <c r="H168" s="796"/>
      <c r="I168" s="796"/>
      <c r="J168" s="796"/>
      <c r="K168" s="796"/>
      <c r="L168" s="796"/>
      <c r="M168" s="796"/>
      <c r="N168" s="796"/>
      <c r="O168" s="796"/>
      <c r="P168" s="796"/>
      <c r="Q168" s="796"/>
      <c r="R168" s="796"/>
      <c r="S168" s="796"/>
      <c r="T168" s="796"/>
      <c r="U168" s="796"/>
      <c r="V168" s="796"/>
      <c r="W168" s="796"/>
      <c r="X168" s="796"/>
      <c r="Y168" s="796"/>
      <c r="Z168" s="796"/>
      <c r="AA168" s="796"/>
      <c r="AB168" s="796"/>
      <c r="AC168" s="796"/>
      <c r="AD168" s="796"/>
    </row>
    <row r="169" spans="2:30">
      <c r="B169" s="685" t="s">
        <v>506</v>
      </c>
      <c r="F169" s="796">
        <f t="shared" ref="F169:Q169" si="153">F157-E157</f>
        <v>260</v>
      </c>
      <c r="G169" s="796">
        <f t="shared" si="153"/>
        <v>240</v>
      </c>
      <c r="H169" s="796">
        <f t="shared" si="153"/>
        <v>602</v>
      </c>
      <c r="I169" s="796">
        <f t="shared" si="153"/>
        <v>510.90000000000009</v>
      </c>
      <c r="J169" s="796">
        <f t="shared" si="153"/>
        <v>648.09999999999945</v>
      </c>
      <c r="K169" s="796">
        <f t="shared" si="153"/>
        <v>345.00000000000045</v>
      </c>
      <c r="L169" s="796">
        <f t="shared" si="153"/>
        <v>385.33599999999979</v>
      </c>
      <c r="M169" s="796">
        <f t="shared" si="153"/>
        <v>681.68100000000004</v>
      </c>
      <c r="N169" s="796">
        <f t="shared" si="153"/>
        <v>217.03700000000026</v>
      </c>
      <c r="O169" s="796">
        <f t="shared" si="153"/>
        <v>734.80500000000029</v>
      </c>
      <c r="P169" s="796">
        <f t="shared" si="153"/>
        <v>218.24299999999948</v>
      </c>
      <c r="Q169" s="796">
        <f t="shared" si="153"/>
        <v>335.04899999999998</v>
      </c>
      <c r="R169" s="796">
        <f>R157-Q157</f>
        <v>-305.72000000000025</v>
      </c>
      <c r="S169" s="796">
        <f t="shared" ref="S169:AD169" si="154">S157-R157</f>
        <v>-52.224999999999454</v>
      </c>
      <c r="T169" s="796">
        <f t="shared" si="154"/>
        <v>41.793999999999869</v>
      </c>
      <c r="U169" s="796">
        <f t="shared" si="154"/>
        <v>45</v>
      </c>
      <c r="V169" s="796">
        <f t="shared" si="154"/>
        <v>50</v>
      </c>
      <c r="W169" s="796">
        <f t="shared" si="154"/>
        <v>55</v>
      </c>
      <c r="X169" s="796">
        <f t="shared" si="154"/>
        <v>60</v>
      </c>
      <c r="Y169" s="796">
        <f t="shared" si="154"/>
        <v>60</v>
      </c>
      <c r="Z169" s="796">
        <f t="shared" si="154"/>
        <v>60</v>
      </c>
      <c r="AA169" s="796">
        <f t="shared" si="154"/>
        <v>60</v>
      </c>
      <c r="AB169" s="796">
        <f t="shared" si="154"/>
        <v>60</v>
      </c>
      <c r="AC169" s="796">
        <f t="shared" si="154"/>
        <v>60</v>
      </c>
      <c r="AD169" s="796">
        <f t="shared" si="154"/>
        <v>60</v>
      </c>
    </row>
    <row r="170" spans="2:30">
      <c r="G170" s="796"/>
      <c r="H170" s="796"/>
      <c r="I170" s="796"/>
      <c r="J170" s="796"/>
      <c r="K170" s="796"/>
      <c r="L170" s="796"/>
      <c r="M170" s="796"/>
      <c r="N170" s="796"/>
      <c r="O170" s="796"/>
      <c r="P170" s="796"/>
      <c r="Q170" s="796"/>
      <c r="R170" s="796"/>
      <c r="S170" s="796"/>
      <c r="T170" s="796"/>
      <c r="U170" s="796"/>
      <c r="V170" s="796"/>
      <c r="W170" s="796"/>
      <c r="X170" s="796"/>
      <c r="Y170" s="796"/>
      <c r="Z170" s="796"/>
      <c r="AA170" s="796"/>
      <c r="AB170" s="796"/>
      <c r="AC170" s="796"/>
      <c r="AD170" s="796"/>
    </row>
    <row r="171" spans="2:30">
      <c r="G171" s="796"/>
      <c r="H171" s="796"/>
      <c r="I171" s="796"/>
      <c r="J171" s="796"/>
      <c r="K171" s="796"/>
      <c r="L171" s="796"/>
      <c r="M171" s="796"/>
      <c r="N171" s="796"/>
      <c r="O171" s="796"/>
      <c r="P171" s="796"/>
      <c r="Q171" s="796"/>
      <c r="R171" s="796"/>
      <c r="S171" s="796"/>
      <c r="T171" s="796"/>
      <c r="U171" s="796"/>
      <c r="V171" s="796"/>
      <c r="W171" s="796"/>
      <c r="X171" s="796"/>
      <c r="Y171" s="796"/>
      <c r="Z171" s="796"/>
      <c r="AA171" s="796"/>
      <c r="AB171" s="796"/>
      <c r="AC171" s="796"/>
      <c r="AD171" s="796"/>
    </row>
    <row r="172" spans="2:30">
      <c r="G172" s="796"/>
      <c r="H172" s="796"/>
      <c r="I172" s="796"/>
      <c r="J172" s="796"/>
      <c r="K172" s="796"/>
      <c r="L172" s="796"/>
      <c r="M172" s="796"/>
      <c r="N172" s="796"/>
      <c r="O172" s="796"/>
      <c r="P172" s="796"/>
      <c r="Q172" s="796"/>
      <c r="R172" s="796"/>
      <c r="S172" s="796"/>
      <c r="T172" s="796"/>
      <c r="U172" s="796"/>
      <c r="V172" s="796"/>
      <c r="W172" s="796"/>
      <c r="X172" s="796"/>
      <c r="Y172" s="796"/>
      <c r="Z172" s="796"/>
      <c r="AA172" s="796"/>
      <c r="AB172" s="796"/>
      <c r="AC172" s="796"/>
      <c r="AD172" s="796"/>
    </row>
    <row r="173" spans="2:30">
      <c r="B173" s="685" t="s">
        <v>507</v>
      </c>
      <c r="G173" s="796"/>
      <c r="H173" s="796"/>
      <c r="I173" s="796"/>
      <c r="J173" s="796"/>
      <c r="K173" s="796"/>
      <c r="L173" s="796"/>
      <c r="M173" s="796"/>
      <c r="N173" s="1786">
        <v>386</v>
      </c>
      <c r="O173" s="1786">
        <v>666</v>
      </c>
      <c r="P173" s="1786">
        <v>727.226</v>
      </c>
      <c r="Q173" s="1786">
        <v>640.29399999999998</v>
      </c>
      <c r="R173" s="1786">
        <v>515.08900000000006</v>
      </c>
      <c r="S173" s="1298">
        <v>350.88499999999999</v>
      </c>
      <c r="T173" s="1298">
        <v>225.376</v>
      </c>
      <c r="U173" s="820">
        <v>125</v>
      </c>
      <c r="V173" s="820">
        <v>60</v>
      </c>
      <c r="W173" s="820">
        <v>35</v>
      </c>
      <c r="X173" s="820">
        <v>25</v>
      </c>
      <c r="Y173" s="820">
        <f t="shared" ref="Y173:AD173" si="155">X173-2</f>
        <v>23</v>
      </c>
      <c r="Z173" s="820">
        <f t="shared" si="155"/>
        <v>21</v>
      </c>
      <c r="AA173" s="820">
        <f t="shared" si="155"/>
        <v>19</v>
      </c>
      <c r="AB173" s="820">
        <f t="shared" si="155"/>
        <v>17</v>
      </c>
      <c r="AC173" s="820">
        <f t="shared" si="155"/>
        <v>15</v>
      </c>
      <c r="AD173" s="820">
        <f t="shared" si="155"/>
        <v>13</v>
      </c>
    </row>
    <row r="174" spans="2:30">
      <c r="O174" s="796">
        <f t="shared" ref="O174:X174" si="156">O173-N173</f>
        <v>280</v>
      </c>
      <c r="P174" s="796">
        <f t="shared" si="156"/>
        <v>61.225999999999999</v>
      </c>
      <c r="Q174" s="796">
        <f t="shared" si="156"/>
        <v>-86.932000000000016</v>
      </c>
      <c r="R174" s="796">
        <f t="shared" si="156"/>
        <v>-125.20499999999993</v>
      </c>
      <c r="S174" s="796">
        <f t="shared" si="156"/>
        <v>-164.20400000000006</v>
      </c>
      <c r="T174" s="796">
        <f t="shared" si="156"/>
        <v>-125.50899999999999</v>
      </c>
      <c r="U174" s="796">
        <f t="shared" si="156"/>
        <v>-100.376</v>
      </c>
      <c r="V174" s="796">
        <f t="shared" si="156"/>
        <v>-65</v>
      </c>
      <c r="W174" s="796">
        <f t="shared" si="156"/>
        <v>-25</v>
      </c>
      <c r="X174" s="796">
        <f t="shared" si="156"/>
        <v>-10</v>
      </c>
      <c r="Y174" s="796">
        <f t="shared" ref="Y174:AD174" si="157">Y173-X173</f>
        <v>-2</v>
      </c>
      <c r="Z174" s="796">
        <f t="shared" si="157"/>
        <v>-2</v>
      </c>
      <c r="AA174" s="796">
        <f t="shared" si="157"/>
        <v>-2</v>
      </c>
      <c r="AB174" s="796">
        <f t="shared" si="157"/>
        <v>-2</v>
      </c>
      <c r="AC174" s="796">
        <f t="shared" si="157"/>
        <v>-2</v>
      </c>
      <c r="AD174" s="796">
        <f t="shared" si="157"/>
        <v>-2</v>
      </c>
    </row>
    <row r="175" spans="2:30">
      <c r="O175" s="796"/>
      <c r="P175" s="796"/>
      <c r="Q175" s="796"/>
      <c r="R175" s="796"/>
      <c r="S175" s="796"/>
      <c r="T175" s="796"/>
      <c r="U175" s="796"/>
      <c r="V175" s="796"/>
    </row>
    <row r="176" spans="2:30">
      <c r="O176" s="796"/>
      <c r="P176" s="796"/>
      <c r="Q176" s="796"/>
      <c r="R176" s="796"/>
      <c r="S176" s="796"/>
      <c r="T176" s="796"/>
      <c r="U176" s="796"/>
      <c r="V176" s="796"/>
    </row>
    <row r="177" spans="2:32">
      <c r="O177" s="796"/>
      <c r="P177" s="796"/>
      <c r="Q177" s="796"/>
      <c r="R177" s="796"/>
      <c r="S177" s="796"/>
      <c r="T177" s="796"/>
      <c r="U177" s="796"/>
      <c r="V177" s="796"/>
    </row>
    <row r="178" spans="2:32">
      <c r="B178" s="685" t="s">
        <v>508</v>
      </c>
      <c r="D178" s="934">
        <v>971</v>
      </c>
      <c r="E178" s="934">
        <v>1157</v>
      </c>
      <c r="F178" s="934">
        <v>1259</v>
      </c>
      <c r="G178" s="934">
        <v>1330</v>
      </c>
      <c r="H178" s="934">
        <v>1370</v>
      </c>
      <c r="I178" s="934">
        <v>1560</v>
      </c>
      <c r="J178" s="934">
        <v>1776</v>
      </c>
      <c r="K178" s="934">
        <v>2074</v>
      </c>
      <c r="L178" s="796">
        <f t="shared" ref="L178:T178" si="158">K178+L179</f>
        <v>2274</v>
      </c>
      <c r="M178" s="796">
        <f t="shared" si="158"/>
        <v>2474</v>
      </c>
      <c r="N178" s="796">
        <f t="shared" si="158"/>
        <v>2624</v>
      </c>
      <c r="O178" s="796">
        <f t="shared" si="158"/>
        <v>2699</v>
      </c>
      <c r="P178" s="796">
        <f t="shared" si="158"/>
        <v>2749</v>
      </c>
      <c r="Q178" s="796">
        <f t="shared" si="158"/>
        <v>2799</v>
      </c>
      <c r="R178" s="796">
        <f t="shared" si="158"/>
        <v>2849</v>
      </c>
      <c r="S178" s="796">
        <f t="shared" si="158"/>
        <v>2899</v>
      </c>
      <c r="T178" s="796">
        <f t="shared" si="158"/>
        <v>2949</v>
      </c>
      <c r="U178" s="796">
        <f t="shared" ref="U178:AD178" si="159">T178+U179</f>
        <v>2999</v>
      </c>
      <c r="V178" s="796">
        <f t="shared" si="159"/>
        <v>3049</v>
      </c>
      <c r="W178" s="796">
        <f t="shared" si="159"/>
        <v>3099</v>
      </c>
      <c r="X178" s="796">
        <f t="shared" si="159"/>
        <v>3149</v>
      </c>
      <c r="Y178" s="796">
        <f t="shared" si="159"/>
        <v>3199</v>
      </c>
      <c r="Z178" s="796">
        <f t="shared" si="159"/>
        <v>3249</v>
      </c>
      <c r="AA178" s="796">
        <f t="shared" si="159"/>
        <v>3299</v>
      </c>
      <c r="AB178" s="796">
        <f t="shared" si="159"/>
        <v>3349</v>
      </c>
      <c r="AC178" s="796">
        <f t="shared" si="159"/>
        <v>3399</v>
      </c>
      <c r="AD178" s="796">
        <f t="shared" si="159"/>
        <v>3449</v>
      </c>
    </row>
    <row r="179" spans="2:32">
      <c r="B179" s="685" t="s">
        <v>509</v>
      </c>
      <c r="D179" s="796"/>
      <c r="E179" s="796">
        <f t="shared" ref="E179:K179" si="160">E178-D178</f>
        <v>186</v>
      </c>
      <c r="F179" s="796">
        <f t="shared" si="160"/>
        <v>102</v>
      </c>
      <c r="G179" s="796">
        <f t="shared" si="160"/>
        <v>71</v>
      </c>
      <c r="H179" s="796">
        <f t="shared" si="160"/>
        <v>40</v>
      </c>
      <c r="I179" s="796">
        <f t="shared" si="160"/>
        <v>190</v>
      </c>
      <c r="J179" s="796">
        <f t="shared" si="160"/>
        <v>216</v>
      </c>
      <c r="K179" s="796">
        <f t="shared" si="160"/>
        <v>298</v>
      </c>
      <c r="L179" s="936">
        <v>200</v>
      </c>
      <c r="M179" s="936">
        <v>200</v>
      </c>
      <c r="N179" s="936">
        <v>150</v>
      </c>
      <c r="O179" s="936">
        <v>75</v>
      </c>
      <c r="P179" s="936">
        <v>50</v>
      </c>
      <c r="Q179" s="936">
        <v>50</v>
      </c>
      <c r="R179" s="936">
        <v>50</v>
      </c>
      <c r="S179" s="936">
        <v>50</v>
      </c>
      <c r="T179" s="936">
        <v>50</v>
      </c>
      <c r="U179" s="936">
        <v>50</v>
      </c>
      <c r="V179" s="936">
        <v>50</v>
      </c>
      <c r="W179" s="936">
        <v>50</v>
      </c>
      <c r="X179" s="936">
        <v>50</v>
      </c>
      <c r="Y179" s="936">
        <v>50</v>
      </c>
      <c r="Z179" s="936">
        <v>50</v>
      </c>
      <c r="AA179" s="936">
        <v>50</v>
      </c>
      <c r="AB179" s="936">
        <v>50</v>
      </c>
      <c r="AC179" s="936">
        <v>50</v>
      </c>
      <c r="AD179" s="936">
        <v>50</v>
      </c>
    </row>
    <row r="180" spans="2:32">
      <c r="B180" s="685" t="s">
        <v>510</v>
      </c>
      <c r="D180" s="796" t="e">
        <f t="shared" ref="D180:J180" si="161">D166-D178</f>
        <v>#REF!</v>
      </c>
      <c r="E180" s="796" t="e">
        <f t="shared" si="161"/>
        <v>#REF!</v>
      </c>
      <c r="F180" s="796">
        <f t="shared" si="161"/>
        <v>10891</v>
      </c>
      <c r="G180" s="796">
        <f t="shared" si="161"/>
        <v>11480.556999999999</v>
      </c>
      <c r="H180" s="796">
        <f t="shared" si="161"/>
        <v>12386</v>
      </c>
      <c r="I180" s="796">
        <f t="shared" si="161"/>
        <v>12544</v>
      </c>
      <c r="J180" s="796">
        <f t="shared" si="161"/>
        <v>12578</v>
      </c>
      <c r="K180" s="796">
        <f>K166-K178</f>
        <v>13625</v>
      </c>
      <c r="L180" s="796">
        <f>L166-L178</f>
        <v>14464</v>
      </c>
      <c r="M180" s="796">
        <f>M166-M178</f>
        <v>15886</v>
      </c>
      <c r="N180" s="796">
        <f>N166-N178</f>
        <v>16786.619469026551</v>
      </c>
      <c r="O180" s="796">
        <f>O166-O178</f>
        <v>19235</v>
      </c>
      <c r="P180" s="796">
        <f t="shared" ref="P180:Y180" si="162">P181*P131</f>
        <v>20729.97</v>
      </c>
      <c r="Q180" s="796">
        <f t="shared" si="162"/>
        <v>21953.4804</v>
      </c>
      <c r="R180" s="796">
        <f t="shared" si="162"/>
        <v>23217.639228</v>
      </c>
      <c r="S180" s="796">
        <f t="shared" si="162"/>
        <v>24355.264816080002</v>
      </c>
      <c r="T180" s="796">
        <f t="shared" si="162"/>
        <v>25529.108371992003</v>
      </c>
      <c r="U180" s="796">
        <f t="shared" si="162"/>
        <v>26740.16356421405</v>
      </c>
      <c r="V180" s="796">
        <f t="shared" si="162"/>
        <v>27989.449320776184</v>
      </c>
      <c r="W180" s="796">
        <f t="shared" si="162"/>
        <v>29095.817408429266</v>
      </c>
      <c r="X180" s="796">
        <f t="shared" si="162"/>
        <v>30235.244439860162</v>
      </c>
      <c r="Y180" s="796">
        <f t="shared" si="162"/>
        <v>31219.056593275731</v>
      </c>
      <c r="Z180" s="796">
        <f>Z181*Z131</f>
        <v>32230.127135051986</v>
      </c>
      <c r="AA180" s="796">
        <f>AA181*AA131</f>
        <v>33269.152875861975</v>
      </c>
      <c r="AB180" s="796">
        <f>AB181*AB131</f>
        <v>34336.847595450345</v>
      </c>
      <c r="AC180" s="796">
        <f>AC181*AC131</f>
        <v>35433.942442671905</v>
      </c>
      <c r="AD180" s="796">
        <f>AD181*AD131</f>
        <v>36561.18634474415</v>
      </c>
    </row>
    <row r="181" spans="2:32">
      <c r="B181" s="817" t="s">
        <v>511</v>
      </c>
      <c r="C181" s="817"/>
      <c r="D181" s="928" t="e">
        <f t="shared" ref="D181:O181" si="163">D180/D131</f>
        <v>#REF!</v>
      </c>
      <c r="E181" s="928" t="e">
        <f t="shared" si="163"/>
        <v>#REF!</v>
      </c>
      <c r="F181" s="928">
        <f t="shared" si="163"/>
        <v>0.37815972222222222</v>
      </c>
      <c r="G181" s="928">
        <f t="shared" si="163"/>
        <v>0.39519989672977623</v>
      </c>
      <c r="H181" s="928">
        <f t="shared" si="163"/>
        <v>0.42273037542662117</v>
      </c>
      <c r="I181" s="928">
        <f t="shared" si="163"/>
        <v>0.42450084602368865</v>
      </c>
      <c r="J181" s="928">
        <f t="shared" si="163"/>
        <v>0.42208053691275166</v>
      </c>
      <c r="K181" s="928">
        <f t="shared" si="163"/>
        <v>0.45341098169717137</v>
      </c>
      <c r="L181" s="928">
        <f t="shared" si="163"/>
        <v>0.47735973597359738</v>
      </c>
      <c r="M181" s="928">
        <f t="shared" si="163"/>
        <v>0.52</v>
      </c>
      <c r="N181" s="928">
        <f t="shared" si="163"/>
        <v>0.54502011263073213</v>
      </c>
      <c r="O181" s="928">
        <f t="shared" si="163"/>
        <v>0.61848874598070736</v>
      </c>
      <c r="P181" s="928">
        <f t="shared" ref="P181:AD181" si="164">O181+P182</f>
        <v>0.65348874598070739</v>
      </c>
      <c r="Q181" s="928">
        <f t="shared" si="164"/>
        <v>0.67848874598070741</v>
      </c>
      <c r="R181" s="928">
        <f t="shared" si="164"/>
        <v>0.70348874598070743</v>
      </c>
      <c r="S181" s="928">
        <f>R181+S182</f>
        <v>0.72348874598070745</v>
      </c>
      <c r="T181" s="928">
        <f t="shared" si="164"/>
        <v>0.74348874598070747</v>
      </c>
      <c r="U181" s="928">
        <f t="shared" si="164"/>
        <v>0.76348874598070748</v>
      </c>
      <c r="V181" s="928">
        <f t="shared" si="164"/>
        <v>0.7834887459807075</v>
      </c>
      <c r="W181" s="928">
        <f t="shared" si="164"/>
        <v>0.79848874598070751</v>
      </c>
      <c r="X181" s="928">
        <f t="shared" si="164"/>
        <v>0.81348874598070753</v>
      </c>
      <c r="Y181" s="928">
        <f t="shared" si="164"/>
        <v>0.82348874598070754</v>
      </c>
      <c r="Z181" s="928">
        <f t="shared" si="164"/>
        <v>0.83348874598070755</v>
      </c>
      <c r="AA181" s="928">
        <f t="shared" si="164"/>
        <v>0.84348874598070755</v>
      </c>
      <c r="AB181" s="928">
        <f t="shared" si="164"/>
        <v>0.85348874598070756</v>
      </c>
      <c r="AC181" s="928">
        <f t="shared" si="164"/>
        <v>0.86348874598070757</v>
      </c>
      <c r="AD181" s="928">
        <f t="shared" si="164"/>
        <v>0.87348874598070758</v>
      </c>
    </row>
    <row r="182" spans="2:32">
      <c r="B182" s="685" t="s">
        <v>512</v>
      </c>
      <c r="E182" s="814" t="e">
        <f t="shared" ref="E182:O182" si="165">E181-D181</f>
        <v>#REF!</v>
      </c>
      <c r="F182" s="814" t="e">
        <f t="shared" si="165"/>
        <v>#REF!</v>
      </c>
      <c r="G182" s="814">
        <f t="shared" si="165"/>
        <v>1.7040174507554018E-2</v>
      </c>
      <c r="H182" s="814">
        <f t="shared" si="165"/>
        <v>2.753047869684494E-2</v>
      </c>
      <c r="I182" s="814">
        <f t="shared" si="165"/>
        <v>1.770470597067475E-3</v>
      </c>
      <c r="J182" s="814">
        <f t="shared" si="165"/>
        <v>-2.4203091109369912E-3</v>
      </c>
      <c r="K182" s="814">
        <f t="shared" si="165"/>
        <v>3.1330444784419709E-2</v>
      </c>
      <c r="L182" s="814">
        <f t="shared" si="165"/>
        <v>2.394875427642601E-2</v>
      </c>
      <c r="M182" s="814">
        <f t="shared" si="165"/>
        <v>4.2640264026402641E-2</v>
      </c>
      <c r="N182" s="814">
        <f t="shared" si="165"/>
        <v>2.5020112630732116E-2</v>
      </c>
      <c r="O182" s="814">
        <f t="shared" si="165"/>
        <v>7.3468633349975221E-2</v>
      </c>
      <c r="P182" s="914">
        <v>3.5000000000000003E-2</v>
      </c>
      <c r="Q182" s="914">
        <v>2.5000000000000001E-2</v>
      </c>
      <c r="R182" s="914">
        <v>2.5000000000000001E-2</v>
      </c>
      <c r="S182" s="914">
        <v>0.02</v>
      </c>
      <c r="T182" s="914">
        <v>0.02</v>
      </c>
      <c r="U182" s="914">
        <v>0.02</v>
      </c>
      <c r="V182" s="914">
        <v>0.02</v>
      </c>
      <c r="W182" s="914">
        <v>1.4999999999999999E-2</v>
      </c>
      <c r="X182" s="914">
        <v>1.4999999999999999E-2</v>
      </c>
      <c r="Y182" s="914">
        <v>0.01</v>
      </c>
      <c r="Z182" s="914">
        <v>0.01</v>
      </c>
      <c r="AA182" s="914">
        <v>0.01</v>
      </c>
      <c r="AB182" s="914">
        <v>0.01</v>
      </c>
      <c r="AC182" s="914">
        <v>0.01</v>
      </c>
      <c r="AD182" s="914">
        <v>0.01</v>
      </c>
    </row>
    <row r="184" spans="2:32">
      <c r="B184" s="685" t="str">
        <f>B154</f>
        <v>Telmex</v>
      </c>
      <c r="D184" s="814" t="e">
        <f t="shared" ref="D184:R184" si="166">D154/D$166</f>
        <v>#REF!</v>
      </c>
      <c r="E184" s="814" t="e">
        <f t="shared" si="166"/>
        <v>#REF!</v>
      </c>
      <c r="F184" s="814">
        <f t="shared" si="166"/>
        <v>0.65448559670781892</v>
      </c>
      <c r="G184" s="814">
        <f t="shared" si="166"/>
        <v>0.65949958303920742</v>
      </c>
      <c r="H184" s="814">
        <f t="shared" si="166"/>
        <v>0.64757196859552191</v>
      </c>
      <c r="I184" s="814">
        <f t="shared" si="166"/>
        <v>0.6522972206466251</v>
      </c>
      <c r="J184" s="814">
        <f t="shared" si="166"/>
        <v>0.60171380799777063</v>
      </c>
      <c r="K184" s="814">
        <f t="shared" si="166"/>
        <v>0.57710682209057906</v>
      </c>
      <c r="L184" s="814">
        <f t="shared" si="166"/>
        <v>0.55359063209463499</v>
      </c>
      <c r="M184" s="814">
        <f t="shared" si="166"/>
        <v>0.52407407407407403</v>
      </c>
      <c r="N184" s="814">
        <f t="shared" si="166"/>
        <v>0.49936582474696811</v>
      </c>
      <c r="O184" s="814">
        <f t="shared" si="166"/>
        <v>0.45641469864137868</v>
      </c>
      <c r="P184" s="814">
        <f t="shared" si="166"/>
        <v>0.40840657552083331</v>
      </c>
      <c r="Q184" s="814">
        <f t="shared" si="166"/>
        <v>0.40500991569313594</v>
      </c>
      <c r="R184" s="814">
        <f t="shared" si="166"/>
        <v>0.40239172791914929</v>
      </c>
      <c r="S184" s="914">
        <f t="shared" ref="S184:AD184" si="167">R184-2%</f>
        <v>0.38239172791914927</v>
      </c>
      <c r="T184" s="914">
        <f t="shared" si="167"/>
        <v>0.36239172791914925</v>
      </c>
      <c r="U184" s="914">
        <f t="shared" si="167"/>
        <v>0.34239172791914924</v>
      </c>
      <c r="V184" s="914">
        <f t="shared" si="167"/>
        <v>0.32239172791914922</v>
      </c>
      <c r="W184" s="914">
        <f t="shared" si="167"/>
        <v>0.3023917279191492</v>
      </c>
      <c r="X184" s="914">
        <f t="shared" si="167"/>
        <v>0.28239172791914918</v>
      </c>
      <c r="Y184" s="914">
        <f t="shared" si="167"/>
        <v>0.26239172791914916</v>
      </c>
      <c r="Z184" s="914">
        <f t="shared" si="167"/>
        <v>0.24239172791914917</v>
      </c>
      <c r="AA184" s="914">
        <f t="shared" si="167"/>
        <v>0.22239172791914918</v>
      </c>
      <c r="AB184" s="914">
        <f t="shared" si="167"/>
        <v>0.20239172791914919</v>
      </c>
      <c r="AC184" s="914">
        <f t="shared" si="167"/>
        <v>0.1823917279191492</v>
      </c>
      <c r="AD184" s="914">
        <f t="shared" si="167"/>
        <v>0.16239172791914921</v>
      </c>
    </row>
    <row r="185" spans="2:32">
      <c r="B185" s="685" t="str">
        <f>B155</f>
        <v>Maxcom</v>
      </c>
      <c r="D185" s="814" t="e">
        <f t="shared" ref="D185:O185" si="168">D155/D$166</f>
        <v>#REF!</v>
      </c>
      <c r="E185" s="814" t="e">
        <f t="shared" si="168"/>
        <v>#REF!</v>
      </c>
      <c r="F185" s="814">
        <f t="shared" si="168"/>
        <v>8.6419753086419745E-3</v>
      </c>
      <c r="G185" s="814">
        <f t="shared" si="168"/>
        <v>1.0538183468525218E-2</v>
      </c>
      <c r="H185" s="814">
        <f t="shared" si="168"/>
        <v>1.1413201512067461E-2</v>
      </c>
      <c r="I185" s="814">
        <f t="shared" si="168"/>
        <v>1.2195121951219513E-2</v>
      </c>
      <c r="J185" s="814">
        <f t="shared" si="168"/>
        <v>1.135571966002508E-2</v>
      </c>
      <c r="K185" s="814">
        <f t="shared" si="168"/>
        <v>5.9876425250015922E-3</v>
      </c>
      <c r="L185" s="814">
        <f t="shared" si="168"/>
        <v>4.5405663759111002E-3</v>
      </c>
      <c r="M185" s="814">
        <f t="shared" si="168"/>
        <v>3.1590413943355122E-3</v>
      </c>
      <c r="N185" s="814">
        <f t="shared" si="168"/>
        <v>2.9880550743138501E-3</v>
      </c>
      <c r="O185" s="814">
        <f t="shared" si="168"/>
        <v>2.6442965259414609E-3</v>
      </c>
      <c r="P185" s="914">
        <f t="shared" ref="P185:AD185" si="169">O185</f>
        <v>2.6442965259414609E-3</v>
      </c>
      <c r="Q185" s="914">
        <f t="shared" si="169"/>
        <v>2.6442965259414609E-3</v>
      </c>
      <c r="R185" s="914">
        <f t="shared" si="169"/>
        <v>2.6442965259414609E-3</v>
      </c>
      <c r="S185" s="914">
        <f t="shared" si="169"/>
        <v>2.6442965259414609E-3</v>
      </c>
      <c r="T185" s="914">
        <f t="shared" si="169"/>
        <v>2.6442965259414609E-3</v>
      </c>
      <c r="U185" s="914">
        <f t="shared" si="169"/>
        <v>2.6442965259414609E-3</v>
      </c>
      <c r="V185" s="914">
        <f t="shared" si="169"/>
        <v>2.6442965259414609E-3</v>
      </c>
      <c r="W185" s="914">
        <f t="shared" si="169"/>
        <v>2.6442965259414609E-3</v>
      </c>
      <c r="X185" s="914">
        <f t="shared" si="169"/>
        <v>2.6442965259414609E-3</v>
      </c>
      <c r="Y185" s="914">
        <f t="shared" si="169"/>
        <v>2.6442965259414609E-3</v>
      </c>
      <c r="Z185" s="914">
        <f t="shared" si="169"/>
        <v>2.6442965259414609E-3</v>
      </c>
      <c r="AA185" s="914">
        <f t="shared" si="169"/>
        <v>2.6442965259414609E-3</v>
      </c>
      <c r="AB185" s="914">
        <f t="shared" si="169"/>
        <v>2.6442965259414609E-3</v>
      </c>
      <c r="AC185" s="914">
        <f t="shared" si="169"/>
        <v>2.6442965259414609E-3</v>
      </c>
      <c r="AD185" s="914">
        <f t="shared" si="169"/>
        <v>2.6442965259414609E-3</v>
      </c>
      <c r="AF185" s="685" t="s">
        <v>57</v>
      </c>
    </row>
    <row r="186" spans="2:32">
      <c r="B186" s="685" t="str">
        <f>B156</f>
        <v>Megacable</v>
      </c>
      <c r="D186" s="814" t="e">
        <f t="shared" ref="D186:P186" si="170">D156/D$166</f>
        <v>#REF!</v>
      </c>
      <c r="E186" s="814" t="e">
        <f t="shared" si="170"/>
        <v>#REF!</v>
      </c>
      <c r="F186" s="814">
        <f t="shared" si="170"/>
        <v>5.6213991769547327E-2</v>
      </c>
      <c r="G186" s="814">
        <f t="shared" si="170"/>
        <v>6.5180616268285613E-2</v>
      </c>
      <c r="H186" s="814">
        <f t="shared" si="170"/>
        <v>6.913346903169526E-2</v>
      </c>
      <c r="I186" s="814">
        <f t="shared" si="170"/>
        <v>9.4370391378332391E-2</v>
      </c>
      <c r="J186" s="814">
        <f t="shared" si="170"/>
        <v>0.12756026194788908</v>
      </c>
      <c r="K186" s="814">
        <f t="shared" si="170"/>
        <v>0.14191986750748456</v>
      </c>
      <c r="L186" s="814">
        <f t="shared" si="170"/>
        <v>0.15682877285219263</v>
      </c>
      <c r="M186" s="814">
        <f t="shared" si="170"/>
        <v>0.16023965141612201</v>
      </c>
      <c r="N186" s="814">
        <f t="shared" si="170"/>
        <v>0.15958419075408042</v>
      </c>
      <c r="O186" s="814">
        <f t="shared" si="170"/>
        <v>0.16002553113887116</v>
      </c>
      <c r="P186" s="814">
        <f t="shared" si="170"/>
        <v>0.15600150553385417</v>
      </c>
      <c r="Q186" s="814">
        <f t="shared" ref="Q186:Y186" si="171">Q156/Q$166</f>
        <v>0.1671751652008176</v>
      </c>
      <c r="R186" s="814">
        <f t="shared" si="171"/>
        <v>0.18115108582650616</v>
      </c>
      <c r="S186" s="814">
        <f t="shared" si="171"/>
        <v>0.19268734766610129</v>
      </c>
      <c r="T186" s="814">
        <f t="shared" si="171"/>
        <v>0.20020824155608002</v>
      </c>
      <c r="U186" s="814">
        <f t="shared" si="171"/>
        <v>0.20180634828687083</v>
      </c>
      <c r="V186" s="814">
        <f t="shared" si="171"/>
        <v>0.19980224965197832</v>
      </c>
      <c r="W186" s="814">
        <f t="shared" si="171"/>
        <v>0.19728492071947681</v>
      </c>
      <c r="X186" s="814">
        <f t="shared" si="171"/>
        <v>0.19474911321453386</v>
      </c>
      <c r="Y186" s="814">
        <f t="shared" si="171"/>
        <v>0.19325762865122129</v>
      </c>
      <c r="Z186" s="814">
        <f>Z156/Z$166</f>
        <v>0.18747789297861636</v>
      </c>
      <c r="AA186" s="814">
        <f>AA156/AA$166</f>
        <v>0.18189466726908643</v>
      </c>
      <c r="AB186" s="814">
        <f>AB156/AB$166</f>
        <v>0.17649999733064287</v>
      </c>
      <c r="AC186" s="814">
        <f>AC156/AC$166</f>
        <v>0.17128632500149887</v>
      </c>
      <c r="AD186" s="814">
        <f>AD156/AD$166</f>
        <v>0.16624646390515416</v>
      </c>
    </row>
    <row r="187" spans="2:32">
      <c r="B187" s="685" t="s">
        <v>467</v>
      </c>
      <c r="D187" s="814" t="e">
        <f t="shared" ref="D187:R187" si="172">D157/D$166</f>
        <v>#REF!</v>
      </c>
      <c r="E187" s="814" t="e">
        <f t="shared" si="172"/>
        <v>#REF!</v>
      </c>
      <c r="F187" s="814">
        <f t="shared" si="172"/>
        <v>8.7736625514403296E-2</v>
      </c>
      <c r="G187" s="814">
        <f t="shared" si="172"/>
        <v>0.10194716748069581</v>
      </c>
      <c r="H187" s="814">
        <f t="shared" si="172"/>
        <v>0.13870311136958419</v>
      </c>
      <c r="I187" s="814">
        <f t="shared" si="172"/>
        <v>0.17150453771979582</v>
      </c>
      <c r="J187" s="814">
        <f t="shared" si="172"/>
        <v>0.21366866378709765</v>
      </c>
      <c r="K187" s="814">
        <f t="shared" si="172"/>
        <v>0.217338683992611</v>
      </c>
      <c r="L187" s="814">
        <f t="shared" si="172"/>
        <v>0.22686915999522045</v>
      </c>
      <c r="M187" s="814">
        <f t="shared" si="172"/>
        <v>0.243955174291939</v>
      </c>
      <c r="N187" s="814">
        <f t="shared" si="172"/>
        <v>0.24193220661985956</v>
      </c>
      <c r="O187" s="814">
        <f t="shared" si="172"/>
        <v>0.24760002735479167</v>
      </c>
      <c r="P187" s="814">
        <f t="shared" si="172"/>
        <v>0.22986254882812499</v>
      </c>
      <c r="Q187" s="814">
        <f t="shared" si="172"/>
        <v>0.24175965007531122</v>
      </c>
      <c r="R187" s="814">
        <f t="shared" si="172"/>
        <v>0.2178428507922264</v>
      </c>
      <c r="S187" s="914">
        <v>0.21024999999999999</v>
      </c>
      <c r="T187" s="914">
        <v>0.20399999999999999</v>
      </c>
      <c r="U187" s="914">
        <v>0.19850000000000001</v>
      </c>
      <c r="V187" s="914">
        <f>U187-0.5%</f>
        <v>0.19350000000000001</v>
      </c>
      <c r="W187" s="914">
        <v>0.19</v>
      </c>
      <c r="X187" s="914">
        <v>0.187</v>
      </c>
      <c r="Y187" s="914">
        <v>0.185</v>
      </c>
      <c r="Z187" s="914">
        <v>0.185</v>
      </c>
      <c r="AA187" s="914">
        <v>0.185</v>
      </c>
      <c r="AB187" s="914">
        <v>0.185</v>
      </c>
      <c r="AC187" s="914">
        <v>0.185</v>
      </c>
      <c r="AD187" s="914">
        <v>0.185</v>
      </c>
    </row>
    <row r="188" spans="2:32" hidden="1" outlineLevel="1">
      <c r="B188" s="685" t="str">
        <f>B158</f>
        <v>Cablevision</v>
      </c>
      <c r="D188" s="814" t="e">
        <f t="shared" ref="D188:I191" si="173">D158/D$166</f>
        <v>#REF!</v>
      </c>
      <c r="E188" s="814" t="e">
        <f t="shared" si="173"/>
        <v>#REF!</v>
      </c>
      <c r="F188" s="814">
        <f t="shared" si="173"/>
        <v>3.3580246913580247E-2</v>
      </c>
      <c r="G188" s="814">
        <f t="shared" si="173"/>
        <v>3.9732854707254343E-2</v>
      </c>
      <c r="H188" s="814">
        <f t="shared" si="173"/>
        <v>4.8415236987496363E-2</v>
      </c>
      <c r="I188" s="814">
        <f t="shared" si="173"/>
        <v>5.5232558139534885E-2</v>
      </c>
      <c r="J188" s="933">
        <v>6.5000000000000002E-2</v>
      </c>
      <c r="K188" s="933">
        <f>J188+0.2%</f>
        <v>6.7000000000000004E-2</v>
      </c>
      <c r="L188" s="933">
        <v>7.0000000000000007E-2</v>
      </c>
      <c r="M188" s="933">
        <v>7.4999999999999997E-2</v>
      </c>
      <c r="N188" s="814">
        <f>N158/N$166</f>
        <v>7.4477958253846469E-2</v>
      </c>
      <c r="O188" s="814">
        <f>O158/O$166</f>
        <v>6.7376862369379856E-2</v>
      </c>
      <c r="P188" s="962">
        <f>O188</f>
        <v>6.7376862369379856E-2</v>
      </c>
      <c r="Q188" s="962">
        <f t="shared" ref="Q188:T189" si="174">P188</f>
        <v>6.7376862369379856E-2</v>
      </c>
      <c r="R188" s="914">
        <f t="shared" si="174"/>
        <v>6.7376862369379856E-2</v>
      </c>
      <c r="S188" s="914">
        <f t="shared" si="174"/>
        <v>6.7376862369379856E-2</v>
      </c>
      <c r="T188" s="914">
        <f t="shared" si="174"/>
        <v>6.7376862369379856E-2</v>
      </c>
      <c r="U188" s="914">
        <f t="shared" ref="U188:U193" si="175">T188</f>
        <v>6.7376862369379856E-2</v>
      </c>
      <c r="V188" s="914">
        <f t="shared" ref="V188:V193" si="176">U188</f>
        <v>6.7376862369379856E-2</v>
      </c>
      <c r="W188" s="914">
        <f t="shared" ref="W188:W193" si="177">V188</f>
        <v>6.7376862369379856E-2</v>
      </c>
      <c r="X188" s="914">
        <f t="shared" ref="X188:X193" si="178">W188</f>
        <v>6.7376862369379856E-2</v>
      </c>
      <c r="Y188" s="914">
        <f t="shared" ref="Y188:AD193" si="179">X188</f>
        <v>6.7376862369379856E-2</v>
      </c>
      <c r="Z188" s="914">
        <f t="shared" si="179"/>
        <v>6.7376862369379856E-2</v>
      </c>
      <c r="AA188" s="914">
        <f t="shared" si="179"/>
        <v>6.7376862369379856E-2</v>
      </c>
      <c r="AB188" s="914">
        <f t="shared" si="179"/>
        <v>6.7376862369379856E-2</v>
      </c>
      <c r="AC188" s="914">
        <f t="shared" si="179"/>
        <v>6.7376862369379856E-2</v>
      </c>
      <c r="AD188" s="914">
        <f t="shared" si="179"/>
        <v>6.7376862369379856E-2</v>
      </c>
    </row>
    <row r="189" spans="2:32" hidden="1" outlineLevel="1">
      <c r="B189" s="685" t="str">
        <f>B159</f>
        <v>Cablemas</v>
      </c>
      <c r="D189" s="814" t="e">
        <f t="shared" si="173"/>
        <v>#REF!</v>
      </c>
      <c r="E189" s="814" t="e">
        <f t="shared" si="173"/>
        <v>#REF!</v>
      </c>
      <c r="F189" s="814">
        <f t="shared" si="173"/>
        <v>3.8436213991769545E-2</v>
      </c>
      <c r="G189" s="814">
        <f t="shared" si="173"/>
        <v>4.4260370567805914E-2</v>
      </c>
      <c r="H189" s="814">
        <f t="shared" si="173"/>
        <v>5.1250363477755162E-2</v>
      </c>
      <c r="I189" s="814">
        <f t="shared" si="173"/>
        <v>6.0479296653431651E-2</v>
      </c>
      <c r="J189" s="933">
        <v>7.4999999999999997E-2</v>
      </c>
      <c r="K189" s="933">
        <f>J189+0.2%</f>
        <v>7.6999999999999999E-2</v>
      </c>
      <c r="L189" s="933">
        <v>0.08</v>
      </c>
      <c r="M189" s="933">
        <v>8.4000000000000005E-2</v>
      </c>
      <c r="N189" s="933">
        <v>8.3000000000000004E-2</v>
      </c>
      <c r="O189" s="933">
        <v>8.5000000000000006E-2</v>
      </c>
      <c r="P189" s="962">
        <v>0.09</v>
      </c>
      <c r="Q189" s="962">
        <f t="shared" si="174"/>
        <v>0.09</v>
      </c>
      <c r="R189" s="914">
        <f t="shared" si="174"/>
        <v>0.09</v>
      </c>
      <c r="S189" s="914">
        <f t="shared" si="174"/>
        <v>0.09</v>
      </c>
      <c r="T189" s="914">
        <f t="shared" si="174"/>
        <v>0.09</v>
      </c>
      <c r="U189" s="914">
        <f t="shared" si="175"/>
        <v>0.09</v>
      </c>
      <c r="V189" s="914">
        <f t="shared" si="176"/>
        <v>0.09</v>
      </c>
      <c r="W189" s="914">
        <f t="shared" si="177"/>
        <v>0.09</v>
      </c>
      <c r="X189" s="914">
        <f t="shared" si="178"/>
        <v>0.09</v>
      </c>
      <c r="Y189" s="914">
        <f t="shared" si="179"/>
        <v>0.09</v>
      </c>
      <c r="Z189" s="914">
        <f t="shared" si="179"/>
        <v>0.09</v>
      </c>
      <c r="AA189" s="914">
        <f t="shared" si="179"/>
        <v>0.09</v>
      </c>
      <c r="AB189" s="914">
        <f t="shared" si="179"/>
        <v>0.09</v>
      </c>
      <c r="AC189" s="914">
        <f t="shared" si="179"/>
        <v>0.09</v>
      </c>
      <c r="AD189" s="914">
        <f t="shared" si="179"/>
        <v>0.09</v>
      </c>
    </row>
    <row r="190" spans="2:32" hidden="1" outlineLevel="1">
      <c r="B190" s="685" t="str">
        <f>B160</f>
        <v>TVI</v>
      </c>
      <c r="D190" s="814" t="e">
        <f t="shared" si="173"/>
        <v>#REF!</v>
      </c>
      <c r="E190" s="814" t="e">
        <f t="shared" si="173"/>
        <v>#REF!</v>
      </c>
      <c r="F190" s="814">
        <f t="shared" si="173"/>
        <v>1.5720164609053497E-2</v>
      </c>
      <c r="G190" s="814">
        <f t="shared" si="173"/>
        <v>1.7953942205635558E-2</v>
      </c>
      <c r="H190" s="814">
        <f t="shared" si="173"/>
        <v>2.1445187554521662E-2</v>
      </c>
      <c r="I190" s="814">
        <f t="shared" si="173"/>
        <v>2.7722631877481564E-2</v>
      </c>
      <c r="J190" s="933">
        <v>3.5000000000000003E-2</v>
      </c>
      <c r="K190" s="933">
        <f>J190+0.2%</f>
        <v>3.7000000000000005E-2</v>
      </c>
      <c r="L190" s="933">
        <f>K190+0.2%</f>
        <v>3.9000000000000007E-2</v>
      </c>
      <c r="M190" s="933">
        <f>L190+0.15%</f>
        <v>4.0500000000000008E-2</v>
      </c>
      <c r="N190" s="933">
        <v>0.04</v>
      </c>
      <c r="O190" s="933">
        <v>4.4999999999999998E-2</v>
      </c>
      <c r="P190" s="962">
        <f t="shared" ref="O190:P192" si="180">O190</f>
        <v>4.4999999999999998E-2</v>
      </c>
      <c r="Q190" s="962">
        <f t="shared" ref="Q190:T193" si="181">P190</f>
        <v>4.4999999999999998E-2</v>
      </c>
      <c r="R190" s="914">
        <f t="shared" si="181"/>
        <v>4.4999999999999998E-2</v>
      </c>
      <c r="S190" s="914">
        <f t="shared" si="181"/>
        <v>4.4999999999999998E-2</v>
      </c>
      <c r="T190" s="914">
        <f t="shared" si="181"/>
        <v>4.4999999999999998E-2</v>
      </c>
      <c r="U190" s="914">
        <f t="shared" si="175"/>
        <v>4.4999999999999998E-2</v>
      </c>
      <c r="V190" s="914">
        <f t="shared" si="176"/>
        <v>4.4999999999999998E-2</v>
      </c>
      <c r="W190" s="914">
        <f t="shared" si="177"/>
        <v>4.4999999999999998E-2</v>
      </c>
      <c r="X190" s="914">
        <f t="shared" si="178"/>
        <v>4.4999999999999998E-2</v>
      </c>
      <c r="Y190" s="914">
        <f t="shared" si="179"/>
        <v>4.4999999999999998E-2</v>
      </c>
      <c r="Z190" s="914">
        <f t="shared" si="179"/>
        <v>4.4999999999999998E-2</v>
      </c>
      <c r="AA190" s="914">
        <f t="shared" si="179"/>
        <v>4.4999999999999998E-2</v>
      </c>
      <c r="AB190" s="914">
        <f t="shared" si="179"/>
        <v>4.4999999999999998E-2</v>
      </c>
      <c r="AC190" s="914">
        <f t="shared" si="179"/>
        <v>4.4999999999999998E-2</v>
      </c>
      <c r="AD190" s="914">
        <f t="shared" si="179"/>
        <v>4.4999999999999998E-2</v>
      </c>
    </row>
    <row r="191" spans="2:32" hidden="1" outlineLevel="1">
      <c r="B191" s="685" t="str">
        <f>B161</f>
        <v>Cablecom</v>
      </c>
      <c r="D191" s="814" t="e">
        <f t="shared" si="173"/>
        <v>#REF!</v>
      </c>
      <c r="E191" s="814" t="e">
        <f t="shared" si="173"/>
        <v>#REF!</v>
      </c>
      <c r="F191" s="814">
        <f t="shared" si="173"/>
        <v>0</v>
      </c>
      <c r="G191" s="814">
        <f t="shared" si="173"/>
        <v>0</v>
      </c>
      <c r="H191" s="814">
        <f t="shared" si="173"/>
        <v>1.7592323349810993E-2</v>
      </c>
      <c r="I191" s="814">
        <f t="shared" si="173"/>
        <v>1.7931083380601249E-2</v>
      </c>
      <c r="J191" s="933">
        <f>I191+0.2%</f>
        <v>1.9931083380601247E-2</v>
      </c>
      <c r="K191" s="933">
        <f>J191+0.2%</f>
        <v>2.1931083380601249E-2</v>
      </c>
      <c r="L191" s="933">
        <f>K191+0.2%</f>
        <v>2.3931083380601251E-2</v>
      </c>
      <c r="M191" s="933">
        <f>L191+0.15%</f>
        <v>2.5431083380601252E-2</v>
      </c>
      <c r="N191" s="933">
        <f>M191</f>
        <v>2.5431083380601252E-2</v>
      </c>
      <c r="O191" s="933">
        <v>3.1199999999999999E-2</v>
      </c>
      <c r="P191" s="962">
        <f t="shared" si="180"/>
        <v>3.1199999999999999E-2</v>
      </c>
      <c r="Q191" s="962">
        <f t="shared" si="181"/>
        <v>3.1199999999999999E-2</v>
      </c>
      <c r="R191" s="914">
        <f t="shared" si="181"/>
        <v>3.1199999999999999E-2</v>
      </c>
      <c r="S191" s="914">
        <f t="shared" si="181"/>
        <v>3.1199999999999999E-2</v>
      </c>
      <c r="T191" s="914">
        <f t="shared" si="181"/>
        <v>3.1199999999999999E-2</v>
      </c>
      <c r="U191" s="914">
        <f t="shared" si="175"/>
        <v>3.1199999999999999E-2</v>
      </c>
      <c r="V191" s="914">
        <f t="shared" si="176"/>
        <v>3.1199999999999999E-2</v>
      </c>
      <c r="W191" s="914">
        <f t="shared" si="177"/>
        <v>3.1199999999999999E-2</v>
      </c>
      <c r="X191" s="914">
        <f t="shared" si="178"/>
        <v>3.1199999999999999E-2</v>
      </c>
      <c r="Y191" s="914">
        <f t="shared" si="179"/>
        <v>3.1199999999999999E-2</v>
      </c>
      <c r="Z191" s="914">
        <f t="shared" si="179"/>
        <v>3.1199999999999999E-2</v>
      </c>
      <c r="AA191" s="914">
        <f t="shared" si="179"/>
        <v>3.1199999999999999E-2</v>
      </c>
      <c r="AB191" s="914">
        <f t="shared" si="179"/>
        <v>3.1199999999999999E-2</v>
      </c>
      <c r="AC191" s="914">
        <f t="shared" si="179"/>
        <v>3.1199999999999999E-2</v>
      </c>
      <c r="AD191" s="914">
        <f t="shared" si="179"/>
        <v>3.1199999999999999E-2</v>
      </c>
    </row>
    <row r="192" spans="2:32" hidden="1" outlineLevel="1">
      <c r="B192" s="685" t="s">
        <v>487</v>
      </c>
      <c r="D192" s="814"/>
      <c r="E192" s="814"/>
      <c r="F192" s="814"/>
      <c r="G192" s="814"/>
      <c r="H192" s="814"/>
      <c r="I192" s="814">
        <f t="shared" ref="I192:M196" si="182">I162/I$166</f>
        <v>1.0138967668746455E-2</v>
      </c>
      <c r="J192" s="814">
        <f t="shared" si="182"/>
        <v>1.8737580406496406E-2</v>
      </c>
      <c r="K192" s="814">
        <f t="shared" si="182"/>
        <v>1.4407600612009731E-2</v>
      </c>
      <c r="L192" s="814">
        <f t="shared" si="182"/>
        <v>1.3918002531694127E-2</v>
      </c>
      <c r="M192" s="814">
        <f t="shared" si="182"/>
        <v>1.902316498541181E-2</v>
      </c>
      <c r="N192" s="933">
        <f>M192</f>
        <v>1.902316498541181E-2</v>
      </c>
      <c r="O192" s="933">
        <f t="shared" si="180"/>
        <v>1.902316498541181E-2</v>
      </c>
      <c r="P192" s="962">
        <f t="shared" si="180"/>
        <v>1.902316498541181E-2</v>
      </c>
      <c r="Q192" s="962">
        <f t="shared" si="181"/>
        <v>1.902316498541181E-2</v>
      </c>
      <c r="R192" s="914">
        <f t="shared" si="181"/>
        <v>1.902316498541181E-2</v>
      </c>
      <c r="S192" s="914">
        <f t="shared" si="181"/>
        <v>1.902316498541181E-2</v>
      </c>
      <c r="T192" s="914">
        <f t="shared" si="181"/>
        <v>1.902316498541181E-2</v>
      </c>
      <c r="U192" s="914">
        <f t="shared" si="175"/>
        <v>1.902316498541181E-2</v>
      </c>
      <c r="V192" s="914">
        <f t="shared" si="176"/>
        <v>1.902316498541181E-2</v>
      </c>
      <c r="W192" s="914">
        <f t="shared" si="177"/>
        <v>1.902316498541181E-2</v>
      </c>
      <c r="X192" s="914">
        <f t="shared" si="178"/>
        <v>1.902316498541181E-2</v>
      </c>
      <c r="Y192" s="914">
        <f t="shared" si="179"/>
        <v>1.902316498541181E-2</v>
      </c>
      <c r="Z192" s="914">
        <f t="shared" si="179"/>
        <v>1.902316498541181E-2</v>
      </c>
      <c r="AA192" s="914">
        <f t="shared" si="179"/>
        <v>1.902316498541181E-2</v>
      </c>
      <c r="AB192" s="914">
        <f t="shared" si="179"/>
        <v>1.902316498541181E-2</v>
      </c>
      <c r="AC192" s="914">
        <f t="shared" si="179"/>
        <v>1.902316498541181E-2</v>
      </c>
      <c r="AD192" s="914">
        <f t="shared" si="179"/>
        <v>1.902316498541181E-2</v>
      </c>
    </row>
    <row r="193" spans="2:32" collapsed="1">
      <c r="B193" s="685" t="str">
        <f>B163</f>
        <v>Other cable</v>
      </c>
      <c r="D193" s="814" t="e">
        <f>D163/D$166</f>
        <v>#REF!</v>
      </c>
      <c r="E193" s="814" t="e">
        <f>E163/E$166</f>
        <v>#REF!</v>
      </c>
      <c r="F193" s="814">
        <f>F163/F$166</f>
        <v>5.0781893004115224E-2</v>
      </c>
      <c r="G193" s="814">
        <f>G163/G$166</f>
        <v>4.8085340863789142E-2</v>
      </c>
      <c r="H193" s="814">
        <f>H163/H$166</f>
        <v>3.5111951148589705E-2</v>
      </c>
      <c r="I193" s="814">
        <f t="shared" si="182"/>
        <v>1.9852524106636415E-2</v>
      </c>
      <c r="J193" s="814">
        <f t="shared" si="182"/>
        <v>1.4072732339417584E-2</v>
      </c>
      <c r="K193" s="814">
        <f t="shared" si="182"/>
        <v>1.656156443085547E-2</v>
      </c>
      <c r="L193" s="814">
        <f t="shared" si="182"/>
        <v>5.9744294419882904E-3</v>
      </c>
      <c r="M193" s="814">
        <f t="shared" si="182"/>
        <v>1.906318082788671E-3</v>
      </c>
      <c r="N193" s="814">
        <f t="shared" ref="N193:O196" si="183">N163/N$166</f>
        <v>1.8031366827755994E-3</v>
      </c>
      <c r="O193" s="814">
        <f t="shared" si="183"/>
        <v>1.5956961794474332E-3</v>
      </c>
      <c r="P193" s="914">
        <f>O193</f>
        <v>1.5956961794474332E-3</v>
      </c>
      <c r="Q193" s="914">
        <f t="shared" si="181"/>
        <v>1.5956961794474332E-3</v>
      </c>
      <c r="R193" s="914">
        <f t="shared" si="181"/>
        <v>1.5956961794474332E-3</v>
      </c>
      <c r="S193" s="914">
        <f t="shared" si="181"/>
        <v>1.5956961794474332E-3</v>
      </c>
      <c r="T193" s="914">
        <f t="shared" si="181"/>
        <v>1.5956961794474332E-3</v>
      </c>
      <c r="U193" s="914">
        <f t="shared" si="175"/>
        <v>1.5956961794474332E-3</v>
      </c>
      <c r="V193" s="914">
        <f t="shared" si="176"/>
        <v>1.5956961794474332E-3</v>
      </c>
      <c r="W193" s="914">
        <f t="shared" si="177"/>
        <v>1.5956961794474332E-3</v>
      </c>
      <c r="X193" s="914">
        <f t="shared" si="178"/>
        <v>1.5956961794474332E-3</v>
      </c>
      <c r="Y193" s="914">
        <f t="shared" si="179"/>
        <v>1.5956961794474332E-3</v>
      </c>
      <c r="Z193" s="914">
        <f t="shared" si="179"/>
        <v>1.5956961794474332E-3</v>
      </c>
      <c r="AA193" s="914">
        <f t="shared" si="179"/>
        <v>1.5956961794474332E-3</v>
      </c>
      <c r="AB193" s="914">
        <f t="shared" si="179"/>
        <v>1.5956961794474332E-3</v>
      </c>
      <c r="AC193" s="914">
        <f t="shared" si="179"/>
        <v>1.5956961794474332E-3</v>
      </c>
      <c r="AD193" s="914">
        <f t="shared" si="179"/>
        <v>1.5956961794474332E-3</v>
      </c>
    </row>
    <row r="194" spans="2:32">
      <c r="B194" s="685" t="s">
        <v>469</v>
      </c>
      <c r="D194" s="814"/>
      <c r="E194" s="814"/>
      <c r="F194" s="814">
        <f t="shared" ref="F194:H196" si="184">F164/F$166</f>
        <v>0</v>
      </c>
      <c r="G194" s="814">
        <f t="shared" si="184"/>
        <v>0</v>
      </c>
      <c r="H194" s="814">
        <f t="shared" si="184"/>
        <v>0</v>
      </c>
      <c r="I194" s="814">
        <f t="shared" si="182"/>
        <v>1.0635280771412365E-2</v>
      </c>
      <c r="J194" s="814">
        <f t="shared" si="182"/>
        <v>2.0133760624216245E-2</v>
      </c>
      <c r="K194" s="814">
        <f t="shared" si="182"/>
        <v>3.7327218294158866E-2</v>
      </c>
      <c r="L194" s="814">
        <f t="shared" si="182"/>
        <v>4.9886485840602221E-2</v>
      </c>
      <c r="M194" s="814">
        <f t="shared" si="182"/>
        <v>6.4705882352941183E-2</v>
      </c>
      <c r="N194" s="814">
        <f t="shared" si="183"/>
        <v>7.6309368877983799E-2</v>
      </c>
      <c r="O194" s="814">
        <f t="shared" si="183"/>
        <v>0.11142518464484362</v>
      </c>
      <c r="P194" s="814">
        <f>P164/P$166</f>
        <v>0.14070638020833334</v>
      </c>
      <c r="Q194" s="814">
        <f>Q164/Q$166</f>
        <v>0.17359876386368131</v>
      </c>
      <c r="R194" s="914">
        <f>Q194+1%</f>
        <v>0.18359876386368132</v>
      </c>
      <c r="S194" s="914">
        <f t="shared" ref="S194:AD194" si="185">R194+0.5%</f>
        <v>0.18859876386368132</v>
      </c>
      <c r="T194" s="914">
        <f t="shared" si="185"/>
        <v>0.19359876386368133</v>
      </c>
      <c r="U194" s="914">
        <f t="shared" si="185"/>
        <v>0.19859876386368133</v>
      </c>
      <c r="V194" s="914">
        <f t="shared" si="185"/>
        <v>0.20359876386368134</v>
      </c>
      <c r="W194" s="914">
        <f t="shared" si="185"/>
        <v>0.20859876386368134</v>
      </c>
      <c r="X194" s="914">
        <f t="shared" si="185"/>
        <v>0.21359876386368135</v>
      </c>
      <c r="Y194" s="914">
        <f t="shared" si="185"/>
        <v>0.21859876386368135</v>
      </c>
      <c r="Z194" s="914">
        <f t="shared" si="185"/>
        <v>0.22359876386368135</v>
      </c>
      <c r="AA194" s="914">
        <f t="shared" si="185"/>
        <v>0.22859876386368136</v>
      </c>
      <c r="AB194" s="914">
        <f t="shared" si="185"/>
        <v>0.23359876386368136</v>
      </c>
      <c r="AC194" s="914">
        <f t="shared" si="185"/>
        <v>0.23859876386368137</v>
      </c>
      <c r="AD194" s="914">
        <f t="shared" si="185"/>
        <v>0.24359876386368137</v>
      </c>
    </row>
    <row r="195" spans="2:32">
      <c r="B195" s="743" t="str">
        <f>B165</f>
        <v>Other non-cable BB</v>
      </c>
      <c r="C195" s="743"/>
      <c r="D195" s="958" t="e">
        <f>D165/D$166</f>
        <v>#REF!</v>
      </c>
      <c r="E195" s="958" t="e">
        <f>E165/E$166</f>
        <v>#REF!</v>
      </c>
      <c r="F195" s="958">
        <f t="shared" si="184"/>
        <v>0.14213991769547324</v>
      </c>
      <c r="G195" s="958">
        <f t="shared" si="184"/>
        <v>0.11474910887949683</v>
      </c>
      <c r="H195" s="958">
        <f t="shared" si="184"/>
        <v>9.8066298342541436E-2</v>
      </c>
      <c r="I195" s="958">
        <f t="shared" si="182"/>
        <v>3.9144923425978438E-2</v>
      </c>
      <c r="J195" s="958">
        <f t="shared" si="182"/>
        <v>1.1495053643583702E-2</v>
      </c>
      <c r="K195" s="958">
        <f t="shared" si="182"/>
        <v>3.7582011593095101E-3</v>
      </c>
      <c r="L195" s="958">
        <f t="shared" si="182"/>
        <v>2.3099533994503652E-3</v>
      </c>
      <c r="M195" s="958">
        <f t="shared" si="182"/>
        <v>1.9598583877995738E-3</v>
      </c>
      <c r="N195" s="958">
        <f t="shared" si="183"/>
        <v>1.8017217244018641E-2</v>
      </c>
      <c r="O195" s="958">
        <f t="shared" si="183"/>
        <v>2.0294565514725978E-2</v>
      </c>
      <c r="P195" s="958">
        <f>P165/P$166</f>
        <v>6.0782997203465285E-2</v>
      </c>
      <c r="Q195" s="958">
        <f t="shared" ref="Q195:Y195" si="186">Q196-Q184-Q185-Q186-Q187-Q193-Q194</f>
        <v>8.2165124616650487E-3</v>
      </c>
      <c r="R195" s="958">
        <f t="shared" si="186"/>
        <v>1.0775578893047866E-2</v>
      </c>
      <c r="S195" s="958">
        <f t="shared" si="186"/>
        <v>2.1832167845679179E-2</v>
      </c>
      <c r="T195" s="958">
        <f t="shared" si="186"/>
        <v>3.5561273955700468E-2</v>
      </c>
      <c r="U195" s="958">
        <f t="shared" si="186"/>
        <v>5.4463167224909653E-2</v>
      </c>
      <c r="V195" s="958">
        <f t="shared" si="186"/>
        <v>7.6467265859802153E-2</v>
      </c>
      <c r="W195" s="958">
        <f t="shared" si="186"/>
        <v>9.748459479230373E-2</v>
      </c>
      <c r="X195" s="958">
        <f t="shared" si="186"/>
        <v>0.11802040229724672</v>
      </c>
      <c r="Y195" s="958">
        <f t="shared" si="186"/>
        <v>0.13651188686055923</v>
      </c>
      <c r="Z195" s="958">
        <f>Z196-Z184-Z185-Z186-Z187-Z193-Z194</f>
        <v>0.15729162253316417</v>
      </c>
      <c r="AA195" s="958">
        <f>AA196-AA184-AA185-AA186-AA187-AA193-AA194</f>
        <v>0.17787484824269414</v>
      </c>
      <c r="AB195" s="958">
        <f>AB196-AB184-AB185-AB186-AB187-AB193-AB194</f>
        <v>0.19826951818113767</v>
      </c>
      <c r="AC195" s="958">
        <f>AC196-AC184-AC185-AC186-AC187-AC193-AC194</f>
        <v>0.21848319051028173</v>
      </c>
      <c r="AD195" s="958">
        <f>AD196-AD184-AD185-AD186-AD187-AD193-AD194</f>
        <v>0.23852305160662632</v>
      </c>
    </row>
    <row r="196" spans="2:32">
      <c r="B196" s="685" t="str">
        <f>B166</f>
        <v>Cofetel broadband numbers</v>
      </c>
      <c r="D196" s="789" t="e">
        <f>D166/D$166</f>
        <v>#REF!</v>
      </c>
      <c r="E196" s="789" t="e">
        <f>E166/E$166</f>
        <v>#REF!</v>
      </c>
      <c r="F196" s="789">
        <f t="shared" si="184"/>
        <v>1</v>
      </c>
      <c r="G196" s="789">
        <f t="shared" si="184"/>
        <v>1</v>
      </c>
      <c r="H196" s="789">
        <f t="shared" si="184"/>
        <v>1</v>
      </c>
      <c r="I196" s="789">
        <f t="shared" si="182"/>
        <v>1</v>
      </c>
      <c r="J196" s="789">
        <f t="shared" si="182"/>
        <v>1</v>
      </c>
      <c r="K196" s="789">
        <f t="shared" si="182"/>
        <v>1</v>
      </c>
      <c r="L196" s="789">
        <f t="shared" si="182"/>
        <v>1</v>
      </c>
      <c r="M196" s="789">
        <f t="shared" si="182"/>
        <v>1</v>
      </c>
      <c r="N196" s="789">
        <f t="shared" si="183"/>
        <v>1</v>
      </c>
      <c r="O196" s="789">
        <f t="shared" si="183"/>
        <v>1</v>
      </c>
      <c r="P196" s="918">
        <v>1</v>
      </c>
      <c r="Q196" s="918">
        <v>1</v>
      </c>
      <c r="R196" s="918">
        <v>1</v>
      </c>
      <c r="S196" s="918">
        <v>1</v>
      </c>
      <c r="T196" s="918">
        <v>1</v>
      </c>
      <c r="U196" s="918">
        <v>1</v>
      </c>
      <c r="V196" s="918">
        <v>1</v>
      </c>
      <c r="W196" s="918">
        <v>1</v>
      </c>
      <c r="X196" s="918">
        <v>1</v>
      </c>
      <c r="Y196" s="918">
        <v>1</v>
      </c>
      <c r="Z196" s="918">
        <v>1</v>
      </c>
      <c r="AA196" s="918">
        <v>1</v>
      </c>
      <c r="AB196" s="918">
        <v>1</v>
      </c>
      <c r="AC196" s="918">
        <v>1</v>
      </c>
      <c r="AD196" s="918">
        <v>1</v>
      </c>
    </row>
    <row r="197" spans="2:32">
      <c r="K197" s="789"/>
      <c r="M197" s="789"/>
    </row>
    <row r="198" spans="2:32">
      <c r="B198" s="817" t="s">
        <v>513</v>
      </c>
      <c r="I198" s="937">
        <f>SUM(I158:I162)</f>
        <v>2418.9</v>
      </c>
      <c r="J198" s="937">
        <f t="shared" ref="J198:O198" si="187">SUM(J158:J162)</f>
        <v>3066.9999999999995</v>
      </c>
      <c r="K198" s="937">
        <f t="shared" si="187"/>
        <v>3412</v>
      </c>
      <c r="L198" s="937">
        <f t="shared" si="187"/>
        <v>3797</v>
      </c>
      <c r="M198" s="937">
        <f>SUM(M158:M162)</f>
        <v>4479</v>
      </c>
      <c r="N198" s="937">
        <f t="shared" si="187"/>
        <v>4696.0540000000001</v>
      </c>
      <c r="O198" s="937">
        <f t="shared" si="187"/>
        <v>5430.8590000000004</v>
      </c>
      <c r="P198" s="937">
        <f t="shared" ref="P198:Y198" si="188">P157</f>
        <v>5649.1019999999999</v>
      </c>
      <c r="Q198" s="937">
        <f t="shared" si="188"/>
        <v>5984.1509999999998</v>
      </c>
      <c r="R198" s="937">
        <f t="shared" si="188"/>
        <v>5678.4309999999996</v>
      </c>
      <c r="S198" s="937">
        <f t="shared" si="188"/>
        <v>5626.2060000000001</v>
      </c>
      <c r="T198" s="937">
        <f t="shared" si="188"/>
        <v>5668</v>
      </c>
      <c r="U198" s="937">
        <f t="shared" si="188"/>
        <v>5713</v>
      </c>
      <c r="V198" s="937">
        <f>V157</f>
        <v>5763</v>
      </c>
      <c r="W198" s="937">
        <f t="shared" si="188"/>
        <v>5818</v>
      </c>
      <c r="X198" s="937">
        <f t="shared" si="188"/>
        <v>5878</v>
      </c>
      <c r="Y198" s="937">
        <f t="shared" si="188"/>
        <v>5938</v>
      </c>
      <c r="Z198" s="937">
        <f>Z157</f>
        <v>5998</v>
      </c>
      <c r="AA198" s="937">
        <f>AA157</f>
        <v>6058</v>
      </c>
      <c r="AB198" s="937">
        <f>AB157</f>
        <v>6118</v>
      </c>
      <c r="AC198" s="937">
        <f>AC157</f>
        <v>6178</v>
      </c>
      <c r="AD198" s="937">
        <f>AD157</f>
        <v>6238</v>
      </c>
      <c r="AF198" s="937"/>
    </row>
    <row r="199" spans="2:32">
      <c r="B199" s="817" t="s">
        <v>514</v>
      </c>
      <c r="C199" s="817"/>
      <c r="J199" s="937">
        <f t="shared" ref="J199:O199" si="189">SUM(J158:J162)-SUM(I158:I162)</f>
        <v>648.09999999999945</v>
      </c>
      <c r="K199" s="937">
        <f t="shared" si="189"/>
        <v>345.00000000000045</v>
      </c>
      <c r="L199" s="937">
        <f t="shared" si="189"/>
        <v>385</v>
      </c>
      <c r="M199" s="937">
        <f t="shared" si="189"/>
        <v>682</v>
      </c>
      <c r="N199" s="937">
        <f t="shared" si="189"/>
        <v>217.05400000000009</v>
      </c>
      <c r="O199" s="937">
        <f t="shared" si="189"/>
        <v>734.80500000000029</v>
      </c>
      <c r="P199" s="937">
        <f>P198-O198</f>
        <v>218.24299999999948</v>
      </c>
      <c r="Q199" s="937">
        <f t="shared" ref="Q199:AD199" si="190">Q198-P198</f>
        <v>335.04899999999998</v>
      </c>
      <c r="R199" s="937">
        <f t="shared" si="190"/>
        <v>-305.72000000000025</v>
      </c>
      <c r="S199" s="937">
        <f t="shared" si="190"/>
        <v>-52.224999999999454</v>
      </c>
      <c r="T199" s="937">
        <f t="shared" si="190"/>
        <v>41.793999999999869</v>
      </c>
      <c r="U199" s="937">
        <f t="shared" si="190"/>
        <v>45</v>
      </c>
      <c r="V199" s="937">
        <f t="shared" si="190"/>
        <v>50</v>
      </c>
      <c r="W199" s="937">
        <f t="shared" si="190"/>
        <v>55</v>
      </c>
      <c r="X199" s="937">
        <f t="shared" si="190"/>
        <v>60</v>
      </c>
      <c r="Y199" s="937">
        <f t="shared" si="190"/>
        <v>60</v>
      </c>
      <c r="Z199" s="937">
        <f t="shared" si="190"/>
        <v>60</v>
      </c>
      <c r="AA199" s="937">
        <f t="shared" si="190"/>
        <v>60</v>
      </c>
      <c r="AB199" s="937">
        <f t="shared" si="190"/>
        <v>60</v>
      </c>
      <c r="AC199" s="937">
        <f t="shared" si="190"/>
        <v>60</v>
      </c>
      <c r="AD199" s="937">
        <f t="shared" si="190"/>
        <v>60</v>
      </c>
    </row>
    <row r="200" spans="2:32">
      <c r="B200" s="817" t="s">
        <v>515</v>
      </c>
      <c r="C200" s="817"/>
      <c r="J200" s="928"/>
      <c r="K200" s="928">
        <f t="shared" ref="K200:Y200" si="191">K199/K167</f>
        <v>0.25650557620817876</v>
      </c>
      <c r="L200" s="928">
        <f t="shared" si="191"/>
        <v>0.37054860442733395</v>
      </c>
      <c r="M200" s="928">
        <f t="shared" si="191"/>
        <v>0.42046855733662147</v>
      </c>
      <c r="N200" s="928">
        <f t="shared" si="191"/>
        <v>0.20659620956873276</v>
      </c>
      <c r="O200" s="928">
        <f t="shared" si="191"/>
        <v>0.29119864839273102</v>
      </c>
      <c r="P200" s="928">
        <f t="shared" si="191"/>
        <v>8.2605223315669746E-2</v>
      </c>
      <c r="Q200" s="928">
        <f t="shared" si="191"/>
        <v>1.8985054430973596</v>
      </c>
      <c r="R200" s="928">
        <f t="shared" si="191"/>
        <v>-0.23263550302003552</v>
      </c>
      <c r="S200" s="928">
        <f t="shared" si="191"/>
        <v>-4.3974296717899139E-2</v>
      </c>
      <c r="T200" s="928">
        <f t="shared" si="191"/>
        <v>3.4149789650896378E-2</v>
      </c>
      <c r="U200" s="928">
        <f t="shared" si="191"/>
        <v>3.568440166421865E-2</v>
      </c>
      <c r="V200" s="928">
        <f t="shared" si="191"/>
        <v>3.8482681540586032E-2</v>
      </c>
      <c r="W200" s="928">
        <f t="shared" si="191"/>
        <v>4.7562709994553552E-2</v>
      </c>
      <c r="X200" s="928">
        <f t="shared" si="191"/>
        <v>5.0444456376461402E-2</v>
      </c>
      <c r="Y200" s="928">
        <f t="shared" si="191"/>
        <v>5.8037622987666293E-2</v>
      </c>
      <c r="Z200" s="928">
        <f>Z199/Z167</f>
        <v>5.6546664559699235E-2</v>
      </c>
      <c r="AA200" s="928">
        <f>AA199/AA167</f>
        <v>5.5095116443596021E-2</v>
      </c>
      <c r="AB200" s="928">
        <f>AB199/AB167</f>
        <v>5.3681921322932542E-2</v>
      </c>
      <c r="AC200" s="928">
        <f>AC199/AC167</f>
        <v>5.2306049622077196E-2</v>
      </c>
      <c r="AD200" s="928">
        <f>AD199/AD167</f>
        <v>5.096649886602507E-2</v>
      </c>
    </row>
    <row r="201" spans="2:32">
      <c r="B201" s="817" t="s">
        <v>516</v>
      </c>
      <c r="C201" s="817"/>
      <c r="D201" s="959" t="e">
        <f t="shared" ref="D201:O201" si="192">SUM(D188:D192)</f>
        <v>#REF!</v>
      </c>
      <c r="E201" s="959" t="e">
        <f t="shared" si="192"/>
        <v>#REF!</v>
      </c>
      <c r="F201" s="959">
        <f t="shared" si="192"/>
        <v>8.7736625514403296E-2</v>
      </c>
      <c r="G201" s="959">
        <f t="shared" si="192"/>
        <v>0.10194716748069582</v>
      </c>
      <c r="H201" s="959">
        <f t="shared" si="192"/>
        <v>0.13870311136958419</v>
      </c>
      <c r="I201" s="959">
        <f t="shared" si="192"/>
        <v>0.17150453771979579</v>
      </c>
      <c r="J201" s="959">
        <f t="shared" si="192"/>
        <v>0.21366866378709767</v>
      </c>
      <c r="K201" s="959">
        <f t="shared" si="192"/>
        <v>0.21733868399261103</v>
      </c>
      <c r="L201" s="959">
        <f t="shared" si="192"/>
        <v>0.22684908591229541</v>
      </c>
      <c r="M201" s="959">
        <f t="shared" si="192"/>
        <v>0.24395424836601307</v>
      </c>
      <c r="N201" s="959">
        <f t="shared" si="192"/>
        <v>0.24193220661985956</v>
      </c>
      <c r="O201" s="959">
        <f t="shared" si="192"/>
        <v>0.24760002735479167</v>
      </c>
      <c r="P201" s="959">
        <f t="shared" ref="P201:Y201" si="193">P187</f>
        <v>0.22986254882812499</v>
      </c>
      <c r="Q201" s="959">
        <f t="shared" si="193"/>
        <v>0.24175965007531122</v>
      </c>
      <c r="R201" s="959">
        <f t="shared" si="193"/>
        <v>0.2178428507922264</v>
      </c>
      <c r="S201" s="959">
        <f t="shared" si="193"/>
        <v>0.21024999999999999</v>
      </c>
      <c r="T201" s="959">
        <f t="shared" si="193"/>
        <v>0.20399999999999999</v>
      </c>
      <c r="U201" s="959">
        <f t="shared" si="193"/>
        <v>0.19850000000000001</v>
      </c>
      <c r="V201" s="959">
        <f t="shared" si="193"/>
        <v>0.19350000000000001</v>
      </c>
      <c r="W201" s="959">
        <f t="shared" si="193"/>
        <v>0.19</v>
      </c>
      <c r="X201" s="959">
        <f t="shared" si="193"/>
        <v>0.187</v>
      </c>
      <c r="Y201" s="959">
        <f t="shared" si="193"/>
        <v>0.185</v>
      </c>
      <c r="Z201" s="959">
        <f>Z187</f>
        <v>0.185</v>
      </c>
      <c r="AA201" s="959">
        <f>AA187</f>
        <v>0.185</v>
      </c>
      <c r="AB201" s="959">
        <f>AB187</f>
        <v>0.185</v>
      </c>
      <c r="AC201" s="959">
        <f>AC187</f>
        <v>0.185</v>
      </c>
      <c r="AD201" s="959">
        <f>AD187</f>
        <v>0.185</v>
      </c>
    </row>
    <row r="202" spans="2:32">
      <c r="C202" s="817"/>
      <c r="D202" s="814"/>
      <c r="E202" s="814"/>
      <c r="F202" s="814"/>
      <c r="G202" s="814"/>
      <c r="H202" s="814"/>
      <c r="I202" s="814"/>
      <c r="J202" s="814"/>
      <c r="K202" s="814"/>
      <c r="L202" s="814"/>
      <c r="M202" s="814"/>
      <c r="N202" s="814"/>
      <c r="O202" s="814"/>
      <c r="P202" s="814"/>
      <c r="Q202" s="814"/>
      <c r="R202" s="814"/>
      <c r="S202" s="814"/>
      <c r="T202" s="814"/>
      <c r="U202" s="814"/>
      <c r="V202" s="814"/>
      <c r="W202" s="814"/>
      <c r="X202" s="814"/>
      <c r="Y202" s="814"/>
      <c r="Z202" s="814"/>
      <c r="AA202" s="814"/>
      <c r="AB202" s="814"/>
      <c r="AC202" s="814"/>
      <c r="AD202" s="814"/>
    </row>
    <row r="203" spans="2:32">
      <c r="B203" s="685" t="s">
        <v>517</v>
      </c>
      <c r="C203" s="817"/>
      <c r="D203" s="814"/>
      <c r="E203" s="814"/>
      <c r="F203" s="814"/>
      <c r="G203" s="814"/>
      <c r="H203" s="814"/>
      <c r="I203" s="814"/>
      <c r="J203" s="814"/>
      <c r="K203" s="814"/>
      <c r="L203" s="814"/>
      <c r="M203" s="814"/>
      <c r="N203" s="814"/>
      <c r="O203" s="814"/>
      <c r="P203" s="814"/>
      <c r="Q203" s="814"/>
      <c r="R203" s="814"/>
      <c r="S203" s="814"/>
      <c r="T203" s="814"/>
      <c r="U203" s="814"/>
      <c r="V203" s="814"/>
      <c r="W203" s="814"/>
      <c r="X203" s="814"/>
      <c r="Y203" s="814"/>
      <c r="Z203" s="814"/>
      <c r="AA203" s="814"/>
      <c r="AB203" s="814"/>
      <c r="AC203" s="814"/>
      <c r="AD203" s="814"/>
    </row>
    <row r="204" spans="2:32">
      <c r="B204" s="685" t="s">
        <v>518</v>
      </c>
      <c r="C204" s="817"/>
      <c r="D204" s="796">
        <f>D113+D114+D115+D116</f>
        <v>356</v>
      </c>
      <c r="E204" s="796">
        <f>E113+E114+E115+E116</f>
        <v>501</v>
      </c>
      <c r="F204" s="796">
        <f>F113+F114+F115+F116</f>
        <v>649</v>
      </c>
      <c r="G204" s="796">
        <f>G113+G114+G115+G116</f>
        <v>754</v>
      </c>
      <c r="H204" s="796">
        <f>H113+H114+H115+H116</f>
        <v>1058</v>
      </c>
      <c r="I204" s="796">
        <f>I113+I114+I115+I116+I117</f>
        <v>1325.5</v>
      </c>
      <c r="J204" s="796">
        <f>J113+J114+J115+J116+J117</f>
        <v>1891</v>
      </c>
      <c r="K204" s="796">
        <f>K113+K114+K115+K116</f>
        <v>1814.5000000000002</v>
      </c>
      <c r="L204" s="796">
        <f>L113+L114+L115+L116</f>
        <v>1871.0330000000001</v>
      </c>
      <c r="M204" s="796">
        <f>M113+M114+M115+M116</f>
        <v>2491.1144999999997</v>
      </c>
      <c r="N204" s="796">
        <f>N113+N114+N115+N116</f>
        <v>2646.4130526315789</v>
      </c>
      <c r="O204" s="796">
        <f>O113+O114+O115+O116</f>
        <v>3210.7179999999998</v>
      </c>
      <c r="P204" s="796">
        <f t="shared" ref="P204:Y204" si="194">P112</f>
        <v>4617.2650000000003</v>
      </c>
      <c r="Q204" s="796">
        <f t="shared" si="194"/>
        <v>5233.7240000000002</v>
      </c>
      <c r="R204" s="796">
        <f t="shared" si="194"/>
        <v>5351.1450000000004</v>
      </c>
      <c r="S204" s="796">
        <f t="shared" si="194"/>
        <v>5382.9489999999996</v>
      </c>
      <c r="T204" s="796">
        <f t="shared" si="194"/>
        <v>5533</v>
      </c>
      <c r="U204" s="796">
        <f t="shared" si="194"/>
        <v>5608</v>
      </c>
      <c r="V204" s="796">
        <f t="shared" si="194"/>
        <v>5658</v>
      </c>
      <c r="W204" s="796">
        <f t="shared" si="194"/>
        <v>5708</v>
      </c>
      <c r="X204" s="796">
        <f t="shared" si="194"/>
        <v>5758</v>
      </c>
      <c r="Y204" s="796">
        <f t="shared" si="194"/>
        <v>5808</v>
      </c>
      <c r="Z204" s="796">
        <f>Z112</f>
        <v>5858</v>
      </c>
      <c r="AA204" s="796">
        <f>AA112</f>
        <v>5908</v>
      </c>
      <c r="AB204" s="796">
        <f>AB112</f>
        <v>5958</v>
      </c>
      <c r="AC204" s="796">
        <f>AC112</f>
        <v>6008</v>
      </c>
      <c r="AD204" s="796">
        <f>AD112</f>
        <v>6058</v>
      </c>
    </row>
    <row r="205" spans="2:32">
      <c r="B205" s="685" t="s">
        <v>519</v>
      </c>
      <c r="C205" s="817"/>
      <c r="D205" s="796">
        <f>D158+D159+D160+D161</f>
        <v>652</v>
      </c>
      <c r="E205" s="796">
        <f>E158+E159+E160+E161</f>
        <v>806</v>
      </c>
      <c r="F205" s="796">
        <f>F158+F159+F160+F161</f>
        <v>1066</v>
      </c>
      <c r="G205" s="796">
        <f>G158+G159+G160+G161</f>
        <v>1306</v>
      </c>
      <c r="H205" s="796">
        <f>H158+H159+H160+H161</f>
        <v>1908</v>
      </c>
      <c r="I205" s="796">
        <f>I158+I159+I160+I161+I162</f>
        <v>2418.9</v>
      </c>
      <c r="J205" s="796">
        <f>J158+J159+J160+J161+J162</f>
        <v>3066.9999999999995</v>
      </c>
      <c r="K205" s="796">
        <f>K158+K159+K160+K161</f>
        <v>3185.8150779920593</v>
      </c>
      <c r="L205" s="796">
        <f>L158+L159+L160+L161</f>
        <v>3564.0404736245036</v>
      </c>
      <c r="M205" s="796">
        <f>M158+M159+M160+M161</f>
        <v>4129.7346908678392</v>
      </c>
      <c r="N205" s="796">
        <f>N158+N159+N160+N161</f>
        <v>4326.8025833716611</v>
      </c>
      <c r="O205" s="796">
        <f>O158+O159+O160+O161</f>
        <v>5013.6048992099777</v>
      </c>
      <c r="P205" s="796">
        <f t="shared" ref="P205:Y205" si="195">P157</f>
        <v>5649.1019999999999</v>
      </c>
      <c r="Q205" s="796">
        <f t="shared" si="195"/>
        <v>5984.1509999999998</v>
      </c>
      <c r="R205" s="796">
        <f t="shared" si="195"/>
        <v>5678.4309999999996</v>
      </c>
      <c r="S205" s="796">
        <f t="shared" si="195"/>
        <v>5626.2060000000001</v>
      </c>
      <c r="T205" s="796">
        <f t="shared" si="195"/>
        <v>5668</v>
      </c>
      <c r="U205" s="796">
        <f t="shared" si="195"/>
        <v>5713</v>
      </c>
      <c r="V205" s="796">
        <f t="shared" si="195"/>
        <v>5763</v>
      </c>
      <c r="W205" s="796">
        <f t="shared" si="195"/>
        <v>5818</v>
      </c>
      <c r="X205" s="796">
        <f t="shared" si="195"/>
        <v>5878</v>
      </c>
      <c r="Y205" s="796">
        <f t="shared" si="195"/>
        <v>5938</v>
      </c>
      <c r="Z205" s="796">
        <f>Z157</f>
        <v>5998</v>
      </c>
      <c r="AA205" s="796">
        <f>AA157</f>
        <v>6058</v>
      </c>
      <c r="AB205" s="796">
        <f>AB157</f>
        <v>6118</v>
      </c>
      <c r="AC205" s="796">
        <f>AC157</f>
        <v>6178</v>
      </c>
      <c r="AD205" s="796">
        <f>AD157</f>
        <v>6238</v>
      </c>
    </row>
    <row r="206" spans="2:32">
      <c r="B206" s="743" t="s">
        <v>6</v>
      </c>
      <c r="C206" s="804"/>
      <c r="D206" s="927">
        <f>'SKY Mex'!F54</f>
        <v>2344.4509202453987</v>
      </c>
      <c r="E206" s="927">
        <f>'SKY Mex'!G54</f>
        <v>2684.7096114519427</v>
      </c>
      <c r="F206" s="927">
        <f>'SKY Mex'!H54</f>
        <v>3060.0879345603271</v>
      </c>
      <c r="G206" s="927">
        <f>'SKY Mex'!I54</f>
        <v>3198.9539877300613</v>
      </c>
      <c r="H206" s="927">
        <f>'SKY Mex'!J54</f>
        <v>3546.3323108384461</v>
      </c>
      <c r="I206" s="927">
        <f>'SKY Mex'!K54</f>
        <v>3766.6</v>
      </c>
      <c r="J206" s="927">
        <f>'SKY Mex'!L54</f>
        <v>4062</v>
      </c>
      <c r="K206" s="927">
        <f>'SKY Mex'!M54</f>
        <v>4206</v>
      </c>
      <c r="L206" s="927">
        <f>'SKY Mex'!N54</f>
        <v>4185</v>
      </c>
      <c r="M206" s="927">
        <f>'SKY Mex'!O54</f>
        <v>4384</v>
      </c>
      <c r="N206" s="927">
        <f>'SKY Mex'!P54</f>
        <v>4318.8630000000003</v>
      </c>
      <c r="O206" s="927">
        <f>'SKY Mex'!Q54</f>
        <v>4284.7</v>
      </c>
      <c r="P206" s="927">
        <f>'SKY Mex'!R54</f>
        <v>4166.46</v>
      </c>
      <c r="Q206" s="927">
        <f>'SKY Mex'!S54</f>
        <v>4458.22</v>
      </c>
      <c r="R206" s="927">
        <f>'SKY Mex'!T54</f>
        <v>4059.4940000000001</v>
      </c>
      <c r="S206" s="927">
        <f>'SKY Mex'!U54</f>
        <v>3846.518</v>
      </c>
      <c r="T206" s="927">
        <f>'SKY Mex'!V54</f>
        <v>3646.569</v>
      </c>
      <c r="U206" s="927">
        <f>'SKY Mex'!W54</f>
        <v>3466.569</v>
      </c>
      <c r="V206" s="927">
        <f>'SKY Mex'!X54</f>
        <v>3316.569</v>
      </c>
      <c r="W206" s="927">
        <f>'SKY Mex'!Y54</f>
        <v>3150.74055</v>
      </c>
      <c r="X206" s="927">
        <f>'SKY Mex'!Z54</f>
        <v>2993.2035225</v>
      </c>
      <c r="Y206" s="927">
        <f>'SKY Mex'!AA54</f>
        <v>2843.5433463750001</v>
      </c>
      <c r="Z206" s="927">
        <f>'SKY Mex'!AB54</f>
        <v>2701.3661790562501</v>
      </c>
      <c r="AA206" s="927">
        <f>'SKY Mex'!AC54</f>
        <v>2566.2978701034376</v>
      </c>
      <c r="AB206" s="927">
        <f>'SKY Mex'!AD54</f>
        <v>2437.9829765982654</v>
      </c>
      <c r="AC206" s="927">
        <f>'SKY Mex'!AE54</f>
        <v>2316.083827768352</v>
      </c>
      <c r="AD206" s="927">
        <f>'SKY Mex'!AF54</f>
        <v>2200.2796363799343</v>
      </c>
    </row>
    <row r="207" spans="2:32">
      <c r="B207" s="685" t="s">
        <v>520</v>
      </c>
      <c r="C207" s="817"/>
      <c r="D207" s="796">
        <f t="shared" ref="D207:T207" si="196">SUM(D204:D206)</f>
        <v>3352.4509202453987</v>
      </c>
      <c r="E207" s="796">
        <f t="shared" si="196"/>
        <v>3991.7096114519427</v>
      </c>
      <c r="F207" s="796">
        <f t="shared" si="196"/>
        <v>4775.0879345603271</v>
      </c>
      <c r="G207" s="796">
        <f t="shared" si="196"/>
        <v>5258.9539877300613</v>
      </c>
      <c r="H207" s="796">
        <f t="shared" si="196"/>
        <v>6512.3323108384466</v>
      </c>
      <c r="I207" s="796">
        <f t="shared" si="196"/>
        <v>7511</v>
      </c>
      <c r="J207" s="796">
        <f t="shared" si="196"/>
        <v>9020</v>
      </c>
      <c r="K207" s="796">
        <f t="shared" si="196"/>
        <v>9206.3150779920597</v>
      </c>
      <c r="L207" s="796">
        <f t="shared" si="196"/>
        <v>9620.0734736245031</v>
      </c>
      <c r="M207" s="796">
        <f t="shared" si="196"/>
        <v>11004.849190867839</v>
      </c>
      <c r="N207" s="796">
        <f t="shared" si="196"/>
        <v>11292.07863600324</v>
      </c>
      <c r="O207" s="796">
        <f t="shared" si="196"/>
        <v>12509.022899209976</v>
      </c>
      <c r="P207" s="796">
        <f t="shared" si="196"/>
        <v>14432.827000000001</v>
      </c>
      <c r="Q207" s="796">
        <f t="shared" si="196"/>
        <v>15676.095000000001</v>
      </c>
      <c r="R207" s="796">
        <f t="shared" si="196"/>
        <v>15089.070000000002</v>
      </c>
      <c r="S207" s="796">
        <f t="shared" si="196"/>
        <v>14855.672999999999</v>
      </c>
      <c r="T207" s="796">
        <f t="shared" si="196"/>
        <v>14847.569</v>
      </c>
      <c r="U207" s="796">
        <f t="shared" ref="U207:AD207" si="197">SUM(U204:U206)</f>
        <v>14787.569</v>
      </c>
      <c r="V207" s="796">
        <f t="shared" si="197"/>
        <v>14737.569</v>
      </c>
      <c r="W207" s="796">
        <f t="shared" si="197"/>
        <v>14676.74055</v>
      </c>
      <c r="X207" s="796">
        <f t="shared" si="197"/>
        <v>14629.2035225</v>
      </c>
      <c r="Y207" s="796">
        <f t="shared" si="197"/>
        <v>14589.543346375</v>
      </c>
      <c r="Z207" s="796">
        <f t="shared" si="197"/>
        <v>14557.366179056251</v>
      </c>
      <c r="AA207" s="796">
        <f t="shared" si="197"/>
        <v>14532.297870103437</v>
      </c>
      <c r="AB207" s="796">
        <f t="shared" si="197"/>
        <v>14513.982976598265</v>
      </c>
      <c r="AC207" s="796">
        <f t="shared" si="197"/>
        <v>14502.083827768352</v>
      </c>
      <c r="AD207" s="796">
        <f t="shared" si="197"/>
        <v>14496.279636379935</v>
      </c>
    </row>
    <row r="208" spans="2:32">
      <c r="C208" s="817"/>
      <c r="D208" s="796"/>
      <c r="E208" s="796"/>
      <c r="F208" s="796"/>
      <c r="G208" s="796"/>
      <c r="H208" s="796"/>
      <c r="I208" s="796"/>
      <c r="J208" s="796"/>
      <c r="K208" s="796"/>
      <c r="L208" s="796"/>
      <c r="M208" s="796"/>
      <c r="N208" s="796"/>
      <c r="O208" s="796"/>
      <c r="P208" s="796"/>
      <c r="Q208" s="796"/>
      <c r="R208" s="796"/>
      <c r="S208" s="796"/>
      <c r="T208" s="796"/>
      <c r="U208" s="796"/>
      <c r="V208" s="796"/>
      <c r="W208" s="796"/>
      <c r="X208" s="796"/>
      <c r="Y208" s="796"/>
      <c r="Z208" s="796"/>
      <c r="AA208" s="796"/>
      <c r="AB208" s="796"/>
      <c r="AC208" s="796"/>
      <c r="AD208" s="796"/>
    </row>
    <row r="209" spans="2:30">
      <c r="B209" s="685" t="s">
        <v>521</v>
      </c>
      <c r="C209" s="817"/>
      <c r="D209" s="796"/>
      <c r="E209" s="796"/>
      <c r="F209" s="963">
        <v>1.5609999999999999</v>
      </c>
      <c r="G209" s="963">
        <v>1.5918832649338805</v>
      </c>
      <c r="H209" s="963">
        <v>1.6319999999999999</v>
      </c>
      <c r="I209" s="963">
        <v>1.7</v>
      </c>
      <c r="J209" s="963">
        <f>I209+0.08</f>
        <v>1.78</v>
      </c>
      <c r="K209" s="963">
        <f>J209+0.06</f>
        <v>1.84</v>
      </c>
      <c r="L209" s="963">
        <f>K209+0.04</f>
        <v>1.8800000000000001</v>
      </c>
      <c r="M209" s="963">
        <f>L209+0.04</f>
        <v>1.9200000000000002</v>
      </c>
      <c r="N209" s="963">
        <f>M209+0.04</f>
        <v>1.9600000000000002</v>
      </c>
      <c r="O209" s="964">
        <f>Cable!O101</f>
        <v>2.4283545605474637</v>
      </c>
      <c r="P209" s="964">
        <f>Cable!P101</f>
        <v>2.25</v>
      </c>
      <c r="Q209" s="964">
        <f>Cable!Q101</f>
        <v>2.25</v>
      </c>
      <c r="R209" s="964">
        <f>Cable!R101</f>
        <v>2.25</v>
      </c>
      <c r="S209" s="964">
        <f>Cable!S101</f>
        <v>2.25</v>
      </c>
      <c r="T209" s="964">
        <f>Cable!T101</f>
        <v>2.25</v>
      </c>
      <c r="U209" s="964">
        <f>Cable!U101</f>
        <v>2.25</v>
      </c>
      <c r="V209" s="964">
        <f>Cable!V101</f>
        <v>2.25</v>
      </c>
      <c r="W209" s="964">
        <f>Cable!W101</f>
        <v>2.25</v>
      </c>
      <c r="X209" s="964">
        <f>Cable!X101</f>
        <v>2.25</v>
      </c>
      <c r="Y209" s="964">
        <f>Cable!Y101</f>
        <v>2.25</v>
      </c>
      <c r="Z209" s="964">
        <f>Cable!Z101</f>
        <v>2.25</v>
      </c>
      <c r="AA209" s="964">
        <f>Cable!AA101</f>
        <v>2.25</v>
      </c>
      <c r="AB209" s="964">
        <f>Cable!AB101</f>
        <v>2.25</v>
      </c>
      <c r="AC209" s="964">
        <f>Cable!AC101</f>
        <v>2.25</v>
      </c>
      <c r="AD209" s="964">
        <f>Cable!AD101</f>
        <v>2.25</v>
      </c>
    </row>
    <row r="210" spans="2:30">
      <c r="B210" s="685" t="s">
        <v>522</v>
      </c>
      <c r="C210" s="817"/>
      <c r="D210" s="796"/>
      <c r="E210" s="796"/>
      <c r="F210" s="796">
        <f t="shared" ref="F210:T210" si="198">F207/F209</f>
        <v>3058.9929113134704</v>
      </c>
      <c r="G210" s="796">
        <f t="shared" si="198"/>
        <v>3303.6052979352689</v>
      </c>
      <c r="H210" s="796">
        <f t="shared" si="198"/>
        <v>3990.399700268656</v>
      </c>
      <c r="I210" s="796">
        <f t="shared" si="198"/>
        <v>4418.2352941176468</v>
      </c>
      <c r="J210" s="796">
        <f t="shared" si="198"/>
        <v>5067.4157303370785</v>
      </c>
      <c r="K210" s="796">
        <f t="shared" si="198"/>
        <v>5003.4321076043798</v>
      </c>
      <c r="L210" s="796">
        <f t="shared" si="198"/>
        <v>5117.0603583109059</v>
      </c>
      <c r="M210" s="796">
        <f t="shared" si="198"/>
        <v>5731.6922869103319</v>
      </c>
      <c r="N210" s="796">
        <f t="shared" si="198"/>
        <v>5761.2646102057342</v>
      </c>
      <c r="O210" s="796">
        <f t="shared" si="198"/>
        <v>5151.2341329553883</v>
      </c>
      <c r="P210" s="796">
        <f t="shared" si="198"/>
        <v>6414.5897777777782</v>
      </c>
      <c r="Q210" s="796">
        <f t="shared" si="198"/>
        <v>6967.1533333333336</v>
      </c>
      <c r="R210" s="796">
        <f t="shared" si="198"/>
        <v>6706.253333333334</v>
      </c>
      <c r="S210" s="796">
        <f t="shared" si="198"/>
        <v>6602.5213333333331</v>
      </c>
      <c r="T210" s="796">
        <f t="shared" si="198"/>
        <v>6598.9195555555552</v>
      </c>
      <c r="U210" s="796">
        <f t="shared" ref="U210:AD210" si="199">U207/U209</f>
        <v>6572.2528888888883</v>
      </c>
      <c r="V210" s="796">
        <f t="shared" si="199"/>
        <v>6550.0306666666665</v>
      </c>
      <c r="W210" s="796">
        <f t="shared" si="199"/>
        <v>6522.9958000000006</v>
      </c>
      <c r="X210" s="796">
        <f t="shared" si="199"/>
        <v>6501.8682322222221</v>
      </c>
      <c r="Y210" s="796">
        <f t="shared" si="199"/>
        <v>6484.2414872777772</v>
      </c>
      <c r="Z210" s="796">
        <f t="shared" si="199"/>
        <v>6469.9405240250007</v>
      </c>
      <c r="AA210" s="796">
        <f t="shared" si="199"/>
        <v>6458.7990533793054</v>
      </c>
      <c r="AB210" s="796">
        <f t="shared" si="199"/>
        <v>6450.6591007103398</v>
      </c>
      <c r="AC210" s="796">
        <f t="shared" si="199"/>
        <v>6445.3705901192679</v>
      </c>
      <c r="AD210" s="796">
        <f t="shared" si="199"/>
        <v>6442.7909495021931</v>
      </c>
    </row>
    <row r="211" spans="2:30">
      <c r="C211" s="817"/>
      <c r="D211" s="814"/>
      <c r="E211" s="814"/>
      <c r="F211" s="814"/>
      <c r="G211" s="814"/>
      <c r="H211" s="814"/>
      <c r="I211" s="814"/>
      <c r="J211" s="814"/>
      <c r="K211" s="814"/>
      <c r="L211" s="814"/>
      <c r="M211" s="814"/>
      <c r="N211" s="814"/>
      <c r="O211" s="814"/>
      <c r="P211" s="814"/>
      <c r="Q211" s="814"/>
      <c r="R211" s="814"/>
      <c r="S211" s="814"/>
      <c r="T211" s="814"/>
      <c r="U211" s="814"/>
      <c r="V211" s="814"/>
      <c r="W211" s="814"/>
      <c r="X211" s="814"/>
      <c r="Y211" s="814"/>
      <c r="Z211" s="814"/>
      <c r="AA211" s="814"/>
      <c r="AB211" s="814"/>
      <c r="AC211" s="814"/>
      <c r="AD211" s="814"/>
    </row>
    <row r="212" spans="2:30">
      <c r="B212" s="685" t="s">
        <v>523</v>
      </c>
      <c r="C212" s="817"/>
      <c r="D212" s="814"/>
      <c r="E212" s="814"/>
      <c r="F212" s="814"/>
      <c r="G212" s="814"/>
      <c r="H212" s="814"/>
      <c r="I212" s="814"/>
      <c r="J212" s="814"/>
      <c r="K212" s="814"/>
      <c r="L212" s="814"/>
      <c r="M212" s="814"/>
      <c r="N212" s="814"/>
      <c r="O212" s="814"/>
      <c r="P212" s="814"/>
      <c r="Q212" s="814"/>
      <c r="R212" s="814"/>
      <c r="S212" s="814"/>
      <c r="T212" s="814"/>
      <c r="U212" s="814"/>
      <c r="V212" s="814"/>
      <c r="W212" s="814"/>
      <c r="X212" s="814"/>
      <c r="Y212" s="814"/>
      <c r="Z212" s="814"/>
      <c r="AA212" s="814"/>
      <c r="AB212" s="814"/>
      <c r="AC212" s="814"/>
      <c r="AD212" s="814"/>
    </row>
    <row r="213" spans="2:30">
      <c r="B213" s="685" t="str">
        <f>B156</f>
        <v>Megacable</v>
      </c>
      <c r="C213" s="817"/>
      <c r="D213" s="814"/>
      <c r="E213" s="934">
        <v>5214</v>
      </c>
      <c r="F213" s="934">
        <v>5720</v>
      </c>
      <c r="G213" s="934">
        <v>6210</v>
      </c>
      <c r="H213" s="934">
        <v>6573</v>
      </c>
      <c r="I213" s="934">
        <v>7174</v>
      </c>
      <c r="J213" s="814"/>
      <c r="K213" s="814"/>
      <c r="L213" s="814"/>
      <c r="M213" s="814"/>
      <c r="N213" s="814"/>
      <c r="O213" s="814"/>
      <c r="P213" s="814"/>
      <c r="Q213" s="814"/>
      <c r="R213" s="814"/>
      <c r="S213" s="814"/>
      <c r="T213" s="814"/>
      <c r="U213" s="814"/>
      <c r="V213" s="814"/>
      <c r="W213" s="814"/>
      <c r="X213" s="814"/>
      <c r="Y213" s="814"/>
      <c r="Z213" s="814"/>
      <c r="AA213" s="814"/>
      <c r="AB213" s="814"/>
      <c r="AC213" s="814"/>
      <c r="AD213" s="814"/>
    </row>
    <row r="214" spans="2:30">
      <c r="B214" s="685" t="str">
        <f>B158</f>
        <v>Cablevision</v>
      </c>
      <c r="C214" s="817"/>
      <c r="D214" s="814"/>
      <c r="E214" s="814"/>
      <c r="F214" s="934">
        <v>2400</v>
      </c>
      <c r="G214" s="934">
        <v>2500</v>
      </c>
      <c r="H214" s="820">
        <f>G214+100</f>
        <v>2600</v>
      </c>
      <c r="I214" s="814"/>
      <c r="J214" s="814"/>
      <c r="K214" s="814"/>
      <c r="L214" s="814"/>
      <c r="M214" s="814"/>
      <c r="N214" s="814"/>
      <c r="O214" s="814"/>
      <c r="P214" s="814"/>
      <c r="Q214" s="814"/>
      <c r="R214" s="814"/>
      <c r="S214" s="814"/>
      <c r="T214" s="814"/>
      <c r="U214" s="814"/>
      <c r="V214" s="814"/>
      <c r="W214" s="814"/>
      <c r="X214" s="814"/>
      <c r="Y214" s="814"/>
      <c r="Z214" s="814"/>
      <c r="AA214" s="814"/>
      <c r="AB214" s="814"/>
      <c r="AC214" s="814"/>
      <c r="AD214" s="814"/>
    </row>
    <row r="215" spans="2:30">
      <c r="B215" s="685" t="str">
        <f>B159</f>
        <v>Cablemas</v>
      </c>
      <c r="C215" s="817"/>
      <c r="D215" s="814"/>
      <c r="E215" s="814"/>
      <c r="F215" s="934">
        <v>3000</v>
      </c>
      <c r="G215" s="934">
        <v>3300</v>
      </c>
      <c r="H215" s="820">
        <f>G215+200</f>
        <v>3500</v>
      </c>
      <c r="I215" s="814"/>
      <c r="J215" s="814"/>
      <c r="K215" s="814"/>
      <c r="L215" s="814"/>
      <c r="M215" s="814"/>
      <c r="N215" s="814"/>
      <c r="O215" s="814"/>
      <c r="P215" s="814"/>
      <c r="Q215" s="814"/>
      <c r="R215" s="814"/>
      <c r="S215" s="814"/>
      <c r="T215" s="814"/>
      <c r="U215" s="814"/>
      <c r="V215" s="814"/>
      <c r="W215" s="814"/>
      <c r="X215" s="814"/>
      <c r="Y215" s="814"/>
      <c r="Z215" s="814"/>
      <c r="AA215" s="814"/>
      <c r="AB215" s="814"/>
      <c r="AC215" s="814"/>
      <c r="AD215" s="814"/>
    </row>
    <row r="216" spans="2:30">
      <c r="B216" s="685" t="str">
        <f>B160</f>
        <v>TVI</v>
      </c>
      <c r="C216" s="817"/>
      <c r="D216" s="814"/>
      <c r="E216" s="814"/>
      <c r="F216" s="934">
        <v>1600</v>
      </c>
      <c r="G216" s="934">
        <v>1700</v>
      </c>
      <c r="H216" s="820">
        <f>G216+100</f>
        <v>1800</v>
      </c>
      <c r="I216" s="814"/>
      <c r="J216" s="814"/>
      <c r="K216" s="814"/>
      <c r="L216" s="814"/>
      <c r="M216" s="814"/>
      <c r="N216" s="814"/>
      <c r="O216" s="814"/>
      <c r="P216" s="814"/>
      <c r="Q216" s="814"/>
      <c r="R216" s="814"/>
      <c r="S216" s="814"/>
      <c r="T216" s="814"/>
      <c r="U216" s="814"/>
      <c r="V216" s="814"/>
      <c r="W216" s="814"/>
      <c r="X216" s="814"/>
      <c r="Y216" s="814"/>
      <c r="Z216" s="814"/>
      <c r="AA216" s="814"/>
      <c r="AB216" s="814"/>
      <c r="AC216" s="814"/>
      <c r="AD216" s="814"/>
    </row>
    <row r="217" spans="2:30">
      <c r="B217" s="685" t="str">
        <f>B161</f>
        <v>Cablecom</v>
      </c>
      <c r="C217" s="817"/>
      <c r="D217" s="814"/>
      <c r="E217" s="814"/>
      <c r="F217" s="796">
        <f>'SKY Mex'!H52/'SKY Mex'!H49*F214</f>
        <v>1875.8997814364434</v>
      </c>
      <c r="G217" s="796">
        <f>'SKY Mex'!I52/'SKY Mex'!I49*G214</f>
        <v>1829.4798138461656</v>
      </c>
      <c r="H217" s="796">
        <f>'SKY Mex'!J52/'SKY Mex'!J49*H214</f>
        <v>2040.276627913285</v>
      </c>
      <c r="I217" s="814"/>
      <c r="J217" s="814"/>
      <c r="K217" s="814"/>
      <c r="L217" s="814"/>
      <c r="M217" s="814"/>
      <c r="N217" s="814"/>
      <c r="O217" s="814"/>
      <c r="P217" s="814"/>
      <c r="Q217" s="814"/>
      <c r="R217" s="814"/>
      <c r="S217" s="814"/>
      <c r="T217" s="814"/>
      <c r="U217" s="814"/>
      <c r="V217" s="814"/>
      <c r="W217" s="814"/>
      <c r="X217" s="814"/>
      <c r="Y217" s="814"/>
      <c r="Z217" s="814"/>
      <c r="AA217" s="814"/>
      <c r="AB217" s="814"/>
      <c r="AC217" s="814"/>
      <c r="AD217" s="814"/>
    </row>
    <row r="218" spans="2:30">
      <c r="B218" s="685" t="s">
        <v>487</v>
      </c>
      <c r="C218" s="817"/>
      <c r="D218" s="814"/>
      <c r="E218" s="814"/>
      <c r="F218" s="796"/>
      <c r="G218" s="796"/>
      <c r="H218" s="796"/>
      <c r="I218" s="814"/>
      <c r="J218" s="814"/>
      <c r="K218" s="814"/>
      <c r="L218" s="814"/>
      <c r="M218" s="814"/>
      <c r="N218" s="814"/>
      <c r="O218" s="814"/>
      <c r="P218" s="814"/>
      <c r="Q218" s="814"/>
      <c r="R218" s="814"/>
      <c r="S218" s="814"/>
      <c r="T218" s="814"/>
      <c r="U218" s="814"/>
      <c r="V218" s="814"/>
      <c r="W218" s="814"/>
      <c r="X218" s="814"/>
      <c r="Y218" s="814"/>
      <c r="Z218" s="814"/>
      <c r="AA218" s="814"/>
      <c r="AB218" s="814"/>
      <c r="AC218" s="814"/>
      <c r="AD218" s="814"/>
    </row>
    <row r="219" spans="2:30">
      <c r="B219" s="743" t="s">
        <v>502</v>
      </c>
      <c r="C219" s="804"/>
      <c r="D219" s="958"/>
      <c r="E219" s="958"/>
      <c r="F219" s="927">
        <f>'SKY Mex'!H56/('SKY Mex'!H55+'SKY Mex'!H54)*SUM(F213:F217)</f>
        <v>1846.0748888560604</v>
      </c>
      <c r="G219" s="927">
        <f>'SKY Mex'!I56/('SKY Mex'!I55+'SKY Mex'!I54)*SUM(G213:G217)</f>
        <v>1923.8917318831266</v>
      </c>
      <c r="H219" s="961">
        <v>3000</v>
      </c>
      <c r="I219" s="958"/>
      <c r="J219" s="958"/>
      <c r="K219" s="958"/>
      <c r="L219" s="958"/>
      <c r="M219" s="958"/>
      <c r="N219" s="958"/>
      <c r="O219" s="958"/>
      <c r="P219" s="958"/>
      <c r="Q219" s="958"/>
      <c r="R219" s="958"/>
      <c r="S219" s="958"/>
      <c r="T219" s="958"/>
      <c r="U219" s="958"/>
      <c r="V219" s="958"/>
      <c r="W219" s="958"/>
      <c r="X219" s="958"/>
      <c r="Y219" s="958"/>
      <c r="Z219" s="958"/>
      <c r="AA219" s="958"/>
      <c r="AB219" s="958"/>
      <c r="AC219" s="958"/>
      <c r="AD219" s="958"/>
    </row>
    <row r="220" spans="2:30">
      <c r="B220" s="685" t="s">
        <v>524</v>
      </c>
      <c r="C220" s="817"/>
      <c r="D220" s="814"/>
      <c r="E220" s="814"/>
      <c r="F220" s="796">
        <f>SUM(F213:F219)</f>
        <v>16441.974670292504</v>
      </c>
      <c r="G220" s="796">
        <f>SUM(G213:G219)</f>
        <v>17463.371545729293</v>
      </c>
      <c r="H220" s="796">
        <f>SUM(H213:H219)</f>
        <v>19513.276627913285</v>
      </c>
      <c r="I220" s="796">
        <f t="shared" ref="I220:T220" si="200">H220+I221</f>
        <v>20813.276627913285</v>
      </c>
      <c r="J220" s="796">
        <f t="shared" si="200"/>
        <v>22113.276627913285</v>
      </c>
      <c r="K220" s="796">
        <f t="shared" si="200"/>
        <v>23413.276627913285</v>
      </c>
      <c r="L220" s="796">
        <f t="shared" si="200"/>
        <v>23763.276627913285</v>
      </c>
      <c r="M220" s="796">
        <f t="shared" si="200"/>
        <v>24013.276627913285</v>
      </c>
      <c r="N220" s="796">
        <f t="shared" si="200"/>
        <v>24263.276627913285</v>
      </c>
      <c r="O220" s="796">
        <f t="shared" si="200"/>
        <v>24513.276627913285</v>
      </c>
      <c r="P220" s="796">
        <f t="shared" si="200"/>
        <v>24763.276627913285</v>
      </c>
      <c r="Q220" s="796">
        <f t="shared" si="200"/>
        <v>25013.276627913285</v>
      </c>
      <c r="R220" s="796">
        <f t="shared" si="200"/>
        <v>25263.276627913285</v>
      </c>
      <c r="S220" s="796">
        <f t="shared" si="200"/>
        <v>25513.276627913285</v>
      </c>
      <c r="T220" s="796">
        <f t="shared" si="200"/>
        <v>25763.276627913285</v>
      </c>
      <c r="U220" s="796">
        <f t="shared" ref="U220:AD220" si="201">T220+U221</f>
        <v>26013.276627913285</v>
      </c>
      <c r="V220" s="796">
        <f t="shared" si="201"/>
        <v>26263.276627913285</v>
      </c>
      <c r="W220" s="796">
        <f t="shared" si="201"/>
        <v>26513.276627913285</v>
      </c>
      <c r="X220" s="796">
        <f t="shared" si="201"/>
        <v>26763.276627913285</v>
      </c>
      <c r="Y220" s="796">
        <f t="shared" si="201"/>
        <v>27013.276627913285</v>
      </c>
      <c r="Z220" s="796">
        <f t="shared" si="201"/>
        <v>27263.276627913285</v>
      </c>
      <c r="AA220" s="796">
        <f t="shared" si="201"/>
        <v>27513.276627913285</v>
      </c>
      <c r="AB220" s="796">
        <f t="shared" si="201"/>
        <v>27763.276627913285</v>
      </c>
      <c r="AC220" s="796">
        <f t="shared" si="201"/>
        <v>28013.276627913285</v>
      </c>
      <c r="AD220" s="796">
        <f t="shared" si="201"/>
        <v>28263.276627913285</v>
      </c>
    </row>
    <row r="221" spans="2:30">
      <c r="B221" s="685" t="s">
        <v>525</v>
      </c>
      <c r="C221" s="817"/>
      <c r="D221" s="814"/>
      <c r="E221" s="814"/>
      <c r="F221" s="796"/>
      <c r="G221" s="796">
        <f>G220-F220</f>
        <v>1021.3968754367888</v>
      </c>
      <c r="H221" s="796">
        <f>H220-G220</f>
        <v>2049.9050821839919</v>
      </c>
      <c r="I221" s="934">
        <v>1300</v>
      </c>
      <c r="J221" s="934">
        <v>1300</v>
      </c>
      <c r="K221" s="934">
        <v>1300</v>
      </c>
      <c r="L221" s="934">
        <v>350</v>
      </c>
      <c r="M221" s="934">
        <v>250</v>
      </c>
      <c r="N221" s="934">
        <v>250</v>
      </c>
      <c r="O221" s="934">
        <v>250</v>
      </c>
      <c r="P221" s="934">
        <v>250</v>
      </c>
      <c r="Q221" s="934">
        <v>250</v>
      </c>
      <c r="R221" s="934">
        <v>250</v>
      </c>
      <c r="S221" s="934">
        <v>250</v>
      </c>
      <c r="T221" s="934">
        <v>250</v>
      </c>
      <c r="U221" s="934">
        <v>250</v>
      </c>
      <c r="V221" s="934">
        <v>250</v>
      </c>
      <c r="W221" s="934">
        <v>250</v>
      </c>
      <c r="X221" s="934">
        <v>250</v>
      </c>
      <c r="Y221" s="934">
        <v>250</v>
      </c>
      <c r="Z221" s="934">
        <v>250</v>
      </c>
      <c r="AA221" s="934">
        <v>250</v>
      </c>
      <c r="AB221" s="934">
        <v>250</v>
      </c>
      <c r="AC221" s="934">
        <v>250</v>
      </c>
      <c r="AD221" s="934">
        <v>250</v>
      </c>
    </row>
    <row r="222" spans="2:30">
      <c r="B222" s="685" t="s">
        <v>526</v>
      </c>
      <c r="C222" s="817"/>
      <c r="D222" s="814"/>
      <c r="E222" s="814"/>
      <c r="F222" s="789">
        <f t="shared" ref="F222:Y222" si="202">F220/F131</f>
        <v>0.57090189827404525</v>
      </c>
      <c r="G222" s="789">
        <f t="shared" si="202"/>
        <v>0.60114876233147307</v>
      </c>
      <c r="H222" s="789">
        <f t="shared" si="202"/>
        <v>0.66598213747144319</v>
      </c>
      <c r="I222" s="789">
        <f t="shared" si="202"/>
        <v>0.70434100263665933</v>
      </c>
      <c r="J222" s="789">
        <f t="shared" si="202"/>
        <v>0.74205626268165381</v>
      </c>
      <c r="K222" s="789">
        <f t="shared" si="202"/>
        <v>0.77914398096217252</v>
      </c>
      <c r="L222" s="789">
        <f t="shared" si="202"/>
        <v>0.78426655537667611</v>
      </c>
      <c r="M222" s="789">
        <f t="shared" si="202"/>
        <v>0.78603196818046761</v>
      </c>
      <c r="N222" s="789">
        <f t="shared" si="202"/>
        <v>0.78776872168549628</v>
      </c>
      <c r="O222" s="789">
        <f t="shared" si="202"/>
        <v>0.78820825170139175</v>
      </c>
      <c r="P222" s="789">
        <f t="shared" si="202"/>
        <v>0.78063415383372059</v>
      </c>
      <c r="Q222" s="789">
        <f t="shared" si="202"/>
        <v>0.77305403894598057</v>
      </c>
      <c r="R222" s="789">
        <f t="shared" si="202"/>
        <v>0.76547105499430967</v>
      </c>
      <c r="S222" s="789">
        <f t="shared" si="202"/>
        <v>0.75788822879893425</v>
      </c>
      <c r="T222" s="789">
        <f t="shared" si="202"/>
        <v>0.75030846958431008</v>
      </c>
      <c r="U222" s="789">
        <f t="shared" si="202"/>
        <v>0.74273457242700724</v>
      </c>
      <c r="V222" s="789">
        <f t="shared" si="202"/>
        <v>0.73516922161359544</v>
      </c>
      <c r="W222" s="789">
        <f t="shared" si="202"/>
        <v>0.7276149939107337</v>
      </c>
      <c r="X222" s="789">
        <f t="shared" si="202"/>
        <v>0.72007436174961681</v>
      </c>
      <c r="Y222" s="789">
        <f t="shared" si="202"/>
        <v>0.71254969632687881</v>
      </c>
      <c r="Z222" s="789">
        <f>Z220/Z131</f>
        <v>0.70504327062400607</v>
      </c>
      <c r="AA222" s="789">
        <f>AA220/AA131</f>
        <v>0.69755726234726401</v>
      </c>
      <c r="AB222" s="789">
        <f>AB220/AB131</f>
        <v>0.69009375679009288</v>
      </c>
      <c r="AC222" s="789">
        <f>AC220/AC131</f>
        <v>0.68265474961988215</v>
      </c>
      <c r="AD222" s="789">
        <f>AD220/AD131</f>
        <v>0.67524214959099071</v>
      </c>
    </row>
    <row r="225" spans="1:30">
      <c r="A225" s="891" t="s">
        <v>527</v>
      </c>
      <c r="B225" s="743" t="s">
        <v>528</v>
      </c>
      <c r="C225" s="743"/>
      <c r="D225" s="743">
        <f t="shared" ref="D225:AD225" si="203">D1</f>
        <v>2009</v>
      </c>
      <c r="E225" s="743">
        <f t="shared" si="203"/>
        <v>2010</v>
      </c>
      <c r="F225" s="743">
        <f t="shared" si="203"/>
        <v>2011</v>
      </c>
      <c r="G225" s="743">
        <f t="shared" si="203"/>
        <v>2012</v>
      </c>
      <c r="H225" s="743">
        <f t="shared" si="203"/>
        <v>2013</v>
      </c>
      <c r="I225" s="743">
        <f t="shared" si="203"/>
        <v>2014</v>
      </c>
      <c r="J225" s="743">
        <f t="shared" si="203"/>
        <v>2015</v>
      </c>
      <c r="K225" s="743">
        <f t="shared" si="203"/>
        <v>2016</v>
      </c>
      <c r="L225" s="743">
        <f t="shared" si="203"/>
        <v>2017</v>
      </c>
      <c r="M225" s="743">
        <f t="shared" si="203"/>
        <v>2018</v>
      </c>
      <c r="N225" s="743">
        <f t="shared" si="203"/>
        <v>2019</v>
      </c>
      <c r="O225" s="743">
        <f t="shared" si="203"/>
        <v>2020</v>
      </c>
      <c r="P225" s="743">
        <f t="shared" si="203"/>
        <v>2021</v>
      </c>
      <c r="Q225" s="743">
        <f t="shared" si="203"/>
        <v>2022</v>
      </c>
      <c r="R225" s="743">
        <f t="shared" si="203"/>
        <v>2023</v>
      </c>
      <c r="S225" s="743">
        <f t="shared" si="203"/>
        <v>2024</v>
      </c>
      <c r="T225" s="743">
        <f t="shared" si="203"/>
        <v>2025</v>
      </c>
      <c r="U225" s="743">
        <f t="shared" si="203"/>
        <v>2026</v>
      </c>
      <c r="V225" s="743">
        <f t="shared" si="203"/>
        <v>2027</v>
      </c>
      <c r="W225" s="743">
        <f t="shared" si="203"/>
        <v>2028</v>
      </c>
      <c r="X225" s="743">
        <f t="shared" si="203"/>
        <v>2029</v>
      </c>
      <c r="Y225" s="743">
        <f t="shared" si="203"/>
        <v>2030</v>
      </c>
      <c r="Z225" s="743">
        <f t="shared" si="203"/>
        <v>2031</v>
      </c>
      <c r="AA225" s="743">
        <f t="shared" si="203"/>
        <v>2032</v>
      </c>
      <c r="AB225" s="743">
        <f t="shared" si="203"/>
        <v>2033</v>
      </c>
      <c r="AC225" s="743">
        <f t="shared" si="203"/>
        <v>2034</v>
      </c>
      <c r="AD225" s="743">
        <f t="shared" si="203"/>
        <v>2035</v>
      </c>
    </row>
    <row r="226" spans="1:30">
      <c r="A226" s="789">
        <v>0.51</v>
      </c>
      <c r="B226" s="685" t="str">
        <f>Interims!A301</f>
        <v>Cablevision</v>
      </c>
      <c r="F226" s="910">
        <f>Interims!K301</f>
        <v>4391.3999999999996</v>
      </c>
      <c r="G226" s="910">
        <f>Interims!P301</f>
        <v>5041.1000000000004</v>
      </c>
      <c r="H226" s="910">
        <f>Interims!U301</f>
        <v>5678.0999999999995</v>
      </c>
      <c r="I226" s="795">
        <f>(1+I227)*H226</f>
        <v>6558.2054999999991</v>
      </c>
      <c r="J226" s="795">
        <f>(1+J227)*I226</f>
        <v>7541.9363249999988</v>
      </c>
      <c r="K226" s="795"/>
      <c r="L226" s="795"/>
      <c r="M226" s="795"/>
      <c r="N226" s="795"/>
      <c r="O226" s="795"/>
      <c r="P226" s="795"/>
      <c r="Q226" s="795"/>
      <c r="R226" s="795"/>
      <c r="S226" s="795"/>
      <c r="T226" s="795"/>
      <c r="U226" s="795"/>
      <c r="V226" s="795"/>
      <c r="W226" s="795"/>
      <c r="X226" s="795"/>
      <c r="Y226" s="795"/>
      <c r="Z226" s="795"/>
      <c r="AA226" s="795"/>
      <c r="AB226" s="795"/>
      <c r="AC226" s="795"/>
      <c r="AD226" s="795"/>
    </row>
    <row r="227" spans="1:30">
      <c r="A227" s="891" t="s">
        <v>529</v>
      </c>
      <c r="B227" s="685" t="s">
        <v>192</v>
      </c>
      <c r="F227" s="796"/>
      <c r="G227" s="789">
        <f>G226/F226-1</f>
        <v>0.1479482625130939</v>
      </c>
      <c r="H227" s="789">
        <f>H226/G226-1</f>
        <v>0.12636131003154061</v>
      </c>
      <c r="I227" s="925">
        <v>0.155</v>
      </c>
      <c r="J227" s="925">
        <v>0.15</v>
      </c>
      <c r="K227" s="789"/>
      <c r="L227" s="789"/>
      <c r="M227" s="789"/>
      <c r="N227" s="789"/>
      <c r="O227" s="789"/>
      <c r="P227" s="789"/>
      <c r="Q227" s="789"/>
      <c r="R227" s="789"/>
      <c r="S227" s="789"/>
      <c r="T227" s="789"/>
      <c r="U227" s="789"/>
      <c r="V227" s="789"/>
      <c r="W227" s="789"/>
      <c r="X227" s="789"/>
      <c r="Y227" s="789"/>
      <c r="Z227" s="789"/>
      <c r="AA227" s="789"/>
      <c r="AB227" s="789"/>
      <c r="AC227" s="789"/>
      <c r="AD227" s="789"/>
    </row>
    <row r="228" spans="1:30">
      <c r="A228" s="789">
        <v>1</v>
      </c>
      <c r="B228" s="685" t="str">
        <f>Interims!A302</f>
        <v>Cablemas</v>
      </c>
      <c r="F228" s="910">
        <f>Interims!K302</f>
        <v>4726.2</v>
      </c>
      <c r="G228" s="910">
        <f>Interims!P302</f>
        <v>5439.7</v>
      </c>
      <c r="H228" s="910">
        <f>Interims!U302</f>
        <v>6139.5</v>
      </c>
      <c r="I228" s="795">
        <f>(1+I229)*H228</f>
        <v>6814.8450000000003</v>
      </c>
      <c r="J228" s="795">
        <f>(1+J229)*I228</f>
        <v>7700.7748499999998</v>
      </c>
      <c r="K228" s="795"/>
      <c r="L228" s="795"/>
      <c r="M228" s="795"/>
      <c r="N228" s="795"/>
      <c r="O228" s="795"/>
      <c r="P228" s="795"/>
      <c r="Q228" s="795"/>
      <c r="R228" s="795"/>
      <c r="S228" s="795"/>
      <c r="T228" s="795"/>
      <c r="U228" s="795"/>
      <c r="V228" s="795"/>
      <c r="W228" s="795"/>
      <c r="X228" s="795"/>
      <c r="Y228" s="795"/>
      <c r="Z228" s="795"/>
      <c r="AA228" s="795"/>
      <c r="AB228" s="795"/>
      <c r="AC228" s="795"/>
      <c r="AD228" s="795"/>
    </row>
    <row r="229" spans="1:30">
      <c r="B229" s="685" t="s">
        <v>192</v>
      </c>
      <c r="F229" s="796"/>
      <c r="G229" s="789">
        <f>G228/F228-1</f>
        <v>0.15096695019254369</v>
      </c>
      <c r="H229" s="789">
        <f>H228/G228-1</f>
        <v>0.12864680037502074</v>
      </c>
      <c r="I229" s="925">
        <v>0.11</v>
      </c>
      <c r="J229" s="925">
        <v>0.13</v>
      </c>
      <c r="K229" s="789"/>
      <c r="L229" s="789"/>
      <c r="M229" s="789"/>
      <c r="N229" s="789"/>
      <c r="O229" s="789"/>
      <c r="P229" s="789"/>
      <c r="Q229" s="789"/>
      <c r="R229" s="789"/>
      <c r="S229" s="789"/>
      <c r="T229" s="789"/>
      <c r="U229" s="789"/>
      <c r="V229" s="789"/>
      <c r="W229" s="789"/>
      <c r="X229" s="789"/>
      <c r="Y229" s="789"/>
      <c r="Z229" s="789"/>
      <c r="AA229" s="789"/>
      <c r="AB229" s="789"/>
      <c r="AC229" s="789"/>
      <c r="AD229" s="789"/>
    </row>
    <row r="230" spans="1:30">
      <c r="A230" s="789">
        <v>0.5</v>
      </c>
      <c r="B230" s="685" t="str">
        <f>Interims!A303</f>
        <v>TVI</v>
      </c>
      <c r="F230" s="910">
        <f>Interims!K303</f>
        <v>2172.6999999999998</v>
      </c>
      <c r="G230" s="910">
        <f>Interims!P303</f>
        <v>2474.5999999999995</v>
      </c>
      <c r="H230" s="910">
        <f>Interims!U303</f>
        <v>2713.2</v>
      </c>
      <c r="I230" s="795">
        <f>(1+I231)*H230</f>
        <v>3201.5759999999996</v>
      </c>
      <c r="J230" s="795">
        <f>(1+J231)*I230</f>
        <v>3777.8596799999991</v>
      </c>
      <c r="K230" s="795"/>
      <c r="L230" s="795"/>
      <c r="M230" s="795"/>
      <c r="N230" s="795"/>
      <c r="O230" s="795"/>
      <c r="P230" s="795"/>
      <c r="Q230" s="795"/>
      <c r="R230" s="795"/>
      <c r="S230" s="795"/>
      <c r="T230" s="795"/>
      <c r="U230" s="795"/>
      <c r="V230" s="795"/>
      <c r="W230" s="795"/>
      <c r="X230" s="795"/>
      <c r="Y230" s="795"/>
      <c r="Z230" s="795"/>
      <c r="AA230" s="795"/>
      <c r="AB230" s="795"/>
      <c r="AC230" s="795"/>
      <c r="AD230" s="795"/>
    </row>
    <row r="231" spans="1:30">
      <c r="A231" s="891" t="s">
        <v>530</v>
      </c>
      <c r="B231" s="685" t="s">
        <v>192</v>
      </c>
      <c r="F231" s="796"/>
      <c r="G231" s="789">
        <f>G230/F230-1</f>
        <v>0.13895153495650558</v>
      </c>
      <c r="H231" s="789">
        <f>H230/G230-1</f>
        <v>9.641962337347465E-2</v>
      </c>
      <c r="I231" s="925">
        <v>0.18</v>
      </c>
      <c r="J231" s="925">
        <v>0.18</v>
      </c>
      <c r="K231" s="789"/>
      <c r="L231" s="789"/>
      <c r="M231" s="789"/>
      <c r="N231" s="789"/>
      <c r="O231" s="789"/>
      <c r="P231" s="789"/>
      <c r="Q231" s="789"/>
      <c r="R231" s="789"/>
      <c r="S231" s="789"/>
      <c r="T231" s="789"/>
      <c r="U231" s="789"/>
      <c r="V231" s="789"/>
      <c r="W231" s="789"/>
      <c r="X231" s="789"/>
      <c r="Y231" s="789"/>
      <c r="Z231" s="789"/>
      <c r="AA231" s="789"/>
      <c r="AB231" s="789"/>
      <c r="AC231" s="789"/>
      <c r="AD231" s="789"/>
    </row>
    <row r="232" spans="1:30">
      <c r="A232" s="789">
        <v>1</v>
      </c>
      <c r="B232" s="685" t="str">
        <f>Interims!A304</f>
        <v>Bestel</v>
      </c>
      <c r="F232" s="910">
        <f>Interims!K304</f>
        <v>2727</v>
      </c>
      <c r="G232" s="910">
        <f>Interims!P304</f>
        <v>3039.8</v>
      </c>
      <c r="H232" s="910">
        <f>Interims!U304</f>
        <v>3051.4</v>
      </c>
      <c r="I232" s="795">
        <f>I240-I234-I230-I228-I226</f>
        <v>3442.8734999999988</v>
      </c>
      <c r="J232" s="795">
        <f>(1+J233)*I232</f>
        <v>3787.1608499999988</v>
      </c>
      <c r="K232" s="795"/>
      <c r="L232" s="795"/>
      <c r="M232" s="795"/>
      <c r="N232" s="795"/>
      <c r="O232" s="795"/>
      <c r="P232" s="795"/>
      <c r="Q232" s="795"/>
      <c r="R232" s="795"/>
      <c r="S232" s="795"/>
      <c r="T232" s="795"/>
      <c r="U232" s="795"/>
      <c r="V232" s="795"/>
      <c r="W232" s="795"/>
      <c r="X232" s="795"/>
      <c r="Y232" s="795"/>
      <c r="Z232" s="795"/>
      <c r="AA232" s="795"/>
      <c r="AB232" s="795"/>
      <c r="AC232" s="795"/>
      <c r="AD232" s="795"/>
    </row>
    <row r="233" spans="1:30">
      <c r="B233" s="685" t="s">
        <v>192</v>
      </c>
      <c r="F233" s="796"/>
      <c r="G233" s="789">
        <f>G232/F232-1</f>
        <v>0.11470480381371484</v>
      </c>
      <c r="H233" s="789">
        <f>H232/G232-1</f>
        <v>3.8160405289822119E-3</v>
      </c>
      <c r="I233" s="789">
        <f>I232/H232-1</f>
        <v>0.12829307858687766</v>
      </c>
      <c r="J233" s="925">
        <v>0.1</v>
      </c>
      <c r="K233" s="789"/>
      <c r="L233" s="789"/>
      <c r="M233" s="789"/>
      <c r="N233" s="789"/>
      <c r="O233" s="789"/>
      <c r="P233" s="789"/>
      <c r="Q233" s="789"/>
      <c r="R233" s="789"/>
      <c r="S233" s="789"/>
      <c r="T233" s="789"/>
      <c r="U233" s="789"/>
      <c r="V233" s="789"/>
      <c r="W233" s="789"/>
      <c r="X233" s="789"/>
      <c r="Y233" s="789"/>
      <c r="Z233" s="789"/>
      <c r="AA233" s="789"/>
      <c r="AB233" s="789"/>
      <c r="AC233" s="789"/>
      <c r="AD233" s="789"/>
    </row>
    <row r="234" spans="1:30">
      <c r="B234" s="685" t="s">
        <v>486</v>
      </c>
      <c r="F234" s="796"/>
      <c r="G234" s="789"/>
      <c r="H234" s="789"/>
      <c r="I234" s="910">
        <f>SUM(Interims!V305:Y305)</f>
        <v>1369.7</v>
      </c>
      <c r="J234" s="910">
        <f>3900*1.08</f>
        <v>4212</v>
      </c>
      <c r="K234" s="795"/>
      <c r="L234" s="795"/>
      <c r="M234" s="795"/>
      <c r="N234" s="795"/>
      <c r="O234" s="795"/>
      <c r="P234" s="795"/>
      <c r="Q234" s="795"/>
      <c r="R234" s="795"/>
      <c r="S234" s="795"/>
      <c r="T234" s="795"/>
      <c r="U234" s="795"/>
      <c r="V234" s="795"/>
      <c r="W234" s="795"/>
      <c r="X234" s="795"/>
      <c r="Y234" s="795"/>
      <c r="Z234" s="795"/>
      <c r="AA234" s="795"/>
      <c r="AB234" s="795"/>
      <c r="AC234" s="795"/>
      <c r="AD234" s="795"/>
    </row>
    <row r="235" spans="1:30">
      <c r="B235" s="685" t="s">
        <v>192</v>
      </c>
      <c r="F235" s="796"/>
      <c r="G235" s="789"/>
      <c r="H235" s="789"/>
      <c r="I235" s="789"/>
      <c r="J235" s="789"/>
      <c r="K235" s="789"/>
      <c r="L235" s="789"/>
      <c r="M235" s="789"/>
      <c r="N235" s="789"/>
      <c r="O235" s="789"/>
      <c r="P235" s="789"/>
      <c r="Q235" s="789"/>
      <c r="R235" s="789"/>
      <c r="S235" s="789"/>
      <c r="T235" s="789"/>
      <c r="U235" s="789"/>
      <c r="V235" s="789"/>
      <c r="W235" s="789"/>
      <c r="X235" s="789"/>
      <c r="Y235" s="789"/>
      <c r="Z235" s="789"/>
      <c r="AA235" s="789"/>
      <c r="AB235" s="789"/>
      <c r="AC235" s="789"/>
      <c r="AD235" s="789"/>
    </row>
    <row r="236" spans="1:30">
      <c r="B236" s="685" t="s">
        <v>487</v>
      </c>
      <c r="F236" s="796"/>
      <c r="G236" s="789"/>
      <c r="H236" s="789"/>
      <c r="I236" s="789"/>
      <c r="J236" s="910">
        <f>2100</f>
        <v>2100</v>
      </c>
      <c r="K236" s="795"/>
      <c r="L236" s="795"/>
      <c r="M236" s="795"/>
      <c r="N236" s="795"/>
      <c r="O236" s="795"/>
      <c r="P236" s="795"/>
      <c r="Q236" s="795"/>
      <c r="R236" s="795"/>
      <c r="S236" s="795"/>
      <c r="T236" s="795"/>
      <c r="U236" s="795"/>
      <c r="V236" s="795"/>
      <c r="W236" s="795"/>
      <c r="X236" s="795"/>
      <c r="Y236" s="795"/>
      <c r="Z236" s="795"/>
      <c r="AA236" s="795"/>
      <c r="AB236" s="795"/>
      <c r="AC236" s="795"/>
      <c r="AD236" s="795"/>
    </row>
    <row r="237" spans="1:30">
      <c r="B237" s="685" t="s">
        <v>192</v>
      </c>
      <c r="F237" s="796"/>
      <c r="G237" s="789"/>
      <c r="H237" s="789"/>
      <c r="I237" s="789"/>
      <c r="J237" s="789"/>
      <c r="K237" s="789"/>
      <c r="L237" s="789"/>
      <c r="M237" s="789"/>
      <c r="N237" s="789"/>
      <c r="O237" s="789"/>
      <c r="P237" s="789"/>
      <c r="Q237" s="789"/>
      <c r="R237" s="789"/>
      <c r="S237" s="789"/>
      <c r="T237" s="789"/>
      <c r="U237" s="789"/>
      <c r="V237" s="789"/>
      <c r="W237" s="789"/>
      <c r="X237" s="789"/>
      <c r="Y237" s="789"/>
      <c r="Z237" s="789"/>
      <c r="AA237" s="789"/>
      <c r="AB237" s="789"/>
      <c r="AC237" s="789"/>
      <c r="AD237" s="789"/>
    </row>
    <row r="238" spans="1:30">
      <c r="B238" s="685" t="s">
        <v>48</v>
      </c>
      <c r="F238" s="796"/>
      <c r="G238" s="789"/>
      <c r="H238" s="789"/>
      <c r="I238" s="795"/>
      <c r="J238" s="795"/>
      <c r="K238" s="795"/>
      <c r="L238" s="795"/>
      <c r="M238" s="795"/>
      <c r="N238" s="795"/>
      <c r="O238" s="795"/>
      <c r="P238" s="795"/>
      <c r="Q238" s="795"/>
      <c r="R238" s="795"/>
      <c r="S238" s="795"/>
      <c r="T238" s="795"/>
      <c r="U238" s="795"/>
      <c r="V238" s="795"/>
      <c r="W238" s="795"/>
      <c r="X238" s="795"/>
      <c r="Y238" s="795"/>
      <c r="Z238" s="795"/>
      <c r="AA238" s="795"/>
      <c r="AB238" s="795"/>
      <c r="AC238" s="795"/>
      <c r="AD238" s="795"/>
    </row>
    <row r="239" spans="1:30">
      <c r="B239" s="743" t="s">
        <v>192</v>
      </c>
      <c r="C239" s="743"/>
      <c r="D239" s="743"/>
      <c r="E239" s="743"/>
      <c r="F239" s="927"/>
      <c r="G239" s="842"/>
      <c r="H239" s="842"/>
      <c r="I239" s="842"/>
      <c r="J239" s="842"/>
      <c r="K239" s="842"/>
      <c r="L239" s="842"/>
      <c r="M239" s="842"/>
      <c r="N239" s="842"/>
      <c r="O239" s="842"/>
      <c r="P239" s="842"/>
      <c r="Q239" s="842"/>
      <c r="R239" s="842"/>
      <c r="S239" s="842"/>
      <c r="T239" s="842"/>
      <c r="U239" s="842"/>
      <c r="V239" s="842"/>
      <c r="W239" s="842"/>
      <c r="X239" s="842"/>
      <c r="Y239" s="842"/>
      <c r="Z239" s="842"/>
      <c r="AA239" s="842"/>
      <c r="AB239" s="842"/>
      <c r="AC239" s="842"/>
      <c r="AD239" s="842"/>
    </row>
    <row r="240" spans="1:30">
      <c r="B240" s="685" t="s">
        <v>531</v>
      </c>
      <c r="D240" s="795"/>
      <c r="E240" s="795"/>
      <c r="F240" s="795">
        <f>F226+F228+F230+F232+F234+F238</f>
        <v>14017.3</v>
      </c>
      <c r="G240" s="795">
        <f>G226+G228+G230+G232+G234+G238</f>
        <v>15995.199999999997</v>
      </c>
      <c r="H240" s="795">
        <f>H226+H228+H230+H232+H234+H238</f>
        <v>17582.2</v>
      </c>
      <c r="I240" s="795">
        <f>I244-I242</f>
        <v>21387.200000000001</v>
      </c>
      <c r="J240" s="795">
        <f>J244-J242</f>
        <v>29100.3</v>
      </c>
      <c r="K240" s="795"/>
      <c r="L240" s="795"/>
      <c r="M240" s="795"/>
      <c r="N240" s="795"/>
      <c r="O240" s="795"/>
      <c r="P240" s="795"/>
      <c r="Q240" s="795"/>
      <c r="R240" s="795"/>
      <c r="S240" s="795"/>
      <c r="T240" s="795"/>
      <c r="U240" s="795"/>
      <c r="V240" s="795"/>
      <c r="W240" s="795"/>
      <c r="X240" s="795"/>
      <c r="Y240" s="795"/>
      <c r="Z240" s="795"/>
      <c r="AA240" s="795"/>
      <c r="AB240" s="795"/>
      <c r="AC240" s="795"/>
      <c r="AD240" s="795"/>
    </row>
    <row r="241" spans="2:33">
      <c r="B241" s="685" t="s">
        <v>192</v>
      </c>
      <c r="D241" s="795"/>
      <c r="E241" s="795"/>
      <c r="F241" s="795"/>
      <c r="G241" s="789">
        <f>G240/F240-1</f>
        <v>0.14110420694427583</v>
      </c>
      <c r="H241" s="789">
        <f>H240/G240-1</f>
        <v>9.9217265179554204E-2</v>
      </c>
      <c r="I241" s="789">
        <f>I240/H240-1</f>
        <v>0.21641205309915712</v>
      </c>
      <c r="J241" s="789">
        <f>J240/I240-1</f>
        <v>0.3606409441161067</v>
      </c>
      <c r="K241" s="789"/>
      <c r="L241" s="789"/>
      <c r="M241" s="789"/>
      <c r="N241" s="789"/>
      <c r="O241" s="789"/>
      <c r="P241" s="789"/>
      <c r="Q241" s="789"/>
      <c r="R241" s="789"/>
      <c r="T241" s="789"/>
      <c r="U241" s="789"/>
      <c r="V241" s="789"/>
      <c r="W241" s="789"/>
      <c r="X241" s="789"/>
      <c r="Y241" s="789"/>
      <c r="Z241" s="789"/>
      <c r="AA241" s="789"/>
      <c r="AB241" s="789"/>
      <c r="AC241" s="789"/>
      <c r="AD241" s="789"/>
      <c r="AG241" s="795">
        <f>Interims!BW14</f>
        <v>11904.2</v>
      </c>
    </row>
    <row r="242" spans="2:33">
      <c r="B242" s="685" t="s">
        <v>532</v>
      </c>
      <c r="F242" s="796">
        <f>F244-F240</f>
        <v>-381.89999999999782</v>
      </c>
      <c r="G242" s="796">
        <f>G244-G240</f>
        <v>-424.79999999999745</v>
      </c>
      <c r="H242" s="796">
        <f>H244-H240</f>
        <v>-443.40000000000146</v>
      </c>
      <c r="I242" s="934">
        <v>-450</v>
      </c>
      <c r="J242" s="934">
        <v>-612</v>
      </c>
      <c r="K242" s="796"/>
      <c r="L242" s="796"/>
      <c r="M242" s="796"/>
      <c r="N242" s="796"/>
      <c r="O242" s="796"/>
      <c r="P242" s="796"/>
      <c r="Q242" s="796"/>
      <c r="R242" s="796"/>
      <c r="S242" s="796"/>
      <c r="T242" s="750"/>
      <c r="U242" s="796"/>
      <c r="V242" s="796"/>
      <c r="W242" s="796"/>
      <c r="X242" s="796"/>
      <c r="Y242" s="796"/>
      <c r="Z242" s="796"/>
      <c r="AA242" s="796"/>
      <c r="AB242" s="796"/>
      <c r="AC242" s="796"/>
      <c r="AD242" s="796"/>
    </row>
    <row r="243" spans="2:33">
      <c r="F243" s="796"/>
      <c r="G243" s="796"/>
      <c r="H243" s="796"/>
      <c r="I243" s="796"/>
      <c r="J243" s="796"/>
      <c r="K243" s="796"/>
      <c r="L243" s="796"/>
      <c r="M243" s="796"/>
      <c r="N243" s="796"/>
      <c r="O243" s="796"/>
      <c r="P243" s="796"/>
      <c r="Q243" s="796"/>
      <c r="R243" s="796"/>
      <c r="S243" s="796"/>
      <c r="T243" s="2033"/>
      <c r="U243" s="796"/>
      <c r="V243" s="796"/>
      <c r="W243" s="796"/>
      <c r="X243" s="796"/>
      <c r="Y243" s="796"/>
      <c r="Z243" s="796"/>
      <c r="AA243" s="796"/>
      <c r="AB243" s="796"/>
      <c r="AC243" s="796"/>
      <c r="AD243" s="796"/>
    </row>
    <row r="244" spans="2:33">
      <c r="B244" s="817" t="s">
        <v>533</v>
      </c>
      <c r="D244" s="910">
        <f>Master!H21</f>
        <v>9241.7000000000007</v>
      </c>
      <c r="E244" s="910">
        <f>Master!I21</f>
        <v>11814.2</v>
      </c>
      <c r="F244" s="935">
        <f>Master!J21</f>
        <v>13635.400000000001</v>
      </c>
      <c r="G244" s="935">
        <f>Master!K21</f>
        <v>15570.4</v>
      </c>
      <c r="H244" s="935">
        <f>Master!L21</f>
        <v>17138.8</v>
      </c>
      <c r="I244" s="935">
        <f>Master!M21</f>
        <v>20937.2</v>
      </c>
      <c r="J244" s="935">
        <f>Master!N21</f>
        <v>28488.3</v>
      </c>
      <c r="K244" s="935">
        <f>Master!O21</f>
        <v>31891.599999999999</v>
      </c>
      <c r="L244" s="935">
        <f>Master!P21</f>
        <v>33048</v>
      </c>
      <c r="M244" s="935">
        <f>Master!Q21</f>
        <v>36233</v>
      </c>
      <c r="N244" s="935">
        <f>Master!R21</f>
        <v>41702</v>
      </c>
      <c r="O244" s="935">
        <f>Master!S21</f>
        <v>45367.1</v>
      </c>
      <c r="P244" s="935">
        <f>Master!T21</f>
        <v>48020.9</v>
      </c>
      <c r="Q244" s="935">
        <f>Master!U21</f>
        <v>48411.8</v>
      </c>
      <c r="R244" s="935">
        <f>Master!V21</f>
        <v>48802.5</v>
      </c>
      <c r="S244" s="935">
        <f>Master!W21</f>
        <v>47393</v>
      </c>
      <c r="T244" s="935">
        <f>Master!X21</f>
        <v>46569.1</v>
      </c>
      <c r="U244" s="818">
        <f>U36</f>
        <v>47536.392599999992</v>
      </c>
      <c r="V244" s="818">
        <f t="shared" ref="V244:AD244" si="204">V36</f>
        <v>48224.984513999989</v>
      </c>
      <c r="W244" s="818">
        <f t="shared" si="204"/>
        <v>49140.08717477999</v>
      </c>
      <c r="X244" s="818">
        <f t="shared" si="204"/>
        <v>50072.997918480585</v>
      </c>
      <c r="Y244" s="818">
        <f t="shared" si="204"/>
        <v>51024.06796705725</v>
      </c>
      <c r="Z244" s="818">
        <f t="shared" si="204"/>
        <v>51763.982082117662</v>
      </c>
      <c r="AA244" s="818">
        <f t="shared" si="204"/>
        <v>52281.621902938838</v>
      </c>
      <c r="AB244" s="818">
        <f t="shared" si="204"/>
        <v>52686.713260823279</v>
      </c>
      <c r="AC244" s="818">
        <f t="shared" si="204"/>
        <v>52976.364798224429</v>
      </c>
      <c r="AD244" s="818">
        <f t="shared" si="204"/>
        <v>53267.726773023562</v>
      </c>
      <c r="AF244" s="795"/>
      <c r="AG244" s="750">
        <f>Interims!FA14</f>
        <v>-9.5507843781873492E-3</v>
      </c>
    </row>
    <row r="245" spans="2:33">
      <c r="B245" s="817" t="s">
        <v>192</v>
      </c>
      <c r="D245" s="789"/>
      <c r="E245" s="789">
        <f t="shared" ref="E245:T245" si="205">E244/D244-1</f>
        <v>0.27835787787961097</v>
      </c>
      <c r="F245" s="959">
        <f t="shared" si="205"/>
        <v>0.15415347632510046</v>
      </c>
      <c r="G245" s="959">
        <f t="shared" si="205"/>
        <v>0.14191002830866695</v>
      </c>
      <c r="H245" s="959">
        <f t="shared" si="205"/>
        <v>0.10072958947747002</v>
      </c>
      <c r="I245" s="959">
        <f t="shared" si="205"/>
        <v>0.22162578476906214</v>
      </c>
      <c r="J245" s="959">
        <f t="shared" si="205"/>
        <v>0.36065471982882125</v>
      </c>
      <c r="K245" s="959">
        <f t="shared" si="205"/>
        <v>0.11946307782493171</v>
      </c>
      <c r="L245" s="959">
        <f t="shared" si="205"/>
        <v>3.6260331874224061E-2</v>
      </c>
      <c r="M245" s="959">
        <f t="shared" si="205"/>
        <v>9.6374969740982808E-2</v>
      </c>
      <c r="N245" s="959">
        <f t="shared" si="205"/>
        <v>0.15093975105566759</v>
      </c>
      <c r="O245" s="959">
        <f t="shared" si="205"/>
        <v>8.7887871085319702E-2</v>
      </c>
      <c r="P245" s="959">
        <f t="shared" si="205"/>
        <v>5.849613486425187E-2</v>
      </c>
      <c r="Q245" s="959">
        <f t="shared" si="205"/>
        <v>8.1402056188035754E-3</v>
      </c>
      <c r="R245" s="959">
        <f t="shared" si="205"/>
        <v>8.0703464857740936E-3</v>
      </c>
      <c r="S245" s="959">
        <f t="shared" si="205"/>
        <v>-2.888171712514731E-2</v>
      </c>
      <c r="T245" s="959">
        <f t="shared" si="205"/>
        <v>-1.738442386006378E-2</v>
      </c>
      <c r="U245" s="959">
        <f t="shared" ref="U245" si="206">U244/T244-1</f>
        <v>2.0771125059320328E-2</v>
      </c>
      <c r="V245" s="959">
        <f t="shared" ref="V245" si="207">V244/U244-1</f>
        <v>1.4485573606609625E-2</v>
      </c>
      <c r="W245" s="959">
        <f t="shared" ref="W245" si="208">W244/V244-1</f>
        <v>1.8975696311822388E-2</v>
      </c>
      <c r="X245" s="959">
        <f t="shared" ref="X245" si="209">X244/W244-1</f>
        <v>1.8984718940006085E-2</v>
      </c>
      <c r="Y245" s="959">
        <f t="shared" ref="Y245" si="210">Y244/X244-1</f>
        <v>1.8993671002583312E-2</v>
      </c>
      <c r="Z245" s="959">
        <f t="shared" ref="Z245" si="211">Z244/Y244-1</f>
        <v>1.4501276447383971E-2</v>
      </c>
      <c r="AA245" s="959">
        <f t="shared" ref="AA245" si="212">AA244/Z244-1</f>
        <v>1.0000000000000009E-2</v>
      </c>
      <c r="AB245" s="959">
        <f t="shared" ref="AB245" si="213">AB244/AA244-1</f>
        <v>7.7482553742593829E-3</v>
      </c>
      <c r="AC245" s="959">
        <f t="shared" ref="AC245" si="214">AC244/AB244-1</f>
        <v>5.4976201678635928E-3</v>
      </c>
      <c r="AD245" s="959">
        <f t="shared" ref="AD245" si="215">AD244/AC244-1</f>
        <v>5.4998483929364905E-3</v>
      </c>
    </row>
    <row r="246" spans="2:33">
      <c r="B246" s="685" t="s">
        <v>534</v>
      </c>
      <c r="D246" s="789"/>
      <c r="E246" s="789"/>
      <c r="F246" s="789"/>
      <c r="G246" s="789"/>
      <c r="H246" s="789"/>
      <c r="I246" s="814">
        <f>(I226+I228+I230+I232)/(H226+H228+H230+H232)-1</f>
        <v>0.13850940155384395</v>
      </c>
      <c r="J246" s="814">
        <f>(J226+J228+J230+J232)/(I226+I228+I230+I232)-1</f>
        <v>0.13938961933308369</v>
      </c>
      <c r="K246" s="789"/>
      <c r="L246" s="789"/>
      <c r="M246" s="789"/>
      <c r="N246" s="789"/>
      <c r="O246" s="789"/>
      <c r="P246" s="789"/>
      <c r="Q246" s="789"/>
      <c r="R246" s="789"/>
      <c r="S246" s="789"/>
      <c r="T246" s="789"/>
      <c r="U246" s="789"/>
      <c r="V246" s="789"/>
      <c r="W246" s="789"/>
      <c r="X246" s="789"/>
      <c r="Y246" s="789"/>
      <c r="Z246" s="789"/>
      <c r="AA246" s="789"/>
      <c r="AB246" s="789"/>
      <c r="AC246" s="789"/>
      <c r="AD246" s="789"/>
    </row>
    <row r="247" spans="2:33">
      <c r="D247" s="789"/>
      <c r="E247" s="789"/>
      <c r="F247" s="789"/>
      <c r="G247" s="789"/>
      <c r="H247" s="789"/>
      <c r="I247" s="814"/>
      <c r="J247" s="814"/>
      <c r="K247" s="789"/>
      <c r="L247" s="789"/>
      <c r="M247" s="789"/>
      <c r="N247" s="789"/>
      <c r="O247" s="789"/>
      <c r="P247" s="789"/>
      <c r="Q247" s="789"/>
      <c r="R247" s="789"/>
      <c r="S247" s="789"/>
      <c r="T247" s="789"/>
      <c r="U247" s="1817" cm="1">
        <f t="array" ref="U247">_xll.VAData("TV_US", "FY-"&amp;U1, "Revenue - Cable &amp; Telecom", "Consensus", "CD", "","","")</f>
        <v>47921.502565821531</v>
      </c>
      <c r="V247" s="1817" cm="1">
        <f t="array" ref="V247">_xll.VAData("TV_US", "FY-"&amp;V1, "Revenue - Cable &amp; Telecom", "Consensus", "CD", "","","")</f>
        <v>49537.434578479064</v>
      </c>
      <c r="W247" s="1817" cm="1">
        <f t="array" ref="W247">_xll.VAData("TV_US", "FY-"&amp;W1, "Revenue - Cable &amp; Telecom", "Consensus", "CD", "","","")</f>
        <v>51291.38656684343</v>
      </c>
      <c r="X247" s="1817" cm="1">
        <f t="array" ref="X247">_xll.VAData("TV_US", "FY-"&amp;X1, "Revenue - Cable &amp; Telecom", "Consensus", "CD", "","","")</f>
        <v>52966.325992678467</v>
      </c>
      <c r="Y247" s="1817" cm="1">
        <f t="array" ref="Y247">_xll.VAData("TV_US", "FY-"&amp;Y1, "Revenue - Cable &amp; Telecom", "Consensus", "CD", "","","")</f>
        <v>54642.5801356429</v>
      </c>
      <c r="Z247" s="1817" cm="1">
        <f t="array" ref="Z247">_xll.VAData("TV_US", "FY-"&amp;Z1, "Revenue - Cable &amp; Telecom", "Consensus", "CD", "","","")</f>
        <v>60501.103139033054</v>
      </c>
      <c r="AA247" s="795"/>
      <c r="AB247" s="795"/>
      <c r="AC247" s="795"/>
      <c r="AD247" s="795"/>
    </row>
    <row r="248" spans="2:33">
      <c r="D248" s="789"/>
      <c r="E248" s="789"/>
      <c r="F248" s="789"/>
      <c r="G248" s="789"/>
      <c r="H248" s="789"/>
      <c r="I248" s="814"/>
      <c r="J248" s="814"/>
      <c r="K248" s="789"/>
      <c r="L248" s="789"/>
      <c r="M248" s="789"/>
      <c r="N248" s="789"/>
      <c r="O248" s="789"/>
      <c r="P248" s="789"/>
      <c r="Q248" s="789"/>
      <c r="R248" s="789"/>
      <c r="S248" s="789"/>
      <c r="T248" s="789"/>
      <c r="U248" s="1818">
        <f t="shared" ref="U248:Z248" si="216">U244/U247-1</f>
        <v>-8.0362665025491831E-3</v>
      </c>
      <c r="V248" s="1818">
        <f t="shared" si="216"/>
        <v>-2.6494106439844844E-2</v>
      </c>
      <c r="W248" s="1818">
        <f t="shared" si="216"/>
        <v>-4.1942702977230795E-2</v>
      </c>
      <c r="X248" s="1818">
        <f t="shared" si="216"/>
        <v>-5.4625802714687532E-2</v>
      </c>
      <c r="Y248" s="1818">
        <f t="shared" si="216"/>
        <v>-6.6221473429753486E-2</v>
      </c>
      <c r="Z248" s="1818">
        <f t="shared" si="216"/>
        <v>-0.1444125909049504</v>
      </c>
      <c r="AA248" s="789"/>
      <c r="AB248" s="789"/>
      <c r="AC248" s="789"/>
      <c r="AD248" s="789"/>
    </row>
    <row r="249" spans="2:33">
      <c r="D249" s="789"/>
      <c r="E249" s="789"/>
      <c r="F249" s="789"/>
      <c r="G249" s="789"/>
      <c r="H249" s="789"/>
      <c r="I249" s="814"/>
      <c r="J249" s="814"/>
      <c r="K249" s="789"/>
      <c r="L249" s="789"/>
      <c r="M249" s="789"/>
      <c r="N249" s="789"/>
      <c r="O249" s="789"/>
      <c r="P249" s="789"/>
      <c r="Q249" s="789"/>
      <c r="R249" s="789"/>
      <c r="S249" s="789"/>
      <c r="T249" s="789"/>
      <c r="U249" s="789"/>
      <c r="V249" s="789"/>
      <c r="W249" s="789"/>
      <c r="X249" s="789"/>
      <c r="Y249" s="789"/>
      <c r="Z249" s="789"/>
      <c r="AA249" s="789"/>
      <c r="AB249" s="789"/>
      <c r="AC249" s="789"/>
      <c r="AD249" s="789"/>
    </row>
    <row r="250" spans="2:33">
      <c r="B250" s="924" t="s">
        <v>535</v>
      </c>
      <c r="D250" s="789"/>
      <c r="E250" s="789"/>
      <c r="F250" s="789"/>
      <c r="G250" s="789"/>
      <c r="H250" s="789"/>
      <c r="I250" s="814"/>
      <c r="J250" s="814"/>
      <c r="K250" s="795">
        <f>SUM(Interims!AF129:AI129)</f>
        <v>27517</v>
      </c>
      <c r="L250" s="795">
        <f>SUM(Interims!AK129:AN129)</f>
        <v>29067.9</v>
      </c>
      <c r="M250" s="795">
        <f>SUM(Interims!AP129:AS129)</f>
        <v>32279.800000000003</v>
      </c>
      <c r="N250" s="795">
        <f>N244-N252</f>
        <v>37152.104976126735</v>
      </c>
      <c r="O250" s="795">
        <f t="shared" ref="O250:T250" si="217">O244-O252</f>
        <v>40417.324388816829</v>
      </c>
      <c r="P250" s="795">
        <f t="shared" si="217"/>
        <v>42781.581647117273</v>
      </c>
      <c r="Q250" s="795">
        <f t="shared" si="217"/>
        <v>43129.832518422438</v>
      </c>
      <c r="R250" s="795">
        <f t="shared" si="217"/>
        <v>43477.905210719517</v>
      </c>
      <c r="S250" s="795">
        <f t="shared" si="217"/>
        <v>42222.188651229546</v>
      </c>
      <c r="T250" s="795">
        <f t="shared" si="217"/>
        <v>41488.180227416997</v>
      </c>
      <c r="U250" s="795">
        <f t="shared" ref="U250:AD250" si="218">U244-U252</f>
        <v>42349.936407404297</v>
      </c>
      <c r="V250" s="795">
        <f t="shared" si="218"/>
        <v>42963.399528468988</v>
      </c>
      <c r="W250" s="795">
        <f t="shared" si="218"/>
        <v>43778.659950444708</v>
      </c>
      <c r="X250" s="795">
        <f t="shared" si="218"/>
        <v>44609.785505174004</v>
      </c>
      <c r="Y250" s="795">
        <f t="shared" si="218"/>
        <v>45457.089094555093</v>
      </c>
      <c r="Z250" s="795">
        <f t="shared" si="218"/>
        <v>46116.274910008608</v>
      </c>
      <c r="AA250" s="795">
        <f t="shared" si="218"/>
        <v>46577.437659108691</v>
      </c>
      <c r="AB250" s="795">
        <f t="shared" si="218"/>
        <v>46938.331540770108</v>
      </c>
      <c r="AC250" s="795">
        <f t="shared" si="218"/>
        <v>47196.380658894515</v>
      </c>
      <c r="AD250" s="795">
        <f t="shared" si="218"/>
        <v>47455.95359721376</v>
      </c>
    </row>
    <row r="251" spans="2:33">
      <c r="B251" s="924" t="s">
        <v>192</v>
      </c>
      <c r="D251" s="789"/>
      <c r="E251" s="789"/>
      <c r="F251" s="789"/>
      <c r="G251" s="789"/>
      <c r="H251" s="789"/>
      <c r="I251" s="814"/>
      <c r="J251" s="814"/>
      <c r="K251" s="795"/>
      <c r="L251" s="814">
        <f>L250/K250-1</f>
        <v>5.6361521968237849E-2</v>
      </c>
      <c r="M251" s="814">
        <f t="shared" ref="M251:T251" si="219">M250/L250-1</f>
        <v>0.11049645829248078</v>
      </c>
      <c r="N251" s="814">
        <f t="shared" si="219"/>
        <v>0.15093975105566737</v>
      </c>
      <c r="O251" s="814">
        <f t="shared" si="219"/>
        <v>8.7887871085319702E-2</v>
      </c>
      <c r="P251" s="814">
        <f t="shared" si="219"/>
        <v>5.849613486425187E-2</v>
      </c>
      <c r="Q251" s="814">
        <f t="shared" si="219"/>
        <v>8.1402056188035754E-3</v>
      </c>
      <c r="R251" s="814">
        <f t="shared" si="219"/>
        <v>8.0703464857740936E-3</v>
      </c>
      <c r="S251" s="814">
        <f t="shared" si="219"/>
        <v>-2.888171712514731E-2</v>
      </c>
      <c r="T251" s="814">
        <f t="shared" si="219"/>
        <v>-1.738442386006378E-2</v>
      </c>
      <c r="U251" s="814">
        <f t="shared" ref="U251:AD251" si="220">U250/T250-1</f>
        <v>2.0771125059320328E-2</v>
      </c>
      <c r="V251" s="814">
        <f t="shared" si="220"/>
        <v>1.4485573606609625E-2</v>
      </c>
      <c r="W251" s="814">
        <f t="shared" si="220"/>
        <v>1.8975696311822388E-2</v>
      </c>
      <c r="X251" s="814">
        <f t="shared" si="220"/>
        <v>1.8984718940006085E-2</v>
      </c>
      <c r="Y251" s="814">
        <f t="shared" si="220"/>
        <v>1.8993671002583312E-2</v>
      </c>
      <c r="Z251" s="814">
        <f t="shared" si="220"/>
        <v>1.4501276447384193E-2</v>
      </c>
      <c r="AA251" s="814">
        <f t="shared" si="220"/>
        <v>1.0000000000000009E-2</v>
      </c>
      <c r="AB251" s="814">
        <f t="shared" si="220"/>
        <v>7.7482553742593829E-3</v>
      </c>
      <c r="AC251" s="814">
        <f t="shared" si="220"/>
        <v>5.4976201678635928E-3</v>
      </c>
      <c r="AD251" s="814">
        <f t="shared" si="220"/>
        <v>5.4998483929364905E-3</v>
      </c>
    </row>
    <row r="252" spans="2:33">
      <c r="B252" s="924" t="s">
        <v>536</v>
      </c>
      <c r="D252" s="789"/>
      <c r="E252" s="789"/>
      <c r="F252" s="789"/>
      <c r="G252" s="789"/>
      <c r="H252" s="789"/>
      <c r="I252" s="814"/>
      <c r="J252" s="814"/>
      <c r="K252" s="795">
        <f>K244-K250</f>
        <v>4374.5999999999985</v>
      </c>
      <c r="L252" s="795">
        <f>L244-L250</f>
        <v>3980.0999999999985</v>
      </c>
      <c r="M252" s="795">
        <f>M244-M250</f>
        <v>3953.1999999999971</v>
      </c>
      <c r="N252" s="795">
        <f>M252/M244*N244</f>
        <v>4549.8950238732614</v>
      </c>
      <c r="O252" s="795">
        <f t="shared" ref="O252:T252" si="221">N252/N244*O244</f>
        <v>4949.7756111831723</v>
      </c>
      <c r="P252" s="795">
        <f t="shared" si="221"/>
        <v>5239.3183528827285</v>
      </c>
      <c r="Q252" s="795">
        <f t="shared" si="221"/>
        <v>5281.9674815775643</v>
      </c>
      <c r="R252" s="795">
        <f t="shared" si="221"/>
        <v>5324.5947892804861</v>
      </c>
      <c r="S252" s="795">
        <f t="shared" si="221"/>
        <v>5170.8113487704541</v>
      </c>
      <c r="T252" s="795">
        <f t="shared" si="221"/>
        <v>5080.9197725830008</v>
      </c>
      <c r="U252" s="795">
        <f t="shared" ref="U252:AD252" si="222">T252/T244*U244</f>
        <v>5186.4561925956959</v>
      </c>
      <c r="V252" s="795">
        <f t="shared" si="222"/>
        <v>5261.584985530998</v>
      </c>
      <c r="W252" s="795">
        <f t="shared" si="222"/>
        <v>5361.4272243352789</v>
      </c>
      <c r="X252" s="795">
        <f t="shared" si="222"/>
        <v>5463.2124133065809</v>
      </c>
      <c r="Y252" s="795">
        <f t="shared" si="222"/>
        <v>5566.9788725021554</v>
      </c>
      <c r="Z252" s="795">
        <f t="shared" si="222"/>
        <v>5647.707172109056</v>
      </c>
      <c r="AA252" s="795">
        <f t="shared" si="222"/>
        <v>5704.1842438301464</v>
      </c>
      <c r="AB252" s="795">
        <f t="shared" si="222"/>
        <v>5748.3817200531685</v>
      </c>
      <c r="AC252" s="795">
        <f t="shared" si="222"/>
        <v>5779.9841393299121</v>
      </c>
      <c r="AD252" s="795">
        <f t="shared" si="222"/>
        <v>5811.7731758098034</v>
      </c>
    </row>
    <row r="253" spans="2:33">
      <c r="D253" s="789"/>
      <c r="E253" s="789"/>
      <c r="F253" s="789"/>
      <c r="G253" s="789"/>
      <c r="H253" s="789"/>
      <c r="I253" s="814"/>
      <c r="J253" s="814"/>
      <c r="K253" s="789"/>
      <c r="L253" s="789"/>
      <c r="M253" s="789"/>
      <c r="N253" s="789"/>
      <c r="O253" s="789"/>
      <c r="P253" s="789"/>
      <c r="Q253" s="789"/>
      <c r="R253" s="789"/>
      <c r="S253" s="789"/>
      <c r="T253" s="789"/>
      <c r="U253" s="789"/>
      <c r="V253" s="789"/>
      <c r="W253" s="789"/>
      <c r="X253" s="789"/>
      <c r="Y253" s="789"/>
      <c r="Z253" s="789"/>
      <c r="AA253" s="789"/>
      <c r="AB253" s="789"/>
      <c r="AC253" s="789"/>
      <c r="AD253" s="789"/>
    </row>
    <row r="254" spans="2:33">
      <c r="B254" s="817" t="s">
        <v>537</v>
      </c>
      <c r="D254" s="789"/>
      <c r="E254" s="789"/>
      <c r="F254" s="789"/>
      <c r="G254" s="789"/>
      <c r="H254" s="789"/>
      <c r="I254" s="818">
        <f>I149+I198+'SKY Mex'!K54</f>
        <v>7511</v>
      </c>
      <c r="J254" s="818">
        <f>J149+J198+'SKY Mex'!L54</f>
        <v>9020</v>
      </c>
      <c r="K254" s="818">
        <f>K149+K198+'SKY Mex'!M54</f>
        <v>9731</v>
      </c>
      <c r="L254" s="818">
        <f>L149+L198+'SKY Mex'!N54</f>
        <v>10103.952000000001</v>
      </c>
      <c r="M254" s="818">
        <f>M149+M198+'SKY Mex'!O54</f>
        <v>11841.508</v>
      </c>
      <c r="N254" s="818">
        <f>N149+N198+'SKY Mex'!P54</f>
        <v>12652.909</v>
      </c>
      <c r="O254" s="818">
        <f>O149+O198+'SKY Mex'!Q54</f>
        <v>14012.089</v>
      </c>
      <c r="P254" s="818">
        <f>P149+P198+'SKY Mex'!R54</f>
        <v>14432.827000000001</v>
      </c>
      <c r="Q254" s="818">
        <f>Q149+Q198+'SKY Mex'!S54</f>
        <v>15676.095000000001</v>
      </c>
      <c r="R254" s="818">
        <f>R149+R198+'SKY Mex'!T54</f>
        <v>15089.070000000002</v>
      </c>
      <c r="S254" s="818">
        <f>S149+S198+'SKY Mex'!U54</f>
        <v>14855.672999999999</v>
      </c>
      <c r="T254" s="818">
        <f>T149+T198+'SKY Mex'!V54</f>
        <v>14847.569</v>
      </c>
      <c r="U254" s="818">
        <f>U149+U198+'SKY Mex'!W54</f>
        <v>14787.569</v>
      </c>
      <c r="V254" s="818">
        <f>V149+V198+'SKY Mex'!X54</f>
        <v>14737.569</v>
      </c>
      <c r="W254" s="818">
        <f>W149+W198+'SKY Mex'!Y54</f>
        <v>14676.74055</v>
      </c>
      <c r="X254" s="818">
        <f>X149+X198+'SKY Mex'!Z54</f>
        <v>14629.2035225</v>
      </c>
      <c r="Y254" s="818">
        <f>Y149+Y198+'SKY Mex'!AA54</f>
        <v>14589.543346375</v>
      </c>
      <c r="Z254" s="818">
        <f>Z149+Z198+'SKY Mex'!AB54</f>
        <v>14557.366179056251</v>
      </c>
      <c r="AA254" s="818">
        <f>AA149+AA198+'SKY Mex'!AC54</f>
        <v>14532.297870103437</v>
      </c>
      <c r="AB254" s="818">
        <f>AB149+AB198+'SKY Mex'!AD54</f>
        <v>14513.982976598265</v>
      </c>
      <c r="AC254" s="818">
        <f>AC149+AC198+'SKY Mex'!AE54</f>
        <v>14502.083827768352</v>
      </c>
      <c r="AD254" s="818">
        <f>AD149+AD198+'SKY Mex'!AF54</f>
        <v>14496.279636379935</v>
      </c>
    </row>
    <row r="255" spans="2:33">
      <c r="B255" s="817" t="s">
        <v>538</v>
      </c>
      <c r="D255" s="789"/>
      <c r="E255" s="789"/>
      <c r="F255" s="789"/>
      <c r="G255" s="789"/>
      <c r="H255" s="789"/>
      <c r="I255" s="818"/>
      <c r="J255" s="818">
        <f>J254-I254</f>
        <v>1509</v>
      </c>
      <c r="K255" s="818">
        <f t="shared" ref="K255:T255" si="223">K254-J254</f>
        <v>711</v>
      </c>
      <c r="L255" s="818">
        <f t="shared" si="223"/>
        <v>372.95200000000114</v>
      </c>
      <c r="M255" s="818">
        <f t="shared" si="223"/>
        <v>1737.5559999999987</v>
      </c>
      <c r="N255" s="818">
        <f t="shared" si="223"/>
        <v>811.40099999999984</v>
      </c>
      <c r="O255" s="818">
        <f t="shared" si="223"/>
        <v>1359.1800000000003</v>
      </c>
      <c r="P255" s="818">
        <f t="shared" si="223"/>
        <v>420.73800000000119</v>
      </c>
      <c r="Q255" s="818">
        <f t="shared" si="223"/>
        <v>1243.268</v>
      </c>
      <c r="R255" s="818">
        <f t="shared" si="223"/>
        <v>-587.02499999999964</v>
      </c>
      <c r="S255" s="818">
        <f t="shared" si="223"/>
        <v>-233.39700000000266</v>
      </c>
      <c r="T255" s="818">
        <f t="shared" si="223"/>
        <v>-8.1039999999993597</v>
      </c>
      <c r="U255" s="818">
        <f t="shared" ref="U255:AD255" si="224">U254-T254</f>
        <v>-60</v>
      </c>
      <c r="V255" s="818">
        <f t="shared" si="224"/>
        <v>-50</v>
      </c>
      <c r="W255" s="818">
        <f t="shared" si="224"/>
        <v>-60.828449999999066</v>
      </c>
      <c r="X255" s="818">
        <f t="shared" si="224"/>
        <v>-47.537027500000477</v>
      </c>
      <c r="Y255" s="818">
        <f t="shared" si="224"/>
        <v>-39.660176125000362</v>
      </c>
      <c r="Z255" s="818">
        <f t="shared" si="224"/>
        <v>-32.177167318748616</v>
      </c>
      <c r="AA255" s="818">
        <f t="shared" si="224"/>
        <v>-25.068308952813823</v>
      </c>
      <c r="AB255" s="818">
        <f t="shared" si="224"/>
        <v>-18.314893505172222</v>
      </c>
      <c r="AC255" s="818">
        <f t="shared" si="224"/>
        <v>-11.899148829912519</v>
      </c>
      <c r="AD255" s="818">
        <f t="shared" si="224"/>
        <v>-5.8041913884171663</v>
      </c>
    </row>
    <row r="256" spans="2:33">
      <c r="B256" s="817" t="s">
        <v>539</v>
      </c>
      <c r="D256" s="789"/>
      <c r="E256" s="789"/>
      <c r="F256" s="789"/>
      <c r="G256" s="789"/>
      <c r="H256" s="789"/>
      <c r="I256" s="795"/>
      <c r="J256" s="818">
        <f t="shared" ref="J256:T256" si="225">J244/AVERAGE(I254,J254)/12*1000</f>
        <v>287.22097876716475</v>
      </c>
      <c r="K256" s="818">
        <f t="shared" si="225"/>
        <v>283.4657707144508</v>
      </c>
      <c r="L256" s="818">
        <f t="shared" si="225"/>
        <v>277.69162234423356</v>
      </c>
      <c r="M256" s="818">
        <f t="shared" si="225"/>
        <v>275.17460710932164</v>
      </c>
      <c r="N256" s="818">
        <f t="shared" si="225"/>
        <v>283.75173548051106</v>
      </c>
      <c r="O256" s="818">
        <f t="shared" si="225"/>
        <v>283.56211889959013</v>
      </c>
      <c r="P256" s="818">
        <f t="shared" si="225"/>
        <v>281.36779638700057</v>
      </c>
      <c r="Q256" s="818">
        <f t="shared" si="225"/>
        <v>267.98147516982954</v>
      </c>
      <c r="R256" s="818">
        <f t="shared" si="225"/>
        <v>264.38180975138602</v>
      </c>
      <c r="S256" s="818">
        <f t="shared" si="225"/>
        <v>263.78030138155913</v>
      </c>
      <c r="T256" s="818">
        <f t="shared" si="225"/>
        <v>261.30200422791108</v>
      </c>
      <c r="U256" s="818">
        <f t="shared" ref="U256:AD256" si="226">U244/AVERAGE(T254,U254)/12*1000</f>
        <v>267.34250739780589</v>
      </c>
      <c r="V256" s="818">
        <f t="shared" si="226"/>
        <v>272.22556653249171</v>
      </c>
      <c r="W256" s="818">
        <f t="shared" si="226"/>
        <v>278.43640236423636</v>
      </c>
      <c r="X256" s="818">
        <f t="shared" si="226"/>
        <v>284.77156826731664</v>
      </c>
      <c r="Y256" s="818">
        <f t="shared" si="226"/>
        <v>291.04640818466083</v>
      </c>
      <c r="Z256" s="818">
        <f t="shared" si="226"/>
        <v>295.99468648612969</v>
      </c>
      <c r="AA256" s="818">
        <f t="shared" si="226"/>
        <v>299.54294541746401</v>
      </c>
      <c r="AB256" s="818">
        <f t="shared" si="226"/>
        <v>302.31474119348411</v>
      </c>
      <c r="AC256" s="818">
        <f t="shared" si="226"/>
        <v>304.29327973937092</v>
      </c>
      <c r="AD256" s="818">
        <f t="shared" si="226"/>
        <v>306.15363770947715</v>
      </c>
    </row>
    <row r="257" spans="2:31">
      <c r="B257" s="817" t="s">
        <v>192</v>
      </c>
      <c r="D257" s="789"/>
      <c r="E257" s="789"/>
      <c r="F257" s="789"/>
      <c r="G257" s="789"/>
      <c r="H257" s="789"/>
      <c r="I257" s="814"/>
      <c r="J257" s="937"/>
      <c r="K257" s="959">
        <f>K256/J256-1</f>
        <v>-1.3074281930353426E-2</v>
      </c>
      <c r="L257" s="959">
        <f t="shared" ref="L257:T257" si="227">L256/K256-1</f>
        <v>-2.0369825801767827E-2</v>
      </c>
      <c r="M257" s="959">
        <f t="shared" si="227"/>
        <v>-9.0640661524594712E-3</v>
      </c>
      <c r="N257" s="959">
        <f t="shared" si="227"/>
        <v>3.1169766939221466E-2</v>
      </c>
      <c r="O257" s="959">
        <f t="shared" si="227"/>
        <v>-6.6824818040256417E-4</v>
      </c>
      <c r="P257" s="959">
        <f t="shared" si="227"/>
        <v>-7.738419084696524E-3</v>
      </c>
      <c r="Q257" s="959">
        <f t="shared" si="227"/>
        <v>-4.757588248926381E-2</v>
      </c>
      <c r="R257" s="959">
        <f t="shared" si="227"/>
        <v>-1.3432515871338757E-2</v>
      </c>
      <c r="S257" s="959">
        <f t="shared" si="227"/>
        <v>-2.2751503607321144E-3</v>
      </c>
      <c r="T257" s="959">
        <f t="shared" si="227"/>
        <v>-9.3953079159735386E-3</v>
      </c>
      <c r="U257" s="959">
        <f t="shared" ref="U257:AD257" si="228">U256/T256-1</f>
        <v>2.3116941593093188E-2</v>
      </c>
      <c r="V257" s="959">
        <f t="shared" si="228"/>
        <v>1.8265180431706662E-2</v>
      </c>
      <c r="W257" s="959">
        <f t="shared" si="228"/>
        <v>2.2815035012530016E-2</v>
      </c>
      <c r="X257" s="959">
        <f t="shared" si="228"/>
        <v>2.2752649615092047E-2</v>
      </c>
      <c r="Y257" s="959">
        <f t="shared" si="228"/>
        <v>2.2034643259940756E-2</v>
      </c>
      <c r="Z257" s="959">
        <f t="shared" si="228"/>
        <v>1.7001681389344991E-2</v>
      </c>
      <c r="AA257" s="959">
        <f t="shared" si="228"/>
        <v>1.198757644421633E-2</v>
      </c>
      <c r="AB257" s="959">
        <f t="shared" si="228"/>
        <v>9.2534169755096318E-3</v>
      </c>
      <c r="AC257" s="959">
        <f t="shared" si="228"/>
        <v>6.5446313933481548E-3</v>
      </c>
      <c r="AD257" s="959">
        <f t="shared" si="228"/>
        <v>6.1137004790234872E-3</v>
      </c>
    </row>
    <row r="261" spans="2:31">
      <c r="B261" s="743" t="s">
        <v>34</v>
      </c>
      <c r="C261" s="743"/>
      <c r="D261" s="743">
        <f t="shared" ref="D261:AD261" si="229">D1</f>
        <v>2009</v>
      </c>
      <c r="E261" s="743">
        <f t="shared" si="229"/>
        <v>2010</v>
      </c>
      <c r="F261" s="743">
        <f t="shared" si="229"/>
        <v>2011</v>
      </c>
      <c r="G261" s="743">
        <f t="shared" si="229"/>
        <v>2012</v>
      </c>
      <c r="H261" s="743">
        <f t="shared" si="229"/>
        <v>2013</v>
      </c>
      <c r="I261" s="743">
        <f t="shared" si="229"/>
        <v>2014</v>
      </c>
      <c r="J261" s="743">
        <f t="shared" si="229"/>
        <v>2015</v>
      </c>
      <c r="K261" s="743">
        <f t="shared" si="229"/>
        <v>2016</v>
      </c>
      <c r="L261" s="743">
        <f t="shared" si="229"/>
        <v>2017</v>
      </c>
      <c r="M261" s="743">
        <f t="shared" si="229"/>
        <v>2018</v>
      </c>
      <c r="N261" s="743">
        <f t="shared" si="229"/>
        <v>2019</v>
      </c>
      <c r="O261" s="743">
        <f t="shared" si="229"/>
        <v>2020</v>
      </c>
      <c r="P261" s="743">
        <f t="shared" si="229"/>
        <v>2021</v>
      </c>
      <c r="Q261" s="743">
        <f t="shared" si="229"/>
        <v>2022</v>
      </c>
      <c r="R261" s="743">
        <f t="shared" si="229"/>
        <v>2023</v>
      </c>
      <c r="S261" s="743">
        <f t="shared" si="229"/>
        <v>2024</v>
      </c>
      <c r="T261" s="743">
        <f t="shared" si="229"/>
        <v>2025</v>
      </c>
      <c r="U261" s="743">
        <f t="shared" si="229"/>
        <v>2026</v>
      </c>
      <c r="V261" s="743">
        <f t="shared" si="229"/>
        <v>2027</v>
      </c>
      <c r="W261" s="743">
        <f t="shared" si="229"/>
        <v>2028</v>
      </c>
      <c r="X261" s="743">
        <f t="shared" si="229"/>
        <v>2029</v>
      </c>
      <c r="Y261" s="743">
        <f t="shared" si="229"/>
        <v>2030</v>
      </c>
      <c r="Z261" s="743">
        <f t="shared" si="229"/>
        <v>2031</v>
      </c>
      <c r="AA261" s="743">
        <f t="shared" si="229"/>
        <v>2032</v>
      </c>
      <c r="AB261" s="743">
        <f t="shared" si="229"/>
        <v>2033</v>
      </c>
      <c r="AC261" s="743">
        <f t="shared" si="229"/>
        <v>2034</v>
      </c>
      <c r="AD261" s="743">
        <f t="shared" si="229"/>
        <v>2035</v>
      </c>
    </row>
    <row r="262" spans="2:31">
      <c r="B262" s="685" t="str">
        <f>B226</f>
        <v>Cablevision</v>
      </c>
      <c r="F262" s="795">
        <f>Interims!K340</f>
        <v>1697.2</v>
      </c>
      <c r="G262" s="795">
        <f>Interims!P340</f>
        <v>2033.8000000000002</v>
      </c>
      <c r="H262" s="795">
        <f>Interims!U340</f>
        <v>2266.1999999999998</v>
      </c>
      <c r="I262" s="795">
        <f>I275*I226</f>
        <v>2721.6552824999994</v>
      </c>
      <c r="J262" s="795">
        <f>J275*J226</f>
        <v>3016.7745299999997</v>
      </c>
      <c r="K262" s="795"/>
      <c r="L262" s="795"/>
      <c r="M262" s="795"/>
      <c r="N262" s="795"/>
      <c r="O262" s="795"/>
      <c r="P262" s="795"/>
      <c r="Q262" s="795"/>
      <c r="R262" s="795"/>
      <c r="S262" s="795"/>
      <c r="T262" s="795"/>
      <c r="U262" s="795"/>
      <c r="V262" s="795"/>
      <c r="W262" s="795"/>
      <c r="X262" s="795"/>
      <c r="Y262" s="795"/>
      <c r="Z262" s="795"/>
      <c r="AA262" s="795"/>
      <c r="AB262" s="795"/>
      <c r="AC262" s="795"/>
      <c r="AD262" s="795"/>
    </row>
    <row r="263" spans="2:31">
      <c r="B263" s="685" t="str">
        <f>B228</f>
        <v>Cablemas</v>
      </c>
      <c r="F263" s="795">
        <f>Interims!K341</f>
        <v>1806.1</v>
      </c>
      <c r="G263" s="795">
        <f>Interims!P341</f>
        <v>2007.6000000000001</v>
      </c>
      <c r="H263" s="795">
        <f>Interims!U341</f>
        <v>2108.9000000000005</v>
      </c>
      <c r="I263" s="795">
        <f>I228*I276</f>
        <v>2453.3442</v>
      </c>
      <c r="J263" s="795">
        <f>J228*J276</f>
        <v>3080.3099400000001</v>
      </c>
      <c r="K263" s="795"/>
      <c r="L263" s="795"/>
      <c r="M263" s="795"/>
      <c r="N263" s="795"/>
      <c r="O263" s="795"/>
      <c r="P263" s="795"/>
      <c r="Q263" s="795"/>
      <c r="R263" s="795"/>
      <c r="S263" s="795"/>
      <c r="T263" s="795"/>
      <c r="U263" s="795"/>
      <c r="V263" s="795"/>
      <c r="W263" s="795"/>
      <c r="X263" s="795"/>
      <c r="Y263" s="795"/>
      <c r="Z263" s="795"/>
      <c r="AA263" s="795"/>
      <c r="AB263" s="795"/>
      <c r="AC263" s="795"/>
      <c r="AD263" s="795"/>
    </row>
    <row r="264" spans="2:31">
      <c r="B264" s="685" t="str">
        <f>B230</f>
        <v>TVI</v>
      </c>
      <c r="F264" s="795">
        <f>Interims!K342</f>
        <v>926.2</v>
      </c>
      <c r="G264" s="795">
        <f>Interims!P342</f>
        <v>1065.5999999999999</v>
      </c>
      <c r="H264" s="795">
        <f>Interims!U342</f>
        <v>1177.5999999999999</v>
      </c>
      <c r="I264" s="795">
        <f>I277*I230</f>
        <v>1344.6619199999998</v>
      </c>
      <c r="J264" s="795">
        <f>J277*J230</f>
        <v>1586.7010655999995</v>
      </c>
      <c r="K264" s="795"/>
      <c r="L264" s="795"/>
      <c r="M264" s="795"/>
      <c r="N264" s="795"/>
      <c r="O264" s="795"/>
      <c r="P264" s="795"/>
      <c r="Q264" s="795"/>
      <c r="R264" s="795"/>
      <c r="S264" s="795"/>
      <c r="T264" s="795"/>
      <c r="U264" s="795"/>
      <c r="V264" s="795"/>
      <c r="W264" s="795"/>
      <c r="X264" s="795"/>
      <c r="Y264" s="795"/>
      <c r="Z264" s="795"/>
      <c r="AA264" s="795"/>
      <c r="AB264" s="795"/>
      <c r="AC264" s="795"/>
      <c r="AD264" s="795"/>
    </row>
    <row r="265" spans="2:31">
      <c r="B265" s="685" t="str">
        <f>B232</f>
        <v>Bestel</v>
      </c>
      <c r="F265" s="795">
        <f>Interims!K343</f>
        <v>573.4</v>
      </c>
      <c r="G265" s="795">
        <f>Interims!P343</f>
        <v>955.59999999999991</v>
      </c>
      <c r="H265" s="795">
        <f>Interims!U343</f>
        <v>820.7</v>
      </c>
      <c r="I265" s="795">
        <f>I269-I266-I262-I263-I264</f>
        <v>1137.5385974999992</v>
      </c>
      <c r="J265" s="795">
        <f>J278*J232</f>
        <v>1211.8914719999996</v>
      </c>
      <c r="K265" s="795"/>
      <c r="L265" s="795"/>
      <c r="M265" s="795"/>
      <c r="N265" s="795"/>
      <c r="O265" s="795"/>
      <c r="P265" s="795"/>
      <c r="Q265" s="795"/>
      <c r="R265" s="795"/>
      <c r="S265" s="795"/>
      <c r="T265" s="795"/>
      <c r="U265" s="795"/>
      <c r="V265" s="795"/>
      <c r="W265" s="795"/>
      <c r="X265" s="795"/>
      <c r="Y265" s="795"/>
      <c r="Z265" s="795"/>
      <c r="AA265" s="795"/>
      <c r="AB265" s="795"/>
      <c r="AC265" s="795"/>
      <c r="AD265" s="795"/>
    </row>
    <row r="266" spans="2:31">
      <c r="B266" s="685" t="str">
        <f>B234</f>
        <v>Cablecom</v>
      </c>
      <c r="F266" s="795"/>
      <c r="G266" s="795"/>
      <c r="H266" s="795"/>
      <c r="I266" s="966">
        <f>SUM(Interims!V344:Y344)</f>
        <v>588.1</v>
      </c>
      <c r="J266" s="795">
        <f>J279*J234</f>
        <v>1811.16</v>
      </c>
      <c r="K266" s="795"/>
      <c r="L266" s="795"/>
      <c r="M266" s="795"/>
      <c r="N266" s="795"/>
      <c r="O266" s="795"/>
      <c r="P266" s="795"/>
      <c r="Q266" s="795"/>
      <c r="R266" s="795"/>
      <c r="S266" s="795"/>
      <c r="T266" s="795"/>
      <c r="U266" s="795"/>
      <c r="V266" s="795"/>
      <c r="W266" s="795"/>
      <c r="X266" s="795"/>
      <c r="Y266" s="795"/>
      <c r="Z266" s="795"/>
      <c r="AA266" s="795"/>
      <c r="AB266" s="795"/>
      <c r="AC266" s="795"/>
      <c r="AD266" s="795"/>
    </row>
    <row r="267" spans="2:31">
      <c r="B267" s="685" t="str">
        <f>B236</f>
        <v>Cablevision Red</v>
      </c>
      <c r="F267" s="795"/>
      <c r="G267" s="795"/>
      <c r="H267" s="795"/>
      <c r="I267" s="795"/>
      <c r="J267" s="966">
        <v>1050</v>
      </c>
      <c r="K267" s="795"/>
      <c r="L267" s="795"/>
      <c r="M267" s="795"/>
      <c r="N267" s="795"/>
      <c r="O267" s="795"/>
      <c r="P267" s="795"/>
      <c r="Q267" s="795"/>
      <c r="R267" s="795"/>
      <c r="S267" s="795"/>
      <c r="T267" s="795"/>
      <c r="U267" s="795"/>
      <c r="V267" s="795"/>
      <c r="W267" s="795"/>
      <c r="X267" s="795"/>
      <c r="Y267" s="795"/>
      <c r="Z267" s="795"/>
      <c r="AA267" s="795"/>
      <c r="AB267" s="795"/>
      <c r="AC267" s="795"/>
      <c r="AD267" s="795"/>
    </row>
    <row r="268" spans="2:31">
      <c r="B268" s="743" t="s">
        <v>48</v>
      </c>
      <c r="C268" s="743"/>
      <c r="D268" s="743"/>
      <c r="E268" s="743"/>
      <c r="F268" s="833"/>
      <c r="G268" s="833"/>
      <c r="H268" s="833"/>
      <c r="I268" s="967">
        <f>Mobile!E29</f>
        <v>0</v>
      </c>
      <c r="J268" s="967">
        <f>Mobile!F29</f>
        <v>0</v>
      </c>
      <c r="K268" s="967">
        <f>Mobile!G29</f>
        <v>0</v>
      </c>
      <c r="L268" s="967">
        <f>Mobile!H29</f>
        <v>0</v>
      </c>
      <c r="M268" s="967">
        <f>Mobile!I29</f>
        <v>0</v>
      </c>
      <c r="N268" s="967">
        <f>Mobile!J29</f>
        <v>0</v>
      </c>
      <c r="O268" s="967">
        <f>Mobile!K29</f>
        <v>-6.7963500000000003</v>
      </c>
      <c r="P268" s="967">
        <f>Mobile!L29</f>
        <v>0</v>
      </c>
      <c r="Q268" s="967">
        <f>Mobile!M29</f>
        <v>35.644590000000008</v>
      </c>
      <c r="R268" s="967">
        <f>Mobile!N29</f>
        <v>49.32</v>
      </c>
      <c r="S268" s="967">
        <f>Mobile!O29</f>
        <v>57.777569999999997</v>
      </c>
      <c r="T268" s="967">
        <f>Mobile!P29</f>
        <v>88.814970000000017</v>
      </c>
      <c r="U268" s="967">
        <f>Mobile!Q29</f>
        <v>151.72740000000005</v>
      </c>
      <c r="V268" s="967">
        <f>Mobile!R29</f>
        <v>217.44000000000003</v>
      </c>
      <c r="W268" s="967">
        <f>Mobile!S29</f>
        <v>278.19</v>
      </c>
      <c r="X268" s="967">
        <f>Mobile!Z29</f>
        <v>658.44</v>
      </c>
      <c r="Y268" s="967">
        <f>Mobile!AA29</f>
        <v>0</v>
      </c>
      <c r="Z268" s="967">
        <f>Mobile!AB29</f>
        <v>0</v>
      </c>
      <c r="AA268" s="967">
        <f>Mobile!AC29</f>
        <v>0</v>
      </c>
      <c r="AB268" s="967">
        <f>Mobile!AD29</f>
        <v>0</v>
      </c>
      <c r="AC268" s="967">
        <f>Mobile!AE29</f>
        <v>0</v>
      </c>
      <c r="AD268" s="967">
        <f>Mobile!AF29</f>
        <v>0</v>
      </c>
    </row>
    <row r="269" spans="2:31">
      <c r="B269" s="685" t="s">
        <v>531</v>
      </c>
      <c r="F269" s="795">
        <f>SUM(F262:F268)</f>
        <v>5002.8999999999996</v>
      </c>
      <c r="G269" s="795">
        <f>SUM(G262:G268)</f>
        <v>6062.6</v>
      </c>
      <c r="H269" s="795">
        <f>SUM(H262:H268)</f>
        <v>6373.4000000000005</v>
      </c>
      <c r="I269" s="795">
        <f>I271-I270</f>
        <v>8245.2999999999993</v>
      </c>
      <c r="J269" s="795">
        <f>SUM(J262:J268)</f>
        <v>11756.837007599999</v>
      </c>
      <c r="K269" s="795"/>
      <c r="L269" s="795"/>
      <c r="M269" s="795"/>
      <c r="N269" s="795"/>
      <c r="O269" s="795"/>
      <c r="P269" s="795"/>
      <c r="Q269" s="795"/>
      <c r="R269" s="795"/>
      <c r="S269" s="795"/>
      <c r="T269" s="795"/>
      <c r="U269" s="795"/>
      <c r="V269" s="795"/>
      <c r="W269" s="795"/>
      <c r="X269" s="795"/>
      <c r="Y269" s="795"/>
      <c r="Z269" s="795"/>
      <c r="AA269" s="795"/>
      <c r="AB269" s="795"/>
      <c r="AC269" s="795"/>
      <c r="AD269" s="795"/>
    </row>
    <row r="270" spans="2:31">
      <c r="B270" s="685" t="s">
        <v>532</v>
      </c>
      <c r="F270" s="796">
        <f>F271-F269</f>
        <v>-223.89999999999964</v>
      </c>
      <c r="G270" s="796">
        <f>G271-G269</f>
        <v>-249.80000000000109</v>
      </c>
      <c r="H270" s="796">
        <f>H271-H269</f>
        <v>-241.60000000000036</v>
      </c>
      <c r="I270" s="934">
        <f>H270*1.5</f>
        <v>-362.40000000000055</v>
      </c>
      <c r="J270" s="796">
        <f>J271-J269</f>
        <v>-351.23700759999883</v>
      </c>
      <c r="K270" s="796"/>
      <c r="L270" s="796"/>
      <c r="M270" s="796"/>
      <c r="N270" s="796"/>
      <c r="O270" s="796"/>
      <c r="P270" s="796"/>
      <c r="Q270" s="796"/>
      <c r="R270" s="796"/>
      <c r="S270" s="796"/>
      <c r="T270" s="796"/>
      <c r="U270" s="796"/>
      <c r="V270" s="796"/>
      <c r="W270" s="796"/>
      <c r="X270" s="796"/>
      <c r="Y270" s="796"/>
      <c r="Z270" s="796"/>
      <c r="AA270" s="796"/>
      <c r="AB270" s="796"/>
      <c r="AC270" s="796"/>
      <c r="AD270" s="796"/>
      <c r="AE270" s="1822"/>
    </row>
    <row r="271" spans="2:31">
      <c r="B271" s="817" t="s">
        <v>533</v>
      </c>
      <c r="C271" s="817"/>
      <c r="D271" s="935">
        <f>Master!H56</f>
        <v>2972</v>
      </c>
      <c r="E271" s="935">
        <f>Master!I56</f>
        <v>3907</v>
      </c>
      <c r="F271" s="935">
        <f>Master!J56</f>
        <v>4779</v>
      </c>
      <c r="G271" s="935">
        <f>Master!K56</f>
        <v>5812.7999999999993</v>
      </c>
      <c r="H271" s="935">
        <f>Master!L56</f>
        <v>6131.8</v>
      </c>
      <c r="I271" s="935">
        <f>Master!M56</f>
        <v>7882.9</v>
      </c>
      <c r="J271" s="935">
        <f>Master!N56</f>
        <v>11405.6</v>
      </c>
      <c r="K271" s="935">
        <f>Master!O56</f>
        <v>13236.1</v>
      </c>
      <c r="L271" s="935">
        <f>Master!P56</f>
        <v>14035</v>
      </c>
      <c r="M271" s="935">
        <f>Master!Q56</f>
        <v>15303</v>
      </c>
      <c r="N271" s="935">
        <f>Master!R56</f>
        <v>17798</v>
      </c>
      <c r="O271" s="935">
        <f>Master!S56</f>
        <v>18898.3</v>
      </c>
      <c r="P271" s="935">
        <f>Master!T56</f>
        <v>20285</v>
      </c>
      <c r="Q271" s="935">
        <f>Master!U56</f>
        <v>19902.8</v>
      </c>
      <c r="R271" s="935">
        <f>Master!V56</f>
        <v>18727.5</v>
      </c>
      <c r="S271" s="935">
        <f>Master!W56</f>
        <v>18485.599999999999</v>
      </c>
      <c r="T271" s="818">
        <f t="shared" ref="T271:AD271" si="230">T282*T244</f>
        <v>18697.49365</v>
      </c>
      <c r="U271" s="818">
        <f t="shared" si="230"/>
        <v>19608.761947499996</v>
      </c>
      <c r="V271" s="818">
        <f t="shared" si="230"/>
        <v>20254.493495879993</v>
      </c>
      <c r="W271" s="818">
        <f t="shared" si="230"/>
        <v>20884.537049281495</v>
      </c>
      <c r="X271" s="818">
        <f t="shared" si="230"/>
        <v>21406.20661015045</v>
      </c>
      <c r="Y271" s="818">
        <f t="shared" si="230"/>
        <v>21940.349225834616</v>
      </c>
      <c r="Z271" s="818">
        <f t="shared" si="230"/>
        <v>22387.922250515887</v>
      </c>
      <c r="AA271" s="818">
        <f t="shared" si="230"/>
        <v>22742.505527778394</v>
      </c>
      <c r="AB271" s="818">
        <f t="shared" si="230"/>
        <v>23050.437051610184</v>
      </c>
      <c r="AC271" s="818">
        <f t="shared" si="230"/>
        <v>23309.600511218749</v>
      </c>
      <c r="AD271" s="818">
        <f t="shared" si="230"/>
        <v>23570.969097062927</v>
      </c>
      <c r="AE271" s="1823"/>
    </row>
    <row r="272" spans="2:31">
      <c r="B272" s="817" t="s">
        <v>192</v>
      </c>
      <c r="C272" s="817"/>
      <c r="D272" s="817"/>
      <c r="E272" s="928">
        <f t="shared" ref="E272:T272" si="231">E271/D271-1</f>
        <v>0.31460296096904439</v>
      </c>
      <c r="F272" s="928">
        <f t="shared" si="231"/>
        <v>0.22318914768364473</v>
      </c>
      <c r="G272" s="928">
        <f t="shared" si="231"/>
        <v>0.21632140615191453</v>
      </c>
      <c r="H272" s="928">
        <f t="shared" si="231"/>
        <v>5.4878887971373747E-2</v>
      </c>
      <c r="I272" s="928">
        <f t="shared" si="231"/>
        <v>0.28557682898985615</v>
      </c>
      <c r="J272" s="928">
        <f t="shared" si="231"/>
        <v>0.44687868677770881</v>
      </c>
      <c r="K272" s="928">
        <f t="shared" si="231"/>
        <v>0.16049133758855305</v>
      </c>
      <c r="L272" s="928">
        <f t="shared" si="231"/>
        <v>6.0357658222588206E-2</v>
      </c>
      <c r="M272" s="928">
        <f t="shared" si="231"/>
        <v>9.0345564659779054E-2</v>
      </c>
      <c r="N272" s="928">
        <f t="shared" si="231"/>
        <v>0.16303992681173618</v>
      </c>
      <c r="O272" s="928">
        <f t="shared" si="231"/>
        <v>6.1821552983481354E-2</v>
      </c>
      <c r="P272" s="928">
        <f t="shared" si="231"/>
        <v>7.3376970415328424E-2</v>
      </c>
      <c r="Q272" s="928">
        <f t="shared" si="231"/>
        <v>-1.8841508503820603E-2</v>
      </c>
      <c r="R272" s="928">
        <f t="shared" si="231"/>
        <v>-5.9051992684446386E-2</v>
      </c>
      <c r="S272" s="928">
        <f t="shared" si="231"/>
        <v>-1.2916833533573646E-2</v>
      </c>
      <c r="T272" s="928">
        <f t="shared" si="231"/>
        <v>1.1462633076557038E-2</v>
      </c>
      <c r="U272" s="928">
        <f t="shared" ref="U272:AD272" si="232">U271/T271-1</f>
        <v>4.8737457252726157E-2</v>
      </c>
      <c r="V272" s="928">
        <f t="shared" si="232"/>
        <v>3.2930765854002564E-2</v>
      </c>
      <c r="W272" s="928">
        <f t="shared" si="232"/>
        <v>3.1106359363153757E-2</v>
      </c>
      <c r="X272" s="928">
        <f t="shared" si="232"/>
        <v>2.4978746698476773E-2</v>
      </c>
      <c r="Y272" s="928">
        <f t="shared" si="232"/>
        <v>2.4952698318387867E-2</v>
      </c>
      <c r="Z272" s="928">
        <f t="shared" si="232"/>
        <v>2.0399539682543377E-2</v>
      </c>
      <c r="AA272" s="928">
        <f t="shared" si="232"/>
        <v>1.5838150289017472E-2</v>
      </c>
      <c r="AB272" s="928">
        <f t="shared" si="232"/>
        <v>1.3539912014341349E-2</v>
      </c>
      <c r="AC272" s="928">
        <f t="shared" si="232"/>
        <v>1.1243320854537053E-2</v>
      </c>
      <c r="AD272" s="928">
        <f t="shared" si="232"/>
        <v>1.1212915713350924E-2</v>
      </c>
    </row>
    <row r="274" spans="2:30">
      <c r="B274" s="743" t="s">
        <v>540</v>
      </c>
      <c r="C274" s="743"/>
      <c r="D274" s="743">
        <f t="shared" ref="D274:M274" si="233">D261</f>
        <v>2009</v>
      </c>
      <c r="E274" s="743">
        <f t="shared" si="233"/>
        <v>2010</v>
      </c>
      <c r="F274" s="743">
        <f t="shared" si="233"/>
        <v>2011</v>
      </c>
      <c r="G274" s="743">
        <f t="shared" si="233"/>
        <v>2012</v>
      </c>
      <c r="H274" s="743">
        <f t="shared" si="233"/>
        <v>2013</v>
      </c>
      <c r="I274" s="743">
        <f t="shared" si="233"/>
        <v>2014</v>
      </c>
      <c r="J274" s="743">
        <f t="shared" si="233"/>
        <v>2015</v>
      </c>
      <c r="K274" s="743">
        <f t="shared" si="233"/>
        <v>2016</v>
      </c>
      <c r="L274" s="743">
        <f t="shared" si="233"/>
        <v>2017</v>
      </c>
      <c r="M274" s="743">
        <f t="shared" si="233"/>
        <v>2018</v>
      </c>
      <c r="N274" s="743">
        <f t="shared" ref="N274:T274" si="234">N261</f>
        <v>2019</v>
      </c>
      <c r="O274" s="743">
        <f t="shared" si="234"/>
        <v>2020</v>
      </c>
      <c r="P274" s="743">
        <f t="shared" si="234"/>
        <v>2021</v>
      </c>
      <c r="Q274" s="743">
        <f t="shared" si="234"/>
        <v>2022</v>
      </c>
      <c r="R274" s="743">
        <f t="shared" si="234"/>
        <v>2023</v>
      </c>
      <c r="S274" s="743">
        <f t="shared" si="234"/>
        <v>2024</v>
      </c>
      <c r="T274" s="743">
        <f t="shared" si="234"/>
        <v>2025</v>
      </c>
      <c r="U274" s="743">
        <f t="shared" ref="U274:AD274" si="235">U261</f>
        <v>2026</v>
      </c>
      <c r="V274" s="743">
        <f t="shared" si="235"/>
        <v>2027</v>
      </c>
      <c r="W274" s="743">
        <f t="shared" si="235"/>
        <v>2028</v>
      </c>
      <c r="X274" s="743">
        <f t="shared" si="235"/>
        <v>2029</v>
      </c>
      <c r="Y274" s="743">
        <f t="shared" si="235"/>
        <v>2030</v>
      </c>
      <c r="Z274" s="743">
        <f t="shared" si="235"/>
        <v>2031</v>
      </c>
      <c r="AA274" s="743">
        <f t="shared" si="235"/>
        <v>2032</v>
      </c>
      <c r="AB274" s="743">
        <f t="shared" si="235"/>
        <v>2033</v>
      </c>
      <c r="AC274" s="743">
        <f t="shared" si="235"/>
        <v>2034</v>
      </c>
      <c r="AD274" s="743">
        <f t="shared" si="235"/>
        <v>2035</v>
      </c>
    </row>
    <row r="275" spans="2:30">
      <c r="B275" s="685" t="str">
        <f t="shared" ref="B275:B280" si="236">B262</f>
        <v>Cablevision</v>
      </c>
      <c r="F275" s="814">
        <f>F262/F226</f>
        <v>0.38648267067450021</v>
      </c>
      <c r="G275" s="814">
        <f>G262/G226</f>
        <v>0.40344369284481563</v>
      </c>
      <c r="H275" s="814">
        <f>H262/H226</f>
        <v>0.3991123791409098</v>
      </c>
      <c r="I275" s="933">
        <v>0.41499999999999998</v>
      </c>
      <c r="J275" s="933">
        <v>0.4</v>
      </c>
      <c r="K275" s="814"/>
      <c r="L275" s="814"/>
      <c r="M275" s="814"/>
      <c r="N275" s="814"/>
      <c r="O275" s="814"/>
      <c r="P275" s="814"/>
      <c r="Q275" s="814"/>
      <c r="R275" s="814"/>
      <c r="S275" s="814"/>
      <c r="T275" s="814"/>
      <c r="U275" s="814"/>
      <c r="V275" s="814"/>
      <c r="W275" s="814"/>
      <c r="X275" s="814"/>
      <c r="Y275" s="814"/>
      <c r="Z275" s="814"/>
      <c r="AA275" s="814"/>
      <c r="AB275" s="814"/>
      <c r="AC275" s="814"/>
      <c r="AD275" s="814"/>
    </row>
    <row r="276" spans="2:30">
      <c r="B276" s="685" t="str">
        <f t="shared" si="236"/>
        <v>Cablemas</v>
      </c>
      <c r="F276" s="814">
        <f>F263/F228</f>
        <v>0.38214633320638142</v>
      </c>
      <c r="G276" s="814">
        <f>G263/G228</f>
        <v>0.36906447046712137</v>
      </c>
      <c r="H276" s="814">
        <f>H263/H228</f>
        <v>0.34349702744523181</v>
      </c>
      <c r="I276" s="933">
        <v>0.36</v>
      </c>
      <c r="J276" s="933">
        <v>0.4</v>
      </c>
      <c r="K276" s="814"/>
      <c r="L276" s="814"/>
      <c r="M276" s="814"/>
      <c r="N276" s="814"/>
      <c r="O276" s="814"/>
      <c r="P276" s="814"/>
      <c r="Q276" s="814"/>
      <c r="R276" s="814"/>
      <c r="S276" s="814"/>
      <c r="T276" s="814"/>
      <c r="U276" s="814"/>
      <c r="V276" s="814"/>
      <c r="W276" s="814"/>
      <c r="X276" s="814"/>
      <c r="Y276" s="814"/>
      <c r="Z276" s="814"/>
      <c r="AA276" s="814"/>
      <c r="AB276" s="814"/>
      <c r="AC276" s="814"/>
      <c r="AD276" s="814"/>
    </row>
    <row r="277" spans="2:30">
      <c r="B277" s="685" t="str">
        <f t="shared" si="236"/>
        <v>TVI</v>
      </c>
      <c r="F277" s="814">
        <f>F264/F230</f>
        <v>0.42628986974731908</v>
      </c>
      <c r="G277" s="814">
        <f>G264/G230</f>
        <v>0.43061504889679147</v>
      </c>
      <c r="H277" s="814">
        <f>H264/H230</f>
        <v>0.43402624207577767</v>
      </c>
      <c r="I277" s="933">
        <v>0.42</v>
      </c>
      <c r="J277" s="933">
        <v>0.42</v>
      </c>
      <c r="K277" s="814"/>
      <c r="L277" s="814"/>
      <c r="M277" s="814"/>
      <c r="N277" s="814"/>
      <c r="O277" s="814"/>
      <c r="P277" s="814"/>
      <c r="Q277" s="814"/>
      <c r="R277" s="814"/>
      <c r="S277" s="795"/>
      <c r="T277" s="814"/>
      <c r="U277" s="814"/>
      <c r="V277" s="814"/>
      <c r="W277" s="814"/>
      <c r="X277" s="814"/>
      <c r="Y277" s="814"/>
      <c r="Z277" s="814"/>
      <c r="AA277" s="814"/>
      <c r="AB277" s="814"/>
      <c r="AC277" s="814"/>
      <c r="AD277" s="814"/>
    </row>
    <row r="278" spans="2:30">
      <c r="B278" s="685" t="str">
        <f t="shared" si="236"/>
        <v>Bestel</v>
      </c>
      <c r="F278" s="814">
        <f>F265/F232</f>
        <v>0.21026769343601026</v>
      </c>
      <c r="G278" s="814">
        <f>G265/G232</f>
        <v>0.31436278702546216</v>
      </c>
      <c r="H278" s="814">
        <f>H265/H232</f>
        <v>0.26895851084747985</v>
      </c>
      <c r="I278" s="814">
        <f>I265/I232</f>
        <v>0.33040383200254081</v>
      </c>
      <c r="J278" s="933">
        <v>0.32</v>
      </c>
      <c r="K278" s="814"/>
      <c r="L278" s="814"/>
      <c r="M278" s="814"/>
      <c r="N278" s="814"/>
      <c r="O278" s="814"/>
      <c r="P278" s="814"/>
      <c r="Q278" s="814"/>
      <c r="R278" s="814"/>
      <c r="S278" s="814"/>
      <c r="T278" s="814"/>
      <c r="U278" s="814"/>
      <c r="V278" s="814"/>
      <c r="W278" s="814"/>
      <c r="X278" s="814"/>
      <c r="Y278" s="814"/>
      <c r="Z278" s="814"/>
      <c r="AA278" s="814"/>
      <c r="AB278" s="814"/>
      <c r="AC278" s="814"/>
      <c r="AD278" s="814"/>
    </row>
    <row r="279" spans="2:30">
      <c r="B279" s="685" t="str">
        <f t="shared" si="236"/>
        <v>Cablecom</v>
      </c>
      <c r="F279" s="814"/>
      <c r="G279" s="814"/>
      <c r="H279" s="814"/>
      <c r="I279" s="933">
        <v>0.44</v>
      </c>
      <c r="J279" s="933">
        <v>0.43</v>
      </c>
      <c r="K279" s="814"/>
      <c r="L279" s="814"/>
      <c r="M279" s="814"/>
      <c r="N279" s="814"/>
      <c r="O279" s="814"/>
      <c r="P279" s="814"/>
      <c r="Q279" s="814"/>
      <c r="R279" s="814"/>
      <c r="S279" s="814"/>
      <c r="T279" s="814"/>
      <c r="U279" s="814"/>
      <c r="V279" s="814"/>
      <c r="W279" s="814"/>
      <c r="X279" s="814"/>
      <c r="Y279" s="814"/>
      <c r="Z279" s="814"/>
      <c r="AA279" s="814"/>
      <c r="AB279" s="814"/>
      <c r="AC279" s="814"/>
      <c r="AD279" s="814"/>
    </row>
    <row r="280" spans="2:30">
      <c r="B280" s="685" t="str">
        <f t="shared" si="236"/>
        <v>Cablevision Red</v>
      </c>
      <c r="F280" s="814"/>
      <c r="G280" s="814"/>
      <c r="H280" s="814"/>
      <c r="I280" s="814"/>
      <c r="J280" s="814">
        <f>J267/J236</f>
        <v>0.5</v>
      </c>
      <c r="K280" s="814"/>
      <c r="L280" s="814"/>
      <c r="M280" s="814"/>
      <c r="N280" s="814"/>
      <c r="O280" s="814"/>
      <c r="P280" s="814"/>
      <c r="Q280" s="814"/>
      <c r="R280" s="814"/>
      <c r="S280" s="814"/>
      <c r="T280" s="814"/>
      <c r="U280" s="814"/>
      <c r="V280" s="814"/>
      <c r="W280" s="814"/>
      <c r="X280" s="814"/>
      <c r="Y280" s="814"/>
      <c r="Z280" s="814"/>
      <c r="AA280" s="814"/>
      <c r="AB280" s="814"/>
      <c r="AC280" s="814"/>
      <c r="AD280" s="814"/>
    </row>
    <row r="281" spans="2:30">
      <c r="B281" s="743" t="s">
        <v>48</v>
      </c>
      <c r="C281" s="743"/>
      <c r="D281" s="743"/>
      <c r="E281" s="743"/>
      <c r="F281" s="958"/>
      <c r="G281" s="958"/>
      <c r="H281" s="958"/>
      <c r="I281" s="958"/>
      <c r="J281" s="958"/>
      <c r="K281" s="958"/>
      <c r="L281" s="958"/>
      <c r="M281" s="958"/>
      <c r="N281" s="958"/>
      <c r="O281" s="958"/>
      <c r="P281" s="958"/>
      <c r="Q281" s="958"/>
      <c r="R281" s="958"/>
      <c r="S281" s="958"/>
      <c r="T281" s="958">
        <f>Interims!FA34</f>
        <v>6.0831416189609966E-2</v>
      </c>
      <c r="U281" s="958"/>
      <c r="V281" s="958"/>
      <c r="W281" s="958"/>
      <c r="X281" s="958"/>
      <c r="Y281" s="958"/>
      <c r="Z281" s="958"/>
      <c r="AA281" s="958"/>
      <c r="AB281" s="958"/>
      <c r="AC281" s="958"/>
      <c r="AD281" s="958"/>
    </row>
    <row r="282" spans="2:30">
      <c r="B282" s="817" t="str">
        <f>B269</f>
        <v xml:space="preserve">Total cable </v>
      </c>
      <c r="C282" s="817"/>
      <c r="D282" s="817"/>
      <c r="E282" s="817"/>
      <c r="F282" s="959">
        <f t="shared" ref="F282:S282" si="237">F271/F244</f>
        <v>0.350484767590243</v>
      </c>
      <c r="G282" s="959">
        <f t="shared" si="237"/>
        <v>0.37332374248574213</v>
      </c>
      <c r="H282" s="959">
        <f t="shared" si="237"/>
        <v>0.35777300627815251</v>
      </c>
      <c r="I282" s="959">
        <f t="shared" si="237"/>
        <v>0.37650211107502435</v>
      </c>
      <c r="J282" s="959">
        <f t="shared" si="237"/>
        <v>0.40036084989276299</v>
      </c>
      <c r="K282" s="959">
        <f t="shared" si="237"/>
        <v>0.4150340528540431</v>
      </c>
      <c r="L282" s="959">
        <f t="shared" si="237"/>
        <v>0.42468530622125394</v>
      </c>
      <c r="M282" s="959">
        <f t="shared" si="237"/>
        <v>0.42234979162641789</v>
      </c>
      <c r="N282" s="959">
        <f t="shared" si="237"/>
        <v>0.42679008201045515</v>
      </c>
      <c r="O282" s="959">
        <f t="shared" si="237"/>
        <v>0.41656398579587411</v>
      </c>
      <c r="P282" s="959">
        <f t="shared" si="237"/>
        <v>0.4224202378547674</v>
      </c>
      <c r="Q282" s="959">
        <f t="shared" si="237"/>
        <v>0.41111464560293148</v>
      </c>
      <c r="R282" s="959">
        <f t="shared" si="237"/>
        <v>0.38374058706008912</v>
      </c>
      <c r="S282" s="959">
        <f t="shared" si="237"/>
        <v>0.39004916337855799</v>
      </c>
      <c r="T282" s="965">
        <v>0.40150000000000002</v>
      </c>
      <c r="U282" s="965">
        <v>0.41249999999999998</v>
      </c>
      <c r="V282" s="965">
        <f>U282+0.75%</f>
        <v>0.42</v>
      </c>
      <c r="W282" s="965">
        <f>V282+0.5%</f>
        <v>0.42499999999999999</v>
      </c>
      <c r="X282" s="965">
        <f t="shared" ref="X282:AD282" si="238">W282+0.25%</f>
        <v>0.42749999999999999</v>
      </c>
      <c r="Y282" s="965">
        <f t="shared" si="238"/>
        <v>0.43</v>
      </c>
      <c r="Z282" s="965">
        <f t="shared" si="238"/>
        <v>0.4325</v>
      </c>
      <c r="AA282" s="965">
        <f t="shared" si="238"/>
        <v>0.435</v>
      </c>
      <c r="AB282" s="965">
        <f t="shared" si="238"/>
        <v>0.4375</v>
      </c>
      <c r="AC282" s="965">
        <f t="shared" si="238"/>
        <v>0.44</v>
      </c>
      <c r="AD282" s="965">
        <f t="shared" si="238"/>
        <v>0.4425</v>
      </c>
    </row>
    <row r="283" spans="2:30">
      <c r="P283" s="814"/>
      <c r="Q283" s="814"/>
      <c r="R283" s="814"/>
      <c r="S283" s="814">
        <f>Master!W59</f>
        <v>0.37194958633749264</v>
      </c>
      <c r="T283" s="814">
        <f>Master!X59</f>
        <v>0.39100889633174929</v>
      </c>
      <c r="U283" s="814">
        <f>Master!Y59</f>
        <v>0.40500000000000003</v>
      </c>
      <c r="V283" s="814">
        <f>Master!Z59</f>
        <v>0.41199999999999998</v>
      </c>
      <c r="W283" s="814">
        <f>Master!AA59</f>
        <v>0.42</v>
      </c>
      <c r="X283" s="814">
        <f>Master!AB59</f>
        <v>0.42499999999999999</v>
      </c>
      <c r="Y283" s="814">
        <f>Master!AC59</f>
        <v>0.43</v>
      </c>
      <c r="Z283" s="814">
        <f>Master!AD59</f>
        <v>0.435</v>
      </c>
      <c r="AA283" s="814">
        <f>Master!AE59</f>
        <v>0.44</v>
      </c>
      <c r="AB283" s="814">
        <f>Master!AF59</f>
        <v>0.44500000000000001</v>
      </c>
      <c r="AC283" s="814">
        <f>Master!AG59</f>
        <v>0.45</v>
      </c>
      <c r="AD283" s="814">
        <f>Master!AH59</f>
        <v>0.45250000000000001</v>
      </c>
    </row>
    <row r="284" spans="2:30">
      <c r="B284" s="685" t="str">
        <f>B275</f>
        <v>Cablevision</v>
      </c>
      <c r="G284" s="795">
        <f>122*Master!K$7</f>
        <v>1605.52</v>
      </c>
    </row>
    <row r="285" spans="2:30">
      <c r="B285" s="685" t="str">
        <f>B276</f>
        <v>Cablemas</v>
      </c>
      <c r="G285" s="795">
        <f>219*Master!K$7</f>
        <v>2882.04</v>
      </c>
    </row>
    <row r="286" spans="2:30">
      <c r="B286" s="685" t="str">
        <f>B277</f>
        <v>TVI</v>
      </c>
      <c r="G286" s="795">
        <f>88*Master!K$7</f>
        <v>1158.08</v>
      </c>
    </row>
    <row r="287" spans="2:30">
      <c r="B287" s="685" t="str">
        <f>B278</f>
        <v>Bestel</v>
      </c>
      <c r="G287" s="795">
        <f>G289-G284-G285-G286</f>
        <v>342.16000000000076</v>
      </c>
    </row>
    <row r="288" spans="2:30">
      <c r="B288" s="743" t="str">
        <f>B279</f>
        <v>Cablecom</v>
      </c>
      <c r="C288" s="743"/>
      <c r="D288" s="743"/>
      <c r="E288" s="743"/>
      <c r="F288" s="743"/>
      <c r="G288" s="833"/>
      <c r="H288" s="743"/>
      <c r="I288" s="743"/>
      <c r="J288" s="743"/>
      <c r="K288" s="743"/>
      <c r="L288" s="743"/>
      <c r="M288" s="743"/>
      <c r="N288" s="743"/>
      <c r="O288" s="743"/>
      <c r="P288" s="743"/>
      <c r="Q288" s="743"/>
      <c r="R288" s="743"/>
      <c r="S288" s="743"/>
      <c r="T288" s="743"/>
      <c r="U288" s="743"/>
      <c r="V288" s="743"/>
      <c r="W288" s="743"/>
      <c r="X288" s="743"/>
      <c r="Y288" s="743"/>
      <c r="Z288" s="743"/>
      <c r="AA288" s="743"/>
      <c r="AB288" s="743"/>
      <c r="AC288" s="743"/>
      <c r="AD288" s="743"/>
    </row>
    <row r="289" spans="2:30">
      <c r="B289" s="685" t="s">
        <v>35</v>
      </c>
      <c r="F289" s="910">
        <f>Master!J84</f>
        <v>5050.6399999999994</v>
      </c>
      <c r="G289" s="910">
        <f>Master!K84</f>
        <v>5987.8</v>
      </c>
      <c r="H289" s="910">
        <f>Master!L84</f>
        <v>7654.7239999999993</v>
      </c>
      <c r="I289" s="910">
        <f>Master!M84</f>
        <v>9355.5990000000002</v>
      </c>
      <c r="J289" s="910">
        <f>Master!N84</f>
        <v>17095.164000000001</v>
      </c>
      <c r="K289" s="910">
        <f>Master!O84</f>
        <v>18552.170000000002</v>
      </c>
      <c r="L289" s="910">
        <f>Master!P84</f>
        <v>10578.33</v>
      </c>
      <c r="M289" s="910">
        <f>Master!Q84</f>
        <v>12801.25</v>
      </c>
      <c r="N289" s="910">
        <f>Master!R84</f>
        <v>12966.800000000001</v>
      </c>
      <c r="O289" s="910">
        <f>Master!S84</f>
        <v>14230.5</v>
      </c>
      <c r="P289" s="910">
        <f>Master!T84</f>
        <v>17333.977760915466</v>
      </c>
      <c r="Q289" s="910">
        <f>Master!U84</f>
        <v>12989.048999999999</v>
      </c>
      <c r="R289" s="910">
        <f>Master!V84</f>
        <v>11204.1</v>
      </c>
      <c r="S289" s="910">
        <f>Master!W84</f>
        <v>7305.36</v>
      </c>
      <c r="T289" s="795">
        <f t="shared" ref="T289:AD289" si="239">T299*(T244-T238)</f>
        <v>9686.3727999999992</v>
      </c>
      <c r="U289" s="795">
        <f t="shared" si="239"/>
        <v>12834.826001999998</v>
      </c>
      <c r="V289" s="795">
        <f>V299*(V244-V238)</f>
        <v>10127.246747939997</v>
      </c>
      <c r="W289" s="795">
        <f t="shared" si="239"/>
        <v>9828.0174349559984</v>
      </c>
      <c r="X289" s="795">
        <f t="shared" si="239"/>
        <v>9764.2345941037147</v>
      </c>
      <c r="Y289" s="795">
        <f t="shared" si="239"/>
        <v>9694.572913740878</v>
      </c>
      <c r="Z289" s="795">
        <f t="shared" si="239"/>
        <v>9576.3366851917672</v>
      </c>
      <c r="AA289" s="795">
        <f t="shared" si="239"/>
        <v>9410.6919425289907</v>
      </c>
      <c r="AB289" s="795">
        <f t="shared" si="239"/>
        <v>9220.1748206440734</v>
      </c>
      <c r="AC289" s="795">
        <f t="shared" si="239"/>
        <v>9270.8638396892748</v>
      </c>
      <c r="AD289" s="795">
        <f t="shared" si="239"/>
        <v>9321.8521852791218</v>
      </c>
    </row>
    <row r="290" spans="2:30">
      <c r="B290" s="743" t="s">
        <v>541</v>
      </c>
      <c r="C290" s="743"/>
      <c r="D290" s="743"/>
      <c r="E290" s="743"/>
      <c r="F290" s="833"/>
      <c r="G290" s="833"/>
      <c r="H290" s="833"/>
      <c r="I290" s="833"/>
      <c r="J290" s="833"/>
      <c r="K290" s="833"/>
      <c r="L290" s="833"/>
      <c r="M290" s="833"/>
      <c r="N290" s="833"/>
      <c r="O290" s="833"/>
      <c r="P290" s="833"/>
      <c r="Q290" s="833"/>
      <c r="R290" s="833"/>
      <c r="S290" s="833"/>
      <c r="T290" s="920"/>
      <c r="U290" s="920"/>
      <c r="V290" s="920"/>
      <c r="W290" s="920"/>
      <c r="X290" s="920"/>
      <c r="Y290" s="920"/>
      <c r="Z290" s="920"/>
      <c r="AA290" s="920"/>
      <c r="AB290" s="920"/>
      <c r="AC290" s="920"/>
      <c r="AD290" s="920"/>
    </row>
    <row r="291" spans="2:30">
      <c r="B291" s="817" t="s">
        <v>542</v>
      </c>
      <c r="C291" s="817"/>
      <c r="D291" s="817"/>
      <c r="E291" s="817"/>
      <c r="F291" s="818">
        <f>F289+F290</f>
        <v>5050.6399999999994</v>
      </c>
      <c r="G291" s="818">
        <f>G289+G290</f>
        <v>5987.8</v>
      </c>
      <c r="H291" s="818">
        <f>H289+H290</f>
        <v>7654.7239999999993</v>
      </c>
      <c r="I291" s="818">
        <f>I289+I290</f>
        <v>9355.5990000000002</v>
      </c>
      <c r="J291" s="818">
        <f>J289+J290</f>
        <v>17095.164000000001</v>
      </c>
      <c r="K291" s="818">
        <f t="shared" ref="K291:S291" si="240">K289+K290</f>
        <v>18552.170000000002</v>
      </c>
      <c r="L291" s="818">
        <f t="shared" si="240"/>
        <v>10578.33</v>
      </c>
      <c r="M291" s="818">
        <f>M289+M290</f>
        <v>12801.25</v>
      </c>
      <c r="N291" s="818">
        <f>N289+N290</f>
        <v>12966.800000000001</v>
      </c>
      <c r="O291" s="818">
        <f t="shared" si="240"/>
        <v>14230.5</v>
      </c>
      <c r="P291" s="818">
        <f t="shared" si="240"/>
        <v>17333.977760915466</v>
      </c>
      <c r="Q291" s="818">
        <f t="shared" si="240"/>
        <v>12989.048999999999</v>
      </c>
      <c r="R291" s="818">
        <f t="shared" si="240"/>
        <v>11204.1</v>
      </c>
      <c r="S291" s="818">
        <f t="shared" si="240"/>
        <v>7305.36</v>
      </c>
      <c r="T291" s="818">
        <f t="shared" ref="T291:Y291" si="241">T289+T290</f>
        <v>9686.3727999999992</v>
      </c>
      <c r="U291" s="818">
        <f t="shared" si="241"/>
        <v>12834.826001999998</v>
      </c>
      <c r="V291" s="818">
        <f t="shared" si="241"/>
        <v>10127.246747939997</v>
      </c>
      <c r="W291" s="818">
        <f t="shared" si="241"/>
        <v>9828.0174349559984</v>
      </c>
      <c r="X291" s="818">
        <f t="shared" si="241"/>
        <v>9764.2345941037147</v>
      </c>
      <c r="Y291" s="818">
        <f t="shared" si="241"/>
        <v>9694.572913740878</v>
      </c>
      <c r="Z291" s="818">
        <f>Z289+Z290</f>
        <v>9576.3366851917672</v>
      </c>
      <c r="AA291" s="818">
        <f>AA289+AA290</f>
        <v>9410.6919425289907</v>
      </c>
      <c r="AB291" s="818">
        <f>AB289+AB290</f>
        <v>9220.1748206440734</v>
      </c>
      <c r="AC291" s="818">
        <f>AC289+AC290</f>
        <v>9270.8638396892748</v>
      </c>
      <c r="AD291" s="818">
        <f>AD289+AD290</f>
        <v>9321.8521852791218</v>
      </c>
    </row>
    <row r="292" spans="2:30">
      <c r="B292" s="685" t="s">
        <v>543</v>
      </c>
      <c r="F292" s="795">
        <f>F291/Master!J7</f>
        <v>405.99999999999994</v>
      </c>
      <c r="G292" s="795">
        <f>G291/Master!K7</f>
        <v>455</v>
      </c>
      <c r="H292" s="795">
        <f>H291/Master!L7</f>
        <v>599.9</v>
      </c>
      <c r="I292" s="795">
        <f>I291/Master!M7</f>
        <v>702.9</v>
      </c>
      <c r="J292" s="795">
        <f>J291/Master!N7</f>
        <v>1077.2</v>
      </c>
      <c r="K292" s="795">
        <f>K291/Master!O7</f>
        <v>984.2</v>
      </c>
      <c r="L292" s="795">
        <f>L291/Master!P7</f>
        <v>559.70000000000005</v>
      </c>
      <c r="M292" s="795">
        <f>M291/Master!Q7</f>
        <v>665</v>
      </c>
      <c r="N292" s="795">
        <f>N291/Master!R7</f>
        <v>673.6</v>
      </c>
      <c r="O292" s="795">
        <f>O291/Master!S7</f>
        <v>662.5</v>
      </c>
      <c r="P292" s="795">
        <f>P291/Master!T7</f>
        <v>854.5</v>
      </c>
      <c r="Q292" s="795">
        <f>Q291/Master!U7</f>
        <v>645.9</v>
      </c>
      <c r="R292" s="795">
        <f>R291/Master!V7</f>
        <v>633</v>
      </c>
      <c r="S292" s="795">
        <f>S291/Master!W7</f>
        <v>399.2</v>
      </c>
      <c r="T292" s="795">
        <f>T291/Master!X7</f>
        <v>504.76147993746736</v>
      </c>
      <c r="U292" s="795">
        <f>U291/Master!Y7</f>
        <v>739.12041474229773</v>
      </c>
      <c r="V292" s="795">
        <f>V291/Master!Z7</f>
        <v>571.7635060347892</v>
      </c>
      <c r="W292" s="795">
        <f>W291/Master!AA7</f>
        <v>543.98983817692647</v>
      </c>
      <c r="X292" s="795">
        <f>X291/Master!AB7</f>
        <v>529.86215593324653</v>
      </c>
      <c r="Y292" s="795">
        <f>Y291/Master!AC7</f>
        <v>515.76659047739975</v>
      </c>
      <c r="Z292" s="795">
        <f>Z291/Master!AD7</f>
        <v>499.48650625296125</v>
      </c>
      <c r="AA292" s="795">
        <f>AA291/Master!AE7</f>
        <v>481.22229378266218</v>
      </c>
      <c r="AB292" s="795">
        <f>AB291/Master!AF7</f>
        <v>462.2353607089787</v>
      </c>
      <c r="AC292" s="795">
        <f>AC291/Master!AG7</f>
        <v>455.66328936305109</v>
      </c>
      <c r="AD292" s="795">
        <f>AD291/Master!AH7</f>
        <v>449.18565526742606</v>
      </c>
    </row>
    <row r="293" spans="2:30">
      <c r="F293" s="795"/>
      <c r="G293" s="795"/>
      <c r="H293" s="795"/>
      <c r="I293" s="795"/>
      <c r="J293" s="795"/>
      <c r="K293" s="789">
        <f>K292/J292-1</f>
        <v>-8.6334942443371698E-2</v>
      </c>
      <c r="L293" s="789">
        <f>L292/K292-1</f>
        <v>-0.43131477342003655</v>
      </c>
      <c r="M293" s="789">
        <f>M292/L292-1</f>
        <v>0.18813650169733775</v>
      </c>
      <c r="N293" s="795"/>
      <c r="O293" s="795"/>
      <c r="P293" s="795"/>
      <c r="Q293" s="795"/>
      <c r="R293" s="795"/>
      <c r="S293" s="795"/>
      <c r="T293" s="795"/>
      <c r="U293" s="795"/>
      <c r="V293" s="795"/>
      <c r="W293" s="795"/>
      <c r="X293" s="795"/>
      <c r="Y293" s="795"/>
      <c r="Z293" s="795"/>
      <c r="AA293" s="795"/>
      <c r="AB293" s="795"/>
      <c r="AC293" s="795"/>
      <c r="AD293" s="795"/>
    </row>
    <row r="294" spans="2:30">
      <c r="B294" s="685" t="str">
        <f>B284</f>
        <v>Cablevision</v>
      </c>
      <c r="F294" s="795"/>
      <c r="G294" s="789">
        <f>G284/G226</f>
        <v>0.3184860447124635</v>
      </c>
      <c r="H294" s="795"/>
      <c r="I294" s="795"/>
      <c r="J294" s="795"/>
      <c r="K294" s="789">
        <f>K291/J291-1</f>
        <v>8.5229132636575056E-2</v>
      </c>
      <c r="L294" s="789">
        <f>L291/K291-1</f>
        <v>-0.4298063245431667</v>
      </c>
      <c r="M294" s="789">
        <f>M291/L291-1</f>
        <v>0.21013902950654773</v>
      </c>
      <c r="N294" s="795"/>
      <c r="O294" s="795"/>
      <c r="P294" s="795"/>
      <c r="Q294" s="795"/>
      <c r="R294" s="795"/>
      <c r="S294" s="795"/>
      <c r="T294" s="795">
        <f>Master!X94</f>
        <v>645</v>
      </c>
      <c r="U294" s="795"/>
      <c r="V294" s="795"/>
      <c r="W294" s="795"/>
      <c r="X294" s="795"/>
      <c r="Y294" s="795"/>
      <c r="Z294" s="795"/>
      <c r="AA294" s="795"/>
      <c r="AB294" s="795"/>
      <c r="AC294" s="795"/>
      <c r="AD294" s="795"/>
    </row>
    <row r="295" spans="2:30">
      <c r="B295" s="685" t="str">
        <f>B285</f>
        <v>Cablemas</v>
      </c>
      <c r="F295" s="795"/>
      <c r="G295" s="789">
        <f>G285/G228</f>
        <v>0.52981598249903483</v>
      </c>
      <c r="H295" s="795"/>
      <c r="I295" s="795"/>
      <c r="J295" s="795"/>
      <c r="K295" s="795"/>
      <c r="L295" s="795"/>
      <c r="M295" s="795"/>
      <c r="N295" s="795"/>
      <c r="O295" s="795"/>
      <c r="P295" s="795"/>
      <c r="Q295" s="795"/>
      <c r="R295" s="795"/>
      <c r="S295" s="795"/>
      <c r="T295" s="795"/>
      <c r="U295" s="795"/>
      <c r="V295" s="795"/>
      <c r="W295" s="795"/>
      <c r="X295" s="795"/>
      <c r="Y295" s="795"/>
      <c r="Z295" s="795"/>
      <c r="AA295" s="795"/>
      <c r="AB295" s="795"/>
      <c r="AC295" s="795"/>
      <c r="AD295" s="795"/>
    </row>
    <row r="296" spans="2:30">
      <c r="B296" s="685" t="str">
        <f>B286</f>
        <v>TVI</v>
      </c>
      <c r="F296" s="795"/>
      <c r="G296" s="789">
        <f>G286/G230</f>
        <v>0.46798674533257906</v>
      </c>
      <c r="H296" s="795"/>
      <c r="I296" s="795"/>
      <c r="J296" s="795"/>
      <c r="K296" s="795"/>
      <c r="L296" s="795"/>
      <c r="M296" s="795"/>
      <c r="N296" s="795"/>
      <c r="O296" s="795"/>
      <c r="P296" s="795"/>
      <c r="Q296" s="795"/>
      <c r="R296" s="795"/>
      <c r="S296" s="795"/>
      <c r="T296" s="795"/>
      <c r="U296" s="795"/>
      <c r="V296" s="795"/>
      <c r="W296" s="795"/>
      <c r="X296" s="795"/>
      <c r="Y296" s="795"/>
      <c r="Z296" s="795"/>
      <c r="AA296" s="795"/>
      <c r="AB296" s="795"/>
      <c r="AC296" s="795"/>
      <c r="AD296" s="795"/>
    </row>
    <row r="297" spans="2:30">
      <c r="B297" s="685" t="str">
        <f>B287</f>
        <v>Bestel</v>
      </c>
      <c r="F297" s="795"/>
      <c r="G297" s="789">
        <f>G287/G232</f>
        <v>0.11256003684452949</v>
      </c>
      <c r="H297" s="795"/>
      <c r="I297" s="795"/>
      <c r="J297" s="795"/>
      <c r="K297" s="795"/>
      <c r="L297" s="795"/>
      <c r="M297" s="795"/>
      <c r="N297" s="795"/>
      <c r="O297" s="795"/>
      <c r="P297" s="795"/>
      <c r="Q297" s="795"/>
      <c r="R297" s="795"/>
      <c r="S297" s="795"/>
      <c r="T297" s="795"/>
      <c r="U297" s="795"/>
      <c r="V297" s="795"/>
      <c r="W297" s="795"/>
      <c r="X297" s="795"/>
      <c r="Y297" s="795"/>
      <c r="Z297" s="795"/>
      <c r="AA297" s="795"/>
      <c r="AB297" s="795"/>
      <c r="AC297" s="795"/>
      <c r="AD297" s="795"/>
    </row>
    <row r="298" spans="2:30">
      <c r="B298" s="743" t="str">
        <f>B288</f>
        <v>Cablecom</v>
      </c>
      <c r="C298" s="743"/>
      <c r="D298" s="743"/>
      <c r="E298" s="743"/>
      <c r="F298" s="833"/>
      <c r="G298" s="842"/>
      <c r="H298" s="833"/>
      <c r="I298" s="833"/>
      <c r="J298" s="833"/>
      <c r="K298" s="833"/>
      <c r="L298" s="833"/>
      <c r="M298" s="833"/>
      <c r="N298" s="833"/>
      <c r="O298" s="833"/>
      <c r="P298" s="833"/>
      <c r="Q298" s="833"/>
      <c r="R298" s="833"/>
      <c r="S298" s="833"/>
      <c r="T298" s="833"/>
      <c r="U298" s="833"/>
      <c r="V298" s="833"/>
      <c r="W298" s="833"/>
      <c r="X298" s="833"/>
      <c r="Y298" s="833"/>
      <c r="Z298" s="833"/>
      <c r="AA298" s="833"/>
      <c r="AB298" s="833"/>
      <c r="AC298" s="833"/>
      <c r="AD298" s="833"/>
    </row>
    <row r="299" spans="2:30">
      <c r="B299" s="817" t="s">
        <v>544</v>
      </c>
      <c r="C299" s="817"/>
      <c r="D299" s="817"/>
      <c r="E299" s="817"/>
      <c r="F299" s="928">
        <f t="shared" ref="F299:S299" si="242">F289/F244</f>
        <v>0.37040644205523848</v>
      </c>
      <c r="G299" s="928">
        <f t="shared" si="242"/>
        <v>0.38456301700662798</v>
      </c>
      <c r="H299" s="928">
        <f t="shared" si="242"/>
        <v>0.44663126940042475</v>
      </c>
      <c r="I299" s="928">
        <f t="shared" si="242"/>
        <v>0.44684098160212443</v>
      </c>
      <c r="J299" s="928">
        <f t="shared" si="242"/>
        <v>0.60007666305114737</v>
      </c>
      <c r="K299" s="928">
        <f t="shared" si="242"/>
        <v>0.58172590901679444</v>
      </c>
      <c r="L299" s="928">
        <f t="shared" si="242"/>
        <v>0.32008986928104577</v>
      </c>
      <c r="M299" s="928">
        <f t="shared" si="242"/>
        <v>0.35330361824855794</v>
      </c>
      <c r="N299" s="928">
        <f t="shared" si="242"/>
        <v>0.310939523284255</v>
      </c>
      <c r="O299" s="928">
        <f t="shared" si="242"/>
        <v>0.31367444690094803</v>
      </c>
      <c r="P299" s="928">
        <f t="shared" si="242"/>
        <v>0.36096736547868669</v>
      </c>
      <c r="Q299" s="928">
        <f t="shared" si="242"/>
        <v>0.26830336818709483</v>
      </c>
      <c r="R299" s="928">
        <f t="shared" si="242"/>
        <v>0.22958045182111572</v>
      </c>
      <c r="S299" s="928">
        <f t="shared" si="242"/>
        <v>0.1541442829109784</v>
      </c>
      <c r="T299" s="965">
        <v>0.20799999999999999</v>
      </c>
      <c r="U299" s="965">
        <v>0.27</v>
      </c>
      <c r="V299" s="965">
        <v>0.21</v>
      </c>
      <c r="W299" s="965">
        <v>0.2</v>
      </c>
      <c r="X299" s="965">
        <v>0.19500000000000001</v>
      </c>
      <c r="Y299" s="965">
        <v>0.19</v>
      </c>
      <c r="Z299" s="965">
        <v>0.185</v>
      </c>
      <c r="AA299" s="965">
        <v>0.18</v>
      </c>
      <c r="AB299" s="965">
        <v>0.17499999999999999</v>
      </c>
      <c r="AC299" s="965">
        <v>0.17499999999999999</v>
      </c>
      <c r="AD299" s="965">
        <v>0.17499999999999999</v>
      </c>
    </row>
    <row r="300" spans="2:30">
      <c r="B300" s="743" t="s">
        <v>545</v>
      </c>
      <c r="C300" s="743"/>
      <c r="D300" s="743"/>
      <c r="E300" s="743"/>
      <c r="F300" s="842"/>
      <c r="G300" s="842"/>
      <c r="H300" s="842"/>
      <c r="I300" s="842"/>
      <c r="J300" s="842"/>
      <c r="K300" s="842"/>
      <c r="L300" s="842"/>
      <c r="M300" s="842"/>
      <c r="N300" s="842"/>
      <c r="O300" s="842"/>
      <c r="P300" s="842"/>
      <c r="Q300" s="842"/>
      <c r="R300" s="842"/>
      <c r="S300" s="842"/>
      <c r="T300" s="842"/>
      <c r="U300" s="842"/>
      <c r="V300" s="842"/>
      <c r="W300" s="842"/>
      <c r="X300" s="842"/>
      <c r="Y300" s="842"/>
      <c r="Z300" s="842"/>
      <c r="AA300" s="842"/>
      <c r="AB300" s="842"/>
      <c r="AC300" s="842"/>
      <c r="AD300" s="842"/>
    </row>
    <row r="301" spans="2:30">
      <c r="B301" s="685" t="s">
        <v>546</v>
      </c>
      <c r="F301" s="789"/>
      <c r="G301" s="789"/>
      <c r="H301" s="789"/>
      <c r="I301" s="789">
        <f t="shared" ref="I301:AD301" si="243">I291/I244</f>
        <v>0.44684098160212443</v>
      </c>
      <c r="J301" s="789">
        <f t="shared" si="243"/>
        <v>0.60007666305114737</v>
      </c>
      <c r="K301" s="789">
        <f t="shared" si="243"/>
        <v>0.58172590901679444</v>
      </c>
      <c r="L301" s="789">
        <f t="shared" si="243"/>
        <v>0.32008986928104577</v>
      </c>
      <c r="M301" s="789">
        <f t="shared" si="243"/>
        <v>0.35330361824855794</v>
      </c>
      <c r="N301" s="789">
        <f t="shared" si="243"/>
        <v>0.310939523284255</v>
      </c>
      <c r="O301" s="789">
        <f t="shared" si="243"/>
        <v>0.31367444690094803</v>
      </c>
      <c r="P301" s="789">
        <f t="shared" si="243"/>
        <v>0.36096736547868669</v>
      </c>
      <c r="Q301" s="789">
        <f t="shared" si="243"/>
        <v>0.26830336818709483</v>
      </c>
      <c r="R301" s="789">
        <f t="shared" si="243"/>
        <v>0.22958045182111572</v>
      </c>
      <c r="S301" s="789">
        <f t="shared" si="243"/>
        <v>0.1541442829109784</v>
      </c>
      <c r="T301" s="789">
        <f t="shared" si="243"/>
        <v>0.20799999999999999</v>
      </c>
      <c r="U301" s="789">
        <f t="shared" si="243"/>
        <v>0.27</v>
      </c>
      <c r="V301" s="789">
        <f t="shared" si="243"/>
        <v>0.20999999999999996</v>
      </c>
      <c r="W301" s="789">
        <f t="shared" si="243"/>
        <v>0.2</v>
      </c>
      <c r="X301" s="789">
        <f t="shared" si="243"/>
        <v>0.19500000000000001</v>
      </c>
      <c r="Y301" s="789">
        <f t="shared" si="243"/>
        <v>0.19</v>
      </c>
      <c r="Z301" s="789">
        <f t="shared" si="243"/>
        <v>0.185</v>
      </c>
      <c r="AA301" s="789">
        <f t="shared" si="243"/>
        <v>0.18</v>
      </c>
      <c r="AB301" s="789">
        <f t="shared" si="243"/>
        <v>0.17499999999999999</v>
      </c>
      <c r="AC301" s="789">
        <f t="shared" si="243"/>
        <v>0.17499999999999999</v>
      </c>
      <c r="AD301" s="789">
        <f t="shared" si="243"/>
        <v>0.17499999999999996</v>
      </c>
    </row>
    <row r="303" spans="2:30">
      <c r="U303" s="750">
        <f>Master!Y88</f>
        <v>0.25013464885861597</v>
      </c>
    </row>
    <row r="305" spans="2:30">
      <c r="B305" s="685" t="s">
        <v>547</v>
      </c>
      <c r="F305" s="795">
        <f t="shared" ref="F305:T305" si="244">F271-F291</f>
        <v>-271.63999999999942</v>
      </c>
      <c r="G305" s="795">
        <f t="shared" si="244"/>
        <v>-175.00000000000091</v>
      </c>
      <c r="H305" s="795">
        <f t="shared" si="244"/>
        <v>-1522.9239999999991</v>
      </c>
      <c r="I305" s="795">
        <f t="shared" si="244"/>
        <v>-1472.6990000000005</v>
      </c>
      <c r="J305" s="795">
        <f t="shared" si="244"/>
        <v>-5689.5640000000003</v>
      </c>
      <c r="K305" s="795">
        <f t="shared" si="244"/>
        <v>-5316.0700000000015</v>
      </c>
      <c r="L305" s="795">
        <f t="shared" si="244"/>
        <v>3456.67</v>
      </c>
      <c r="M305" s="795">
        <f t="shared" si="244"/>
        <v>2501.75</v>
      </c>
      <c r="N305" s="795">
        <f t="shared" si="244"/>
        <v>4831.1999999999989</v>
      </c>
      <c r="O305" s="795">
        <f t="shared" si="244"/>
        <v>4667.7999999999993</v>
      </c>
      <c r="P305" s="795">
        <f t="shared" si="244"/>
        <v>2951.0222390845338</v>
      </c>
      <c r="Q305" s="795">
        <f t="shared" si="244"/>
        <v>6913.7510000000002</v>
      </c>
      <c r="R305" s="795">
        <f t="shared" si="244"/>
        <v>7523.4</v>
      </c>
      <c r="S305" s="795">
        <f t="shared" si="244"/>
        <v>11180.239999999998</v>
      </c>
      <c r="T305" s="795">
        <f t="shared" si="244"/>
        <v>9011.1208500000012</v>
      </c>
      <c r="U305" s="795">
        <f t="shared" ref="U305:AD305" si="245">U271-U291</f>
        <v>6773.9359454999976</v>
      </c>
      <c r="V305" s="795">
        <f t="shared" si="245"/>
        <v>10127.246747939997</v>
      </c>
      <c r="W305" s="795">
        <f t="shared" si="245"/>
        <v>11056.519614325496</v>
      </c>
      <c r="X305" s="795">
        <f t="shared" si="245"/>
        <v>11641.972016046735</v>
      </c>
      <c r="Y305" s="795">
        <f t="shared" si="245"/>
        <v>12245.776312093738</v>
      </c>
      <c r="Z305" s="795">
        <f t="shared" si="245"/>
        <v>12811.58556532412</v>
      </c>
      <c r="AA305" s="795">
        <f t="shared" si="245"/>
        <v>13331.813585249403</v>
      </c>
      <c r="AB305" s="795">
        <f t="shared" si="245"/>
        <v>13830.262230966111</v>
      </c>
      <c r="AC305" s="795">
        <f t="shared" si="245"/>
        <v>14038.736671529474</v>
      </c>
      <c r="AD305" s="795">
        <f t="shared" si="245"/>
        <v>14249.116911783805</v>
      </c>
    </row>
    <row r="306" spans="2:30">
      <c r="B306" s="685" t="s">
        <v>548</v>
      </c>
      <c r="F306" s="789">
        <f t="shared" ref="F306:AD306" si="246">F305/F244</f>
        <v>-1.992167446499548E-2</v>
      </c>
      <c r="G306" s="789">
        <f t="shared" si="246"/>
        <v>-1.1239274520885842E-2</v>
      </c>
      <c r="H306" s="789">
        <f t="shared" si="246"/>
        <v>-8.8858263122272227E-2</v>
      </c>
      <c r="I306" s="789">
        <f t="shared" si="246"/>
        <v>-7.0338870527100111E-2</v>
      </c>
      <c r="J306" s="789">
        <f t="shared" si="246"/>
        <v>-0.19971581315838433</v>
      </c>
      <c r="K306" s="789">
        <f t="shared" si="246"/>
        <v>-0.16669185616275137</v>
      </c>
      <c r="L306" s="789">
        <f t="shared" si="246"/>
        <v>0.10459543694020819</v>
      </c>
      <c r="M306" s="789">
        <f t="shared" si="246"/>
        <v>6.9046173377859968E-2</v>
      </c>
      <c r="N306" s="789">
        <f t="shared" si="246"/>
        <v>0.11585055872620016</v>
      </c>
      <c r="O306" s="789">
        <f t="shared" si="246"/>
        <v>0.10288953889492605</v>
      </c>
      <c r="P306" s="789">
        <f t="shared" si="246"/>
        <v>6.14528723760807E-2</v>
      </c>
      <c r="Q306" s="789">
        <f t="shared" si="246"/>
        <v>0.14281127741583663</v>
      </c>
      <c r="R306" s="789">
        <f t="shared" si="246"/>
        <v>0.1541601352389734</v>
      </c>
      <c r="S306" s="789">
        <f t="shared" si="246"/>
        <v>0.23590488046757957</v>
      </c>
      <c r="T306" s="789">
        <f t="shared" si="246"/>
        <v>0.19350000000000003</v>
      </c>
      <c r="U306" s="789">
        <f t="shared" si="246"/>
        <v>0.14249999999999999</v>
      </c>
      <c r="V306" s="789">
        <f t="shared" si="246"/>
        <v>0.20999999999999996</v>
      </c>
      <c r="W306" s="789">
        <f t="shared" si="246"/>
        <v>0.22499999999999998</v>
      </c>
      <c r="X306" s="789">
        <f t="shared" si="246"/>
        <v>0.23249999999999998</v>
      </c>
      <c r="Y306" s="789">
        <f t="shared" si="246"/>
        <v>0.23999999999999996</v>
      </c>
      <c r="Z306" s="789">
        <f t="shared" si="246"/>
        <v>0.24749999999999997</v>
      </c>
      <c r="AA306" s="789">
        <f t="shared" si="246"/>
        <v>0.255</v>
      </c>
      <c r="AB306" s="789">
        <f t="shared" si="246"/>
        <v>0.26250000000000001</v>
      </c>
      <c r="AC306" s="789">
        <f t="shared" si="246"/>
        <v>0.26500000000000001</v>
      </c>
      <c r="AD306" s="789">
        <f t="shared" si="246"/>
        <v>0.26750000000000007</v>
      </c>
    </row>
    <row r="308" spans="2:30">
      <c r="B308" s="685" t="s">
        <v>271</v>
      </c>
      <c r="F308" s="837">
        <f t="shared" ref="F308:M308" si="247">F310-F309</f>
        <v>70</v>
      </c>
      <c r="G308" s="837">
        <f t="shared" si="247"/>
        <v>802.52200000000073</v>
      </c>
      <c r="H308" s="837">
        <f t="shared" si="247"/>
        <v>2405.6397400000001</v>
      </c>
      <c r="I308" s="837">
        <f t="shared" si="247"/>
        <v>4636.9884199999997</v>
      </c>
      <c r="J308" s="837">
        <f t="shared" si="247"/>
        <v>10236.03548</v>
      </c>
      <c r="K308" s="837">
        <f t="shared" si="247"/>
        <v>15148.20218</v>
      </c>
      <c r="L308" s="837">
        <f t="shared" si="247"/>
        <v>15148.20218</v>
      </c>
      <c r="M308" s="837">
        <f t="shared" si="247"/>
        <v>15148.20218</v>
      </c>
      <c r="N308" s="837">
        <f t="shared" ref="N308:T308" si="248">N310-N309</f>
        <v>15148.20218</v>
      </c>
      <c r="O308" s="837">
        <f t="shared" si="248"/>
        <v>15148.20218</v>
      </c>
      <c r="P308" s="837">
        <f t="shared" si="248"/>
        <v>15148.20218</v>
      </c>
      <c r="Q308" s="837">
        <f t="shared" si="248"/>
        <v>15148.20218</v>
      </c>
      <c r="R308" s="837">
        <f t="shared" si="248"/>
        <v>15148.20218</v>
      </c>
      <c r="S308" s="837">
        <f t="shared" si="248"/>
        <v>15148.20218</v>
      </c>
      <c r="T308" s="837">
        <f t="shared" si="248"/>
        <v>15148.20218</v>
      </c>
      <c r="U308" s="837">
        <f t="shared" ref="U308:AD308" si="249">U310-U309</f>
        <v>15148.20218</v>
      </c>
      <c r="V308" s="837">
        <f t="shared" si="249"/>
        <v>15148.20218</v>
      </c>
      <c r="W308" s="837">
        <f t="shared" si="249"/>
        <v>15148.20218</v>
      </c>
      <c r="X308" s="837">
        <f t="shared" si="249"/>
        <v>15148.20218</v>
      </c>
      <c r="Y308" s="837">
        <f t="shared" si="249"/>
        <v>15148.20218</v>
      </c>
      <c r="Z308" s="837">
        <f t="shared" si="249"/>
        <v>15148.20218</v>
      </c>
      <c r="AA308" s="837">
        <f t="shared" si="249"/>
        <v>15148.20218</v>
      </c>
      <c r="AB308" s="837">
        <f t="shared" si="249"/>
        <v>15148.20218</v>
      </c>
      <c r="AC308" s="837">
        <f t="shared" si="249"/>
        <v>15148.20218</v>
      </c>
      <c r="AD308" s="837">
        <f t="shared" si="249"/>
        <v>15148.20218</v>
      </c>
    </row>
    <row r="309" spans="2:30">
      <c r="B309" s="743" t="s">
        <v>549</v>
      </c>
      <c r="C309" s="743"/>
      <c r="D309" s="743"/>
      <c r="E309" s="743"/>
      <c r="F309" s="841">
        <v>1200</v>
      </c>
      <c r="G309" s="841">
        <f t="shared" ref="G309:T309" si="250">F309+G321</f>
        <v>467.47799999999927</v>
      </c>
      <c r="H309" s="841">
        <f t="shared" si="250"/>
        <v>-1135.6397400000001</v>
      </c>
      <c r="I309" s="841">
        <f t="shared" si="250"/>
        <v>-3366.9884200000001</v>
      </c>
      <c r="J309" s="841">
        <f t="shared" si="250"/>
        <v>-8966.0354800000005</v>
      </c>
      <c r="K309" s="841">
        <f t="shared" si="250"/>
        <v>-13878.20218</v>
      </c>
      <c r="L309" s="841">
        <f t="shared" si="250"/>
        <v>-13878.20218</v>
      </c>
      <c r="M309" s="841">
        <f t="shared" si="250"/>
        <v>-13878.20218</v>
      </c>
      <c r="N309" s="841">
        <f t="shared" si="250"/>
        <v>-13878.20218</v>
      </c>
      <c r="O309" s="841">
        <f t="shared" si="250"/>
        <v>-13878.20218</v>
      </c>
      <c r="P309" s="841">
        <f t="shared" si="250"/>
        <v>-13878.20218</v>
      </c>
      <c r="Q309" s="841">
        <f t="shared" si="250"/>
        <v>-13878.20218</v>
      </c>
      <c r="R309" s="841">
        <f t="shared" si="250"/>
        <v>-13878.20218</v>
      </c>
      <c r="S309" s="841">
        <f t="shared" si="250"/>
        <v>-13878.20218</v>
      </c>
      <c r="T309" s="841">
        <f t="shared" si="250"/>
        <v>-13878.20218</v>
      </c>
      <c r="U309" s="841">
        <f t="shared" ref="U309:AD309" si="251">T309+U321</f>
        <v>-13878.20218</v>
      </c>
      <c r="V309" s="841">
        <f t="shared" si="251"/>
        <v>-13878.20218</v>
      </c>
      <c r="W309" s="841">
        <f t="shared" si="251"/>
        <v>-13878.20218</v>
      </c>
      <c r="X309" s="841">
        <f t="shared" si="251"/>
        <v>-13878.20218</v>
      </c>
      <c r="Y309" s="841">
        <f t="shared" si="251"/>
        <v>-13878.20218</v>
      </c>
      <c r="Z309" s="841">
        <f t="shared" si="251"/>
        <v>-13878.20218</v>
      </c>
      <c r="AA309" s="841">
        <f t="shared" si="251"/>
        <v>-13878.20218</v>
      </c>
      <c r="AB309" s="841">
        <f t="shared" si="251"/>
        <v>-13878.20218</v>
      </c>
      <c r="AC309" s="841">
        <f t="shared" si="251"/>
        <v>-13878.20218</v>
      </c>
      <c r="AD309" s="841">
        <f t="shared" si="251"/>
        <v>-13878.20218</v>
      </c>
    </row>
    <row r="310" spans="2:30">
      <c r="B310" s="685" t="s">
        <v>324</v>
      </c>
      <c r="F310" s="837">
        <v>1270</v>
      </c>
      <c r="G310" s="837">
        <f t="shared" ref="G310:T310" si="252">F310</f>
        <v>1270</v>
      </c>
      <c r="H310" s="837">
        <f t="shared" si="252"/>
        <v>1270</v>
      </c>
      <c r="I310" s="837">
        <f t="shared" si="252"/>
        <v>1270</v>
      </c>
      <c r="J310" s="837">
        <f t="shared" si="252"/>
        <v>1270</v>
      </c>
      <c r="K310" s="837">
        <f t="shared" si="252"/>
        <v>1270</v>
      </c>
      <c r="L310" s="837">
        <f t="shared" si="252"/>
        <v>1270</v>
      </c>
      <c r="M310" s="837">
        <f t="shared" si="252"/>
        <v>1270</v>
      </c>
      <c r="N310" s="837">
        <f t="shared" si="252"/>
        <v>1270</v>
      </c>
      <c r="O310" s="837">
        <f t="shared" si="252"/>
        <v>1270</v>
      </c>
      <c r="P310" s="837">
        <f t="shared" si="252"/>
        <v>1270</v>
      </c>
      <c r="Q310" s="837">
        <f t="shared" si="252"/>
        <v>1270</v>
      </c>
      <c r="R310" s="837">
        <f t="shared" si="252"/>
        <v>1270</v>
      </c>
      <c r="S310" s="837">
        <f t="shared" si="252"/>
        <v>1270</v>
      </c>
      <c r="T310" s="837">
        <f t="shared" si="252"/>
        <v>1270</v>
      </c>
      <c r="U310" s="837">
        <f t="shared" ref="U310:AD311" si="253">T310</f>
        <v>1270</v>
      </c>
      <c r="V310" s="837">
        <f t="shared" si="253"/>
        <v>1270</v>
      </c>
      <c r="W310" s="837">
        <f t="shared" si="253"/>
        <v>1270</v>
      </c>
      <c r="X310" s="837">
        <f t="shared" si="253"/>
        <v>1270</v>
      </c>
      <c r="Y310" s="837">
        <f t="shared" si="253"/>
        <v>1270</v>
      </c>
      <c r="Z310" s="837">
        <f t="shared" si="253"/>
        <v>1270</v>
      </c>
      <c r="AA310" s="837">
        <f t="shared" si="253"/>
        <v>1270</v>
      </c>
      <c r="AB310" s="837">
        <f t="shared" si="253"/>
        <v>1270</v>
      </c>
      <c r="AC310" s="837">
        <f t="shared" si="253"/>
        <v>1270</v>
      </c>
      <c r="AD310" s="837">
        <f t="shared" si="253"/>
        <v>1270</v>
      </c>
    </row>
    <row r="311" spans="2:30">
      <c r="B311" s="685" t="s">
        <v>550</v>
      </c>
      <c r="F311" s="814">
        <v>0.08</v>
      </c>
      <c r="G311" s="814">
        <v>0.08</v>
      </c>
      <c r="H311" s="814">
        <v>8.7499999999999994E-2</v>
      </c>
      <c r="I311" s="814">
        <f t="shared" ref="I311:T311" si="254">H311</f>
        <v>8.7499999999999994E-2</v>
      </c>
      <c r="J311" s="814">
        <f t="shared" si="254"/>
        <v>8.7499999999999994E-2</v>
      </c>
      <c r="K311" s="814">
        <f t="shared" si="254"/>
        <v>8.7499999999999994E-2</v>
      </c>
      <c r="L311" s="814">
        <f t="shared" si="254"/>
        <v>8.7499999999999994E-2</v>
      </c>
      <c r="M311" s="814">
        <f t="shared" si="254"/>
        <v>8.7499999999999994E-2</v>
      </c>
      <c r="N311" s="814">
        <f t="shared" si="254"/>
        <v>8.7499999999999994E-2</v>
      </c>
      <c r="O311" s="814">
        <f t="shared" si="254"/>
        <v>8.7499999999999994E-2</v>
      </c>
      <c r="P311" s="814">
        <f t="shared" si="254"/>
        <v>8.7499999999999994E-2</v>
      </c>
      <c r="Q311" s="814">
        <f t="shared" si="254"/>
        <v>8.7499999999999994E-2</v>
      </c>
      <c r="R311" s="814">
        <f t="shared" si="254"/>
        <v>8.7499999999999994E-2</v>
      </c>
      <c r="S311" s="814">
        <f t="shared" si="254"/>
        <v>8.7499999999999994E-2</v>
      </c>
      <c r="T311" s="814">
        <f t="shared" si="254"/>
        <v>8.7499999999999994E-2</v>
      </c>
      <c r="U311" s="814">
        <f t="shared" si="253"/>
        <v>8.7499999999999994E-2</v>
      </c>
      <c r="V311" s="814">
        <f t="shared" si="253"/>
        <v>8.7499999999999994E-2</v>
      </c>
      <c r="W311" s="814">
        <f t="shared" si="253"/>
        <v>8.7499999999999994E-2</v>
      </c>
      <c r="X311" s="814">
        <f t="shared" si="253"/>
        <v>8.7499999999999994E-2</v>
      </c>
      <c r="Y311" s="814">
        <f t="shared" si="253"/>
        <v>8.7499999999999994E-2</v>
      </c>
      <c r="Z311" s="814">
        <f t="shared" si="253"/>
        <v>8.7499999999999994E-2</v>
      </c>
      <c r="AA311" s="814">
        <f t="shared" si="253"/>
        <v>8.7499999999999994E-2</v>
      </c>
      <c r="AB311" s="814">
        <f t="shared" si="253"/>
        <v>8.7499999999999994E-2</v>
      </c>
      <c r="AC311" s="814">
        <f t="shared" si="253"/>
        <v>8.7499999999999994E-2</v>
      </c>
      <c r="AD311" s="814">
        <f t="shared" si="253"/>
        <v>8.7499999999999994E-2</v>
      </c>
    </row>
    <row r="312" spans="2:30">
      <c r="B312" s="685" t="s">
        <v>551</v>
      </c>
      <c r="F312" s="837">
        <f>G312</f>
        <v>101.60000000000001</v>
      </c>
      <c r="G312" s="837">
        <f t="shared" ref="G312:T312" si="255">G311*AVERAGE(F310:G310)</f>
        <v>101.60000000000001</v>
      </c>
      <c r="H312" s="837">
        <f t="shared" si="255"/>
        <v>111.125</v>
      </c>
      <c r="I312" s="837">
        <f t="shared" si="255"/>
        <v>111.125</v>
      </c>
      <c r="J312" s="837">
        <f t="shared" si="255"/>
        <v>111.125</v>
      </c>
      <c r="K312" s="837">
        <f t="shared" si="255"/>
        <v>111.125</v>
      </c>
      <c r="L312" s="837">
        <f t="shared" si="255"/>
        <v>111.125</v>
      </c>
      <c r="M312" s="837">
        <f t="shared" si="255"/>
        <v>111.125</v>
      </c>
      <c r="N312" s="837">
        <f t="shared" si="255"/>
        <v>111.125</v>
      </c>
      <c r="O312" s="837">
        <f t="shared" si="255"/>
        <v>111.125</v>
      </c>
      <c r="P312" s="837">
        <f t="shared" si="255"/>
        <v>111.125</v>
      </c>
      <c r="Q312" s="837">
        <f t="shared" si="255"/>
        <v>111.125</v>
      </c>
      <c r="R312" s="837">
        <f t="shared" si="255"/>
        <v>111.125</v>
      </c>
      <c r="S312" s="837">
        <f t="shared" si="255"/>
        <v>111.125</v>
      </c>
      <c r="T312" s="837">
        <f t="shared" si="255"/>
        <v>111.125</v>
      </c>
      <c r="U312" s="837">
        <f t="shared" ref="U312:AD312" si="256">U311*AVERAGE(T310:U310)</f>
        <v>111.125</v>
      </c>
      <c r="V312" s="837">
        <f t="shared" si="256"/>
        <v>111.125</v>
      </c>
      <c r="W312" s="837">
        <f t="shared" si="256"/>
        <v>111.125</v>
      </c>
      <c r="X312" s="837">
        <f t="shared" si="256"/>
        <v>111.125</v>
      </c>
      <c r="Y312" s="837">
        <f t="shared" si="256"/>
        <v>111.125</v>
      </c>
      <c r="Z312" s="837">
        <f t="shared" si="256"/>
        <v>111.125</v>
      </c>
      <c r="AA312" s="837">
        <f t="shared" si="256"/>
        <v>111.125</v>
      </c>
      <c r="AB312" s="837">
        <f t="shared" si="256"/>
        <v>111.125</v>
      </c>
      <c r="AC312" s="837">
        <f t="shared" si="256"/>
        <v>111.125</v>
      </c>
      <c r="AD312" s="837">
        <f t="shared" si="256"/>
        <v>111.125</v>
      </c>
    </row>
    <row r="314" spans="2:30">
      <c r="B314" s="685" t="s">
        <v>552</v>
      </c>
      <c r="F314" s="795">
        <f>F289*0.5</f>
        <v>2525.3199999999997</v>
      </c>
      <c r="G314" s="795">
        <f>G289*0.7</f>
        <v>4191.46</v>
      </c>
      <c r="H314" s="795">
        <f>H289*0.8</f>
        <v>6123.7791999999999</v>
      </c>
      <c r="I314" s="910">
        <f>I289*0.6</f>
        <v>5613.3594000000003</v>
      </c>
      <c r="J314" s="910">
        <f>J289*0.7</f>
        <v>11966.614799999999</v>
      </c>
      <c r="K314" s="910">
        <f>K289*0.8</f>
        <v>14841.736000000003</v>
      </c>
      <c r="L314" s="910">
        <f>L289*0.9</f>
        <v>9520.4969999999994</v>
      </c>
      <c r="M314" s="910">
        <f>M289*0.9</f>
        <v>11521.125</v>
      </c>
      <c r="N314" s="910">
        <f>N289*0.9</f>
        <v>11670.12</v>
      </c>
      <c r="O314" s="910">
        <f>O289*0.95</f>
        <v>13518.974999999999</v>
      </c>
      <c r="P314" s="910">
        <f t="shared" ref="P314:Y314" si="257">P289*1</f>
        <v>17333.977760915466</v>
      </c>
      <c r="Q314" s="910">
        <f t="shared" si="257"/>
        <v>12989.048999999999</v>
      </c>
      <c r="R314" s="910">
        <f t="shared" si="257"/>
        <v>11204.1</v>
      </c>
      <c r="S314" s="910">
        <f t="shared" si="257"/>
        <v>7305.36</v>
      </c>
      <c r="T314" s="910">
        <f t="shared" si="257"/>
        <v>9686.3727999999992</v>
      </c>
      <c r="U314" s="910">
        <f t="shared" si="257"/>
        <v>12834.826001999998</v>
      </c>
      <c r="V314" s="910">
        <f t="shared" si="257"/>
        <v>10127.246747939997</v>
      </c>
      <c r="W314" s="910">
        <f t="shared" si="257"/>
        <v>9828.0174349559984</v>
      </c>
      <c r="X314" s="910">
        <f t="shared" si="257"/>
        <v>9764.2345941037147</v>
      </c>
      <c r="Y314" s="910">
        <f t="shared" si="257"/>
        <v>9694.572913740878</v>
      </c>
      <c r="Z314" s="910">
        <f>Z289*1</f>
        <v>9576.3366851917672</v>
      </c>
      <c r="AA314" s="910">
        <f>AA289*1</f>
        <v>9410.6919425289907</v>
      </c>
      <c r="AB314" s="910">
        <f>AB289*1</f>
        <v>9220.1748206440734</v>
      </c>
      <c r="AC314" s="910">
        <f>AC289*1</f>
        <v>9270.8638396892748</v>
      </c>
      <c r="AD314" s="910">
        <f>AD289*1</f>
        <v>9321.8521852791218</v>
      </c>
    </row>
    <row r="315" spans="2:30">
      <c r="B315" s="685" t="s">
        <v>238</v>
      </c>
      <c r="F315" s="795">
        <f t="shared" ref="F315:M315" si="258">F271-F314</f>
        <v>2253.6800000000003</v>
      </c>
      <c r="G315" s="795">
        <f t="shared" si="258"/>
        <v>1621.3399999999992</v>
      </c>
      <c r="H315" s="795">
        <f t="shared" si="258"/>
        <v>8.0208000000002357</v>
      </c>
      <c r="I315" s="795">
        <f t="shared" si="258"/>
        <v>2269.5405999999994</v>
      </c>
      <c r="J315" s="795">
        <f t="shared" si="258"/>
        <v>-561.01479999999901</v>
      </c>
      <c r="K315" s="795">
        <f t="shared" si="258"/>
        <v>-1605.6360000000022</v>
      </c>
      <c r="L315" s="795">
        <f t="shared" si="258"/>
        <v>4514.5030000000006</v>
      </c>
      <c r="M315" s="795">
        <f t="shared" si="258"/>
        <v>3781.875</v>
      </c>
      <c r="N315" s="795">
        <f t="shared" ref="N315:T315" si="259">N271-N314</f>
        <v>6127.8799999999992</v>
      </c>
      <c r="O315" s="795">
        <f t="shared" si="259"/>
        <v>5379.3250000000007</v>
      </c>
      <c r="P315" s="795">
        <f t="shared" si="259"/>
        <v>2951.0222390845338</v>
      </c>
      <c r="Q315" s="795">
        <f t="shared" si="259"/>
        <v>6913.7510000000002</v>
      </c>
      <c r="R315" s="795">
        <f t="shared" si="259"/>
        <v>7523.4</v>
      </c>
      <c r="S315" s="795">
        <f>S271-S314</f>
        <v>11180.239999999998</v>
      </c>
      <c r="T315" s="795">
        <f t="shared" si="259"/>
        <v>9011.1208500000012</v>
      </c>
      <c r="U315" s="795">
        <f t="shared" ref="U315:AD315" si="260">U271-U314</f>
        <v>6773.9359454999976</v>
      </c>
      <c r="V315" s="795">
        <f t="shared" si="260"/>
        <v>10127.246747939997</v>
      </c>
      <c r="W315" s="795">
        <f t="shared" si="260"/>
        <v>11056.519614325496</v>
      </c>
      <c r="X315" s="795">
        <f t="shared" si="260"/>
        <v>11641.972016046735</v>
      </c>
      <c r="Y315" s="795">
        <f t="shared" si="260"/>
        <v>12245.776312093738</v>
      </c>
      <c r="Z315" s="795">
        <f t="shared" si="260"/>
        <v>12811.58556532412</v>
      </c>
      <c r="AA315" s="795">
        <f t="shared" si="260"/>
        <v>13331.813585249403</v>
      </c>
      <c r="AB315" s="795">
        <f t="shared" si="260"/>
        <v>13830.262230966111</v>
      </c>
      <c r="AC315" s="795">
        <f t="shared" si="260"/>
        <v>14038.736671529474</v>
      </c>
      <c r="AD315" s="795">
        <f t="shared" si="260"/>
        <v>14249.116911783805</v>
      </c>
    </row>
    <row r="317" spans="2:30">
      <c r="B317" s="685" t="s">
        <v>553</v>
      </c>
      <c r="F317" s="837">
        <f t="shared" ref="F317:M317" si="261">F315-F312</f>
        <v>2152.0800000000004</v>
      </c>
      <c r="G317" s="837">
        <f t="shared" si="261"/>
        <v>1519.7399999999993</v>
      </c>
      <c r="H317" s="837">
        <f t="shared" si="261"/>
        <v>-103.10419999999976</v>
      </c>
      <c r="I317" s="837">
        <f t="shared" si="261"/>
        <v>2158.4155999999994</v>
      </c>
      <c r="J317" s="837">
        <f t="shared" si="261"/>
        <v>-672.13979999999901</v>
      </c>
      <c r="K317" s="837">
        <f t="shared" si="261"/>
        <v>-1716.7610000000022</v>
      </c>
      <c r="L317" s="837">
        <f t="shared" si="261"/>
        <v>4403.3780000000006</v>
      </c>
      <c r="M317" s="837">
        <f t="shared" si="261"/>
        <v>3670.75</v>
      </c>
      <c r="N317" s="837">
        <f t="shared" ref="N317:T317" si="262">N315-N312</f>
        <v>6016.7549999999992</v>
      </c>
      <c r="O317" s="837">
        <f t="shared" si="262"/>
        <v>5268.2000000000007</v>
      </c>
      <c r="P317" s="837">
        <f t="shared" si="262"/>
        <v>2839.8972390845338</v>
      </c>
      <c r="Q317" s="837">
        <f t="shared" si="262"/>
        <v>6802.6260000000002</v>
      </c>
      <c r="R317" s="837">
        <f t="shared" si="262"/>
        <v>7412.2749999999996</v>
      </c>
      <c r="S317" s="837">
        <f t="shared" si="262"/>
        <v>11069.114999999998</v>
      </c>
      <c r="T317" s="837">
        <f t="shared" si="262"/>
        <v>8899.9958500000012</v>
      </c>
      <c r="U317" s="837">
        <f t="shared" ref="U317:AD317" si="263">U315-U312</f>
        <v>6662.8109454999976</v>
      </c>
      <c r="V317" s="837">
        <f t="shared" si="263"/>
        <v>10016.121747939997</v>
      </c>
      <c r="W317" s="837">
        <f t="shared" si="263"/>
        <v>10945.394614325496</v>
      </c>
      <c r="X317" s="837">
        <f t="shared" si="263"/>
        <v>11530.847016046735</v>
      </c>
      <c r="Y317" s="837">
        <f t="shared" si="263"/>
        <v>12134.651312093738</v>
      </c>
      <c r="Z317" s="837">
        <f t="shared" si="263"/>
        <v>12700.46056532412</v>
      </c>
      <c r="AA317" s="837">
        <f t="shared" si="263"/>
        <v>13220.688585249403</v>
      </c>
      <c r="AB317" s="837">
        <f t="shared" si="263"/>
        <v>13719.137230966111</v>
      </c>
      <c r="AC317" s="837">
        <f t="shared" si="263"/>
        <v>13927.611671529474</v>
      </c>
      <c r="AD317" s="837">
        <f t="shared" si="263"/>
        <v>14137.991911783805</v>
      </c>
    </row>
    <row r="318" spans="2:30">
      <c r="B318" s="685" t="s">
        <v>114</v>
      </c>
      <c r="F318" s="795">
        <f t="shared" ref="F318:M318" si="264">0.3*F317</f>
        <v>645.62400000000014</v>
      </c>
      <c r="G318" s="795">
        <f t="shared" si="264"/>
        <v>455.9219999999998</v>
      </c>
      <c r="H318" s="795">
        <f t="shared" si="264"/>
        <v>-30.931259999999927</v>
      </c>
      <c r="I318" s="795">
        <f t="shared" si="264"/>
        <v>647.52467999999976</v>
      </c>
      <c r="J318" s="795">
        <f t="shared" si="264"/>
        <v>-201.64193999999969</v>
      </c>
      <c r="K318" s="795">
        <f t="shared" si="264"/>
        <v>-515.02830000000063</v>
      </c>
      <c r="L318" s="795">
        <f t="shared" si="264"/>
        <v>1321.0134</v>
      </c>
      <c r="M318" s="795">
        <f t="shared" si="264"/>
        <v>1101.2249999999999</v>
      </c>
      <c r="N318" s="795">
        <f t="shared" ref="N318:T318" si="265">0.3*N317</f>
        <v>1805.0264999999997</v>
      </c>
      <c r="O318" s="795">
        <f t="shared" si="265"/>
        <v>1580.4600000000003</v>
      </c>
      <c r="P318" s="795">
        <f t="shared" si="265"/>
        <v>851.96917172536007</v>
      </c>
      <c r="Q318" s="795">
        <f t="shared" si="265"/>
        <v>2040.7878000000001</v>
      </c>
      <c r="R318" s="795">
        <f t="shared" si="265"/>
        <v>2223.6824999999999</v>
      </c>
      <c r="S318" s="795">
        <f t="shared" si="265"/>
        <v>3320.7344999999991</v>
      </c>
      <c r="T318" s="795">
        <f t="shared" si="265"/>
        <v>2669.9987550000001</v>
      </c>
      <c r="U318" s="795">
        <f t="shared" ref="U318:AD318" si="266">0.3*U317</f>
        <v>1998.8432836499992</v>
      </c>
      <c r="V318" s="795">
        <f t="shared" si="266"/>
        <v>3004.836524381999</v>
      </c>
      <c r="W318" s="795">
        <f t="shared" si="266"/>
        <v>3283.6183842976488</v>
      </c>
      <c r="X318" s="795">
        <f t="shared" si="266"/>
        <v>3459.2541048140206</v>
      </c>
      <c r="Y318" s="795">
        <f t="shared" si="266"/>
        <v>3640.3953936281214</v>
      </c>
      <c r="Z318" s="795">
        <f t="shared" si="266"/>
        <v>3810.1381695972359</v>
      </c>
      <c r="AA318" s="795">
        <f t="shared" si="266"/>
        <v>3966.2065755748208</v>
      </c>
      <c r="AB318" s="795">
        <f t="shared" si="266"/>
        <v>4115.7411692898331</v>
      </c>
      <c r="AC318" s="795">
        <f t="shared" si="266"/>
        <v>4178.2835014588418</v>
      </c>
      <c r="AD318" s="795">
        <f t="shared" si="266"/>
        <v>4241.3975735351414</v>
      </c>
    </row>
    <row r="319" spans="2:30">
      <c r="B319" s="685" t="s">
        <v>38</v>
      </c>
      <c r="F319" s="795">
        <f t="shared" ref="F319:M319" si="267">F317-F318</f>
        <v>1506.4560000000001</v>
      </c>
      <c r="G319" s="795">
        <f t="shared" si="267"/>
        <v>1063.8179999999995</v>
      </c>
      <c r="H319" s="795">
        <f t="shared" si="267"/>
        <v>-72.172939999999841</v>
      </c>
      <c r="I319" s="795">
        <f t="shared" si="267"/>
        <v>1510.8909199999996</v>
      </c>
      <c r="J319" s="795">
        <f t="shared" si="267"/>
        <v>-470.49785999999932</v>
      </c>
      <c r="K319" s="795">
        <f t="shared" si="267"/>
        <v>-1201.7327000000016</v>
      </c>
      <c r="L319" s="795">
        <f t="shared" si="267"/>
        <v>3082.3646000000008</v>
      </c>
      <c r="M319" s="795">
        <f t="shared" si="267"/>
        <v>2569.5250000000001</v>
      </c>
      <c r="N319" s="795">
        <f t="shared" ref="N319:T319" si="268">N317-N318</f>
        <v>4211.7284999999993</v>
      </c>
      <c r="O319" s="795">
        <f t="shared" si="268"/>
        <v>3687.7400000000007</v>
      </c>
      <c r="P319" s="795">
        <f t="shared" si="268"/>
        <v>1987.9280673591738</v>
      </c>
      <c r="Q319" s="795">
        <f t="shared" si="268"/>
        <v>4761.8382000000001</v>
      </c>
      <c r="R319" s="795">
        <f t="shared" si="268"/>
        <v>5188.5924999999997</v>
      </c>
      <c r="S319" s="795">
        <f t="shared" si="268"/>
        <v>7748.3804999999993</v>
      </c>
      <c r="T319" s="795">
        <f t="shared" si="268"/>
        <v>6229.9970950000006</v>
      </c>
      <c r="U319" s="795">
        <f t="shared" ref="U319:AD319" si="269">U317-U318</f>
        <v>4663.967661849998</v>
      </c>
      <c r="V319" s="795">
        <f t="shared" si="269"/>
        <v>7011.2852235579976</v>
      </c>
      <c r="W319" s="795">
        <f t="shared" si="269"/>
        <v>7661.7762300278473</v>
      </c>
      <c r="X319" s="795">
        <f t="shared" si="269"/>
        <v>8071.592911232714</v>
      </c>
      <c r="Y319" s="795">
        <f t="shared" si="269"/>
        <v>8494.2559184656166</v>
      </c>
      <c r="Z319" s="795">
        <f t="shared" si="269"/>
        <v>8890.3223957268838</v>
      </c>
      <c r="AA319" s="795">
        <f t="shared" si="269"/>
        <v>9254.4820096745825</v>
      </c>
      <c r="AB319" s="795">
        <f t="shared" si="269"/>
        <v>9603.3960616762779</v>
      </c>
      <c r="AC319" s="795">
        <f t="shared" si="269"/>
        <v>9749.328170070632</v>
      </c>
      <c r="AD319" s="795">
        <f t="shared" si="269"/>
        <v>9896.5943382486639</v>
      </c>
    </row>
    <row r="321" spans="2:30">
      <c r="B321" s="685" t="s">
        <v>154</v>
      </c>
      <c r="F321" s="795">
        <f t="shared" ref="F321:M321" si="270">F305-F312-F318-F323</f>
        <v>-1018.8639999999996</v>
      </c>
      <c r="G321" s="795">
        <f t="shared" si="270"/>
        <v>-732.52200000000073</v>
      </c>
      <c r="H321" s="795">
        <f t="shared" si="270"/>
        <v>-1603.1177399999992</v>
      </c>
      <c r="I321" s="795">
        <f t="shared" si="270"/>
        <v>-2231.3486800000001</v>
      </c>
      <c r="J321" s="795">
        <f t="shared" si="270"/>
        <v>-5599.0470600000008</v>
      </c>
      <c r="K321" s="795">
        <f t="shared" si="270"/>
        <v>-4912.1667000000007</v>
      </c>
      <c r="L321" s="795">
        <f t="shared" si="270"/>
        <v>0</v>
      </c>
      <c r="M321" s="795">
        <f t="shared" si="270"/>
        <v>0</v>
      </c>
      <c r="N321" s="795">
        <f t="shared" ref="N321:T321" si="271">N305-N312-N318-N323</f>
        <v>0</v>
      </c>
      <c r="O321" s="795">
        <f t="shared" si="271"/>
        <v>0</v>
      </c>
      <c r="P321" s="795">
        <f t="shared" si="271"/>
        <v>0</v>
      </c>
      <c r="Q321" s="795">
        <f t="shared" si="271"/>
        <v>0</v>
      </c>
      <c r="R321" s="795">
        <f t="shared" si="271"/>
        <v>0</v>
      </c>
      <c r="S321" s="795">
        <f t="shared" si="271"/>
        <v>0</v>
      </c>
      <c r="T321" s="795">
        <f t="shared" si="271"/>
        <v>0</v>
      </c>
      <c r="U321" s="795">
        <f t="shared" ref="U321:AD321" si="272">U305-U312-U318-U323</f>
        <v>0</v>
      </c>
      <c r="V321" s="795">
        <f t="shared" si="272"/>
        <v>0</v>
      </c>
      <c r="W321" s="795">
        <f t="shared" si="272"/>
        <v>0</v>
      </c>
      <c r="X321" s="795">
        <f t="shared" si="272"/>
        <v>0</v>
      </c>
      <c r="Y321" s="795">
        <f t="shared" si="272"/>
        <v>0</v>
      </c>
      <c r="Z321" s="795">
        <f t="shared" si="272"/>
        <v>0</v>
      </c>
      <c r="AA321" s="795">
        <f t="shared" si="272"/>
        <v>0</v>
      </c>
      <c r="AB321" s="795">
        <f t="shared" si="272"/>
        <v>0</v>
      </c>
      <c r="AC321" s="795">
        <f t="shared" si="272"/>
        <v>0</v>
      </c>
      <c r="AD321" s="795">
        <f t="shared" si="272"/>
        <v>0</v>
      </c>
    </row>
    <row r="323" spans="2:30">
      <c r="B323" s="685" t="s">
        <v>554</v>
      </c>
      <c r="F323" s="795">
        <f t="shared" ref="F323:M323" si="273">IF((F305-F312-F318)&lt;0,0,F305-F312-F318)</f>
        <v>0</v>
      </c>
      <c r="G323" s="795">
        <f t="shared" si="273"/>
        <v>0</v>
      </c>
      <c r="H323" s="795">
        <f t="shared" si="273"/>
        <v>0</v>
      </c>
      <c r="I323" s="795">
        <f t="shared" si="273"/>
        <v>0</v>
      </c>
      <c r="J323" s="795">
        <f t="shared" si="273"/>
        <v>0</v>
      </c>
      <c r="K323" s="795">
        <f t="shared" si="273"/>
        <v>0</v>
      </c>
      <c r="L323" s="795">
        <f t="shared" si="273"/>
        <v>2024.5316</v>
      </c>
      <c r="M323" s="795">
        <f t="shared" si="273"/>
        <v>1289.4000000000001</v>
      </c>
      <c r="N323" s="795">
        <f t="shared" ref="N323:T323" si="274">IF((N305-N312-N318)&lt;0,0,N305-N312-N318)</f>
        <v>2915.048499999999</v>
      </c>
      <c r="O323" s="795">
        <f t="shared" si="274"/>
        <v>2976.2149999999992</v>
      </c>
      <c r="P323" s="795">
        <f t="shared" si="274"/>
        <v>1987.9280673591738</v>
      </c>
      <c r="Q323" s="795">
        <f t="shared" si="274"/>
        <v>4761.8382000000001</v>
      </c>
      <c r="R323" s="795">
        <f t="shared" si="274"/>
        <v>5188.5924999999997</v>
      </c>
      <c r="S323" s="795">
        <f t="shared" si="274"/>
        <v>7748.3804999999993</v>
      </c>
      <c r="T323" s="795">
        <f t="shared" si="274"/>
        <v>6229.9970950000006</v>
      </c>
      <c r="U323" s="795">
        <f t="shared" ref="U323:AD323" si="275">IF((U305-U312-U318)&lt;0,0,U305-U312-U318)</f>
        <v>4663.967661849998</v>
      </c>
      <c r="V323" s="795">
        <f t="shared" si="275"/>
        <v>7011.2852235579976</v>
      </c>
      <c r="W323" s="795">
        <f t="shared" si="275"/>
        <v>7661.7762300278473</v>
      </c>
      <c r="X323" s="795">
        <f t="shared" si="275"/>
        <v>8071.592911232714</v>
      </c>
      <c r="Y323" s="795">
        <f t="shared" si="275"/>
        <v>8494.2559184656166</v>
      </c>
      <c r="Z323" s="795">
        <f t="shared" si="275"/>
        <v>8890.3223957268838</v>
      </c>
      <c r="AA323" s="795">
        <f t="shared" si="275"/>
        <v>9254.4820096745825</v>
      </c>
      <c r="AB323" s="795">
        <f t="shared" si="275"/>
        <v>9603.3960616762779</v>
      </c>
      <c r="AC323" s="795">
        <f t="shared" si="275"/>
        <v>9749.328170070632</v>
      </c>
      <c r="AD323" s="795">
        <f t="shared" si="275"/>
        <v>9896.5943382486639</v>
      </c>
    </row>
    <row r="325" spans="2:30">
      <c r="B325" s="685" t="s">
        <v>555</v>
      </c>
      <c r="F325" s="814"/>
      <c r="G325" s="814">
        <f>(G158+G159+G160)/'SKY Mex'!I54</f>
        <v>0.40825845104659403</v>
      </c>
      <c r="H325" s="814">
        <f>(H158+H159+H160)/'SKY Mex'!J54</f>
        <v>0.4697811299037889</v>
      </c>
      <c r="I325" s="814">
        <f>(I158+I159+I160)/'SKY Mex'!K54</f>
        <v>0.53708915202038976</v>
      </c>
      <c r="J325" s="814">
        <f>(J158+J159+J160+J161)/'SKY Mex'!L54</f>
        <v>0.68883327691904239</v>
      </c>
      <c r="K325" s="814">
        <f>(K158+K159+K160+K161)/'SKY Mex'!M54</f>
        <v>0.75744533475797893</v>
      </c>
      <c r="L325" s="814">
        <f>(L158+L159+L160+L161)/'SKY Mex'!N54</f>
        <v>0.85162257434277266</v>
      </c>
      <c r="M325" s="814">
        <f>(M158+M159+M160+M161)/'SKY Mex'!O54</f>
        <v>0.9420015262016056</v>
      </c>
      <c r="N325" s="814">
        <f>(N158+N159+N160+N161)/'SKY Mex'!P54</f>
        <v>1.0018383503648207</v>
      </c>
      <c r="O325" s="814">
        <f>(O158+O159+O160+O161)/'SKY Mex'!Q54</f>
        <v>1.1701180710924868</v>
      </c>
      <c r="P325" s="814">
        <f>(P158+P159+P160+P161)/'SKY Mex'!R54</f>
        <v>1.3777607296337611</v>
      </c>
      <c r="Q325" s="814">
        <f>(Q158+Q159+Q160+Q161)/'SKY Mex'!S54</f>
        <v>1.2968419476139743</v>
      </c>
      <c r="R325" s="814">
        <f>(R158+R159+R160+R161)/'SKY Mex'!T54</f>
        <v>1.4998331820150084</v>
      </c>
      <c r="S325" s="814">
        <f>(S158+S159+S160+S161)/'SKY Mex'!U54</f>
        <v>1.6549943772326428</v>
      </c>
      <c r="T325" s="814">
        <f>(T158+T159+T160+T161)/'SKY Mex'!V54</f>
        <v>1.824133095999297</v>
      </c>
      <c r="U325" s="814">
        <f>(U158+U159+U160+U161)/'SKY Mex'!W54</f>
        <v>2.003820063820712</v>
      </c>
      <c r="V325" s="814">
        <f>(V158+V159+V160+V161)/'SKY Mex'!X54</f>
        <v>2.1859528944393771</v>
      </c>
      <c r="W325" s="814">
        <f>(W158+W159+W160+W161)/'SKY Mex'!Y54</f>
        <v>2.3867291881002379</v>
      </c>
      <c r="X325" s="814">
        <f>(X158+X159+X160+X161)/'SKY Mex'!Z54</f>
        <v>2.6051643365440258</v>
      </c>
      <c r="Y325" s="814">
        <f>(Y158+Y159+Y160+Y161)/'SKY Mex'!AA54</f>
        <v>2.8271985648320381</v>
      </c>
      <c r="Z325" s="814">
        <f>(Z158+Z159+Z160+Z161)/'SKY Mex'!AB54</f>
        <v>3.0677452246422034</v>
      </c>
      <c r="AA325" s="814">
        <f>(AA158+AA159+AA160+AA161)/'SKY Mex'!AC54</f>
        <v>3.3283254102702351</v>
      </c>
      <c r="AB325" s="814">
        <f>(AB158+AB159+AB160+AB161)/'SKY Mex'!AD54</f>
        <v>3.6105838808432442</v>
      </c>
      <c r="AC325" s="814">
        <f>(AC158+AC159+AC160+AC161)/'SKY Mex'!AE54</f>
        <v>3.9162990318316004</v>
      </c>
      <c r="AD325" s="814">
        <f>(AD158+AD159+AD160+AD161)/'SKY Mex'!AF54</f>
        <v>4.247393665195843</v>
      </c>
    </row>
    <row r="327" spans="2:30">
      <c r="B327" s="817" t="s">
        <v>556</v>
      </c>
    </row>
    <row r="328" spans="2:30">
      <c r="B328" s="685" t="s">
        <v>557</v>
      </c>
      <c r="F328" s="795">
        <v>5720</v>
      </c>
      <c r="G328" s="795">
        <v>6210</v>
      </c>
      <c r="H328" s="795">
        <v>6573</v>
      </c>
      <c r="I328" s="795">
        <v>7174</v>
      </c>
      <c r="J328" s="795">
        <v>7487</v>
      </c>
      <c r="K328" s="795">
        <v>7868</v>
      </c>
      <c r="L328" s="795">
        <v>8168</v>
      </c>
      <c r="M328" s="795">
        <v>8468</v>
      </c>
      <c r="N328" s="795">
        <v>8768</v>
      </c>
      <c r="O328" s="795">
        <v>9068</v>
      </c>
      <c r="P328" s="795">
        <v>9368</v>
      </c>
      <c r="Q328" s="795">
        <v>9668</v>
      </c>
      <c r="R328" s="795">
        <v>9968</v>
      </c>
      <c r="S328" s="795">
        <v>10268</v>
      </c>
      <c r="T328" s="795">
        <v>10568</v>
      </c>
      <c r="U328" s="795">
        <v>10568</v>
      </c>
      <c r="V328" s="795">
        <v>10568</v>
      </c>
      <c r="W328" s="795">
        <v>10568</v>
      </c>
      <c r="X328" s="795">
        <v>10568</v>
      </c>
      <c r="Y328" s="795">
        <v>10568</v>
      </c>
      <c r="Z328" s="795">
        <v>10568</v>
      </c>
      <c r="AA328" s="795">
        <v>10568</v>
      </c>
      <c r="AB328" s="795">
        <v>10568</v>
      </c>
      <c r="AC328" s="795">
        <v>10568</v>
      </c>
      <c r="AD328" s="795">
        <v>10568</v>
      </c>
    </row>
    <row r="329" spans="2:30">
      <c r="B329" s="685" t="s">
        <v>467</v>
      </c>
      <c r="F329" s="795"/>
      <c r="G329" s="795"/>
      <c r="H329" s="795"/>
      <c r="I329" s="795"/>
      <c r="J329" s="795"/>
      <c r="K329" s="795">
        <v>12500</v>
      </c>
      <c r="L329" s="795">
        <v>12625</v>
      </c>
      <c r="M329" s="795">
        <v>12751.25</v>
      </c>
      <c r="N329" s="795">
        <v>12878.762500000001</v>
      </c>
      <c r="O329" s="795">
        <v>13007.550125000002</v>
      </c>
      <c r="P329" s="795">
        <v>13137.625626250001</v>
      </c>
      <c r="Q329" s="795">
        <v>13269.001882512501</v>
      </c>
      <c r="R329" s="795">
        <v>13401.691901337626</v>
      </c>
      <c r="S329" s="795">
        <v>13535.708820351003</v>
      </c>
      <c r="T329" s="795">
        <v>13671.065908554514</v>
      </c>
      <c r="U329" s="795">
        <f t="shared" ref="U329:AD329" si="276">T329*1.01</f>
        <v>13807.77656764006</v>
      </c>
      <c r="V329" s="795">
        <f t="shared" si="276"/>
        <v>13945.85433331646</v>
      </c>
      <c r="W329" s="795">
        <f t="shared" si="276"/>
        <v>14085.312876649625</v>
      </c>
      <c r="X329" s="795">
        <f t="shared" si="276"/>
        <v>14226.16600541612</v>
      </c>
      <c r="Y329" s="795">
        <f t="shared" si="276"/>
        <v>14368.427665470281</v>
      </c>
      <c r="Z329" s="795">
        <f t="shared" si="276"/>
        <v>14512.111942124984</v>
      </c>
      <c r="AA329" s="795">
        <f t="shared" si="276"/>
        <v>14657.233061546234</v>
      </c>
      <c r="AB329" s="795">
        <f t="shared" si="276"/>
        <v>14803.805392161697</v>
      </c>
      <c r="AC329" s="795">
        <f t="shared" si="276"/>
        <v>14951.843446083314</v>
      </c>
      <c r="AD329" s="795">
        <f t="shared" si="276"/>
        <v>15101.361880544147</v>
      </c>
    </row>
    <row r="330" spans="2:30">
      <c r="B330" s="743" t="s">
        <v>558</v>
      </c>
      <c r="C330" s="743"/>
      <c r="D330" s="743"/>
      <c r="E330" s="743"/>
      <c r="F330" s="833"/>
      <c r="G330" s="833"/>
      <c r="H330" s="833"/>
      <c r="I330" s="833"/>
      <c r="J330" s="833"/>
      <c r="K330" s="833">
        <v>9632</v>
      </c>
      <c r="L330" s="833">
        <v>9633.25</v>
      </c>
      <c r="M330" s="833">
        <v>9633.25</v>
      </c>
      <c r="N330" s="833">
        <v>9633.25</v>
      </c>
      <c r="O330" s="833">
        <v>9633.25</v>
      </c>
      <c r="P330" s="833">
        <v>9633.25</v>
      </c>
      <c r="Q330" s="833">
        <v>9633.25</v>
      </c>
      <c r="R330" s="833">
        <v>9633.25</v>
      </c>
      <c r="S330" s="833">
        <v>9633.25</v>
      </c>
      <c r="T330" s="833">
        <v>9633.25</v>
      </c>
      <c r="U330" s="833">
        <f t="shared" ref="U330:AD330" si="277">T330</f>
        <v>9633.25</v>
      </c>
      <c r="V330" s="833">
        <f t="shared" si="277"/>
        <v>9633.25</v>
      </c>
      <c r="W330" s="833">
        <f t="shared" si="277"/>
        <v>9633.25</v>
      </c>
      <c r="X330" s="833">
        <f t="shared" si="277"/>
        <v>9633.25</v>
      </c>
      <c r="Y330" s="833">
        <f t="shared" si="277"/>
        <v>9633.25</v>
      </c>
      <c r="Z330" s="833">
        <f t="shared" si="277"/>
        <v>9633.25</v>
      </c>
      <c r="AA330" s="833">
        <f t="shared" si="277"/>
        <v>9633.25</v>
      </c>
      <c r="AB330" s="833">
        <f t="shared" si="277"/>
        <v>9633.25</v>
      </c>
      <c r="AC330" s="833">
        <f t="shared" si="277"/>
        <v>9633.25</v>
      </c>
      <c r="AD330" s="833">
        <f t="shared" si="277"/>
        <v>9633.25</v>
      </c>
    </row>
    <row r="331" spans="2:30">
      <c r="B331" s="685" t="s">
        <v>559</v>
      </c>
      <c r="F331" s="795"/>
      <c r="G331" s="795"/>
      <c r="H331" s="795"/>
      <c r="I331" s="795"/>
      <c r="J331" s="795"/>
      <c r="K331" s="795">
        <v>30000</v>
      </c>
      <c r="L331" s="795">
        <f t="shared" ref="L331:Y331" si="278">SUM(L328:L330)</f>
        <v>30426.25</v>
      </c>
      <c r="M331" s="795">
        <f t="shared" si="278"/>
        <v>30852.5</v>
      </c>
      <c r="N331" s="795">
        <f t="shared" si="278"/>
        <v>31280.012500000001</v>
      </c>
      <c r="O331" s="795">
        <f t="shared" si="278"/>
        <v>31708.800125000002</v>
      </c>
      <c r="P331" s="795">
        <f t="shared" si="278"/>
        <v>32138.875626250003</v>
      </c>
      <c r="Q331" s="795">
        <f t="shared" si="278"/>
        <v>32570.251882512501</v>
      </c>
      <c r="R331" s="795">
        <f t="shared" si="278"/>
        <v>33002.941901337625</v>
      </c>
      <c r="S331" s="795">
        <f t="shared" si="278"/>
        <v>33436.958820351007</v>
      </c>
      <c r="T331" s="795">
        <f t="shared" si="278"/>
        <v>33872.315908554512</v>
      </c>
      <c r="U331" s="795">
        <f t="shared" si="278"/>
        <v>34009.02656764006</v>
      </c>
      <c r="V331" s="795">
        <f t="shared" si="278"/>
        <v>34147.104333316456</v>
      </c>
      <c r="W331" s="795">
        <f t="shared" si="278"/>
        <v>34286.562876649623</v>
      </c>
      <c r="X331" s="795">
        <f t="shared" si="278"/>
        <v>34427.416005416118</v>
      </c>
      <c r="Y331" s="795">
        <f t="shared" si="278"/>
        <v>34569.677665470284</v>
      </c>
      <c r="Z331" s="795">
        <f>SUM(Z328:Z330)</f>
        <v>34713.361942124982</v>
      </c>
      <c r="AA331" s="795">
        <f>SUM(AA328:AA330)</f>
        <v>34858.483061546234</v>
      </c>
      <c r="AB331" s="795">
        <f>SUM(AB328:AB330)</f>
        <v>35005.055392161696</v>
      </c>
      <c r="AC331" s="795">
        <f>SUM(AC328:AC330)</f>
        <v>35153.093446083316</v>
      </c>
      <c r="AD331" s="795">
        <f>SUM(AD328:AD330)</f>
        <v>35302.611880544151</v>
      </c>
    </row>
    <row r="333" spans="2:30">
      <c r="B333" s="817" t="s">
        <v>560</v>
      </c>
    </row>
    <row r="334" spans="2:30">
      <c r="B334" s="685" t="s">
        <v>557</v>
      </c>
      <c r="K334" s="795">
        <f t="shared" ref="K334:Y334" si="279">K156</f>
        <v>2228</v>
      </c>
      <c r="L334" s="795">
        <f t="shared" si="279"/>
        <v>2625</v>
      </c>
      <c r="M334" s="795">
        <f t="shared" si="279"/>
        <v>2942</v>
      </c>
      <c r="N334" s="795">
        <f t="shared" si="279"/>
        <v>3097.6280000000002</v>
      </c>
      <c r="O334" s="795">
        <f t="shared" si="279"/>
        <v>3510</v>
      </c>
      <c r="P334" s="795">
        <f t="shared" si="279"/>
        <v>3833.893</v>
      </c>
      <c r="Q334" s="795">
        <f t="shared" si="279"/>
        <v>4138</v>
      </c>
      <c r="R334" s="795">
        <f t="shared" si="279"/>
        <v>4722</v>
      </c>
      <c r="S334" s="795">
        <f t="shared" si="279"/>
        <v>5251.5519999999997</v>
      </c>
      <c r="T334" s="795">
        <f t="shared" si="279"/>
        <v>5701.5519999999997</v>
      </c>
      <c r="U334" s="795">
        <f t="shared" si="279"/>
        <v>6001.5519999999997</v>
      </c>
      <c r="V334" s="795">
        <f t="shared" si="279"/>
        <v>6201.5519999999997</v>
      </c>
      <c r="W334" s="795">
        <f t="shared" si="279"/>
        <v>6351.5519999999997</v>
      </c>
      <c r="X334" s="795">
        <f t="shared" si="279"/>
        <v>6501.5519999999997</v>
      </c>
      <c r="Y334" s="795">
        <f t="shared" si="279"/>
        <v>6651.5519999999997</v>
      </c>
      <c r="Z334" s="795">
        <f>Z156</f>
        <v>6651.5519999999997</v>
      </c>
      <c r="AA334" s="795">
        <f>AA156</f>
        <v>6651.5519999999997</v>
      </c>
      <c r="AB334" s="795">
        <f>AB156</f>
        <v>6651.5519999999997</v>
      </c>
      <c r="AC334" s="795">
        <f>AC156</f>
        <v>6651.5519999999997</v>
      </c>
      <c r="AD334" s="795">
        <f>AD156</f>
        <v>6651.5519999999997</v>
      </c>
    </row>
    <row r="335" spans="2:30">
      <c r="B335" s="685" t="s">
        <v>466</v>
      </c>
      <c r="K335" s="795">
        <f>K341*K$337</f>
        <v>1421.3103448275865</v>
      </c>
      <c r="L335" s="795">
        <f t="shared" ref="L335:AD335" si="280">K335/K154*L154</f>
        <v>1453.6271142574412</v>
      </c>
      <c r="M335" s="795">
        <f t="shared" si="280"/>
        <v>1509.4755119129181</v>
      </c>
      <c r="N335" s="795">
        <f t="shared" si="280"/>
        <v>1520.6138159397126</v>
      </c>
      <c r="O335" s="795">
        <f t="shared" si="280"/>
        <v>1570.500867778032</v>
      </c>
      <c r="P335" s="795">
        <f t="shared" si="280"/>
        <v>1574.5796833371398</v>
      </c>
      <c r="Q335" s="795">
        <f t="shared" si="280"/>
        <v>1572.69715307909</v>
      </c>
      <c r="R335" s="795">
        <f t="shared" si="280"/>
        <v>1645.4883230570149</v>
      </c>
      <c r="S335" s="795">
        <f t="shared" si="280"/>
        <v>1634.9470032899144</v>
      </c>
      <c r="T335" s="795">
        <f t="shared" si="280"/>
        <v>1619.0122450672422</v>
      </c>
      <c r="U335" s="795">
        <f t="shared" si="280"/>
        <v>1597.3965147643953</v>
      </c>
      <c r="V335" s="795">
        <f t="shared" si="280"/>
        <v>1569.8010855444113</v>
      </c>
      <c r="W335" s="795">
        <f t="shared" si="280"/>
        <v>1527.2727123500808</v>
      </c>
      <c r="X335" s="795">
        <f t="shared" si="280"/>
        <v>1478.9525542116885</v>
      </c>
      <c r="Y335" s="795">
        <f t="shared" si="280"/>
        <v>1416.7629896271683</v>
      </c>
      <c r="Z335" s="795">
        <f t="shared" si="280"/>
        <v>1349.1226719018612</v>
      </c>
      <c r="AA335" s="795">
        <f t="shared" si="280"/>
        <v>1275.7993378454717</v>
      </c>
      <c r="AB335" s="795">
        <f t="shared" si="280"/>
        <v>1196.5525179333122</v>
      </c>
      <c r="AC335" s="795">
        <f t="shared" si="280"/>
        <v>1111.1332815460833</v>
      </c>
      <c r="AD335" s="795">
        <f t="shared" si="280"/>
        <v>1019.2839749135355</v>
      </c>
    </row>
    <row r="336" spans="2:30">
      <c r="B336" s="743" t="s">
        <v>107</v>
      </c>
      <c r="C336" s="743"/>
      <c r="D336" s="743"/>
      <c r="E336" s="743"/>
      <c r="F336" s="743"/>
      <c r="G336" s="743"/>
      <c r="H336" s="743"/>
      <c r="I336" s="743"/>
      <c r="J336" s="743"/>
      <c r="K336" s="833">
        <f>K342*K$337</f>
        <v>192.06896551724139</v>
      </c>
      <c r="L336" s="833">
        <f>K336*1.02</f>
        <v>195.91034482758621</v>
      </c>
      <c r="M336" s="833">
        <f t="shared" ref="M336:T336" si="281">L336*1.02</f>
        <v>199.82855172413795</v>
      </c>
      <c r="N336" s="833">
        <f t="shared" si="281"/>
        <v>203.82512275862072</v>
      </c>
      <c r="O336" s="833">
        <f t="shared" si="281"/>
        <v>207.90162521379315</v>
      </c>
      <c r="P336" s="833">
        <f t="shared" si="281"/>
        <v>212.05965771806902</v>
      </c>
      <c r="Q336" s="833">
        <f t="shared" si="281"/>
        <v>216.3008508724304</v>
      </c>
      <c r="R336" s="833">
        <f t="shared" si="281"/>
        <v>220.62686788987901</v>
      </c>
      <c r="S336" s="833">
        <f t="shared" si="281"/>
        <v>225.0394052476766</v>
      </c>
      <c r="T336" s="833">
        <f t="shared" si="281"/>
        <v>229.54019335263013</v>
      </c>
      <c r="U336" s="833">
        <f t="shared" ref="U336:AD336" si="282">T336*1.02</f>
        <v>234.13099721968274</v>
      </c>
      <c r="V336" s="833">
        <f t="shared" si="282"/>
        <v>238.81361716407639</v>
      </c>
      <c r="W336" s="833">
        <f t="shared" si="282"/>
        <v>243.58988950735792</v>
      </c>
      <c r="X336" s="833">
        <f t="shared" si="282"/>
        <v>248.46168729750508</v>
      </c>
      <c r="Y336" s="833">
        <f t="shared" si="282"/>
        <v>253.43092104345519</v>
      </c>
      <c r="Z336" s="833">
        <f t="shared" si="282"/>
        <v>258.4995394643243</v>
      </c>
      <c r="AA336" s="833">
        <f t="shared" si="282"/>
        <v>263.66953025361079</v>
      </c>
      <c r="AB336" s="833">
        <f t="shared" si="282"/>
        <v>268.94292085868301</v>
      </c>
      <c r="AC336" s="833">
        <f t="shared" si="282"/>
        <v>274.32177927585667</v>
      </c>
      <c r="AD336" s="833">
        <f t="shared" si="282"/>
        <v>279.80821486137381</v>
      </c>
    </row>
    <row r="337" spans="2:30">
      <c r="B337" s="685" t="s">
        <v>85</v>
      </c>
      <c r="K337" s="795">
        <f>K334/K340</f>
        <v>3841.3793103448279</v>
      </c>
      <c r="L337" s="795">
        <f>SUM(L334:L336)</f>
        <v>4274.5374590850279</v>
      </c>
      <c r="M337" s="795">
        <f t="shared" ref="M337:T337" si="283">SUM(M334:M336)</f>
        <v>4651.304063637057</v>
      </c>
      <c r="N337" s="795">
        <f t="shared" si="283"/>
        <v>4822.0669386983336</v>
      </c>
      <c r="O337" s="795">
        <f t="shared" si="283"/>
        <v>5288.4024929918251</v>
      </c>
      <c r="P337" s="795">
        <f t="shared" si="283"/>
        <v>5620.5323410552082</v>
      </c>
      <c r="Q337" s="795">
        <f t="shared" si="283"/>
        <v>5926.9980039515203</v>
      </c>
      <c r="R337" s="795">
        <f t="shared" si="283"/>
        <v>6588.1151909468936</v>
      </c>
      <c r="S337" s="795">
        <f t="shared" si="283"/>
        <v>7111.5384085375908</v>
      </c>
      <c r="T337" s="795">
        <f t="shared" si="283"/>
        <v>7550.1044384198722</v>
      </c>
      <c r="U337" s="795">
        <f t="shared" ref="U337:AD337" si="284">SUM(U334:U336)</f>
        <v>7833.0795119840786</v>
      </c>
      <c r="V337" s="795">
        <f t="shared" si="284"/>
        <v>8010.1667027084877</v>
      </c>
      <c r="W337" s="795">
        <f t="shared" si="284"/>
        <v>8122.4146018574384</v>
      </c>
      <c r="X337" s="795">
        <f t="shared" si="284"/>
        <v>8228.9662415091934</v>
      </c>
      <c r="Y337" s="795">
        <f t="shared" si="284"/>
        <v>8321.7459106706228</v>
      </c>
      <c r="Z337" s="795">
        <f t="shared" si="284"/>
        <v>8259.1742113661858</v>
      </c>
      <c r="AA337" s="795">
        <f t="shared" si="284"/>
        <v>8191.0208680990827</v>
      </c>
      <c r="AB337" s="795">
        <f t="shared" si="284"/>
        <v>8117.0474387919949</v>
      </c>
      <c r="AC337" s="795">
        <f t="shared" si="284"/>
        <v>8037.0070608219394</v>
      </c>
      <c r="AD337" s="795">
        <f t="shared" si="284"/>
        <v>7950.6441897749091</v>
      </c>
    </row>
    <row r="339" spans="2:30">
      <c r="B339" s="817" t="s">
        <v>561</v>
      </c>
    </row>
    <row r="340" spans="2:30">
      <c r="B340" s="685" t="s">
        <v>557</v>
      </c>
      <c r="K340" s="814">
        <v>0.57999999999999996</v>
      </c>
      <c r="L340" s="814">
        <f>L334/L$337</f>
        <v>0.61410153148169766</v>
      </c>
      <c r="M340" s="814">
        <f t="shared" ref="M340:T340" si="285">M334/M$337</f>
        <v>0.63251078831847474</v>
      </c>
      <c r="N340" s="814">
        <f t="shared" si="285"/>
        <v>0.64238593934495902</v>
      </c>
      <c r="O340" s="814">
        <f t="shared" si="285"/>
        <v>0.66371650127830495</v>
      </c>
      <c r="P340" s="814">
        <f t="shared" si="285"/>
        <v>0.68212275410201062</v>
      </c>
      <c r="Q340" s="814">
        <f t="shared" si="285"/>
        <v>0.69816119344754324</v>
      </c>
      <c r="R340" s="814">
        <f t="shared" si="285"/>
        <v>0.71674520908328543</v>
      </c>
      <c r="S340" s="814">
        <f t="shared" si="285"/>
        <v>0.73845512719095663</v>
      </c>
      <c r="T340" s="814">
        <f t="shared" si="285"/>
        <v>0.7551620042481495</v>
      </c>
      <c r="U340" s="814">
        <f t="shared" ref="U340:Y342" si="286">U334/U$337</f>
        <v>0.76618040080124727</v>
      </c>
      <c r="V340" s="814">
        <f t="shared" si="286"/>
        <v>0.7742101045041998</v>
      </c>
      <c r="W340" s="814">
        <f t="shared" si="286"/>
        <v>0.7819783046469363</v>
      </c>
      <c r="X340" s="814">
        <f t="shared" si="286"/>
        <v>0.79008125798406659</v>
      </c>
      <c r="Y340" s="814">
        <f t="shared" si="286"/>
        <v>0.79929765597276836</v>
      </c>
      <c r="Z340" s="814">
        <f t="shared" ref="Z340:AD342" si="287">Z334/Z$337</f>
        <v>0.80535315393229101</v>
      </c>
      <c r="AA340" s="814">
        <f t="shared" si="287"/>
        <v>0.81205409033998066</v>
      </c>
      <c r="AB340" s="814">
        <f t="shared" si="287"/>
        <v>0.81945461698446165</v>
      </c>
      <c r="AC340" s="814">
        <f t="shared" si="287"/>
        <v>0.82761554763642942</v>
      </c>
      <c r="AD340" s="814">
        <f t="shared" si="287"/>
        <v>0.83660541727604487</v>
      </c>
    </row>
    <row r="341" spans="2:30">
      <c r="B341" s="685" t="s">
        <v>466</v>
      </c>
      <c r="K341" s="814">
        <f>K343-K340-K342</f>
        <v>0.37000000000000005</v>
      </c>
      <c r="L341" s="814">
        <f>L335/L$337</f>
        <v>0.34006652840716772</v>
      </c>
      <c r="M341" s="814">
        <f t="shared" ref="M341:T341" si="288">M335/M$337</f>
        <v>0.32452737796990927</v>
      </c>
      <c r="N341" s="814">
        <f t="shared" si="288"/>
        <v>0.31534481691583199</v>
      </c>
      <c r="O341" s="814">
        <f t="shared" si="288"/>
        <v>0.2969707524832414</v>
      </c>
      <c r="P341" s="814">
        <f t="shared" si="288"/>
        <v>0.28014778454980399</v>
      </c>
      <c r="Q341" s="814">
        <f t="shared" si="288"/>
        <v>0.26534464024293164</v>
      </c>
      <c r="R341" s="814">
        <f t="shared" si="288"/>
        <v>0.24976617368776044</v>
      </c>
      <c r="S341" s="814">
        <f t="shared" si="288"/>
        <v>0.22990060790884811</v>
      </c>
      <c r="T341" s="814">
        <f t="shared" si="288"/>
        <v>0.21443574168704851</v>
      </c>
      <c r="U341" s="814">
        <f t="shared" si="286"/>
        <v>0.20392956720539954</v>
      </c>
      <c r="V341" s="814">
        <f t="shared" si="286"/>
        <v>0.19597608187275459</v>
      </c>
      <c r="W341" s="814">
        <f t="shared" si="286"/>
        <v>0.1880318584083141</v>
      </c>
      <c r="X341" s="814">
        <f t="shared" si="286"/>
        <v>0.17972519400449605</v>
      </c>
      <c r="Y341" s="814">
        <f t="shared" si="286"/>
        <v>0.17024828741893128</v>
      </c>
      <c r="Z341" s="814">
        <f t="shared" si="287"/>
        <v>0.16334837326051474</v>
      </c>
      <c r="AA341" s="814">
        <f t="shared" si="287"/>
        <v>0.15575584025359107</v>
      </c>
      <c r="AB341" s="814">
        <f t="shared" si="287"/>
        <v>0.1474122859273799</v>
      </c>
      <c r="AC341" s="814">
        <f t="shared" si="287"/>
        <v>0.13825212210681428</v>
      </c>
      <c r="AD341" s="814">
        <f t="shared" si="287"/>
        <v>0.12820143256120137</v>
      </c>
    </row>
    <row r="342" spans="2:30">
      <c r="B342" s="743" t="s">
        <v>107</v>
      </c>
      <c r="C342" s="743"/>
      <c r="D342" s="743"/>
      <c r="E342" s="743"/>
      <c r="F342" s="743"/>
      <c r="G342" s="743"/>
      <c r="H342" s="743"/>
      <c r="I342" s="743"/>
      <c r="J342" s="743"/>
      <c r="K342" s="968">
        <v>0.05</v>
      </c>
      <c r="L342" s="958">
        <f>L336/L$337</f>
        <v>4.5831940111134541E-2</v>
      </c>
      <c r="M342" s="958">
        <f t="shared" ref="M342:T342" si="289">M336/M$337</f>
        <v>4.2961833711615771E-2</v>
      </c>
      <c r="N342" s="958">
        <f t="shared" si="289"/>
        <v>4.2269243739208893E-2</v>
      </c>
      <c r="O342" s="958">
        <f t="shared" si="289"/>
        <v>3.9312746238453627E-2</v>
      </c>
      <c r="P342" s="958">
        <f t="shared" si="289"/>
        <v>3.7729461348185493E-2</v>
      </c>
      <c r="Q342" s="958">
        <f t="shared" si="289"/>
        <v>3.649416630952515E-2</v>
      </c>
      <c r="R342" s="958">
        <f t="shared" si="289"/>
        <v>3.3488617228954194E-2</v>
      </c>
      <c r="S342" s="958">
        <f t="shared" si="289"/>
        <v>3.1644264900195271E-2</v>
      </c>
      <c r="T342" s="958">
        <f t="shared" si="289"/>
        <v>3.0402254064801994E-2</v>
      </c>
      <c r="U342" s="958">
        <f t="shared" si="286"/>
        <v>2.9890031993353092E-2</v>
      </c>
      <c r="V342" s="958">
        <f t="shared" si="286"/>
        <v>2.9813813623045578E-2</v>
      </c>
      <c r="W342" s="958">
        <f t="shared" si="286"/>
        <v>2.9989836944749614E-2</v>
      </c>
      <c r="X342" s="958">
        <f t="shared" si="286"/>
        <v>3.0193548011437362E-2</v>
      </c>
      <c r="Y342" s="958">
        <f t="shared" si="286"/>
        <v>3.0454056608300362E-2</v>
      </c>
      <c r="Z342" s="958">
        <f t="shared" si="287"/>
        <v>3.1298472807194215E-2</v>
      </c>
      <c r="AA342" s="958">
        <f t="shared" si="287"/>
        <v>3.2190069406428143E-2</v>
      </c>
      <c r="AB342" s="958">
        <f t="shared" si="287"/>
        <v>3.3133097088158446E-2</v>
      </c>
      <c r="AC342" s="958">
        <f t="shared" si="287"/>
        <v>3.4132330256756299E-2</v>
      </c>
      <c r="AD342" s="958">
        <f t="shared" si="287"/>
        <v>3.5193150162753727E-2</v>
      </c>
    </row>
    <row r="343" spans="2:30">
      <c r="B343" s="685" t="s">
        <v>85</v>
      </c>
      <c r="K343" s="814">
        <v>1</v>
      </c>
      <c r="L343" s="814">
        <f>SUM(L340:L342)</f>
        <v>0.99999999999999989</v>
      </c>
      <c r="M343" s="814">
        <f t="shared" ref="M343:T343" si="290">SUM(M340:M342)</f>
        <v>0.99999999999999978</v>
      </c>
      <c r="N343" s="814">
        <f t="shared" si="290"/>
        <v>1</v>
      </c>
      <c r="O343" s="814">
        <f t="shared" si="290"/>
        <v>0.99999999999999989</v>
      </c>
      <c r="P343" s="814">
        <f t="shared" si="290"/>
        <v>1.0000000000000002</v>
      </c>
      <c r="Q343" s="814">
        <f t="shared" si="290"/>
        <v>1</v>
      </c>
      <c r="R343" s="814">
        <f t="shared" si="290"/>
        <v>1</v>
      </c>
      <c r="S343" s="814">
        <f t="shared" si="290"/>
        <v>1</v>
      </c>
      <c r="T343" s="814">
        <f t="shared" si="290"/>
        <v>1</v>
      </c>
      <c r="U343" s="814">
        <f t="shared" ref="U343:AD343" si="291">SUM(U340:U342)</f>
        <v>0.99999999999999989</v>
      </c>
      <c r="V343" s="814">
        <f t="shared" si="291"/>
        <v>1</v>
      </c>
      <c r="W343" s="814">
        <f t="shared" si="291"/>
        <v>1</v>
      </c>
      <c r="X343" s="814">
        <f t="shared" si="291"/>
        <v>1</v>
      </c>
      <c r="Y343" s="814">
        <f t="shared" si="291"/>
        <v>1</v>
      </c>
      <c r="Z343" s="814">
        <f t="shared" si="291"/>
        <v>1</v>
      </c>
      <c r="AA343" s="814">
        <f t="shared" si="291"/>
        <v>0.99999999999999978</v>
      </c>
      <c r="AB343" s="814">
        <f t="shared" si="291"/>
        <v>1</v>
      </c>
      <c r="AC343" s="814">
        <f t="shared" si="291"/>
        <v>1</v>
      </c>
      <c r="AD343" s="814">
        <f t="shared" si="291"/>
        <v>0.99999999999999989</v>
      </c>
    </row>
    <row r="345" spans="2:30">
      <c r="B345" s="685" t="s">
        <v>562</v>
      </c>
      <c r="K345" s="795">
        <f>K337-K346</f>
        <v>3156.9593103448278</v>
      </c>
      <c r="L345" s="795">
        <f>L347*L328</f>
        <v>3472.9448492939237</v>
      </c>
      <c r="M345" s="795">
        <f t="shared" ref="M345:T345" si="292">M347*M328</f>
        <v>3961.5793453716769</v>
      </c>
      <c r="N345" s="795">
        <f t="shared" si="292"/>
        <v>4321.3045124280343</v>
      </c>
      <c r="O345" s="795">
        <f t="shared" si="292"/>
        <v>5135.3729329449261</v>
      </c>
      <c r="P345" s="795">
        <f t="shared" si="292"/>
        <v>5633.1483762492353</v>
      </c>
      <c r="Q345" s="795">
        <f t="shared" si="292"/>
        <v>6055.2438195535451</v>
      </c>
      <c r="R345" s="795">
        <f t="shared" si="292"/>
        <v>6492.3392628578549</v>
      </c>
      <c r="S345" s="795">
        <f t="shared" si="292"/>
        <v>6893.0947061621655</v>
      </c>
      <c r="T345" s="795">
        <f t="shared" si="292"/>
        <v>7305.8501494664752</v>
      </c>
      <c r="U345" s="795">
        <f t="shared" ref="U345:AD345" si="293">U347*U328</f>
        <v>7517.2101494664748</v>
      </c>
      <c r="V345" s="795">
        <f t="shared" si="293"/>
        <v>7728.5701494664754</v>
      </c>
      <c r="W345" s="795">
        <f t="shared" si="293"/>
        <v>7887.0901494664768</v>
      </c>
      <c r="X345" s="795">
        <f t="shared" si="293"/>
        <v>8045.6101494664763</v>
      </c>
      <c r="Y345" s="795">
        <f t="shared" si="293"/>
        <v>8151.2901494664784</v>
      </c>
      <c r="Z345" s="795">
        <f t="shared" si="293"/>
        <v>8256.9701494664787</v>
      </c>
      <c r="AA345" s="795">
        <f t="shared" si="293"/>
        <v>8362.650149466479</v>
      </c>
      <c r="AB345" s="795">
        <f t="shared" si="293"/>
        <v>8468.3301494664775</v>
      </c>
      <c r="AC345" s="795">
        <f t="shared" si="293"/>
        <v>8574.0101494664777</v>
      </c>
      <c r="AD345" s="795">
        <f t="shared" si="293"/>
        <v>8679.690149466478</v>
      </c>
    </row>
    <row r="346" spans="2:30">
      <c r="B346" s="685" t="s">
        <v>563</v>
      </c>
      <c r="K346" s="795">
        <f>K178*0.33</f>
        <v>684.42000000000007</v>
      </c>
      <c r="L346" s="795">
        <f t="shared" ref="L346:AD346" si="294">K346*L178/K178</f>
        <v>750.42000000000007</v>
      </c>
      <c r="M346" s="795">
        <f t="shared" si="294"/>
        <v>816.42000000000007</v>
      </c>
      <c r="N346" s="795">
        <f t="shared" si="294"/>
        <v>865.92000000000007</v>
      </c>
      <c r="O346" s="795">
        <f t="shared" si="294"/>
        <v>890.67000000000007</v>
      </c>
      <c r="P346" s="795">
        <f t="shared" si="294"/>
        <v>907.17000000000007</v>
      </c>
      <c r="Q346" s="795">
        <f t="shared" si="294"/>
        <v>923.67000000000007</v>
      </c>
      <c r="R346" s="795">
        <f t="shared" si="294"/>
        <v>940.17000000000007</v>
      </c>
      <c r="S346" s="795">
        <f t="shared" si="294"/>
        <v>956.67000000000007</v>
      </c>
      <c r="T346" s="795">
        <f t="shared" si="294"/>
        <v>973.17000000000007</v>
      </c>
      <c r="U346" s="795">
        <f t="shared" si="294"/>
        <v>989.67000000000007</v>
      </c>
      <c r="V346" s="795">
        <f t="shared" si="294"/>
        <v>1006.1700000000001</v>
      </c>
      <c r="W346" s="795">
        <f t="shared" si="294"/>
        <v>1022.6700000000001</v>
      </c>
      <c r="X346" s="795">
        <f t="shared" si="294"/>
        <v>1039.17</v>
      </c>
      <c r="Y346" s="795">
        <f t="shared" si="294"/>
        <v>1055.67</v>
      </c>
      <c r="Z346" s="795">
        <f t="shared" si="294"/>
        <v>1072.17</v>
      </c>
      <c r="AA346" s="795">
        <f t="shared" si="294"/>
        <v>1088.67</v>
      </c>
      <c r="AB346" s="795">
        <f t="shared" si="294"/>
        <v>1105.17</v>
      </c>
      <c r="AC346" s="795">
        <f t="shared" si="294"/>
        <v>1121.67</v>
      </c>
      <c r="AD346" s="795">
        <f t="shared" si="294"/>
        <v>1138.17</v>
      </c>
    </row>
    <row r="347" spans="2:30">
      <c r="B347" s="685" t="s">
        <v>564</v>
      </c>
      <c r="K347" s="814">
        <f>K345/K328</f>
        <v>0.40124038006416213</v>
      </c>
      <c r="L347" s="814">
        <f t="shared" ref="L347:AD347" si="295">K347+L181-K181</f>
        <v>0.42518913434058808</v>
      </c>
      <c r="M347" s="814">
        <f t="shared" si="295"/>
        <v>0.46782939836699067</v>
      </c>
      <c r="N347" s="814">
        <f t="shared" si="295"/>
        <v>0.49284951099772289</v>
      </c>
      <c r="O347" s="814">
        <f t="shared" si="295"/>
        <v>0.56631814434769812</v>
      </c>
      <c r="P347" s="814">
        <f t="shared" si="295"/>
        <v>0.60131814434769804</v>
      </c>
      <c r="Q347" s="814">
        <f t="shared" si="295"/>
        <v>0.62631814434769806</v>
      </c>
      <c r="R347" s="814">
        <f t="shared" si="295"/>
        <v>0.65131814434769808</v>
      </c>
      <c r="S347" s="814">
        <f t="shared" si="295"/>
        <v>0.67131814434769821</v>
      </c>
      <c r="T347" s="814">
        <f t="shared" si="295"/>
        <v>0.69131814434769823</v>
      </c>
      <c r="U347" s="814">
        <f t="shared" si="295"/>
        <v>0.71131814434769824</v>
      </c>
      <c r="V347" s="814">
        <f t="shared" si="295"/>
        <v>0.73131814434769826</v>
      </c>
      <c r="W347" s="814">
        <f t="shared" si="295"/>
        <v>0.74631814434769839</v>
      </c>
      <c r="X347" s="814">
        <f t="shared" si="295"/>
        <v>0.7613181443476984</v>
      </c>
      <c r="Y347" s="814">
        <f t="shared" si="295"/>
        <v>0.77131814434769852</v>
      </c>
      <c r="Z347" s="814">
        <f t="shared" si="295"/>
        <v>0.78131814434769853</v>
      </c>
      <c r="AA347" s="814">
        <f t="shared" si="295"/>
        <v>0.79131814434769854</v>
      </c>
      <c r="AB347" s="814">
        <f t="shared" si="295"/>
        <v>0.80131814434769855</v>
      </c>
      <c r="AC347" s="814">
        <f t="shared" si="295"/>
        <v>0.81131814434769856</v>
      </c>
      <c r="AD347" s="814">
        <f t="shared" si="295"/>
        <v>0.82131814434769856</v>
      </c>
    </row>
    <row r="352" spans="2:30">
      <c r="B352" s="817" t="s">
        <v>565</v>
      </c>
    </row>
    <row r="353" spans="2:2">
      <c r="B353" s="685" t="s">
        <v>557</v>
      </c>
    </row>
    <row r="354" spans="2:2">
      <c r="B354" s="685" t="s">
        <v>466</v>
      </c>
    </row>
    <row r="355" spans="2:2">
      <c r="B355" s="685" t="s">
        <v>107</v>
      </c>
    </row>
    <row r="356" spans="2:2">
      <c r="B356" s="685" t="s">
        <v>85</v>
      </c>
    </row>
  </sheetData>
  <pageMargins left="0.70866141732283472" right="0.70866141732283472" top="0.74803149606299213" bottom="0.74803149606299213" header="0.31496062992125984" footer="0.31496062992125984"/>
  <pageSetup paperSize="9" scale="30" fitToHeight="2"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pageSetUpPr fitToPage="1"/>
  </sheetPr>
  <dimension ref="A1:AN306"/>
  <sheetViews>
    <sheetView zoomScale="72" zoomScaleNormal="72" workbookViewId="0">
      <pane xSplit="2" ySplit="1" topLeftCell="D2" activePane="bottomRight" state="frozen"/>
      <selection pane="topRight" activeCell="C1" sqref="C1"/>
      <selection pane="bottomLeft" activeCell="A2" sqref="A2"/>
      <selection pane="bottomRight" activeCell="V33" sqref="V33"/>
    </sheetView>
  </sheetViews>
  <sheetFormatPr defaultColWidth="9.140625" defaultRowHeight="15" outlineLevelRow="2"/>
  <cols>
    <col min="1" max="1" width="2" style="685" customWidth="1"/>
    <col min="2" max="2" width="56.140625" style="685" customWidth="1"/>
    <col min="3" max="5" width="9.7109375" style="685" customWidth="1"/>
    <col min="6" max="6" width="9.7109375" style="685" customWidth="1" collapsed="1"/>
    <col min="7" max="32" width="9.7109375" style="685" customWidth="1"/>
    <col min="33" max="33" width="9.140625" style="685"/>
    <col min="34" max="34" width="10.42578125" style="685" bestFit="1" customWidth="1"/>
    <col min="35" max="42" width="9.140625" style="685"/>
    <col min="43" max="43" width="9.140625" style="685" customWidth="1"/>
    <col min="44" max="16384" width="9.140625" style="685"/>
  </cols>
  <sheetData>
    <row r="1" spans="2:34" ht="22.5" customHeight="1">
      <c r="B1" s="2027" t="s">
        <v>70</v>
      </c>
      <c r="C1" s="2028">
        <v>2006</v>
      </c>
      <c r="D1" s="2028">
        <v>2007</v>
      </c>
      <c r="E1" s="2028">
        <v>2008</v>
      </c>
      <c r="F1" s="2028">
        <v>2009</v>
      </c>
      <c r="G1" s="2028">
        <v>2010</v>
      </c>
      <c r="H1" s="2028">
        <v>2011</v>
      </c>
      <c r="I1" s="2028">
        <v>2012</v>
      </c>
      <c r="J1" s="2028">
        <v>2013</v>
      </c>
      <c r="K1" s="2028">
        <v>2014</v>
      </c>
      <c r="L1" s="2028">
        <v>2015</v>
      </c>
      <c r="M1" s="2028">
        <v>2016</v>
      </c>
      <c r="N1" s="2028">
        <v>2017</v>
      </c>
      <c r="O1" s="2028">
        <v>2018</v>
      </c>
      <c r="P1" s="2028">
        <v>2019</v>
      </c>
      <c r="Q1" s="2028">
        <v>2020</v>
      </c>
      <c r="R1" s="2028">
        <v>2021</v>
      </c>
      <c r="S1" s="2028">
        <v>2022</v>
      </c>
      <c r="T1" s="2028">
        <v>2023</v>
      </c>
      <c r="U1" s="2028">
        <v>2024</v>
      </c>
      <c r="V1" s="2028">
        <v>2025</v>
      </c>
      <c r="W1" s="2029">
        <v>2026</v>
      </c>
      <c r="X1" s="2029">
        <v>2027</v>
      </c>
      <c r="Y1" s="2029">
        <v>2028</v>
      </c>
      <c r="Z1" s="2029">
        <v>2029</v>
      </c>
      <c r="AA1" s="2029">
        <v>2030</v>
      </c>
      <c r="AB1" s="2029">
        <v>2031</v>
      </c>
      <c r="AC1" s="2029">
        <v>2032</v>
      </c>
      <c r="AD1" s="2029">
        <v>2033</v>
      </c>
      <c r="AE1" s="2029">
        <v>2034</v>
      </c>
      <c r="AF1" s="2029">
        <v>2035</v>
      </c>
      <c r="AG1" s="836"/>
      <c r="AH1" s="1617">
        <f ca="1">SOP!G42</f>
        <v>2.1807837624824744</v>
      </c>
    </row>
    <row r="3" spans="2:34">
      <c r="AA3" s="1379" t="s">
        <v>8196</v>
      </c>
    </row>
    <row r="4" spans="2:34">
      <c r="B4" s="817" t="s">
        <v>894</v>
      </c>
    </row>
    <row r="5" spans="2:34">
      <c r="B5" s="685" t="s">
        <v>6</v>
      </c>
      <c r="P5" s="1612">
        <f>Interims!AX287</f>
        <v>7429.3509999999997</v>
      </c>
      <c r="Q5" s="1612">
        <f>Interims!BC287</f>
        <v>7477.2939999999999</v>
      </c>
      <c r="R5" s="1612">
        <f>Interims!BH287</f>
        <v>7408.0749999999998</v>
      </c>
      <c r="S5" s="1612">
        <f>Interims!BM287</f>
        <v>6257.0590000000002</v>
      </c>
      <c r="T5" s="1612">
        <f>Interims!BR287</f>
        <v>5567.4260000000004</v>
      </c>
      <c r="U5" s="1612">
        <f>Interims!BW287</f>
        <v>4696.0379999999996</v>
      </c>
      <c r="V5" s="1612">
        <f>Interims!CB287</f>
        <v>3516.1959999999999</v>
      </c>
      <c r="W5" s="795">
        <f>V5+W11</f>
        <v>2516.1959999999999</v>
      </c>
      <c r="X5" s="795">
        <f t="shared" ref="X5:AF5" si="0">W5+X11</f>
        <v>1516.1959999999999</v>
      </c>
      <c r="Y5" s="795">
        <f t="shared" si="0"/>
        <v>716.19599999999991</v>
      </c>
      <c r="Z5" s="795">
        <f t="shared" si="0"/>
        <v>416.19599999999991</v>
      </c>
      <c r="AA5" s="795">
        <f t="shared" si="0"/>
        <v>316.19599999999991</v>
      </c>
      <c r="AB5" s="795">
        <f t="shared" si="0"/>
        <v>216.19599999999991</v>
      </c>
      <c r="AC5" s="795">
        <f t="shared" si="0"/>
        <v>116.19599999999991</v>
      </c>
      <c r="AD5" s="795">
        <f t="shared" si="0"/>
        <v>16.195999999999913</v>
      </c>
      <c r="AE5" s="795">
        <f t="shared" si="0"/>
        <v>0</v>
      </c>
      <c r="AF5" s="795">
        <f t="shared" si="0"/>
        <v>0</v>
      </c>
    </row>
    <row r="6" spans="2:34">
      <c r="B6" s="685" t="s">
        <v>519</v>
      </c>
      <c r="P6" s="1612">
        <f>Interims!AX288</f>
        <v>386.11399999999998</v>
      </c>
      <c r="Q6" s="1612">
        <f>Interims!BC288</f>
        <v>665.90700000000004</v>
      </c>
      <c r="R6" s="1612">
        <f>Interims!BH288</f>
        <v>727.226</v>
      </c>
      <c r="S6" s="1612">
        <f>Interims!BM288</f>
        <v>640.29399999999998</v>
      </c>
      <c r="T6" s="1612">
        <f>Interims!BR288</f>
        <v>515.08900000000006</v>
      </c>
      <c r="U6" s="1612">
        <f>Interims!BW288</f>
        <v>350.88499999999999</v>
      </c>
      <c r="V6" s="1612">
        <f>Interims!CB288</f>
        <v>225.376</v>
      </c>
      <c r="W6" s="795">
        <f t="shared" ref="W6:AF8" si="1">V6+W12</f>
        <v>125.376</v>
      </c>
      <c r="X6" s="795">
        <f t="shared" si="1"/>
        <v>75.376000000000005</v>
      </c>
      <c r="Y6" s="795">
        <f t="shared" si="1"/>
        <v>50.376000000000005</v>
      </c>
      <c r="Z6" s="795">
        <f t="shared" si="1"/>
        <v>30.376000000000005</v>
      </c>
      <c r="AA6" s="795">
        <f t="shared" si="1"/>
        <v>20.376000000000005</v>
      </c>
      <c r="AB6" s="795">
        <f t="shared" si="1"/>
        <v>15.376000000000005</v>
      </c>
      <c r="AC6" s="795">
        <f t="shared" si="1"/>
        <v>10.376000000000005</v>
      </c>
      <c r="AD6" s="795">
        <f t="shared" si="1"/>
        <v>5.3760000000000048</v>
      </c>
      <c r="AE6" s="795">
        <f t="shared" si="1"/>
        <v>0.37600000000000477</v>
      </c>
      <c r="AF6" s="795">
        <f t="shared" si="1"/>
        <v>0.37600000000000477</v>
      </c>
    </row>
    <row r="7" spans="2:34">
      <c r="B7" s="685" t="s">
        <v>518</v>
      </c>
      <c r="P7" s="2025">
        <f>Interims!AX289</f>
        <v>1.145</v>
      </c>
      <c r="Q7" s="2025">
        <f>Interims!BC289</f>
        <v>0.89200000000000002</v>
      </c>
      <c r="R7" s="2025">
        <f>Interims!BH289</f>
        <v>0.60099999999999998</v>
      </c>
      <c r="S7" s="2025">
        <f>Interims!BM289</f>
        <v>0.45300000000000001</v>
      </c>
      <c r="T7" s="2025">
        <f>Interims!BR289</f>
        <v>0.34399999999999997</v>
      </c>
      <c r="U7" s="2025">
        <f>Interims!BW289</f>
        <v>0.19700000000000001</v>
      </c>
      <c r="V7" s="2025">
        <f>Interims!CB289</f>
        <v>0.14899999999999999</v>
      </c>
      <c r="W7" s="915">
        <f t="shared" ca="1" si="1"/>
        <v>0</v>
      </c>
      <c r="X7" s="915">
        <f t="shared" ca="1" si="1"/>
        <v>0</v>
      </c>
      <c r="Y7" s="915">
        <f t="shared" ca="1" si="1"/>
        <v>0</v>
      </c>
      <c r="Z7" s="915">
        <f t="shared" ca="1" si="1"/>
        <v>0</v>
      </c>
      <c r="AA7" s="915">
        <f t="shared" ca="1" si="1"/>
        <v>0</v>
      </c>
      <c r="AB7" s="915">
        <f t="shared" ca="1" si="1"/>
        <v>0</v>
      </c>
      <c r="AC7" s="915">
        <f t="shared" ca="1" si="1"/>
        <v>0</v>
      </c>
      <c r="AD7" s="915">
        <f t="shared" ca="1" si="1"/>
        <v>0</v>
      </c>
      <c r="AE7" s="915">
        <f t="shared" ca="1" si="1"/>
        <v>0</v>
      </c>
      <c r="AF7" s="915">
        <f t="shared" ca="1" si="1"/>
        <v>0</v>
      </c>
    </row>
    <row r="8" spans="2:34">
      <c r="B8" s="685" t="s">
        <v>48</v>
      </c>
      <c r="P8" s="1612">
        <f>Interims!AX290</f>
        <v>0</v>
      </c>
      <c r="Q8" s="1612">
        <f>Interims!BC290</f>
        <v>0</v>
      </c>
      <c r="R8" s="1612">
        <f>Interims!BH290</f>
        <v>30.265999999999998</v>
      </c>
      <c r="S8" s="1612">
        <f>Interims!BM290</f>
        <v>15.602</v>
      </c>
      <c r="T8" s="1612">
        <f>Interims!BR290</f>
        <v>32.502000000000002</v>
      </c>
      <c r="U8" s="1612">
        <f>Interims!BW290</f>
        <v>15.500999999999999</v>
      </c>
      <c r="V8" s="1612">
        <f>Interims!CB290</f>
        <v>9.6310000000000002</v>
      </c>
      <c r="W8" s="795">
        <f t="shared" si="1"/>
        <v>5.6310000000000002</v>
      </c>
      <c r="X8" s="795">
        <f t="shared" si="1"/>
        <v>3.6310000000000002</v>
      </c>
      <c r="Y8" s="795">
        <f t="shared" si="1"/>
        <v>2.6310000000000002</v>
      </c>
      <c r="Z8" s="795">
        <f t="shared" si="1"/>
        <v>2.1310000000000002</v>
      </c>
      <c r="AA8" s="795">
        <f t="shared" si="1"/>
        <v>1.6310000000000002</v>
      </c>
      <c r="AB8" s="795">
        <f t="shared" si="1"/>
        <v>1.1310000000000002</v>
      </c>
      <c r="AC8" s="795">
        <f t="shared" si="1"/>
        <v>0.63100000000000023</v>
      </c>
      <c r="AD8" s="795">
        <f t="shared" si="1"/>
        <v>0.13100000000000023</v>
      </c>
      <c r="AE8" s="795">
        <f t="shared" si="1"/>
        <v>-0.36899999999999977</v>
      </c>
      <c r="AF8" s="795">
        <f t="shared" si="1"/>
        <v>-0.36899999999999977</v>
      </c>
    </row>
    <row r="10" spans="2:34">
      <c r="B10" s="817" t="s">
        <v>587</v>
      </c>
    </row>
    <row r="11" spans="2:34">
      <c r="B11" s="685" t="s">
        <v>6</v>
      </c>
      <c r="Q11" s="795">
        <f t="shared" ref="Q11:S11" si="2">Q5-P5</f>
        <v>47.943000000000211</v>
      </c>
      <c r="R11" s="795">
        <f t="shared" si="2"/>
        <v>-69.219000000000051</v>
      </c>
      <c r="S11" s="795">
        <f t="shared" si="2"/>
        <v>-1151.0159999999996</v>
      </c>
      <c r="T11" s="795">
        <f t="shared" ref="T11:U14" si="3">T5-S5</f>
        <v>-689.63299999999981</v>
      </c>
      <c r="U11" s="795">
        <f t="shared" si="3"/>
        <v>-871.38800000000083</v>
      </c>
      <c r="V11" s="795">
        <f>V5-U5</f>
        <v>-1179.8419999999996</v>
      </c>
      <c r="W11" s="910">
        <v>-1000</v>
      </c>
      <c r="X11" s="910">
        <f>W11</f>
        <v>-1000</v>
      </c>
      <c r="Y11" s="910">
        <v>-800</v>
      </c>
      <c r="Z11" s="910">
        <v>-300</v>
      </c>
      <c r="AA11" s="910">
        <v>-100</v>
      </c>
      <c r="AB11" s="910">
        <v>-100</v>
      </c>
      <c r="AC11" s="910">
        <v>-100</v>
      </c>
      <c r="AD11" s="910">
        <v>-100</v>
      </c>
      <c r="AE11" s="910">
        <f>-AD5</f>
        <v>-16.195999999999913</v>
      </c>
      <c r="AF11" s="910">
        <f>-AE5</f>
        <v>0</v>
      </c>
    </row>
    <row r="12" spans="2:34">
      <c r="B12" s="685" t="s">
        <v>519</v>
      </c>
      <c r="Q12" s="795">
        <f t="shared" ref="Q12:S12" si="4">Q6-P6</f>
        <v>279.79300000000006</v>
      </c>
      <c r="R12" s="795">
        <f t="shared" si="4"/>
        <v>61.31899999999996</v>
      </c>
      <c r="S12" s="795">
        <f t="shared" si="4"/>
        <v>-86.932000000000016</v>
      </c>
      <c r="T12" s="795">
        <f t="shared" si="3"/>
        <v>-125.20499999999993</v>
      </c>
      <c r="U12" s="795">
        <f t="shared" si="3"/>
        <v>-164.20400000000006</v>
      </c>
      <c r="V12" s="795">
        <f t="shared" ref="V12:W14" si="5">V6-U6</f>
        <v>-125.50899999999999</v>
      </c>
      <c r="W12" s="910">
        <v>-100</v>
      </c>
      <c r="X12" s="910">
        <v>-50</v>
      </c>
      <c r="Y12" s="910">
        <v>-25</v>
      </c>
      <c r="Z12" s="910">
        <v>-20</v>
      </c>
      <c r="AA12" s="910">
        <v>-10</v>
      </c>
      <c r="AB12" s="910">
        <v>-5</v>
      </c>
      <c r="AC12" s="910">
        <v>-5</v>
      </c>
      <c r="AD12" s="910">
        <v>-5</v>
      </c>
      <c r="AE12" s="910">
        <v>-5</v>
      </c>
      <c r="AF12" s="910">
        <v>0</v>
      </c>
    </row>
    <row r="13" spans="2:34">
      <c r="B13" s="685" t="s">
        <v>518</v>
      </c>
      <c r="Q13" s="915">
        <f t="shared" ref="Q13:S13" si="6">Q7-P7</f>
        <v>-0.253</v>
      </c>
      <c r="R13" s="915">
        <f t="shared" si="6"/>
        <v>-0.29100000000000004</v>
      </c>
      <c r="S13" s="915">
        <f t="shared" si="6"/>
        <v>-0.14799999999999996</v>
      </c>
      <c r="T13" s="915">
        <f t="shared" si="3"/>
        <v>-0.10900000000000004</v>
      </c>
      <c r="U13" s="915">
        <f t="shared" si="3"/>
        <v>-0.14699999999999996</v>
      </c>
      <c r="V13" s="915">
        <f t="shared" si="5"/>
        <v>-4.8000000000000015E-2</v>
      </c>
      <c r="W13" s="910">
        <f t="shared" ca="1" si="5"/>
        <v>-0.14899999999999999</v>
      </c>
      <c r="X13" s="910">
        <f t="shared" ref="X13:AF13" ca="1" si="7">X7-W7</f>
        <v>0</v>
      </c>
      <c r="Y13" s="910">
        <f t="shared" ca="1" si="7"/>
        <v>0</v>
      </c>
      <c r="Z13" s="910">
        <f t="shared" ca="1" si="7"/>
        <v>0</v>
      </c>
      <c r="AA13" s="910">
        <f t="shared" ca="1" si="7"/>
        <v>0</v>
      </c>
      <c r="AB13" s="910">
        <f t="shared" ca="1" si="7"/>
        <v>0</v>
      </c>
      <c r="AC13" s="910">
        <f t="shared" ca="1" si="7"/>
        <v>0</v>
      </c>
      <c r="AD13" s="910">
        <f t="shared" ca="1" si="7"/>
        <v>0</v>
      </c>
      <c r="AE13" s="910">
        <f t="shared" ca="1" si="7"/>
        <v>0</v>
      </c>
      <c r="AF13" s="910">
        <f t="shared" ca="1" si="7"/>
        <v>0</v>
      </c>
    </row>
    <row r="14" spans="2:34">
      <c r="B14" s="685" t="s">
        <v>48</v>
      </c>
      <c r="Q14" s="795">
        <f t="shared" ref="Q14:S14" si="8">Q8-P8</f>
        <v>0</v>
      </c>
      <c r="R14" s="795">
        <f t="shared" si="8"/>
        <v>30.265999999999998</v>
      </c>
      <c r="S14" s="795">
        <f t="shared" si="8"/>
        <v>-14.663999999999998</v>
      </c>
      <c r="T14" s="795">
        <f t="shared" si="3"/>
        <v>16.900000000000002</v>
      </c>
      <c r="U14" s="795">
        <f t="shared" si="3"/>
        <v>-17.001000000000005</v>
      </c>
      <c r="V14" s="795">
        <f t="shared" si="5"/>
        <v>-5.8699999999999992</v>
      </c>
      <c r="W14" s="910">
        <v>-4</v>
      </c>
      <c r="X14" s="910">
        <v>-2</v>
      </c>
      <c r="Y14" s="910">
        <v>-1</v>
      </c>
      <c r="Z14" s="910">
        <v>-0.5</v>
      </c>
      <c r="AA14" s="910">
        <v>-0.5</v>
      </c>
      <c r="AB14" s="910">
        <v>-0.5</v>
      </c>
      <c r="AC14" s="910">
        <v>-0.5</v>
      </c>
      <c r="AD14" s="910">
        <v>-0.5</v>
      </c>
      <c r="AE14" s="910">
        <v>-0.5</v>
      </c>
      <c r="AF14" s="910">
        <v>0</v>
      </c>
    </row>
    <row r="16" spans="2:34">
      <c r="B16" s="685" t="s">
        <v>836</v>
      </c>
      <c r="P16" s="795">
        <f t="shared" ref="P16:AF16" si="9">P5+P6+P7+P8</f>
        <v>7816.61</v>
      </c>
      <c r="Q16" s="795">
        <f t="shared" si="9"/>
        <v>8144.0929999999998</v>
      </c>
      <c r="R16" s="795">
        <f t="shared" si="9"/>
        <v>8166.1679999999988</v>
      </c>
      <c r="S16" s="795">
        <f t="shared" si="9"/>
        <v>6913.4080000000004</v>
      </c>
      <c r="T16" s="795">
        <f t="shared" si="9"/>
        <v>6115.3610000000008</v>
      </c>
      <c r="U16" s="795">
        <f t="shared" si="9"/>
        <v>5062.6210000000001</v>
      </c>
      <c r="V16" s="795">
        <f t="shared" si="9"/>
        <v>3751.3519999999999</v>
      </c>
      <c r="W16" s="795">
        <f t="shared" ca="1" si="9"/>
        <v>2647.203</v>
      </c>
      <c r="X16" s="795">
        <f t="shared" ca="1" si="9"/>
        <v>1595.203</v>
      </c>
      <c r="Y16" s="795">
        <f t="shared" ca="1" si="9"/>
        <v>769.20299999999986</v>
      </c>
      <c r="Z16" s="795">
        <f t="shared" ca="1" si="9"/>
        <v>448.70299999999986</v>
      </c>
      <c r="AA16" s="795">
        <f t="shared" ca="1" si="9"/>
        <v>338.20299999999986</v>
      </c>
      <c r="AB16" s="795">
        <f t="shared" ca="1" si="9"/>
        <v>232.70299999999992</v>
      </c>
      <c r="AC16" s="795">
        <f t="shared" ca="1" si="9"/>
        <v>127.20299999999992</v>
      </c>
      <c r="AD16" s="795">
        <f t="shared" ca="1" si="9"/>
        <v>21.702999999999918</v>
      </c>
      <c r="AE16" s="795">
        <f t="shared" ca="1" si="9"/>
        <v>7.0000000000050022E-3</v>
      </c>
      <c r="AF16" s="795">
        <f t="shared" ca="1" si="9"/>
        <v>7.0000000000050022E-3</v>
      </c>
    </row>
    <row r="17" spans="2:32">
      <c r="B17" s="685" t="s">
        <v>428</v>
      </c>
      <c r="P17" s="795"/>
      <c r="Q17" s="795">
        <f t="shared" ref="Q17:U17" si="10">AVERAGE(P16,Q16)</f>
        <v>7980.3514999999998</v>
      </c>
      <c r="R17" s="795">
        <f t="shared" si="10"/>
        <v>8155.1304999999993</v>
      </c>
      <c r="S17" s="795">
        <f t="shared" si="10"/>
        <v>7539.7879999999996</v>
      </c>
      <c r="T17" s="795">
        <f t="shared" si="10"/>
        <v>6514.3845000000001</v>
      </c>
      <c r="U17" s="795">
        <f t="shared" si="10"/>
        <v>5588.991</v>
      </c>
      <c r="V17" s="795">
        <f>AVERAGE(U16,V16)</f>
        <v>4406.9865</v>
      </c>
      <c r="W17" s="795">
        <f t="shared" ref="W17:AF17" ca="1" si="11">AVERAGE(V16,W16)</f>
        <v>3199.2775000000001</v>
      </c>
      <c r="X17" s="795">
        <f t="shared" ca="1" si="11"/>
        <v>2121.203</v>
      </c>
      <c r="Y17" s="795">
        <f t="shared" ca="1" si="11"/>
        <v>1182.203</v>
      </c>
      <c r="Z17" s="795">
        <f t="shared" ca="1" si="11"/>
        <v>608.95299999999986</v>
      </c>
      <c r="AA17" s="795">
        <f t="shared" ca="1" si="11"/>
        <v>393.45299999999986</v>
      </c>
      <c r="AB17" s="795">
        <f t="shared" ca="1" si="11"/>
        <v>285.45299999999986</v>
      </c>
      <c r="AC17" s="795">
        <f t="shared" ca="1" si="11"/>
        <v>179.95299999999992</v>
      </c>
      <c r="AD17" s="795">
        <f t="shared" ca="1" si="11"/>
        <v>74.452999999999918</v>
      </c>
      <c r="AE17" s="795">
        <f t="shared" ca="1" si="11"/>
        <v>10.854999999999961</v>
      </c>
      <c r="AF17" s="795">
        <f t="shared" ca="1" si="11"/>
        <v>7.0000000000050022E-3</v>
      </c>
    </row>
    <row r="21" spans="2:32">
      <c r="B21" s="817" t="s">
        <v>8124</v>
      </c>
      <c r="C21" s="817"/>
      <c r="D21" s="817"/>
      <c r="E21" s="817"/>
      <c r="F21" s="817"/>
      <c r="G21" s="817"/>
      <c r="H21" s="817"/>
      <c r="I21" s="817"/>
      <c r="J21" s="817"/>
      <c r="K21" s="817"/>
      <c r="L21" s="817"/>
      <c r="M21" s="817"/>
      <c r="N21" s="817"/>
      <c r="O21" s="817"/>
      <c r="P21" s="2035">
        <f>Interims!AY16</f>
        <v>21347</v>
      </c>
      <c r="Q21" s="2035">
        <f>Interims!BD16</f>
        <v>22134.7</v>
      </c>
      <c r="R21" s="2035">
        <f>Interims!BI16</f>
        <v>22026.6</v>
      </c>
      <c r="S21" s="2035">
        <f>Interims!BN16</f>
        <v>20339</v>
      </c>
      <c r="T21" s="2035">
        <f>Interims!BS16</f>
        <v>17585.2</v>
      </c>
      <c r="U21" s="2035">
        <f>Interims!BX16</f>
        <v>15034.7</v>
      </c>
      <c r="V21" s="2035">
        <f>Interims!CC16</f>
        <v>12397</v>
      </c>
      <c r="W21" s="818">
        <f>V21*(1+W22)</f>
        <v>9545.69</v>
      </c>
      <c r="X21" s="818">
        <f t="shared" ref="X21:AF21" si="12">W21*(1+X22)</f>
        <v>6681.9830000000002</v>
      </c>
      <c r="Y21" s="818">
        <f t="shared" si="12"/>
        <v>3340.9915000000001</v>
      </c>
      <c r="Z21" s="818">
        <f t="shared" si="12"/>
        <v>1837.5453250000003</v>
      </c>
      <c r="AA21" s="818">
        <f t="shared" si="12"/>
        <v>1102.5271950000001</v>
      </c>
      <c r="AB21" s="818">
        <f t="shared" si="12"/>
        <v>1025.3502913500001</v>
      </c>
      <c r="AC21" s="818">
        <f t="shared" si="12"/>
        <v>963.82927386900008</v>
      </c>
      <c r="AD21" s="818">
        <f t="shared" si="12"/>
        <v>915.63781017555004</v>
      </c>
      <c r="AE21" s="818">
        <f t="shared" si="12"/>
        <v>0</v>
      </c>
      <c r="AF21" s="818">
        <f t="shared" si="12"/>
        <v>0</v>
      </c>
    </row>
    <row r="22" spans="2:32">
      <c r="B22" s="817" t="s">
        <v>8081</v>
      </c>
      <c r="C22" s="817"/>
      <c r="D22" s="817"/>
      <c r="E22" s="817"/>
      <c r="F22" s="817"/>
      <c r="G22" s="817"/>
      <c r="H22" s="817"/>
      <c r="I22" s="817"/>
      <c r="J22" s="817"/>
      <c r="K22" s="817"/>
      <c r="L22" s="817"/>
      <c r="M22" s="817"/>
      <c r="N22" s="817"/>
      <c r="O22" s="817"/>
      <c r="P22" s="817"/>
      <c r="Q22" s="1904">
        <f t="shared" ref="Q22:T22" si="13">Q21/P21-1</f>
        <v>3.6899798566543351E-2</v>
      </c>
      <c r="R22" s="1904">
        <f t="shared" si="13"/>
        <v>-4.8837345886776351E-3</v>
      </c>
      <c r="S22" s="1904">
        <f t="shared" si="13"/>
        <v>-7.6616454650286436E-2</v>
      </c>
      <c r="T22" s="1904">
        <f t="shared" si="13"/>
        <v>-0.13539505383745509</v>
      </c>
      <c r="U22" s="1904">
        <f>U21/T21-1</f>
        <v>-0.1450367354366171</v>
      </c>
      <c r="V22" s="1904">
        <f>V21/U21-1</f>
        <v>-0.17544081358457442</v>
      </c>
      <c r="W22" s="2036">
        <v>-0.23</v>
      </c>
      <c r="X22" s="2036">
        <v>-0.3</v>
      </c>
      <c r="Y22" s="2036">
        <v>-0.5</v>
      </c>
      <c r="Z22" s="2036">
        <v>-0.45</v>
      </c>
      <c r="AA22" s="2036">
        <v>-0.4</v>
      </c>
      <c r="AB22" s="2036">
        <v>-7.0000000000000007E-2</v>
      </c>
      <c r="AC22" s="2036">
        <v>-0.06</v>
      </c>
      <c r="AD22" s="2036">
        <v>-0.05</v>
      </c>
      <c r="AE22" s="2162">
        <v>-1</v>
      </c>
      <c r="AF22" s="2036">
        <v>0</v>
      </c>
    </row>
    <row r="24" spans="2:32">
      <c r="B24" s="685" t="s">
        <v>8103</v>
      </c>
      <c r="Q24" s="796">
        <f t="shared" ref="Q24:AF24" si="14">Q21/Q17*1000/12</f>
        <v>231.13747976305726</v>
      </c>
      <c r="R24" s="796">
        <f t="shared" si="14"/>
        <v>225.07916948723263</v>
      </c>
      <c r="S24" s="796">
        <f t="shared" si="14"/>
        <v>224.79632937513188</v>
      </c>
      <c r="T24" s="796">
        <f t="shared" si="14"/>
        <v>224.95346004420423</v>
      </c>
      <c r="U24" s="796">
        <f t="shared" si="14"/>
        <v>224.17135162083221</v>
      </c>
      <c r="V24" s="796">
        <f t="shared" si="14"/>
        <v>234.41944588061099</v>
      </c>
      <c r="W24" s="796">
        <f t="shared" ca="1" si="14"/>
        <v>248.64181574329413</v>
      </c>
      <c r="X24" s="796">
        <f t="shared" ca="1" si="14"/>
        <v>262.50760378269632</v>
      </c>
      <c r="Y24" s="796">
        <f t="shared" ca="1" si="14"/>
        <v>235.50604958144527</v>
      </c>
      <c r="Z24" s="796">
        <f t="shared" ca="1" si="14"/>
        <v>251.46239050194905</v>
      </c>
      <c r="AA24" s="796">
        <f t="shared" ca="1" si="14"/>
        <v>233.51522608799533</v>
      </c>
      <c r="AB24" s="796">
        <f t="shared" ca="1" si="14"/>
        <v>299.33424280879882</v>
      </c>
      <c r="AC24" s="796">
        <f t="shared" ca="1" si="14"/>
        <v>446.33379913505217</v>
      </c>
      <c r="AD24" s="796">
        <f t="shared" ca="1" si="14"/>
        <v>1024.8499166986232</v>
      </c>
      <c r="AE24" s="796">
        <f t="shared" ca="1" si="14"/>
        <v>0</v>
      </c>
      <c r="AF24" s="796">
        <f t="shared" ca="1" si="14"/>
        <v>0</v>
      </c>
    </row>
    <row r="25" spans="2:32">
      <c r="B25" s="685" t="s">
        <v>8081</v>
      </c>
      <c r="R25" s="750">
        <f t="shared" ref="R25:U25" si="15">R24/Q24-1</f>
        <v>-2.6210852009094787E-2</v>
      </c>
      <c r="S25" s="750">
        <f t="shared" si="15"/>
        <v>-1.2566250033049231E-3</v>
      </c>
      <c r="T25" s="750">
        <f t="shared" si="15"/>
        <v>6.9899125803840612E-4</v>
      </c>
      <c r="U25" s="750">
        <f t="shared" si="15"/>
        <v>-3.4767565843101256E-3</v>
      </c>
      <c r="V25" s="750">
        <f>V24/U24-1</f>
        <v>4.5715450193263729E-2</v>
      </c>
      <c r="W25" s="750">
        <f t="shared" ref="W25:AE25" ca="1" si="16">W24/V24-1</f>
        <v>6.0670606097783075E-2</v>
      </c>
      <c r="X25" s="750">
        <f t="shared" ca="1" si="16"/>
        <v>5.5766114794293831E-2</v>
      </c>
      <c r="Y25" s="750">
        <f t="shared" ca="1" si="16"/>
        <v>-0.10286008409723224</v>
      </c>
      <c r="Z25" s="750">
        <f t="shared" ca="1" si="16"/>
        <v>6.7753422677941044E-2</v>
      </c>
      <c r="AA25" s="750">
        <f t="shared" ca="1" si="16"/>
        <v>-7.137116758545492E-2</v>
      </c>
      <c r="AB25" s="750">
        <f t="shared" ca="1" si="16"/>
        <v>0.2818617775956116</v>
      </c>
      <c r="AC25" s="750">
        <f t="shared" ca="1" si="16"/>
        <v>0.49108833973315247</v>
      </c>
      <c r="AD25" s="750">
        <f t="shared" ca="1" si="16"/>
        <v>1.2961512632130354</v>
      </c>
      <c r="AE25" s="750">
        <f t="shared" ca="1" si="16"/>
        <v>-1</v>
      </c>
      <c r="AF25" s="750"/>
    </row>
    <row r="28" spans="2:32">
      <c r="B28" s="817" t="s">
        <v>34</v>
      </c>
      <c r="C28" s="817"/>
      <c r="D28" s="817"/>
      <c r="E28" s="817"/>
      <c r="F28" s="817"/>
      <c r="G28" s="817"/>
      <c r="H28" s="817"/>
      <c r="I28" s="817"/>
      <c r="J28" s="817"/>
      <c r="K28" s="817"/>
      <c r="L28" s="817"/>
      <c r="M28" s="817"/>
      <c r="N28" s="817"/>
      <c r="O28" s="817"/>
      <c r="P28" s="1814">
        <f t="shared" ref="P28:T28" si="17">P172</f>
        <v>9121</v>
      </c>
      <c r="Q28" s="1814">
        <f t="shared" si="17"/>
        <v>9135.7999999999993</v>
      </c>
      <c r="R28" s="1814">
        <f t="shared" si="17"/>
        <v>8504.2000000000007</v>
      </c>
      <c r="S28" s="1814">
        <f t="shared" si="17"/>
        <v>6416.33</v>
      </c>
      <c r="T28" s="1814">
        <f t="shared" si="17"/>
        <v>5731.4</v>
      </c>
      <c r="U28" s="1814">
        <f>U172</f>
        <v>4672.3159999999998</v>
      </c>
      <c r="V28" s="818">
        <f>V30*V21</f>
        <v>3781.085</v>
      </c>
      <c r="W28" s="818">
        <f t="shared" ref="W28:AF28" si="18">W30*W21</f>
        <v>2863.7069999999999</v>
      </c>
      <c r="X28" s="818">
        <f t="shared" si="18"/>
        <v>1971.1849849999999</v>
      </c>
      <c r="Y28" s="818">
        <f t="shared" si="18"/>
        <v>952.18257749999998</v>
      </c>
      <c r="Z28" s="818">
        <f t="shared" si="18"/>
        <v>505.32496437500004</v>
      </c>
      <c r="AA28" s="818">
        <f t="shared" si="18"/>
        <v>292.16970667499999</v>
      </c>
      <c r="AB28" s="818">
        <f t="shared" si="18"/>
        <v>261.46432429424999</v>
      </c>
      <c r="AC28" s="818">
        <f t="shared" si="18"/>
        <v>236.13817209790497</v>
      </c>
      <c r="AD28" s="818">
        <f t="shared" si="18"/>
        <v>215.17488539125421</v>
      </c>
      <c r="AE28" s="818">
        <f t="shared" si="18"/>
        <v>0</v>
      </c>
      <c r="AF28" s="818">
        <f t="shared" si="18"/>
        <v>0</v>
      </c>
    </row>
    <row r="29" spans="2:32">
      <c r="B29" s="685" t="s">
        <v>8081</v>
      </c>
      <c r="Q29" s="750">
        <f t="shared" ref="Q29" si="19">Q28/P28-1</f>
        <v>1.6226290976866231E-3</v>
      </c>
      <c r="R29" s="750">
        <f t="shared" ref="R29" si="20">R28/Q28-1</f>
        <v>-6.9134613279625112E-2</v>
      </c>
      <c r="S29" s="750">
        <f t="shared" ref="S29" si="21">S28/R28-1</f>
        <v>-0.24551045365819246</v>
      </c>
      <c r="T29" s="750">
        <f t="shared" ref="T29" si="22">T28/S28-1</f>
        <v>-0.10674793846326491</v>
      </c>
      <c r="U29" s="750">
        <f>U28/T28-1</f>
        <v>-0.18478626513591789</v>
      </c>
      <c r="V29" s="750">
        <f t="shared" ref="V29:AE29" si="23">V28/U28-1</f>
        <v>-0.19074715836856926</v>
      </c>
      <c r="W29" s="750">
        <f t="shared" si="23"/>
        <v>-0.24262295081967222</v>
      </c>
      <c r="X29" s="750">
        <f t="shared" si="23"/>
        <v>-0.31166666666666665</v>
      </c>
      <c r="Y29" s="750">
        <f t="shared" si="23"/>
        <v>-0.51694915254237284</v>
      </c>
      <c r="Z29" s="750">
        <f t="shared" si="23"/>
        <v>-0.46929824561403499</v>
      </c>
      <c r="AA29" s="750">
        <f t="shared" si="23"/>
        <v>-0.42181818181818187</v>
      </c>
      <c r="AB29" s="750">
        <f t="shared" si="23"/>
        <v>-0.10509433962264147</v>
      </c>
      <c r="AC29" s="750">
        <f t="shared" si="23"/>
        <v>-9.6862745098039271E-2</v>
      </c>
      <c r="AD29" s="750">
        <f t="shared" si="23"/>
        <v>-8.8775510204081698E-2</v>
      </c>
      <c r="AE29" s="750">
        <f t="shared" si="23"/>
        <v>-1</v>
      </c>
      <c r="AF29" s="750"/>
    </row>
    <row r="30" spans="2:32">
      <c r="B30" s="817" t="s">
        <v>731</v>
      </c>
      <c r="C30" s="817"/>
      <c r="D30" s="817"/>
      <c r="E30" s="817"/>
      <c r="F30" s="817"/>
      <c r="G30" s="817"/>
      <c r="H30" s="817"/>
      <c r="I30" s="817"/>
      <c r="J30" s="817"/>
      <c r="K30" s="817"/>
      <c r="L30" s="817"/>
      <c r="M30" s="817"/>
      <c r="N30" s="817"/>
      <c r="O30" s="817"/>
      <c r="P30" s="1904">
        <f>P28/P21</f>
        <v>0.42727315313627207</v>
      </c>
      <c r="Q30" s="1904">
        <f t="shared" ref="Q30:U30" si="24">Q28/Q21</f>
        <v>0.41273656295319111</v>
      </c>
      <c r="R30" s="1904">
        <f t="shared" si="24"/>
        <v>0.38608773028974064</v>
      </c>
      <c r="S30" s="1904">
        <f t="shared" si="24"/>
        <v>0.31546929544225377</v>
      </c>
      <c r="T30" s="1904">
        <f t="shared" si="24"/>
        <v>0.3259217978754862</v>
      </c>
      <c r="U30" s="1904">
        <f t="shared" si="24"/>
        <v>0.31076882145968987</v>
      </c>
      <c r="V30" s="2036">
        <v>0.30499999999999999</v>
      </c>
      <c r="W30" s="2036">
        <f>V30-0.5%</f>
        <v>0.3</v>
      </c>
      <c r="X30" s="2036">
        <v>0.29499999999999998</v>
      </c>
      <c r="Y30" s="2036">
        <f>X30-1%</f>
        <v>0.28499999999999998</v>
      </c>
      <c r="Z30" s="2036">
        <f t="shared" ref="Z30:AD30" si="25">Y30-1%</f>
        <v>0.27499999999999997</v>
      </c>
      <c r="AA30" s="2036">
        <f t="shared" si="25"/>
        <v>0.26499999999999996</v>
      </c>
      <c r="AB30" s="2036">
        <f t="shared" si="25"/>
        <v>0.25499999999999995</v>
      </c>
      <c r="AC30" s="2036">
        <f t="shared" si="25"/>
        <v>0.24499999999999994</v>
      </c>
      <c r="AD30" s="2036">
        <f t="shared" si="25"/>
        <v>0.23499999999999993</v>
      </c>
      <c r="AE30" s="2162">
        <v>-1</v>
      </c>
      <c r="AF30" s="2036">
        <v>0</v>
      </c>
    </row>
    <row r="31" spans="2:32">
      <c r="Q31" s="814">
        <f>Q30-P30</f>
        <v>-1.4536590183080955E-2</v>
      </c>
      <c r="R31" s="814">
        <f t="shared" ref="R31:V31" si="26">R30-Q30</f>
        <v>-2.6648832663450472E-2</v>
      </c>
      <c r="S31" s="814">
        <f t="shared" si="26"/>
        <v>-7.0618434847486866E-2</v>
      </c>
      <c r="T31" s="814">
        <f t="shared" si="26"/>
        <v>1.0452502433232425E-2</v>
      </c>
      <c r="U31" s="814">
        <f t="shared" si="26"/>
        <v>-1.5152976415796326E-2</v>
      </c>
      <c r="V31" s="814">
        <f t="shared" si="26"/>
        <v>-5.7688214596898768E-3</v>
      </c>
    </row>
    <row r="33" spans="2:32">
      <c r="B33" s="817" t="s">
        <v>35</v>
      </c>
      <c r="C33" s="817"/>
      <c r="D33" s="817"/>
      <c r="E33" s="817"/>
      <c r="F33" s="817"/>
      <c r="G33" s="817"/>
      <c r="H33" s="817"/>
      <c r="I33" s="817"/>
      <c r="J33" s="817"/>
      <c r="K33" s="817"/>
      <c r="L33" s="817"/>
      <c r="M33" s="817"/>
      <c r="N33" s="817"/>
      <c r="O33" s="817"/>
      <c r="P33" s="1814">
        <f>P197</f>
        <v>4797.1749999999993</v>
      </c>
      <c r="Q33" s="1814">
        <f t="shared" ref="Q33:V33" si="27">Q197</f>
        <v>6000.8960000000006</v>
      </c>
      <c r="R33" s="1814">
        <f t="shared" si="27"/>
        <v>5188.2312950725163</v>
      </c>
      <c r="S33" s="1814">
        <f t="shared" si="27"/>
        <v>3831.0817999999999</v>
      </c>
      <c r="T33" s="1814">
        <f t="shared" si="27"/>
        <v>2565.7169999999996</v>
      </c>
      <c r="U33" s="1814">
        <f t="shared" si="27"/>
        <v>1425.8676</v>
      </c>
      <c r="V33" s="1814">
        <f t="shared" si="27"/>
        <v>1638.4872989824</v>
      </c>
      <c r="W33" s="1814">
        <f>W35*W21</f>
        <v>1240.9397000000001</v>
      </c>
      <c r="X33" s="1814">
        <f t="shared" ref="X33:AF33" si="28">X35*X21</f>
        <v>868.65779000000009</v>
      </c>
      <c r="Y33" s="1814">
        <f t="shared" si="28"/>
        <v>434.32889500000005</v>
      </c>
      <c r="Z33" s="1814">
        <f t="shared" si="28"/>
        <v>238.88089225000004</v>
      </c>
      <c r="AA33" s="1814">
        <f t="shared" si="28"/>
        <v>143.32853535000001</v>
      </c>
      <c r="AB33" s="1814">
        <f t="shared" si="28"/>
        <v>133.29553787550003</v>
      </c>
      <c r="AC33" s="1814">
        <f t="shared" si="28"/>
        <v>125.29780560297002</v>
      </c>
      <c r="AD33" s="1814">
        <f t="shared" si="28"/>
        <v>119.03291532282151</v>
      </c>
      <c r="AE33" s="1814">
        <f t="shared" si="28"/>
        <v>0</v>
      </c>
      <c r="AF33" s="1814">
        <f t="shared" si="28"/>
        <v>0</v>
      </c>
    </row>
    <row r="34" spans="2:32">
      <c r="B34" s="685" t="s">
        <v>8081</v>
      </c>
      <c r="Q34" s="750">
        <f t="shared" ref="Q34" si="29">Q33/P33-1</f>
        <v>0.25092288690739895</v>
      </c>
      <c r="R34" s="750">
        <f t="shared" ref="R34" si="30">R33/Q33-1</f>
        <v>-0.13542389418638223</v>
      </c>
      <c r="S34" s="750">
        <f t="shared" ref="S34" si="31">S33/R33-1</f>
        <v>-0.26158230385015002</v>
      </c>
      <c r="T34" s="750">
        <f t="shared" ref="T34" si="32">T33/S33-1</f>
        <v>-0.33028916271116959</v>
      </c>
      <c r="U34" s="750">
        <f t="shared" ref="U34" si="33">U33/T33-1</f>
        <v>-0.44426154560304187</v>
      </c>
      <c r="V34" s="750">
        <f t="shared" ref="V34" si="34">V33/U33-1</f>
        <v>0.14911601819299358</v>
      </c>
      <c r="W34" s="750">
        <f t="shared" ref="W34" si="35">W33/V33-1</f>
        <v>-0.24263087008932027</v>
      </c>
      <c r="X34" s="750">
        <f t="shared" ref="X34" si="36">X33/W33-1</f>
        <v>-0.30000000000000004</v>
      </c>
      <c r="Y34" s="750">
        <f t="shared" ref="Y34" si="37">Y33/X33-1</f>
        <v>-0.5</v>
      </c>
      <c r="Z34" s="750">
        <f t="shared" ref="Z34" si="38">Z33/Y33-1</f>
        <v>-0.44999999999999996</v>
      </c>
      <c r="AA34" s="750">
        <f t="shared" ref="AA34" si="39">AA33/Z33-1</f>
        <v>-0.4</v>
      </c>
      <c r="AB34" s="750">
        <f t="shared" ref="AB34" si="40">AB33/AA33-1</f>
        <v>-6.999999999999984E-2</v>
      </c>
      <c r="AC34" s="750">
        <f t="shared" ref="AC34" si="41">AC33/AB33-1</f>
        <v>-6.0000000000000053E-2</v>
      </c>
      <c r="AD34" s="750">
        <f t="shared" ref="AD34" si="42">AD33/AC33-1</f>
        <v>-5.0000000000000044E-2</v>
      </c>
      <c r="AE34" s="750">
        <f t="shared" ref="AE34" si="43">AE33/AD33-1</f>
        <v>-1</v>
      </c>
      <c r="AF34" s="750" t="e">
        <f t="shared" ref="AF34" si="44">AF33/AE33-1</f>
        <v>#DIV/0!</v>
      </c>
    </row>
    <row r="35" spans="2:32">
      <c r="B35" s="817" t="s">
        <v>1039</v>
      </c>
      <c r="C35" s="817"/>
      <c r="D35" s="817"/>
      <c r="E35" s="817"/>
      <c r="F35" s="817"/>
      <c r="G35" s="817"/>
      <c r="H35" s="817"/>
      <c r="I35" s="817"/>
      <c r="J35" s="817"/>
      <c r="K35" s="817"/>
      <c r="L35" s="817"/>
      <c r="M35" s="817"/>
      <c r="N35" s="817"/>
      <c r="O35" s="817"/>
      <c r="P35" s="1904">
        <f>P33/P21</f>
        <v>0.22472361455942283</v>
      </c>
      <c r="Q35" s="1904">
        <f t="shared" ref="Q35:V35" si="45">Q33/Q21</f>
        <v>0.27110807916981033</v>
      </c>
      <c r="R35" s="1904">
        <f t="shared" si="45"/>
        <v>0.23554390124088678</v>
      </c>
      <c r="S35" s="1904">
        <f t="shared" si="45"/>
        <v>0.18836136486552926</v>
      </c>
      <c r="T35" s="1904">
        <f t="shared" si="45"/>
        <v>0.14590206537315467</v>
      </c>
      <c r="U35" s="1904">
        <f t="shared" si="45"/>
        <v>9.4838447059136535E-2</v>
      </c>
      <c r="V35" s="1904">
        <f t="shared" si="45"/>
        <v>0.1321680486393805</v>
      </c>
      <c r="W35" s="2036">
        <v>0.13</v>
      </c>
      <c r="X35" s="2036">
        <v>0.13</v>
      </c>
      <c r="Y35" s="2036">
        <v>0.13</v>
      </c>
      <c r="Z35" s="2036">
        <v>0.13</v>
      </c>
      <c r="AA35" s="2036">
        <v>0.13</v>
      </c>
      <c r="AB35" s="2036">
        <v>0.13</v>
      </c>
      <c r="AC35" s="2036">
        <v>0.13</v>
      </c>
      <c r="AD35" s="2036">
        <v>0.13</v>
      </c>
      <c r="AE35" s="2036">
        <v>0.13</v>
      </c>
      <c r="AF35" s="2036">
        <v>0.13</v>
      </c>
    </row>
    <row r="38" spans="2:32">
      <c r="B38" s="685" t="s">
        <v>36</v>
      </c>
      <c r="P38" s="926">
        <f>P28-P33</f>
        <v>4323.8250000000007</v>
      </c>
      <c r="Q38" s="926">
        <f t="shared" ref="Q38:AF38" si="46">Q28-Q33</f>
        <v>3134.9039999999986</v>
      </c>
      <c r="R38" s="926">
        <f t="shared" si="46"/>
        <v>3315.9687049274844</v>
      </c>
      <c r="S38" s="926">
        <f t="shared" si="46"/>
        <v>2585.2482</v>
      </c>
      <c r="T38" s="926">
        <f t="shared" si="46"/>
        <v>3165.683</v>
      </c>
      <c r="U38" s="926">
        <f t="shared" si="46"/>
        <v>3246.4483999999998</v>
      </c>
      <c r="V38" s="926">
        <f t="shared" si="46"/>
        <v>2142.5977010176002</v>
      </c>
      <c r="W38" s="926">
        <f t="shared" si="46"/>
        <v>1622.7672999999998</v>
      </c>
      <c r="X38" s="926">
        <f t="shared" si="46"/>
        <v>1102.5271949999997</v>
      </c>
      <c r="Y38" s="926">
        <f t="shared" si="46"/>
        <v>517.85368249999988</v>
      </c>
      <c r="Z38" s="926">
        <f t="shared" si="46"/>
        <v>266.44407212499999</v>
      </c>
      <c r="AA38" s="926">
        <f t="shared" si="46"/>
        <v>148.84117132499998</v>
      </c>
      <c r="AB38" s="926">
        <f t="shared" si="46"/>
        <v>128.16878641874996</v>
      </c>
      <c r="AC38" s="926">
        <f t="shared" si="46"/>
        <v>110.84036649493495</v>
      </c>
      <c r="AD38" s="926">
        <f t="shared" si="46"/>
        <v>96.141970068432698</v>
      </c>
      <c r="AE38" s="926">
        <f t="shared" si="46"/>
        <v>0</v>
      </c>
      <c r="AF38" s="926">
        <f t="shared" si="46"/>
        <v>0</v>
      </c>
    </row>
    <row r="39" spans="2:32">
      <c r="B39" s="685" t="s">
        <v>8081</v>
      </c>
      <c r="Q39" s="750">
        <f t="shared" ref="Q39" si="47">Q38/P38-1</f>
        <v>-0.2749697316612032</v>
      </c>
      <c r="R39" s="750">
        <f t="shared" ref="R39" si="48">R38/Q38-1</f>
        <v>5.775765539470612E-2</v>
      </c>
      <c r="S39" s="750">
        <f t="shared" ref="S39" si="49">S38/R38-1</f>
        <v>-0.2203641137630894</v>
      </c>
      <c r="T39" s="750">
        <f t="shared" ref="T39" si="50">T38/S38-1</f>
        <v>0.22451801726426113</v>
      </c>
      <c r="U39" s="750">
        <f t="shared" ref="U39" si="51">U38/T38-1</f>
        <v>2.5512788235587669E-2</v>
      </c>
      <c r="V39" s="750">
        <f t="shared" ref="V39" si="52">V38/U38-1</f>
        <v>-0.340017940523065</v>
      </c>
      <c r="W39" s="750">
        <f t="shared" ref="W39" si="53">W38/V38-1</f>
        <v>-0.24261689479584225</v>
      </c>
      <c r="X39" s="750">
        <f t="shared" ref="X39" si="54">X38/W38-1</f>
        <v>-0.32058823529411773</v>
      </c>
      <c r="Y39" s="750">
        <f t="shared" ref="Y39" si="55">Y38/X38-1</f>
        <v>-0.53030303030303028</v>
      </c>
      <c r="Z39" s="750">
        <f t="shared" ref="Z39" si="56">Z38/Y38-1</f>
        <v>-0.48548387096774182</v>
      </c>
      <c r="AA39" s="750">
        <f t="shared" ref="AA39" si="57">AA38/Z38-1</f>
        <v>-0.44137931034482769</v>
      </c>
      <c r="AB39" s="750">
        <f t="shared" ref="AB39" si="58">AB38/AA38-1</f>
        <v>-0.13888888888888906</v>
      </c>
      <c r="AC39" s="750">
        <f t="shared" ref="AC39" si="59">AC38/AB38-1</f>
        <v>-0.1352000000000001</v>
      </c>
      <c r="AD39" s="750">
        <f t="shared" ref="AD39" si="60">AD38/AC38-1</f>
        <v>-0.13260869565217404</v>
      </c>
      <c r="AE39" s="750">
        <f t="shared" ref="AE39" si="61">AE38/AD38-1</f>
        <v>-1</v>
      </c>
      <c r="AF39" s="750"/>
    </row>
    <row r="40" spans="2:32">
      <c r="B40" s="685" t="s">
        <v>731</v>
      </c>
      <c r="P40" s="750">
        <f>P38/P21</f>
        <v>0.20254953857684924</v>
      </c>
      <c r="Q40" s="750">
        <f t="shared" ref="Q40:AD40" si="62">Q38/Q21</f>
        <v>0.14162848378338078</v>
      </c>
      <c r="R40" s="750">
        <f t="shared" si="62"/>
        <v>0.15054382904885386</v>
      </c>
      <c r="S40" s="750">
        <f t="shared" si="62"/>
        <v>0.12710793057672451</v>
      </c>
      <c r="T40" s="750">
        <f t="shared" si="62"/>
        <v>0.1800197325023315</v>
      </c>
      <c r="U40" s="750">
        <f t="shared" si="62"/>
        <v>0.21593037440055335</v>
      </c>
      <c r="V40" s="750">
        <f t="shared" si="62"/>
        <v>0.17283195136061952</v>
      </c>
      <c r="W40" s="750">
        <f t="shared" si="62"/>
        <v>0.16999999999999996</v>
      </c>
      <c r="X40" s="750">
        <f t="shared" si="62"/>
        <v>0.16499999999999995</v>
      </c>
      <c r="Y40" s="750">
        <f t="shared" si="62"/>
        <v>0.15499999999999997</v>
      </c>
      <c r="Z40" s="750">
        <f t="shared" si="62"/>
        <v>0.14499999999999996</v>
      </c>
      <c r="AA40" s="750">
        <f t="shared" si="62"/>
        <v>0.13499999999999995</v>
      </c>
      <c r="AB40" s="750">
        <f t="shared" si="62"/>
        <v>0.12499999999999994</v>
      </c>
      <c r="AC40" s="750">
        <f t="shared" si="62"/>
        <v>0.11499999999999995</v>
      </c>
      <c r="AD40" s="750">
        <f t="shared" si="62"/>
        <v>0.10499999999999994</v>
      </c>
      <c r="AE40" s="750"/>
      <c r="AF40" s="750"/>
    </row>
    <row r="47" spans="2:32" outlineLevel="1">
      <c r="B47" s="817" t="s">
        <v>566</v>
      </c>
    </row>
    <row r="48" spans="2:32" outlineLevel="1">
      <c r="B48" s="743" t="s">
        <v>567</v>
      </c>
      <c r="C48" s="743">
        <f t="shared" ref="C48:AF48" si="63">C1</f>
        <v>2006</v>
      </c>
      <c r="D48" s="743">
        <f t="shared" si="63"/>
        <v>2007</v>
      </c>
      <c r="E48" s="743">
        <f t="shared" si="63"/>
        <v>2008</v>
      </c>
      <c r="F48" s="743">
        <f t="shared" si="63"/>
        <v>2009</v>
      </c>
      <c r="G48" s="743">
        <f t="shared" si="63"/>
        <v>2010</v>
      </c>
      <c r="H48" s="743">
        <f t="shared" si="63"/>
        <v>2011</v>
      </c>
      <c r="I48" s="743">
        <f t="shared" si="63"/>
        <v>2012</v>
      </c>
      <c r="J48" s="743">
        <f t="shared" si="63"/>
        <v>2013</v>
      </c>
      <c r="K48" s="743">
        <f t="shared" si="63"/>
        <v>2014</v>
      </c>
      <c r="L48" s="743">
        <f t="shared" si="63"/>
        <v>2015</v>
      </c>
      <c r="M48" s="743">
        <f t="shared" si="63"/>
        <v>2016</v>
      </c>
      <c r="N48" s="743">
        <f t="shared" si="63"/>
        <v>2017</v>
      </c>
      <c r="O48" s="743">
        <f t="shared" si="63"/>
        <v>2018</v>
      </c>
      <c r="P48" s="743">
        <f t="shared" si="63"/>
        <v>2019</v>
      </c>
      <c r="Q48" s="743">
        <f t="shared" si="63"/>
        <v>2020</v>
      </c>
      <c r="R48" s="743">
        <f t="shared" si="63"/>
        <v>2021</v>
      </c>
      <c r="S48" s="743">
        <f t="shared" si="63"/>
        <v>2022</v>
      </c>
      <c r="T48" s="743">
        <f t="shared" si="63"/>
        <v>2023</v>
      </c>
      <c r="U48" s="743">
        <f t="shared" si="63"/>
        <v>2024</v>
      </c>
      <c r="V48" s="743">
        <f t="shared" si="63"/>
        <v>2025</v>
      </c>
      <c r="W48" s="743">
        <f t="shared" si="63"/>
        <v>2026</v>
      </c>
      <c r="X48" s="743">
        <f t="shared" si="63"/>
        <v>2027</v>
      </c>
      <c r="Y48" s="743">
        <f t="shared" si="63"/>
        <v>2028</v>
      </c>
      <c r="Z48" s="743">
        <f t="shared" si="63"/>
        <v>2029</v>
      </c>
      <c r="AA48" s="743">
        <f t="shared" si="63"/>
        <v>2030</v>
      </c>
      <c r="AB48" s="743">
        <f t="shared" si="63"/>
        <v>2031</v>
      </c>
      <c r="AC48" s="743">
        <f t="shared" si="63"/>
        <v>2032</v>
      </c>
      <c r="AD48" s="743">
        <f t="shared" si="63"/>
        <v>2033</v>
      </c>
      <c r="AE48" s="743">
        <f t="shared" si="63"/>
        <v>2034</v>
      </c>
      <c r="AF48" s="743">
        <f t="shared" si="63"/>
        <v>2035</v>
      </c>
    </row>
    <row r="49" spans="2:34" outlineLevel="1">
      <c r="B49" s="685" t="s">
        <v>483</v>
      </c>
      <c r="F49" s="910">
        <v>632</v>
      </c>
      <c r="G49" s="910">
        <v>669</v>
      </c>
      <c r="H49" s="910">
        <v>727</v>
      </c>
      <c r="I49" s="910">
        <v>787</v>
      </c>
      <c r="J49" s="910">
        <v>867</v>
      </c>
      <c r="K49" s="910">
        <v>903.1</v>
      </c>
      <c r="L49" s="795"/>
      <c r="M49" s="795"/>
      <c r="N49" s="795"/>
      <c r="O49" s="795"/>
      <c r="P49" s="795"/>
      <c r="Q49" s="795"/>
      <c r="R49" s="795"/>
      <c r="S49" s="795"/>
      <c r="T49" s="795"/>
      <c r="U49" s="795"/>
      <c r="V49" s="795"/>
      <c r="W49" s="795"/>
      <c r="X49" s="795"/>
      <c r="Y49" s="795"/>
      <c r="Z49" s="795"/>
      <c r="AA49" s="795"/>
      <c r="AB49" s="795"/>
      <c r="AC49" s="795"/>
      <c r="AD49" s="795"/>
      <c r="AE49" s="795"/>
      <c r="AF49" s="795"/>
    </row>
    <row r="50" spans="2:34" outlineLevel="1">
      <c r="B50" s="685" t="s">
        <v>484</v>
      </c>
      <c r="F50" s="910">
        <v>913</v>
      </c>
      <c r="G50" s="910">
        <v>997</v>
      </c>
      <c r="H50" s="910">
        <v>1085</v>
      </c>
      <c r="I50" s="910">
        <v>1147</v>
      </c>
      <c r="J50" s="910">
        <v>1185</v>
      </c>
      <c r="K50" s="910">
        <v>1214</v>
      </c>
      <c r="L50" s="795"/>
      <c r="M50" s="795"/>
      <c r="N50" s="795"/>
      <c r="O50" s="795"/>
      <c r="P50" s="795"/>
      <c r="Q50" s="795"/>
      <c r="R50" s="795"/>
      <c r="S50" s="795"/>
      <c r="T50" s="795"/>
      <c r="U50" s="795"/>
      <c r="V50" s="795"/>
      <c r="W50" s="795"/>
      <c r="X50" s="795"/>
      <c r="Y50" s="795"/>
      <c r="Z50" s="795"/>
      <c r="AA50" s="795"/>
      <c r="AB50" s="795"/>
      <c r="AC50" s="795"/>
      <c r="AD50" s="795"/>
      <c r="AE50" s="795"/>
      <c r="AF50" s="795"/>
    </row>
    <row r="51" spans="2:34" outlineLevel="1">
      <c r="B51" s="685" t="s">
        <v>485</v>
      </c>
      <c r="F51" s="910">
        <v>237</v>
      </c>
      <c r="G51" s="910">
        <v>302</v>
      </c>
      <c r="H51" s="910">
        <v>370</v>
      </c>
      <c r="I51" s="910">
        <v>375</v>
      </c>
      <c r="J51" s="910">
        <v>443</v>
      </c>
      <c r="K51" s="910">
        <v>489</v>
      </c>
      <c r="L51" s="795"/>
      <c r="M51" s="795"/>
      <c r="N51" s="795"/>
      <c r="O51" s="795"/>
      <c r="P51" s="795"/>
      <c r="Q51" s="795"/>
      <c r="R51" s="795"/>
      <c r="S51" s="795"/>
      <c r="T51" s="795"/>
      <c r="U51" s="795"/>
      <c r="V51" s="795"/>
      <c r="W51" s="795"/>
      <c r="X51" s="795"/>
      <c r="Y51" s="795"/>
      <c r="Z51" s="795"/>
      <c r="AA51" s="795"/>
      <c r="AB51" s="795"/>
      <c r="AC51" s="795"/>
      <c r="AD51" s="795"/>
      <c r="AE51" s="795"/>
      <c r="AF51" s="795"/>
    </row>
    <row r="52" spans="2:34" outlineLevel="1">
      <c r="B52" s="685" t="s">
        <v>486</v>
      </c>
      <c r="F52" s="910">
        <f t="shared" ref="F52:J53" si="64">F51/G51*G52</f>
        <v>363.98159509202452</v>
      </c>
      <c r="G52" s="910">
        <f t="shared" si="64"/>
        <v>463.8077709611452</v>
      </c>
      <c r="H52" s="910">
        <f t="shared" si="64"/>
        <v>568.24130879345603</v>
      </c>
      <c r="I52" s="910">
        <f t="shared" si="64"/>
        <v>575.92024539877298</v>
      </c>
      <c r="J52" s="910">
        <f t="shared" si="64"/>
        <v>680.35378323108387</v>
      </c>
      <c r="K52" s="910">
        <v>751</v>
      </c>
      <c r="L52" s="795"/>
      <c r="M52" s="795"/>
      <c r="N52" s="795"/>
      <c r="O52" s="795"/>
      <c r="P52" s="795"/>
      <c r="Q52" s="795"/>
      <c r="R52" s="795"/>
      <c r="S52" s="795"/>
      <c r="T52" s="795"/>
      <c r="U52" s="795"/>
      <c r="V52" s="795"/>
      <c r="W52" s="795"/>
      <c r="X52" s="795"/>
      <c r="Y52" s="795"/>
      <c r="Z52" s="795"/>
      <c r="AA52" s="795"/>
      <c r="AB52" s="795"/>
      <c r="AC52" s="795"/>
      <c r="AD52" s="795"/>
      <c r="AE52" s="795"/>
      <c r="AF52" s="795"/>
    </row>
    <row r="53" spans="2:34" outlineLevel="1">
      <c r="B53" s="743" t="s">
        <v>487</v>
      </c>
      <c r="C53" s="743"/>
      <c r="D53" s="743"/>
      <c r="E53" s="743"/>
      <c r="F53" s="920">
        <f t="shared" si="64"/>
        <v>198.46932515337423</v>
      </c>
      <c r="G53" s="920">
        <f t="shared" si="64"/>
        <v>252.90184049079755</v>
      </c>
      <c r="H53" s="920">
        <f t="shared" si="64"/>
        <v>309.84662576687117</v>
      </c>
      <c r="I53" s="920">
        <f t="shared" si="64"/>
        <v>314.03374233128835</v>
      </c>
      <c r="J53" s="920">
        <f t="shared" si="64"/>
        <v>370.97852760736197</v>
      </c>
      <c r="K53" s="920">
        <f>650-Cable!I117-Cable!I162</f>
        <v>409.5</v>
      </c>
      <c r="L53" s="833"/>
      <c r="M53" s="833"/>
      <c r="N53" s="833"/>
      <c r="O53" s="833"/>
      <c r="P53" s="833"/>
      <c r="Q53" s="833"/>
      <c r="R53" s="833"/>
      <c r="S53" s="833"/>
      <c r="T53" s="833"/>
      <c r="U53" s="833"/>
      <c r="V53" s="833"/>
      <c r="W53" s="833"/>
      <c r="X53" s="833"/>
      <c r="Y53" s="833"/>
      <c r="Z53" s="833"/>
      <c r="AA53" s="833"/>
      <c r="AB53" s="833"/>
      <c r="AC53" s="833"/>
      <c r="AD53" s="833"/>
      <c r="AE53" s="833"/>
      <c r="AF53" s="833"/>
    </row>
    <row r="54" spans="2:34" outlineLevel="1">
      <c r="B54" s="685" t="s">
        <v>568</v>
      </c>
      <c r="F54" s="795">
        <f t="shared" ref="F54:K54" si="65">SUM(F49:F53)</f>
        <v>2344.4509202453987</v>
      </c>
      <c r="G54" s="795">
        <f t="shared" si="65"/>
        <v>2684.7096114519427</v>
      </c>
      <c r="H54" s="795">
        <f t="shared" si="65"/>
        <v>3060.0879345603271</v>
      </c>
      <c r="I54" s="795">
        <f t="shared" si="65"/>
        <v>3198.9539877300613</v>
      </c>
      <c r="J54" s="795">
        <f t="shared" si="65"/>
        <v>3546.3323108384461</v>
      </c>
      <c r="K54" s="795">
        <f t="shared" si="65"/>
        <v>3766.6</v>
      </c>
      <c r="L54" s="1612">
        <v>4062</v>
      </c>
      <c r="M54" s="1612">
        <v>4206</v>
      </c>
      <c r="N54" s="1612">
        <v>4185</v>
      </c>
      <c r="O54" s="1612">
        <v>4384</v>
      </c>
      <c r="P54" s="1612">
        <v>4318.8630000000003</v>
      </c>
      <c r="Q54" s="1612">
        <v>4284.7</v>
      </c>
      <c r="R54" s="1612">
        <v>4166.46</v>
      </c>
      <c r="S54" s="1612">
        <v>4458.22</v>
      </c>
      <c r="T54" s="1612">
        <v>4059.4940000000001</v>
      </c>
      <c r="U54" s="1612">
        <v>3846.518</v>
      </c>
      <c r="V54" s="1612">
        <f>Interims!CB259</f>
        <v>3646.569</v>
      </c>
      <c r="W54" s="969">
        <f>V54-180</f>
        <v>3466.569</v>
      </c>
      <c r="X54" s="969">
        <f>W54-150</f>
        <v>3316.569</v>
      </c>
      <c r="Y54" s="969">
        <f t="shared" ref="Y54:AF54" si="66">X54*0.95</f>
        <v>3150.74055</v>
      </c>
      <c r="Z54" s="969">
        <f t="shared" si="66"/>
        <v>2993.2035225</v>
      </c>
      <c r="AA54" s="969">
        <f t="shared" si="66"/>
        <v>2843.5433463750001</v>
      </c>
      <c r="AB54" s="969">
        <f t="shared" si="66"/>
        <v>2701.3661790562501</v>
      </c>
      <c r="AC54" s="969">
        <f t="shared" si="66"/>
        <v>2566.2978701034376</v>
      </c>
      <c r="AD54" s="969">
        <f t="shared" si="66"/>
        <v>2437.9829765982654</v>
      </c>
      <c r="AE54" s="969">
        <f t="shared" si="66"/>
        <v>2316.083827768352</v>
      </c>
      <c r="AF54" s="969">
        <f t="shared" si="66"/>
        <v>2200.2796363799343</v>
      </c>
      <c r="AG54" s="1412"/>
      <c r="AH54" s="796"/>
    </row>
    <row r="55" spans="2:34" outlineLevel="1">
      <c r="B55" s="685" t="s">
        <v>468</v>
      </c>
      <c r="F55" s="910">
        <v>1593</v>
      </c>
      <c r="G55" s="910">
        <v>1757</v>
      </c>
      <c r="H55" s="910">
        <v>1944</v>
      </c>
      <c r="I55" s="910">
        <v>2100</v>
      </c>
      <c r="J55" s="910">
        <v>2143</v>
      </c>
      <c r="K55" s="910">
        <v>2406</v>
      </c>
      <c r="L55" s="910">
        <v>2834</v>
      </c>
      <c r="M55" s="910">
        <v>3030</v>
      </c>
      <c r="N55" s="910">
        <v>3040</v>
      </c>
      <c r="O55" s="910">
        <v>3202</v>
      </c>
      <c r="P55" s="910">
        <v>3224.7979999999998</v>
      </c>
      <c r="Q55" s="910">
        <v>3413</v>
      </c>
      <c r="R55" s="910">
        <v>3539.82</v>
      </c>
      <c r="S55" s="910">
        <v>3675.6149999999998</v>
      </c>
      <c r="T55" s="910">
        <v>3914.09</v>
      </c>
      <c r="U55" s="834">
        <v>4114.09</v>
      </c>
      <c r="V55" s="834">
        <v>4264.09</v>
      </c>
      <c r="W55" s="834">
        <v>4404.09</v>
      </c>
      <c r="X55" s="834">
        <v>4534.09</v>
      </c>
      <c r="Y55" s="834">
        <v>4654.09</v>
      </c>
      <c r="Z55" s="834">
        <v>4764.09</v>
      </c>
      <c r="AA55" s="834">
        <v>4864.09</v>
      </c>
      <c r="AB55" s="834">
        <v>4864.09</v>
      </c>
      <c r="AC55" s="834">
        <v>4864.09</v>
      </c>
      <c r="AD55" s="834">
        <v>4864.09</v>
      </c>
      <c r="AE55" s="834">
        <v>4864.09</v>
      </c>
      <c r="AF55" s="834">
        <v>4864.09</v>
      </c>
    </row>
    <row r="56" spans="2:34" outlineLevel="1">
      <c r="B56" s="743" t="s">
        <v>502</v>
      </c>
      <c r="C56" s="743"/>
      <c r="D56" s="743"/>
      <c r="E56" s="743"/>
      <c r="F56" s="833">
        <f>F57-F54-F55</f>
        <v>1201.5490797546013</v>
      </c>
      <c r="G56" s="833">
        <f>G57-G54-G55</f>
        <v>946.29038854805731</v>
      </c>
      <c r="H56" s="833">
        <f>H57-H54-H55</f>
        <v>632.91206543967292</v>
      </c>
      <c r="I56" s="833">
        <f>I57-I54-I55</f>
        <v>656.04601226993873</v>
      </c>
      <c r="J56" s="920">
        <v>2188</v>
      </c>
      <c r="K56" s="920">
        <v>1462</v>
      </c>
      <c r="L56" s="920">
        <v>669</v>
      </c>
      <c r="M56" s="920">
        <f>L56</f>
        <v>669</v>
      </c>
      <c r="N56" s="920">
        <v>737</v>
      </c>
      <c r="O56" s="920">
        <f t="shared" ref="O56:V56" si="67">N56</f>
        <v>737</v>
      </c>
      <c r="P56" s="920">
        <f t="shared" si="67"/>
        <v>737</v>
      </c>
      <c r="Q56" s="920">
        <f t="shared" si="67"/>
        <v>737</v>
      </c>
      <c r="R56" s="920">
        <f t="shared" si="67"/>
        <v>737</v>
      </c>
      <c r="S56" s="920">
        <f t="shared" si="67"/>
        <v>737</v>
      </c>
      <c r="T56" s="920">
        <f t="shared" si="67"/>
        <v>737</v>
      </c>
      <c r="U56" s="951">
        <f t="shared" si="67"/>
        <v>737</v>
      </c>
      <c r="V56" s="951">
        <f t="shared" si="67"/>
        <v>737</v>
      </c>
      <c r="W56" s="951">
        <f t="shared" ref="W56:AF56" si="68">V56</f>
        <v>737</v>
      </c>
      <c r="X56" s="951">
        <f t="shared" si="68"/>
        <v>737</v>
      </c>
      <c r="Y56" s="951">
        <f t="shared" si="68"/>
        <v>737</v>
      </c>
      <c r="Z56" s="951">
        <f t="shared" si="68"/>
        <v>737</v>
      </c>
      <c r="AA56" s="951">
        <f t="shared" si="68"/>
        <v>737</v>
      </c>
      <c r="AB56" s="951">
        <f t="shared" si="68"/>
        <v>737</v>
      </c>
      <c r="AC56" s="951">
        <f t="shared" si="68"/>
        <v>737</v>
      </c>
      <c r="AD56" s="951">
        <f t="shared" si="68"/>
        <v>737</v>
      </c>
      <c r="AE56" s="951">
        <f t="shared" si="68"/>
        <v>737</v>
      </c>
      <c r="AF56" s="951">
        <f t="shared" si="68"/>
        <v>737</v>
      </c>
    </row>
    <row r="57" spans="2:34" outlineLevel="1">
      <c r="B57" s="685" t="s">
        <v>524</v>
      </c>
      <c r="F57" s="910">
        <v>5139</v>
      </c>
      <c r="G57" s="910">
        <v>5388</v>
      </c>
      <c r="H57" s="910">
        <v>5637</v>
      </c>
      <c r="I57" s="910">
        <v>5955</v>
      </c>
      <c r="J57" s="795">
        <f>SUM(J54:J56)</f>
        <v>7877.3323108384466</v>
      </c>
      <c r="K57" s="795">
        <f>SUM(K54:K56)</f>
        <v>7634.6</v>
      </c>
      <c r="L57" s="795">
        <f>SUM(L54:L56)</f>
        <v>7565</v>
      </c>
      <c r="M57" s="795">
        <f>SUM(M54:M56)</f>
        <v>7905</v>
      </c>
      <c r="N57" s="795">
        <f t="shared" ref="N57:V57" si="69">SUM(N54:N56)</f>
        <v>7962</v>
      </c>
      <c r="O57" s="795">
        <f t="shared" si="69"/>
        <v>8323</v>
      </c>
      <c r="P57" s="795">
        <f t="shared" si="69"/>
        <v>8280.6610000000001</v>
      </c>
      <c r="Q57" s="795">
        <f t="shared" si="69"/>
        <v>8434.7000000000007</v>
      </c>
      <c r="R57" s="795">
        <f t="shared" si="69"/>
        <v>8443.2800000000007</v>
      </c>
      <c r="S57" s="795">
        <f t="shared" si="69"/>
        <v>8870.8349999999991</v>
      </c>
      <c r="T57" s="795">
        <f t="shared" si="69"/>
        <v>8710.5840000000007</v>
      </c>
      <c r="U57" s="795">
        <f t="shared" si="69"/>
        <v>8697.6080000000002</v>
      </c>
      <c r="V57" s="795">
        <f t="shared" si="69"/>
        <v>8647.6589999999997</v>
      </c>
      <c r="W57" s="795">
        <f t="shared" ref="W57:AF57" si="70">SUM(W54:W56)</f>
        <v>8607.6589999999997</v>
      </c>
      <c r="X57" s="795">
        <f t="shared" si="70"/>
        <v>8587.6589999999997</v>
      </c>
      <c r="Y57" s="795">
        <f t="shared" si="70"/>
        <v>8541.8305500000006</v>
      </c>
      <c r="Z57" s="795">
        <f t="shared" si="70"/>
        <v>8494.2935225000001</v>
      </c>
      <c r="AA57" s="795">
        <f t="shared" si="70"/>
        <v>8444.6333463749997</v>
      </c>
      <c r="AB57" s="795">
        <f t="shared" si="70"/>
        <v>8302.4561790562511</v>
      </c>
      <c r="AC57" s="795">
        <f t="shared" si="70"/>
        <v>8167.3878701034373</v>
      </c>
      <c r="AD57" s="795">
        <f t="shared" si="70"/>
        <v>8039.0729765982651</v>
      </c>
      <c r="AE57" s="795">
        <f t="shared" si="70"/>
        <v>7917.1738277683526</v>
      </c>
      <c r="AF57" s="795">
        <f t="shared" si="70"/>
        <v>7801.3696363799345</v>
      </c>
    </row>
    <row r="58" spans="2:34" outlineLevel="1">
      <c r="B58" s="685" t="s">
        <v>569</v>
      </c>
      <c r="C58" s="789"/>
      <c r="D58" s="789"/>
      <c r="E58" s="789"/>
      <c r="F58" s="789">
        <f t="shared" ref="F58:T58" si="71">F54/F57</f>
        <v>0.45620761242370084</v>
      </c>
      <c r="G58" s="789">
        <f t="shared" si="71"/>
        <v>0.4982757259561883</v>
      </c>
      <c r="H58" s="789">
        <f t="shared" si="71"/>
        <v>0.54285753673236248</v>
      </c>
      <c r="I58" s="789">
        <f t="shared" si="71"/>
        <v>0.53718790725945609</v>
      </c>
      <c r="J58" s="789">
        <f t="shared" si="71"/>
        <v>0.45019457995431222</v>
      </c>
      <c r="K58" s="789">
        <f t="shared" si="71"/>
        <v>0.49335918057265604</v>
      </c>
      <c r="L58" s="789">
        <f t="shared" si="71"/>
        <v>0.53694646397884993</v>
      </c>
      <c r="M58" s="789">
        <f t="shared" si="71"/>
        <v>0.53206831119544595</v>
      </c>
      <c r="N58" s="789">
        <f t="shared" si="71"/>
        <v>0.52562170308967593</v>
      </c>
      <c r="O58" s="789">
        <f t="shared" si="71"/>
        <v>0.52673314910489011</v>
      </c>
      <c r="P58" s="789">
        <f t="shared" si="71"/>
        <v>0.52156017496670859</v>
      </c>
      <c r="Q58" s="789">
        <f t="shared" si="71"/>
        <v>0.50798487201678777</v>
      </c>
      <c r="R58" s="789">
        <f t="shared" si="71"/>
        <v>0.49346462512199046</v>
      </c>
      <c r="S58" s="789">
        <f t="shared" si="71"/>
        <v>0.50257050210042242</v>
      </c>
      <c r="T58" s="789">
        <f t="shared" si="71"/>
        <v>0.46604154210555798</v>
      </c>
      <c r="U58" s="789">
        <f>T58</f>
        <v>0.46604154210555798</v>
      </c>
      <c r="V58" s="789">
        <f>U58</f>
        <v>0.46604154210555798</v>
      </c>
      <c r="W58" s="789">
        <f t="shared" ref="W58:AF58" si="72">V58</f>
        <v>0.46604154210555798</v>
      </c>
      <c r="X58" s="789">
        <f t="shared" si="72"/>
        <v>0.46604154210555798</v>
      </c>
      <c r="Y58" s="789">
        <f t="shared" si="72"/>
        <v>0.46604154210555798</v>
      </c>
      <c r="Z58" s="789">
        <f t="shared" si="72"/>
        <v>0.46604154210555798</v>
      </c>
      <c r="AA58" s="789">
        <f t="shared" si="72"/>
        <v>0.46604154210555798</v>
      </c>
      <c r="AB58" s="789">
        <f t="shared" si="72"/>
        <v>0.46604154210555798</v>
      </c>
      <c r="AC58" s="789">
        <f t="shared" si="72"/>
        <v>0.46604154210555798</v>
      </c>
      <c r="AD58" s="789">
        <f t="shared" si="72"/>
        <v>0.46604154210555798</v>
      </c>
      <c r="AE58" s="789">
        <f t="shared" si="72"/>
        <v>0.46604154210555798</v>
      </c>
      <c r="AF58" s="789">
        <f t="shared" si="72"/>
        <v>0.46604154210555798</v>
      </c>
    </row>
    <row r="59" spans="2:34" outlineLevel="1">
      <c r="K59" s="789"/>
      <c r="X59" s="795"/>
      <c r="Y59" s="795"/>
      <c r="Z59" s="795"/>
      <c r="AA59" s="795"/>
      <c r="AB59" s="795"/>
      <c r="AC59" s="795"/>
    </row>
    <row r="60" spans="2:34" outlineLevel="1">
      <c r="B60" s="685" t="s">
        <v>507</v>
      </c>
      <c r="C60" s="934">
        <v>1430.1</v>
      </c>
      <c r="D60" s="934">
        <v>1585.1</v>
      </c>
      <c r="E60" s="936">
        <v>1639</v>
      </c>
      <c r="F60" s="910">
        <v>1823</v>
      </c>
      <c r="G60" s="910">
        <v>2899</v>
      </c>
      <c r="H60" s="910">
        <v>3849</v>
      </c>
      <c r="I60" s="910">
        <v>4971</v>
      </c>
      <c r="J60" s="910">
        <f>6015-203</f>
        <v>5812</v>
      </c>
      <c r="K60" s="910">
        <v>6446</v>
      </c>
      <c r="L60" s="910">
        <f>7284.162-192.024</f>
        <v>7092.1379999999999</v>
      </c>
      <c r="M60" s="910">
        <f>8026.519-206.814</f>
        <v>7819.7049999999999</v>
      </c>
      <c r="N60" s="910">
        <f>8002.526-174.809</f>
        <v>7827.7169999999996</v>
      </c>
      <c r="O60" s="910">
        <f>7637.04-159.027</f>
        <v>7478.0129999999999</v>
      </c>
      <c r="P60" s="910">
        <f>7429.351-169.692</f>
        <v>7259.6589999999997</v>
      </c>
      <c r="Q60" s="910">
        <f>7477-170</f>
        <v>7307</v>
      </c>
      <c r="R60" s="910">
        <f>7408-170</f>
        <v>7238</v>
      </c>
      <c r="S60" s="910">
        <f>6257.059-170</f>
        <v>6087.0590000000002</v>
      </c>
      <c r="T60" s="910">
        <f>5567.426</f>
        <v>5567.4260000000004</v>
      </c>
      <c r="U60" s="910">
        <f>4696</f>
        <v>4696</v>
      </c>
      <c r="V60" s="795">
        <f t="shared" ref="V60:AA60" si="73">V63*V64</f>
        <v>4423.2719944281507</v>
      </c>
      <c r="W60" s="795">
        <f t="shared" si="73"/>
        <v>4217.4389465394606</v>
      </c>
      <c r="X60" s="795">
        <f t="shared" si="73"/>
        <v>4101.2751622110773</v>
      </c>
      <c r="Y60" s="795">
        <f t="shared" si="73"/>
        <v>3986.3152015544374</v>
      </c>
      <c r="Z60" s="795">
        <f t="shared" si="73"/>
        <v>3899.6398971889084</v>
      </c>
      <c r="AA60" s="795">
        <f t="shared" si="73"/>
        <v>3812.9645928233795</v>
      </c>
      <c r="AB60" s="795">
        <f>AB63*AB64</f>
        <v>3726.2892884578505</v>
      </c>
      <c r="AC60" s="795">
        <f>AC63*AC64</f>
        <v>3639.6139840923215</v>
      </c>
      <c r="AD60" s="795">
        <f>AD63*AD64</f>
        <v>3552.9386797267925</v>
      </c>
      <c r="AE60" s="795">
        <f>AE63*AE64</f>
        <v>3466.2633753612636</v>
      </c>
      <c r="AF60" s="795">
        <f>AF63*AF64</f>
        <v>3379.5880709957346</v>
      </c>
    </row>
    <row r="61" spans="2:34" outlineLevel="1">
      <c r="B61" s="685" t="s">
        <v>570</v>
      </c>
      <c r="F61" s="910">
        <v>617</v>
      </c>
      <c r="G61" s="910">
        <v>1468</v>
      </c>
      <c r="H61" s="910">
        <v>1796</v>
      </c>
      <c r="I61" s="910">
        <v>1938</v>
      </c>
      <c r="J61" s="910">
        <v>1958</v>
      </c>
      <c r="K61" s="910">
        <v>2309</v>
      </c>
      <c r="L61" s="910">
        <v>2463</v>
      </c>
      <c r="M61" s="910">
        <v>4275</v>
      </c>
      <c r="N61" s="910">
        <v>5501</v>
      </c>
      <c r="O61" s="910">
        <v>5400</v>
      </c>
      <c r="P61" s="795">
        <f t="shared" ref="P61:V61" si="74">P63-P60-P62</f>
        <v>5126.888724702354</v>
      </c>
      <c r="Q61" s="795">
        <f t="shared" si="74"/>
        <v>4853.0443164532226</v>
      </c>
      <c r="R61" s="795">
        <f t="shared" si="74"/>
        <v>4693.3985555330328</v>
      </c>
      <c r="S61" s="795">
        <f t="shared" si="74"/>
        <v>5613.5514419417896</v>
      </c>
      <c r="T61" s="795">
        <f t="shared" si="74"/>
        <v>5900.2539756794931</v>
      </c>
      <c r="U61" s="795">
        <f t="shared" si="74"/>
        <v>6536.6071567461404</v>
      </c>
      <c r="V61" s="795">
        <f t="shared" si="74"/>
        <v>6572.1199907135833</v>
      </c>
      <c r="W61" s="795">
        <f t="shared" ref="W61:AF61" si="75">W63-W60-W62</f>
        <v>6537.1883042535819</v>
      </c>
      <c r="X61" s="795">
        <f t="shared" si="75"/>
        <v>6412.5873542332738</v>
      </c>
      <c r="Y61" s="795">
        <f t="shared" si="75"/>
        <v>6286.7825805412222</v>
      </c>
      <c r="Z61" s="795">
        <f t="shared" si="75"/>
        <v>6132.6931505580596</v>
      </c>
      <c r="AA61" s="795">
        <f t="shared" si="75"/>
        <v>5978.6037205748971</v>
      </c>
      <c r="AB61" s="795">
        <f t="shared" si="75"/>
        <v>5824.5142905917346</v>
      </c>
      <c r="AC61" s="795">
        <f t="shared" si="75"/>
        <v>5670.4248606085721</v>
      </c>
      <c r="AD61" s="795">
        <f t="shared" si="75"/>
        <v>5516.3354306254096</v>
      </c>
      <c r="AE61" s="795">
        <f t="shared" si="75"/>
        <v>5362.2460006422471</v>
      </c>
      <c r="AF61" s="795">
        <f t="shared" si="75"/>
        <v>5208.1565706590845</v>
      </c>
    </row>
    <row r="62" spans="2:34" outlineLevel="1">
      <c r="B62" s="743" t="s">
        <v>571</v>
      </c>
      <c r="C62" s="743"/>
      <c r="D62" s="743"/>
      <c r="E62" s="743"/>
      <c r="F62" s="833"/>
      <c r="G62" s="833"/>
      <c r="H62" s="833"/>
      <c r="I62" s="833"/>
      <c r="J62" s="833"/>
      <c r="K62" s="833"/>
      <c r="L62" s="833"/>
      <c r="M62" s="833"/>
      <c r="N62" s="833"/>
      <c r="O62" s="833"/>
      <c r="P62" s="920">
        <v>500</v>
      </c>
      <c r="Q62" s="920">
        <f t="shared" ref="Q62:V62" si="76">P62+50</f>
        <v>550</v>
      </c>
      <c r="R62" s="920">
        <f t="shared" si="76"/>
        <v>600</v>
      </c>
      <c r="S62" s="920">
        <f t="shared" si="76"/>
        <v>650</v>
      </c>
      <c r="T62" s="920">
        <f t="shared" si="76"/>
        <v>700</v>
      </c>
      <c r="U62" s="920">
        <f t="shared" si="76"/>
        <v>750</v>
      </c>
      <c r="V62" s="920">
        <f t="shared" si="76"/>
        <v>800</v>
      </c>
      <c r="W62" s="920">
        <f t="shared" ref="W62:AF62" si="77">V62</f>
        <v>800</v>
      </c>
      <c r="X62" s="920">
        <f t="shared" si="77"/>
        <v>800</v>
      </c>
      <c r="Y62" s="920">
        <f t="shared" si="77"/>
        <v>800</v>
      </c>
      <c r="Z62" s="920">
        <f t="shared" si="77"/>
        <v>800</v>
      </c>
      <c r="AA62" s="920">
        <f t="shared" si="77"/>
        <v>800</v>
      </c>
      <c r="AB62" s="920">
        <f t="shared" si="77"/>
        <v>800</v>
      </c>
      <c r="AC62" s="920">
        <f t="shared" si="77"/>
        <v>800</v>
      </c>
      <c r="AD62" s="920">
        <f t="shared" si="77"/>
        <v>800</v>
      </c>
      <c r="AE62" s="920">
        <f t="shared" si="77"/>
        <v>800</v>
      </c>
      <c r="AF62" s="920">
        <f t="shared" si="77"/>
        <v>800</v>
      </c>
    </row>
    <row r="63" spans="2:34" outlineLevel="1">
      <c r="B63" s="685" t="s">
        <v>572</v>
      </c>
      <c r="F63" s="795">
        <f>F60+F61+F62</f>
        <v>2440</v>
      </c>
      <c r="G63" s="795">
        <f t="shared" ref="G63:N63" si="78">G60+G61+G62</f>
        <v>4367</v>
      </c>
      <c r="H63" s="795">
        <f t="shared" si="78"/>
        <v>5645</v>
      </c>
      <c r="I63" s="795">
        <f t="shared" si="78"/>
        <v>6909</v>
      </c>
      <c r="J63" s="795">
        <f t="shared" si="78"/>
        <v>7770</v>
      </c>
      <c r="K63" s="795">
        <f t="shared" si="78"/>
        <v>8755</v>
      </c>
      <c r="L63" s="795">
        <f t="shared" si="78"/>
        <v>9555.137999999999</v>
      </c>
      <c r="M63" s="795">
        <f t="shared" si="78"/>
        <v>12094.705</v>
      </c>
      <c r="N63" s="795">
        <f t="shared" si="78"/>
        <v>13328.717000000001</v>
      </c>
      <c r="O63" s="795">
        <f>O60+O61+O62</f>
        <v>12878.012999999999</v>
      </c>
      <c r="P63" s="795">
        <f t="shared" ref="P63:U63" si="79">P67*P90</f>
        <v>12886.547724702354</v>
      </c>
      <c r="Q63" s="795">
        <f t="shared" si="79"/>
        <v>12710.044316453223</v>
      </c>
      <c r="R63" s="795">
        <f t="shared" si="79"/>
        <v>12531.398555533033</v>
      </c>
      <c r="S63" s="795">
        <f t="shared" si="79"/>
        <v>12350.61044194179</v>
      </c>
      <c r="T63" s="795">
        <f t="shared" si="79"/>
        <v>12167.679975679494</v>
      </c>
      <c r="U63" s="795">
        <f t="shared" si="79"/>
        <v>11982.60715674614</v>
      </c>
      <c r="V63" s="795">
        <f t="shared" ref="V63:AA63" si="80">V67*V90</f>
        <v>11795.391985141734</v>
      </c>
      <c r="W63" s="795">
        <f t="shared" si="80"/>
        <v>11554.627250793043</v>
      </c>
      <c r="X63" s="795">
        <f t="shared" si="80"/>
        <v>11313.862516444351</v>
      </c>
      <c r="Y63" s="795">
        <f t="shared" si="80"/>
        <v>11073.09778209566</v>
      </c>
      <c r="Z63" s="795">
        <f t="shared" si="80"/>
        <v>10832.333047746968</v>
      </c>
      <c r="AA63" s="795">
        <f t="shared" si="80"/>
        <v>10591.568313398277</v>
      </c>
      <c r="AB63" s="795">
        <f>AB67*AB90</f>
        <v>10350.803579049585</v>
      </c>
      <c r="AC63" s="795">
        <f>AC67*AC90</f>
        <v>10110.038844700894</v>
      </c>
      <c r="AD63" s="795">
        <f>AD67*AD90</f>
        <v>9869.2741103522021</v>
      </c>
      <c r="AE63" s="795">
        <f>AE67*AE90</f>
        <v>9628.5093760035106</v>
      </c>
      <c r="AF63" s="795">
        <f>AF67*AF90</f>
        <v>9387.7446416548191</v>
      </c>
    </row>
    <row r="64" spans="2:34" outlineLevel="1">
      <c r="B64" s="685" t="s">
        <v>573</v>
      </c>
      <c r="C64" s="789"/>
      <c r="D64" s="789"/>
      <c r="E64" s="789"/>
      <c r="F64" s="789">
        <f t="shared" ref="F64:N64" si="81">F60/F63</f>
        <v>0.74713114754098364</v>
      </c>
      <c r="G64" s="789">
        <f t="shared" si="81"/>
        <v>0.6638424547744447</v>
      </c>
      <c r="H64" s="789">
        <f t="shared" si="81"/>
        <v>0.68184233835252439</v>
      </c>
      <c r="I64" s="789">
        <f t="shared" si="81"/>
        <v>0.71949630916196261</v>
      </c>
      <c r="J64" s="789">
        <f t="shared" si="81"/>
        <v>0.74800514800514806</v>
      </c>
      <c r="K64" s="789">
        <f t="shared" si="81"/>
        <v>0.73626499143346658</v>
      </c>
      <c r="L64" s="789">
        <f t="shared" si="81"/>
        <v>0.74223292222467119</v>
      </c>
      <c r="M64" s="789">
        <f t="shared" si="81"/>
        <v>0.64653953941001452</v>
      </c>
      <c r="N64" s="789">
        <f t="shared" si="81"/>
        <v>0.58728210674740855</v>
      </c>
      <c r="O64" s="789">
        <f t="shared" ref="O64:T64" si="82">O60/O63</f>
        <v>0.58068065314113293</v>
      </c>
      <c r="P64" s="789">
        <f t="shared" si="82"/>
        <v>0.56335173353557566</v>
      </c>
      <c r="Q64" s="789">
        <f t="shared" si="82"/>
        <v>0.57489964771728197</v>
      </c>
      <c r="R64" s="789">
        <f t="shared" si="82"/>
        <v>0.57758916276780459</v>
      </c>
      <c r="S64" s="789">
        <f t="shared" si="82"/>
        <v>0.49285491017745836</v>
      </c>
      <c r="T64" s="789">
        <f t="shared" si="82"/>
        <v>0.45755854946284386</v>
      </c>
      <c r="U64" s="925">
        <v>0.39700000000000002</v>
      </c>
      <c r="V64" s="925">
        <v>0.375</v>
      </c>
      <c r="W64" s="925">
        <v>0.36499999999999999</v>
      </c>
      <c r="X64" s="925">
        <v>0.36249999999999999</v>
      </c>
      <c r="Y64" s="925">
        <v>0.36</v>
      </c>
      <c r="Z64" s="925">
        <f t="shared" ref="Z64:AF64" si="83">Y64</f>
        <v>0.36</v>
      </c>
      <c r="AA64" s="925">
        <f t="shared" si="83"/>
        <v>0.36</v>
      </c>
      <c r="AB64" s="925">
        <f t="shared" si="83"/>
        <v>0.36</v>
      </c>
      <c r="AC64" s="925">
        <f t="shared" si="83"/>
        <v>0.36</v>
      </c>
      <c r="AD64" s="925">
        <f t="shared" si="83"/>
        <v>0.36</v>
      </c>
      <c r="AE64" s="925">
        <f t="shared" si="83"/>
        <v>0.36</v>
      </c>
      <c r="AF64" s="925">
        <f t="shared" si="83"/>
        <v>0.36</v>
      </c>
    </row>
    <row r="65" spans="2:32" outlineLevel="1"/>
    <row r="66" spans="2:32" outlineLevel="1">
      <c r="B66" s="743" t="s">
        <v>574</v>
      </c>
      <c r="C66" s="743"/>
      <c r="D66" s="743"/>
      <c r="E66" s="743"/>
      <c r="F66" s="833">
        <v>471</v>
      </c>
      <c r="G66" s="833">
        <v>318</v>
      </c>
      <c r="H66" s="833">
        <v>216</v>
      </c>
      <c r="I66" s="833">
        <v>155</v>
      </c>
      <c r="J66" s="833">
        <f t="shared" ref="J66:O66" si="84">J67-J57-J63</f>
        <v>-914.33231083844657</v>
      </c>
      <c r="K66" s="833">
        <f t="shared" si="84"/>
        <v>-294.60000000000036</v>
      </c>
      <c r="L66" s="833">
        <f t="shared" si="84"/>
        <v>94.86200000000099</v>
      </c>
      <c r="M66" s="833">
        <f t="shared" si="84"/>
        <v>500.29500000000007</v>
      </c>
      <c r="N66" s="833">
        <f t="shared" si="84"/>
        <v>1051.2829999999994</v>
      </c>
      <c r="O66" s="833">
        <f t="shared" si="84"/>
        <v>1798.987000000001</v>
      </c>
      <c r="P66" s="833">
        <f t="shared" ref="P66:V66" si="85">P67-P57-P63</f>
        <v>2266.5589088503784</v>
      </c>
      <c r="Q66" s="833">
        <f t="shared" si="85"/>
        <v>2396.1409506522432</v>
      </c>
      <c r="R66" s="833">
        <f t="shared" si="85"/>
        <v>2673.3243451251637</v>
      </c>
      <c r="S66" s="833">
        <f t="shared" si="85"/>
        <v>2533.675092269139</v>
      </c>
      <c r="T66" s="833">
        <f t="shared" si="85"/>
        <v>2983.974192084168</v>
      </c>
      <c r="U66" s="833">
        <f t="shared" si="85"/>
        <v>3289.1406445702523</v>
      </c>
      <c r="V66" s="833">
        <f t="shared" si="85"/>
        <v>3633.4224497273935</v>
      </c>
      <c r="W66" s="833">
        <f t="shared" ref="W66:AF66" si="86">W67-W57-W63</f>
        <v>3914.187184076085</v>
      </c>
      <c r="X66" s="833">
        <f t="shared" si="86"/>
        <v>4174.9519184247765</v>
      </c>
      <c r="Y66" s="833">
        <f t="shared" si="86"/>
        <v>4461.5451027734671</v>
      </c>
      <c r="Z66" s="833">
        <f t="shared" si="86"/>
        <v>4749.846864622159</v>
      </c>
      <c r="AA66" s="833">
        <f t="shared" si="86"/>
        <v>5040.2717750958509</v>
      </c>
      <c r="AB66" s="833">
        <f t="shared" si="86"/>
        <v>5423.213676763291</v>
      </c>
      <c r="AC66" s="833">
        <f t="shared" si="86"/>
        <v>5799.0467200647963</v>
      </c>
      <c r="AD66" s="833">
        <f t="shared" si="86"/>
        <v>6168.12634791866</v>
      </c>
      <c r="AE66" s="833">
        <f t="shared" si="86"/>
        <v>6530.790231097264</v>
      </c>
      <c r="AF66" s="833">
        <f t="shared" si="86"/>
        <v>6887.3591568343727</v>
      </c>
    </row>
    <row r="67" spans="2:32" outlineLevel="1">
      <c r="B67" s="685" t="s">
        <v>85</v>
      </c>
      <c r="F67" s="795">
        <f>F57+F63+F66</f>
        <v>8050</v>
      </c>
      <c r="G67" s="795">
        <f>G57+G63+G66</f>
        <v>10073</v>
      </c>
      <c r="H67" s="795">
        <f>H57+H63+H66</f>
        <v>11498</v>
      </c>
      <c r="I67" s="795">
        <f>I57+I63+I66</f>
        <v>13019</v>
      </c>
      <c r="J67" s="910">
        <v>14733</v>
      </c>
      <c r="K67" s="910">
        <v>16095</v>
      </c>
      <c r="L67" s="910">
        <v>17215</v>
      </c>
      <c r="M67" s="910">
        <v>20500</v>
      </c>
      <c r="N67" s="910">
        <v>22342</v>
      </c>
      <c r="O67" s="910">
        <v>23000</v>
      </c>
      <c r="P67" s="795">
        <f t="shared" ref="P67:V67" si="87">P72*P73</f>
        <v>23433.767633552732</v>
      </c>
      <c r="Q67" s="795">
        <f t="shared" si="87"/>
        <v>23540.885267105466</v>
      </c>
      <c r="R67" s="795">
        <f t="shared" si="87"/>
        <v>23648.002900658197</v>
      </c>
      <c r="S67" s="795">
        <f t="shared" si="87"/>
        <v>23755.120534210928</v>
      </c>
      <c r="T67" s="795">
        <f t="shared" si="87"/>
        <v>23862.238167763662</v>
      </c>
      <c r="U67" s="795">
        <f t="shared" si="87"/>
        <v>23969.355801316393</v>
      </c>
      <c r="V67" s="795">
        <f t="shared" si="87"/>
        <v>24076.473434869127</v>
      </c>
      <c r="W67" s="795">
        <f t="shared" ref="W67:AF67" si="88">W72*W73</f>
        <v>24076.473434869127</v>
      </c>
      <c r="X67" s="795">
        <f t="shared" si="88"/>
        <v>24076.473434869127</v>
      </c>
      <c r="Y67" s="795">
        <f t="shared" si="88"/>
        <v>24076.473434869127</v>
      </c>
      <c r="Z67" s="795">
        <f t="shared" si="88"/>
        <v>24076.473434869127</v>
      </c>
      <c r="AA67" s="795">
        <f t="shared" si="88"/>
        <v>24076.473434869127</v>
      </c>
      <c r="AB67" s="795">
        <f t="shared" si="88"/>
        <v>24076.473434869127</v>
      </c>
      <c r="AC67" s="795">
        <f t="shared" si="88"/>
        <v>24076.473434869127</v>
      </c>
      <c r="AD67" s="795">
        <f t="shared" si="88"/>
        <v>24076.473434869127</v>
      </c>
      <c r="AE67" s="795">
        <f t="shared" si="88"/>
        <v>24076.473434869127</v>
      </c>
      <c r="AF67" s="795">
        <f t="shared" si="88"/>
        <v>24076.473434869127</v>
      </c>
    </row>
    <row r="68" spans="2:32" outlineLevel="1"/>
    <row r="69" spans="2:32" outlineLevel="1">
      <c r="B69" s="685" t="s">
        <v>469</v>
      </c>
      <c r="Q69" s="910">
        <v>1642</v>
      </c>
      <c r="R69" s="926">
        <f t="shared" ref="R69:Z69" si="89">Q69+R70</f>
        <v>2242</v>
      </c>
      <c r="S69" s="926">
        <f t="shared" si="89"/>
        <v>2842</v>
      </c>
      <c r="T69" s="926">
        <f t="shared" si="89"/>
        <v>3442</v>
      </c>
      <c r="U69" s="926">
        <f t="shared" si="89"/>
        <v>4042</v>
      </c>
      <c r="V69" s="926">
        <f t="shared" si="89"/>
        <v>4642</v>
      </c>
      <c r="W69" s="926">
        <f t="shared" si="89"/>
        <v>5242</v>
      </c>
      <c r="X69" s="926">
        <f t="shared" si="89"/>
        <v>5842</v>
      </c>
      <c r="Y69" s="926">
        <f t="shared" si="89"/>
        <v>6442</v>
      </c>
      <c r="Z69" s="926">
        <f t="shared" si="89"/>
        <v>7042</v>
      </c>
      <c r="AA69" s="926">
        <f t="shared" ref="AA69:AF69" si="90">Z69+AA70</f>
        <v>7642</v>
      </c>
      <c r="AB69" s="926">
        <f t="shared" si="90"/>
        <v>8242</v>
      </c>
      <c r="AC69" s="926">
        <f t="shared" si="90"/>
        <v>8842</v>
      </c>
      <c r="AD69" s="926">
        <f t="shared" si="90"/>
        <v>9442</v>
      </c>
      <c r="AE69" s="926">
        <f t="shared" si="90"/>
        <v>10042</v>
      </c>
      <c r="AF69" s="926">
        <f t="shared" si="90"/>
        <v>10642</v>
      </c>
    </row>
    <row r="70" spans="2:32" outlineLevel="1">
      <c r="B70" s="685" t="s">
        <v>575</v>
      </c>
      <c r="R70" s="970">
        <v>600</v>
      </c>
      <c r="S70" s="970">
        <v>600</v>
      </c>
      <c r="T70" s="970">
        <v>600</v>
      </c>
      <c r="U70" s="970">
        <v>600</v>
      </c>
      <c r="V70" s="970">
        <v>600</v>
      </c>
      <c r="W70" s="970">
        <v>600</v>
      </c>
      <c r="X70" s="970">
        <v>600</v>
      </c>
      <c r="Y70" s="970">
        <v>600</v>
      </c>
      <c r="Z70" s="970">
        <v>600</v>
      </c>
      <c r="AA70" s="970">
        <v>600</v>
      </c>
      <c r="AB70" s="970">
        <v>600</v>
      </c>
      <c r="AC70" s="970">
        <v>600</v>
      </c>
      <c r="AD70" s="970">
        <v>600</v>
      </c>
      <c r="AE70" s="970">
        <v>600</v>
      </c>
      <c r="AF70" s="970">
        <v>600</v>
      </c>
    </row>
    <row r="71" spans="2:32" outlineLevel="1"/>
    <row r="72" spans="2:32" outlineLevel="1">
      <c r="B72" s="685" t="s">
        <v>576</v>
      </c>
      <c r="F72" s="936">
        <v>27925</v>
      </c>
      <c r="G72" s="936">
        <v>28625</v>
      </c>
      <c r="H72" s="936">
        <v>29325</v>
      </c>
      <c r="I72" s="936">
        <v>30025</v>
      </c>
      <c r="J72" s="936">
        <v>30725</v>
      </c>
      <c r="K72" s="936">
        <v>31425</v>
      </c>
      <c r="L72" s="936">
        <v>32215</v>
      </c>
      <c r="M72" s="834">
        <f t="shared" ref="M72:V72" si="91">L72+150</f>
        <v>32365</v>
      </c>
      <c r="N72" s="834">
        <f t="shared" si="91"/>
        <v>32515</v>
      </c>
      <c r="O72" s="834">
        <f t="shared" si="91"/>
        <v>32665</v>
      </c>
      <c r="P72" s="834">
        <f t="shared" si="91"/>
        <v>32815</v>
      </c>
      <c r="Q72" s="834">
        <f t="shared" si="91"/>
        <v>32965</v>
      </c>
      <c r="R72" s="834">
        <f t="shared" si="91"/>
        <v>33115</v>
      </c>
      <c r="S72" s="834">
        <f t="shared" si="91"/>
        <v>33265</v>
      </c>
      <c r="T72" s="834">
        <f t="shared" si="91"/>
        <v>33415</v>
      </c>
      <c r="U72" s="834">
        <f t="shared" si="91"/>
        <v>33565</v>
      </c>
      <c r="V72" s="834">
        <f t="shared" si="91"/>
        <v>33715</v>
      </c>
      <c r="W72" s="834">
        <f t="shared" ref="W72:AF72" si="92">V72</f>
        <v>33715</v>
      </c>
      <c r="X72" s="834">
        <f t="shared" si="92"/>
        <v>33715</v>
      </c>
      <c r="Y72" s="834">
        <f t="shared" si="92"/>
        <v>33715</v>
      </c>
      <c r="Z72" s="834">
        <f t="shared" si="92"/>
        <v>33715</v>
      </c>
      <c r="AA72" s="834">
        <f t="shared" si="92"/>
        <v>33715</v>
      </c>
      <c r="AB72" s="834">
        <f t="shared" si="92"/>
        <v>33715</v>
      </c>
      <c r="AC72" s="834">
        <f t="shared" si="92"/>
        <v>33715</v>
      </c>
      <c r="AD72" s="834">
        <f t="shared" si="92"/>
        <v>33715</v>
      </c>
      <c r="AE72" s="834">
        <f t="shared" si="92"/>
        <v>33715</v>
      </c>
      <c r="AF72" s="834">
        <f t="shared" si="92"/>
        <v>33715</v>
      </c>
    </row>
    <row r="73" spans="2:32" outlineLevel="1">
      <c r="B73" s="817" t="s">
        <v>577</v>
      </c>
      <c r="C73" s="928"/>
      <c r="D73" s="928"/>
      <c r="E73" s="928"/>
      <c r="F73" s="928">
        <f t="shared" ref="F73:K73" si="93">F67/F72</f>
        <v>0.28827215756490598</v>
      </c>
      <c r="G73" s="928">
        <f t="shared" si="93"/>
        <v>0.35189519650655021</v>
      </c>
      <c r="H73" s="928">
        <f t="shared" si="93"/>
        <v>0.39208866155157718</v>
      </c>
      <c r="I73" s="928">
        <f t="shared" si="93"/>
        <v>0.43360532889258951</v>
      </c>
      <c r="J73" s="928">
        <f t="shared" si="93"/>
        <v>0.47951179820992679</v>
      </c>
      <c r="K73" s="928">
        <f t="shared" si="93"/>
        <v>0.51217183770883057</v>
      </c>
      <c r="L73" s="928">
        <f>L67/L72</f>
        <v>0.53437839515753527</v>
      </c>
      <c r="M73" s="928">
        <f>M67/M72</f>
        <v>0.6334002780781709</v>
      </c>
      <c r="N73" s="928">
        <f>N67/N72</f>
        <v>0.68712901737659537</v>
      </c>
      <c r="O73" s="928">
        <f>O67/O72</f>
        <v>0.70411755701821521</v>
      </c>
      <c r="P73" s="928">
        <f t="shared" ref="P73:V73" si="94">O73+P74</f>
        <v>0.71411755701821522</v>
      </c>
      <c r="Q73" s="928">
        <f t="shared" si="94"/>
        <v>0.71411755701821522</v>
      </c>
      <c r="R73" s="928">
        <f t="shared" si="94"/>
        <v>0.71411755701821522</v>
      </c>
      <c r="S73" s="928">
        <f t="shared" si="94"/>
        <v>0.71411755701821522</v>
      </c>
      <c r="T73" s="928">
        <f t="shared" si="94"/>
        <v>0.71411755701821522</v>
      </c>
      <c r="U73" s="928">
        <f t="shared" si="94"/>
        <v>0.71411755701821522</v>
      </c>
      <c r="V73" s="928">
        <f t="shared" si="94"/>
        <v>0.71411755701821522</v>
      </c>
      <c r="W73" s="928">
        <f t="shared" ref="W73:AF73" si="95">V73+W74</f>
        <v>0.71411755701821522</v>
      </c>
      <c r="X73" s="928">
        <f t="shared" si="95"/>
        <v>0.71411755701821522</v>
      </c>
      <c r="Y73" s="928">
        <f t="shared" si="95"/>
        <v>0.71411755701821522</v>
      </c>
      <c r="Z73" s="928">
        <f t="shared" si="95"/>
        <v>0.71411755701821522</v>
      </c>
      <c r="AA73" s="928">
        <f t="shared" si="95"/>
        <v>0.71411755701821522</v>
      </c>
      <c r="AB73" s="928">
        <f t="shared" si="95"/>
        <v>0.71411755701821522</v>
      </c>
      <c r="AC73" s="928">
        <f t="shared" si="95"/>
        <v>0.71411755701821522</v>
      </c>
      <c r="AD73" s="928">
        <f t="shared" si="95"/>
        <v>0.71411755701821522</v>
      </c>
      <c r="AE73" s="928">
        <f t="shared" si="95"/>
        <v>0.71411755701821522</v>
      </c>
      <c r="AF73" s="928">
        <f t="shared" si="95"/>
        <v>0.71411755701821522</v>
      </c>
    </row>
    <row r="74" spans="2:32" outlineLevel="1">
      <c r="B74" s="685" t="s">
        <v>578</v>
      </c>
      <c r="C74" s="789"/>
      <c r="D74" s="789"/>
      <c r="E74" s="789"/>
      <c r="F74" s="789"/>
      <c r="G74" s="789">
        <f t="shared" ref="G74:O74" si="96">G73-F73</f>
        <v>6.3623038941644228E-2</v>
      </c>
      <c r="H74" s="789">
        <f t="shared" si="96"/>
        <v>4.0193465045026966E-2</v>
      </c>
      <c r="I74" s="789">
        <f t="shared" si="96"/>
        <v>4.1516667341012337E-2</v>
      </c>
      <c r="J74" s="789">
        <f t="shared" si="96"/>
        <v>4.5906469317337273E-2</v>
      </c>
      <c r="K74" s="789">
        <f t="shared" si="96"/>
        <v>3.2660039498903781E-2</v>
      </c>
      <c r="L74" s="789">
        <f t="shared" si="96"/>
        <v>2.22065574487047E-2</v>
      </c>
      <c r="M74" s="789">
        <f t="shared" si="96"/>
        <v>9.9021882920635629E-2</v>
      </c>
      <c r="N74" s="789">
        <f t="shared" si="96"/>
        <v>5.3728739298424477E-2</v>
      </c>
      <c r="O74" s="789">
        <f t="shared" si="96"/>
        <v>1.6988539641619838E-2</v>
      </c>
      <c r="P74" s="925">
        <v>0.01</v>
      </c>
      <c r="Q74" s="925">
        <v>0</v>
      </c>
      <c r="R74" s="925">
        <v>0</v>
      </c>
      <c r="S74" s="925">
        <v>0</v>
      </c>
      <c r="T74" s="925">
        <v>0</v>
      </c>
      <c r="U74" s="925">
        <v>0</v>
      </c>
      <c r="V74" s="925">
        <v>0</v>
      </c>
      <c r="W74" s="925">
        <v>0</v>
      </c>
      <c r="X74" s="925">
        <v>0</v>
      </c>
      <c r="Y74" s="925">
        <v>0</v>
      </c>
      <c r="Z74" s="925">
        <v>0</v>
      </c>
      <c r="AA74" s="925">
        <v>0</v>
      </c>
      <c r="AB74" s="925">
        <v>0</v>
      </c>
      <c r="AC74" s="925">
        <v>0</v>
      </c>
      <c r="AD74" s="925">
        <v>0</v>
      </c>
      <c r="AE74" s="925">
        <v>0</v>
      </c>
      <c r="AF74" s="925">
        <v>0</v>
      </c>
    </row>
    <row r="75" spans="2:32" outlineLevel="1"/>
    <row r="76" spans="2:32" outlineLevel="1">
      <c r="B76" s="743" t="s">
        <v>579</v>
      </c>
      <c r="C76" s="743"/>
      <c r="D76" s="743">
        <f>E76-1</f>
        <v>2007</v>
      </c>
      <c r="E76" s="743">
        <f>F76-1</f>
        <v>2008</v>
      </c>
      <c r="F76" s="743">
        <f t="shared" ref="F76:V76" si="97">F48</f>
        <v>2009</v>
      </c>
      <c r="G76" s="743">
        <f t="shared" si="97"/>
        <v>2010</v>
      </c>
      <c r="H76" s="743">
        <f t="shared" si="97"/>
        <v>2011</v>
      </c>
      <c r="I76" s="743">
        <f t="shared" si="97"/>
        <v>2012</v>
      </c>
      <c r="J76" s="743">
        <f t="shared" si="97"/>
        <v>2013</v>
      </c>
      <c r="K76" s="743">
        <f t="shared" si="97"/>
        <v>2014</v>
      </c>
      <c r="L76" s="743">
        <f t="shared" si="97"/>
        <v>2015</v>
      </c>
      <c r="M76" s="743">
        <f t="shared" si="97"/>
        <v>2016</v>
      </c>
      <c r="N76" s="743">
        <f t="shared" si="97"/>
        <v>2017</v>
      </c>
      <c r="O76" s="743">
        <f t="shared" si="97"/>
        <v>2018</v>
      </c>
      <c r="P76" s="743">
        <f t="shared" si="97"/>
        <v>2019</v>
      </c>
      <c r="Q76" s="743">
        <f t="shared" si="97"/>
        <v>2020</v>
      </c>
      <c r="R76" s="743">
        <f t="shared" si="97"/>
        <v>2021</v>
      </c>
      <c r="S76" s="743">
        <f t="shared" si="97"/>
        <v>2022</v>
      </c>
      <c r="T76" s="743">
        <f t="shared" si="97"/>
        <v>2023</v>
      </c>
      <c r="U76" s="743">
        <f t="shared" si="97"/>
        <v>2024</v>
      </c>
      <c r="V76" s="743">
        <f t="shared" si="97"/>
        <v>2025</v>
      </c>
      <c r="W76" s="743">
        <f t="shared" ref="W76:AF76" si="98">W48</f>
        <v>2026</v>
      </c>
      <c r="X76" s="743">
        <f t="shared" si="98"/>
        <v>2027</v>
      </c>
      <c r="Y76" s="743">
        <f t="shared" si="98"/>
        <v>2028</v>
      </c>
      <c r="Z76" s="743">
        <f t="shared" si="98"/>
        <v>2029</v>
      </c>
      <c r="AA76" s="743">
        <f t="shared" si="98"/>
        <v>2030</v>
      </c>
      <c r="AB76" s="743">
        <f t="shared" si="98"/>
        <v>2031</v>
      </c>
      <c r="AC76" s="743">
        <f t="shared" si="98"/>
        <v>2032</v>
      </c>
      <c r="AD76" s="743">
        <f t="shared" si="98"/>
        <v>2033</v>
      </c>
      <c r="AE76" s="743">
        <f t="shared" si="98"/>
        <v>2034</v>
      </c>
      <c r="AF76" s="743">
        <f t="shared" si="98"/>
        <v>2035</v>
      </c>
    </row>
    <row r="77" spans="2:32" outlineLevel="1">
      <c r="B77" s="685" t="str">
        <f t="shared" ref="B77:B85" si="99">B49</f>
        <v>Cablevision</v>
      </c>
      <c r="C77" s="814"/>
      <c r="D77" s="814"/>
      <c r="E77" s="814"/>
      <c r="F77" s="814">
        <f t="shared" ref="F77:K84" si="100">F49/F$67</f>
        <v>7.8509316770186341E-2</v>
      </c>
      <c r="G77" s="814">
        <f t="shared" si="100"/>
        <v>6.6415169264370091E-2</v>
      </c>
      <c r="H77" s="814">
        <f t="shared" si="100"/>
        <v>6.3228387545660111E-2</v>
      </c>
      <c r="I77" s="814">
        <f t="shared" si="100"/>
        <v>6.0450111375681695E-2</v>
      </c>
      <c r="J77" s="814">
        <f t="shared" si="100"/>
        <v>5.8847485237222559E-2</v>
      </c>
      <c r="K77" s="814">
        <f t="shared" si="100"/>
        <v>5.6110593351972667E-2</v>
      </c>
      <c r="L77" s="814"/>
      <c r="M77" s="814"/>
      <c r="N77" s="814"/>
      <c r="O77" s="814"/>
      <c r="P77" s="814"/>
      <c r="Q77" s="814"/>
      <c r="R77" s="814"/>
      <c r="S77" s="814"/>
      <c r="T77" s="814"/>
      <c r="U77" s="814"/>
      <c r="V77" s="814"/>
      <c r="W77" s="814"/>
      <c r="X77" s="814"/>
      <c r="Y77" s="814"/>
      <c r="Z77" s="814"/>
      <c r="AA77" s="814"/>
      <c r="AB77" s="814"/>
      <c r="AC77" s="814"/>
      <c r="AD77" s="814"/>
      <c r="AE77" s="814"/>
      <c r="AF77" s="814"/>
    </row>
    <row r="78" spans="2:32" outlineLevel="1">
      <c r="B78" s="685" t="str">
        <f t="shared" si="99"/>
        <v>Cablemas</v>
      </c>
      <c r="C78" s="814"/>
      <c r="D78" s="814"/>
      <c r="E78" s="814"/>
      <c r="F78" s="814">
        <f t="shared" si="100"/>
        <v>0.11341614906832298</v>
      </c>
      <c r="G78" s="814">
        <f t="shared" si="100"/>
        <v>9.8977464509083693E-2</v>
      </c>
      <c r="H78" s="814">
        <f t="shared" si="100"/>
        <v>9.4364237258653685E-2</v>
      </c>
      <c r="I78" s="814">
        <f t="shared" si="100"/>
        <v>8.8102004762270522E-2</v>
      </c>
      <c r="J78" s="814">
        <f t="shared" si="100"/>
        <v>8.0431683974750562E-2</v>
      </c>
      <c r="K78" s="814">
        <f t="shared" si="100"/>
        <v>7.5427151289220257E-2</v>
      </c>
      <c r="L78" s="814"/>
      <c r="M78" s="814"/>
      <c r="N78" s="814"/>
      <c r="O78" s="814"/>
      <c r="P78" s="814"/>
      <c r="Q78" s="814"/>
      <c r="R78" s="814"/>
      <c r="S78" s="814"/>
      <c r="T78" s="814"/>
      <c r="U78" s="814"/>
      <c r="V78" s="814"/>
      <c r="W78" s="814"/>
      <c r="X78" s="814"/>
      <c r="Y78" s="814"/>
      <c r="Z78" s="814"/>
      <c r="AA78" s="814"/>
      <c r="AB78" s="814"/>
      <c r="AC78" s="814"/>
      <c r="AD78" s="814"/>
      <c r="AE78" s="814"/>
      <c r="AF78" s="814"/>
    </row>
    <row r="79" spans="2:32" outlineLevel="1">
      <c r="B79" s="685" t="str">
        <f t="shared" si="99"/>
        <v>TVI</v>
      </c>
      <c r="C79" s="814"/>
      <c r="D79" s="814"/>
      <c r="E79" s="814"/>
      <c r="F79" s="814">
        <f t="shared" si="100"/>
        <v>2.9440993788819876E-2</v>
      </c>
      <c r="G79" s="814">
        <f t="shared" si="100"/>
        <v>2.9981137694827756E-2</v>
      </c>
      <c r="H79" s="814">
        <f t="shared" si="100"/>
        <v>3.2179509479909552E-2</v>
      </c>
      <c r="I79" s="814">
        <f t="shared" si="100"/>
        <v>2.8804055611030034E-2</v>
      </c>
      <c r="J79" s="814">
        <f t="shared" si="100"/>
        <v>3.0068553587185229E-2</v>
      </c>
      <c r="K79" s="814">
        <f t="shared" si="100"/>
        <v>3.038210624417521E-2</v>
      </c>
      <c r="L79" s="814"/>
      <c r="M79" s="814"/>
      <c r="N79" s="814"/>
      <c r="O79" s="814"/>
      <c r="P79" s="814"/>
      <c r="Q79" s="814"/>
      <c r="R79" s="814"/>
      <c r="S79" s="814"/>
      <c r="T79" s="814"/>
      <c r="U79" s="814"/>
      <c r="V79" s="814"/>
      <c r="W79" s="814"/>
      <c r="X79" s="814"/>
      <c r="Y79" s="814"/>
      <c r="Z79" s="814"/>
      <c r="AA79" s="814"/>
      <c r="AB79" s="814"/>
      <c r="AC79" s="814"/>
      <c r="AD79" s="814"/>
      <c r="AE79" s="814"/>
      <c r="AF79" s="814"/>
    </row>
    <row r="80" spans="2:32" outlineLevel="1">
      <c r="B80" s="685" t="str">
        <f t="shared" si="99"/>
        <v>Cablecom</v>
      </c>
      <c r="C80" s="814"/>
      <c r="D80" s="814"/>
      <c r="E80" s="814"/>
      <c r="F80" s="814">
        <f t="shared" si="100"/>
        <v>4.5215104980375717E-2</v>
      </c>
      <c r="G80" s="814">
        <f t="shared" si="100"/>
        <v>4.6044651142772279E-2</v>
      </c>
      <c r="H80" s="814">
        <f t="shared" si="100"/>
        <v>4.94208826572844E-2</v>
      </c>
      <c r="I80" s="814">
        <f t="shared" si="100"/>
        <v>4.4236903402624851E-2</v>
      </c>
      <c r="J80" s="814">
        <f t="shared" si="100"/>
        <v>4.6178903361914332E-2</v>
      </c>
      <c r="K80" s="814">
        <f t="shared" si="100"/>
        <v>4.666045355700528E-2</v>
      </c>
      <c r="L80" s="814"/>
      <c r="M80" s="814"/>
      <c r="N80" s="814"/>
      <c r="O80" s="814"/>
      <c r="P80" s="814"/>
      <c r="Q80" s="814"/>
      <c r="R80" s="814"/>
      <c r="S80" s="814"/>
      <c r="T80" s="814"/>
      <c r="U80" s="814"/>
      <c r="V80" s="814"/>
      <c r="W80" s="814"/>
      <c r="X80" s="814"/>
      <c r="Y80" s="814"/>
      <c r="Z80" s="814"/>
      <c r="AA80" s="814"/>
      <c r="AB80" s="814"/>
      <c r="AC80" s="814"/>
      <c r="AD80" s="814"/>
      <c r="AE80" s="814"/>
      <c r="AF80" s="814"/>
    </row>
    <row r="81" spans="2:32" outlineLevel="1">
      <c r="B81" s="743" t="str">
        <f t="shared" si="99"/>
        <v>Cablevision Red</v>
      </c>
      <c r="C81" s="958"/>
      <c r="D81" s="958"/>
      <c r="E81" s="958"/>
      <c r="F81" s="958">
        <f t="shared" si="100"/>
        <v>2.4654574553214188E-2</v>
      </c>
      <c r="G81" s="958">
        <f t="shared" si="100"/>
        <v>2.510690365241711E-2</v>
      </c>
      <c r="H81" s="958">
        <f t="shared" si="100"/>
        <v>2.6947871435629777E-2</v>
      </c>
      <c r="I81" s="958">
        <f t="shared" si="100"/>
        <v>2.4121187674267481E-2</v>
      </c>
      <c r="J81" s="958">
        <f t="shared" si="100"/>
        <v>2.5180107758593768E-2</v>
      </c>
      <c r="K81" s="958">
        <f t="shared" si="100"/>
        <v>2.544268406337372E-2</v>
      </c>
      <c r="L81" s="958"/>
      <c r="M81" s="958"/>
      <c r="N81" s="958"/>
      <c r="O81" s="958"/>
      <c r="P81" s="958"/>
      <c r="Q81" s="958"/>
      <c r="R81" s="958"/>
      <c r="S81" s="958"/>
      <c r="T81" s="958"/>
      <c r="U81" s="958"/>
      <c r="V81" s="958"/>
      <c r="W81" s="958"/>
      <c r="X81" s="958"/>
      <c r="Y81" s="958"/>
      <c r="Z81" s="958"/>
      <c r="AA81" s="958"/>
      <c r="AB81" s="958"/>
      <c r="AC81" s="958"/>
      <c r="AD81" s="958"/>
      <c r="AE81" s="958"/>
      <c r="AF81" s="958"/>
    </row>
    <row r="82" spans="2:32" outlineLevel="1">
      <c r="B82" s="685" t="str">
        <f t="shared" si="99"/>
        <v>Televisa group (pro forma)</v>
      </c>
      <c r="C82" s="814"/>
      <c r="D82" s="814"/>
      <c r="E82" s="814"/>
      <c r="F82" s="814">
        <f t="shared" si="100"/>
        <v>0.29123613916091912</v>
      </c>
      <c r="G82" s="814">
        <f t="shared" si="100"/>
        <v>0.26652532626347092</v>
      </c>
      <c r="H82" s="814">
        <f t="shared" si="100"/>
        <v>0.26614088837713751</v>
      </c>
      <c r="I82" s="814">
        <f t="shared" si="100"/>
        <v>0.24571426282587458</v>
      </c>
      <c r="J82" s="814">
        <f t="shared" si="100"/>
        <v>0.24070673391966646</v>
      </c>
      <c r="K82" s="814">
        <f t="shared" si="100"/>
        <v>0.23402298850574713</v>
      </c>
      <c r="L82" s="814">
        <f t="shared" ref="L82:V82" si="101">L54/L$67</f>
        <v>0.23595701423177462</v>
      </c>
      <c r="M82" s="814">
        <f t="shared" si="101"/>
        <v>0.20517073170731706</v>
      </c>
      <c r="N82" s="814">
        <f t="shared" si="101"/>
        <v>0.18731537015486527</v>
      </c>
      <c r="O82" s="814">
        <f>O54/O$67</f>
        <v>0.19060869565217392</v>
      </c>
      <c r="P82" s="814">
        <f t="shared" si="101"/>
        <v>0.18430083747251141</v>
      </c>
      <c r="Q82" s="814">
        <f t="shared" si="101"/>
        <v>0.18201099709649265</v>
      </c>
      <c r="R82" s="814">
        <f t="shared" si="101"/>
        <v>0.17618654807776746</v>
      </c>
      <c r="S82" s="814">
        <f t="shared" si="101"/>
        <v>0.18767406351735813</v>
      </c>
      <c r="T82" s="814">
        <f t="shared" si="101"/>
        <v>0.1701220971586862</v>
      </c>
      <c r="U82" s="814">
        <f t="shared" si="101"/>
        <v>0.16047648638887282</v>
      </c>
      <c r="V82" s="814">
        <f t="shared" si="101"/>
        <v>0.15145777100058183</v>
      </c>
      <c r="W82" s="814">
        <f t="shared" ref="W82:AA84" si="102">W54/W$67</f>
        <v>0.14398159304258767</v>
      </c>
      <c r="X82" s="814">
        <f t="shared" si="102"/>
        <v>0.13775144474425924</v>
      </c>
      <c r="Y82" s="814">
        <f t="shared" si="102"/>
        <v>0.13086387250704629</v>
      </c>
      <c r="Z82" s="814">
        <f t="shared" si="102"/>
        <v>0.12432067888169396</v>
      </c>
      <c r="AA82" s="814">
        <f t="shared" si="102"/>
        <v>0.11810464493760926</v>
      </c>
      <c r="AB82" s="814">
        <f t="shared" ref="AB82:AF84" si="103">AB54/AB$67</f>
        <v>0.11219941269072881</v>
      </c>
      <c r="AC82" s="814">
        <f t="shared" si="103"/>
        <v>0.10658944205619236</v>
      </c>
      <c r="AD82" s="814">
        <f t="shared" si="103"/>
        <v>0.10125996995338274</v>
      </c>
      <c r="AE82" s="814">
        <f t="shared" si="103"/>
        <v>9.6196971455713584E-2</v>
      </c>
      <c r="AF82" s="814">
        <f t="shared" si="103"/>
        <v>9.1387122882927913E-2</v>
      </c>
    </row>
    <row r="83" spans="2:32" outlineLevel="1">
      <c r="B83" s="685" t="str">
        <f t="shared" si="99"/>
        <v>Megacable</v>
      </c>
      <c r="C83" s="814"/>
      <c r="D83" s="814"/>
      <c r="E83" s="814"/>
      <c r="F83" s="814">
        <f t="shared" si="100"/>
        <v>0.19788819875776398</v>
      </c>
      <c r="G83" s="814">
        <f t="shared" si="100"/>
        <v>0.17442668519805421</v>
      </c>
      <c r="H83" s="814">
        <f t="shared" si="100"/>
        <v>0.16907288224038963</v>
      </c>
      <c r="I83" s="814">
        <f t="shared" si="100"/>
        <v>0.16130271142176819</v>
      </c>
      <c r="J83" s="814">
        <f t="shared" si="100"/>
        <v>0.14545577954252359</v>
      </c>
      <c r="K83" s="814">
        <f t="shared" si="100"/>
        <v>0.1494874184529357</v>
      </c>
      <c r="L83" s="814">
        <f t="shared" ref="L83:V83" si="104">L55/L$67</f>
        <v>0.16462387452802787</v>
      </c>
      <c r="M83" s="814">
        <f t="shared" si="104"/>
        <v>0.14780487804878048</v>
      </c>
      <c r="N83" s="814">
        <f t="shared" si="104"/>
        <v>0.1360666010204995</v>
      </c>
      <c r="O83" s="814">
        <f>O55/O$67</f>
        <v>0.13921739130434782</v>
      </c>
      <c r="P83" s="814">
        <f t="shared" si="104"/>
        <v>0.13761329592526547</v>
      </c>
      <c r="Q83" s="814">
        <f t="shared" si="104"/>
        <v>0.14498180341455166</v>
      </c>
      <c r="R83" s="814">
        <f t="shared" si="104"/>
        <v>0.14968790450805788</v>
      </c>
      <c r="S83" s="814">
        <f t="shared" si="104"/>
        <v>0.15472937696554998</v>
      </c>
      <c r="T83" s="814">
        <f t="shared" si="104"/>
        <v>0.164028620135377</v>
      </c>
      <c r="U83" s="814">
        <f t="shared" si="104"/>
        <v>0.17163957321598333</v>
      </c>
      <c r="V83" s="814">
        <f t="shared" si="104"/>
        <v>0.17710608704946237</v>
      </c>
      <c r="W83" s="814">
        <f t="shared" si="102"/>
        <v>0.18292089212790227</v>
      </c>
      <c r="X83" s="814">
        <f t="shared" si="102"/>
        <v>0.18832035398645358</v>
      </c>
      <c r="Y83" s="814">
        <f t="shared" si="102"/>
        <v>0.19330447262511635</v>
      </c>
      <c r="Z83" s="814">
        <f t="shared" si="102"/>
        <v>0.19787324804389053</v>
      </c>
      <c r="AA83" s="814">
        <f t="shared" si="102"/>
        <v>0.20202668024277617</v>
      </c>
      <c r="AB83" s="814">
        <f t="shared" si="103"/>
        <v>0.20202668024277617</v>
      </c>
      <c r="AC83" s="814">
        <f t="shared" si="103"/>
        <v>0.20202668024277617</v>
      </c>
      <c r="AD83" s="814">
        <f t="shared" si="103"/>
        <v>0.20202668024277617</v>
      </c>
      <c r="AE83" s="814">
        <f t="shared" si="103"/>
        <v>0.20202668024277617</v>
      </c>
      <c r="AF83" s="814">
        <f t="shared" si="103"/>
        <v>0.20202668024277617</v>
      </c>
    </row>
    <row r="84" spans="2:32" outlineLevel="1">
      <c r="B84" s="743" t="str">
        <f t="shared" si="99"/>
        <v>Other cable</v>
      </c>
      <c r="C84" s="958"/>
      <c r="D84" s="958"/>
      <c r="E84" s="958"/>
      <c r="F84" s="958">
        <f t="shared" si="100"/>
        <v>0.1492607552490188</v>
      </c>
      <c r="G84" s="958">
        <f t="shared" si="100"/>
        <v>9.3943253107123731E-2</v>
      </c>
      <c r="H84" s="958">
        <f t="shared" si="100"/>
        <v>5.5045404891256991E-2</v>
      </c>
      <c r="I84" s="958">
        <f t="shared" si="100"/>
        <v>5.0391428855514148E-2</v>
      </c>
      <c r="J84" s="958">
        <f t="shared" si="100"/>
        <v>0.1485101472884002</v>
      </c>
      <c r="K84" s="958">
        <f t="shared" si="100"/>
        <v>9.0835663249456355E-2</v>
      </c>
      <c r="L84" s="958">
        <f t="shared" ref="L84:V84" si="105">L56/L$67</f>
        <v>3.8861458030787104E-2</v>
      </c>
      <c r="M84" s="958">
        <f t="shared" si="105"/>
        <v>3.2634146341463416E-2</v>
      </c>
      <c r="N84" s="958">
        <f t="shared" si="105"/>
        <v>3.2987198997403995E-2</v>
      </c>
      <c r="O84" s="958">
        <f>O56/O$67</f>
        <v>3.2043478260869562E-2</v>
      </c>
      <c r="P84" s="958">
        <f t="shared" si="105"/>
        <v>3.1450341725875748E-2</v>
      </c>
      <c r="Q84" s="958">
        <f t="shared" si="105"/>
        <v>3.1307233846037084E-2</v>
      </c>
      <c r="R84" s="958">
        <f t="shared" si="105"/>
        <v>3.1165422428947986E-2</v>
      </c>
      <c r="S84" s="958">
        <f t="shared" si="105"/>
        <v>3.1024889936408014E-2</v>
      </c>
      <c r="T84" s="958">
        <f t="shared" si="105"/>
        <v>3.0885619145132801E-2</v>
      </c>
      <c r="U84" s="958">
        <f t="shared" si="105"/>
        <v>3.0747593139717342E-2</v>
      </c>
      <c r="V84" s="958">
        <f t="shared" si="105"/>
        <v>3.0610795305787114E-2</v>
      </c>
      <c r="W84" s="958">
        <f t="shared" si="102"/>
        <v>3.0610795305787114E-2</v>
      </c>
      <c r="X84" s="958">
        <f t="shared" si="102"/>
        <v>3.0610795305787114E-2</v>
      </c>
      <c r="Y84" s="958">
        <f t="shared" si="102"/>
        <v>3.0610795305787114E-2</v>
      </c>
      <c r="Z84" s="958">
        <f t="shared" si="102"/>
        <v>3.0610795305787114E-2</v>
      </c>
      <c r="AA84" s="958">
        <f t="shared" si="102"/>
        <v>3.0610795305787114E-2</v>
      </c>
      <c r="AB84" s="958">
        <f t="shared" si="103"/>
        <v>3.0610795305787114E-2</v>
      </c>
      <c r="AC84" s="958">
        <f t="shared" si="103"/>
        <v>3.0610795305787114E-2</v>
      </c>
      <c r="AD84" s="958">
        <f t="shared" si="103"/>
        <v>3.0610795305787114E-2</v>
      </c>
      <c r="AE84" s="958">
        <f t="shared" si="103"/>
        <v>3.0610795305787114E-2</v>
      </c>
      <c r="AF84" s="958">
        <f t="shared" si="103"/>
        <v>3.0610795305787114E-2</v>
      </c>
    </row>
    <row r="85" spans="2:32" outlineLevel="1">
      <c r="B85" s="685" t="str">
        <f t="shared" si="99"/>
        <v>Total cable</v>
      </c>
      <c r="C85" s="814"/>
      <c r="D85" s="814"/>
      <c r="E85" s="814"/>
      <c r="F85" s="814">
        <f>F93-F92-F90</f>
        <v>0.63838509316770187</v>
      </c>
      <c r="G85" s="814">
        <f t="shared" ref="G85:V85" si="106">G93-G92-G90</f>
        <v>0.53489526456864889</v>
      </c>
      <c r="H85" s="814">
        <f t="shared" si="106"/>
        <v>0.49025917550878412</v>
      </c>
      <c r="I85" s="814">
        <f t="shared" si="106"/>
        <v>0.45740840310315689</v>
      </c>
      <c r="J85" s="814">
        <f t="shared" si="106"/>
        <v>0.53467266075059017</v>
      </c>
      <c r="K85" s="814">
        <f t="shared" si="106"/>
        <v>0.47434607020813924</v>
      </c>
      <c r="L85" s="814">
        <f t="shared" si="106"/>
        <v>0.43944234679058958</v>
      </c>
      <c r="M85" s="814">
        <f t="shared" si="106"/>
        <v>0.38560975609756099</v>
      </c>
      <c r="N85" s="814">
        <f t="shared" si="106"/>
        <v>0.35636917017276881</v>
      </c>
      <c r="O85" s="814">
        <f>O93-O92-O90</f>
        <v>0.36186956521739133</v>
      </c>
      <c r="P85" s="814">
        <f t="shared" si="106"/>
        <v>0.35336447512365254</v>
      </c>
      <c r="Q85" s="814">
        <f t="shared" si="106"/>
        <v>0.35830003435708146</v>
      </c>
      <c r="R85" s="814">
        <f t="shared" si="106"/>
        <v>0.3570398750147733</v>
      </c>
      <c r="S85" s="814">
        <f t="shared" si="106"/>
        <v>0.37342833041931611</v>
      </c>
      <c r="T85" s="814">
        <f t="shared" si="106"/>
        <v>0.36503633643919609</v>
      </c>
      <c r="U85" s="814">
        <f t="shared" si="106"/>
        <v>0.36286365274457355</v>
      </c>
      <c r="V85" s="814">
        <f t="shared" si="106"/>
        <v>0.35917465335583121</v>
      </c>
      <c r="W85" s="814">
        <f t="shared" ref="W85:AF85" si="107">W93-W92-W90</f>
        <v>0.35751328047627695</v>
      </c>
      <c r="X85" s="814">
        <f t="shared" si="107"/>
        <v>0.35668259403649982</v>
      </c>
      <c r="Y85" s="814">
        <f t="shared" si="107"/>
        <v>0.35477914043794978</v>
      </c>
      <c r="Z85" s="814">
        <f t="shared" si="107"/>
        <v>0.3528047222313716</v>
      </c>
      <c r="AA85" s="814">
        <f t="shared" si="107"/>
        <v>0.35074212048617248</v>
      </c>
      <c r="AB85" s="814">
        <f t="shared" si="107"/>
        <v>0.34483688823929215</v>
      </c>
      <c r="AC85" s="814">
        <f t="shared" si="107"/>
        <v>0.33922691760475565</v>
      </c>
      <c r="AD85" s="814">
        <f t="shared" si="107"/>
        <v>0.333897445501946</v>
      </c>
      <c r="AE85" s="814">
        <f t="shared" si="107"/>
        <v>0.32883444700427689</v>
      </c>
      <c r="AF85" s="814">
        <f t="shared" si="107"/>
        <v>0.32402459843149123</v>
      </c>
    </row>
    <row r="86" spans="2:32" outlineLevel="1">
      <c r="C86" s="814"/>
      <c r="D86" s="814"/>
      <c r="E86" s="814"/>
      <c r="F86" s="814"/>
      <c r="G86" s="814"/>
      <c r="H86" s="814"/>
    </row>
    <row r="87" spans="2:32" outlineLevel="1">
      <c r="B87" s="685" t="str">
        <f>B60</f>
        <v>SKY Mexico</v>
      </c>
      <c r="C87" s="814"/>
      <c r="D87" s="814"/>
      <c r="E87" s="814"/>
      <c r="F87" s="814">
        <f t="shared" ref="F87:V87" si="108">F60/F$67</f>
        <v>0.22645962732919256</v>
      </c>
      <c r="G87" s="814">
        <f t="shared" si="108"/>
        <v>0.28779906681227041</v>
      </c>
      <c r="H87" s="814">
        <f t="shared" si="108"/>
        <v>0.33475387023830233</v>
      </c>
      <c r="I87" s="814">
        <f t="shared" si="108"/>
        <v>0.38182656117981412</v>
      </c>
      <c r="J87" s="814">
        <f t="shared" si="108"/>
        <v>0.39448856308966268</v>
      </c>
      <c r="K87" s="814">
        <f t="shared" si="108"/>
        <v>0.40049704877291087</v>
      </c>
      <c r="L87" s="814">
        <f t="shared" si="108"/>
        <v>0.41197432471681672</v>
      </c>
      <c r="M87" s="814">
        <f t="shared" si="108"/>
        <v>0.38144902439024392</v>
      </c>
      <c r="N87" s="814">
        <f t="shared" si="108"/>
        <v>0.35035883090144121</v>
      </c>
      <c r="O87" s="814">
        <f>O60/O$67</f>
        <v>0.325131</v>
      </c>
      <c r="P87" s="814">
        <f t="shared" si="108"/>
        <v>0.30979478475349981</v>
      </c>
      <c r="Q87" s="814">
        <f t="shared" si="108"/>
        <v>0.31039614343689687</v>
      </c>
      <c r="R87" s="814">
        <f t="shared" si="108"/>
        <v>0.30607235758578766</v>
      </c>
      <c r="S87" s="814">
        <f t="shared" si="108"/>
        <v>0.25624197491373385</v>
      </c>
      <c r="T87" s="814">
        <f t="shared" si="108"/>
        <v>0.23331533114614672</v>
      </c>
      <c r="U87" s="814">
        <f t="shared" si="108"/>
        <v>0.19591682141670644</v>
      </c>
      <c r="V87" s="814">
        <f t="shared" si="108"/>
        <v>0.18371760326086953</v>
      </c>
      <c r="W87" s="814">
        <f t="shared" ref="W87:AA89" si="109">W60/W$67</f>
        <v>0.17516846717391299</v>
      </c>
      <c r="X87" s="814">
        <f t="shared" si="109"/>
        <v>0.17034368315217385</v>
      </c>
      <c r="Y87" s="814">
        <f t="shared" si="109"/>
        <v>0.16556889913043471</v>
      </c>
      <c r="Z87" s="814">
        <f t="shared" si="109"/>
        <v>0.16196889913043469</v>
      </c>
      <c r="AA87" s="814">
        <f t="shared" si="109"/>
        <v>0.1583688991304347</v>
      </c>
      <c r="AB87" s="814">
        <f t="shared" ref="AB87:AF89" si="110">AB60/AB$67</f>
        <v>0.15476889913043471</v>
      </c>
      <c r="AC87" s="814">
        <f t="shared" si="110"/>
        <v>0.15116889913043469</v>
      </c>
      <c r="AD87" s="814">
        <f t="shared" si="110"/>
        <v>0.14756889913043469</v>
      </c>
      <c r="AE87" s="814">
        <f t="shared" si="110"/>
        <v>0.14396889913043467</v>
      </c>
      <c r="AF87" s="814">
        <f t="shared" si="110"/>
        <v>0.14036889913043468</v>
      </c>
    </row>
    <row r="88" spans="2:32" outlineLevel="1">
      <c r="B88" s="685" t="str">
        <f>B61</f>
        <v>Other DTH (Dish)</v>
      </c>
      <c r="C88" s="814"/>
      <c r="D88" s="814"/>
      <c r="E88" s="814"/>
      <c r="F88" s="814">
        <f t="shared" ref="F88:V88" si="111">F61/F$67</f>
        <v>7.6645962732919251E-2</v>
      </c>
      <c r="G88" s="814">
        <f t="shared" si="111"/>
        <v>0.14573612627816937</v>
      </c>
      <c r="H88" s="814">
        <f t="shared" si="111"/>
        <v>0.15620107844842582</v>
      </c>
      <c r="I88" s="814">
        <f t="shared" si="111"/>
        <v>0.1488593593978032</v>
      </c>
      <c r="J88" s="814">
        <f t="shared" si="111"/>
        <v>0.13289893436503089</v>
      </c>
      <c r="K88" s="814">
        <f t="shared" si="111"/>
        <v>0.14346070208139175</v>
      </c>
      <c r="L88" s="814">
        <f t="shared" si="111"/>
        <v>0.1430729015393552</v>
      </c>
      <c r="M88" s="814">
        <f t="shared" si="111"/>
        <v>0.20853658536585365</v>
      </c>
      <c r="N88" s="814">
        <f t="shared" si="111"/>
        <v>0.24621788559663413</v>
      </c>
      <c r="O88" s="814">
        <f>O61/O$67</f>
        <v>0.23478260869565218</v>
      </c>
      <c r="P88" s="814">
        <f t="shared" si="111"/>
        <v>0.2187820927848417</v>
      </c>
      <c r="Q88" s="814">
        <f t="shared" si="111"/>
        <v>0.20615385791096641</v>
      </c>
      <c r="R88" s="814">
        <f t="shared" si="111"/>
        <v>0.19846912972944539</v>
      </c>
      <c r="S88" s="814">
        <f t="shared" si="111"/>
        <v>0.23630911212836977</v>
      </c>
      <c r="T88" s="814">
        <f t="shared" si="111"/>
        <v>0.24726322544422316</v>
      </c>
      <c r="U88" s="814">
        <f t="shared" si="111"/>
        <v>0.27270683496580039</v>
      </c>
      <c r="V88" s="814">
        <f t="shared" si="111"/>
        <v>0.2729685478436974</v>
      </c>
      <c r="W88" s="814">
        <f t="shared" si="109"/>
        <v>0.27151768393065395</v>
      </c>
      <c r="X88" s="814">
        <f t="shared" si="109"/>
        <v>0.26634246795239308</v>
      </c>
      <c r="Y88" s="814">
        <f t="shared" si="109"/>
        <v>0.26111725197413221</v>
      </c>
      <c r="Z88" s="814">
        <f t="shared" si="109"/>
        <v>0.2547172519741322</v>
      </c>
      <c r="AA88" s="814">
        <f t="shared" si="109"/>
        <v>0.24831725197413221</v>
      </c>
      <c r="AB88" s="814">
        <f t="shared" si="110"/>
        <v>0.24191725197413219</v>
      </c>
      <c r="AC88" s="814">
        <f t="shared" si="110"/>
        <v>0.23551725197413217</v>
      </c>
      <c r="AD88" s="814">
        <f t="shared" si="110"/>
        <v>0.22911725197413219</v>
      </c>
      <c r="AE88" s="814">
        <f t="shared" si="110"/>
        <v>0.22271725197413217</v>
      </c>
      <c r="AF88" s="814">
        <f t="shared" si="110"/>
        <v>0.21631725197413218</v>
      </c>
    </row>
    <row r="89" spans="2:32" outlineLevel="1">
      <c r="B89" s="743" t="s">
        <v>571</v>
      </c>
      <c r="C89" s="958"/>
      <c r="D89" s="958"/>
      <c r="E89" s="958"/>
      <c r="F89" s="958"/>
      <c r="G89" s="958"/>
      <c r="H89" s="958"/>
      <c r="I89" s="958"/>
      <c r="J89" s="958"/>
      <c r="K89" s="958"/>
      <c r="L89" s="958">
        <f t="shared" ref="L89:V89" si="112">L62/L$67</f>
        <v>0</v>
      </c>
      <c r="M89" s="958">
        <f t="shared" si="112"/>
        <v>0</v>
      </c>
      <c r="N89" s="958">
        <f t="shared" si="112"/>
        <v>0</v>
      </c>
      <c r="O89" s="958">
        <f>O62/O$67</f>
        <v>0</v>
      </c>
      <c r="P89" s="958">
        <f t="shared" si="112"/>
        <v>2.1336731157310544E-2</v>
      </c>
      <c r="Q89" s="958">
        <f t="shared" si="112"/>
        <v>2.3363607347788869E-2</v>
      </c>
      <c r="R89" s="958">
        <f t="shared" si="112"/>
        <v>2.5372121380418985E-2</v>
      </c>
      <c r="S89" s="958">
        <f t="shared" si="112"/>
        <v>2.7362521653548452E-2</v>
      </c>
      <c r="T89" s="958">
        <f t="shared" si="112"/>
        <v>2.9335052105282172E-2</v>
      </c>
      <c r="U89" s="958">
        <f t="shared" si="112"/>
        <v>3.1289952313145193E-2</v>
      </c>
      <c r="V89" s="958">
        <f t="shared" si="112"/>
        <v>3.3227457591085058E-2</v>
      </c>
      <c r="W89" s="958">
        <f t="shared" si="109"/>
        <v>3.3227457591085058E-2</v>
      </c>
      <c r="X89" s="958">
        <f t="shared" si="109"/>
        <v>3.3227457591085058E-2</v>
      </c>
      <c r="Y89" s="958">
        <f t="shared" si="109"/>
        <v>3.3227457591085058E-2</v>
      </c>
      <c r="Z89" s="958">
        <f t="shared" si="109"/>
        <v>3.3227457591085058E-2</v>
      </c>
      <c r="AA89" s="958">
        <f t="shared" si="109"/>
        <v>3.3227457591085058E-2</v>
      </c>
      <c r="AB89" s="958">
        <f t="shared" si="110"/>
        <v>3.3227457591085058E-2</v>
      </c>
      <c r="AC89" s="958">
        <f t="shared" si="110"/>
        <v>3.3227457591085058E-2</v>
      </c>
      <c r="AD89" s="958">
        <f t="shared" si="110"/>
        <v>3.3227457591085058E-2</v>
      </c>
      <c r="AE89" s="958">
        <f t="shared" si="110"/>
        <v>3.3227457591085058E-2</v>
      </c>
      <c r="AF89" s="958">
        <f t="shared" si="110"/>
        <v>3.3227457591085058E-2</v>
      </c>
    </row>
    <row r="90" spans="2:32" outlineLevel="1">
      <c r="B90" s="685" t="str">
        <f>B63</f>
        <v>Total DTH</v>
      </c>
      <c r="C90" s="814"/>
      <c r="D90" s="814"/>
      <c r="E90" s="814"/>
      <c r="F90" s="814">
        <f t="shared" ref="F90:N90" si="113">F63/F$67</f>
        <v>0.3031055900621118</v>
      </c>
      <c r="G90" s="814">
        <f t="shared" si="113"/>
        <v>0.43353519309043981</v>
      </c>
      <c r="H90" s="814">
        <f t="shared" si="113"/>
        <v>0.49095494868672812</v>
      </c>
      <c r="I90" s="814">
        <f t="shared" si="113"/>
        <v>0.53068592057761732</v>
      </c>
      <c r="J90" s="814">
        <f t="shared" si="113"/>
        <v>0.5273874974546936</v>
      </c>
      <c r="K90" s="814">
        <f t="shared" si="113"/>
        <v>0.54395775085430254</v>
      </c>
      <c r="L90" s="814">
        <f t="shared" si="113"/>
        <v>0.55504722625617187</v>
      </c>
      <c r="M90" s="814">
        <f t="shared" si="113"/>
        <v>0.5899856097560976</v>
      </c>
      <c r="N90" s="814">
        <f t="shared" si="113"/>
        <v>0.59657671649807542</v>
      </c>
      <c r="O90" s="814">
        <f>O63/O$67</f>
        <v>0.5599136086956521</v>
      </c>
      <c r="P90" s="914">
        <f>O90-1%</f>
        <v>0.54991360869565209</v>
      </c>
      <c r="Q90" s="914">
        <f t="shared" ref="Q90:V90" si="114">P90-1%</f>
        <v>0.53991360869565208</v>
      </c>
      <c r="R90" s="914">
        <f t="shared" si="114"/>
        <v>0.52991360869565207</v>
      </c>
      <c r="S90" s="914">
        <f t="shared" si="114"/>
        <v>0.51991360869565206</v>
      </c>
      <c r="T90" s="914">
        <f t="shared" si="114"/>
        <v>0.50991360869565205</v>
      </c>
      <c r="U90" s="914">
        <f t="shared" si="114"/>
        <v>0.49991360869565205</v>
      </c>
      <c r="V90" s="914">
        <f t="shared" si="114"/>
        <v>0.48991360869565204</v>
      </c>
      <c r="W90" s="914">
        <f t="shared" ref="W90:AF90" si="115">V90-1%</f>
        <v>0.47991360869565203</v>
      </c>
      <c r="X90" s="914">
        <f t="shared" si="115"/>
        <v>0.46991360869565202</v>
      </c>
      <c r="Y90" s="914">
        <f t="shared" si="115"/>
        <v>0.45991360869565201</v>
      </c>
      <c r="Z90" s="914">
        <f t="shared" si="115"/>
        <v>0.449913608695652</v>
      </c>
      <c r="AA90" s="914">
        <f t="shared" si="115"/>
        <v>0.43991360869565199</v>
      </c>
      <c r="AB90" s="914">
        <f t="shared" si="115"/>
        <v>0.42991360869565198</v>
      </c>
      <c r="AC90" s="914">
        <f t="shared" si="115"/>
        <v>0.41991360869565197</v>
      </c>
      <c r="AD90" s="914">
        <f t="shared" si="115"/>
        <v>0.40991360869565197</v>
      </c>
      <c r="AE90" s="914">
        <f t="shared" si="115"/>
        <v>0.39991360869565196</v>
      </c>
      <c r="AF90" s="914">
        <f t="shared" si="115"/>
        <v>0.38991360869565195</v>
      </c>
    </row>
    <row r="91" spans="2:32" outlineLevel="1">
      <c r="C91" s="814"/>
      <c r="D91" s="814"/>
      <c r="E91" s="814"/>
      <c r="F91" s="814"/>
      <c r="G91" s="814"/>
      <c r="H91" s="814"/>
      <c r="I91" s="814"/>
      <c r="J91" s="814"/>
      <c r="K91" s="814"/>
    </row>
    <row r="92" spans="2:32" outlineLevel="1">
      <c r="B92" s="743" t="str">
        <f>B66</f>
        <v>Other (MMDS, other fixed wireless)</v>
      </c>
      <c r="C92" s="958"/>
      <c r="D92" s="958"/>
      <c r="E92" s="958"/>
      <c r="F92" s="958">
        <f t="shared" ref="F92:V92" si="116">F66/F$67</f>
        <v>5.8509316770186337E-2</v>
      </c>
      <c r="G92" s="958">
        <f t="shared" si="116"/>
        <v>3.1569542340911347E-2</v>
      </c>
      <c r="H92" s="958">
        <f t="shared" si="116"/>
        <v>1.8785875804487737E-2</v>
      </c>
      <c r="I92" s="958">
        <f t="shared" si="116"/>
        <v>1.1905676319225747E-2</v>
      </c>
      <c r="J92" s="958">
        <f t="shared" si="116"/>
        <v>-6.2060158205283822E-2</v>
      </c>
      <c r="K92" s="958">
        <f t="shared" si="116"/>
        <v>-1.8303821062441775E-2</v>
      </c>
      <c r="L92" s="958">
        <f t="shared" si="116"/>
        <v>5.5104269532385121E-3</v>
      </c>
      <c r="M92" s="958">
        <f t="shared" si="116"/>
        <v>2.4404634146341468E-2</v>
      </c>
      <c r="N92" s="958">
        <f t="shared" si="116"/>
        <v>4.7054113329155822E-2</v>
      </c>
      <c r="O92" s="958">
        <f>O66/O$67</f>
        <v>7.821682608695657E-2</v>
      </c>
      <c r="P92" s="958">
        <f t="shared" si="116"/>
        <v>9.6721916180695325E-2</v>
      </c>
      <c r="Q92" s="958">
        <f t="shared" si="116"/>
        <v>0.10178635694726647</v>
      </c>
      <c r="R92" s="958">
        <f t="shared" si="116"/>
        <v>0.11304651628957457</v>
      </c>
      <c r="S92" s="958">
        <f t="shared" si="116"/>
        <v>0.10665806088503182</v>
      </c>
      <c r="T92" s="958">
        <f t="shared" si="116"/>
        <v>0.12505005486515192</v>
      </c>
      <c r="U92" s="958">
        <f t="shared" si="116"/>
        <v>0.13722273855977446</v>
      </c>
      <c r="V92" s="958">
        <f t="shared" si="116"/>
        <v>0.1509117379485167</v>
      </c>
      <c r="W92" s="958">
        <f t="shared" ref="W92:AF92" si="117">W66/W$67</f>
        <v>0.16257311082807097</v>
      </c>
      <c r="X92" s="958">
        <f t="shared" si="117"/>
        <v>0.1734037972678481</v>
      </c>
      <c r="Y92" s="958">
        <f t="shared" si="117"/>
        <v>0.18530725086639827</v>
      </c>
      <c r="Z92" s="958">
        <f t="shared" si="117"/>
        <v>0.19728166907297642</v>
      </c>
      <c r="AA92" s="958">
        <f t="shared" si="117"/>
        <v>0.2093442708181755</v>
      </c>
      <c r="AB92" s="958">
        <f t="shared" si="117"/>
        <v>0.22524950306505592</v>
      </c>
      <c r="AC92" s="958">
        <f t="shared" si="117"/>
        <v>0.24085947369959243</v>
      </c>
      <c r="AD92" s="958">
        <f t="shared" si="117"/>
        <v>0.25618894580240209</v>
      </c>
      <c r="AE92" s="958">
        <f t="shared" si="117"/>
        <v>0.27125194430007116</v>
      </c>
      <c r="AF92" s="958">
        <f t="shared" si="117"/>
        <v>0.28606179287285688</v>
      </c>
    </row>
    <row r="93" spans="2:32" outlineLevel="1">
      <c r="B93" s="685" t="str">
        <f>B67</f>
        <v>Total</v>
      </c>
      <c r="C93" s="814"/>
      <c r="D93" s="814"/>
      <c r="E93" s="814"/>
      <c r="F93" s="814">
        <f t="shared" ref="F93:O93" si="118">F67/F$67</f>
        <v>1</v>
      </c>
      <c r="G93" s="814">
        <f t="shared" si="118"/>
        <v>1</v>
      </c>
      <c r="H93" s="814">
        <f t="shared" si="118"/>
        <v>1</v>
      </c>
      <c r="I93" s="814">
        <f t="shared" si="118"/>
        <v>1</v>
      </c>
      <c r="J93" s="814">
        <f t="shared" si="118"/>
        <v>1</v>
      </c>
      <c r="K93" s="814">
        <f t="shared" si="118"/>
        <v>1</v>
      </c>
      <c r="L93" s="814">
        <f t="shared" si="118"/>
        <v>1</v>
      </c>
      <c r="M93" s="814">
        <f t="shared" si="118"/>
        <v>1</v>
      </c>
      <c r="N93" s="814">
        <f t="shared" si="118"/>
        <v>1</v>
      </c>
      <c r="O93" s="814">
        <f t="shared" si="118"/>
        <v>1</v>
      </c>
      <c r="P93" s="814">
        <f t="shared" ref="P93:V93" si="119">O93</f>
        <v>1</v>
      </c>
      <c r="Q93" s="814">
        <f t="shared" si="119"/>
        <v>1</v>
      </c>
      <c r="R93" s="814">
        <f t="shared" si="119"/>
        <v>1</v>
      </c>
      <c r="S93" s="814">
        <f t="shared" si="119"/>
        <v>1</v>
      </c>
      <c r="T93" s="814">
        <f t="shared" si="119"/>
        <v>1</v>
      </c>
      <c r="U93" s="814">
        <f t="shared" si="119"/>
        <v>1</v>
      </c>
      <c r="V93" s="814">
        <f t="shared" si="119"/>
        <v>1</v>
      </c>
      <c r="W93" s="814">
        <f t="shared" ref="W93:AF93" si="120">V93</f>
        <v>1</v>
      </c>
      <c r="X93" s="814">
        <f t="shared" si="120"/>
        <v>1</v>
      </c>
      <c r="Y93" s="814">
        <f t="shared" si="120"/>
        <v>1</v>
      </c>
      <c r="Z93" s="814">
        <f t="shared" si="120"/>
        <v>1</v>
      </c>
      <c r="AA93" s="814">
        <f t="shared" si="120"/>
        <v>1</v>
      </c>
      <c r="AB93" s="814">
        <f t="shared" si="120"/>
        <v>1</v>
      </c>
      <c r="AC93" s="814">
        <f t="shared" si="120"/>
        <v>1</v>
      </c>
      <c r="AD93" s="814">
        <f t="shared" si="120"/>
        <v>1</v>
      </c>
      <c r="AE93" s="814">
        <f t="shared" si="120"/>
        <v>1</v>
      </c>
      <c r="AF93" s="814">
        <f t="shared" si="120"/>
        <v>1</v>
      </c>
    </row>
    <row r="94" spans="2:32" outlineLevel="1">
      <c r="C94" s="814"/>
      <c r="D94" s="814"/>
      <c r="E94" s="814"/>
      <c r="F94" s="814"/>
      <c r="G94" s="814"/>
      <c r="H94" s="814"/>
      <c r="I94" s="814"/>
      <c r="J94" s="814"/>
      <c r="K94" s="814"/>
      <c r="L94" s="814"/>
      <c r="M94" s="814"/>
      <c r="N94" s="814"/>
      <c r="O94" s="814"/>
      <c r="P94" s="814"/>
      <c r="Q94" s="814"/>
      <c r="R94" s="814"/>
      <c r="S94" s="814"/>
      <c r="T94" s="814"/>
      <c r="U94" s="814"/>
      <c r="V94" s="814"/>
      <c r="W94" s="814"/>
      <c r="X94" s="814"/>
      <c r="Y94" s="814"/>
      <c r="Z94" s="814"/>
      <c r="AA94" s="814"/>
      <c r="AB94" s="814"/>
      <c r="AC94" s="814"/>
      <c r="AD94" s="814"/>
      <c r="AE94" s="814"/>
      <c r="AF94" s="814"/>
    </row>
    <row r="95" spans="2:32" outlineLevel="1">
      <c r="B95" s="817" t="s">
        <v>580</v>
      </c>
      <c r="C95" s="959"/>
      <c r="D95" s="959"/>
      <c r="E95" s="959"/>
      <c r="F95" s="959">
        <f t="shared" ref="F95:V95" si="121">F82+F87</f>
        <v>0.51769576649011162</v>
      </c>
      <c r="G95" s="959">
        <f t="shared" si="121"/>
        <v>0.55432439307574133</v>
      </c>
      <c r="H95" s="959">
        <f t="shared" si="121"/>
        <v>0.60089475861543984</v>
      </c>
      <c r="I95" s="959">
        <f t="shared" si="121"/>
        <v>0.62754082400568867</v>
      </c>
      <c r="J95" s="959">
        <f t="shared" si="121"/>
        <v>0.63519529700932909</v>
      </c>
      <c r="K95" s="959">
        <f t="shared" si="121"/>
        <v>0.63452003727865802</v>
      </c>
      <c r="L95" s="959">
        <f t="shared" si="121"/>
        <v>0.64793133894859134</v>
      </c>
      <c r="M95" s="959">
        <f t="shared" si="121"/>
        <v>0.58661975609756101</v>
      </c>
      <c r="N95" s="959">
        <f t="shared" si="121"/>
        <v>0.53767420105630648</v>
      </c>
      <c r="O95" s="959">
        <f t="shared" si="121"/>
        <v>0.51573969565217392</v>
      </c>
      <c r="P95" s="959">
        <f t="shared" si="121"/>
        <v>0.49409562222601122</v>
      </c>
      <c r="Q95" s="959">
        <f t="shared" si="121"/>
        <v>0.49240714053338952</v>
      </c>
      <c r="R95" s="959">
        <f t="shared" si="121"/>
        <v>0.48225890566355512</v>
      </c>
      <c r="S95" s="959">
        <f t="shared" si="121"/>
        <v>0.44391603843109195</v>
      </c>
      <c r="T95" s="959">
        <f t="shared" si="121"/>
        <v>0.40343742830483292</v>
      </c>
      <c r="U95" s="959">
        <f t="shared" si="121"/>
        <v>0.35639330780557926</v>
      </c>
      <c r="V95" s="959">
        <f t="shared" si="121"/>
        <v>0.33517537426145139</v>
      </c>
      <c r="W95" s="959">
        <f t="shared" ref="W95:AF95" si="122">W82+W87</f>
        <v>0.31915006021650066</v>
      </c>
      <c r="X95" s="959">
        <f t="shared" si="122"/>
        <v>0.30809512789643312</v>
      </c>
      <c r="Y95" s="959">
        <f t="shared" si="122"/>
        <v>0.296432771637481</v>
      </c>
      <c r="Z95" s="959">
        <f t="shared" si="122"/>
        <v>0.28628957801212862</v>
      </c>
      <c r="AA95" s="959">
        <f t="shared" si="122"/>
        <v>0.27647354406804397</v>
      </c>
      <c r="AB95" s="959">
        <f t="shared" si="122"/>
        <v>0.26696831182116354</v>
      </c>
      <c r="AC95" s="959">
        <f t="shared" si="122"/>
        <v>0.25775834118662705</v>
      </c>
      <c r="AD95" s="959">
        <f t="shared" si="122"/>
        <v>0.24882886908381743</v>
      </c>
      <c r="AE95" s="959">
        <f t="shared" si="122"/>
        <v>0.24016587058614824</v>
      </c>
      <c r="AF95" s="959">
        <f t="shared" si="122"/>
        <v>0.23175602201336259</v>
      </c>
    </row>
    <row r="96" spans="2:32" outlineLevel="1">
      <c r="B96" s="685" t="s">
        <v>581</v>
      </c>
      <c r="C96" s="959"/>
      <c r="D96" s="959"/>
      <c r="E96" s="959"/>
      <c r="F96" s="814">
        <f>F87*SOP!$C$6+F78*100%+F77*50%+F79*50%+F80*100%</f>
        <v>0.43906603665739441</v>
      </c>
      <c r="G96" s="814">
        <f>G87*SOP!$C$6+G78*100%+G77*50%+G79*50%+G80*100%</f>
        <v>0.48101933594372531</v>
      </c>
      <c r="H96" s="814">
        <f>H87*SOP!$C$6+H78*100%+H77*50%+H79*50%+H80*100%</f>
        <v>0.52624293866702521</v>
      </c>
      <c r="I96" s="814">
        <f>I87*SOP!$C$6+I78*100%+I77*50%+I79*50%+I80*100%</f>
        <v>0.55879255283806539</v>
      </c>
      <c r="J96" s="814">
        <f>J87*SOP!$C$6+J78*100%+J77*50%+J79*50%+J80*100%</f>
        <v>0.56555716983853144</v>
      </c>
      <c r="K96" s="814">
        <f>K87*SOP!$C$6+K78*100%+K77*50%+K79*50%+K80*100%</f>
        <v>0.56583100341721038</v>
      </c>
      <c r="L96" s="814">
        <f>L87*SOP!$C$6+L78*100%+L77*50%+L79*50%+L80*100%</f>
        <v>0.41197432471681672</v>
      </c>
      <c r="M96" s="814">
        <f>M87*SOP!$C$6+M78*100%+M77*50%+M79*50%+M80*100%</f>
        <v>0.38144902439024392</v>
      </c>
      <c r="N96" s="814">
        <f>N87*SOP!$C$6+N78*100%+N77*50%+N79*50%+N80*100%</f>
        <v>0.35035883090144121</v>
      </c>
      <c r="O96" s="814">
        <f>O87*SOP!$C$6+O78*100%+O77*50%+O79*50%+O80*100%</f>
        <v>0.325131</v>
      </c>
      <c r="P96" s="814">
        <f>P87*SOP!$C$6+P78*100%+P77*50%+P79*50%+P80*100%</f>
        <v>0.30979478475349981</v>
      </c>
      <c r="Q96" s="814">
        <f>Q87*SOP!$C$6+Q78*100%+Q77*50%+Q79*50%+Q80*100%</f>
        <v>0.31039614343689687</v>
      </c>
      <c r="R96" s="814">
        <f>R87*SOP!$C$6+R78*100%+R77*50%+R79*50%+R80*100%</f>
        <v>0.30607235758578766</v>
      </c>
      <c r="S96" s="814">
        <f>S87*SOP!$C$6+S78*100%+S77*50%+S79*50%+S80*100%</f>
        <v>0.25624197491373385</v>
      </c>
      <c r="T96" s="814">
        <f>T87*SOP!$C$6+T78*100%+T77*50%+T79*50%+T80*100%</f>
        <v>0.23331533114614672</v>
      </c>
      <c r="U96" s="814">
        <f>U87*SOP!$C$6+U78*100%+U77*50%+U79*50%+U80*100%</f>
        <v>0.19591682141670644</v>
      </c>
      <c r="V96" s="814">
        <f>V87*SOP!$C$6+V78*100%+V77*50%+V79*50%+V80*100%</f>
        <v>0.18371760326086953</v>
      </c>
      <c r="W96" s="814">
        <f>W87*SOP!$C$6+W78*100%+W77*50%+W79*50%+W80*100%</f>
        <v>0.17516846717391299</v>
      </c>
      <c r="X96" s="814">
        <f>X87*SOP!$C$6+X78*100%+X77*50%+X79*50%+X80*100%</f>
        <v>0.17034368315217385</v>
      </c>
      <c r="Y96" s="814">
        <f>Y87*SOP!$C$6+Y78*100%+Y77*50%+Y79*50%+Y80*100%</f>
        <v>0.16556889913043471</v>
      </c>
      <c r="Z96" s="814">
        <f>Z87*SOP!$C$6+Z78*100%+Z77*50%+Z79*50%+Z80*100%</f>
        <v>0.16196889913043469</v>
      </c>
      <c r="AA96" s="814">
        <f>AA87*SOP!$C$6+AA78*100%+AA77*50%+AA79*50%+AA80*100%</f>
        <v>0.1583688991304347</v>
      </c>
      <c r="AB96" s="814">
        <f>AB87*SOP!$C$6+AB78*100%+AB77*50%+AB79*50%+AB80*100%</f>
        <v>0.15476889913043471</v>
      </c>
      <c r="AC96" s="814">
        <f>AC87*SOP!$C$6+AC78*100%+AC77*50%+AC79*50%+AC80*100%</f>
        <v>0.15116889913043469</v>
      </c>
      <c r="AD96" s="814">
        <f>AD87*SOP!$C$6+AD78*100%+AD77*50%+AD79*50%+AD80*100%</f>
        <v>0.14756889913043469</v>
      </c>
      <c r="AE96" s="814">
        <f>AE87*SOP!$C$6+AE78*100%+AE77*50%+AE79*50%+AE80*100%</f>
        <v>0.14396889913043467</v>
      </c>
      <c r="AF96" s="814">
        <f>AF87*SOP!$C$6+AF78*100%+AF77*50%+AF79*50%+AF80*100%</f>
        <v>0.14036889913043468</v>
      </c>
    </row>
    <row r="97" spans="1:34" outlineLevel="1">
      <c r="A97" s="685" t="s">
        <v>57</v>
      </c>
      <c r="H97" s="789"/>
    </row>
    <row r="98" spans="1:34" outlineLevel="1">
      <c r="B98" s="743" t="s">
        <v>582</v>
      </c>
      <c r="C98" s="743"/>
      <c r="D98" s="743">
        <f t="shared" ref="D98:V98" si="123">D76</f>
        <v>2007</v>
      </c>
      <c r="E98" s="743">
        <f t="shared" si="123"/>
        <v>2008</v>
      </c>
      <c r="F98" s="743">
        <f t="shared" si="123"/>
        <v>2009</v>
      </c>
      <c r="G98" s="743">
        <f t="shared" si="123"/>
        <v>2010</v>
      </c>
      <c r="H98" s="743">
        <f t="shared" si="123"/>
        <v>2011</v>
      </c>
      <c r="I98" s="743">
        <f t="shared" si="123"/>
        <v>2012</v>
      </c>
      <c r="J98" s="743">
        <f t="shared" si="123"/>
        <v>2013</v>
      </c>
      <c r="K98" s="743">
        <f t="shared" si="123"/>
        <v>2014</v>
      </c>
      <c r="L98" s="743">
        <f t="shared" si="123"/>
        <v>2015</v>
      </c>
      <c r="M98" s="743">
        <f t="shared" si="123"/>
        <v>2016</v>
      </c>
      <c r="N98" s="743">
        <f t="shared" si="123"/>
        <v>2017</v>
      </c>
      <c r="O98" s="743">
        <f t="shared" si="123"/>
        <v>2018</v>
      </c>
      <c r="P98" s="743">
        <f t="shared" si="123"/>
        <v>2019</v>
      </c>
      <c r="Q98" s="743">
        <f t="shared" si="123"/>
        <v>2020</v>
      </c>
      <c r="R98" s="743">
        <f t="shared" si="123"/>
        <v>2021</v>
      </c>
      <c r="S98" s="743">
        <f t="shared" si="123"/>
        <v>2022</v>
      </c>
      <c r="T98" s="743">
        <f t="shared" si="123"/>
        <v>2023</v>
      </c>
      <c r="U98" s="743">
        <f t="shared" si="123"/>
        <v>2024</v>
      </c>
      <c r="V98" s="743">
        <f t="shared" si="123"/>
        <v>2025</v>
      </c>
      <c r="W98" s="743">
        <f t="shared" ref="W98:AF98" si="124">W76</f>
        <v>2026</v>
      </c>
      <c r="X98" s="743">
        <f t="shared" si="124"/>
        <v>2027</v>
      </c>
      <c r="Y98" s="743">
        <f t="shared" si="124"/>
        <v>2028</v>
      </c>
      <c r="Z98" s="743">
        <f t="shared" si="124"/>
        <v>2029</v>
      </c>
      <c r="AA98" s="743">
        <f t="shared" si="124"/>
        <v>2030</v>
      </c>
      <c r="AB98" s="743">
        <f t="shared" si="124"/>
        <v>2031</v>
      </c>
      <c r="AC98" s="743">
        <f t="shared" si="124"/>
        <v>2032</v>
      </c>
      <c r="AD98" s="743">
        <f t="shared" si="124"/>
        <v>2033</v>
      </c>
      <c r="AE98" s="743">
        <f t="shared" si="124"/>
        <v>2034</v>
      </c>
      <c r="AF98" s="743">
        <f t="shared" si="124"/>
        <v>2035</v>
      </c>
    </row>
    <row r="99" spans="1:34" outlineLevel="1">
      <c r="B99" s="685" t="s">
        <v>583</v>
      </c>
      <c r="F99" s="795">
        <v>129</v>
      </c>
      <c r="G99" s="795">
        <v>1367</v>
      </c>
      <c r="H99" s="795">
        <v>2370</v>
      </c>
      <c r="I99" s="795"/>
      <c r="J99" s="795"/>
      <c r="K99" s="795"/>
      <c r="L99" s="795"/>
      <c r="M99" s="795"/>
      <c r="N99" s="795"/>
      <c r="O99" s="795"/>
      <c r="P99" s="795"/>
      <c r="Q99" s="795"/>
      <c r="R99" s="795"/>
      <c r="S99" s="795"/>
      <c r="T99" s="795"/>
      <c r="U99" s="795"/>
      <c r="V99" s="795"/>
      <c r="W99" s="795"/>
      <c r="X99" s="795"/>
      <c r="Y99" s="795"/>
      <c r="Z99" s="795"/>
      <c r="AA99" s="795"/>
      <c r="AB99" s="795"/>
      <c r="AC99" s="795"/>
      <c r="AD99" s="795"/>
      <c r="AE99" s="795"/>
      <c r="AF99" s="795"/>
    </row>
    <row r="100" spans="1:34" outlineLevel="1">
      <c r="B100" s="685" t="s">
        <v>584</v>
      </c>
      <c r="F100" s="795"/>
      <c r="G100" s="795">
        <f>G102-G99-G101</f>
        <v>1471</v>
      </c>
      <c r="H100" s="795">
        <f>H102-H99-H101</f>
        <v>1344</v>
      </c>
      <c r="I100" s="795"/>
      <c r="J100" s="795"/>
      <c r="K100" s="795"/>
      <c r="L100" s="795"/>
      <c r="M100" s="795"/>
      <c r="N100" s="795"/>
      <c r="O100" s="795"/>
      <c r="P100" s="795"/>
      <c r="Q100" s="795"/>
      <c r="R100" s="795"/>
      <c r="S100" s="795"/>
      <c r="T100" s="795"/>
      <c r="U100" s="795"/>
      <c r="V100" s="795"/>
      <c r="W100" s="795"/>
      <c r="X100" s="795"/>
      <c r="Y100" s="795"/>
      <c r="Z100" s="795"/>
      <c r="AA100" s="795"/>
      <c r="AB100" s="795"/>
      <c r="AC100" s="795"/>
      <c r="AD100" s="795"/>
      <c r="AE100" s="795"/>
      <c r="AF100" s="795"/>
    </row>
    <row r="101" spans="1:34" outlineLevel="1">
      <c r="B101" s="743" t="s">
        <v>585</v>
      </c>
      <c r="C101" s="743"/>
      <c r="D101" s="743"/>
      <c r="E101" s="743"/>
      <c r="F101" s="833"/>
      <c r="G101" s="833">
        <v>61</v>
      </c>
      <c r="H101" s="833">
        <v>135</v>
      </c>
      <c r="I101" s="833"/>
      <c r="J101" s="833"/>
      <c r="K101" s="833"/>
      <c r="L101" s="833"/>
      <c r="M101" s="833"/>
      <c r="N101" s="833"/>
      <c r="O101" s="833"/>
      <c r="P101" s="833"/>
      <c r="Q101" s="833"/>
      <c r="R101" s="833"/>
      <c r="S101" s="833"/>
      <c r="T101" s="833"/>
      <c r="U101" s="833"/>
      <c r="V101" s="833"/>
      <c r="W101" s="833"/>
      <c r="X101" s="833"/>
      <c r="Y101" s="833"/>
      <c r="Z101" s="833"/>
      <c r="AA101" s="833"/>
      <c r="AB101" s="833"/>
      <c r="AC101" s="833"/>
      <c r="AD101" s="833"/>
      <c r="AE101" s="833"/>
      <c r="AF101" s="833"/>
    </row>
    <row r="102" spans="1:34" outlineLevel="1">
      <c r="B102" s="685" t="s">
        <v>586</v>
      </c>
      <c r="C102" s="685">
        <f t="shared" ref="C102:T102" si="125">C60</f>
        <v>1430.1</v>
      </c>
      <c r="D102" s="685">
        <f t="shared" si="125"/>
        <v>1585.1</v>
      </c>
      <c r="E102" s="685">
        <f t="shared" si="125"/>
        <v>1639</v>
      </c>
      <c r="F102" s="795">
        <f t="shared" si="125"/>
        <v>1823</v>
      </c>
      <c r="G102" s="795">
        <f t="shared" si="125"/>
        <v>2899</v>
      </c>
      <c r="H102" s="795">
        <f t="shared" si="125"/>
        <v>3849</v>
      </c>
      <c r="I102" s="795">
        <f t="shared" si="125"/>
        <v>4971</v>
      </c>
      <c r="J102" s="795">
        <f t="shared" si="125"/>
        <v>5812</v>
      </c>
      <c r="K102" s="795">
        <f t="shared" si="125"/>
        <v>6446</v>
      </c>
      <c r="L102" s="795">
        <f t="shared" si="125"/>
        <v>7092.1379999999999</v>
      </c>
      <c r="M102" s="795">
        <f t="shared" si="125"/>
        <v>7819.7049999999999</v>
      </c>
      <c r="N102" s="795">
        <f t="shared" si="125"/>
        <v>7827.7169999999996</v>
      </c>
      <c r="O102" s="795">
        <f t="shared" si="125"/>
        <v>7478.0129999999999</v>
      </c>
      <c r="P102" s="795">
        <f t="shared" si="125"/>
        <v>7259.6589999999997</v>
      </c>
      <c r="Q102" s="795">
        <f t="shared" si="125"/>
        <v>7307</v>
      </c>
      <c r="R102" s="795">
        <f t="shared" si="125"/>
        <v>7238</v>
      </c>
      <c r="S102" s="795">
        <f t="shared" si="125"/>
        <v>6087.0590000000002</v>
      </c>
      <c r="T102" s="795">
        <f t="shared" si="125"/>
        <v>5567.4260000000004</v>
      </c>
      <c r="U102" s="795">
        <f t="shared" ref="U102:AA102" si="126">U60</f>
        <v>4696</v>
      </c>
      <c r="V102" s="795">
        <f t="shared" si="126"/>
        <v>4423.2719944281507</v>
      </c>
      <c r="W102" s="795">
        <f t="shared" si="126"/>
        <v>4217.4389465394606</v>
      </c>
      <c r="X102" s="795">
        <f t="shared" si="126"/>
        <v>4101.2751622110773</v>
      </c>
      <c r="Y102" s="795">
        <f t="shared" si="126"/>
        <v>3986.3152015544374</v>
      </c>
      <c r="Z102" s="795">
        <f t="shared" si="126"/>
        <v>3899.6398971889084</v>
      </c>
      <c r="AA102" s="795">
        <f t="shared" si="126"/>
        <v>3812.9645928233795</v>
      </c>
      <c r="AB102" s="795">
        <f>AB60</f>
        <v>3726.2892884578505</v>
      </c>
      <c r="AC102" s="795">
        <f>AC60</f>
        <v>3639.6139840923215</v>
      </c>
      <c r="AD102" s="795">
        <f>AD60</f>
        <v>3552.9386797267925</v>
      </c>
      <c r="AE102" s="795">
        <f>AE60</f>
        <v>3466.2633753612636</v>
      </c>
      <c r="AF102" s="795">
        <f>AF60</f>
        <v>3379.5880709957346</v>
      </c>
      <c r="AH102" s="795"/>
    </row>
    <row r="103" spans="1:34" outlineLevel="1">
      <c r="B103" s="685" t="s">
        <v>587</v>
      </c>
      <c r="D103" s="796">
        <f>D102-C102</f>
        <v>155</v>
      </c>
      <c r="E103" s="796">
        <f t="shared" ref="E103:V103" si="127">E102-D102</f>
        <v>53.900000000000091</v>
      </c>
      <c r="F103" s="796">
        <f t="shared" si="127"/>
        <v>184</v>
      </c>
      <c r="G103" s="796">
        <f t="shared" si="127"/>
        <v>1076</v>
      </c>
      <c r="H103" s="796">
        <f t="shared" si="127"/>
        <v>950</v>
      </c>
      <c r="I103" s="796">
        <f t="shared" si="127"/>
        <v>1122</v>
      </c>
      <c r="J103" s="796">
        <f t="shared" si="127"/>
        <v>841</v>
      </c>
      <c r="K103" s="796">
        <f t="shared" si="127"/>
        <v>634</v>
      </c>
      <c r="L103" s="796">
        <f t="shared" si="127"/>
        <v>646.13799999999992</v>
      </c>
      <c r="M103" s="796">
        <f t="shared" si="127"/>
        <v>727.56700000000001</v>
      </c>
      <c r="N103" s="796">
        <f>N102-M102</f>
        <v>8.0119999999997162</v>
      </c>
      <c r="O103" s="796">
        <f>O102-N102</f>
        <v>-349.70399999999972</v>
      </c>
      <c r="P103" s="796">
        <f>P102-O102</f>
        <v>-218.35400000000027</v>
      </c>
      <c r="Q103" s="796">
        <f>Q102-P102</f>
        <v>47.341000000000349</v>
      </c>
      <c r="R103" s="796">
        <f t="shared" si="127"/>
        <v>-69</v>
      </c>
      <c r="S103" s="796">
        <f t="shared" si="127"/>
        <v>-1150.9409999999998</v>
      </c>
      <c r="T103" s="796">
        <f t="shared" si="127"/>
        <v>-519.63299999999981</v>
      </c>
      <c r="U103" s="796">
        <f t="shared" si="127"/>
        <v>-871.42600000000039</v>
      </c>
      <c r="V103" s="796">
        <f t="shared" si="127"/>
        <v>-272.72800557184928</v>
      </c>
      <c r="W103" s="796">
        <f t="shared" ref="W103:AF103" si="128">W102-V102</f>
        <v>-205.83304788869009</v>
      </c>
      <c r="X103" s="796">
        <f t="shared" si="128"/>
        <v>-116.16378432838337</v>
      </c>
      <c r="Y103" s="796">
        <f t="shared" si="128"/>
        <v>-114.95996065663985</v>
      </c>
      <c r="Z103" s="796">
        <f t="shared" si="128"/>
        <v>-86.675304365528973</v>
      </c>
      <c r="AA103" s="796">
        <f t="shared" si="128"/>
        <v>-86.675304365528973</v>
      </c>
      <c r="AB103" s="796">
        <f t="shared" si="128"/>
        <v>-86.675304365528973</v>
      </c>
      <c r="AC103" s="796">
        <f t="shared" si="128"/>
        <v>-86.675304365528973</v>
      </c>
      <c r="AD103" s="796">
        <f t="shared" si="128"/>
        <v>-86.675304365528973</v>
      </c>
      <c r="AE103" s="796">
        <f t="shared" si="128"/>
        <v>-86.675304365528973</v>
      </c>
      <c r="AF103" s="796">
        <f t="shared" si="128"/>
        <v>-86.675304365528973</v>
      </c>
    </row>
    <row r="104" spans="1:34" outlineLevel="1">
      <c r="H104" s="789"/>
    </row>
    <row r="105" spans="1:34" outlineLevel="1">
      <c r="B105" s="817" t="s">
        <v>588</v>
      </c>
      <c r="C105" s="817"/>
      <c r="D105" s="935">
        <v>8226</v>
      </c>
      <c r="E105" s="935">
        <v>9162</v>
      </c>
      <c r="F105" s="818">
        <f>Master!H23</f>
        <v>10005.1</v>
      </c>
      <c r="G105" s="818">
        <f>Master!I23</f>
        <v>11248.2</v>
      </c>
      <c r="H105" s="818">
        <f>Master!J23</f>
        <v>12479.2</v>
      </c>
      <c r="I105" s="818">
        <f>Master!K23</f>
        <v>14465.4</v>
      </c>
      <c r="J105" s="818">
        <f>Master!L23</f>
        <v>16098.3</v>
      </c>
      <c r="K105" s="818">
        <f>Master!M23</f>
        <v>17498.5</v>
      </c>
      <c r="L105" s="935">
        <f>Master!N23</f>
        <v>19253.5</v>
      </c>
      <c r="M105" s="935">
        <f>Master!O23</f>
        <v>21941.200000000001</v>
      </c>
      <c r="N105" s="935">
        <f>Master!P23</f>
        <v>22197</v>
      </c>
      <c r="O105" s="935">
        <f>Master!Q23-O130</f>
        <v>22002</v>
      </c>
      <c r="P105" s="935">
        <f>Master!R23-P130</f>
        <v>20770.408640000001</v>
      </c>
      <c r="Q105" s="935">
        <f>Master!S23-Q130</f>
        <v>20563.264480000002</v>
      </c>
      <c r="R105" s="935">
        <f>Master!T23-R130</f>
        <v>19945.454730239999</v>
      </c>
      <c r="S105" s="935">
        <f>Master!U23-S130</f>
        <v>18296.2533248</v>
      </c>
      <c r="T105" s="935">
        <f>Master!V23-T130</f>
        <v>15859.335089920001</v>
      </c>
      <c r="U105" s="935">
        <f>Master!W23-U130</f>
        <v>13741.142677760001</v>
      </c>
      <c r="V105" s="935">
        <f>Master!X23-V130</f>
        <v>11536.204368639999</v>
      </c>
      <c r="W105" s="2160">
        <f t="shared" ref="W105:AF105" si="129">V105*(1+W106)</f>
        <v>10036.497800716799</v>
      </c>
      <c r="X105" s="2160">
        <f t="shared" si="129"/>
        <v>8932.4830426379522</v>
      </c>
      <c r="Y105" s="2160">
        <f t="shared" si="129"/>
        <v>8128.5595688005369</v>
      </c>
      <c r="Z105" s="2160">
        <f t="shared" si="129"/>
        <v>7478.2748032964946</v>
      </c>
      <c r="AA105" s="2160">
        <f t="shared" si="129"/>
        <v>6954.7955670657393</v>
      </c>
      <c r="AB105" s="2160">
        <f t="shared" si="129"/>
        <v>6537.5078330417946</v>
      </c>
      <c r="AC105" s="2160">
        <f t="shared" si="129"/>
        <v>6210.6324413897046</v>
      </c>
      <c r="AD105" s="2160">
        <f t="shared" si="129"/>
        <v>5900.1008193202188</v>
      </c>
      <c r="AE105" s="2160">
        <f t="shared" si="129"/>
        <v>5605.0957783542071</v>
      </c>
      <c r="AF105" s="2160">
        <f t="shared" si="129"/>
        <v>5324.8409894364968</v>
      </c>
      <c r="AG105" s="1412"/>
    </row>
    <row r="106" spans="1:34" outlineLevel="1">
      <c r="B106" s="817" t="s">
        <v>192</v>
      </c>
      <c r="C106" s="817"/>
      <c r="D106" s="817"/>
      <c r="E106" s="928">
        <f>E105/D105-1</f>
        <v>0.11378555798687096</v>
      </c>
      <c r="F106" s="928">
        <f t="shared" ref="F106:V106" si="130">F105/E105-1</f>
        <v>9.2021392709015437E-2</v>
      </c>
      <c r="G106" s="928">
        <f t="shared" si="130"/>
        <v>0.12424663421654958</v>
      </c>
      <c r="H106" s="928">
        <f t="shared" si="130"/>
        <v>0.10943973257943496</v>
      </c>
      <c r="I106" s="928">
        <f t="shared" si="130"/>
        <v>0.15916084364382321</v>
      </c>
      <c r="J106" s="928">
        <f t="shared" si="130"/>
        <v>0.11288315566800788</v>
      </c>
      <c r="K106" s="928">
        <f t="shared" si="130"/>
        <v>8.6978128125330123E-2</v>
      </c>
      <c r="L106" s="928">
        <f t="shared" si="130"/>
        <v>0.10029431094093777</v>
      </c>
      <c r="M106" s="928">
        <f t="shared" si="130"/>
        <v>0.13959539823928124</v>
      </c>
      <c r="N106" s="928">
        <f t="shared" si="130"/>
        <v>1.1658432537873908E-2</v>
      </c>
      <c r="O106" s="928">
        <f t="shared" si="130"/>
        <v>-8.7849709420192434E-3</v>
      </c>
      <c r="P106" s="928">
        <f t="shared" si="130"/>
        <v>-5.5976336696663909E-2</v>
      </c>
      <c r="Q106" s="928">
        <f t="shared" si="130"/>
        <v>-9.9730421095846067E-3</v>
      </c>
      <c r="R106" s="928">
        <f t="shared" si="130"/>
        <v>-3.0044341955572706E-2</v>
      </c>
      <c r="S106" s="928">
        <f t="shared" si="130"/>
        <v>-8.2685575623381857E-2</v>
      </c>
      <c r="T106" s="928">
        <f t="shared" si="130"/>
        <v>-0.13319220015263078</v>
      </c>
      <c r="U106" s="928">
        <f t="shared" si="130"/>
        <v>-0.13356123697180078</v>
      </c>
      <c r="V106" s="928">
        <f t="shared" si="130"/>
        <v>-0.16046251471420114</v>
      </c>
      <c r="W106" s="1785">
        <v>-0.13</v>
      </c>
      <c r="X106" s="1785">
        <v>-0.11</v>
      </c>
      <c r="Y106" s="1785">
        <v>-0.09</v>
      </c>
      <c r="Z106" s="1785">
        <v>-0.08</v>
      </c>
      <c r="AA106" s="1785">
        <v>-7.0000000000000007E-2</v>
      </c>
      <c r="AB106" s="1785">
        <v>-0.06</v>
      </c>
      <c r="AC106" s="1785">
        <v>-0.05</v>
      </c>
      <c r="AD106" s="1785">
        <v>-0.05</v>
      </c>
      <c r="AE106" s="1785">
        <v>-0.05</v>
      </c>
      <c r="AF106" s="1785">
        <v>-0.05</v>
      </c>
    </row>
    <row r="107" spans="1:34" outlineLevel="1"/>
    <row r="108" spans="1:34" outlineLevel="1">
      <c r="B108" s="685" t="s">
        <v>589</v>
      </c>
      <c r="D108" s="796">
        <f t="shared" ref="D108:T108" si="131">D105/AVERAGE(C102,D102)/12*1000</f>
        <v>454.69620589015653</v>
      </c>
      <c r="E108" s="796">
        <f t="shared" si="131"/>
        <v>473.62054526844702</v>
      </c>
      <c r="F108" s="796">
        <f t="shared" si="131"/>
        <v>481.66281532832659</v>
      </c>
      <c r="G108" s="796">
        <f t="shared" si="131"/>
        <v>397.01397712833545</v>
      </c>
      <c r="H108" s="796">
        <f t="shared" si="131"/>
        <v>308.21971942303895</v>
      </c>
      <c r="I108" s="796">
        <f t="shared" si="131"/>
        <v>273.34467120181404</v>
      </c>
      <c r="J108" s="796">
        <f t="shared" si="131"/>
        <v>248.8222201613651</v>
      </c>
      <c r="K108" s="796">
        <f t="shared" si="131"/>
        <v>237.9194539620384</v>
      </c>
      <c r="L108" s="796">
        <f t="shared" si="131"/>
        <v>237.02791821642435</v>
      </c>
      <c r="M108" s="796">
        <f t="shared" si="131"/>
        <v>245.23237447354205</v>
      </c>
      <c r="N108" s="796">
        <f t="shared" si="131"/>
        <v>236.42872289122133</v>
      </c>
      <c r="O108" s="796">
        <f t="shared" si="131"/>
        <v>239.58347625366449</v>
      </c>
      <c r="P108" s="796">
        <f t="shared" si="131"/>
        <v>234.8902033735948</v>
      </c>
      <c r="Q108" s="796">
        <f t="shared" si="131"/>
        <v>235.27774945968508</v>
      </c>
      <c r="R108" s="796">
        <f t="shared" si="131"/>
        <v>228.54881093434167</v>
      </c>
      <c r="S108" s="796">
        <f t="shared" si="131"/>
        <v>228.84518215891825</v>
      </c>
      <c r="T108" s="796">
        <f t="shared" si="131"/>
        <v>226.79874014052672</v>
      </c>
      <c r="U108" s="796">
        <f t="shared" ref="U108:AF108" si="132">(1+U109)*T108</f>
        <v>215.45880313350037</v>
      </c>
      <c r="V108" s="796">
        <f t="shared" si="132"/>
        <v>208.99503903949534</v>
      </c>
      <c r="W108" s="796">
        <f t="shared" si="132"/>
        <v>204.81513825870542</v>
      </c>
      <c r="X108" s="796">
        <f t="shared" si="132"/>
        <v>202.76698687611835</v>
      </c>
      <c r="Y108" s="796">
        <f t="shared" si="132"/>
        <v>202.76698687611835</v>
      </c>
      <c r="Z108" s="796">
        <f t="shared" si="132"/>
        <v>203.78082181049894</v>
      </c>
      <c r="AA108" s="796">
        <f t="shared" si="132"/>
        <v>205.81863002860393</v>
      </c>
      <c r="AB108" s="796">
        <f t="shared" si="132"/>
        <v>207.87681632888999</v>
      </c>
      <c r="AC108" s="796">
        <f t="shared" si="132"/>
        <v>209.9555844921789</v>
      </c>
      <c r="AD108" s="796">
        <f t="shared" si="132"/>
        <v>212.05514033710068</v>
      </c>
      <c r="AE108" s="796">
        <f t="shared" si="132"/>
        <v>214.17569174047168</v>
      </c>
      <c r="AF108" s="796">
        <f t="shared" si="132"/>
        <v>216.31744865787638</v>
      </c>
    </row>
    <row r="109" spans="1:34" outlineLevel="1">
      <c r="B109" s="685" t="s">
        <v>192</v>
      </c>
      <c r="E109" s="789">
        <f t="shared" ref="E109:T109" si="133">E108/D108-1</f>
        <v>4.1619743321241076E-2</v>
      </c>
      <c r="F109" s="789">
        <f t="shared" si="133"/>
        <v>1.698040792407185E-2</v>
      </c>
      <c r="G109" s="789">
        <f t="shared" si="133"/>
        <v>-0.17574293781073813</v>
      </c>
      <c r="H109" s="789">
        <f t="shared" si="133"/>
        <v>-0.2236552434439697</v>
      </c>
      <c r="I109" s="789">
        <f t="shared" si="133"/>
        <v>-0.1131499577201226</v>
      </c>
      <c r="J109" s="789">
        <f t="shared" si="133"/>
        <v>-8.971256301661612E-2</v>
      </c>
      <c r="K109" s="789">
        <f t="shared" si="133"/>
        <v>-4.3817494242500032E-2</v>
      </c>
      <c r="L109" s="789">
        <f t="shared" si="133"/>
        <v>-3.7472166767678061E-3</v>
      </c>
      <c r="M109" s="789">
        <f t="shared" si="133"/>
        <v>3.4613881431580618E-2</v>
      </c>
      <c r="N109" s="789">
        <f t="shared" si="133"/>
        <v>-3.5899222528102848E-2</v>
      </c>
      <c r="O109" s="789">
        <f t="shared" si="133"/>
        <v>1.3343359148010991E-2</v>
      </c>
      <c r="P109" s="789">
        <f t="shared" si="133"/>
        <v>-1.9589301204982035E-2</v>
      </c>
      <c r="Q109" s="789">
        <f t="shared" si="133"/>
        <v>1.6499031484675797E-3</v>
      </c>
      <c r="R109" s="789">
        <f t="shared" si="133"/>
        <v>-2.8599978284374106E-2</v>
      </c>
      <c r="S109" s="789">
        <f t="shared" si="133"/>
        <v>1.2967524239788641E-3</v>
      </c>
      <c r="T109" s="789">
        <f t="shared" si="133"/>
        <v>-8.9424736806144045E-3</v>
      </c>
      <c r="U109" s="925">
        <v>-0.05</v>
      </c>
      <c r="V109" s="925">
        <v>-0.03</v>
      </c>
      <c r="W109" s="925">
        <v>-0.02</v>
      </c>
      <c r="X109" s="925">
        <v>-0.01</v>
      </c>
      <c r="Y109" s="925">
        <v>0</v>
      </c>
      <c r="Z109" s="925">
        <v>5.0000000000000001E-3</v>
      </c>
      <c r="AA109" s="925">
        <v>0.01</v>
      </c>
      <c r="AB109" s="925">
        <v>0.01</v>
      </c>
      <c r="AC109" s="925">
        <v>0.01</v>
      </c>
      <c r="AD109" s="925">
        <v>0.01</v>
      </c>
      <c r="AE109" s="925">
        <v>0.01</v>
      </c>
      <c r="AF109" s="925">
        <v>0.01</v>
      </c>
      <c r="AH109" s="814"/>
    </row>
    <row r="110" spans="1:34" outlineLevel="1">
      <c r="B110" s="685" t="s">
        <v>590</v>
      </c>
      <c r="D110" s="838"/>
      <c r="E110" s="838" t="e">
        <f>E108/Valuation!D19</f>
        <v>#DIV/0!</v>
      </c>
      <c r="F110" s="838">
        <f>F108/Valuation!E19</f>
        <v>35.678727061357527</v>
      </c>
      <c r="G110" s="838">
        <f>G108/Valuation!F19</f>
        <v>31.434202464634634</v>
      </c>
      <c r="H110" s="838">
        <f>H108/Valuation!G19</f>
        <v>24.77650477677162</v>
      </c>
      <c r="I110" s="838">
        <f>I108/Valuation!H19</f>
        <v>20.770871671870367</v>
      </c>
      <c r="J110" s="838">
        <f>J108/Valuation!I19</f>
        <v>19.500173993837389</v>
      </c>
      <c r="K110" s="838">
        <f>K108/Valuation!J19</f>
        <v>17.875240718410097</v>
      </c>
      <c r="L110" s="838">
        <f>L108/Valuation!K19</f>
        <v>14.935596610990823</v>
      </c>
      <c r="M110" s="838">
        <f>M108/Valuation!L19</f>
        <v>13.009675038384193</v>
      </c>
      <c r="N110" s="838">
        <f>N108/Valuation!M19</f>
        <v>12.50945623763076</v>
      </c>
      <c r="O110" s="838">
        <f>O108/Valuation!N19</f>
        <v>12.445894870320233</v>
      </c>
      <c r="P110" s="838">
        <f>P108/Valuation!O19</f>
        <v>12.20208848693999</v>
      </c>
      <c r="Q110" s="838">
        <f>Q108/Valuation!P19</f>
        <v>10.953340291419231</v>
      </c>
      <c r="R110" s="838">
        <f>R108/Valuation!Q19</f>
        <v>11.266597986743971</v>
      </c>
      <c r="S110" s="838">
        <f>S108/Valuation!R19</f>
        <v>11.379670917897476</v>
      </c>
      <c r="T110" s="838">
        <f>T108/Valuation!S19</f>
        <v>12.813488143532583</v>
      </c>
      <c r="U110" s="838">
        <f>U108/Valuation!T19</f>
        <v>11.773705089262315</v>
      </c>
      <c r="V110" s="838">
        <f>V108/Valuation!U19</f>
        <v>10.890830590906479</v>
      </c>
      <c r="W110" s="838"/>
      <c r="X110" s="838"/>
      <c r="Y110" s="838"/>
      <c r="Z110" s="838"/>
      <c r="AA110" s="838"/>
      <c r="AB110" s="838"/>
      <c r="AC110" s="838"/>
      <c r="AD110" s="838"/>
      <c r="AE110" s="838"/>
      <c r="AF110" s="838"/>
    </row>
    <row r="111" spans="1:34" outlineLevel="1">
      <c r="D111" s="838"/>
      <c r="E111" s="838"/>
      <c r="F111" s="838"/>
      <c r="G111" s="838"/>
      <c r="H111" s="838"/>
      <c r="I111" s="838"/>
      <c r="J111" s="838"/>
      <c r="K111" s="838"/>
      <c r="L111" s="838"/>
      <c r="M111" s="838"/>
      <c r="N111" s="838"/>
      <c r="O111" s="838"/>
      <c r="P111" s="838"/>
      <c r="Q111" s="838"/>
      <c r="R111" s="838"/>
      <c r="S111" s="838"/>
      <c r="T111" s="838"/>
      <c r="U111" s="838"/>
      <c r="V111" s="838"/>
      <c r="W111" s="838"/>
      <c r="X111" s="838"/>
      <c r="Y111" s="838"/>
      <c r="Z111" s="838"/>
      <c r="AA111" s="838"/>
      <c r="AB111" s="838"/>
      <c r="AC111" s="838"/>
      <c r="AD111" s="838"/>
      <c r="AE111" s="838"/>
      <c r="AF111" s="838"/>
    </row>
    <row r="112" spans="1:34" outlineLevel="1">
      <c r="B112" s="685" t="s">
        <v>591</v>
      </c>
      <c r="D112" s="838"/>
      <c r="E112" s="838"/>
      <c r="F112" s="838"/>
      <c r="G112" s="838"/>
      <c r="H112" s="838"/>
      <c r="I112" s="838"/>
      <c r="J112" s="838"/>
      <c r="K112" s="838"/>
      <c r="L112" s="838"/>
      <c r="M112" s="838"/>
      <c r="N112" s="838"/>
      <c r="O112" s="837">
        <f t="shared" ref="O112:V112" si="134">O113*O116</f>
        <v>0</v>
      </c>
      <c r="P112" s="837">
        <f t="shared" si="134"/>
        <v>386</v>
      </c>
      <c r="Q112" s="837">
        <f t="shared" si="134"/>
        <v>599.4</v>
      </c>
      <c r="R112" s="837">
        <f t="shared" si="134"/>
        <v>581.7808</v>
      </c>
      <c r="S112" s="837">
        <f t="shared" si="134"/>
        <v>512.23519999999996</v>
      </c>
      <c r="T112" s="837">
        <f t="shared" si="134"/>
        <v>412.07120000000009</v>
      </c>
      <c r="U112" s="837">
        <f t="shared" si="134"/>
        <v>280.70800000000003</v>
      </c>
      <c r="V112" s="837">
        <f t="shared" si="134"/>
        <v>180.30080000000001</v>
      </c>
      <c r="W112" s="837">
        <f t="shared" ref="W112:AF112" si="135">W113*W116</f>
        <v>100</v>
      </c>
      <c r="X112" s="837">
        <f t="shared" si="135"/>
        <v>48</v>
      </c>
      <c r="Y112" s="837">
        <f t="shared" si="135"/>
        <v>28</v>
      </c>
      <c r="Z112" s="837">
        <f t="shared" si="135"/>
        <v>20</v>
      </c>
      <c r="AA112" s="837">
        <f t="shared" si="135"/>
        <v>18.400000000000002</v>
      </c>
      <c r="AB112" s="837">
        <f t="shared" si="135"/>
        <v>16.8</v>
      </c>
      <c r="AC112" s="837">
        <f t="shared" si="135"/>
        <v>15.200000000000001</v>
      </c>
      <c r="AD112" s="837">
        <f t="shared" si="135"/>
        <v>13.600000000000001</v>
      </c>
      <c r="AE112" s="837">
        <f t="shared" si="135"/>
        <v>12</v>
      </c>
      <c r="AF112" s="837">
        <f t="shared" si="135"/>
        <v>10.4</v>
      </c>
    </row>
    <row r="113" spans="2:32" outlineLevel="1">
      <c r="B113" s="685" t="s">
        <v>592</v>
      </c>
      <c r="D113" s="838"/>
      <c r="E113" s="838"/>
      <c r="F113" s="838"/>
      <c r="G113" s="838"/>
      <c r="H113" s="838"/>
      <c r="I113" s="838"/>
      <c r="J113" s="838"/>
      <c r="K113" s="838"/>
      <c r="L113" s="838"/>
      <c r="M113" s="838"/>
      <c r="N113" s="838"/>
      <c r="O113" s="925">
        <v>1</v>
      </c>
      <c r="P113" s="925">
        <v>1</v>
      </c>
      <c r="Q113" s="925">
        <v>0.9</v>
      </c>
      <c r="R113" s="925">
        <v>0.8</v>
      </c>
      <c r="S113" s="925">
        <v>0.8</v>
      </c>
      <c r="T113" s="925">
        <v>0.8</v>
      </c>
      <c r="U113" s="925">
        <v>0.8</v>
      </c>
      <c r="V113" s="925">
        <v>0.8</v>
      </c>
      <c r="W113" s="925">
        <v>0.8</v>
      </c>
      <c r="X113" s="925">
        <v>0.8</v>
      </c>
      <c r="Y113" s="925">
        <v>0.8</v>
      </c>
      <c r="Z113" s="925">
        <v>0.8</v>
      </c>
      <c r="AA113" s="925">
        <v>0.8</v>
      </c>
      <c r="AB113" s="925">
        <v>0.8</v>
      </c>
      <c r="AC113" s="925">
        <v>0.8</v>
      </c>
      <c r="AD113" s="925">
        <v>0.8</v>
      </c>
      <c r="AE113" s="925">
        <v>0.8</v>
      </c>
      <c r="AF113" s="925">
        <v>0.8</v>
      </c>
    </row>
    <row r="114" spans="2:32" outlineLevel="1">
      <c r="B114" s="685" t="s">
        <v>593</v>
      </c>
      <c r="D114" s="838"/>
      <c r="E114" s="838"/>
      <c r="F114" s="838"/>
      <c r="G114" s="838"/>
      <c r="H114" s="838"/>
      <c r="I114" s="838"/>
      <c r="J114" s="838"/>
      <c r="K114" s="838"/>
      <c r="L114" s="838"/>
      <c r="M114" s="838"/>
      <c r="N114" s="838"/>
      <c r="O114" s="837">
        <f t="shared" ref="O114:V114" si="136">O116-O112</f>
        <v>0</v>
      </c>
      <c r="P114" s="837">
        <f t="shared" si="136"/>
        <v>0</v>
      </c>
      <c r="Q114" s="837">
        <f t="shared" si="136"/>
        <v>66.600000000000023</v>
      </c>
      <c r="R114" s="837">
        <f t="shared" si="136"/>
        <v>145.4452</v>
      </c>
      <c r="S114" s="837">
        <f t="shared" si="136"/>
        <v>128.05880000000002</v>
      </c>
      <c r="T114" s="837">
        <f t="shared" si="136"/>
        <v>103.01779999999997</v>
      </c>
      <c r="U114" s="837">
        <f t="shared" si="136"/>
        <v>70.176999999999964</v>
      </c>
      <c r="V114" s="837">
        <f t="shared" si="136"/>
        <v>45.075199999999995</v>
      </c>
      <c r="W114" s="837">
        <f t="shared" ref="W114:AF114" si="137">W116-W112</f>
        <v>25</v>
      </c>
      <c r="X114" s="837">
        <f t="shared" si="137"/>
        <v>12</v>
      </c>
      <c r="Y114" s="837">
        <f t="shared" si="137"/>
        <v>7</v>
      </c>
      <c r="Z114" s="837">
        <f t="shared" si="137"/>
        <v>5</v>
      </c>
      <c r="AA114" s="837">
        <f t="shared" si="137"/>
        <v>4.5999999999999979</v>
      </c>
      <c r="AB114" s="837">
        <f t="shared" si="137"/>
        <v>4.1999999999999993</v>
      </c>
      <c r="AC114" s="837">
        <f t="shared" si="137"/>
        <v>3.7999999999999989</v>
      </c>
      <c r="AD114" s="837">
        <f t="shared" si="137"/>
        <v>3.3999999999999986</v>
      </c>
      <c r="AE114" s="837">
        <f t="shared" si="137"/>
        <v>3</v>
      </c>
      <c r="AF114" s="837">
        <f t="shared" si="137"/>
        <v>2.5999999999999996</v>
      </c>
    </row>
    <row r="115" spans="2:32" outlineLevel="1">
      <c r="B115" s="743" t="s">
        <v>592</v>
      </c>
      <c r="C115" s="743"/>
      <c r="D115" s="856"/>
      <c r="E115" s="856"/>
      <c r="F115" s="856"/>
      <c r="G115" s="856"/>
      <c r="H115" s="856"/>
      <c r="I115" s="856"/>
      <c r="J115" s="856"/>
      <c r="K115" s="856"/>
      <c r="L115" s="856"/>
      <c r="M115" s="856"/>
      <c r="N115" s="856"/>
      <c r="O115" s="842"/>
      <c r="P115" s="842">
        <f t="shared" ref="P115:V115" si="138">P114/P116</f>
        <v>0</v>
      </c>
      <c r="Q115" s="842">
        <f t="shared" si="138"/>
        <v>0.10000000000000003</v>
      </c>
      <c r="R115" s="842">
        <f t="shared" si="138"/>
        <v>0.2</v>
      </c>
      <c r="S115" s="842">
        <f t="shared" si="138"/>
        <v>0.20000000000000004</v>
      </c>
      <c r="T115" s="842">
        <f t="shared" si="138"/>
        <v>0.1999999999999999</v>
      </c>
      <c r="U115" s="842">
        <f t="shared" si="138"/>
        <v>0.1999999999999999</v>
      </c>
      <c r="V115" s="842">
        <f t="shared" si="138"/>
        <v>0.19999999999999998</v>
      </c>
      <c r="W115" s="842">
        <f t="shared" ref="W115:AF115" si="139">W114/W116</f>
        <v>0.2</v>
      </c>
      <c r="X115" s="842">
        <f t="shared" si="139"/>
        <v>0.2</v>
      </c>
      <c r="Y115" s="842">
        <f t="shared" si="139"/>
        <v>0.2</v>
      </c>
      <c r="Z115" s="842">
        <f t="shared" si="139"/>
        <v>0.2</v>
      </c>
      <c r="AA115" s="842">
        <f t="shared" si="139"/>
        <v>0.1999999999999999</v>
      </c>
      <c r="AB115" s="842">
        <f t="shared" si="139"/>
        <v>0.19999999999999996</v>
      </c>
      <c r="AC115" s="842">
        <f t="shared" si="139"/>
        <v>0.19999999999999996</v>
      </c>
      <c r="AD115" s="842">
        <f t="shared" si="139"/>
        <v>0.19999999999999993</v>
      </c>
      <c r="AE115" s="842">
        <f t="shared" si="139"/>
        <v>0.2</v>
      </c>
      <c r="AF115" s="842">
        <f t="shared" si="139"/>
        <v>0.19999999999999998</v>
      </c>
    </row>
    <row r="116" spans="2:32" outlineLevel="1">
      <c r="B116" s="685" t="s">
        <v>594</v>
      </c>
      <c r="O116" s="934">
        <f>Cable!M173</f>
        <v>0</v>
      </c>
      <c r="P116" s="934">
        <f>Cable!N173</f>
        <v>386</v>
      </c>
      <c r="Q116" s="934">
        <f>Cable!O173</f>
        <v>666</v>
      </c>
      <c r="R116" s="934">
        <f>Cable!P173</f>
        <v>727.226</v>
      </c>
      <c r="S116" s="934">
        <f>Cable!Q173</f>
        <v>640.29399999999998</v>
      </c>
      <c r="T116" s="934">
        <f>Cable!R173</f>
        <v>515.08900000000006</v>
      </c>
      <c r="U116" s="934">
        <f>Cable!S173</f>
        <v>350.88499999999999</v>
      </c>
      <c r="V116" s="934">
        <f>Cable!T173</f>
        <v>225.376</v>
      </c>
      <c r="W116" s="796">
        <f>Cable!U173</f>
        <v>125</v>
      </c>
      <c r="X116" s="796">
        <f>Cable!V173</f>
        <v>60</v>
      </c>
      <c r="Y116" s="796">
        <f>Cable!W173</f>
        <v>35</v>
      </c>
      <c r="Z116" s="796">
        <f>Cable!X173</f>
        <v>25</v>
      </c>
      <c r="AA116" s="796">
        <f>Cable!Y173</f>
        <v>23</v>
      </c>
      <c r="AB116" s="796">
        <f>Cable!Z173</f>
        <v>21</v>
      </c>
      <c r="AC116" s="796">
        <f>Cable!AA173</f>
        <v>19</v>
      </c>
      <c r="AD116" s="796">
        <f>Cable!AB173</f>
        <v>17</v>
      </c>
      <c r="AE116" s="796">
        <f>Cable!AC173</f>
        <v>15</v>
      </c>
      <c r="AF116" s="796">
        <f>Cable!AD173</f>
        <v>13</v>
      </c>
    </row>
    <row r="117" spans="2:32" outlineLevel="1">
      <c r="B117" s="685" t="s">
        <v>595</v>
      </c>
      <c r="O117" s="789">
        <f t="shared" ref="O117:V117" si="140">O116/O102</f>
        <v>0</v>
      </c>
      <c r="P117" s="789">
        <f t="shared" si="140"/>
        <v>5.3170541481356082E-2</v>
      </c>
      <c r="Q117" s="789">
        <f t="shared" si="140"/>
        <v>9.114547693992063E-2</v>
      </c>
      <c r="R117" s="789">
        <f t="shared" si="140"/>
        <v>0.10047333517546284</v>
      </c>
      <c r="S117" s="789">
        <f t="shared" si="140"/>
        <v>0.10518938620440511</v>
      </c>
      <c r="T117" s="789">
        <f t="shared" si="140"/>
        <v>9.2518337917737933E-2</v>
      </c>
      <c r="U117" s="789">
        <f t="shared" si="140"/>
        <v>7.4719974446337309E-2</v>
      </c>
      <c r="V117" s="789">
        <f t="shared" si="140"/>
        <v>5.0952326758087384E-2</v>
      </c>
      <c r="W117" s="789">
        <f t="shared" ref="W117:AF117" si="141">W116/W102</f>
        <v>2.9638840439543616E-2</v>
      </c>
      <c r="X117" s="789">
        <f t="shared" si="141"/>
        <v>1.4629596315028234E-2</v>
      </c>
      <c r="Y117" s="789">
        <f t="shared" si="141"/>
        <v>8.7800382634950647E-3</v>
      </c>
      <c r="Z117" s="789">
        <f t="shared" si="141"/>
        <v>6.4108483498749418E-3</v>
      </c>
      <c r="AA117" s="789">
        <f t="shared" si="141"/>
        <v>6.0320518169221255E-3</v>
      </c>
      <c r="AB117" s="789">
        <f t="shared" si="141"/>
        <v>5.6356333001432073E-3</v>
      </c>
      <c r="AC117" s="789">
        <f t="shared" si="141"/>
        <v>5.2203338274452709E-3</v>
      </c>
      <c r="AD117" s="789">
        <f t="shared" si="141"/>
        <v>4.7847715743034539E-3</v>
      </c>
      <c r="AE117" s="789">
        <f t="shared" si="141"/>
        <v>4.3274265038895547E-3</v>
      </c>
      <c r="AF117" s="789">
        <f t="shared" si="141"/>
        <v>3.8466226436199322E-3</v>
      </c>
    </row>
    <row r="118" spans="2:32" outlineLevel="1">
      <c r="O118" s="789"/>
      <c r="P118" s="789"/>
      <c r="Q118" s="964"/>
      <c r="R118" s="964"/>
      <c r="S118" s="964"/>
      <c r="T118" s="964"/>
      <c r="U118" s="964"/>
      <c r="V118" s="964"/>
      <c r="W118" s="964"/>
      <c r="X118" s="964"/>
      <c r="Y118" s="964"/>
      <c r="Z118" s="964"/>
      <c r="AA118" s="964"/>
      <c r="AB118" s="964"/>
      <c r="AC118" s="964"/>
      <c r="AD118" s="964"/>
      <c r="AE118" s="964"/>
      <c r="AF118" s="964"/>
    </row>
    <row r="119" spans="2:32" outlineLevel="1">
      <c r="B119" s="685" t="s">
        <v>596</v>
      </c>
      <c r="O119" s="796"/>
      <c r="P119" s="1083">
        <v>1.145</v>
      </c>
      <c r="Q119" s="1083">
        <v>0.89200000000000002</v>
      </c>
      <c r="R119" s="1083">
        <v>0.60099999999999998</v>
      </c>
      <c r="S119" s="1083">
        <v>0.45300000000000001</v>
      </c>
      <c r="T119" s="1083">
        <v>0.34399999999999997</v>
      </c>
      <c r="U119" s="813">
        <f>T119-0.05</f>
        <v>0.29399999999999998</v>
      </c>
      <c r="V119" s="813">
        <f>U119-0.03</f>
        <v>0.26400000000000001</v>
      </c>
      <c r="W119" s="813">
        <f>V119-0.025</f>
        <v>0.23900000000000002</v>
      </c>
      <c r="X119" s="813">
        <f t="shared" ref="X119:AF119" si="142">W119-0.025</f>
        <v>0.21400000000000002</v>
      </c>
      <c r="Y119" s="813">
        <f t="shared" si="142"/>
        <v>0.18900000000000003</v>
      </c>
      <c r="Z119" s="813">
        <f t="shared" si="142"/>
        <v>0.16400000000000003</v>
      </c>
      <c r="AA119" s="813">
        <f t="shared" si="142"/>
        <v>0.13900000000000004</v>
      </c>
      <c r="AB119" s="813">
        <f t="shared" si="142"/>
        <v>0.11400000000000005</v>
      </c>
      <c r="AC119" s="813">
        <f t="shared" si="142"/>
        <v>8.9000000000000051E-2</v>
      </c>
      <c r="AD119" s="813">
        <f t="shared" si="142"/>
        <v>6.4000000000000057E-2</v>
      </c>
      <c r="AE119" s="813">
        <f t="shared" si="142"/>
        <v>3.9000000000000055E-2</v>
      </c>
      <c r="AF119" s="813">
        <f t="shared" si="142"/>
        <v>1.4000000000000054E-2</v>
      </c>
    </row>
    <row r="120" spans="2:32" outlineLevel="1">
      <c r="B120" s="685" t="s">
        <v>595</v>
      </c>
      <c r="O120" s="789"/>
      <c r="P120" s="789">
        <f t="shared" ref="P120:V120" si="143">P119/P102</f>
        <v>1.5772090672578425E-4</v>
      </c>
      <c r="Q120" s="789">
        <f t="shared" si="143"/>
        <v>1.2207472286848229E-4</v>
      </c>
      <c r="R120" s="789">
        <f t="shared" si="143"/>
        <v>8.3033987289306437E-5</v>
      </c>
      <c r="S120" s="789">
        <f t="shared" si="143"/>
        <v>7.4420175654614154E-5</v>
      </c>
      <c r="T120" s="789">
        <f t="shared" si="143"/>
        <v>6.1787978861326572E-5</v>
      </c>
      <c r="U120" s="789">
        <f t="shared" si="143"/>
        <v>6.260647359454855E-5</v>
      </c>
      <c r="V120" s="789">
        <f t="shared" si="143"/>
        <v>5.9684324258727941E-5</v>
      </c>
      <c r="W120" s="789">
        <f t="shared" ref="W120:AF120" si="144">W119/W102</f>
        <v>5.6669462920407399E-5</v>
      </c>
      <c r="X120" s="789">
        <f t="shared" si="144"/>
        <v>5.2178893523600711E-5</v>
      </c>
      <c r="Y120" s="789">
        <f t="shared" si="144"/>
        <v>4.7412206622873351E-5</v>
      </c>
      <c r="Z120" s="789">
        <f t="shared" si="144"/>
        <v>4.2055165175179621E-5</v>
      </c>
      <c r="AA120" s="789">
        <f t="shared" si="144"/>
        <v>3.6454574024007642E-5</v>
      </c>
      <c r="AB120" s="789">
        <f t="shared" si="144"/>
        <v>3.0593437915063136E-5</v>
      </c>
      <c r="AC120" s="789">
        <f t="shared" si="144"/>
        <v>2.4453142665401548E-5</v>
      </c>
      <c r="AD120" s="789">
        <f t="shared" si="144"/>
        <v>1.8013257691495372E-5</v>
      </c>
      <c r="AE120" s="789">
        <f t="shared" si="144"/>
        <v>1.1251308910112858E-5</v>
      </c>
      <c r="AF120" s="789">
        <f t="shared" si="144"/>
        <v>4.1425166931291743E-6</v>
      </c>
    </row>
    <row r="121" spans="2:32" outlineLevel="1">
      <c r="N121" s="789"/>
      <c r="O121" s="789"/>
      <c r="P121" s="789"/>
      <c r="Q121" s="789"/>
      <c r="R121" s="789"/>
      <c r="S121" s="789"/>
      <c r="T121" s="789"/>
      <c r="U121" s="789"/>
      <c r="V121" s="789"/>
      <c r="W121" s="789"/>
      <c r="X121" s="789"/>
      <c r="Y121" s="789"/>
      <c r="Z121" s="789"/>
      <c r="AA121" s="789"/>
      <c r="AB121" s="789"/>
      <c r="AC121" s="789"/>
      <c r="AD121" s="789"/>
      <c r="AE121" s="789"/>
      <c r="AF121" s="789"/>
    </row>
    <row r="122" spans="2:32" outlineLevel="1">
      <c r="B122" s="685" t="s">
        <v>597</v>
      </c>
      <c r="N122" s="934">
        <f>389*0.8</f>
        <v>311.20000000000005</v>
      </c>
      <c r="O122" s="796">
        <f>O126/(1-O124)</f>
        <v>299.9518072289157</v>
      </c>
      <c r="P122" s="796">
        <f t="shared" ref="P122:V122" si="145">P126/(1-P124)</f>
        <v>289.48837209302332</v>
      </c>
      <c r="Q122" s="796">
        <f t="shared" si="145"/>
        <v>279.7303370786517</v>
      </c>
      <c r="R122" s="796">
        <f t="shared" si="145"/>
        <v>276.62222222222226</v>
      </c>
      <c r="S122" s="796">
        <f t="shared" si="145"/>
        <v>276.62222222222226</v>
      </c>
      <c r="T122" s="796">
        <f t="shared" si="145"/>
        <v>276.62222222222226</v>
      </c>
      <c r="U122" s="796">
        <f t="shared" si="145"/>
        <v>276.62222222222226</v>
      </c>
      <c r="V122" s="796">
        <f t="shared" si="145"/>
        <v>276.62222222222226</v>
      </c>
      <c r="W122" s="796">
        <f t="shared" ref="W122:AF122" si="146">W126/(1-W124)</f>
        <v>276.62222222222226</v>
      </c>
      <c r="X122" s="796">
        <f t="shared" si="146"/>
        <v>276.62222222222226</v>
      </c>
      <c r="Y122" s="796">
        <f t="shared" si="146"/>
        <v>276.62222222222226</v>
      </c>
      <c r="Z122" s="796">
        <f t="shared" si="146"/>
        <v>276.62222222222226</v>
      </c>
      <c r="AA122" s="796">
        <f t="shared" si="146"/>
        <v>276.62222222222226</v>
      </c>
      <c r="AB122" s="796">
        <f t="shared" si="146"/>
        <v>276.62222222222226</v>
      </c>
      <c r="AC122" s="796">
        <f t="shared" si="146"/>
        <v>276.62222222222226</v>
      </c>
      <c r="AD122" s="796">
        <f t="shared" si="146"/>
        <v>276.62222222222226</v>
      </c>
      <c r="AE122" s="796">
        <f t="shared" si="146"/>
        <v>276.62222222222226</v>
      </c>
      <c r="AF122" s="796">
        <f t="shared" si="146"/>
        <v>276.62222222222226</v>
      </c>
    </row>
    <row r="123" spans="2:32" outlineLevel="1">
      <c r="B123" s="685" t="s">
        <v>192</v>
      </c>
      <c r="N123" s="796"/>
      <c r="O123" s="789">
        <f>O122/N122-1</f>
        <v>-3.6144578313253017E-2</v>
      </c>
      <c r="P123" s="789">
        <f t="shared" ref="P123:V123" si="147">P122/O122-1</f>
        <v>-3.4883720930232509E-2</v>
      </c>
      <c r="Q123" s="789">
        <f t="shared" si="147"/>
        <v>-3.3707865168539519E-2</v>
      </c>
      <c r="R123" s="789">
        <f t="shared" si="147"/>
        <v>-1.1111111111111072E-2</v>
      </c>
      <c r="S123" s="789">
        <f t="shared" si="147"/>
        <v>0</v>
      </c>
      <c r="T123" s="789">
        <f t="shared" si="147"/>
        <v>0</v>
      </c>
      <c r="U123" s="789">
        <f t="shared" si="147"/>
        <v>0</v>
      </c>
      <c r="V123" s="789">
        <f t="shared" si="147"/>
        <v>0</v>
      </c>
      <c r="W123" s="789">
        <f t="shared" ref="W123:AF123" si="148">W122/V122-1</f>
        <v>0</v>
      </c>
      <c r="X123" s="789">
        <f t="shared" si="148"/>
        <v>0</v>
      </c>
      <c r="Y123" s="789">
        <f t="shared" si="148"/>
        <v>0</v>
      </c>
      <c r="Z123" s="789">
        <f t="shared" si="148"/>
        <v>0</v>
      </c>
      <c r="AA123" s="789">
        <f t="shared" si="148"/>
        <v>0</v>
      </c>
      <c r="AB123" s="789">
        <f t="shared" si="148"/>
        <v>0</v>
      </c>
      <c r="AC123" s="789">
        <f t="shared" si="148"/>
        <v>0</v>
      </c>
      <c r="AD123" s="789">
        <f t="shared" si="148"/>
        <v>0</v>
      </c>
      <c r="AE123" s="789">
        <f t="shared" si="148"/>
        <v>0</v>
      </c>
      <c r="AF123" s="789">
        <f t="shared" si="148"/>
        <v>0</v>
      </c>
    </row>
    <row r="124" spans="2:32" outlineLevel="1">
      <c r="B124" s="685" t="s">
        <v>598</v>
      </c>
      <c r="N124" s="925">
        <v>0.2</v>
      </c>
      <c r="O124" s="925">
        <f>N124-3%</f>
        <v>0.17</v>
      </c>
      <c r="P124" s="925">
        <f>O124-3%</f>
        <v>0.14000000000000001</v>
      </c>
      <c r="Q124" s="925">
        <f>P124-3%</f>
        <v>0.11000000000000001</v>
      </c>
      <c r="R124" s="925">
        <f>Q124-1%</f>
        <v>0.10000000000000002</v>
      </c>
      <c r="S124" s="925">
        <f t="shared" ref="S124:AF124" si="149">R124</f>
        <v>0.10000000000000002</v>
      </c>
      <c r="T124" s="925">
        <f t="shared" si="149"/>
        <v>0.10000000000000002</v>
      </c>
      <c r="U124" s="925">
        <f t="shared" si="149"/>
        <v>0.10000000000000002</v>
      </c>
      <c r="V124" s="925">
        <f t="shared" si="149"/>
        <v>0.10000000000000002</v>
      </c>
      <c r="W124" s="925">
        <f t="shared" si="149"/>
        <v>0.10000000000000002</v>
      </c>
      <c r="X124" s="925">
        <f t="shared" si="149"/>
        <v>0.10000000000000002</v>
      </c>
      <c r="Y124" s="925">
        <f t="shared" si="149"/>
        <v>0.10000000000000002</v>
      </c>
      <c r="Z124" s="925">
        <f t="shared" si="149"/>
        <v>0.10000000000000002</v>
      </c>
      <c r="AA124" s="925">
        <f t="shared" si="149"/>
        <v>0.10000000000000002</v>
      </c>
      <c r="AB124" s="925">
        <f t="shared" si="149"/>
        <v>0.10000000000000002</v>
      </c>
      <c r="AC124" s="925">
        <f t="shared" si="149"/>
        <v>0.10000000000000002</v>
      </c>
      <c r="AD124" s="925">
        <f t="shared" si="149"/>
        <v>0.10000000000000002</v>
      </c>
      <c r="AE124" s="925">
        <f t="shared" si="149"/>
        <v>0.10000000000000002</v>
      </c>
      <c r="AF124" s="925">
        <f t="shared" si="149"/>
        <v>0.10000000000000002</v>
      </c>
    </row>
    <row r="125" spans="2:32" outlineLevel="1">
      <c r="O125" s="789"/>
      <c r="P125" s="789"/>
      <c r="Q125" s="789"/>
      <c r="R125" s="789"/>
      <c r="S125" s="789"/>
      <c r="T125" s="789"/>
      <c r="U125" s="789"/>
      <c r="V125" s="789"/>
      <c r="W125" s="789"/>
      <c r="X125" s="789"/>
      <c r="Y125" s="789"/>
      <c r="Z125" s="789"/>
      <c r="AA125" s="789"/>
      <c r="AB125" s="789"/>
      <c r="AC125" s="789"/>
      <c r="AD125" s="789"/>
      <c r="AE125" s="789"/>
      <c r="AF125" s="789"/>
    </row>
    <row r="126" spans="2:32" outlineLevel="1">
      <c r="B126" s="685" t="s">
        <v>599</v>
      </c>
      <c r="N126" s="796">
        <f>(1-N124)*N122</f>
        <v>248.96000000000004</v>
      </c>
      <c r="O126" s="934">
        <f t="shared" ref="O126:U126" si="150">N126</f>
        <v>248.96000000000004</v>
      </c>
      <c r="P126" s="934">
        <f t="shared" si="150"/>
        <v>248.96000000000004</v>
      </c>
      <c r="Q126" s="934">
        <f t="shared" si="150"/>
        <v>248.96000000000004</v>
      </c>
      <c r="R126" s="934">
        <f t="shared" si="150"/>
        <v>248.96000000000004</v>
      </c>
      <c r="S126" s="934">
        <f t="shared" si="150"/>
        <v>248.96000000000004</v>
      </c>
      <c r="T126" s="934">
        <f t="shared" si="150"/>
        <v>248.96000000000004</v>
      </c>
      <c r="U126" s="934">
        <f t="shared" si="150"/>
        <v>248.96000000000004</v>
      </c>
      <c r="V126" s="934">
        <f t="shared" ref="V126:AF126" si="151">U126</f>
        <v>248.96000000000004</v>
      </c>
      <c r="W126" s="934">
        <f t="shared" si="151"/>
        <v>248.96000000000004</v>
      </c>
      <c r="X126" s="934">
        <f t="shared" si="151"/>
        <v>248.96000000000004</v>
      </c>
      <c r="Y126" s="934">
        <f t="shared" si="151"/>
        <v>248.96000000000004</v>
      </c>
      <c r="Z126" s="934">
        <f t="shared" si="151"/>
        <v>248.96000000000004</v>
      </c>
      <c r="AA126" s="934">
        <f t="shared" si="151"/>
        <v>248.96000000000004</v>
      </c>
      <c r="AB126" s="934">
        <f t="shared" si="151"/>
        <v>248.96000000000004</v>
      </c>
      <c r="AC126" s="934">
        <f t="shared" si="151"/>
        <v>248.96000000000004</v>
      </c>
      <c r="AD126" s="934">
        <f t="shared" si="151"/>
        <v>248.96000000000004</v>
      </c>
      <c r="AE126" s="934">
        <f t="shared" si="151"/>
        <v>248.96000000000004</v>
      </c>
      <c r="AF126" s="934">
        <f t="shared" si="151"/>
        <v>248.96000000000004</v>
      </c>
    </row>
    <row r="127" spans="2:32" outlineLevel="1">
      <c r="N127" s="796"/>
      <c r="O127" s="796"/>
      <c r="P127" s="796"/>
      <c r="Q127" s="796"/>
      <c r="R127" s="796"/>
      <c r="S127" s="796"/>
      <c r="T127" s="796"/>
      <c r="U127" s="796"/>
      <c r="V127" s="796"/>
      <c r="W127" s="796"/>
      <c r="X127" s="796"/>
      <c r="Y127" s="796"/>
      <c r="Z127" s="796"/>
      <c r="AA127" s="796"/>
      <c r="AB127" s="796"/>
      <c r="AC127" s="796"/>
      <c r="AD127" s="796"/>
      <c r="AE127" s="796"/>
      <c r="AF127" s="796"/>
    </row>
    <row r="128" spans="2:32" outlineLevel="1">
      <c r="B128" s="685" t="s">
        <v>600</v>
      </c>
      <c r="O128" s="796">
        <f t="shared" ref="O128:V128" si="152">O126*12*AVERAGE(N112:O112)/1000</f>
        <v>0</v>
      </c>
      <c r="P128" s="796">
        <f t="shared" si="152"/>
        <v>576.59136000000012</v>
      </c>
      <c r="Q128" s="796">
        <f t="shared" si="152"/>
        <v>1471.9511040000002</v>
      </c>
      <c r="R128" s="796">
        <f t="shared" si="152"/>
        <v>1764.4006318080003</v>
      </c>
      <c r="S128" s="796">
        <f t="shared" si="152"/>
        <v>1634.1973401600003</v>
      </c>
      <c r="T128" s="796">
        <f t="shared" si="152"/>
        <v>1380.6919280640004</v>
      </c>
      <c r="U128" s="796">
        <f t="shared" si="152"/>
        <v>1034.8458577920005</v>
      </c>
      <c r="V128" s="796">
        <f t="shared" si="152"/>
        <v>688.63650508800026</v>
      </c>
      <c r="W128" s="796">
        <f t="shared" ref="W128:AF128" si="153">W126*12*AVERAGE(V112:W112)/1000</f>
        <v>418.702123008</v>
      </c>
      <c r="X128" s="796">
        <f t="shared" si="153"/>
        <v>221.07648000000003</v>
      </c>
      <c r="Y128" s="796">
        <f t="shared" si="153"/>
        <v>113.52576000000001</v>
      </c>
      <c r="Z128" s="796">
        <f t="shared" si="153"/>
        <v>71.700480000000013</v>
      </c>
      <c r="AA128" s="796">
        <f t="shared" si="153"/>
        <v>57.360384000000018</v>
      </c>
      <c r="AB128" s="796">
        <f t="shared" si="153"/>
        <v>52.580352000000012</v>
      </c>
      <c r="AC128" s="796">
        <f t="shared" si="153"/>
        <v>47.800320000000006</v>
      </c>
      <c r="AD128" s="796">
        <f t="shared" si="153"/>
        <v>43.020288000000015</v>
      </c>
      <c r="AE128" s="796">
        <f t="shared" si="153"/>
        <v>38.240256000000009</v>
      </c>
      <c r="AF128" s="796">
        <f t="shared" si="153"/>
        <v>33.460224000000004</v>
      </c>
    </row>
    <row r="129" spans="2:40" outlineLevel="1">
      <c r="B129" s="743" t="s">
        <v>601</v>
      </c>
      <c r="C129" s="743"/>
      <c r="D129" s="743"/>
      <c r="E129" s="743"/>
      <c r="F129" s="743"/>
      <c r="G129" s="743"/>
      <c r="H129" s="743"/>
      <c r="I129" s="743"/>
      <c r="J129" s="743"/>
      <c r="K129" s="743"/>
      <c r="L129" s="743"/>
      <c r="M129" s="743"/>
      <c r="N129" s="743"/>
      <c r="O129" s="927">
        <f t="shared" ref="O129:V129" si="154">O126*12*AVERAGE(N114:O114)/1000</f>
        <v>0</v>
      </c>
      <c r="P129" s="927">
        <f t="shared" si="154"/>
        <v>0</v>
      </c>
      <c r="Q129" s="927">
        <f t="shared" si="154"/>
        <v>99.484416000000053</v>
      </c>
      <c r="R129" s="927">
        <f t="shared" si="154"/>
        <v>316.74463795200006</v>
      </c>
      <c r="S129" s="927">
        <f t="shared" si="154"/>
        <v>408.54933504000007</v>
      </c>
      <c r="T129" s="927">
        <f t="shared" si="154"/>
        <v>345.17298201600005</v>
      </c>
      <c r="U129" s="927">
        <f t="shared" si="154"/>
        <v>258.7114644479999</v>
      </c>
      <c r="V129" s="927">
        <f t="shared" si="154"/>
        <v>172.15912627199995</v>
      </c>
      <c r="W129" s="927">
        <f t="shared" ref="W129:AF129" si="155">W126*12*AVERAGE(V114:W114)/1000</f>
        <v>104.675530752</v>
      </c>
      <c r="X129" s="927">
        <f t="shared" si="155"/>
        <v>55.269120000000008</v>
      </c>
      <c r="Y129" s="927">
        <f t="shared" si="155"/>
        <v>28.381440000000001</v>
      </c>
      <c r="Z129" s="927">
        <f t="shared" si="155"/>
        <v>17.925120000000003</v>
      </c>
      <c r="AA129" s="927">
        <f t="shared" si="155"/>
        <v>14.340095999999999</v>
      </c>
      <c r="AB129" s="927">
        <f t="shared" si="155"/>
        <v>13.145087999999998</v>
      </c>
      <c r="AC129" s="927">
        <f t="shared" si="155"/>
        <v>11.95008</v>
      </c>
      <c r="AD129" s="927">
        <f t="shared" si="155"/>
        <v>10.755071999999998</v>
      </c>
      <c r="AE129" s="927">
        <f t="shared" si="155"/>
        <v>9.5600639999999988</v>
      </c>
      <c r="AF129" s="927">
        <f t="shared" si="155"/>
        <v>8.3650560000000009</v>
      </c>
    </row>
    <row r="130" spans="2:40" outlineLevel="1">
      <c r="B130" s="817" t="s">
        <v>602</v>
      </c>
      <c r="C130" s="817"/>
      <c r="D130" s="817"/>
      <c r="E130" s="817"/>
      <c r="F130" s="817"/>
      <c r="G130" s="817"/>
      <c r="H130" s="817"/>
      <c r="I130" s="818"/>
      <c r="J130" s="818"/>
      <c r="K130" s="818"/>
      <c r="L130" s="818"/>
      <c r="M130" s="818"/>
      <c r="N130" s="818"/>
      <c r="O130" s="818">
        <f t="shared" ref="O130:V130" si="156">O126*AVERAGE(N116,O116)*12/1000</f>
        <v>0</v>
      </c>
      <c r="P130" s="818">
        <f t="shared" si="156"/>
        <v>576.59136000000012</v>
      </c>
      <c r="Q130" s="818">
        <f>Q126*AVERAGE(P116,Q116)*12/1000</f>
        <v>1571.4355200000002</v>
      </c>
      <c r="R130" s="818">
        <f t="shared" si="156"/>
        <v>2081.1452697600007</v>
      </c>
      <c r="S130" s="818">
        <f t="shared" si="156"/>
        <v>2042.7466752000005</v>
      </c>
      <c r="T130" s="818">
        <f t="shared" si="156"/>
        <v>1725.8649100800003</v>
      </c>
      <c r="U130" s="818">
        <f t="shared" si="156"/>
        <v>1293.5573222400001</v>
      </c>
      <c r="V130" s="818">
        <f t="shared" si="156"/>
        <v>860.79563136000002</v>
      </c>
      <c r="W130" s="818">
        <f t="shared" ref="W130:AF130" si="157">W126*AVERAGE(V116,W116)*12/1000</f>
        <v>523.37765376000004</v>
      </c>
      <c r="X130" s="818">
        <f t="shared" si="157"/>
        <v>276.34560000000005</v>
      </c>
      <c r="Y130" s="818">
        <f t="shared" si="157"/>
        <v>141.90720000000002</v>
      </c>
      <c r="Z130" s="818">
        <f t="shared" si="157"/>
        <v>89.625600000000006</v>
      </c>
      <c r="AA130" s="818">
        <f t="shared" si="157"/>
        <v>71.700480000000013</v>
      </c>
      <c r="AB130" s="818">
        <f t="shared" si="157"/>
        <v>65.725440000000006</v>
      </c>
      <c r="AC130" s="818">
        <f t="shared" si="157"/>
        <v>59.750400000000006</v>
      </c>
      <c r="AD130" s="818">
        <f t="shared" si="157"/>
        <v>53.775360000000006</v>
      </c>
      <c r="AE130" s="818">
        <f t="shared" si="157"/>
        <v>47.800320000000006</v>
      </c>
      <c r="AF130" s="818">
        <f t="shared" si="157"/>
        <v>41.825280000000006</v>
      </c>
      <c r="AG130" s="1412"/>
    </row>
    <row r="131" spans="2:40" outlineLevel="1">
      <c r="B131" s="817" t="s">
        <v>192</v>
      </c>
      <c r="C131" s="817"/>
      <c r="D131" s="817"/>
      <c r="E131" s="817"/>
      <c r="F131" s="817"/>
      <c r="G131" s="817"/>
      <c r="H131" s="817"/>
      <c r="I131" s="818"/>
      <c r="J131" s="818"/>
      <c r="K131" s="818"/>
      <c r="L131" s="818"/>
      <c r="M131" s="818"/>
      <c r="N131" s="818"/>
      <c r="O131" s="818"/>
      <c r="P131" s="818"/>
      <c r="Q131" s="1813">
        <f>Q130/P130-1</f>
        <v>1.7253886010362693</v>
      </c>
      <c r="R131" s="1813">
        <f t="shared" ref="R131:AF131" si="158">R130/Q130-1</f>
        <v>0.32435931558935382</v>
      </c>
      <c r="S131" s="1813">
        <f t="shared" si="158"/>
        <v>-1.8450703618795639E-2</v>
      </c>
      <c r="T131" s="1813">
        <f t="shared" si="158"/>
        <v>-0.15512533637533643</v>
      </c>
      <c r="U131" s="1813">
        <f t="shared" si="158"/>
        <v>-0.2504875006815922</v>
      </c>
      <c r="V131" s="1813">
        <f t="shared" si="158"/>
        <v>-0.33455161471360573</v>
      </c>
      <c r="W131" s="1813">
        <f t="shared" si="158"/>
        <v>-0.39198384065553626</v>
      </c>
      <c r="X131" s="1813">
        <f t="shared" si="158"/>
        <v>-0.47199579879900444</v>
      </c>
      <c r="Y131" s="1813">
        <f t="shared" si="158"/>
        <v>-0.48648648648648651</v>
      </c>
      <c r="Z131" s="1813">
        <f t="shared" si="158"/>
        <v>-0.36842105263157898</v>
      </c>
      <c r="AA131" s="1813">
        <f t="shared" si="158"/>
        <v>-0.19999999999999996</v>
      </c>
      <c r="AB131" s="1813">
        <f t="shared" si="158"/>
        <v>-8.333333333333337E-2</v>
      </c>
      <c r="AC131" s="1813">
        <f t="shared" si="158"/>
        <v>-9.0909090909090939E-2</v>
      </c>
      <c r="AD131" s="1813">
        <f t="shared" si="158"/>
        <v>-9.9999999999999978E-2</v>
      </c>
      <c r="AE131" s="1813">
        <f t="shared" si="158"/>
        <v>-0.11111111111111105</v>
      </c>
      <c r="AF131" s="1813">
        <f t="shared" si="158"/>
        <v>-0.125</v>
      </c>
    </row>
    <row r="132" spans="2:40" outlineLevel="1">
      <c r="B132" s="685" t="s">
        <v>603</v>
      </c>
      <c r="I132" s="795"/>
      <c r="J132" s="795"/>
      <c r="K132" s="795"/>
      <c r="L132" s="795"/>
      <c r="M132" s="795"/>
      <c r="N132" s="795"/>
      <c r="O132" s="789">
        <f t="shared" ref="O132:V132" si="159">O130/O105</f>
        <v>0</v>
      </c>
      <c r="P132" s="789">
        <f t="shared" si="159"/>
        <v>2.7760231875726835E-2</v>
      </c>
      <c r="Q132" s="789">
        <f t="shared" si="159"/>
        <v>7.641955495579951E-2</v>
      </c>
      <c r="R132" s="789">
        <f t="shared" si="159"/>
        <v>0.10434183115437844</v>
      </c>
      <c r="S132" s="789">
        <f t="shared" si="159"/>
        <v>0.11164835985469884</v>
      </c>
      <c r="T132" s="789">
        <f t="shared" si="159"/>
        <v>0.10882328296202902</v>
      </c>
      <c r="U132" s="789">
        <f t="shared" si="159"/>
        <v>9.413753663540797E-2</v>
      </c>
      <c r="V132" s="789">
        <f t="shared" si="159"/>
        <v>7.4616884709496442E-2</v>
      </c>
      <c r="W132" s="789">
        <f t="shared" ref="W132:AF132" si="160">W130/W105</f>
        <v>5.2147438693467434E-2</v>
      </c>
      <c r="X132" s="789">
        <f t="shared" si="160"/>
        <v>3.0937153609013661E-2</v>
      </c>
      <c r="Y132" s="789">
        <f t="shared" si="160"/>
        <v>1.7457853239419646E-2</v>
      </c>
      <c r="Z132" s="789">
        <f t="shared" si="160"/>
        <v>1.1984796274201128E-2</v>
      </c>
      <c r="AA132" s="789">
        <f t="shared" si="160"/>
        <v>1.0309502171355811E-2</v>
      </c>
      <c r="AB132" s="789">
        <f t="shared" si="160"/>
        <v>1.0053592542988822E-2</v>
      </c>
      <c r="AC132" s="789">
        <f t="shared" si="160"/>
        <v>9.6206627205634668E-3</v>
      </c>
      <c r="AD132" s="789">
        <f t="shared" si="160"/>
        <v>9.1143120510601278E-3</v>
      </c>
      <c r="AE132" s="789">
        <f t="shared" si="160"/>
        <v>8.5280112758457354E-3</v>
      </c>
      <c r="AF132" s="789">
        <f t="shared" si="160"/>
        <v>7.8547472277526505E-3</v>
      </c>
    </row>
    <row r="133" spans="2:40" outlineLevel="1">
      <c r="B133" s="685" t="s">
        <v>604</v>
      </c>
      <c r="C133" s="817"/>
      <c r="D133" s="817"/>
      <c r="E133" s="817"/>
      <c r="F133" s="817"/>
      <c r="G133" s="817"/>
      <c r="H133" s="817"/>
      <c r="I133" s="818"/>
      <c r="J133" s="818"/>
      <c r="K133" s="818"/>
      <c r="L133" s="818"/>
      <c r="M133" s="818"/>
      <c r="N133" s="789"/>
      <c r="O133" s="789">
        <f>O130/Master!Q28</f>
        <v>0</v>
      </c>
      <c r="P133" s="789">
        <f>P130/Master!R28</f>
        <v>5.7286430483275818E-3</v>
      </c>
      <c r="Q133" s="789">
        <f>Q130/Master!S28</f>
        <v>1.6177301023386246E-2</v>
      </c>
      <c r="R133" s="789">
        <f>R130/Master!T28</f>
        <v>2.0103449416065029E-2</v>
      </c>
      <c r="S133" s="789">
        <f>S130/Master!U28</f>
        <v>2.7046718311164546E-2</v>
      </c>
      <c r="T133" s="789">
        <f>T130/Master!V28</f>
        <v>2.3395879645211535E-2</v>
      </c>
      <c r="U133" s="789">
        <f>U130/Master!W28</f>
        <v>2.0776411362360792E-2</v>
      </c>
      <c r="V133" s="789">
        <f>V130/Master!X28</f>
        <v>1.4619937962777396E-2</v>
      </c>
      <c r="W133" s="789">
        <f>W130/Master!Y28</f>
        <v>9.1688605236698237E-3</v>
      </c>
      <c r="X133" s="789">
        <f>X130/Master!Z28</f>
        <v>5.0329787367976277E-3</v>
      </c>
      <c r="Y133" s="789">
        <f>Y130/Master!AA28</f>
        <v>2.7039688128246138E-3</v>
      </c>
      <c r="Z133" s="789">
        <f>Z130/Master!AB28</f>
        <v>1.7265394349587362E-3</v>
      </c>
      <c r="AA133" s="789">
        <f>AA130/Master!AC28</f>
        <v>1.3755066828571706E-3</v>
      </c>
      <c r="AB133" s="789">
        <f>AB130/Master!AD28</f>
        <v>1.2450515481994262E-3</v>
      </c>
      <c r="AC133" s="789">
        <f>AC130/Master!AE28</f>
        <v>1.1221690995084578E-3</v>
      </c>
      <c r="AD133" s="789">
        <f>AD130/Master!AF28</f>
        <v>1.0032276369514469E-3</v>
      </c>
      <c r="AE133" s="789">
        <f>AE130/Master!AG28</f>
        <v>9.0229520621245218E-4</v>
      </c>
      <c r="AF133" s="789">
        <f>AF130/Master!AH28</f>
        <v>7.8518988013548255E-4</v>
      </c>
    </row>
    <row r="134" spans="2:40" outlineLevel="1">
      <c r="N134" s="796"/>
      <c r="O134" s="796"/>
      <c r="P134" s="796"/>
      <c r="Q134" s="796"/>
      <c r="R134" s="796"/>
      <c r="S134" s="796"/>
      <c r="T134" s="796"/>
      <c r="U134" s="796"/>
      <c r="V134" s="796"/>
      <c r="W134" s="796"/>
      <c r="X134" s="796"/>
      <c r="Y134" s="796"/>
      <c r="Z134" s="796"/>
      <c r="AA134" s="796"/>
      <c r="AB134" s="796"/>
      <c r="AC134" s="796"/>
      <c r="AD134" s="796"/>
      <c r="AE134" s="796"/>
      <c r="AF134" s="796"/>
    </row>
    <row r="135" spans="2:40" outlineLevel="1">
      <c r="B135" s="929" t="s">
        <v>605</v>
      </c>
      <c r="C135" s="929"/>
      <c r="D135" s="929"/>
      <c r="E135" s="929"/>
      <c r="F135" s="929"/>
      <c r="G135" s="929"/>
      <c r="H135" s="929"/>
      <c r="I135" s="971">
        <f t="shared" ref="I135:AA135" si="161">I105+I130</f>
        <v>14465.4</v>
      </c>
      <c r="J135" s="971">
        <f t="shared" si="161"/>
        <v>16098.3</v>
      </c>
      <c r="K135" s="971">
        <f t="shared" si="161"/>
        <v>17498.5</v>
      </c>
      <c r="L135" s="971">
        <f t="shared" si="161"/>
        <v>19253.5</v>
      </c>
      <c r="M135" s="971">
        <f t="shared" si="161"/>
        <v>21941.200000000001</v>
      </c>
      <c r="N135" s="971">
        <f t="shared" si="161"/>
        <v>22197</v>
      </c>
      <c r="O135" s="971">
        <f t="shared" si="161"/>
        <v>22002</v>
      </c>
      <c r="P135" s="971">
        <f t="shared" si="161"/>
        <v>21347</v>
      </c>
      <c r="Q135" s="971">
        <f t="shared" si="161"/>
        <v>22134.7</v>
      </c>
      <c r="R135" s="971">
        <f t="shared" si="161"/>
        <v>22026.6</v>
      </c>
      <c r="S135" s="971">
        <f t="shared" si="161"/>
        <v>20339</v>
      </c>
      <c r="T135" s="971">
        <f t="shared" si="161"/>
        <v>17585.2</v>
      </c>
      <c r="U135" s="971">
        <f>U105+U130</f>
        <v>15034.7</v>
      </c>
      <c r="V135" s="971">
        <f>V105+V130</f>
        <v>12397</v>
      </c>
      <c r="W135" s="971">
        <f t="shared" si="161"/>
        <v>10559.8754544768</v>
      </c>
      <c r="X135" s="971">
        <f t="shared" si="161"/>
        <v>9208.8286426379527</v>
      </c>
      <c r="Y135" s="971">
        <f t="shared" si="161"/>
        <v>8270.4667688005375</v>
      </c>
      <c r="Z135" s="971">
        <f t="shared" si="161"/>
        <v>7567.9004032964949</v>
      </c>
      <c r="AA135" s="971">
        <f t="shared" si="161"/>
        <v>7026.4960470657397</v>
      </c>
      <c r="AB135" s="971">
        <f>AB105+AB130</f>
        <v>6603.2332730417947</v>
      </c>
      <c r="AC135" s="971">
        <f>AC105+AC130</f>
        <v>6270.3828413897045</v>
      </c>
      <c r="AD135" s="971">
        <f>AD105+AD130</f>
        <v>5953.8761793202184</v>
      </c>
      <c r="AE135" s="971">
        <f>AE105+AE130</f>
        <v>5652.8960983542074</v>
      </c>
      <c r="AF135" s="971">
        <f>AF105+AF130</f>
        <v>5366.6662694364968</v>
      </c>
      <c r="AG135" s="1616"/>
    </row>
    <row r="136" spans="2:40" outlineLevel="1">
      <c r="B136" s="817" t="s">
        <v>192</v>
      </c>
      <c r="C136" s="817"/>
      <c r="D136" s="817"/>
      <c r="E136" s="817"/>
      <c r="F136" s="817"/>
      <c r="G136" s="817"/>
      <c r="H136" s="817"/>
      <c r="I136" s="817"/>
      <c r="J136" s="928">
        <f t="shared" ref="J136:V136" si="162">J135/I135-1</f>
        <v>0.11288315566800788</v>
      </c>
      <c r="K136" s="928">
        <f t="shared" si="162"/>
        <v>8.6978128125330123E-2</v>
      </c>
      <c r="L136" s="959">
        <f t="shared" si="162"/>
        <v>0.10029431094093777</v>
      </c>
      <c r="M136" s="959">
        <f t="shared" si="162"/>
        <v>0.13959539823928124</v>
      </c>
      <c r="N136" s="959">
        <f t="shared" si="162"/>
        <v>1.1658432537873908E-2</v>
      </c>
      <c r="O136" s="959">
        <f t="shared" si="162"/>
        <v>-8.7849709420192434E-3</v>
      </c>
      <c r="P136" s="959">
        <f t="shared" si="162"/>
        <v>-2.9770020907190275E-2</v>
      </c>
      <c r="Q136" s="959">
        <f t="shared" si="162"/>
        <v>3.6899798566543351E-2</v>
      </c>
      <c r="R136" s="959">
        <f t="shared" si="162"/>
        <v>-4.8837345886776351E-3</v>
      </c>
      <c r="S136" s="959">
        <f t="shared" si="162"/>
        <v>-7.6616454650286436E-2</v>
      </c>
      <c r="T136" s="959">
        <f t="shared" si="162"/>
        <v>-0.13539505383745509</v>
      </c>
      <c r="U136" s="959">
        <f t="shared" si="162"/>
        <v>-0.1450367354366171</v>
      </c>
      <c r="V136" s="959">
        <f t="shared" si="162"/>
        <v>-0.17544081358457442</v>
      </c>
      <c r="W136" s="959">
        <f t="shared" ref="W136:AF136" si="163">W135/V135-1</f>
        <v>-0.14819105795944176</v>
      </c>
      <c r="X136" s="959">
        <f t="shared" si="163"/>
        <v>-0.127941547953208</v>
      </c>
      <c r="Y136" s="959">
        <f t="shared" si="163"/>
        <v>-0.10189807088956893</v>
      </c>
      <c r="Z136" s="959">
        <f t="shared" si="163"/>
        <v>-8.4948816692475004E-2</v>
      </c>
      <c r="AA136" s="959">
        <f t="shared" si="163"/>
        <v>-7.1539572058179512E-2</v>
      </c>
      <c r="AB136" s="959">
        <f t="shared" si="163"/>
        <v>-6.0238100354542912E-2</v>
      </c>
      <c r="AC136" s="959">
        <f t="shared" si="163"/>
        <v>-5.0407189612848846E-2</v>
      </c>
      <c r="AD136" s="959">
        <f t="shared" si="163"/>
        <v>-5.0476449377266253E-2</v>
      </c>
      <c r="AE136" s="959">
        <f t="shared" si="163"/>
        <v>-5.0551955045926911E-2</v>
      </c>
      <c r="AF136" s="959">
        <f t="shared" si="163"/>
        <v>-5.063419244536338E-2</v>
      </c>
    </row>
    <row r="137" spans="2:40" outlineLevel="2">
      <c r="W137" s="1817" cm="1">
        <f t="array" ref="W137">_xll.VAData("TV_US", "FY-"&amp;W1, "Revenue - Sky Mexico and CA", "Consensus", "CD", "","","")</f>
        <v>9380.3795873813997</v>
      </c>
      <c r="X137" s="1817" cm="1">
        <f t="array" ref="X137">_xll.VAData("TV_US", "FY-"&amp;X1, "Revenue - Sky Mexico and CA", "Consensus", "CD", "","","")</f>
        <v>7914.4400319084498</v>
      </c>
      <c r="Y137" s="1817" cm="1">
        <f t="array" ref="Y137">_xll.VAData("TV_US", "FY-"&amp;Y1, "Revenue - Sky Mexico and CA", "Consensus", "CD", "","","")</f>
        <v>6987.8094680910499</v>
      </c>
      <c r="Z137" s="1817" cm="1">
        <f t="array" ref="Z137">_xll.VAData("TV_US", "FY-"&amp;Z1, "Revenue - Sky Mexico and CA", "Consensus", "CD", "","","")</f>
        <v>6529.8614293652163</v>
      </c>
      <c r="AA137" s="1817" cm="1">
        <f t="array" ref="AA137">_xll.VAData("TV_US", "FY-"&amp;AA1, "Revenue - Sky Mexico and CA", "Consensus", "CD", "","","")</f>
        <v>6204.9423009724533</v>
      </c>
      <c r="AB137" s="1817" cm="1">
        <f t="array" ref="AB137">_xll.VAData("TV_US", "FY-"&amp;AB1, "Revenue - Sky Mexico and CA", "Consensus", "CD", "","","")</f>
        <v>5790.8469247144849</v>
      </c>
      <c r="AC137" s="1817" cm="1">
        <f t="array" ref="AC137">_xll.VAData("TV_US", "FY-"&amp;AC1, "Revenue - Sky Mexico and CA", "Consensus", "CD", "","","")</f>
        <v>2988.8822137256402</v>
      </c>
      <c r="AD137" s="1817" cm="1">
        <f t="array" ref="AD137">_xll.VAData("TV_US", "FY-"&amp;AD1, "Revenue - Sky Mexico and CA", "Consensus", "CD", "","","")</f>
        <v>2000.48826876972</v>
      </c>
      <c r="AE137" s="1817" cm="1">
        <f t="array" ref="AE137">_xll.VAData("TV_US", "FY-"&amp;AE1, "Revenue - Sky Mexico and CA", "Consensus", "CD", "","","")</f>
        <v>1092.34605726002</v>
      </c>
      <c r="AF137" s="1817" cm="1">
        <f t="array" ref="AF137">_xll.VAData("TV_US", "FY-"&amp;AF1, "Revenue - Sky Mexico and CA", "Consensus", "CD", "","","")</f>
        <v>1002.81282367676</v>
      </c>
    </row>
    <row r="138" spans="2:40" outlineLevel="2">
      <c r="W138" s="1613">
        <f t="shared" ref="W138:AF138" si="164">W135/W137-1</f>
        <v>0.12574073960525789</v>
      </c>
      <c r="X138" s="1613">
        <f t="shared" si="164"/>
        <v>0.16354771853863936</v>
      </c>
      <c r="Y138" s="1613">
        <f t="shared" si="164"/>
        <v>0.18355642158913743</v>
      </c>
      <c r="Z138" s="1613">
        <f t="shared" si="164"/>
        <v>0.15896799421548957</v>
      </c>
      <c r="AA138" s="1613">
        <f t="shared" si="164"/>
        <v>0.13240312419416544</v>
      </c>
      <c r="AB138" s="1613">
        <f t="shared" si="164"/>
        <v>0.14028800258217222</v>
      </c>
      <c r="AC138" s="1613">
        <f t="shared" si="164"/>
        <v>1.0979022902256412</v>
      </c>
      <c r="AD138" s="1613">
        <f t="shared" si="164"/>
        <v>1.9762114940977846</v>
      </c>
      <c r="AE138" s="1613">
        <f t="shared" si="164"/>
        <v>4.1750048080309066</v>
      </c>
      <c r="AF138" s="1613">
        <f t="shared" si="164"/>
        <v>4.3516131253287123</v>
      </c>
    </row>
    <row r="139" spans="2:40" outlineLevel="1"/>
    <row r="140" spans="2:40" outlineLevel="1">
      <c r="B140" s="817" t="s">
        <v>606</v>
      </c>
      <c r="C140" s="817"/>
      <c r="D140" s="817"/>
      <c r="E140" s="817"/>
      <c r="F140" s="818">
        <f>Master!H55</f>
        <v>4479</v>
      </c>
      <c r="G140" s="818">
        <f>Master!I55</f>
        <v>5075</v>
      </c>
      <c r="H140" s="818">
        <f>Master!J55</f>
        <v>5789.8</v>
      </c>
      <c r="I140" s="818">
        <f>Master!K55</f>
        <v>6558</v>
      </c>
      <c r="J140" s="818">
        <f>Master!L55</f>
        <v>7340.5</v>
      </c>
      <c r="K140" s="818">
        <f>Master!M55</f>
        <v>8211.2999999999993</v>
      </c>
      <c r="L140" s="818">
        <f>Master!N55</f>
        <v>8972.2999999999993</v>
      </c>
      <c r="M140" s="818">
        <f>Master!O55</f>
        <v>9898.5</v>
      </c>
      <c r="N140" s="818">
        <f>Master!P55</f>
        <v>10107</v>
      </c>
      <c r="O140" s="818">
        <f>Master!Q55</f>
        <v>9767</v>
      </c>
      <c r="P140" s="818">
        <f>Master!R55</f>
        <v>9121</v>
      </c>
      <c r="Q140" s="818">
        <f>Master!S55</f>
        <v>9135.7999999999993</v>
      </c>
      <c r="R140" s="818">
        <f>Master!T55</f>
        <v>8504.2000000000007</v>
      </c>
      <c r="S140" s="818">
        <f>Master!U55</f>
        <v>6416.33</v>
      </c>
      <c r="T140" s="818">
        <f>Master!V55</f>
        <v>5731.4</v>
      </c>
      <c r="U140" s="818">
        <f>U141*U105</f>
        <v>4965.907126419821</v>
      </c>
      <c r="V140" s="818">
        <f t="shared" ref="V140:AA140" si="165">V141*V105</f>
        <v>4153.0335727103993</v>
      </c>
      <c r="W140" s="818">
        <f t="shared" si="165"/>
        <v>3613.1392082580478</v>
      </c>
      <c r="X140" s="818">
        <f t="shared" si="165"/>
        <v>3215.6938953496629</v>
      </c>
      <c r="Y140" s="818">
        <f t="shared" si="165"/>
        <v>2926.2814447681931</v>
      </c>
      <c r="Z140" s="818">
        <f t="shared" si="165"/>
        <v>2692.1789291867381</v>
      </c>
      <c r="AA140" s="818">
        <f t="shared" si="165"/>
        <v>2503.7264041436661</v>
      </c>
      <c r="AB140" s="818">
        <f>AB141*AB105</f>
        <v>2353.5028198950458</v>
      </c>
      <c r="AC140" s="818">
        <f>AC141*AC105</f>
        <v>2235.8276789002934</v>
      </c>
      <c r="AD140" s="818">
        <f>AD141*AD105</f>
        <v>2124.0362949552787</v>
      </c>
      <c r="AE140" s="818">
        <f>AE141*AE105</f>
        <v>2017.8344802075144</v>
      </c>
      <c r="AF140" s="818">
        <f>AF141*AF105</f>
        <v>1916.9427561971388</v>
      </c>
      <c r="AH140" s="789"/>
      <c r="AJ140" s="750"/>
    </row>
    <row r="141" spans="2:40" outlineLevel="1">
      <c r="B141" s="817" t="s">
        <v>548</v>
      </c>
      <c r="C141" s="817"/>
      <c r="D141" s="817"/>
      <c r="E141" s="817"/>
      <c r="F141" s="959">
        <f t="shared" ref="F141:K141" si="166">F140/F105</f>
        <v>0.44767168743940589</v>
      </c>
      <c r="G141" s="959">
        <f t="shared" si="166"/>
        <v>0.45118330043918137</v>
      </c>
      <c r="H141" s="959">
        <f t="shared" si="166"/>
        <v>0.46395602282197573</v>
      </c>
      <c r="I141" s="959">
        <f t="shared" si="166"/>
        <v>0.45335766726118876</v>
      </c>
      <c r="J141" s="959">
        <f t="shared" si="166"/>
        <v>0.45597982395656689</v>
      </c>
      <c r="K141" s="959">
        <f t="shared" si="166"/>
        <v>0.46925736491699283</v>
      </c>
      <c r="L141" s="959">
        <v>0.46600877762484738</v>
      </c>
      <c r="M141" s="959">
        <v>0.45113758591143599</v>
      </c>
      <c r="N141" s="959">
        <v>0.45533180159481013</v>
      </c>
      <c r="O141" s="959">
        <v>0.44391418961912554</v>
      </c>
      <c r="P141" s="959">
        <v>0.43913435494160791</v>
      </c>
      <c r="Q141" s="959">
        <v>0.44427770740806027</v>
      </c>
      <c r="R141" s="959">
        <v>0.42637283105440993</v>
      </c>
      <c r="S141" s="959">
        <v>0.35069092486289882</v>
      </c>
      <c r="T141" s="959">
        <v>0.36138967790918342</v>
      </c>
      <c r="U141" s="959">
        <v>0.36138967790918342</v>
      </c>
      <c r="V141" s="965">
        <v>0.36</v>
      </c>
      <c r="W141" s="965">
        <v>0.36</v>
      </c>
      <c r="X141" s="965">
        <v>0.36</v>
      </c>
      <c r="Y141" s="965">
        <v>0.36</v>
      </c>
      <c r="Z141" s="965">
        <v>0.36</v>
      </c>
      <c r="AA141" s="965">
        <v>0.36</v>
      </c>
      <c r="AB141" s="965">
        <v>0.36</v>
      </c>
      <c r="AC141" s="965">
        <v>0.36</v>
      </c>
      <c r="AD141" s="965">
        <v>0.36</v>
      </c>
      <c r="AE141" s="965">
        <v>0.36</v>
      </c>
      <c r="AF141" s="965">
        <v>0.36</v>
      </c>
      <c r="AH141" s="921"/>
      <c r="AI141" s="944"/>
      <c r="AJ141" s="944"/>
      <c r="AK141" s="944"/>
      <c r="AL141" s="944"/>
      <c r="AM141" s="944"/>
      <c r="AN141" s="944"/>
    </row>
    <row r="142" spans="2:40" outlineLevel="1">
      <c r="B142" s="685" t="s">
        <v>192</v>
      </c>
      <c r="G142" s="789">
        <f>G140/F140-1</f>
        <v>0.13306541638758662</v>
      </c>
      <c r="H142" s="789">
        <f t="shared" ref="H142:T142" si="167">H140/G140-1</f>
        <v>0.14084729064039414</v>
      </c>
      <c r="I142" s="789">
        <f t="shared" si="167"/>
        <v>0.13268161249093224</v>
      </c>
      <c r="J142" s="789">
        <f t="shared" si="167"/>
        <v>0.11931991460811231</v>
      </c>
      <c r="K142" s="789">
        <f t="shared" si="167"/>
        <v>0.11862952114978542</v>
      </c>
      <c r="L142" s="789">
        <f t="shared" si="167"/>
        <v>9.2677164395406297E-2</v>
      </c>
      <c r="M142" s="789">
        <f t="shared" si="167"/>
        <v>0.10322882649933685</v>
      </c>
      <c r="N142" s="789">
        <f t="shared" si="167"/>
        <v>2.1063797545082696E-2</v>
      </c>
      <c r="O142" s="789">
        <f t="shared" si="167"/>
        <v>-3.3640051449490449E-2</v>
      </c>
      <c r="P142" s="789">
        <f t="shared" si="167"/>
        <v>-6.6141087334903204E-2</v>
      </c>
      <c r="Q142" s="789">
        <f t="shared" si="167"/>
        <v>1.6226290976866231E-3</v>
      </c>
      <c r="R142" s="789">
        <f t="shared" si="167"/>
        <v>-6.9134613279625112E-2</v>
      </c>
      <c r="S142" s="789">
        <f t="shared" si="167"/>
        <v>-0.24551045365819246</v>
      </c>
      <c r="T142" s="789">
        <f t="shared" si="167"/>
        <v>-0.10674793846326491</v>
      </c>
      <c r="U142" s="789">
        <f t="shared" ref="U142:AF142" si="168">U140/T140-1</f>
        <v>-0.13356123697180078</v>
      </c>
      <c r="V142" s="789">
        <f t="shared" si="168"/>
        <v>-0.16369084902630149</v>
      </c>
      <c r="W142" s="789">
        <f t="shared" si="168"/>
        <v>-0.12999999999999989</v>
      </c>
      <c r="X142" s="789">
        <f t="shared" si="168"/>
        <v>-0.10999999999999988</v>
      </c>
      <c r="Y142" s="789">
        <f t="shared" si="168"/>
        <v>-9.000000000000008E-2</v>
      </c>
      <c r="Z142" s="789">
        <f t="shared" si="168"/>
        <v>-7.9999999999999849E-2</v>
      </c>
      <c r="AA142" s="789">
        <f t="shared" si="168"/>
        <v>-7.0000000000000173E-2</v>
      </c>
      <c r="AB142" s="789">
        <f t="shared" si="168"/>
        <v>-6.0000000000000053E-2</v>
      </c>
      <c r="AC142" s="789">
        <f t="shared" si="168"/>
        <v>-5.0000000000000044E-2</v>
      </c>
      <c r="AD142" s="789">
        <f t="shared" si="168"/>
        <v>-5.0000000000000044E-2</v>
      </c>
      <c r="AE142" s="789">
        <f t="shared" si="168"/>
        <v>-5.0000000000000155E-2</v>
      </c>
      <c r="AF142" s="789">
        <f t="shared" si="168"/>
        <v>-4.9999999999999933E-2</v>
      </c>
      <c r="AH142" s="1814"/>
      <c r="AI142" s="1814"/>
      <c r="AJ142" s="1814"/>
      <c r="AK142" s="1814"/>
      <c r="AL142" s="1814"/>
      <c r="AM142" s="1814"/>
      <c r="AN142" s="1814"/>
    </row>
    <row r="143" spans="2:40" outlineLevel="1">
      <c r="AH143" s="944"/>
      <c r="AI143" s="944"/>
      <c r="AJ143" s="926"/>
      <c r="AK143" s="926"/>
      <c r="AL143" s="926"/>
      <c r="AM143" s="926"/>
      <c r="AN143" s="926"/>
    </row>
    <row r="144" spans="2:40" outlineLevel="1">
      <c r="B144" s="685" t="s">
        <v>607</v>
      </c>
      <c r="N144" s="925">
        <v>0.25</v>
      </c>
      <c r="O144" s="789">
        <f>N144</f>
        <v>0.25</v>
      </c>
      <c r="P144" s="789">
        <f t="shared" ref="P144:V144" si="169">O144</f>
        <v>0.25</v>
      </c>
      <c r="Q144" s="789">
        <f t="shared" si="169"/>
        <v>0.25</v>
      </c>
      <c r="R144" s="789">
        <f t="shared" si="169"/>
        <v>0.25</v>
      </c>
      <c r="S144" s="789">
        <f t="shared" si="169"/>
        <v>0.25</v>
      </c>
      <c r="T144" s="789">
        <f t="shared" si="169"/>
        <v>0.25</v>
      </c>
      <c r="U144" s="789">
        <f t="shared" si="169"/>
        <v>0.25</v>
      </c>
      <c r="V144" s="789">
        <f t="shared" si="169"/>
        <v>0.25</v>
      </c>
      <c r="W144" s="789">
        <f t="shared" ref="W144:AF144" si="170">V144</f>
        <v>0.25</v>
      </c>
      <c r="X144" s="789">
        <f t="shared" si="170"/>
        <v>0.25</v>
      </c>
      <c r="Y144" s="789">
        <f t="shared" si="170"/>
        <v>0.25</v>
      </c>
      <c r="Z144" s="789">
        <f t="shared" si="170"/>
        <v>0.25</v>
      </c>
      <c r="AA144" s="789">
        <f t="shared" si="170"/>
        <v>0.25</v>
      </c>
      <c r="AB144" s="789">
        <f t="shared" si="170"/>
        <v>0.25</v>
      </c>
      <c r="AC144" s="789">
        <f t="shared" si="170"/>
        <v>0.25</v>
      </c>
      <c r="AD144" s="789">
        <f t="shared" si="170"/>
        <v>0.25</v>
      </c>
      <c r="AE144" s="789">
        <f t="shared" si="170"/>
        <v>0.25</v>
      </c>
      <c r="AF144" s="789">
        <f t="shared" si="170"/>
        <v>0.25</v>
      </c>
    </row>
    <row r="145" spans="2:32" outlineLevel="1">
      <c r="B145" s="685" t="s">
        <v>608</v>
      </c>
      <c r="N145" s="934">
        <f>187*0.8</f>
        <v>149.6</v>
      </c>
      <c r="O145" s="795">
        <f>(1+O146)*N145</f>
        <v>144.19277108433735</v>
      </c>
      <c r="P145" s="795">
        <f t="shared" ref="P145:V145" si="171">(1+P146)*O145</f>
        <v>139.16279069767444</v>
      </c>
      <c r="Q145" s="795">
        <f t="shared" si="171"/>
        <v>134.47191011235955</v>
      </c>
      <c r="R145" s="795">
        <f t="shared" si="171"/>
        <v>132.97777777777779</v>
      </c>
      <c r="S145" s="795">
        <f t="shared" si="171"/>
        <v>132.97777777777779</v>
      </c>
      <c r="T145" s="795">
        <f t="shared" si="171"/>
        <v>132.97777777777779</v>
      </c>
      <c r="U145" s="795">
        <f t="shared" si="171"/>
        <v>132.97777777777779</v>
      </c>
      <c r="V145" s="795">
        <f t="shared" si="171"/>
        <v>132.97777777777779</v>
      </c>
      <c r="W145" s="795">
        <f t="shared" ref="W145:AF145" si="172">(1+W146)*V145</f>
        <v>132.97777777777779</v>
      </c>
      <c r="X145" s="795">
        <f t="shared" si="172"/>
        <v>132.97777777777779</v>
      </c>
      <c r="Y145" s="795">
        <f t="shared" si="172"/>
        <v>132.97777777777779</v>
      </c>
      <c r="Z145" s="795">
        <f t="shared" si="172"/>
        <v>132.97777777777779</v>
      </c>
      <c r="AA145" s="795">
        <f t="shared" si="172"/>
        <v>132.97777777777779</v>
      </c>
      <c r="AB145" s="795">
        <f t="shared" si="172"/>
        <v>132.97777777777779</v>
      </c>
      <c r="AC145" s="795">
        <f t="shared" si="172"/>
        <v>132.97777777777779</v>
      </c>
      <c r="AD145" s="795">
        <f t="shared" si="172"/>
        <v>132.97777777777779</v>
      </c>
      <c r="AE145" s="795">
        <f t="shared" si="172"/>
        <v>132.97777777777779</v>
      </c>
      <c r="AF145" s="795">
        <f t="shared" si="172"/>
        <v>132.97777777777779</v>
      </c>
    </row>
    <row r="146" spans="2:32" outlineLevel="1">
      <c r="B146" s="685" t="s">
        <v>192</v>
      </c>
      <c r="O146" s="789">
        <f t="shared" ref="O146:AA146" si="173">O123</f>
        <v>-3.6144578313253017E-2</v>
      </c>
      <c r="P146" s="789">
        <f t="shared" si="173"/>
        <v>-3.4883720930232509E-2</v>
      </c>
      <c r="Q146" s="789">
        <f t="shared" si="173"/>
        <v>-3.3707865168539519E-2</v>
      </c>
      <c r="R146" s="789">
        <f t="shared" si="173"/>
        <v>-1.1111111111111072E-2</v>
      </c>
      <c r="S146" s="789">
        <f t="shared" si="173"/>
        <v>0</v>
      </c>
      <c r="T146" s="789">
        <f t="shared" si="173"/>
        <v>0</v>
      </c>
      <c r="U146" s="789">
        <f t="shared" si="173"/>
        <v>0</v>
      </c>
      <c r="V146" s="789">
        <f t="shared" si="173"/>
        <v>0</v>
      </c>
      <c r="W146" s="789">
        <f t="shared" si="173"/>
        <v>0</v>
      </c>
      <c r="X146" s="789">
        <f t="shared" si="173"/>
        <v>0</v>
      </c>
      <c r="Y146" s="789">
        <f t="shared" si="173"/>
        <v>0</v>
      </c>
      <c r="Z146" s="789">
        <f t="shared" si="173"/>
        <v>0</v>
      </c>
      <c r="AA146" s="789">
        <f t="shared" si="173"/>
        <v>0</v>
      </c>
      <c r="AB146" s="789">
        <f>AB123</f>
        <v>0</v>
      </c>
      <c r="AC146" s="789">
        <f>AC123</f>
        <v>0</v>
      </c>
      <c r="AD146" s="789">
        <f>AD123</f>
        <v>0</v>
      </c>
      <c r="AE146" s="789">
        <f>AE123</f>
        <v>0</v>
      </c>
      <c r="AF146" s="789">
        <f>AF123</f>
        <v>0</v>
      </c>
    </row>
    <row r="147" spans="2:32" outlineLevel="1">
      <c r="B147" s="685" t="s">
        <v>609</v>
      </c>
      <c r="N147" s="796">
        <f t="shared" ref="N147:V147" si="174">(1-N144)*N145</f>
        <v>112.19999999999999</v>
      </c>
      <c r="O147" s="796">
        <f t="shared" si="174"/>
        <v>108.14457831325302</v>
      </c>
      <c r="P147" s="796">
        <f t="shared" si="174"/>
        <v>104.37209302325583</v>
      </c>
      <c r="Q147" s="796">
        <f t="shared" si="174"/>
        <v>100.85393258426967</v>
      </c>
      <c r="R147" s="796">
        <f t="shared" si="174"/>
        <v>99.733333333333348</v>
      </c>
      <c r="S147" s="796">
        <f t="shared" si="174"/>
        <v>99.733333333333348</v>
      </c>
      <c r="T147" s="796">
        <f t="shared" si="174"/>
        <v>99.733333333333348</v>
      </c>
      <c r="U147" s="796">
        <f t="shared" si="174"/>
        <v>99.733333333333348</v>
      </c>
      <c r="V147" s="796">
        <f t="shared" si="174"/>
        <v>99.733333333333348</v>
      </c>
      <c r="W147" s="796">
        <f t="shared" ref="W147:AF147" si="175">(1-W144)*W145</f>
        <v>99.733333333333348</v>
      </c>
      <c r="X147" s="796">
        <f t="shared" si="175"/>
        <v>99.733333333333348</v>
      </c>
      <c r="Y147" s="796">
        <f t="shared" si="175"/>
        <v>99.733333333333348</v>
      </c>
      <c r="Z147" s="796">
        <f t="shared" si="175"/>
        <v>99.733333333333348</v>
      </c>
      <c r="AA147" s="796">
        <f t="shared" si="175"/>
        <v>99.733333333333348</v>
      </c>
      <c r="AB147" s="796">
        <f t="shared" si="175"/>
        <v>99.733333333333348</v>
      </c>
      <c r="AC147" s="796">
        <f t="shared" si="175"/>
        <v>99.733333333333348</v>
      </c>
      <c r="AD147" s="796">
        <f t="shared" si="175"/>
        <v>99.733333333333348</v>
      </c>
      <c r="AE147" s="796">
        <f t="shared" si="175"/>
        <v>99.733333333333348</v>
      </c>
      <c r="AF147" s="796">
        <f t="shared" si="175"/>
        <v>99.733333333333348</v>
      </c>
    </row>
    <row r="148" spans="2:32" outlineLevel="1">
      <c r="B148" s="685" t="s">
        <v>610</v>
      </c>
      <c r="N148" s="796"/>
      <c r="O148" s="796">
        <f t="shared" ref="O148:AF148" si="176">O147*AVERAGE(N112,O112)*12/1000</f>
        <v>0</v>
      </c>
      <c r="P148" s="796">
        <f t="shared" si="176"/>
        <v>241.72576744186048</v>
      </c>
      <c r="Q148" s="796">
        <f t="shared" si="176"/>
        <v>596.28879101123607</v>
      </c>
      <c r="R148" s="796">
        <f t="shared" si="176"/>
        <v>706.81859072000009</v>
      </c>
      <c r="S148" s="796">
        <f t="shared" si="176"/>
        <v>654.6591744000001</v>
      </c>
      <c r="T148" s="796">
        <f t="shared" si="176"/>
        <v>553.10494976000007</v>
      </c>
      <c r="U148" s="796">
        <f t="shared" si="176"/>
        <v>414.55907328000012</v>
      </c>
      <c r="V148" s="796">
        <f t="shared" si="176"/>
        <v>275.86766592000009</v>
      </c>
      <c r="W148" s="796">
        <f t="shared" si="176"/>
        <v>167.73199872000004</v>
      </c>
      <c r="X148" s="796">
        <f t="shared" si="176"/>
        <v>88.563200000000009</v>
      </c>
      <c r="Y148" s="796">
        <f t="shared" si="176"/>
        <v>45.478400000000008</v>
      </c>
      <c r="Z148" s="796">
        <f t="shared" si="176"/>
        <v>28.723200000000006</v>
      </c>
      <c r="AA148" s="796">
        <f t="shared" si="176"/>
        <v>22.978560000000005</v>
      </c>
      <c r="AB148" s="796">
        <f t="shared" si="176"/>
        <v>21.063680000000005</v>
      </c>
      <c r="AC148" s="796">
        <f t="shared" si="176"/>
        <v>19.148800000000001</v>
      </c>
      <c r="AD148" s="796">
        <f t="shared" si="176"/>
        <v>17.233920000000005</v>
      </c>
      <c r="AE148" s="796">
        <f t="shared" si="176"/>
        <v>15.319040000000005</v>
      </c>
      <c r="AF148" s="796">
        <f t="shared" si="176"/>
        <v>13.404159999999999</v>
      </c>
    </row>
    <row r="149" spans="2:32" outlineLevel="1">
      <c r="O149" s="789"/>
      <c r="P149" s="789"/>
      <c r="Q149" s="789"/>
      <c r="R149" s="789"/>
      <c r="S149" s="789"/>
      <c r="T149" s="789"/>
      <c r="U149" s="789"/>
      <c r="V149" s="789"/>
      <c r="W149" s="789"/>
      <c r="X149" s="789"/>
      <c r="Y149" s="789"/>
      <c r="Z149" s="789"/>
      <c r="AA149" s="789"/>
      <c r="AB149" s="789"/>
      <c r="AC149" s="789"/>
      <c r="AD149" s="789"/>
      <c r="AE149" s="789"/>
      <c r="AF149" s="789"/>
    </row>
    <row r="150" spans="2:32" outlineLevel="1">
      <c r="B150" s="685" t="s">
        <v>611</v>
      </c>
      <c r="N150" s="925">
        <v>0.3</v>
      </c>
      <c r="O150" s="789">
        <f>N150</f>
        <v>0.3</v>
      </c>
      <c r="P150" s="789">
        <f t="shared" ref="P150:V150" si="177">O150</f>
        <v>0.3</v>
      </c>
      <c r="Q150" s="789">
        <f t="shared" si="177"/>
        <v>0.3</v>
      </c>
      <c r="R150" s="789">
        <f t="shared" si="177"/>
        <v>0.3</v>
      </c>
      <c r="S150" s="789">
        <f t="shared" si="177"/>
        <v>0.3</v>
      </c>
      <c r="T150" s="789">
        <f t="shared" si="177"/>
        <v>0.3</v>
      </c>
      <c r="U150" s="789">
        <f t="shared" si="177"/>
        <v>0.3</v>
      </c>
      <c r="V150" s="789">
        <f t="shared" si="177"/>
        <v>0.3</v>
      </c>
      <c r="W150" s="789">
        <f t="shared" ref="W150:AF150" si="178">V150</f>
        <v>0.3</v>
      </c>
      <c r="X150" s="789">
        <f t="shared" si="178"/>
        <v>0.3</v>
      </c>
      <c r="Y150" s="789">
        <f t="shared" si="178"/>
        <v>0.3</v>
      </c>
      <c r="Z150" s="789">
        <f t="shared" si="178"/>
        <v>0.3</v>
      </c>
      <c r="AA150" s="789">
        <f t="shared" si="178"/>
        <v>0.3</v>
      </c>
      <c r="AB150" s="789">
        <f t="shared" si="178"/>
        <v>0.3</v>
      </c>
      <c r="AC150" s="789">
        <f t="shared" si="178"/>
        <v>0.3</v>
      </c>
      <c r="AD150" s="789">
        <f t="shared" si="178"/>
        <v>0.3</v>
      </c>
      <c r="AE150" s="789">
        <f t="shared" si="178"/>
        <v>0.3</v>
      </c>
      <c r="AF150" s="789">
        <f t="shared" si="178"/>
        <v>0.3</v>
      </c>
    </row>
    <row r="151" spans="2:32" outlineLevel="1">
      <c r="B151" s="685" t="s">
        <v>612</v>
      </c>
      <c r="N151" s="796">
        <f>N122-N145</f>
        <v>161.60000000000005</v>
      </c>
      <c r="O151" s="795">
        <f t="shared" ref="O151:V151" si="179">(1+O152)*N151</f>
        <v>155.75903614457837</v>
      </c>
      <c r="P151" s="795">
        <f t="shared" si="179"/>
        <v>150.32558139534891</v>
      </c>
      <c r="Q151" s="795">
        <f t="shared" si="179"/>
        <v>145.25842696629218</v>
      </c>
      <c r="R151" s="795">
        <f t="shared" si="179"/>
        <v>143.6444444444445</v>
      </c>
      <c r="S151" s="795">
        <f t="shared" si="179"/>
        <v>143.6444444444445</v>
      </c>
      <c r="T151" s="795">
        <f t="shared" si="179"/>
        <v>143.6444444444445</v>
      </c>
      <c r="U151" s="795">
        <f t="shared" si="179"/>
        <v>143.6444444444445</v>
      </c>
      <c r="V151" s="795">
        <f t="shared" si="179"/>
        <v>143.6444444444445</v>
      </c>
      <c r="W151" s="795">
        <f t="shared" ref="W151:AF151" si="180">(1+W152)*V151</f>
        <v>143.6444444444445</v>
      </c>
      <c r="X151" s="795">
        <f t="shared" si="180"/>
        <v>143.6444444444445</v>
      </c>
      <c r="Y151" s="795">
        <f t="shared" si="180"/>
        <v>143.6444444444445</v>
      </c>
      <c r="Z151" s="795">
        <f t="shared" si="180"/>
        <v>143.6444444444445</v>
      </c>
      <c r="AA151" s="795">
        <f t="shared" si="180"/>
        <v>143.6444444444445</v>
      </c>
      <c r="AB151" s="795">
        <f t="shared" si="180"/>
        <v>143.6444444444445</v>
      </c>
      <c r="AC151" s="795">
        <f t="shared" si="180"/>
        <v>143.6444444444445</v>
      </c>
      <c r="AD151" s="795">
        <f t="shared" si="180"/>
        <v>143.6444444444445</v>
      </c>
      <c r="AE151" s="795">
        <f t="shared" si="180"/>
        <v>143.6444444444445</v>
      </c>
      <c r="AF151" s="795">
        <f t="shared" si="180"/>
        <v>143.6444444444445</v>
      </c>
    </row>
    <row r="152" spans="2:32" outlineLevel="1">
      <c r="B152" s="685" t="s">
        <v>192</v>
      </c>
      <c r="O152" s="789">
        <f t="shared" ref="O152:AA152" si="181">O123</f>
        <v>-3.6144578313253017E-2</v>
      </c>
      <c r="P152" s="789">
        <f t="shared" si="181"/>
        <v>-3.4883720930232509E-2</v>
      </c>
      <c r="Q152" s="789">
        <f t="shared" si="181"/>
        <v>-3.3707865168539519E-2</v>
      </c>
      <c r="R152" s="789">
        <f t="shared" si="181"/>
        <v>-1.1111111111111072E-2</v>
      </c>
      <c r="S152" s="789">
        <f t="shared" si="181"/>
        <v>0</v>
      </c>
      <c r="T152" s="789">
        <f t="shared" si="181"/>
        <v>0</v>
      </c>
      <c r="U152" s="789">
        <f t="shared" si="181"/>
        <v>0</v>
      </c>
      <c r="V152" s="789">
        <f t="shared" si="181"/>
        <v>0</v>
      </c>
      <c r="W152" s="789">
        <f t="shared" si="181"/>
        <v>0</v>
      </c>
      <c r="X152" s="789">
        <f t="shared" si="181"/>
        <v>0</v>
      </c>
      <c r="Y152" s="789">
        <f t="shared" si="181"/>
        <v>0</v>
      </c>
      <c r="Z152" s="789">
        <f t="shared" si="181"/>
        <v>0</v>
      </c>
      <c r="AA152" s="789">
        <f t="shared" si="181"/>
        <v>0</v>
      </c>
      <c r="AB152" s="789">
        <f>AB123</f>
        <v>0</v>
      </c>
      <c r="AC152" s="789">
        <f>AC123</f>
        <v>0</v>
      </c>
      <c r="AD152" s="789">
        <f>AD123</f>
        <v>0</v>
      </c>
      <c r="AE152" s="789">
        <f>AE123</f>
        <v>0</v>
      </c>
      <c r="AF152" s="789">
        <f>AF123</f>
        <v>0</v>
      </c>
    </row>
    <row r="153" spans="2:32" outlineLevel="1">
      <c r="B153" s="685" t="s">
        <v>613</v>
      </c>
      <c r="N153" s="796">
        <f>(1-N150)*N151</f>
        <v>113.12000000000003</v>
      </c>
      <c r="O153" s="796">
        <f t="shared" ref="O153:V153" si="182">(1-O150)*O151</f>
        <v>109.03132530120486</v>
      </c>
      <c r="P153" s="796">
        <f t="shared" si="182"/>
        <v>105.22790697674422</v>
      </c>
      <c r="Q153" s="796">
        <f t="shared" si="182"/>
        <v>101.68089887640451</v>
      </c>
      <c r="R153" s="796">
        <f t="shared" si="182"/>
        <v>100.55111111111114</v>
      </c>
      <c r="S153" s="796">
        <f t="shared" si="182"/>
        <v>100.55111111111114</v>
      </c>
      <c r="T153" s="796">
        <f t="shared" si="182"/>
        <v>100.55111111111114</v>
      </c>
      <c r="U153" s="796">
        <f t="shared" si="182"/>
        <v>100.55111111111114</v>
      </c>
      <c r="V153" s="796">
        <f t="shared" si="182"/>
        <v>100.55111111111114</v>
      </c>
      <c r="W153" s="796">
        <f t="shared" ref="W153:AF153" si="183">(1-W150)*W151</f>
        <v>100.55111111111114</v>
      </c>
      <c r="X153" s="796">
        <f t="shared" si="183"/>
        <v>100.55111111111114</v>
      </c>
      <c r="Y153" s="796">
        <f t="shared" si="183"/>
        <v>100.55111111111114</v>
      </c>
      <c r="Z153" s="796">
        <f t="shared" si="183"/>
        <v>100.55111111111114</v>
      </c>
      <c r="AA153" s="796">
        <f t="shared" si="183"/>
        <v>100.55111111111114</v>
      </c>
      <c r="AB153" s="796">
        <f t="shared" si="183"/>
        <v>100.55111111111114</v>
      </c>
      <c r="AC153" s="796">
        <f t="shared" si="183"/>
        <v>100.55111111111114</v>
      </c>
      <c r="AD153" s="796">
        <f t="shared" si="183"/>
        <v>100.55111111111114</v>
      </c>
      <c r="AE153" s="796">
        <f t="shared" si="183"/>
        <v>100.55111111111114</v>
      </c>
      <c r="AF153" s="796">
        <f t="shared" si="183"/>
        <v>100.55111111111114</v>
      </c>
    </row>
    <row r="154" spans="2:32" outlineLevel="1">
      <c r="B154" s="685" t="s">
        <v>614</v>
      </c>
      <c r="N154" s="796"/>
      <c r="O154" s="796">
        <f t="shared" ref="O154:AF154" si="184">O153*AVERAGE(N112,O112)*12/1000</f>
        <v>0</v>
      </c>
      <c r="P154" s="796">
        <f t="shared" si="184"/>
        <v>243.70783255813964</v>
      </c>
      <c r="Q154" s="796">
        <f t="shared" si="184"/>
        <v>601.1781465168541</v>
      </c>
      <c r="R154" s="796">
        <f t="shared" si="184"/>
        <v>712.6142511786669</v>
      </c>
      <c r="S154" s="796">
        <f t="shared" si="184"/>
        <v>660.02714624000032</v>
      </c>
      <c r="T154" s="796">
        <f t="shared" si="184"/>
        <v>557.6402131626669</v>
      </c>
      <c r="U154" s="796">
        <f t="shared" si="184"/>
        <v>417.95830988800026</v>
      </c>
      <c r="V154" s="796">
        <f t="shared" si="184"/>
        <v>278.1296824320001</v>
      </c>
      <c r="W154" s="796">
        <f t="shared" si="184"/>
        <v>169.10734131200005</v>
      </c>
      <c r="X154" s="796">
        <f t="shared" si="184"/>
        <v>89.289386666666687</v>
      </c>
      <c r="Y154" s="796">
        <f t="shared" si="184"/>
        <v>45.85130666666668</v>
      </c>
      <c r="Z154" s="796">
        <f t="shared" si="184"/>
        <v>28.958720000000007</v>
      </c>
      <c r="AA154" s="796">
        <f t="shared" si="184"/>
        <v>23.166976000000009</v>
      </c>
      <c r="AB154" s="796">
        <f t="shared" si="184"/>
        <v>21.236394666666673</v>
      </c>
      <c r="AC154" s="796">
        <f t="shared" si="184"/>
        <v>19.30581333333334</v>
      </c>
      <c r="AD154" s="796">
        <f t="shared" si="184"/>
        <v>17.375232000000008</v>
      </c>
      <c r="AE154" s="796">
        <f t="shared" si="184"/>
        <v>15.444650666666671</v>
      </c>
      <c r="AF154" s="796">
        <f t="shared" si="184"/>
        <v>13.514069333333337</v>
      </c>
    </row>
    <row r="155" spans="2:32" outlineLevel="1">
      <c r="O155" s="789"/>
      <c r="P155" s="789"/>
      <c r="Q155" s="789"/>
      <c r="R155" s="789"/>
      <c r="S155" s="789"/>
      <c r="T155" s="789"/>
      <c r="U155" s="789"/>
      <c r="V155" s="789"/>
      <c r="W155" s="789"/>
      <c r="X155" s="789"/>
      <c r="Y155" s="789"/>
      <c r="Z155" s="789"/>
      <c r="AA155" s="789"/>
      <c r="AB155" s="789"/>
      <c r="AC155" s="789"/>
      <c r="AD155" s="789"/>
      <c r="AE155" s="789"/>
      <c r="AF155" s="789"/>
    </row>
    <row r="156" spans="2:32" outlineLevel="1">
      <c r="B156" s="685" t="s">
        <v>615</v>
      </c>
      <c r="N156" s="796"/>
      <c r="O156" s="796">
        <f t="shared" ref="O156:AA156" si="185">O128-O148-O154</f>
        <v>0</v>
      </c>
      <c r="P156" s="796">
        <f t="shared" si="185"/>
        <v>91.157759999999968</v>
      </c>
      <c r="Q156" s="796">
        <f t="shared" si="185"/>
        <v>274.48416647191004</v>
      </c>
      <c r="R156" s="796">
        <f t="shared" si="185"/>
        <v>344.96778990933319</v>
      </c>
      <c r="S156" s="796">
        <f t="shared" si="185"/>
        <v>319.51101951999988</v>
      </c>
      <c r="T156" s="796">
        <f t="shared" si="185"/>
        <v>269.94676514133346</v>
      </c>
      <c r="U156" s="796">
        <f t="shared" si="185"/>
        <v>202.32847462400014</v>
      </c>
      <c r="V156" s="796">
        <f t="shared" si="185"/>
        <v>134.63915673600007</v>
      </c>
      <c r="W156" s="796">
        <f t="shared" si="185"/>
        <v>81.86278297599992</v>
      </c>
      <c r="X156" s="796">
        <f t="shared" si="185"/>
        <v>43.223893333333322</v>
      </c>
      <c r="Y156" s="796">
        <f t="shared" si="185"/>
        <v>22.196053333333317</v>
      </c>
      <c r="Z156" s="796">
        <f t="shared" si="185"/>
        <v>14.018560000000001</v>
      </c>
      <c r="AA156" s="796">
        <f t="shared" si="185"/>
        <v>11.214848</v>
      </c>
      <c r="AB156" s="796">
        <f>AB128-AB148-AB154</f>
        <v>10.280277333333334</v>
      </c>
      <c r="AC156" s="796">
        <f>AC128-AC148-AC154</f>
        <v>9.3457066666666648</v>
      </c>
      <c r="AD156" s="796">
        <f>AD128-AD148-AD154</f>
        <v>8.4111360000000026</v>
      </c>
      <c r="AE156" s="796">
        <f>AE128-AE148-AE154</f>
        <v>7.4765653333333333</v>
      </c>
      <c r="AF156" s="796">
        <f>AF128-AF148-AF154</f>
        <v>6.5419946666666693</v>
      </c>
    </row>
    <row r="157" spans="2:32" outlineLevel="1">
      <c r="B157" s="685" t="s">
        <v>548</v>
      </c>
      <c r="N157" s="789"/>
      <c r="O157" s="789" t="e">
        <f t="shared" ref="O157:AA157" si="186">O156/O128</f>
        <v>#DIV/0!</v>
      </c>
      <c r="P157" s="789">
        <f t="shared" si="186"/>
        <v>0.15809768637532123</v>
      </c>
      <c r="Q157" s="789">
        <f t="shared" si="186"/>
        <v>0.18647641604806325</v>
      </c>
      <c r="R157" s="789">
        <f t="shared" si="186"/>
        <v>0.1955155669808625</v>
      </c>
      <c r="S157" s="789">
        <f t="shared" si="186"/>
        <v>0.1955155669808625</v>
      </c>
      <c r="T157" s="789">
        <f t="shared" si="186"/>
        <v>0.19551556698086264</v>
      </c>
      <c r="U157" s="789">
        <f t="shared" si="186"/>
        <v>0.19551556698086264</v>
      </c>
      <c r="V157" s="789">
        <f t="shared" si="186"/>
        <v>0.19551556698086264</v>
      </c>
      <c r="W157" s="789">
        <f t="shared" si="186"/>
        <v>0.19551556698086242</v>
      </c>
      <c r="X157" s="789">
        <f t="shared" si="186"/>
        <v>0.19551556698086253</v>
      </c>
      <c r="Y157" s="789">
        <f t="shared" si="186"/>
        <v>0.19551556698086245</v>
      </c>
      <c r="Z157" s="789">
        <f t="shared" si="186"/>
        <v>0.19551556698086259</v>
      </c>
      <c r="AA157" s="789">
        <f t="shared" si="186"/>
        <v>0.19551556698086256</v>
      </c>
      <c r="AB157" s="789">
        <f>AB156/AB128</f>
        <v>0.19551556698086259</v>
      </c>
      <c r="AC157" s="789">
        <f>AC156/AC128</f>
        <v>0.19551556698086256</v>
      </c>
      <c r="AD157" s="789">
        <f>AD156/AD128</f>
        <v>0.19551556698086262</v>
      </c>
      <c r="AE157" s="789">
        <f>AE156/AE128</f>
        <v>0.19551556698086256</v>
      </c>
      <c r="AF157" s="789">
        <f>AF156/AF128</f>
        <v>0.19551556698086267</v>
      </c>
    </row>
    <row r="158" spans="2:32" outlineLevel="1">
      <c r="N158" s="796"/>
      <c r="O158" s="796"/>
      <c r="P158" s="796"/>
      <c r="Q158" s="796"/>
      <c r="R158" s="796"/>
      <c r="S158" s="796"/>
      <c r="T158" s="796"/>
      <c r="U158" s="796"/>
      <c r="V158" s="796"/>
      <c r="W158" s="796"/>
      <c r="X158" s="796"/>
      <c r="Y158" s="796"/>
      <c r="Z158" s="796"/>
      <c r="AA158" s="796"/>
      <c r="AB158" s="796"/>
      <c r="AC158" s="796"/>
      <c r="AD158" s="796"/>
      <c r="AE158" s="796"/>
      <c r="AF158" s="796"/>
    </row>
    <row r="159" spans="2:32" outlineLevel="1">
      <c r="B159" s="685" t="s">
        <v>616</v>
      </c>
      <c r="N159" s="934">
        <v>66</v>
      </c>
      <c r="O159" s="796">
        <f>N159</f>
        <v>66</v>
      </c>
      <c r="P159" s="796">
        <f t="shared" ref="P159:V159" si="187">O159</f>
        <v>66</v>
      </c>
      <c r="Q159" s="796">
        <f t="shared" si="187"/>
        <v>66</v>
      </c>
      <c r="R159" s="796">
        <f t="shared" si="187"/>
        <v>66</v>
      </c>
      <c r="S159" s="796">
        <f t="shared" si="187"/>
        <v>66</v>
      </c>
      <c r="T159" s="796">
        <f t="shared" si="187"/>
        <v>66</v>
      </c>
      <c r="U159" s="796">
        <f t="shared" si="187"/>
        <v>66</v>
      </c>
      <c r="V159" s="796">
        <f t="shared" si="187"/>
        <v>66</v>
      </c>
      <c r="W159" s="796">
        <f t="shared" ref="W159:AF159" si="188">V159</f>
        <v>66</v>
      </c>
      <c r="X159" s="796">
        <f t="shared" si="188"/>
        <v>66</v>
      </c>
      <c r="Y159" s="796">
        <f t="shared" si="188"/>
        <v>66</v>
      </c>
      <c r="Z159" s="796">
        <f t="shared" si="188"/>
        <v>66</v>
      </c>
      <c r="AA159" s="796">
        <f t="shared" si="188"/>
        <v>66</v>
      </c>
      <c r="AB159" s="796">
        <f t="shared" si="188"/>
        <v>66</v>
      </c>
      <c r="AC159" s="796">
        <f t="shared" si="188"/>
        <v>66</v>
      </c>
      <c r="AD159" s="796">
        <f t="shared" si="188"/>
        <v>66</v>
      </c>
      <c r="AE159" s="796">
        <f t="shared" si="188"/>
        <v>66</v>
      </c>
      <c r="AF159" s="796">
        <f t="shared" si="188"/>
        <v>66</v>
      </c>
    </row>
    <row r="160" spans="2:32" outlineLevel="1">
      <c r="B160" s="685" t="s">
        <v>617</v>
      </c>
      <c r="N160" s="809">
        <f t="shared" ref="N160:AA160" si="189">(N122-N159)/N122</f>
        <v>0.78791773778920315</v>
      </c>
      <c r="O160" s="809">
        <f t="shared" si="189"/>
        <v>0.77996465295629824</v>
      </c>
      <c r="P160" s="809">
        <f t="shared" si="189"/>
        <v>0.77201156812339333</v>
      </c>
      <c r="Q160" s="809">
        <f t="shared" si="189"/>
        <v>0.76405848329048842</v>
      </c>
      <c r="R160" s="809">
        <f t="shared" si="189"/>
        <v>0.76140745501285345</v>
      </c>
      <c r="S160" s="809">
        <f t="shared" si="189"/>
        <v>0.76140745501285345</v>
      </c>
      <c r="T160" s="809">
        <f t="shared" si="189"/>
        <v>0.76140745501285345</v>
      </c>
      <c r="U160" s="809">
        <f t="shared" si="189"/>
        <v>0.76140745501285345</v>
      </c>
      <c r="V160" s="809">
        <f t="shared" si="189"/>
        <v>0.76140745501285345</v>
      </c>
      <c r="W160" s="809">
        <f t="shared" si="189"/>
        <v>0.76140745501285345</v>
      </c>
      <c r="X160" s="809">
        <f t="shared" si="189"/>
        <v>0.76140745501285345</v>
      </c>
      <c r="Y160" s="809">
        <f t="shared" si="189"/>
        <v>0.76140745501285345</v>
      </c>
      <c r="Z160" s="809">
        <f t="shared" si="189"/>
        <v>0.76140745501285345</v>
      </c>
      <c r="AA160" s="809">
        <f t="shared" si="189"/>
        <v>0.76140745501285345</v>
      </c>
      <c r="AB160" s="809">
        <f>(AB122-AB159)/AB122</f>
        <v>0.76140745501285345</v>
      </c>
      <c r="AC160" s="809">
        <f>(AC122-AC159)/AC122</f>
        <v>0.76140745501285345</v>
      </c>
      <c r="AD160" s="809">
        <f>(AD122-AD159)/AD122</f>
        <v>0.76140745501285345</v>
      </c>
      <c r="AE160" s="809">
        <f>(AE122-AE159)/AE122</f>
        <v>0.76140745501285345</v>
      </c>
      <c r="AF160" s="809">
        <f>(AF122-AF159)/AF122</f>
        <v>0.76140745501285345</v>
      </c>
    </row>
    <row r="161" spans="2:33" outlineLevel="1">
      <c r="B161" s="685" t="s">
        <v>618</v>
      </c>
      <c r="N161" s="972">
        <f t="shared" ref="N161:AF161" si="190">N159*12*(N114+M114)/2/1000</f>
        <v>0</v>
      </c>
      <c r="O161" s="972">
        <f t="shared" si="190"/>
        <v>0</v>
      </c>
      <c r="P161" s="972">
        <f t="shared" si="190"/>
        <v>0</v>
      </c>
      <c r="Q161" s="972">
        <f t="shared" si="190"/>
        <v>26.37360000000001</v>
      </c>
      <c r="R161" s="972">
        <f t="shared" si="190"/>
        <v>83.969899200000015</v>
      </c>
      <c r="S161" s="972">
        <f t="shared" si="190"/>
        <v>108.30758400000001</v>
      </c>
      <c r="T161" s="972">
        <f t="shared" si="190"/>
        <v>91.506333600000005</v>
      </c>
      <c r="U161" s="972">
        <f t="shared" si="190"/>
        <v>68.585140799999976</v>
      </c>
      <c r="V161" s="972">
        <f t="shared" si="190"/>
        <v>45.639871199999988</v>
      </c>
      <c r="W161" s="972">
        <f t="shared" si="190"/>
        <v>27.749779199999999</v>
      </c>
      <c r="X161" s="972">
        <f t="shared" si="190"/>
        <v>14.651999999999999</v>
      </c>
      <c r="Y161" s="972">
        <f t="shared" si="190"/>
        <v>7.524</v>
      </c>
      <c r="Z161" s="972">
        <f t="shared" si="190"/>
        <v>4.7519999999999998</v>
      </c>
      <c r="AA161" s="972">
        <f t="shared" si="190"/>
        <v>3.8015999999999992</v>
      </c>
      <c r="AB161" s="972">
        <f t="shared" si="190"/>
        <v>3.484799999999999</v>
      </c>
      <c r="AC161" s="972">
        <f t="shared" si="190"/>
        <v>3.1679999999999993</v>
      </c>
      <c r="AD161" s="972">
        <f t="shared" si="190"/>
        <v>2.8511999999999991</v>
      </c>
      <c r="AE161" s="972">
        <f t="shared" si="190"/>
        <v>2.5343999999999998</v>
      </c>
      <c r="AF161" s="972">
        <f t="shared" si="190"/>
        <v>2.2176</v>
      </c>
    </row>
    <row r="162" spans="2:33" outlineLevel="1">
      <c r="B162" s="685" t="s">
        <v>619</v>
      </c>
      <c r="N162" s="934">
        <f>7*20</f>
        <v>140</v>
      </c>
      <c r="O162" s="796">
        <f t="shared" ref="O162:V162" si="191">N162*0.9</f>
        <v>126</v>
      </c>
      <c r="P162" s="796">
        <f t="shared" si="191"/>
        <v>113.4</v>
      </c>
      <c r="Q162" s="796">
        <f t="shared" si="191"/>
        <v>102.06</v>
      </c>
      <c r="R162" s="796">
        <f t="shared" si="191"/>
        <v>91.853999999999999</v>
      </c>
      <c r="S162" s="796">
        <f t="shared" si="191"/>
        <v>82.668599999999998</v>
      </c>
      <c r="T162" s="796">
        <f t="shared" si="191"/>
        <v>74.401740000000004</v>
      </c>
      <c r="U162" s="796">
        <f t="shared" si="191"/>
        <v>66.961566000000005</v>
      </c>
      <c r="V162" s="796">
        <f t="shared" si="191"/>
        <v>60.265409400000003</v>
      </c>
      <c r="W162" s="796">
        <f t="shared" ref="W162:AF162" si="192">V162*0.9</f>
        <v>54.238868460000006</v>
      </c>
      <c r="X162" s="796">
        <f t="shared" si="192"/>
        <v>48.814981614000004</v>
      </c>
      <c r="Y162" s="796">
        <f t="shared" si="192"/>
        <v>43.933483452600008</v>
      </c>
      <c r="Z162" s="796">
        <f t="shared" si="192"/>
        <v>39.540135107340006</v>
      </c>
      <c r="AA162" s="796">
        <f t="shared" si="192"/>
        <v>35.586121596606006</v>
      </c>
      <c r="AB162" s="796">
        <f t="shared" si="192"/>
        <v>32.027509436945408</v>
      </c>
      <c r="AC162" s="796">
        <f t="shared" si="192"/>
        <v>28.824758493250869</v>
      </c>
      <c r="AD162" s="796">
        <f t="shared" si="192"/>
        <v>25.942282643925783</v>
      </c>
      <c r="AE162" s="796">
        <f t="shared" si="192"/>
        <v>23.348054379533206</v>
      </c>
      <c r="AF162" s="796">
        <f t="shared" si="192"/>
        <v>21.013248941579885</v>
      </c>
    </row>
    <row r="163" spans="2:33" outlineLevel="1">
      <c r="B163" s="685" t="s">
        <v>620</v>
      </c>
      <c r="N163" s="972">
        <f t="shared" ref="N163:AF163" si="193">N162*12*(N114+M114)/2/1000</f>
        <v>0</v>
      </c>
      <c r="O163" s="972">
        <f t="shared" si="193"/>
        <v>0</v>
      </c>
      <c r="P163" s="972">
        <f t="shared" si="193"/>
        <v>0</v>
      </c>
      <c r="Q163" s="972">
        <f t="shared" si="193"/>
        <v>40.783176000000012</v>
      </c>
      <c r="R163" s="972">
        <f t="shared" si="193"/>
        <v>116.86319880480002</v>
      </c>
      <c r="S163" s="972">
        <f t="shared" si="193"/>
        <v>135.6611566464</v>
      </c>
      <c r="T163" s="972">
        <f t="shared" si="193"/>
        <v>103.15500667970399</v>
      </c>
      <c r="U163" s="972">
        <f t="shared" si="193"/>
        <v>69.584370186340777</v>
      </c>
      <c r="V163" s="972">
        <f t="shared" si="193"/>
        <v>41.674326103504065</v>
      </c>
      <c r="W163" s="972">
        <f t="shared" si="193"/>
        <v>22.804797330649155</v>
      </c>
      <c r="X163" s="972">
        <f t="shared" si="193"/>
        <v>10.836925918308001</v>
      </c>
      <c r="Y163" s="972">
        <f t="shared" si="193"/>
        <v>5.0084171135964013</v>
      </c>
      <c r="Z163" s="972">
        <f t="shared" si="193"/>
        <v>2.8468897277284806</v>
      </c>
      <c r="AA163" s="972">
        <f t="shared" si="193"/>
        <v>2.0497606039645055</v>
      </c>
      <c r="AB163" s="972">
        <f t="shared" si="193"/>
        <v>1.6910524982707171</v>
      </c>
      <c r="AC163" s="972">
        <f t="shared" si="193"/>
        <v>1.3835884076760414</v>
      </c>
      <c r="AD163" s="972">
        <f t="shared" si="193"/>
        <v>1.1207066102175933</v>
      </c>
      <c r="AE163" s="972">
        <f t="shared" si="193"/>
        <v>0.89656528817407488</v>
      </c>
      <c r="AF163" s="972">
        <f t="shared" si="193"/>
        <v>0.70604516443708409</v>
      </c>
    </row>
    <row r="164" spans="2:33" outlineLevel="1">
      <c r="B164" s="685" t="s">
        <v>621</v>
      </c>
      <c r="N164" s="796"/>
      <c r="O164" s="796"/>
      <c r="P164" s="796"/>
      <c r="Q164" s="796">
        <f t="shared" ref="Q164:AA164" si="194">Q129-Q161-Q163</f>
        <v>32.327640000000031</v>
      </c>
      <c r="R164" s="796">
        <f t="shared" si="194"/>
        <v>115.91153994720003</v>
      </c>
      <c r="S164" s="796">
        <f t="shared" si="194"/>
        <v>164.58059439360005</v>
      </c>
      <c r="T164" s="796">
        <f t="shared" si="194"/>
        <v>150.51164173629604</v>
      </c>
      <c r="U164" s="796">
        <f t="shared" si="194"/>
        <v>120.54195346165915</v>
      </c>
      <c r="V164" s="796">
        <f t="shared" si="194"/>
        <v>84.844928968495907</v>
      </c>
      <c r="W164" s="796">
        <f t="shared" si="194"/>
        <v>54.120954221350857</v>
      </c>
      <c r="X164" s="796">
        <f t="shared" si="194"/>
        <v>29.780194081692006</v>
      </c>
      <c r="Y164" s="796">
        <f t="shared" si="194"/>
        <v>15.849022886403599</v>
      </c>
      <c r="Z164" s="796">
        <f t="shared" si="194"/>
        <v>10.326230272271523</v>
      </c>
      <c r="AA164" s="796">
        <f t="shared" si="194"/>
        <v>8.4887353960354943</v>
      </c>
      <c r="AB164" s="796">
        <f>AB129-AB161-AB163</f>
        <v>7.9692355017292806</v>
      </c>
      <c r="AC164" s="796">
        <f>AC129-AC161-AC163</f>
        <v>7.3984915923239587</v>
      </c>
      <c r="AD164" s="796">
        <f>AD129-AD161-AD163</f>
        <v>6.7831653897824067</v>
      </c>
      <c r="AE164" s="796">
        <f>AE129-AE161-AE163</f>
        <v>6.1290987118259244</v>
      </c>
      <c r="AF164" s="796">
        <f>AF129-AF161-AF163</f>
        <v>5.4414108355629169</v>
      </c>
    </row>
    <row r="165" spans="2:33" outlineLevel="1">
      <c r="B165" s="685" t="s">
        <v>622</v>
      </c>
      <c r="N165" s="789"/>
      <c r="O165" s="789"/>
      <c r="P165" s="789"/>
      <c r="Q165" s="789">
        <f t="shared" ref="Q165:AA165" si="195">Q164/Q129</f>
        <v>0.32495179948586134</v>
      </c>
      <c r="R165" s="789">
        <f t="shared" si="195"/>
        <v>0.36594633676092547</v>
      </c>
      <c r="S165" s="789">
        <f t="shared" si="195"/>
        <v>0.40284142030848336</v>
      </c>
      <c r="T165" s="789">
        <f t="shared" si="195"/>
        <v>0.43604699550128539</v>
      </c>
      <c r="U165" s="789">
        <f t="shared" si="195"/>
        <v>0.46593201317480715</v>
      </c>
      <c r="V165" s="789">
        <f t="shared" si="195"/>
        <v>0.49282852908097691</v>
      </c>
      <c r="W165" s="789">
        <f t="shared" si="195"/>
        <v>0.5170353933965296</v>
      </c>
      <c r="X165" s="789">
        <f t="shared" si="195"/>
        <v>0.53882157128052699</v>
      </c>
      <c r="Y165" s="789">
        <f t="shared" si="195"/>
        <v>0.5584291313761246</v>
      </c>
      <c r="Z165" s="789">
        <f t="shared" si="195"/>
        <v>0.57607593546216262</v>
      </c>
      <c r="AA165" s="789">
        <f t="shared" si="195"/>
        <v>0.59195805913959676</v>
      </c>
      <c r="AB165" s="789">
        <f>AB164/AB129</f>
        <v>0.60625197044928736</v>
      </c>
      <c r="AC165" s="789">
        <f>AC164/AC129</f>
        <v>0.61911649062800911</v>
      </c>
      <c r="AD165" s="789">
        <f>AD164/AD129</f>
        <v>0.63069455878885861</v>
      </c>
      <c r="AE165" s="789">
        <f>AE164/AE129</f>
        <v>0.64111482013362309</v>
      </c>
      <c r="AF165" s="789">
        <f>AF164/AF129</f>
        <v>0.65049305534391122</v>
      </c>
    </row>
    <row r="166" spans="2:33" outlineLevel="1">
      <c r="N166" s="789"/>
      <c r="O166" s="789"/>
      <c r="P166" s="789"/>
      <c r="Q166" s="789"/>
      <c r="R166" s="789"/>
      <c r="S166" s="789"/>
      <c r="T166" s="789"/>
      <c r="U166" s="789"/>
      <c r="V166" s="789"/>
      <c r="W166" s="789"/>
      <c r="X166" s="789"/>
      <c r="Y166" s="789"/>
      <c r="Z166" s="789"/>
      <c r="AA166" s="789"/>
      <c r="AB166" s="789"/>
      <c r="AC166" s="789"/>
      <c r="AD166" s="789"/>
      <c r="AE166" s="789"/>
      <c r="AF166" s="789"/>
    </row>
    <row r="167" spans="2:33" outlineLevel="1">
      <c r="B167" s="817" t="s">
        <v>623</v>
      </c>
      <c r="C167" s="817"/>
      <c r="D167" s="817"/>
      <c r="E167" s="817"/>
      <c r="F167" s="817"/>
      <c r="G167" s="817"/>
      <c r="H167" s="817"/>
      <c r="I167" s="817"/>
      <c r="J167" s="817"/>
      <c r="K167" s="817"/>
      <c r="L167" s="817"/>
      <c r="M167" s="817"/>
      <c r="N167" s="937"/>
      <c r="O167" s="937"/>
      <c r="P167" s="937">
        <f t="shared" ref="P167:U167" si="196">P156+P164</f>
        <v>91.157759999999968</v>
      </c>
      <c r="Q167" s="937">
        <f t="shared" si="196"/>
        <v>306.81180647191007</v>
      </c>
      <c r="R167" s="937">
        <f t="shared" si="196"/>
        <v>460.87932985653322</v>
      </c>
      <c r="S167" s="937">
        <f t="shared" si="196"/>
        <v>484.09161391359993</v>
      </c>
      <c r="T167" s="937">
        <f t="shared" si="196"/>
        <v>420.4584068776295</v>
      </c>
      <c r="U167" s="937">
        <f t="shared" si="196"/>
        <v>322.87042808565928</v>
      </c>
      <c r="V167" s="937">
        <f t="shared" ref="V167:AA167" si="197">V168*V130</f>
        <v>215.19890784</v>
      </c>
      <c r="W167" s="937">
        <f t="shared" si="197"/>
        <v>130.84441344000001</v>
      </c>
      <c r="X167" s="937">
        <f t="shared" si="197"/>
        <v>69.086400000000012</v>
      </c>
      <c r="Y167" s="937">
        <f t="shared" si="197"/>
        <v>35.476800000000004</v>
      </c>
      <c r="Z167" s="937">
        <f t="shared" si="197"/>
        <v>22.406400000000001</v>
      </c>
      <c r="AA167" s="937">
        <f t="shared" si="197"/>
        <v>17.925120000000003</v>
      </c>
      <c r="AB167" s="937">
        <f>AB168*AB130</f>
        <v>16.431360000000002</v>
      </c>
      <c r="AC167" s="937">
        <f>AC168*AC130</f>
        <v>14.937600000000002</v>
      </c>
      <c r="AD167" s="937">
        <f>AD168*AD130</f>
        <v>13.443840000000002</v>
      </c>
      <c r="AE167" s="937">
        <f>AE168*AE130</f>
        <v>11.950080000000002</v>
      </c>
      <c r="AF167" s="937">
        <f>AF168*AF130</f>
        <v>10.456320000000002</v>
      </c>
    </row>
    <row r="168" spans="2:33" outlineLevel="1">
      <c r="B168" s="817" t="s">
        <v>624</v>
      </c>
      <c r="C168" s="817"/>
      <c r="D168" s="817"/>
      <c r="E168" s="817"/>
      <c r="F168" s="817"/>
      <c r="G168" s="817"/>
      <c r="H168" s="817"/>
      <c r="I168" s="817"/>
      <c r="J168" s="817"/>
      <c r="K168" s="817"/>
      <c r="L168" s="817"/>
      <c r="M168" s="817"/>
      <c r="N168" s="928"/>
      <c r="O168" s="928"/>
      <c r="P168" s="928">
        <f t="shared" ref="P168:U168" si="198">P167/P130</f>
        <v>0.15809768637532123</v>
      </c>
      <c r="Q168" s="928">
        <f t="shared" si="198"/>
        <v>0.19524301351665388</v>
      </c>
      <c r="R168" s="928">
        <f t="shared" si="198"/>
        <v>0.2214546656369078</v>
      </c>
      <c r="S168" s="928">
        <f t="shared" si="198"/>
        <v>0.23698073764638666</v>
      </c>
      <c r="T168" s="928">
        <f t="shared" si="198"/>
        <v>0.24362185268494721</v>
      </c>
      <c r="U168" s="928">
        <f t="shared" si="198"/>
        <v>0.24959885621965158</v>
      </c>
      <c r="V168" s="1785">
        <v>0.25</v>
      </c>
      <c r="W168" s="1785">
        <v>0.25</v>
      </c>
      <c r="X168" s="1785">
        <v>0.25</v>
      </c>
      <c r="Y168" s="1785">
        <v>0.25</v>
      </c>
      <c r="Z168" s="1785">
        <v>0.25</v>
      </c>
      <c r="AA168" s="1785">
        <v>0.25</v>
      </c>
      <c r="AB168" s="1785">
        <v>0.25</v>
      </c>
      <c r="AC168" s="1785">
        <v>0.25</v>
      </c>
      <c r="AD168" s="1785">
        <v>0.25</v>
      </c>
      <c r="AE168" s="1785">
        <v>0.25</v>
      </c>
      <c r="AF168" s="1785">
        <v>0.25</v>
      </c>
    </row>
    <row r="169" spans="2:33" outlineLevel="1">
      <c r="B169" s="685" t="s">
        <v>625</v>
      </c>
      <c r="C169" s="817"/>
      <c r="D169" s="817"/>
      <c r="E169" s="817"/>
      <c r="F169" s="817"/>
      <c r="G169" s="817"/>
      <c r="H169" s="817"/>
      <c r="I169" s="817"/>
      <c r="J169" s="817"/>
      <c r="K169" s="817"/>
      <c r="L169" s="817"/>
      <c r="M169" s="817"/>
      <c r="N169" s="789"/>
      <c r="O169" s="789"/>
      <c r="P169" s="789">
        <f t="shared" ref="P169:V169" si="199">P167/P140</f>
        <v>9.9942725578335678E-3</v>
      </c>
      <c r="Q169" s="789">
        <f t="shared" si="199"/>
        <v>3.3583463568807342E-2</v>
      </c>
      <c r="R169" s="789">
        <f t="shared" si="199"/>
        <v>5.4194319260663343E-2</v>
      </c>
      <c r="S169" s="789">
        <f t="shared" si="199"/>
        <v>7.5446807429418367E-2</v>
      </c>
      <c r="T169" s="789">
        <f t="shared" si="199"/>
        <v>7.3360506486657623E-2</v>
      </c>
      <c r="U169" s="789">
        <f>U167/U140</f>
        <v>6.5017411696628585E-2</v>
      </c>
      <c r="V169" s="789">
        <f t="shared" si="199"/>
        <v>5.1817281048261422E-2</v>
      </c>
      <c r="W169" s="789">
        <f t="shared" ref="W169:AF169" si="200">W167/W140</f>
        <v>3.6213499092685716E-2</v>
      </c>
      <c r="X169" s="789">
        <f t="shared" si="200"/>
        <v>2.1484134450703931E-2</v>
      </c>
      <c r="Y169" s="789">
        <f t="shared" si="200"/>
        <v>1.2123509194041421E-2</v>
      </c>
      <c r="Z169" s="789">
        <f t="shared" si="200"/>
        <v>8.3227751904174502E-3</v>
      </c>
      <c r="AA169" s="789">
        <f t="shared" si="200"/>
        <v>7.1593765078859809E-3</v>
      </c>
      <c r="AB169" s="789">
        <f t="shared" si="200"/>
        <v>6.981661488186683E-3</v>
      </c>
      <c r="AC169" s="789">
        <f t="shared" si="200"/>
        <v>6.6810157781690754E-3</v>
      </c>
      <c r="AD169" s="789">
        <f t="shared" si="200"/>
        <v>6.3293833687917559E-3</v>
      </c>
      <c r="AE169" s="789">
        <f t="shared" si="200"/>
        <v>5.9222300526706496E-3</v>
      </c>
      <c r="AF169" s="789">
        <f t="shared" si="200"/>
        <v>5.4546855748282301E-3</v>
      </c>
    </row>
    <row r="170" spans="2:33" outlineLevel="1">
      <c r="B170" s="685" t="s">
        <v>626</v>
      </c>
      <c r="C170" s="817"/>
      <c r="D170" s="817"/>
      <c r="E170" s="817"/>
      <c r="F170" s="817"/>
      <c r="G170" s="817"/>
      <c r="H170" s="817"/>
      <c r="I170" s="817"/>
      <c r="J170" s="817"/>
      <c r="K170" s="817"/>
      <c r="L170" s="817"/>
      <c r="M170" s="817"/>
      <c r="N170" s="789"/>
      <c r="O170" s="789"/>
      <c r="P170" s="789"/>
      <c r="Q170" s="789"/>
      <c r="R170" s="789"/>
      <c r="S170" s="789"/>
      <c r="T170" s="789"/>
      <c r="U170" s="789"/>
      <c r="V170" s="789">
        <f>V167/(Master!X63-'SKY Mex'!V167)</f>
        <v>1.0165180146526573E-2</v>
      </c>
      <c r="W170" s="789">
        <f>W167/(Master!Y63-'SKY Mex'!W167)</f>
        <v>6.0710487002339757E-3</v>
      </c>
      <c r="X170" s="789">
        <f>X167/(Master!Z63-'SKY Mex'!X167)</f>
        <v>3.2630919176560159E-3</v>
      </c>
      <c r="Y170" s="789">
        <f>Y167/(Master!AA63-'SKY Mex'!Y167)</f>
        <v>1.7149277257544359E-3</v>
      </c>
      <c r="Z170" s="789">
        <f>Z167/(Master!AB63-'SKY Mex'!Z167)</f>
        <v>1.0806391633392013E-3</v>
      </c>
      <c r="AA170" s="789">
        <f>AA167/(Master!AC63-'SKY Mex'!AA167)</f>
        <v>8.5009983615060329E-4</v>
      </c>
      <c r="AB170" s="789">
        <f>AB167/(Master!AD63-'SKY Mex'!AB167)</f>
        <v>7.6001955790907713E-4</v>
      </c>
      <c r="AC170" s="789">
        <f>AC167/(Master!AE63-'SKY Mex'!AC167)</f>
        <v>6.7669585546743035E-4</v>
      </c>
      <c r="AD170" s="789">
        <f>AD167/(Master!AF63-'SKY Mex'!AD167)</f>
        <v>5.9771953170352022E-4</v>
      </c>
      <c r="AE170" s="789">
        <f>AE167/(Master!AG63-'SKY Mex'!AE167)</f>
        <v>5.3122238691652359E-4</v>
      </c>
      <c r="AF170" s="789">
        <f>AF167/(Master!AH63-'SKY Mex'!AF167)</f>
        <v>4.595399299063304E-4</v>
      </c>
    </row>
    <row r="171" spans="2:33" outlineLevel="1">
      <c r="N171" s="789"/>
      <c r="O171" s="789"/>
      <c r="P171" s="789"/>
      <c r="Q171" s="789"/>
      <c r="R171" s="789"/>
      <c r="S171" s="789"/>
      <c r="T171" s="789"/>
      <c r="U171" s="789"/>
      <c r="V171" s="814">
        <f>Interims!FA34</f>
        <v>6.0831416189609966E-2</v>
      </c>
      <c r="W171" s="789"/>
      <c r="X171" s="789"/>
      <c r="Y171" s="789"/>
      <c r="Z171" s="789"/>
      <c r="AA171" s="789"/>
      <c r="AB171" s="789"/>
      <c r="AC171" s="789"/>
      <c r="AD171" s="789"/>
      <c r="AE171" s="789"/>
      <c r="AF171" s="789"/>
    </row>
    <row r="172" spans="2:33" outlineLevel="1">
      <c r="B172" s="929" t="s">
        <v>627</v>
      </c>
      <c r="C172" s="929"/>
      <c r="D172" s="929"/>
      <c r="E172" s="929"/>
      <c r="F172" s="929"/>
      <c r="G172" s="929"/>
      <c r="H172" s="929"/>
      <c r="I172" s="929"/>
      <c r="J172" s="929"/>
      <c r="K172" s="929"/>
      <c r="L172" s="929"/>
      <c r="M172" s="929"/>
      <c r="N172" s="971"/>
      <c r="O172" s="1816">
        <f>Master!Q55</f>
        <v>9767</v>
      </c>
      <c r="P172" s="1816">
        <f>Master!R55</f>
        <v>9121</v>
      </c>
      <c r="Q172" s="1816">
        <f>Master!S55</f>
        <v>9135.7999999999993</v>
      </c>
      <c r="R172" s="1816">
        <f>Master!T55</f>
        <v>8504.2000000000007</v>
      </c>
      <c r="S172" s="1816">
        <f>Master!U55</f>
        <v>6416.33</v>
      </c>
      <c r="T172" s="1816">
        <f>Master!V55</f>
        <v>5731.4</v>
      </c>
      <c r="U172" s="1816">
        <f>Master!W55</f>
        <v>4672.3159999999998</v>
      </c>
      <c r="V172" s="971">
        <f>V28</f>
        <v>3781.085</v>
      </c>
      <c r="W172" s="971">
        <f t="shared" ref="W172:AF172" si="201">W28</f>
        <v>2863.7069999999999</v>
      </c>
      <c r="X172" s="971">
        <f t="shared" si="201"/>
        <v>1971.1849849999999</v>
      </c>
      <c r="Y172" s="971">
        <f t="shared" si="201"/>
        <v>952.18257749999998</v>
      </c>
      <c r="Z172" s="971">
        <f t="shared" si="201"/>
        <v>505.32496437500004</v>
      </c>
      <c r="AA172" s="971">
        <f t="shared" si="201"/>
        <v>292.16970667499999</v>
      </c>
      <c r="AB172" s="971">
        <f t="shared" si="201"/>
        <v>261.46432429424999</v>
      </c>
      <c r="AC172" s="971">
        <f t="shared" si="201"/>
        <v>236.13817209790497</v>
      </c>
      <c r="AD172" s="971">
        <f t="shared" si="201"/>
        <v>215.17488539125421</v>
      </c>
      <c r="AE172" s="971">
        <f t="shared" si="201"/>
        <v>0</v>
      </c>
      <c r="AF172" s="971">
        <f t="shared" si="201"/>
        <v>0</v>
      </c>
      <c r="AG172" s="1616"/>
    </row>
    <row r="173" spans="2:33" outlineLevel="1">
      <c r="B173" s="817" t="s">
        <v>628</v>
      </c>
      <c r="C173" s="817"/>
      <c r="D173" s="817"/>
      <c r="E173" s="817"/>
      <c r="F173" s="817"/>
      <c r="G173" s="817"/>
      <c r="H173" s="817"/>
      <c r="I173" s="817"/>
      <c r="J173" s="817"/>
      <c r="K173" s="817"/>
      <c r="L173" s="817"/>
      <c r="M173" s="817"/>
      <c r="N173" s="959"/>
      <c r="O173" s="959">
        <f t="shared" ref="O173:AF173" si="202">O172/O135</f>
        <v>0.44391418961912554</v>
      </c>
      <c r="P173" s="959">
        <f t="shared" si="202"/>
        <v>0.42727315313627207</v>
      </c>
      <c r="Q173" s="959">
        <f t="shared" si="202"/>
        <v>0.41273656295319111</v>
      </c>
      <c r="R173" s="959">
        <f t="shared" si="202"/>
        <v>0.38608773028974064</v>
      </c>
      <c r="S173" s="959">
        <f t="shared" si="202"/>
        <v>0.31546929544225377</v>
      </c>
      <c r="T173" s="959">
        <f t="shared" si="202"/>
        <v>0.3259217978754862</v>
      </c>
      <c r="U173" s="959">
        <f t="shared" si="202"/>
        <v>0.31076882145968987</v>
      </c>
      <c r="V173" s="959">
        <f t="shared" si="202"/>
        <v>0.30499999999999999</v>
      </c>
      <c r="W173" s="959">
        <f t="shared" si="202"/>
        <v>0.27118757340892191</v>
      </c>
      <c r="X173" s="959">
        <f t="shared" si="202"/>
        <v>0.21405382394381658</v>
      </c>
      <c r="Y173" s="959">
        <f t="shared" si="202"/>
        <v>0.11513045201898497</v>
      </c>
      <c r="Z173" s="959">
        <f t="shared" si="202"/>
        <v>6.6772147814588831E-2</v>
      </c>
      <c r="AA173" s="959">
        <f t="shared" si="202"/>
        <v>4.1581138695297476E-2</v>
      </c>
      <c r="AB173" s="959">
        <f t="shared" si="202"/>
        <v>3.9596408832275866E-2</v>
      </c>
      <c r="AC173" s="959">
        <f t="shared" si="202"/>
        <v>3.7659290998820365E-2</v>
      </c>
      <c r="AD173" s="959">
        <f t="shared" si="202"/>
        <v>3.6140302369509762E-2</v>
      </c>
      <c r="AE173" s="959">
        <f t="shared" si="202"/>
        <v>0</v>
      </c>
      <c r="AF173" s="959">
        <f t="shared" si="202"/>
        <v>0</v>
      </c>
    </row>
    <row r="174" spans="2:33" outlineLevel="2">
      <c r="V174" s="1817" cm="1">
        <f t="array" ref="V174">_xll.VAData("TV_US", "FY-"&amp;V1, "EBITDA - Sky Mexico and CA", "Consensus", "CD", "","","")</f>
        <v>4258.30159</v>
      </c>
      <c r="W174" s="1817" cm="1">
        <f t="array" ref="W174">_xll.VAData("TV_US", "FY-"&amp;W1, "EBITDA - Sky Mexico and CA", "Consensus", "CD", "","","")</f>
        <v>3844.2447801183198</v>
      </c>
      <c r="X174" s="1817" cm="1">
        <f t="array" ref="X174">_xll.VAData("TV_US", "FY-"&amp;X1, "EBITDA - Sky Mexico and CA", "Consensus", "CD", "","","")</f>
        <v>3481.8071090347098</v>
      </c>
      <c r="Y174" s="1817" cm="1">
        <f t="array" ref="Y174">_xll.VAData("TV_US", "FY-"&amp;Y1, "EBITDA - Sky Mexico and CA", "Consensus", "CD", "","","")</f>
        <v>3114.99487043711</v>
      </c>
      <c r="Z174" s="1817" cm="1">
        <f t="array" ref="Z174">_xll.VAData("TV_US", "FY-"&amp;Z1, "EBITDA - Sky Mexico and CA", "Consensus", "CD", "","","")</f>
        <v>3090.6656280634802</v>
      </c>
      <c r="AA174" s="1817" cm="1">
        <f t="array" ref="AA174">_xll.VAData("TV_US", "FY-"&amp;AA1, "EBITDA - Sky Mexico and CA", "Consensus", "CD", "","","")</f>
        <v>3147.2247596529701</v>
      </c>
      <c r="AB174" s="1817" cm="1">
        <f t="array" ref="AB174">_xll.VAData("TV_US", "FY-"&amp;AB1, "EBITDA - Sky Mexico and CA", "Consensus", "CD", "","","")</f>
        <v>3205.9708102156901</v>
      </c>
      <c r="AC174" s="1817" t="str" cm="1">
        <f t="array" ref="AC174">_xll.VAData("TV_US", "FY-"&amp;AC1, "EBITDA - Sky Mexico and CA", "Consensus", "CD", "","","")</f>
        <v>-</v>
      </c>
      <c r="AD174" s="1817" t="str" cm="1">
        <f t="array" ref="AD174">_xll.VAData("TV_US", "FY-"&amp;AD1, "EBITDA - Sky Mexico and CA", "Consensus", "CD", "","","")</f>
        <v>-</v>
      </c>
      <c r="AE174" s="1817" t="str" cm="1">
        <f t="array" ref="AE174">_xll.VAData("TV_US", "FY-"&amp;AE1, "EBITDA - Sky Mexico and CA", "Consensus", "CD", "","","")</f>
        <v>-</v>
      </c>
      <c r="AF174" s="1817" t="str" cm="1">
        <f t="array" ref="AF174">_xll.VAData("TV_US", "FY-"&amp;AF1, "EBITDA - Sky Mexico and CA", "Consensus", "CD", "","","")</f>
        <v>-</v>
      </c>
    </row>
    <row r="175" spans="2:33" outlineLevel="2">
      <c r="V175" s="1613">
        <f t="shared" ref="V175:AF175" si="203">V172/V174-1</f>
        <v>-0.1120673535948401</v>
      </c>
      <c r="W175" s="1613">
        <f t="shared" si="203"/>
        <v>-0.25506642688037684</v>
      </c>
      <c r="X175" s="1613">
        <f t="shared" si="203"/>
        <v>-0.433861519816792</v>
      </c>
      <c r="Y175" s="1613">
        <f t="shared" si="203"/>
        <v>-0.69432290674482378</v>
      </c>
      <c r="Z175" s="1613">
        <f t="shared" si="203"/>
        <v>-0.83649963302836428</v>
      </c>
      <c r="AA175" s="1613">
        <f t="shared" si="203"/>
        <v>-0.90716592268191987</v>
      </c>
      <c r="AB175" s="1613">
        <f t="shared" si="203"/>
        <v>-0.9184445711542023</v>
      </c>
      <c r="AC175" s="1613" t="e">
        <f t="shared" si="203"/>
        <v>#VALUE!</v>
      </c>
      <c r="AD175" s="1613" t="e">
        <f t="shared" si="203"/>
        <v>#VALUE!</v>
      </c>
      <c r="AE175" s="1613" t="e">
        <f t="shared" si="203"/>
        <v>#VALUE!</v>
      </c>
      <c r="AF175" s="1613" t="e">
        <f t="shared" si="203"/>
        <v>#VALUE!</v>
      </c>
    </row>
    <row r="176" spans="2:33" outlineLevel="1"/>
    <row r="177" spans="2:33" outlineLevel="1">
      <c r="B177" s="817" t="s">
        <v>629</v>
      </c>
      <c r="C177" s="817"/>
      <c r="D177" s="817"/>
      <c r="E177" s="817"/>
      <c r="F177" s="818">
        <f>Master!H83</f>
        <v>1738.8000000000002</v>
      </c>
      <c r="G177" s="818">
        <f>Master!I83</f>
        <v>5519.31</v>
      </c>
      <c r="H177" s="818">
        <f>Master!J83</f>
        <v>3005.5039999999999</v>
      </c>
      <c r="I177" s="818">
        <f>Master!K83</f>
        <v>3842.7200000000003</v>
      </c>
      <c r="J177" s="818">
        <f>Master!L83</f>
        <v>5074.652</v>
      </c>
      <c r="K177" s="818">
        <f>Master!M83</f>
        <v>5174.9280000000008</v>
      </c>
      <c r="L177" s="818">
        <f>Master!N83</f>
        <v>5738.5919999999996</v>
      </c>
      <c r="M177" s="818">
        <f>Master!O83</f>
        <v>6533.4100000000008</v>
      </c>
      <c r="N177" s="818">
        <f>Master!P83</f>
        <v>3995.4599999999996</v>
      </c>
      <c r="O177" s="935">
        <f>Master!Q83</f>
        <v>4034.7999999999997</v>
      </c>
      <c r="P177" s="935">
        <f>Master!R83</f>
        <v>4025.1749999999997</v>
      </c>
      <c r="Q177" s="935">
        <f>Master!S83</f>
        <v>5374.2960000000003</v>
      </c>
      <c r="R177" s="935">
        <f>Master!T83</f>
        <v>4951.6956950725162</v>
      </c>
      <c r="S177" s="935">
        <f>Master!U83</f>
        <v>3883.241</v>
      </c>
      <c r="T177" s="935">
        <f>Master!V83</f>
        <v>2640.8399999999997</v>
      </c>
      <c r="U177" s="935">
        <f>Master!W83</f>
        <v>1524.39</v>
      </c>
      <c r="V177" s="818">
        <f t="shared" ref="V177:AA177" si="204">V178*V105-132</f>
        <v>1713.7926989824</v>
      </c>
      <c r="W177" s="818">
        <f>W178*W105-132</f>
        <v>1373.4746701075198</v>
      </c>
      <c r="X177" s="818">
        <f t="shared" si="204"/>
        <v>1163.2100411825029</v>
      </c>
      <c r="Y177" s="818">
        <f t="shared" si="204"/>
        <v>1005.9983396320754</v>
      </c>
      <c r="Z177" s="818">
        <f t="shared" si="204"/>
        <v>914.95847246150925</v>
      </c>
      <c r="AA177" s="818">
        <f t="shared" si="204"/>
        <v>841.67137938920359</v>
      </c>
      <c r="AB177" s="818">
        <f>AB178*AB105-132</f>
        <v>783.25109662585135</v>
      </c>
      <c r="AC177" s="818">
        <f>AC178*AC105-132</f>
        <v>737.48854179455873</v>
      </c>
      <c r="AD177" s="818">
        <f>AD178*AD105-132</f>
        <v>694.01411470483072</v>
      </c>
      <c r="AE177" s="818">
        <f>AE178*AE105-132</f>
        <v>652.71340896958907</v>
      </c>
      <c r="AF177" s="818">
        <f>AF178*AF105-132</f>
        <v>613.47773852110959</v>
      </c>
      <c r="AG177" s="1535"/>
    </row>
    <row r="178" spans="2:33" outlineLevel="1">
      <c r="B178" s="817" t="s">
        <v>396</v>
      </c>
      <c r="C178" s="817"/>
      <c r="D178" s="817"/>
      <c r="E178" s="817"/>
      <c r="F178" s="928">
        <f t="shared" ref="F178:U178" si="205">F177/F105</f>
        <v>0.17379136640313442</v>
      </c>
      <c r="G178" s="928">
        <f t="shared" si="205"/>
        <v>0.49068384274817306</v>
      </c>
      <c r="H178" s="928">
        <f t="shared" si="205"/>
        <v>0.24084107955638179</v>
      </c>
      <c r="I178" s="928">
        <f t="shared" si="205"/>
        <v>0.26564906604725763</v>
      </c>
      <c r="J178" s="928">
        <f t="shared" si="205"/>
        <v>0.31522906145369389</v>
      </c>
      <c r="K178" s="928">
        <f t="shared" si="205"/>
        <v>0.2957355201874447</v>
      </c>
      <c r="L178" s="928">
        <f t="shared" si="205"/>
        <v>0.29805448360038433</v>
      </c>
      <c r="M178" s="928">
        <f t="shared" si="205"/>
        <v>0.29776903724500031</v>
      </c>
      <c r="N178" s="928">
        <f t="shared" si="205"/>
        <v>0.18</v>
      </c>
      <c r="O178" s="928">
        <f t="shared" si="205"/>
        <v>0.18338332878829197</v>
      </c>
      <c r="P178" s="928">
        <f t="shared" si="205"/>
        <v>0.1937937317346877</v>
      </c>
      <c r="Q178" s="928">
        <f t="shared" si="205"/>
        <v>0.26135422248870477</v>
      </c>
      <c r="R178" s="928">
        <f t="shared" si="205"/>
        <v>0.24826186026057745</v>
      </c>
      <c r="S178" s="928">
        <f t="shared" si="205"/>
        <v>0.21224241548603767</v>
      </c>
      <c r="T178" s="928">
        <f t="shared" si="205"/>
        <v>0.16651643874266112</v>
      </c>
      <c r="U178" s="928">
        <f t="shared" si="205"/>
        <v>0.11093618891442128</v>
      </c>
      <c r="V178" s="1785">
        <v>0.16</v>
      </c>
      <c r="W178" s="1785">
        <v>0.15</v>
      </c>
      <c r="X178" s="1785">
        <v>0.14499999999999999</v>
      </c>
      <c r="Y178" s="1785">
        <v>0.14000000000000001</v>
      </c>
      <c r="Z178" s="1785">
        <v>0.14000000000000001</v>
      </c>
      <c r="AA178" s="1785">
        <v>0.14000000000000001</v>
      </c>
      <c r="AB178" s="1785">
        <v>0.14000000000000001</v>
      </c>
      <c r="AC178" s="1785">
        <v>0.14000000000000001</v>
      </c>
      <c r="AD178" s="1785">
        <v>0.14000000000000001</v>
      </c>
      <c r="AE178" s="1785">
        <v>0.14000000000000001</v>
      </c>
      <c r="AF178" s="1785">
        <v>0.14000000000000001</v>
      </c>
    </row>
    <row r="179" spans="2:33" outlineLevel="1">
      <c r="F179" s="789"/>
      <c r="G179" s="789"/>
      <c r="H179" s="789"/>
      <c r="I179" s="789"/>
      <c r="J179" s="789"/>
      <c r="K179" s="789"/>
      <c r="L179" s="789"/>
      <c r="M179" s="789"/>
      <c r="N179" s="789"/>
      <c r="O179" s="789"/>
      <c r="P179" s="789"/>
      <c r="Q179" s="789"/>
      <c r="R179" s="789"/>
      <c r="S179" s="789"/>
      <c r="T179" s="789"/>
      <c r="U179" s="789"/>
      <c r="V179" s="789"/>
      <c r="W179" s="789"/>
      <c r="X179" s="789"/>
      <c r="Y179" s="789"/>
      <c r="Z179" s="789"/>
      <c r="AA179" s="789"/>
      <c r="AB179" s="789"/>
      <c r="AC179" s="789"/>
      <c r="AD179" s="789"/>
      <c r="AE179" s="789"/>
      <c r="AF179" s="789"/>
    </row>
    <row r="180" spans="2:33" outlineLevel="1">
      <c r="B180" s="743" t="s">
        <v>630</v>
      </c>
      <c r="C180" s="743"/>
      <c r="D180" s="743"/>
      <c r="E180" s="743"/>
      <c r="F180" s="833"/>
      <c r="G180" s="833"/>
      <c r="H180" s="833"/>
      <c r="I180" s="920">
        <f>450*Valuation!H19</f>
        <v>5922</v>
      </c>
      <c r="J180" s="920">
        <f>70*Valuation!I19</f>
        <v>893.19999999999993</v>
      </c>
      <c r="K180" s="920">
        <f>100*Valuation!J19</f>
        <v>1331</v>
      </c>
      <c r="L180" s="920">
        <f>100*Valuation!K19</f>
        <v>1587</v>
      </c>
      <c r="M180" s="920">
        <v>0</v>
      </c>
      <c r="N180" s="920">
        <v>0</v>
      </c>
      <c r="O180" s="920">
        <v>0</v>
      </c>
      <c r="P180" s="920">
        <v>0</v>
      </c>
      <c r="Q180" s="920">
        <v>0</v>
      </c>
      <c r="R180" s="920">
        <v>0</v>
      </c>
      <c r="S180" s="920">
        <v>0</v>
      </c>
      <c r="T180" s="920">
        <v>0</v>
      </c>
      <c r="U180" s="920">
        <v>0</v>
      </c>
      <c r="V180" s="920">
        <v>0</v>
      </c>
      <c r="W180" s="920">
        <v>0</v>
      </c>
      <c r="X180" s="920">
        <v>0</v>
      </c>
      <c r="Y180" s="920">
        <v>0</v>
      </c>
      <c r="Z180" s="920">
        <v>0</v>
      </c>
      <c r="AA180" s="920">
        <v>0</v>
      </c>
      <c r="AB180" s="920">
        <v>0</v>
      </c>
      <c r="AC180" s="920">
        <v>0</v>
      </c>
      <c r="AD180" s="920">
        <v>0</v>
      </c>
      <c r="AE180" s="920">
        <v>0</v>
      </c>
      <c r="AF180" s="920">
        <v>0</v>
      </c>
    </row>
    <row r="181" spans="2:33" outlineLevel="1">
      <c r="B181" s="685" t="s">
        <v>631</v>
      </c>
      <c r="F181" s="795">
        <f>F177+F180</f>
        <v>1738.8000000000002</v>
      </c>
      <c r="G181" s="795">
        <f t="shared" ref="G181:AF181" si="206">G177+G180</f>
        <v>5519.31</v>
      </c>
      <c r="H181" s="795">
        <f t="shared" si="206"/>
        <v>3005.5039999999999</v>
      </c>
      <c r="I181" s="795">
        <f t="shared" si="206"/>
        <v>9764.7200000000012</v>
      </c>
      <c r="J181" s="795">
        <f t="shared" si="206"/>
        <v>5967.8519999999999</v>
      </c>
      <c r="K181" s="795">
        <f t="shared" si="206"/>
        <v>6505.9280000000008</v>
      </c>
      <c r="L181" s="795">
        <f t="shared" si="206"/>
        <v>7325.5919999999996</v>
      </c>
      <c r="M181" s="795">
        <f t="shared" si="206"/>
        <v>6533.4100000000008</v>
      </c>
      <c r="N181" s="795">
        <f t="shared" si="206"/>
        <v>3995.4599999999996</v>
      </c>
      <c r="O181" s="795">
        <f t="shared" si="206"/>
        <v>4034.7999999999997</v>
      </c>
      <c r="P181" s="795">
        <f t="shared" si="206"/>
        <v>4025.1749999999997</v>
      </c>
      <c r="Q181" s="795">
        <f t="shared" si="206"/>
        <v>5374.2960000000003</v>
      </c>
      <c r="R181" s="795">
        <f t="shared" si="206"/>
        <v>4951.6956950725162</v>
      </c>
      <c r="S181" s="795">
        <f t="shared" si="206"/>
        <v>3883.241</v>
      </c>
      <c r="T181" s="795">
        <f t="shared" si="206"/>
        <v>2640.8399999999997</v>
      </c>
      <c r="U181" s="795">
        <f t="shared" si="206"/>
        <v>1524.39</v>
      </c>
      <c r="V181" s="795">
        <f t="shared" si="206"/>
        <v>1713.7926989824</v>
      </c>
      <c r="W181" s="795">
        <f t="shared" si="206"/>
        <v>1373.4746701075198</v>
      </c>
      <c r="X181" s="795">
        <f t="shared" si="206"/>
        <v>1163.2100411825029</v>
      </c>
      <c r="Y181" s="795">
        <f t="shared" si="206"/>
        <v>1005.9983396320754</v>
      </c>
      <c r="Z181" s="795">
        <f t="shared" si="206"/>
        <v>914.95847246150925</v>
      </c>
      <c r="AA181" s="795">
        <f t="shared" si="206"/>
        <v>841.67137938920359</v>
      </c>
      <c r="AB181" s="795">
        <f t="shared" si="206"/>
        <v>783.25109662585135</v>
      </c>
      <c r="AC181" s="795">
        <f t="shared" si="206"/>
        <v>737.48854179455873</v>
      </c>
      <c r="AD181" s="795">
        <f t="shared" si="206"/>
        <v>694.01411470483072</v>
      </c>
      <c r="AE181" s="795">
        <f t="shared" si="206"/>
        <v>652.71340896958907</v>
      </c>
      <c r="AF181" s="795">
        <f t="shared" si="206"/>
        <v>613.47773852110959</v>
      </c>
    </row>
    <row r="182" spans="2:33" outlineLevel="1"/>
    <row r="183" spans="2:33" outlineLevel="1">
      <c r="B183" s="685" t="s">
        <v>632</v>
      </c>
      <c r="N183" s="934">
        <f>100*20</f>
        <v>2000</v>
      </c>
      <c r="O183" s="796">
        <f>N183</f>
        <v>2000</v>
      </c>
      <c r="P183" s="796">
        <f t="shared" ref="P183:V183" si="207">O183</f>
        <v>2000</v>
      </c>
      <c r="Q183" s="796">
        <f t="shared" si="207"/>
        <v>2000</v>
      </c>
      <c r="R183" s="796">
        <f t="shared" si="207"/>
        <v>2000</v>
      </c>
      <c r="S183" s="796">
        <f t="shared" si="207"/>
        <v>2000</v>
      </c>
      <c r="T183" s="796">
        <f t="shared" si="207"/>
        <v>2000</v>
      </c>
      <c r="U183" s="796">
        <f t="shared" si="207"/>
        <v>2000</v>
      </c>
      <c r="V183" s="796">
        <f t="shared" si="207"/>
        <v>2000</v>
      </c>
      <c r="W183" s="796">
        <f t="shared" ref="W183:AF183" si="208">V183</f>
        <v>2000</v>
      </c>
      <c r="X183" s="796">
        <f t="shared" si="208"/>
        <v>2000</v>
      </c>
      <c r="Y183" s="796">
        <f t="shared" si="208"/>
        <v>2000</v>
      </c>
      <c r="Z183" s="796">
        <f t="shared" si="208"/>
        <v>2000</v>
      </c>
      <c r="AA183" s="796">
        <f t="shared" si="208"/>
        <v>2000</v>
      </c>
      <c r="AB183" s="796">
        <f t="shared" si="208"/>
        <v>2000</v>
      </c>
      <c r="AC183" s="796">
        <f t="shared" si="208"/>
        <v>2000</v>
      </c>
      <c r="AD183" s="796">
        <f t="shared" si="208"/>
        <v>2000</v>
      </c>
      <c r="AE183" s="796">
        <f t="shared" si="208"/>
        <v>2000</v>
      </c>
      <c r="AF183" s="796">
        <f t="shared" si="208"/>
        <v>2000</v>
      </c>
    </row>
    <row r="184" spans="2:33" outlineLevel="1">
      <c r="B184" s="685" t="s">
        <v>633</v>
      </c>
      <c r="N184" s="837">
        <f t="shared" ref="N184:AF184" si="209">+IF(N112-M112&gt;0,N112-M112,0)</f>
        <v>0</v>
      </c>
      <c r="O184" s="837">
        <f t="shared" si="209"/>
        <v>0</v>
      </c>
      <c r="P184" s="837">
        <f t="shared" si="209"/>
        <v>386</v>
      </c>
      <c r="Q184" s="837">
        <f t="shared" si="209"/>
        <v>213.39999999999998</v>
      </c>
      <c r="R184" s="837">
        <f t="shared" si="209"/>
        <v>0</v>
      </c>
      <c r="S184" s="837">
        <f t="shared" si="209"/>
        <v>0</v>
      </c>
      <c r="T184" s="837">
        <f t="shared" si="209"/>
        <v>0</v>
      </c>
      <c r="U184" s="837">
        <f t="shared" si="209"/>
        <v>0</v>
      </c>
      <c r="V184" s="837">
        <f t="shared" si="209"/>
        <v>0</v>
      </c>
      <c r="W184" s="837">
        <f t="shared" si="209"/>
        <v>0</v>
      </c>
      <c r="X184" s="837">
        <f t="shared" si="209"/>
        <v>0</v>
      </c>
      <c r="Y184" s="837">
        <f t="shared" si="209"/>
        <v>0</v>
      </c>
      <c r="Z184" s="837">
        <f t="shared" si="209"/>
        <v>0</v>
      </c>
      <c r="AA184" s="837">
        <f t="shared" si="209"/>
        <v>0</v>
      </c>
      <c r="AB184" s="837">
        <f t="shared" si="209"/>
        <v>0</v>
      </c>
      <c r="AC184" s="837">
        <f t="shared" si="209"/>
        <v>0</v>
      </c>
      <c r="AD184" s="837">
        <f t="shared" si="209"/>
        <v>0</v>
      </c>
      <c r="AE184" s="837">
        <f t="shared" si="209"/>
        <v>0</v>
      </c>
      <c r="AF184" s="837">
        <f t="shared" si="209"/>
        <v>0</v>
      </c>
    </row>
    <row r="185" spans="2:33" outlineLevel="1">
      <c r="B185" s="817" t="s">
        <v>634</v>
      </c>
      <c r="N185" s="973">
        <f>N183*N184/1000</f>
        <v>0</v>
      </c>
      <c r="O185" s="973">
        <f t="shared" ref="O185:V185" si="210">O183*O184/1000</f>
        <v>0</v>
      </c>
      <c r="P185" s="973">
        <f t="shared" si="210"/>
        <v>772</v>
      </c>
      <c r="Q185" s="973">
        <f t="shared" si="210"/>
        <v>426.79999999999995</v>
      </c>
      <c r="R185" s="973">
        <f t="shared" si="210"/>
        <v>0</v>
      </c>
      <c r="S185" s="973">
        <f t="shared" si="210"/>
        <v>0</v>
      </c>
      <c r="T185" s="973">
        <f t="shared" si="210"/>
        <v>0</v>
      </c>
      <c r="U185" s="973">
        <f t="shared" si="210"/>
        <v>0</v>
      </c>
      <c r="V185" s="973">
        <f t="shared" si="210"/>
        <v>0</v>
      </c>
      <c r="W185" s="973">
        <f t="shared" ref="W185:AF185" si="211">W183*W184/1000</f>
        <v>0</v>
      </c>
      <c r="X185" s="973">
        <f t="shared" si="211"/>
        <v>0</v>
      </c>
      <c r="Y185" s="973">
        <f t="shared" si="211"/>
        <v>0</v>
      </c>
      <c r="Z185" s="973">
        <f t="shared" si="211"/>
        <v>0</v>
      </c>
      <c r="AA185" s="973">
        <f t="shared" si="211"/>
        <v>0</v>
      </c>
      <c r="AB185" s="973">
        <f t="shared" si="211"/>
        <v>0</v>
      </c>
      <c r="AC185" s="973">
        <f t="shared" si="211"/>
        <v>0</v>
      </c>
      <c r="AD185" s="973">
        <f t="shared" si="211"/>
        <v>0</v>
      </c>
      <c r="AE185" s="973">
        <f t="shared" si="211"/>
        <v>0</v>
      </c>
      <c r="AF185" s="973">
        <f t="shared" si="211"/>
        <v>0</v>
      </c>
    </row>
    <row r="186" spans="2:33" outlineLevel="1"/>
    <row r="187" spans="2:33" outlineLevel="1">
      <c r="B187" s="685" t="s">
        <v>635</v>
      </c>
      <c r="N187" s="934">
        <f>150*20</f>
        <v>3000</v>
      </c>
      <c r="O187" s="796">
        <f>N187</f>
        <v>3000</v>
      </c>
      <c r="P187" s="796">
        <f t="shared" ref="P187:V187" si="212">O187</f>
        <v>3000</v>
      </c>
      <c r="Q187" s="796">
        <f t="shared" si="212"/>
        <v>3000</v>
      </c>
      <c r="R187" s="796">
        <f t="shared" si="212"/>
        <v>3000</v>
      </c>
      <c r="S187" s="796">
        <f t="shared" si="212"/>
        <v>3000</v>
      </c>
      <c r="T187" s="796">
        <f t="shared" si="212"/>
        <v>3000</v>
      </c>
      <c r="U187" s="796">
        <f t="shared" si="212"/>
        <v>3000</v>
      </c>
      <c r="V187" s="796">
        <f t="shared" si="212"/>
        <v>3000</v>
      </c>
      <c r="W187" s="796">
        <f t="shared" ref="W187:AF187" si="213">V187</f>
        <v>3000</v>
      </c>
      <c r="X187" s="796">
        <f t="shared" si="213"/>
        <v>3000</v>
      </c>
      <c r="Y187" s="796">
        <f t="shared" si="213"/>
        <v>3000</v>
      </c>
      <c r="Z187" s="796">
        <f t="shared" si="213"/>
        <v>3000</v>
      </c>
      <c r="AA187" s="796">
        <f t="shared" si="213"/>
        <v>3000</v>
      </c>
      <c r="AB187" s="796">
        <f t="shared" si="213"/>
        <v>3000</v>
      </c>
      <c r="AC187" s="796">
        <f t="shared" si="213"/>
        <v>3000</v>
      </c>
      <c r="AD187" s="796">
        <f t="shared" si="213"/>
        <v>3000</v>
      </c>
      <c r="AE187" s="796">
        <f t="shared" si="213"/>
        <v>3000</v>
      </c>
      <c r="AF187" s="796">
        <f t="shared" si="213"/>
        <v>3000</v>
      </c>
    </row>
    <row r="188" spans="2:33" outlineLevel="1">
      <c r="B188" s="685" t="s">
        <v>636</v>
      </c>
      <c r="N188" s="974"/>
      <c r="O188" s="975">
        <f t="shared" ref="O188:AA188" si="214">O114-N114</f>
        <v>0</v>
      </c>
      <c r="P188" s="975">
        <f t="shared" si="214"/>
        <v>0</v>
      </c>
      <c r="Q188" s="975">
        <f t="shared" si="214"/>
        <v>66.600000000000023</v>
      </c>
      <c r="R188" s="975">
        <f t="shared" si="214"/>
        <v>78.845199999999977</v>
      </c>
      <c r="S188" s="975">
        <f t="shared" si="214"/>
        <v>-17.386399999999981</v>
      </c>
      <c r="T188" s="975">
        <f t="shared" si="214"/>
        <v>-25.041000000000054</v>
      </c>
      <c r="U188" s="975">
        <f t="shared" si="214"/>
        <v>-32.840800000000002</v>
      </c>
      <c r="V188" s="975">
        <f t="shared" si="214"/>
        <v>-25.101799999999969</v>
      </c>
      <c r="W188" s="975">
        <f t="shared" si="214"/>
        <v>-20.075199999999995</v>
      </c>
      <c r="X188" s="975">
        <f t="shared" si="214"/>
        <v>-13</v>
      </c>
      <c r="Y188" s="975">
        <f t="shared" si="214"/>
        <v>-5</v>
      </c>
      <c r="Z188" s="975">
        <f t="shared" si="214"/>
        <v>-2</v>
      </c>
      <c r="AA188" s="975">
        <f t="shared" si="214"/>
        <v>-0.40000000000000213</v>
      </c>
      <c r="AB188" s="975">
        <f>AB114-AA114</f>
        <v>-0.39999999999999858</v>
      </c>
      <c r="AC188" s="975">
        <f>AC114-AB114</f>
        <v>-0.40000000000000036</v>
      </c>
      <c r="AD188" s="975">
        <f>AD114-AC114</f>
        <v>-0.40000000000000036</v>
      </c>
      <c r="AE188" s="975">
        <f>AE114-AD114</f>
        <v>-0.39999999999999858</v>
      </c>
      <c r="AF188" s="975">
        <f>AF114-AE114</f>
        <v>-0.40000000000000036</v>
      </c>
    </row>
    <row r="189" spans="2:33" outlineLevel="1">
      <c r="B189" s="817" t="s">
        <v>637</v>
      </c>
      <c r="C189" s="817"/>
      <c r="D189" s="817"/>
      <c r="E189" s="817"/>
      <c r="F189" s="817"/>
      <c r="G189" s="817"/>
      <c r="H189" s="817"/>
      <c r="I189" s="817"/>
      <c r="J189" s="817"/>
      <c r="K189" s="817"/>
      <c r="L189" s="817"/>
      <c r="M189" s="817"/>
      <c r="N189" s="976"/>
      <c r="O189" s="973">
        <f t="shared" ref="O189:V189" si="215">O187*O188/1000</f>
        <v>0</v>
      </c>
      <c r="P189" s="973">
        <f t="shared" si="215"/>
        <v>0</v>
      </c>
      <c r="Q189" s="973">
        <f t="shared" si="215"/>
        <v>199.80000000000007</v>
      </c>
      <c r="R189" s="973">
        <f t="shared" si="215"/>
        <v>236.53559999999993</v>
      </c>
      <c r="S189" s="973">
        <f t="shared" si="215"/>
        <v>-52.159199999999942</v>
      </c>
      <c r="T189" s="973">
        <f t="shared" si="215"/>
        <v>-75.123000000000161</v>
      </c>
      <c r="U189" s="973">
        <f t="shared" si="215"/>
        <v>-98.522400000000005</v>
      </c>
      <c r="V189" s="973">
        <f t="shared" si="215"/>
        <v>-75.305399999999906</v>
      </c>
      <c r="W189" s="973">
        <f t="shared" ref="W189:AF189" si="216">W187*W188/1000</f>
        <v>-60.225599999999986</v>
      </c>
      <c r="X189" s="973">
        <f t="shared" si="216"/>
        <v>-39</v>
      </c>
      <c r="Y189" s="973">
        <f t="shared" si="216"/>
        <v>-15</v>
      </c>
      <c r="Z189" s="973">
        <f t="shared" si="216"/>
        <v>-6</v>
      </c>
      <c r="AA189" s="973">
        <f t="shared" si="216"/>
        <v>-1.2000000000000064</v>
      </c>
      <c r="AB189" s="973">
        <f t="shared" si="216"/>
        <v>-1.1999999999999957</v>
      </c>
      <c r="AC189" s="973">
        <f t="shared" si="216"/>
        <v>-1.2000000000000011</v>
      </c>
      <c r="AD189" s="973">
        <f t="shared" si="216"/>
        <v>-1.2000000000000011</v>
      </c>
      <c r="AE189" s="973">
        <f t="shared" si="216"/>
        <v>-1.1999999999999957</v>
      </c>
      <c r="AF189" s="973">
        <f t="shared" si="216"/>
        <v>-1.2000000000000011</v>
      </c>
      <c r="AG189" s="1535"/>
    </row>
    <row r="190" spans="2:33" outlineLevel="1">
      <c r="B190" s="685" t="s">
        <v>638</v>
      </c>
      <c r="N190" s="814"/>
      <c r="O190" s="814" t="e">
        <f t="shared" ref="O190:AA190" si="217">O189/O130</f>
        <v>#DIV/0!</v>
      </c>
      <c r="P190" s="814">
        <f t="shared" si="217"/>
        <v>0</v>
      </c>
      <c r="Q190" s="814">
        <f t="shared" si="217"/>
        <v>0.12714489233385792</v>
      </c>
      <c r="R190" s="814">
        <f t="shared" si="217"/>
        <v>0.11365645802672747</v>
      </c>
      <c r="S190" s="814">
        <f t="shared" si="217"/>
        <v>-2.5533856269717419E-2</v>
      </c>
      <c r="T190" s="814">
        <f t="shared" si="217"/>
        <v>-4.3527740532437111E-2</v>
      </c>
      <c r="U190" s="814">
        <f t="shared" si="217"/>
        <v>-7.6163922777997051E-2</v>
      </c>
      <c r="V190" s="814">
        <f t="shared" si="217"/>
        <v>-8.7483483020263902E-2</v>
      </c>
      <c r="W190" s="814">
        <f t="shared" si="217"/>
        <v>-0.11507101911465449</v>
      </c>
      <c r="X190" s="814">
        <f t="shared" si="217"/>
        <v>-0.14112763148752863</v>
      </c>
      <c r="Y190" s="814">
        <f t="shared" si="217"/>
        <v>-0.10570288188337165</v>
      </c>
      <c r="Z190" s="814">
        <f t="shared" si="217"/>
        <v>-6.694515852613539E-2</v>
      </c>
      <c r="AA190" s="814">
        <f t="shared" si="217"/>
        <v>-1.6736289631533934E-2</v>
      </c>
      <c r="AB190" s="814">
        <f>AB189/AB130</f>
        <v>-1.8257770507127766E-2</v>
      </c>
      <c r="AC190" s="814">
        <f>AC189/AC130</f>
        <v>-2.0083547557840632E-2</v>
      </c>
      <c r="AD190" s="814">
        <f>AD189/AD130</f>
        <v>-2.2315052842045147E-2</v>
      </c>
      <c r="AE190" s="814">
        <f>AE189/AE130</f>
        <v>-2.5104434447300678E-2</v>
      </c>
      <c r="AF190" s="814">
        <f>AF189/AF130</f>
        <v>-2.8690782225486617E-2</v>
      </c>
    </row>
    <row r="191" spans="2:33" outlineLevel="1">
      <c r="N191" s="814"/>
      <c r="O191" s="814"/>
      <c r="P191" s="814"/>
      <c r="Q191" s="814"/>
      <c r="R191" s="814"/>
      <c r="S191" s="814"/>
      <c r="T191" s="814"/>
      <c r="U191" s="814"/>
      <c r="V191" s="814"/>
      <c r="W191" s="814"/>
      <c r="X191" s="814"/>
      <c r="Y191" s="814"/>
      <c r="Z191" s="814"/>
      <c r="AA191" s="814"/>
      <c r="AB191" s="814"/>
      <c r="AC191" s="814"/>
      <c r="AD191" s="814"/>
      <c r="AE191" s="814"/>
      <c r="AF191" s="814"/>
    </row>
    <row r="192" spans="2:33" outlineLevel="1">
      <c r="B192" s="817" t="s">
        <v>639</v>
      </c>
      <c r="N192" s="973"/>
      <c r="O192" s="973">
        <f t="shared" ref="O192:V192" si="218">O185+O189</f>
        <v>0</v>
      </c>
      <c r="P192" s="973">
        <f t="shared" si="218"/>
        <v>772</v>
      </c>
      <c r="Q192" s="973">
        <f t="shared" si="218"/>
        <v>626.6</v>
      </c>
      <c r="R192" s="973">
        <f t="shared" si="218"/>
        <v>236.53559999999993</v>
      </c>
      <c r="S192" s="973">
        <f t="shared" si="218"/>
        <v>-52.159199999999942</v>
      </c>
      <c r="T192" s="973">
        <f t="shared" si="218"/>
        <v>-75.123000000000161</v>
      </c>
      <c r="U192" s="973">
        <f t="shared" si="218"/>
        <v>-98.522400000000005</v>
      </c>
      <c r="V192" s="973">
        <f t="shared" si="218"/>
        <v>-75.305399999999906</v>
      </c>
      <c r="W192" s="973">
        <f t="shared" ref="W192:AF192" si="219">W185+W189</f>
        <v>-60.225599999999986</v>
      </c>
      <c r="X192" s="973">
        <f t="shared" si="219"/>
        <v>-39</v>
      </c>
      <c r="Y192" s="973">
        <f t="shared" si="219"/>
        <v>-15</v>
      </c>
      <c r="Z192" s="973">
        <f t="shared" si="219"/>
        <v>-6</v>
      </c>
      <c r="AA192" s="973">
        <f t="shared" si="219"/>
        <v>-1.2000000000000064</v>
      </c>
      <c r="AB192" s="973">
        <f t="shared" si="219"/>
        <v>-1.1999999999999957</v>
      </c>
      <c r="AC192" s="973">
        <f t="shared" si="219"/>
        <v>-1.2000000000000011</v>
      </c>
      <c r="AD192" s="973">
        <f t="shared" si="219"/>
        <v>-1.2000000000000011</v>
      </c>
      <c r="AE192" s="973">
        <f t="shared" si="219"/>
        <v>-1.1999999999999957</v>
      </c>
      <c r="AF192" s="973">
        <f t="shared" si="219"/>
        <v>-1.2000000000000011</v>
      </c>
    </row>
    <row r="193" spans="2:33" outlineLevel="1">
      <c r="B193" s="685" t="s">
        <v>396</v>
      </c>
      <c r="N193" s="814"/>
      <c r="O193" s="814" t="e">
        <f t="shared" ref="O193:AA193" si="220">O192/O130</f>
        <v>#DIV/0!</v>
      </c>
      <c r="P193" s="814">
        <f t="shared" si="220"/>
        <v>1.3389031705227075</v>
      </c>
      <c r="Q193" s="814">
        <f t="shared" si="220"/>
        <v>0.39874369137335008</v>
      </c>
      <c r="R193" s="814">
        <f t="shared" si="220"/>
        <v>0.11365645802672747</v>
      </c>
      <c r="S193" s="814">
        <f t="shared" si="220"/>
        <v>-2.5533856269717419E-2</v>
      </c>
      <c r="T193" s="814">
        <f t="shared" si="220"/>
        <v>-4.3527740532437111E-2</v>
      </c>
      <c r="U193" s="814">
        <f t="shared" si="220"/>
        <v>-7.6163922777997051E-2</v>
      </c>
      <c r="V193" s="814">
        <f t="shared" si="220"/>
        <v>-8.7483483020263902E-2</v>
      </c>
      <c r="W193" s="814">
        <f t="shared" si="220"/>
        <v>-0.11507101911465449</v>
      </c>
      <c r="X193" s="814">
        <f t="shared" si="220"/>
        <v>-0.14112763148752863</v>
      </c>
      <c r="Y193" s="814">
        <f t="shared" si="220"/>
        <v>-0.10570288188337165</v>
      </c>
      <c r="Z193" s="814">
        <f t="shared" si="220"/>
        <v>-6.694515852613539E-2</v>
      </c>
      <c r="AA193" s="814">
        <f t="shared" si="220"/>
        <v>-1.6736289631533934E-2</v>
      </c>
      <c r="AB193" s="814">
        <f>AB192/AB130</f>
        <v>-1.8257770507127766E-2</v>
      </c>
      <c r="AC193" s="814">
        <f>AC192/AC130</f>
        <v>-2.0083547557840632E-2</v>
      </c>
      <c r="AD193" s="814">
        <f>AD192/AD130</f>
        <v>-2.2315052842045147E-2</v>
      </c>
      <c r="AE193" s="814">
        <f>AE192/AE130</f>
        <v>-2.5104434447300678E-2</v>
      </c>
      <c r="AF193" s="814">
        <f>AF192/AF130</f>
        <v>-2.8690782225486617E-2</v>
      </c>
    </row>
    <row r="194" spans="2:33" outlineLevel="1">
      <c r="N194" s="814"/>
      <c r="O194" s="814"/>
      <c r="P194" s="814"/>
      <c r="Q194" s="814"/>
      <c r="R194" s="814"/>
      <c r="S194" s="814"/>
      <c r="T194" s="814"/>
      <c r="U194" s="814"/>
      <c r="V194" s="814"/>
      <c r="W194" s="814"/>
      <c r="X194" s="814"/>
      <c r="Y194" s="814"/>
      <c r="Z194" s="814"/>
      <c r="AA194" s="814"/>
      <c r="AB194" s="814"/>
      <c r="AC194" s="814"/>
      <c r="AD194" s="814"/>
      <c r="AE194" s="814"/>
      <c r="AF194" s="814"/>
    </row>
    <row r="195" spans="2:33" outlineLevel="1">
      <c r="B195" s="817" t="s">
        <v>640</v>
      </c>
      <c r="C195" s="817"/>
      <c r="D195" s="817"/>
      <c r="E195" s="817"/>
      <c r="F195" s="817"/>
      <c r="G195" s="817"/>
      <c r="H195" s="817"/>
      <c r="I195" s="817"/>
      <c r="J195" s="817"/>
      <c r="K195" s="817"/>
      <c r="L195" s="817"/>
      <c r="M195" s="817"/>
      <c r="N195" s="973"/>
      <c r="O195" s="973">
        <f t="shared" ref="O195:V195" si="221">O167-O185-O189</f>
        <v>0</v>
      </c>
      <c r="P195" s="973">
        <f t="shared" si="221"/>
        <v>-680.84224000000006</v>
      </c>
      <c r="Q195" s="973">
        <f t="shared" si="221"/>
        <v>-319.78819352808995</v>
      </c>
      <c r="R195" s="973">
        <f t="shared" si="221"/>
        <v>224.34372985653329</v>
      </c>
      <c r="S195" s="973">
        <f t="shared" si="221"/>
        <v>536.25081391359981</v>
      </c>
      <c r="T195" s="973">
        <f t="shared" si="221"/>
        <v>495.58140687762966</v>
      </c>
      <c r="U195" s="973">
        <f t="shared" si="221"/>
        <v>421.39282808565929</v>
      </c>
      <c r="V195" s="973">
        <f t="shared" si="221"/>
        <v>290.50430783999991</v>
      </c>
      <c r="W195" s="973">
        <f t="shared" ref="W195:AF195" si="222">W167-W185-W189</f>
        <v>191.07001344</v>
      </c>
      <c r="X195" s="973">
        <f t="shared" si="222"/>
        <v>108.08640000000001</v>
      </c>
      <c r="Y195" s="973">
        <f t="shared" si="222"/>
        <v>50.476800000000004</v>
      </c>
      <c r="Z195" s="973">
        <f t="shared" si="222"/>
        <v>28.406400000000001</v>
      </c>
      <c r="AA195" s="973">
        <f t="shared" si="222"/>
        <v>19.12512000000001</v>
      </c>
      <c r="AB195" s="973">
        <f t="shared" si="222"/>
        <v>17.631359999999997</v>
      </c>
      <c r="AC195" s="973">
        <f t="shared" si="222"/>
        <v>16.137600000000003</v>
      </c>
      <c r="AD195" s="973">
        <f t="shared" si="222"/>
        <v>14.643840000000003</v>
      </c>
      <c r="AE195" s="973">
        <f t="shared" si="222"/>
        <v>13.150079999999997</v>
      </c>
      <c r="AF195" s="973">
        <f t="shared" si="222"/>
        <v>11.656320000000003</v>
      </c>
    </row>
    <row r="196" spans="2:33" outlineLevel="1"/>
    <row r="197" spans="2:33" outlineLevel="1">
      <c r="B197" s="929" t="s">
        <v>641</v>
      </c>
      <c r="C197" s="929"/>
      <c r="D197" s="929"/>
      <c r="E197" s="929"/>
      <c r="F197" s="971">
        <f t="shared" ref="F197:M197" si="223">F181+F189</f>
        <v>1738.8000000000002</v>
      </c>
      <c r="G197" s="971">
        <f t="shared" si="223"/>
        <v>5519.31</v>
      </c>
      <c r="H197" s="971">
        <f t="shared" si="223"/>
        <v>3005.5039999999999</v>
      </c>
      <c r="I197" s="971">
        <f t="shared" si="223"/>
        <v>9764.7200000000012</v>
      </c>
      <c r="J197" s="971">
        <f t="shared" si="223"/>
        <v>5967.8519999999999</v>
      </c>
      <c r="K197" s="971">
        <f t="shared" si="223"/>
        <v>6505.9280000000008</v>
      </c>
      <c r="L197" s="971">
        <f t="shared" si="223"/>
        <v>7325.5919999999996</v>
      </c>
      <c r="M197" s="971">
        <f t="shared" si="223"/>
        <v>6533.4100000000008</v>
      </c>
      <c r="N197" s="971">
        <f>N181+N185+N189</f>
        <v>3995.4599999999996</v>
      </c>
      <c r="O197" s="971">
        <f>Master!Q83</f>
        <v>4034.7999999999997</v>
      </c>
      <c r="P197" s="971">
        <f>P181+P185+P189</f>
        <v>4797.1749999999993</v>
      </c>
      <c r="Q197" s="971">
        <f t="shared" ref="Q197:V197" si="224">Q181+Q185+Q189</f>
        <v>6000.8960000000006</v>
      </c>
      <c r="R197" s="971">
        <f t="shared" si="224"/>
        <v>5188.2312950725163</v>
      </c>
      <c r="S197" s="971">
        <f t="shared" si="224"/>
        <v>3831.0817999999999</v>
      </c>
      <c r="T197" s="971">
        <f>T181+T185+T189</f>
        <v>2565.7169999999996</v>
      </c>
      <c r="U197" s="971">
        <f t="shared" si="224"/>
        <v>1425.8676</v>
      </c>
      <c r="V197" s="971">
        <f t="shared" si="224"/>
        <v>1638.4872989824</v>
      </c>
      <c r="W197" s="971">
        <f t="shared" ref="W197:AF197" si="225">W181+W185+W189</f>
        <v>1313.2490701075199</v>
      </c>
      <c r="X197" s="971">
        <f t="shared" si="225"/>
        <v>1124.2100411825029</v>
      </c>
      <c r="Y197" s="971">
        <f t="shared" si="225"/>
        <v>990.99833963207539</v>
      </c>
      <c r="Z197" s="971">
        <f t="shared" si="225"/>
        <v>908.95847246150925</v>
      </c>
      <c r="AA197" s="971">
        <f t="shared" si="225"/>
        <v>840.47137938920355</v>
      </c>
      <c r="AB197" s="971">
        <f t="shared" si="225"/>
        <v>782.0510966258513</v>
      </c>
      <c r="AC197" s="971">
        <f t="shared" si="225"/>
        <v>736.28854179455868</v>
      </c>
      <c r="AD197" s="971">
        <f t="shared" si="225"/>
        <v>692.81411470483067</v>
      </c>
      <c r="AE197" s="971">
        <f t="shared" si="225"/>
        <v>651.51340896958902</v>
      </c>
      <c r="AF197" s="971">
        <f t="shared" si="225"/>
        <v>612.27773852110954</v>
      </c>
      <c r="AG197" s="1535"/>
    </row>
    <row r="198" spans="2:33" outlineLevel="1">
      <c r="B198" s="685" t="s">
        <v>642</v>
      </c>
      <c r="C198" s="817"/>
      <c r="D198" s="817"/>
      <c r="E198" s="817"/>
      <c r="F198" s="928"/>
      <c r="G198" s="928"/>
      <c r="H198" s="928"/>
      <c r="I198" s="789">
        <f t="shared" ref="I198:V198" si="226">I189/I181</f>
        <v>0</v>
      </c>
      <c r="J198" s="789">
        <f t="shared" si="226"/>
        <v>0</v>
      </c>
      <c r="K198" s="789">
        <f t="shared" si="226"/>
        <v>0</v>
      </c>
      <c r="L198" s="789">
        <f t="shared" si="226"/>
        <v>0</v>
      </c>
      <c r="M198" s="789">
        <f t="shared" si="226"/>
        <v>0</v>
      </c>
      <c r="N198" s="789">
        <f t="shared" si="226"/>
        <v>0</v>
      </c>
      <c r="O198" s="789">
        <f t="shared" si="226"/>
        <v>0</v>
      </c>
      <c r="P198" s="789">
        <f>P189/P181</f>
        <v>0</v>
      </c>
      <c r="Q198" s="789">
        <f t="shared" si="226"/>
        <v>3.7176962340741943E-2</v>
      </c>
      <c r="R198" s="789">
        <f t="shared" si="226"/>
        <v>4.7768605860691107E-2</v>
      </c>
      <c r="S198" s="789">
        <f t="shared" si="226"/>
        <v>-1.3431873015349791E-2</v>
      </c>
      <c r="T198" s="789">
        <f t="shared" si="226"/>
        <v>-2.844663061753085E-2</v>
      </c>
      <c r="U198" s="789">
        <f t="shared" si="226"/>
        <v>-6.4630704740912759E-2</v>
      </c>
      <c r="V198" s="789">
        <f t="shared" si="226"/>
        <v>-4.3940787030259873E-2</v>
      </c>
      <c r="W198" s="789">
        <f t="shared" ref="W198:AF198" si="227">W189/W181</f>
        <v>-4.3849079499431426E-2</v>
      </c>
      <c r="X198" s="789">
        <f t="shared" si="227"/>
        <v>-3.3527908648684934E-2</v>
      </c>
      <c r="Y198" s="789">
        <f t="shared" si="227"/>
        <v>-1.4910561388685753E-2</v>
      </c>
      <c r="Z198" s="789">
        <f t="shared" si="227"/>
        <v>-6.5576746711336776E-3</v>
      </c>
      <c r="AA198" s="789">
        <f t="shared" si="227"/>
        <v>-1.4257345911783766E-3</v>
      </c>
      <c r="AB198" s="789">
        <f t="shared" si="227"/>
        <v>-1.5320757355711942E-3</v>
      </c>
      <c r="AC198" s="789">
        <f t="shared" si="227"/>
        <v>-1.6271439242703293E-3</v>
      </c>
      <c r="AD198" s="789">
        <f t="shared" si="227"/>
        <v>-1.7290714620557391E-3</v>
      </c>
      <c r="AE198" s="789">
        <f t="shared" si="227"/>
        <v>-1.8384791602403033E-3</v>
      </c>
      <c r="AF198" s="789">
        <f t="shared" si="227"/>
        <v>-1.9560611977425639E-3</v>
      </c>
    </row>
    <row r="199" spans="2:33" outlineLevel="1"/>
    <row r="200" spans="2:33" outlineLevel="1">
      <c r="B200" s="685" t="s">
        <v>643</v>
      </c>
      <c r="F200" s="795">
        <f t="shared" ref="F200:V200" si="228">F140-F181</f>
        <v>2740.2</v>
      </c>
      <c r="G200" s="795">
        <f t="shared" si="228"/>
        <v>-444.3100000000004</v>
      </c>
      <c r="H200" s="795">
        <f t="shared" si="228"/>
        <v>2784.2960000000003</v>
      </c>
      <c r="I200" s="795">
        <f t="shared" si="228"/>
        <v>-3206.7200000000012</v>
      </c>
      <c r="J200" s="795">
        <f t="shared" si="228"/>
        <v>1372.6480000000001</v>
      </c>
      <c r="K200" s="795">
        <f t="shared" si="228"/>
        <v>1705.3719999999985</v>
      </c>
      <c r="L200" s="795">
        <f t="shared" si="228"/>
        <v>1646.7079999999996</v>
      </c>
      <c r="M200" s="795">
        <f t="shared" si="228"/>
        <v>3365.0899999999992</v>
      </c>
      <c r="N200" s="795">
        <f t="shared" si="228"/>
        <v>6111.5400000000009</v>
      </c>
      <c r="O200" s="795">
        <f t="shared" si="228"/>
        <v>5732.2000000000007</v>
      </c>
      <c r="P200" s="795">
        <f>P140-P181</f>
        <v>5095.8250000000007</v>
      </c>
      <c r="Q200" s="795">
        <f t="shared" si="228"/>
        <v>3761.503999999999</v>
      </c>
      <c r="R200" s="795">
        <f t="shared" si="228"/>
        <v>3552.5043049274846</v>
      </c>
      <c r="S200" s="795">
        <f t="shared" si="228"/>
        <v>2533.0889999999999</v>
      </c>
      <c r="T200" s="795">
        <f t="shared" si="228"/>
        <v>3090.56</v>
      </c>
      <c r="U200" s="795">
        <f>U140-U181</f>
        <v>3441.5171264198207</v>
      </c>
      <c r="V200" s="795">
        <f t="shared" si="228"/>
        <v>2439.2408737279993</v>
      </c>
      <c r="W200" s="795">
        <f t="shared" ref="W200:AF200" si="229">W140-W181</f>
        <v>2239.6645381505277</v>
      </c>
      <c r="X200" s="795">
        <f t="shared" si="229"/>
        <v>2052.4838541671597</v>
      </c>
      <c r="Y200" s="795">
        <f t="shared" si="229"/>
        <v>1920.2831051361177</v>
      </c>
      <c r="Z200" s="795">
        <f t="shared" si="229"/>
        <v>1777.2204567252288</v>
      </c>
      <c r="AA200" s="795">
        <f t="shared" si="229"/>
        <v>1662.0550247544625</v>
      </c>
      <c r="AB200" s="795">
        <f t="shared" si="229"/>
        <v>1570.2517232691944</v>
      </c>
      <c r="AC200" s="795">
        <f t="shared" si="229"/>
        <v>1498.3391371057346</v>
      </c>
      <c r="AD200" s="795">
        <f t="shared" si="229"/>
        <v>1430.0221802504479</v>
      </c>
      <c r="AE200" s="795">
        <f t="shared" si="229"/>
        <v>1365.1210712379252</v>
      </c>
      <c r="AF200" s="795">
        <f t="shared" si="229"/>
        <v>1303.4650176760292</v>
      </c>
    </row>
    <row r="201" spans="2:33" outlineLevel="1">
      <c r="B201" s="685" t="s">
        <v>644</v>
      </c>
      <c r="F201" s="795"/>
      <c r="G201" s="795"/>
      <c r="H201" s="795"/>
      <c r="I201" s="795"/>
      <c r="J201" s="795"/>
      <c r="K201" s="795"/>
      <c r="L201" s="795"/>
      <c r="M201" s="795"/>
      <c r="N201" s="789">
        <f>N195/N200</f>
        <v>0</v>
      </c>
      <c r="O201" s="789">
        <f t="shared" ref="O201:V201" si="230">O195/O200</f>
        <v>0</v>
      </c>
      <c r="P201" s="789">
        <f>P195/P200</f>
        <v>-0.1336078534879043</v>
      </c>
      <c r="Q201" s="789">
        <f t="shared" si="230"/>
        <v>-8.5016045052215827E-2</v>
      </c>
      <c r="R201" s="789">
        <f t="shared" si="230"/>
        <v>6.315086783860005E-2</v>
      </c>
      <c r="S201" s="789">
        <f t="shared" si="230"/>
        <v>0.211698370611376</v>
      </c>
      <c r="T201" s="789">
        <f t="shared" si="230"/>
        <v>0.16035327153578305</v>
      </c>
      <c r="U201" s="789">
        <f>U195/U200</f>
        <v>0.12244391429893317</v>
      </c>
      <c r="V201" s="789">
        <f t="shared" si="230"/>
        <v>0.11909619544707341</v>
      </c>
      <c r="W201" s="789">
        <f t="shared" ref="W201:AF201" si="231">W195/W200</f>
        <v>8.5311889430451038E-2</v>
      </c>
      <c r="X201" s="789">
        <f t="shared" si="231"/>
        <v>5.2661266874549147E-2</v>
      </c>
      <c r="Y201" s="789">
        <f t="shared" si="231"/>
        <v>2.6286124095447894E-2</v>
      </c>
      <c r="Z201" s="789">
        <f t="shared" si="231"/>
        <v>1.598361075155677E-2</v>
      </c>
      <c r="AA201" s="789">
        <f t="shared" si="231"/>
        <v>1.150691145308224E-2</v>
      </c>
      <c r="AB201" s="789">
        <f t="shared" si="231"/>
        <v>1.1228365324313918E-2</v>
      </c>
      <c r="AC201" s="789">
        <f t="shared" si="231"/>
        <v>1.0770325355828442E-2</v>
      </c>
      <c r="AD201" s="789">
        <f t="shared" si="231"/>
        <v>1.024028871876333E-2</v>
      </c>
      <c r="AE201" s="789">
        <f t="shared" si="231"/>
        <v>9.6329038332659996E-3</v>
      </c>
      <c r="AF201" s="789">
        <f t="shared" si="231"/>
        <v>8.942564504555911E-3</v>
      </c>
    </row>
    <row r="202" spans="2:33" outlineLevel="1">
      <c r="B202" s="685" t="s">
        <v>645</v>
      </c>
      <c r="F202" s="795"/>
      <c r="G202" s="795"/>
      <c r="H202" s="795"/>
      <c r="I202" s="795"/>
      <c r="J202" s="795"/>
      <c r="K202" s="795"/>
      <c r="L202" s="795"/>
      <c r="M202" s="795"/>
      <c r="N202" s="789"/>
      <c r="O202" s="789"/>
      <c r="P202" s="789"/>
      <c r="Q202" s="789"/>
      <c r="R202" s="789"/>
      <c r="S202" s="789"/>
      <c r="T202" s="789"/>
      <c r="U202" s="789"/>
      <c r="V202" s="789">
        <f>V195/Master!X117</f>
        <v>3.1580674418402385E-2</v>
      </c>
      <c r="W202" s="789">
        <f>W195/Master!Y117</f>
        <v>2.5803427506992861E-2</v>
      </c>
      <c r="X202" s="789">
        <f>X195/Master!Z117</f>
        <v>1.0731459958778248E-2</v>
      </c>
      <c r="Y202" s="789">
        <f>Y195/Master!AA117</f>
        <v>4.8411533162479635E-3</v>
      </c>
      <c r="Z202" s="789">
        <f>Z195/Master!AB117</f>
        <v>2.6425933274292677E-3</v>
      </c>
      <c r="AA202" s="789">
        <f>AA195/Master!AC117</f>
        <v>1.6983763606356697E-3</v>
      </c>
      <c r="AB202" s="789">
        <f>AB195/Master!AD117</f>
        <v>1.4829367969666273E-3</v>
      </c>
      <c r="AC202" s="789">
        <f>AC195/Master!AE117</f>
        <v>1.3043687540317747E-3</v>
      </c>
      <c r="AD202" s="789">
        <f>AD195/Master!AF117</f>
        <v>1.1389861944867611E-3</v>
      </c>
      <c r="AE202" s="789">
        <f>AE195/Master!AG117</f>
        <v>1.0137560141942983E-3</v>
      </c>
      <c r="AF202" s="789">
        <f>AF195/Master!AH117</f>
        <v>8.8465273156067596E-4</v>
      </c>
    </row>
    <row r="203" spans="2:33" outlineLevel="1">
      <c r="F203" s="795"/>
      <c r="G203" s="795"/>
      <c r="H203" s="795"/>
      <c r="I203" s="795"/>
      <c r="J203" s="795"/>
      <c r="K203" s="795"/>
      <c r="L203" s="795"/>
      <c r="M203" s="795"/>
      <c r="N203" s="795"/>
      <c r="O203" s="795"/>
      <c r="P203" s="795"/>
      <c r="Q203" s="795"/>
      <c r="R203" s="795"/>
      <c r="S203" s="795"/>
      <c r="T203" s="795"/>
      <c r="U203" s="795"/>
      <c r="V203" s="795"/>
      <c r="W203" s="795"/>
      <c r="X203" s="795"/>
      <c r="Y203" s="795"/>
      <c r="Z203" s="795"/>
      <c r="AA203" s="795"/>
      <c r="AB203" s="795"/>
      <c r="AC203" s="795"/>
      <c r="AD203" s="795"/>
      <c r="AE203" s="795"/>
      <c r="AF203" s="795"/>
    </row>
    <row r="204" spans="2:33" outlineLevel="1">
      <c r="B204" s="929" t="s">
        <v>646</v>
      </c>
      <c r="C204" s="977"/>
      <c r="D204" s="977"/>
      <c r="E204" s="977"/>
      <c r="F204" s="978"/>
      <c r="G204" s="978"/>
      <c r="H204" s="978"/>
      <c r="I204" s="978"/>
      <c r="J204" s="978"/>
      <c r="K204" s="978"/>
      <c r="L204" s="978"/>
      <c r="M204" s="978"/>
      <c r="N204" s="971">
        <f t="shared" ref="N204:V204" si="232">N172-N197</f>
        <v>-3995.4599999999996</v>
      </c>
      <c r="O204" s="971">
        <f t="shared" si="232"/>
        <v>5732.2000000000007</v>
      </c>
      <c r="P204" s="971">
        <f>P172-P197</f>
        <v>4323.8250000000007</v>
      </c>
      <c r="Q204" s="971">
        <f t="shared" si="232"/>
        <v>3134.9039999999986</v>
      </c>
      <c r="R204" s="971">
        <f t="shared" si="232"/>
        <v>3315.9687049274844</v>
      </c>
      <c r="S204" s="971">
        <f t="shared" si="232"/>
        <v>2585.2482</v>
      </c>
      <c r="T204" s="971">
        <f t="shared" si="232"/>
        <v>3165.683</v>
      </c>
      <c r="U204" s="971">
        <f t="shared" si="232"/>
        <v>3246.4483999999998</v>
      </c>
      <c r="V204" s="971">
        <f t="shared" si="232"/>
        <v>2142.5977010176002</v>
      </c>
      <c r="W204" s="971">
        <f t="shared" ref="W204:AF204" si="233">W172-W197</f>
        <v>1550.45792989248</v>
      </c>
      <c r="X204" s="971">
        <f t="shared" si="233"/>
        <v>846.97494381749698</v>
      </c>
      <c r="Y204" s="971">
        <f t="shared" si="233"/>
        <v>-38.815762132075406</v>
      </c>
      <c r="Z204" s="971">
        <f t="shared" si="233"/>
        <v>-403.63350808650921</v>
      </c>
      <c r="AA204" s="971">
        <f t="shared" si="233"/>
        <v>-548.30167271420351</v>
      </c>
      <c r="AB204" s="971">
        <f t="shared" si="233"/>
        <v>-520.58677233160131</v>
      </c>
      <c r="AC204" s="971">
        <f t="shared" si="233"/>
        <v>-500.15036969665368</v>
      </c>
      <c r="AD204" s="971">
        <f t="shared" si="233"/>
        <v>-477.63922931357649</v>
      </c>
      <c r="AE204" s="971">
        <f t="shared" si="233"/>
        <v>-651.51340896958902</v>
      </c>
      <c r="AF204" s="971">
        <f t="shared" si="233"/>
        <v>-612.27773852110954</v>
      </c>
    </row>
    <row r="205" spans="2:33" outlineLevel="1"/>
    <row r="206" spans="2:33" outlineLevel="1">
      <c r="B206" s="685" t="s">
        <v>271</v>
      </c>
      <c r="F206" s="837">
        <f>F208-F207</f>
        <v>3200</v>
      </c>
      <c r="G206" s="837">
        <f>G208-G207</f>
        <v>3200</v>
      </c>
      <c r="H206" s="837">
        <f>H208-H207</f>
        <v>3200</v>
      </c>
      <c r="I206" s="837">
        <f>I208-I207</f>
        <v>3200</v>
      </c>
      <c r="J206" s="837">
        <f t="shared" ref="J206:O206" si="234">J208-J207</f>
        <v>3200</v>
      </c>
      <c r="K206" s="837">
        <f t="shared" si="234"/>
        <v>3200</v>
      </c>
      <c r="L206" s="837">
        <f t="shared" si="234"/>
        <v>3200</v>
      </c>
      <c r="M206" s="837">
        <f t="shared" si="234"/>
        <v>3200</v>
      </c>
      <c r="N206" s="837">
        <f t="shared" si="234"/>
        <v>3200</v>
      </c>
      <c r="O206" s="837">
        <f t="shared" si="234"/>
        <v>3200</v>
      </c>
      <c r="P206" s="837">
        <f t="shared" ref="P206:AA206" si="235">P208-P207</f>
        <v>2505.30845</v>
      </c>
      <c r="Q206" s="837">
        <f t="shared" si="235"/>
        <v>2021.5728900000001</v>
      </c>
      <c r="R206" s="837">
        <f t="shared" si="235"/>
        <v>1567.0972873101525</v>
      </c>
      <c r="S206" s="837">
        <f t="shared" si="235"/>
        <v>1255.3398273101529</v>
      </c>
      <c r="T206" s="837">
        <f t="shared" si="235"/>
        <v>865.53642731015316</v>
      </c>
      <c r="U206" s="837">
        <f t="shared" si="235"/>
        <v>426.59902961137823</v>
      </c>
      <c r="V206" s="837">
        <f t="shared" si="235"/>
        <v>127.98030728945832</v>
      </c>
      <c r="W206" s="837">
        <f t="shared" si="235"/>
        <v>-142.69772805161574</v>
      </c>
      <c r="X206" s="837">
        <f t="shared" si="235"/>
        <v>-387.17046763501821</v>
      </c>
      <c r="Y206" s="837">
        <f t="shared" si="235"/>
        <v>-613.13510235407466</v>
      </c>
      <c r="Z206" s="837">
        <f t="shared" si="235"/>
        <v>-819.07096629560692</v>
      </c>
      <c r="AA206" s="837">
        <f t="shared" si="235"/>
        <v>-1008.8836697612314</v>
      </c>
      <c r="AB206" s="837">
        <f>AB208-AB207</f>
        <v>-1185.8439110189183</v>
      </c>
      <c r="AC206" s="837">
        <f>AC208-AC207</f>
        <v>-1352.7363902137213</v>
      </c>
      <c r="AD206" s="837">
        <f>AD208-AD207</f>
        <v>-1510.0644954487843</v>
      </c>
      <c r="AE206" s="837">
        <f>AE208-AE207</f>
        <v>-1658.3064454220939</v>
      </c>
      <c r="AF206" s="837">
        <f>AF208-AF207</f>
        <v>-1797.9165478967379</v>
      </c>
    </row>
    <row r="207" spans="2:33" outlineLevel="1">
      <c r="B207" s="743" t="s">
        <v>549</v>
      </c>
      <c r="C207" s="743"/>
      <c r="D207" s="743"/>
      <c r="E207" s="743"/>
      <c r="F207" s="841">
        <v>300</v>
      </c>
      <c r="G207" s="841">
        <v>300</v>
      </c>
      <c r="H207" s="841">
        <v>300</v>
      </c>
      <c r="I207" s="841">
        <f>H207+I220</f>
        <v>300</v>
      </c>
      <c r="J207" s="841">
        <f t="shared" ref="J207:O207" si="236">I207+J220</f>
        <v>300</v>
      </c>
      <c r="K207" s="841">
        <f t="shared" si="236"/>
        <v>300</v>
      </c>
      <c r="L207" s="841">
        <f t="shared" si="236"/>
        <v>300</v>
      </c>
      <c r="M207" s="841">
        <f t="shared" si="236"/>
        <v>300</v>
      </c>
      <c r="N207" s="841">
        <f t="shared" si="236"/>
        <v>300</v>
      </c>
      <c r="O207" s="841">
        <f t="shared" si="236"/>
        <v>300</v>
      </c>
      <c r="P207" s="841">
        <f t="shared" ref="P207:AF207" si="237">O207+P220</f>
        <v>994.69155000000001</v>
      </c>
      <c r="Q207" s="841">
        <f t="shared" si="237"/>
        <v>1478.4271099999999</v>
      </c>
      <c r="R207" s="841">
        <f t="shared" si="237"/>
        <v>1932.9027126898475</v>
      </c>
      <c r="S207" s="841">
        <f t="shared" si="237"/>
        <v>2244.6601726898471</v>
      </c>
      <c r="T207" s="841">
        <f t="shared" si="237"/>
        <v>2634.4635726898468</v>
      </c>
      <c r="U207" s="841">
        <f t="shared" si="237"/>
        <v>3073.4009703886218</v>
      </c>
      <c r="V207" s="841">
        <f t="shared" si="237"/>
        <v>3372.0196927105417</v>
      </c>
      <c r="W207" s="841">
        <f t="shared" si="237"/>
        <v>3642.6977280516157</v>
      </c>
      <c r="X207" s="841">
        <f t="shared" si="237"/>
        <v>3887.1704676350182</v>
      </c>
      <c r="Y207" s="841">
        <f t="shared" si="237"/>
        <v>4113.1351023540747</v>
      </c>
      <c r="Z207" s="841">
        <f t="shared" si="237"/>
        <v>4319.0709662956069</v>
      </c>
      <c r="AA207" s="841">
        <f t="shared" si="237"/>
        <v>4508.8836697612314</v>
      </c>
      <c r="AB207" s="841">
        <f t="shared" si="237"/>
        <v>4685.8439110189183</v>
      </c>
      <c r="AC207" s="841">
        <f t="shared" si="237"/>
        <v>4852.7363902137213</v>
      </c>
      <c r="AD207" s="841">
        <f t="shared" si="237"/>
        <v>5010.0644954487843</v>
      </c>
      <c r="AE207" s="841">
        <f t="shared" si="237"/>
        <v>5158.3064454220939</v>
      </c>
      <c r="AF207" s="841">
        <f t="shared" si="237"/>
        <v>5297.9165478967379</v>
      </c>
    </row>
    <row r="208" spans="2:33" outlineLevel="1">
      <c r="B208" s="685" t="s">
        <v>324</v>
      </c>
      <c r="F208" s="1421">
        <f>(1400+2100)</f>
        <v>3500</v>
      </c>
      <c r="G208" s="1421">
        <f>(1400+2100)</f>
        <v>3500</v>
      </c>
      <c r="H208" s="1421">
        <f>(1400+2100)</f>
        <v>3500</v>
      </c>
      <c r="I208" s="1421">
        <f>H208</f>
        <v>3500</v>
      </c>
      <c r="J208" s="1421">
        <f t="shared" ref="J208:V208" si="238">I208</f>
        <v>3500</v>
      </c>
      <c r="K208" s="1421">
        <f t="shared" si="238"/>
        <v>3500</v>
      </c>
      <c r="L208" s="1421">
        <f t="shared" si="238"/>
        <v>3500</v>
      </c>
      <c r="M208" s="1421">
        <f t="shared" si="238"/>
        <v>3500</v>
      </c>
      <c r="N208" s="1421">
        <f t="shared" si="238"/>
        <v>3500</v>
      </c>
      <c r="O208" s="1421">
        <f t="shared" si="238"/>
        <v>3500</v>
      </c>
      <c r="P208" s="1421">
        <f t="shared" si="238"/>
        <v>3500</v>
      </c>
      <c r="Q208" s="1421">
        <f t="shared" si="238"/>
        <v>3500</v>
      </c>
      <c r="R208" s="1421">
        <f t="shared" si="238"/>
        <v>3500</v>
      </c>
      <c r="S208" s="1421">
        <f t="shared" si="238"/>
        <v>3500</v>
      </c>
      <c r="T208" s="1421">
        <f t="shared" si="238"/>
        <v>3500</v>
      </c>
      <c r="U208" s="1421">
        <f t="shared" si="238"/>
        <v>3500</v>
      </c>
      <c r="V208" s="1421">
        <f t="shared" si="238"/>
        <v>3500</v>
      </c>
      <c r="W208" s="1421">
        <f t="shared" ref="W208:AF209" si="239">V208</f>
        <v>3500</v>
      </c>
      <c r="X208" s="1421">
        <f t="shared" si="239"/>
        <v>3500</v>
      </c>
      <c r="Y208" s="1421">
        <f t="shared" si="239"/>
        <v>3500</v>
      </c>
      <c r="Z208" s="1421">
        <f t="shared" si="239"/>
        <v>3500</v>
      </c>
      <c r="AA208" s="1421">
        <f t="shared" si="239"/>
        <v>3500</v>
      </c>
      <c r="AB208" s="1421">
        <f t="shared" si="239"/>
        <v>3500</v>
      </c>
      <c r="AC208" s="1421">
        <f t="shared" si="239"/>
        <v>3500</v>
      </c>
      <c r="AD208" s="1421">
        <f t="shared" si="239"/>
        <v>3500</v>
      </c>
      <c r="AE208" s="1421">
        <f t="shared" si="239"/>
        <v>3500</v>
      </c>
      <c r="AF208" s="1421">
        <f t="shared" si="239"/>
        <v>3500</v>
      </c>
    </row>
    <row r="209" spans="2:32" outlineLevel="1">
      <c r="B209" s="685" t="s">
        <v>550</v>
      </c>
      <c r="G209" s="814">
        <f>H209</f>
        <v>8.7499999999999994E-2</v>
      </c>
      <c r="H209" s="814">
        <v>8.7499999999999994E-2</v>
      </c>
      <c r="I209" s="814">
        <f>H209</f>
        <v>8.7499999999999994E-2</v>
      </c>
      <c r="J209" s="814">
        <f t="shared" ref="J209:V209" si="240">I209</f>
        <v>8.7499999999999994E-2</v>
      </c>
      <c r="K209" s="814">
        <f t="shared" si="240"/>
        <v>8.7499999999999994E-2</v>
      </c>
      <c r="L209" s="814">
        <f t="shared" si="240"/>
        <v>8.7499999999999994E-2</v>
      </c>
      <c r="M209" s="814">
        <f t="shared" si="240"/>
        <v>8.7499999999999994E-2</v>
      </c>
      <c r="N209" s="814">
        <f t="shared" si="240"/>
        <v>8.7499999999999994E-2</v>
      </c>
      <c r="O209" s="814">
        <f t="shared" si="240"/>
        <v>8.7499999999999994E-2</v>
      </c>
      <c r="P209" s="814">
        <f t="shared" si="240"/>
        <v>8.7499999999999994E-2</v>
      </c>
      <c r="Q209" s="814">
        <f t="shared" si="240"/>
        <v>8.7499999999999994E-2</v>
      </c>
      <c r="R209" s="814">
        <f t="shared" si="240"/>
        <v>8.7499999999999994E-2</v>
      </c>
      <c r="S209" s="814">
        <f t="shared" si="240"/>
        <v>8.7499999999999994E-2</v>
      </c>
      <c r="T209" s="814">
        <f t="shared" si="240"/>
        <v>8.7499999999999994E-2</v>
      </c>
      <c r="U209" s="814">
        <f t="shared" si="240"/>
        <v>8.7499999999999994E-2</v>
      </c>
      <c r="V209" s="814">
        <f t="shared" si="240"/>
        <v>8.7499999999999994E-2</v>
      </c>
      <c r="W209" s="814">
        <f t="shared" si="239"/>
        <v>8.7499999999999994E-2</v>
      </c>
      <c r="X209" s="814">
        <f t="shared" si="239"/>
        <v>8.7499999999999994E-2</v>
      </c>
      <c r="Y209" s="814">
        <f t="shared" si="239"/>
        <v>8.7499999999999994E-2</v>
      </c>
      <c r="Z209" s="814">
        <f t="shared" si="239"/>
        <v>8.7499999999999994E-2</v>
      </c>
      <c r="AA209" s="814">
        <f t="shared" si="239"/>
        <v>8.7499999999999994E-2</v>
      </c>
      <c r="AB209" s="814">
        <f t="shared" si="239"/>
        <v>8.7499999999999994E-2</v>
      </c>
      <c r="AC209" s="814">
        <f t="shared" si="239"/>
        <v>8.7499999999999994E-2</v>
      </c>
      <c r="AD209" s="814">
        <f t="shared" si="239"/>
        <v>8.7499999999999994E-2</v>
      </c>
      <c r="AE209" s="814">
        <f t="shared" si="239"/>
        <v>8.7499999999999994E-2</v>
      </c>
      <c r="AF209" s="814">
        <f t="shared" si="239"/>
        <v>8.7499999999999994E-2</v>
      </c>
    </row>
    <row r="210" spans="2:32" outlineLevel="1">
      <c r="B210" s="685" t="s">
        <v>551</v>
      </c>
      <c r="G210" s="837">
        <f>G209*AVERAGE(F208:G208)</f>
        <v>306.25</v>
      </c>
      <c r="H210" s="837">
        <f>H209*AVERAGE(G208:H208)</f>
        <v>306.25</v>
      </c>
      <c r="I210" s="837">
        <f t="shared" ref="I210:V210" si="241">I209*AVERAGE(H208:I208)</f>
        <v>306.25</v>
      </c>
      <c r="J210" s="837">
        <f t="shared" si="241"/>
        <v>306.25</v>
      </c>
      <c r="K210" s="837">
        <f t="shared" si="241"/>
        <v>306.25</v>
      </c>
      <c r="L210" s="837">
        <f t="shared" si="241"/>
        <v>306.25</v>
      </c>
      <c r="M210" s="837">
        <f t="shared" si="241"/>
        <v>306.25</v>
      </c>
      <c r="N210" s="837">
        <f t="shared" si="241"/>
        <v>306.25</v>
      </c>
      <c r="O210" s="837">
        <f t="shared" si="241"/>
        <v>306.25</v>
      </c>
      <c r="P210" s="837">
        <f t="shared" si="241"/>
        <v>306.25</v>
      </c>
      <c r="Q210" s="837">
        <f t="shared" si="241"/>
        <v>306.25</v>
      </c>
      <c r="R210" s="837">
        <f t="shared" si="241"/>
        <v>306.25</v>
      </c>
      <c r="S210" s="837">
        <f t="shared" si="241"/>
        <v>306.25</v>
      </c>
      <c r="T210" s="837">
        <f t="shared" si="241"/>
        <v>306.25</v>
      </c>
      <c r="U210" s="837">
        <f t="shared" si="241"/>
        <v>306.25</v>
      </c>
      <c r="V210" s="837">
        <f t="shared" si="241"/>
        <v>306.25</v>
      </c>
      <c r="W210" s="837">
        <f t="shared" ref="W210:AF210" si="242">W209*AVERAGE(V208:W208)</f>
        <v>306.25</v>
      </c>
      <c r="X210" s="837">
        <f t="shared" si="242"/>
        <v>306.25</v>
      </c>
      <c r="Y210" s="837">
        <f t="shared" si="242"/>
        <v>306.25</v>
      </c>
      <c r="Z210" s="837">
        <f t="shared" si="242"/>
        <v>306.25</v>
      </c>
      <c r="AA210" s="837">
        <f t="shared" si="242"/>
        <v>306.25</v>
      </c>
      <c r="AB210" s="837">
        <f t="shared" si="242"/>
        <v>306.25</v>
      </c>
      <c r="AC210" s="837">
        <f t="shared" si="242"/>
        <v>306.25</v>
      </c>
      <c r="AD210" s="837">
        <f t="shared" si="242"/>
        <v>306.25</v>
      </c>
      <c r="AE210" s="837">
        <f t="shared" si="242"/>
        <v>306.25</v>
      </c>
      <c r="AF210" s="837">
        <f t="shared" si="242"/>
        <v>306.25</v>
      </c>
    </row>
    <row r="211" spans="2:32" outlineLevel="1"/>
    <row r="212" spans="2:32" outlineLevel="1">
      <c r="B212" s="685" t="s">
        <v>552</v>
      </c>
      <c r="F212" s="795">
        <f>F177*0.6</f>
        <v>1043.28</v>
      </c>
      <c r="G212" s="795">
        <f>G177*0.65</f>
        <v>3587.5515000000005</v>
      </c>
      <c r="H212" s="795">
        <f>H177*0.7</f>
        <v>2103.8527999999997</v>
      </c>
      <c r="I212" s="795">
        <f>I177*0.75</f>
        <v>2882.04</v>
      </c>
      <c r="J212" s="795">
        <f>J177*0.6</f>
        <v>3044.7912000000001</v>
      </c>
      <c r="K212" s="795">
        <f>K177*0.7</f>
        <v>3622.4496000000004</v>
      </c>
      <c r="L212" s="795">
        <f>L177*0.8</f>
        <v>4590.8735999999999</v>
      </c>
      <c r="M212" s="795">
        <f>M177*0.9</f>
        <v>5880.0690000000004</v>
      </c>
      <c r="N212" s="795">
        <f>N177*1.2</f>
        <v>4794.5519999999997</v>
      </c>
      <c r="O212" s="795">
        <f>O177*1.2</f>
        <v>4841.7599999999993</v>
      </c>
      <c r="P212" s="795">
        <f>P177*1.1</f>
        <v>4427.6925000000001</v>
      </c>
      <c r="Q212" s="795">
        <f t="shared" ref="Q212:V212" si="243">Q177*1</f>
        <v>5374.2960000000003</v>
      </c>
      <c r="R212" s="795">
        <f t="shared" si="243"/>
        <v>4951.6956950725162</v>
      </c>
      <c r="S212" s="795">
        <f t="shared" si="243"/>
        <v>3883.241</v>
      </c>
      <c r="T212" s="795">
        <f t="shared" si="243"/>
        <v>2640.8399999999997</v>
      </c>
      <c r="U212" s="795">
        <f t="shared" si="243"/>
        <v>1524.39</v>
      </c>
      <c r="V212" s="795">
        <f t="shared" si="243"/>
        <v>1713.7926989824</v>
      </c>
      <c r="W212" s="795">
        <f t="shared" ref="W212:AF212" si="244">W177*1</f>
        <v>1373.4746701075198</v>
      </c>
      <c r="X212" s="795">
        <f t="shared" si="244"/>
        <v>1163.2100411825029</v>
      </c>
      <c r="Y212" s="795">
        <f t="shared" si="244"/>
        <v>1005.9983396320754</v>
      </c>
      <c r="Z212" s="795">
        <f t="shared" si="244"/>
        <v>914.95847246150925</v>
      </c>
      <c r="AA212" s="795">
        <f t="shared" si="244"/>
        <v>841.67137938920359</v>
      </c>
      <c r="AB212" s="795">
        <f t="shared" si="244"/>
        <v>783.25109662585135</v>
      </c>
      <c r="AC212" s="795">
        <f t="shared" si="244"/>
        <v>737.48854179455873</v>
      </c>
      <c r="AD212" s="795">
        <f t="shared" si="244"/>
        <v>694.01411470483072</v>
      </c>
      <c r="AE212" s="795">
        <f t="shared" si="244"/>
        <v>652.71340896958907</v>
      </c>
      <c r="AF212" s="795">
        <f t="shared" si="244"/>
        <v>613.47773852110959</v>
      </c>
    </row>
    <row r="213" spans="2:32" outlineLevel="1">
      <c r="B213" s="685" t="s">
        <v>238</v>
      </c>
      <c r="F213" s="795">
        <f t="shared" ref="F213:V213" si="245">F140-F212</f>
        <v>3435.7200000000003</v>
      </c>
      <c r="G213" s="795">
        <f t="shared" si="245"/>
        <v>1487.4484999999995</v>
      </c>
      <c r="H213" s="795">
        <f t="shared" si="245"/>
        <v>3685.9472000000005</v>
      </c>
      <c r="I213" s="795">
        <f t="shared" si="245"/>
        <v>3675.96</v>
      </c>
      <c r="J213" s="795">
        <f t="shared" si="245"/>
        <v>4295.7088000000003</v>
      </c>
      <c r="K213" s="795">
        <f t="shared" si="245"/>
        <v>4588.8503999999994</v>
      </c>
      <c r="L213" s="795">
        <f t="shared" si="245"/>
        <v>4381.4263999999994</v>
      </c>
      <c r="M213" s="795">
        <f t="shared" si="245"/>
        <v>4018.4309999999996</v>
      </c>
      <c r="N213" s="795">
        <f t="shared" si="245"/>
        <v>5312.4480000000003</v>
      </c>
      <c r="O213" s="795">
        <f t="shared" si="245"/>
        <v>4925.2400000000007</v>
      </c>
      <c r="P213" s="795">
        <f t="shared" si="245"/>
        <v>4693.3074999999999</v>
      </c>
      <c r="Q213" s="795">
        <f t="shared" si="245"/>
        <v>3761.503999999999</v>
      </c>
      <c r="R213" s="795">
        <f t="shared" si="245"/>
        <v>3552.5043049274846</v>
      </c>
      <c r="S213" s="795">
        <f t="shared" si="245"/>
        <v>2533.0889999999999</v>
      </c>
      <c r="T213" s="795">
        <f t="shared" si="245"/>
        <v>3090.56</v>
      </c>
      <c r="U213" s="795">
        <f>U140-U212</f>
        <v>3441.5171264198207</v>
      </c>
      <c r="V213" s="795">
        <f t="shared" si="245"/>
        <v>2439.2408737279993</v>
      </c>
      <c r="W213" s="795">
        <f t="shared" ref="W213:AF213" si="246">W140-W212</f>
        <v>2239.6645381505277</v>
      </c>
      <c r="X213" s="795">
        <f t="shared" si="246"/>
        <v>2052.4838541671597</v>
      </c>
      <c r="Y213" s="795">
        <f t="shared" si="246"/>
        <v>1920.2831051361177</v>
      </c>
      <c r="Z213" s="795">
        <f t="shared" si="246"/>
        <v>1777.2204567252288</v>
      </c>
      <c r="AA213" s="795">
        <f t="shared" si="246"/>
        <v>1662.0550247544625</v>
      </c>
      <c r="AB213" s="795">
        <f t="shared" si="246"/>
        <v>1570.2517232691944</v>
      </c>
      <c r="AC213" s="795">
        <f t="shared" si="246"/>
        <v>1498.3391371057346</v>
      </c>
      <c r="AD213" s="795">
        <f t="shared" si="246"/>
        <v>1430.0221802504479</v>
      </c>
      <c r="AE213" s="795">
        <f t="shared" si="246"/>
        <v>1365.1210712379252</v>
      </c>
      <c r="AF213" s="795">
        <f t="shared" si="246"/>
        <v>1303.4650176760292</v>
      </c>
    </row>
    <row r="214" spans="2:32" outlineLevel="1"/>
    <row r="215" spans="2:32" outlineLevel="1">
      <c r="B215" s="685" t="s">
        <v>553</v>
      </c>
      <c r="G215" s="837">
        <f t="shared" ref="G215:O215" si="247">G213-G210</f>
        <v>1181.1984999999995</v>
      </c>
      <c r="H215" s="837">
        <f t="shared" si="247"/>
        <v>3379.6972000000005</v>
      </c>
      <c r="I215" s="837">
        <f t="shared" si="247"/>
        <v>3369.71</v>
      </c>
      <c r="J215" s="837">
        <f t="shared" si="247"/>
        <v>3989.4588000000003</v>
      </c>
      <c r="K215" s="837">
        <f t="shared" si="247"/>
        <v>4282.6003999999994</v>
      </c>
      <c r="L215" s="837">
        <f t="shared" si="247"/>
        <v>4075.1763999999994</v>
      </c>
      <c r="M215" s="837">
        <f t="shared" si="247"/>
        <v>3712.1809999999996</v>
      </c>
      <c r="N215" s="837">
        <f t="shared" si="247"/>
        <v>5006.1980000000003</v>
      </c>
      <c r="O215" s="837">
        <f t="shared" si="247"/>
        <v>4618.9900000000007</v>
      </c>
      <c r="P215" s="837">
        <f t="shared" ref="P215:V215" si="248">P213-P210</f>
        <v>4387.0574999999999</v>
      </c>
      <c r="Q215" s="837">
        <f t="shared" si="248"/>
        <v>3455.253999999999</v>
      </c>
      <c r="R215" s="837">
        <f t="shared" si="248"/>
        <v>3246.2543049274846</v>
      </c>
      <c r="S215" s="837">
        <f t="shared" si="248"/>
        <v>2226.8389999999999</v>
      </c>
      <c r="T215" s="837">
        <f t="shared" si="248"/>
        <v>2784.31</v>
      </c>
      <c r="U215" s="837">
        <f>U213-U210</f>
        <v>3135.2671264198207</v>
      </c>
      <c r="V215" s="837">
        <f t="shared" si="248"/>
        <v>2132.9908737279993</v>
      </c>
      <c r="W215" s="837">
        <f t="shared" ref="W215:AF215" si="249">W213-W210</f>
        <v>1933.4145381505277</v>
      </c>
      <c r="X215" s="837">
        <f t="shared" si="249"/>
        <v>1746.2338541671597</v>
      </c>
      <c r="Y215" s="837">
        <f t="shared" si="249"/>
        <v>1614.0331051361177</v>
      </c>
      <c r="Z215" s="837">
        <f t="shared" si="249"/>
        <v>1470.9704567252288</v>
      </c>
      <c r="AA215" s="837">
        <f t="shared" si="249"/>
        <v>1355.8050247544625</v>
      </c>
      <c r="AB215" s="837">
        <f t="shared" si="249"/>
        <v>1264.0017232691944</v>
      </c>
      <c r="AC215" s="837">
        <f t="shared" si="249"/>
        <v>1192.0891371057346</v>
      </c>
      <c r="AD215" s="837">
        <f t="shared" si="249"/>
        <v>1123.7721802504479</v>
      </c>
      <c r="AE215" s="837">
        <f t="shared" si="249"/>
        <v>1058.8710712379252</v>
      </c>
      <c r="AF215" s="837">
        <f t="shared" si="249"/>
        <v>997.21501767602922</v>
      </c>
    </row>
    <row r="216" spans="2:32" outlineLevel="1">
      <c r="B216" s="685" t="s">
        <v>114</v>
      </c>
      <c r="G216" s="795">
        <f>0.3*G215</f>
        <v>354.35954999999984</v>
      </c>
      <c r="H216" s="795">
        <f t="shared" ref="H216:O216" si="250">0.3*H215</f>
        <v>1013.9091600000002</v>
      </c>
      <c r="I216" s="795">
        <f t="shared" si="250"/>
        <v>1010.913</v>
      </c>
      <c r="J216" s="795">
        <f t="shared" si="250"/>
        <v>1196.83764</v>
      </c>
      <c r="K216" s="795">
        <f t="shared" si="250"/>
        <v>1284.7801199999997</v>
      </c>
      <c r="L216" s="795">
        <f t="shared" si="250"/>
        <v>1222.5529199999999</v>
      </c>
      <c r="M216" s="795">
        <f t="shared" si="250"/>
        <v>1113.6542999999999</v>
      </c>
      <c r="N216" s="795">
        <f t="shared" si="250"/>
        <v>1501.8594000000001</v>
      </c>
      <c r="O216" s="795">
        <f t="shared" si="250"/>
        <v>1385.6970000000001</v>
      </c>
      <c r="P216" s="795">
        <f t="shared" ref="P216:V216" si="251">0.3*P215</f>
        <v>1316.11725</v>
      </c>
      <c r="Q216" s="795">
        <f t="shared" si="251"/>
        <v>1036.5761999999997</v>
      </c>
      <c r="R216" s="795">
        <f t="shared" si="251"/>
        <v>973.87629147824532</v>
      </c>
      <c r="S216" s="795">
        <f t="shared" si="251"/>
        <v>668.05169999999998</v>
      </c>
      <c r="T216" s="795">
        <f t="shared" si="251"/>
        <v>835.29300000000001</v>
      </c>
      <c r="U216" s="795">
        <f>0.3*U215</f>
        <v>940.58013792594613</v>
      </c>
      <c r="V216" s="795">
        <f t="shared" si="251"/>
        <v>639.89726211839979</v>
      </c>
      <c r="W216" s="795">
        <f t="shared" ref="W216:AF216" si="252">0.3*W215</f>
        <v>580.02436144515832</v>
      </c>
      <c r="X216" s="795">
        <f t="shared" si="252"/>
        <v>523.87015625014794</v>
      </c>
      <c r="Y216" s="795">
        <f t="shared" si="252"/>
        <v>484.20993154083527</v>
      </c>
      <c r="Z216" s="795">
        <f t="shared" si="252"/>
        <v>441.29113701756864</v>
      </c>
      <c r="AA216" s="795">
        <f t="shared" si="252"/>
        <v>406.74150742633873</v>
      </c>
      <c r="AB216" s="795">
        <f t="shared" si="252"/>
        <v>379.20051698075832</v>
      </c>
      <c r="AC216" s="795">
        <f t="shared" si="252"/>
        <v>357.62674113172039</v>
      </c>
      <c r="AD216" s="795">
        <f t="shared" si="252"/>
        <v>337.13165407513435</v>
      </c>
      <c r="AE216" s="795">
        <f t="shared" si="252"/>
        <v>317.66132137137754</v>
      </c>
      <c r="AF216" s="795">
        <f t="shared" si="252"/>
        <v>299.16450530280878</v>
      </c>
    </row>
    <row r="217" spans="2:32" outlineLevel="1">
      <c r="B217" s="685" t="s">
        <v>38</v>
      </c>
      <c r="G217" s="795">
        <f>G215-G216</f>
        <v>826.83894999999961</v>
      </c>
      <c r="H217" s="795">
        <f t="shared" ref="H217:O217" si="253">H215-H216</f>
        <v>2365.7880400000004</v>
      </c>
      <c r="I217" s="795">
        <f t="shared" si="253"/>
        <v>2358.797</v>
      </c>
      <c r="J217" s="795">
        <f t="shared" si="253"/>
        <v>2792.6211600000006</v>
      </c>
      <c r="K217" s="795">
        <f t="shared" si="253"/>
        <v>2997.8202799999999</v>
      </c>
      <c r="L217" s="795">
        <f t="shared" si="253"/>
        <v>2852.6234799999993</v>
      </c>
      <c r="M217" s="795">
        <f t="shared" si="253"/>
        <v>2598.5266999999994</v>
      </c>
      <c r="N217" s="795">
        <f t="shared" si="253"/>
        <v>3504.3386</v>
      </c>
      <c r="O217" s="795">
        <f t="shared" si="253"/>
        <v>3233.2930000000006</v>
      </c>
      <c r="P217" s="795">
        <f t="shared" ref="P217:V217" si="254">P215-P216</f>
        <v>3070.9402499999997</v>
      </c>
      <c r="Q217" s="795">
        <f t="shared" si="254"/>
        <v>2418.6777999999995</v>
      </c>
      <c r="R217" s="795">
        <f t="shared" si="254"/>
        <v>2272.378013449239</v>
      </c>
      <c r="S217" s="795">
        <f t="shared" si="254"/>
        <v>1558.7873</v>
      </c>
      <c r="T217" s="795">
        <f t="shared" si="254"/>
        <v>1949.0169999999998</v>
      </c>
      <c r="U217" s="795">
        <f>U215-U216</f>
        <v>2194.6869884938747</v>
      </c>
      <c r="V217" s="795">
        <f t="shared" si="254"/>
        <v>1493.0936116095995</v>
      </c>
      <c r="W217" s="795">
        <f t="shared" ref="W217:AF217" si="255">W215-W216</f>
        <v>1353.3901767053694</v>
      </c>
      <c r="X217" s="795">
        <f t="shared" si="255"/>
        <v>1222.3636979170119</v>
      </c>
      <c r="Y217" s="795">
        <f t="shared" si="255"/>
        <v>1129.8231735952825</v>
      </c>
      <c r="Z217" s="795">
        <f t="shared" si="255"/>
        <v>1029.6793197076602</v>
      </c>
      <c r="AA217" s="795">
        <f t="shared" si="255"/>
        <v>949.06351732812368</v>
      </c>
      <c r="AB217" s="795">
        <f t="shared" si="255"/>
        <v>884.80120628843611</v>
      </c>
      <c r="AC217" s="795">
        <f t="shared" si="255"/>
        <v>834.46239597401427</v>
      </c>
      <c r="AD217" s="795">
        <f t="shared" si="255"/>
        <v>786.64052617531365</v>
      </c>
      <c r="AE217" s="795">
        <f t="shared" si="255"/>
        <v>741.20974986654767</v>
      </c>
      <c r="AF217" s="795">
        <f t="shared" si="255"/>
        <v>698.0505123732205</v>
      </c>
    </row>
    <row r="218" spans="2:32" outlineLevel="1">
      <c r="G218" s="795"/>
      <c r="H218" s="795"/>
      <c r="I218" s="910">
        <v>2109</v>
      </c>
      <c r="J218" s="910">
        <f>4042-700</f>
        <v>3342</v>
      </c>
      <c r="K218" s="795"/>
      <c r="L218" s="795"/>
      <c r="M218" s="795"/>
      <c r="N218" s="795"/>
      <c r="O218" s="795"/>
      <c r="P218" s="795"/>
      <c r="Q218" s="795"/>
      <c r="R218" s="795"/>
      <c r="S218" s="795"/>
      <c r="T218" s="795"/>
      <c r="U218" s="795"/>
      <c r="V218" s="795"/>
      <c r="W218" s="795"/>
      <c r="X218" s="795"/>
      <c r="Y218" s="795"/>
      <c r="Z218" s="795"/>
      <c r="AA218" s="795"/>
      <c r="AB218" s="795"/>
      <c r="AC218" s="795"/>
      <c r="AD218" s="795"/>
      <c r="AE218" s="795"/>
      <c r="AF218" s="795"/>
    </row>
    <row r="219" spans="2:32" outlineLevel="1"/>
    <row r="220" spans="2:32" outlineLevel="1">
      <c r="B220" s="685" t="s">
        <v>154</v>
      </c>
      <c r="G220" s="795">
        <f t="shared" ref="G220:V220" si="256">G200-G210-G216-G222</f>
        <v>0</v>
      </c>
      <c r="H220" s="795">
        <f t="shared" si="256"/>
        <v>0</v>
      </c>
      <c r="I220" s="795">
        <f t="shared" si="256"/>
        <v>0</v>
      </c>
      <c r="J220" s="795">
        <f t="shared" si="256"/>
        <v>0</v>
      </c>
      <c r="K220" s="795">
        <f t="shared" si="256"/>
        <v>0</v>
      </c>
      <c r="L220" s="795">
        <f t="shared" si="256"/>
        <v>0</v>
      </c>
      <c r="M220" s="795">
        <f t="shared" si="256"/>
        <v>0</v>
      </c>
      <c r="N220" s="795">
        <f t="shared" si="256"/>
        <v>0</v>
      </c>
      <c r="O220" s="795">
        <f t="shared" si="256"/>
        <v>0</v>
      </c>
      <c r="P220" s="795">
        <f>P200-P210-P216-P222</f>
        <v>694.69155000000001</v>
      </c>
      <c r="Q220" s="795">
        <f t="shared" si="256"/>
        <v>483.73555999999985</v>
      </c>
      <c r="R220" s="795">
        <f t="shared" si="256"/>
        <v>454.47560268984762</v>
      </c>
      <c r="S220" s="795">
        <f t="shared" si="256"/>
        <v>311.75745999999981</v>
      </c>
      <c r="T220" s="795">
        <f t="shared" si="256"/>
        <v>389.80339999999978</v>
      </c>
      <c r="U220" s="795">
        <f>U200-U210-U216-U222</f>
        <v>438.93739769877493</v>
      </c>
      <c r="V220" s="795">
        <f t="shared" si="256"/>
        <v>298.6187223219199</v>
      </c>
      <c r="W220" s="795">
        <f t="shared" ref="W220:AF220" si="257">W200-W210-W216-W222</f>
        <v>270.67803534107384</v>
      </c>
      <c r="X220" s="795">
        <f t="shared" si="257"/>
        <v>244.47273958340236</v>
      </c>
      <c r="Y220" s="795">
        <f t="shared" si="257"/>
        <v>225.96463471905645</v>
      </c>
      <c r="Z220" s="795">
        <f t="shared" si="257"/>
        <v>205.93586394153203</v>
      </c>
      <c r="AA220" s="795">
        <f t="shared" si="257"/>
        <v>189.81270346562474</v>
      </c>
      <c r="AB220" s="795">
        <f t="shared" si="257"/>
        <v>176.96024125768713</v>
      </c>
      <c r="AC220" s="795">
        <f t="shared" si="257"/>
        <v>166.89247919480283</v>
      </c>
      <c r="AD220" s="795">
        <f t="shared" si="257"/>
        <v>157.32810523506271</v>
      </c>
      <c r="AE220" s="795">
        <f t="shared" si="257"/>
        <v>148.24194997330949</v>
      </c>
      <c r="AF220" s="795">
        <f t="shared" si="257"/>
        <v>139.61010247464412</v>
      </c>
    </row>
    <row r="221" spans="2:32" outlineLevel="1"/>
    <row r="222" spans="2:32" outlineLevel="1">
      <c r="B222" s="685" t="s">
        <v>554</v>
      </c>
      <c r="G222" s="795">
        <f t="shared" ref="G222:O222" si="258">G200-G210-G216</f>
        <v>-1104.9195500000003</v>
      </c>
      <c r="H222" s="795">
        <f t="shared" si="258"/>
        <v>1464.1368400000001</v>
      </c>
      <c r="I222" s="795">
        <f t="shared" si="258"/>
        <v>-4523.8830000000016</v>
      </c>
      <c r="J222" s="795">
        <f t="shared" si="258"/>
        <v>-130.43963999999983</v>
      </c>
      <c r="K222" s="795">
        <f t="shared" si="258"/>
        <v>114.34187999999881</v>
      </c>
      <c r="L222" s="795">
        <f t="shared" si="258"/>
        <v>117.90507999999977</v>
      </c>
      <c r="M222" s="795">
        <f t="shared" si="258"/>
        <v>1945.1856999999993</v>
      </c>
      <c r="N222" s="795">
        <f t="shared" si="258"/>
        <v>4303.4306000000006</v>
      </c>
      <c r="O222" s="795">
        <f t="shared" si="258"/>
        <v>4040.2530000000006</v>
      </c>
      <c r="P222" s="795">
        <f>(P200-P210-P216)*0.8</f>
        <v>2778.7662000000005</v>
      </c>
      <c r="Q222" s="795">
        <f t="shared" ref="Q222:V222" si="259">(Q200-Q210-Q216)*0.8</f>
        <v>1934.9422399999996</v>
      </c>
      <c r="R222" s="795">
        <f t="shared" si="259"/>
        <v>1817.9024107593914</v>
      </c>
      <c r="S222" s="795">
        <f t="shared" si="259"/>
        <v>1247.0298400000001</v>
      </c>
      <c r="T222" s="795">
        <f t="shared" si="259"/>
        <v>1559.2136</v>
      </c>
      <c r="U222" s="795">
        <f>(U200-U210-U216)*0.8</f>
        <v>1755.7495907950997</v>
      </c>
      <c r="V222" s="795">
        <f t="shared" si="259"/>
        <v>1194.4748892876796</v>
      </c>
      <c r="W222" s="795">
        <f t="shared" ref="W222:AF222" si="260">(W200-W210-W216)*0.8</f>
        <v>1082.7121413642956</v>
      </c>
      <c r="X222" s="795">
        <f t="shared" si="260"/>
        <v>977.89095833360955</v>
      </c>
      <c r="Y222" s="795">
        <f t="shared" si="260"/>
        <v>903.85853887622602</v>
      </c>
      <c r="Z222" s="795">
        <f t="shared" si="260"/>
        <v>823.74345576612814</v>
      </c>
      <c r="AA222" s="795">
        <f t="shared" si="260"/>
        <v>759.25081386249894</v>
      </c>
      <c r="AB222" s="795">
        <f t="shared" si="260"/>
        <v>707.84096503074898</v>
      </c>
      <c r="AC222" s="795">
        <f t="shared" si="260"/>
        <v>667.56991677921144</v>
      </c>
      <c r="AD222" s="795">
        <f t="shared" si="260"/>
        <v>629.31242094025095</v>
      </c>
      <c r="AE222" s="795">
        <f t="shared" si="260"/>
        <v>592.96779989323818</v>
      </c>
      <c r="AF222" s="795">
        <f t="shared" si="260"/>
        <v>558.44040989857638</v>
      </c>
    </row>
    <row r="223" spans="2:32" outlineLevel="1"/>
    <row r="224" spans="2:32" outlineLevel="1">
      <c r="B224" s="685" t="s">
        <v>587</v>
      </c>
      <c r="H224" s="795">
        <f t="shared" ref="H224:AF224" si="261">H102-G102</f>
        <v>950</v>
      </c>
      <c r="I224" s="795">
        <f t="shared" si="261"/>
        <v>1122</v>
      </c>
      <c r="J224" s="795">
        <f t="shared" si="261"/>
        <v>841</v>
      </c>
      <c r="K224" s="795">
        <f t="shared" si="261"/>
        <v>634</v>
      </c>
      <c r="L224" s="795">
        <f t="shared" si="261"/>
        <v>646.13799999999992</v>
      </c>
      <c r="M224" s="795">
        <f t="shared" si="261"/>
        <v>727.56700000000001</v>
      </c>
      <c r="N224" s="795">
        <f t="shared" si="261"/>
        <v>8.0119999999997162</v>
      </c>
      <c r="O224" s="795">
        <f t="shared" si="261"/>
        <v>-349.70399999999972</v>
      </c>
      <c r="P224" s="795">
        <f t="shared" si="261"/>
        <v>-218.35400000000027</v>
      </c>
      <c r="Q224" s="795">
        <f t="shared" si="261"/>
        <v>47.341000000000349</v>
      </c>
      <c r="R224" s="795">
        <f t="shared" si="261"/>
        <v>-69</v>
      </c>
      <c r="S224" s="795">
        <f t="shared" si="261"/>
        <v>-1150.9409999999998</v>
      </c>
      <c r="T224" s="795">
        <f t="shared" si="261"/>
        <v>-519.63299999999981</v>
      </c>
      <c r="U224" s="795">
        <f t="shared" si="261"/>
        <v>-871.42600000000039</v>
      </c>
      <c r="V224" s="795">
        <f t="shared" si="261"/>
        <v>-272.72800557184928</v>
      </c>
      <c r="W224" s="795">
        <f t="shared" si="261"/>
        <v>-205.83304788869009</v>
      </c>
      <c r="X224" s="795">
        <f t="shared" si="261"/>
        <v>-116.16378432838337</v>
      </c>
      <c r="Y224" s="795">
        <f t="shared" si="261"/>
        <v>-114.95996065663985</v>
      </c>
      <c r="Z224" s="795">
        <f t="shared" si="261"/>
        <v>-86.675304365528973</v>
      </c>
      <c r="AA224" s="795">
        <f t="shared" si="261"/>
        <v>-86.675304365528973</v>
      </c>
      <c r="AB224" s="795">
        <f t="shared" si="261"/>
        <v>-86.675304365528973</v>
      </c>
      <c r="AC224" s="795">
        <f t="shared" si="261"/>
        <v>-86.675304365528973</v>
      </c>
      <c r="AD224" s="795">
        <f t="shared" si="261"/>
        <v>-86.675304365528973</v>
      </c>
      <c r="AE224" s="795">
        <f t="shared" si="261"/>
        <v>-86.675304365528973</v>
      </c>
      <c r="AF224" s="795">
        <f t="shared" si="261"/>
        <v>-86.675304365528973</v>
      </c>
    </row>
    <row r="225" spans="2:32" outlineLevel="1">
      <c r="B225" s="685" t="s">
        <v>647</v>
      </c>
      <c r="H225" s="814">
        <v>1.4999999999999999E-2</v>
      </c>
      <c r="I225" s="814">
        <v>1.4999999999999999E-2</v>
      </c>
      <c r="J225" s="814">
        <v>1.4999999999999999E-2</v>
      </c>
      <c r="K225" s="814">
        <v>1.4999999999999999E-2</v>
      </c>
      <c r="L225" s="814">
        <v>1.4999999999999999E-2</v>
      </c>
      <c r="M225" s="814">
        <v>1.4999999999999999E-2</v>
      </c>
      <c r="N225" s="814">
        <v>1.4999999999999999E-2</v>
      </c>
      <c r="O225" s="814">
        <v>1.4999999999999999E-2</v>
      </c>
      <c r="P225" s="814">
        <v>1.4999999999999999E-2</v>
      </c>
      <c r="Q225" s="814">
        <v>1.4999999999999999E-2</v>
      </c>
      <c r="R225" s="814">
        <v>1.4999999999999999E-2</v>
      </c>
      <c r="S225" s="814">
        <v>1.4999999999999999E-2</v>
      </c>
      <c r="T225" s="814">
        <v>1.4999999999999999E-2</v>
      </c>
      <c r="U225" s="814">
        <v>1.4999999999999999E-2</v>
      </c>
      <c r="V225" s="814">
        <v>1.4999999999999999E-2</v>
      </c>
      <c r="W225" s="814">
        <v>1.4999999999999999E-2</v>
      </c>
      <c r="X225" s="814">
        <v>1.4999999999999999E-2</v>
      </c>
      <c r="Y225" s="814">
        <v>1.4999999999999999E-2</v>
      </c>
      <c r="Z225" s="814">
        <v>1.4999999999999999E-2</v>
      </c>
      <c r="AA225" s="814">
        <v>1.4999999999999999E-2</v>
      </c>
      <c r="AB225" s="814">
        <v>1.4999999999999999E-2</v>
      </c>
      <c r="AC225" s="814">
        <v>1.4999999999999999E-2</v>
      </c>
      <c r="AD225" s="814">
        <v>1.4999999999999999E-2</v>
      </c>
      <c r="AE225" s="814">
        <v>1.4999999999999999E-2</v>
      </c>
      <c r="AF225" s="814">
        <v>1.4999999999999999E-2</v>
      </c>
    </row>
    <row r="226" spans="2:32" outlineLevel="1">
      <c r="B226" s="685" t="s">
        <v>648</v>
      </c>
      <c r="H226" s="795">
        <f t="shared" ref="H226:AF226" si="262">H225*12*G102</f>
        <v>521.81999999999994</v>
      </c>
      <c r="I226" s="795">
        <f t="shared" si="262"/>
        <v>692.81999999999994</v>
      </c>
      <c r="J226" s="795">
        <f t="shared" si="262"/>
        <v>894.78</v>
      </c>
      <c r="K226" s="795">
        <f t="shared" si="262"/>
        <v>1046.1599999999999</v>
      </c>
      <c r="L226" s="795">
        <f t="shared" si="262"/>
        <v>1160.28</v>
      </c>
      <c r="M226" s="795">
        <f t="shared" si="262"/>
        <v>1276.58484</v>
      </c>
      <c r="N226" s="795">
        <f t="shared" si="262"/>
        <v>1407.5468999999998</v>
      </c>
      <c r="O226" s="795">
        <f t="shared" si="262"/>
        <v>1408.9890599999999</v>
      </c>
      <c r="P226" s="795">
        <f t="shared" si="262"/>
        <v>1346.04234</v>
      </c>
      <c r="Q226" s="795">
        <f t="shared" si="262"/>
        <v>1306.7386199999999</v>
      </c>
      <c r="R226" s="795">
        <f t="shared" si="262"/>
        <v>1315.26</v>
      </c>
      <c r="S226" s="795">
        <f t="shared" si="262"/>
        <v>1302.8399999999999</v>
      </c>
      <c r="T226" s="795">
        <f t="shared" si="262"/>
        <v>1095.6706200000001</v>
      </c>
      <c r="U226" s="795">
        <f t="shared" si="262"/>
        <v>1002.1366800000001</v>
      </c>
      <c r="V226" s="795">
        <f t="shared" si="262"/>
        <v>845.28</v>
      </c>
      <c r="W226" s="795">
        <f t="shared" si="262"/>
        <v>796.18895899706706</v>
      </c>
      <c r="X226" s="795">
        <f t="shared" si="262"/>
        <v>759.13901037710286</v>
      </c>
      <c r="Y226" s="795">
        <f t="shared" si="262"/>
        <v>738.22952919799388</v>
      </c>
      <c r="Z226" s="795">
        <f t="shared" si="262"/>
        <v>717.53673627979867</v>
      </c>
      <c r="AA226" s="795">
        <f t="shared" si="262"/>
        <v>701.93518149400347</v>
      </c>
      <c r="AB226" s="795">
        <f t="shared" si="262"/>
        <v>686.33362670820827</v>
      </c>
      <c r="AC226" s="795">
        <f t="shared" si="262"/>
        <v>670.73207192241307</v>
      </c>
      <c r="AD226" s="795">
        <f t="shared" si="262"/>
        <v>655.13051713661787</v>
      </c>
      <c r="AE226" s="795">
        <f t="shared" si="262"/>
        <v>639.52896235082267</v>
      </c>
      <c r="AF226" s="795">
        <f t="shared" si="262"/>
        <v>623.92740756502747</v>
      </c>
    </row>
    <row r="227" spans="2:32" outlineLevel="1">
      <c r="B227" s="685" t="s">
        <v>649</v>
      </c>
      <c r="H227" s="795">
        <f>H224+H226</f>
        <v>1471.82</v>
      </c>
      <c r="I227" s="795">
        <f t="shared" ref="I227:N227" si="263">I224+I226</f>
        <v>1814.82</v>
      </c>
      <c r="J227" s="795">
        <f t="shared" si="263"/>
        <v>1735.78</v>
      </c>
      <c r="K227" s="795">
        <f t="shared" si="263"/>
        <v>1680.1599999999999</v>
      </c>
      <c r="L227" s="795">
        <f t="shared" si="263"/>
        <v>1806.4179999999999</v>
      </c>
      <c r="M227" s="795">
        <f t="shared" si="263"/>
        <v>2004.15184</v>
      </c>
      <c r="N227" s="795">
        <f t="shared" si="263"/>
        <v>1415.5588999999995</v>
      </c>
      <c r="O227" s="795">
        <f t="shared" ref="O227:V227" si="264">O224+O226</f>
        <v>1059.2850600000002</v>
      </c>
      <c r="P227" s="795">
        <f t="shared" si="264"/>
        <v>1127.6883399999997</v>
      </c>
      <c r="Q227" s="795">
        <f t="shared" si="264"/>
        <v>1354.0796200000002</v>
      </c>
      <c r="R227" s="795">
        <f t="shared" si="264"/>
        <v>1246.26</v>
      </c>
      <c r="S227" s="795">
        <f t="shared" si="264"/>
        <v>151.89900000000011</v>
      </c>
      <c r="T227" s="795">
        <f t="shared" si="264"/>
        <v>576.03762000000029</v>
      </c>
      <c r="U227" s="795">
        <f t="shared" si="264"/>
        <v>130.71067999999968</v>
      </c>
      <c r="V227" s="795">
        <f t="shared" si="264"/>
        <v>572.55199442815069</v>
      </c>
      <c r="W227" s="795">
        <f t="shared" ref="W227:AF227" si="265">W224+W226</f>
        <v>590.35591110837697</v>
      </c>
      <c r="X227" s="795">
        <f t="shared" si="265"/>
        <v>642.97522604871949</v>
      </c>
      <c r="Y227" s="795">
        <f t="shared" si="265"/>
        <v>623.26956854135403</v>
      </c>
      <c r="Z227" s="795">
        <f t="shared" si="265"/>
        <v>630.8614319142697</v>
      </c>
      <c r="AA227" s="795">
        <f t="shared" si="265"/>
        <v>615.2598771284745</v>
      </c>
      <c r="AB227" s="795">
        <f t="shared" si="265"/>
        <v>599.6583223426793</v>
      </c>
      <c r="AC227" s="795">
        <f t="shared" si="265"/>
        <v>584.0567675568841</v>
      </c>
      <c r="AD227" s="795">
        <f t="shared" si="265"/>
        <v>568.4552127710889</v>
      </c>
      <c r="AE227" s="795">
        <f t="shared" si="265"/>
        <v>552.85365798529369</v>
      </c>
      <c r="AF227" s="795">
        <f t="shared" si="265"/>
        <v>537.25210319949849</v>
      </c>
    </row>
    <row r="228" spans="2:32" outlineLevel="1">
      <c r="B228" s="685" t="s">
        <v>650</v>
      </c>
      <c r="H228" s="795">
        <f t="shared" ref="H228:V228" si="266">0.9*H177</f>
        <v>2704.9535999999998</v>
      </c>
      <c r="I228" s="795">
        <f t="shared" si="266"/>
        <v>3458.4480000000003</v>
      </c>
      <c r="J228" s="795">
        <f t="shared" si="266"/>
        <v>4567.1868000000004</v>
      </c>
      <c r="K228" s="795">
        <f t="shared" si="266"/>
        <v>4657.4352000000008</v>
      </c>
      <c r="L228" s="795">
        <f t="shared" si="266"/>
        <v>5164.7327999999998</v>
      </c>
      <c r="M228" s="795">
        <f t="shared" si="266"/>
        <v>5880.0690000000004</v>
      </c>
      <c r="N228" s="795">
        <f t="shared" si="266"/>
        <v>3595.9139999999998</v>
      </c>
      <c r="O228" s="795">
        <f t="shared" si="266"/>
        <v>3631.3199999999997</v>
      </c>
      <c r="P228" s="795">
        <f t="shared" si="266"/>
        <v>3622.6574999999998</v>
      </c>
      <c r="Q228" s="795">
        <f t="shared" si="266"/>
        <v>4836.8664000000008</v>
      </c>
      <c r="R228" s="795">
        <f t="shared" si="266"/>
        <v>4456.5261255652649</v>
      </c>
      <c r="S228" s="795">
        <f t="shared" si="266"/>
        <v>3494.9169000000002</v>
      </c>
      <c r="T228" s="795">
        <f t="shared" si="266"/>
        <v>2376.7559999999999</v>
      </c>
      <c r="U228" s="795">
        <f t="shared" si="266"/>
        <v>1371.951</v>
      </c>
      <c r="V228" s="795">
        <f t="shared" si="266"/>
        <v>1542.41342908416</v>
      </c>
      <c r="W228" s="795">
        <f t="shared" ref="W228:AF228" si="267">0.9*W177</f>
        <v>1236.127203096768</v>
      </c>
      <c r="X228" s="795">
        <f t="shared" si="267"/>
        <v>1046.8890370642525</v>
      </c>
      <c r="Y228" s="795">
        <f t="shared" si="267"/>
        <v>905.39850566886787</v>
      </c>
      <c r="Z228" s="795">
        <f t="shared" si="267"/>
        <v>823.46262521535834</v>
      </c>
      <c r="AA228" s="795">
        <f t="shared" si="267"/>
        <v>757.5042414502833</v>
      </c>
      <c r="AB228" s="795">
        <f t="shared" si="267"/>
        <v>704.92598696326627</v>
      </c>
      <c r="AC228" s="795">
        <f t="shared" si="267"/>
        <v>663.73968761510287</v>
      </c>
      <c r="AD228" s="795">
        <f t="shared" si="267"/>
        <v>624.61270323434769</v>
      </c>
      <c r="AE228" s="795">
        <f t="shared" si="267"/>
        <v>587.44206807263015</v>
      </c>
      <c r="AF228" s="795">
        <f t="shared" si="267"/>
        <v>552.1299646689987</v>
      </c>
    </row>
    <row r="229" spans="2:32" outlineLevel="1">
      <c r="B229" s="685" t="s">
        <v>651</v>
      </c>
      <c r="H229" s="795">
        <f>H228*1000/H227</f>
        <v>1837.8290823606146</v>
      </c>
      <c r="I229" s="795">
        <f t="shared" ref="I229:N229" si="268">I228*1000/I227</f>
        <v>1905.6699838000466</v>
      </c>
      <c r="J229" s="795">
        <f t="shared" si="268"/>
        <v>2631.2014195347342</v>
      </c>
      <c r="K229" s="795">
        <f t="shared" si="268"/>
        <v>2772.0188553471107</v>
      </c>
      <c r="L229" s="795">
        <f t="shared" si="268"/>
        <v>2859.1017139997498</v>
      </c>
      <c r="M229" s="795">
        <f t="shared" si="268"/>
        <v>2933.9438672471042</v>
      </c>
      <c r="N229" s="795">
        <f t="shared" si="268"/>
        <v>2540.2786136274517</v>
      </c>
      <c r="O229" s="795">
        <f t="shared" ref="O229:V229" si="269">O228*1000/O227</f>
        <v>3428.0857317104037</v>
      </c>
      <c r="P229" s="795">
        <f t="shared" si="269"/>
        <v>3212.4633832783984</v>
      </c>
      <c r="Q229" s="795">
        <f t="shared" si="269"/>
        <v>3572.0694178973017</v>
      </c>
      <c r="R229" s="795">
        <f t="shared" si="269"/>
        <v>3575.920053251541</v>
      </c>
      <c r="S229" s="795">
        <f t="shared" si="269"/>
        <v>23008.16266071533</v>
      </c>
      <c r="T229" s="795">
        <f t="shared" si="269"/>
        <v>4126.0430178153965</v>
      </c>
      <c r="U229" s="795">
        <f t="shared" si="269"/>
        <v>10496.089531475189</v>
      </c>
      <c r="V229" s="795">
        <f t="shared" si="269"/>
        <v>2693.9272661597843</v>
      </c>
      <c r="W229" s="795">
        <f t="shared" ref="W229:AF229" si="270">W228*1000/W227</f>
        <v>2093.8677496698106</v>
      </c>
      <c r="X229" s="795">
        <f t="shared" si="270"/>
        <v>1628.1949827176197</v>
      </c>
      <c r="Y229" s="795">
        <f t="shared" si="270"/>
        <v>1452.6595735899377</v>
      </c>
      <c r="Z229" s="795">
        <f t="shared" si="270"/>
        <v>1305.2987289406242</v>
      </c>
      <c r="AA229" s="795">
        <f t="shared" si="270"/>
        <v>1231.193954960444</v>
      </c>
      <c r="AB229" s="795">
        <f t="shared" si="270"/>
        <v>1175.5460746535441</v>
      </c>
      <c r="AC229" s="795">
        <f t="shared" si="270"/>
        <v>1136.4300946148321</v>
      </c>
      <c r="AD229" s="795">
        <f t="shared" si="270"/>
        <v>1098.7896481580385</v>
      </c>
      <c r="AE229" s="795">
        <f t="shared" si="270"/>
        <v>1062.5634100231575</v>
      </c>
      <c r="AF229" s="795">
        <f t="shared" si="270"/>
        <v>1027.6925141491267</v>
      </c>
    </row>
    <row r="230" spans="2:32" outlineLevel="1">
      <c r="B230" s="685" t="s">
        <v>652</v>
      </c>
      <c r="H230" s="795">
        <f>H229/Valuation!G19</f>
        <v>147.7354567813999</v>
      </c>
      <c r="I230" s="795">
        <f>I229/Valuation!H19</f>
        <v>144.80774952887893</v>
      </c>
      <c r="J230" s="795">
        <f>J229/Valuation!I19</f>
        <v>206.20700780052778</v>
      </c>
      <c r="K230" s="795">
        <f>K229/Valuation!J19</f>
        <v>208.2658794400534</v>
      </c>
      <c r="L230" s="795">
        <f>L229/Valuation!K19</f>
        <v>180.15763793319155</v>
      </c>
      <c r="M230" s="795">
        <f>M229/Valuation!L19</f>
        <v>155.64688950913018</v>
      </c>
      <c r="N230" s="795">
        <f>N229/Valuation!M19</f>
        <v>134.40627585330432</v>
      </c>
      <c r="O230" s="795">
        <f>O229/Valuation!N19</f>
        <v>178.08237567326773</v>
      </c>
      <c r="P230" s="795">
        <f>P229/Valuation!O19</f>
        <v>166.88121471576096</v>
      </c>
      <c r="Q230" s="795">
        <f>Q229/Valuation!P19</f>
        <v>166.29745893376636</v>
      </c>
      <c r="R230" s="795">
        <f>R229/Valuation!Q19</f>
        <v>176.2794280487218</v>
      </c>
      <c r="S230" s="795">
        <f>S229/Valuation!R19</f>
        <v>1144.1154977978781</v>
      </c>
      <c r="T230" s="795">
        <f>T229/Valuation!S19</f>
        <v>233.10977501781903</v>
      </c>
      <c r="U230" s="795">
        <f>U229/Valuation!T19</f>
        <v>573.55680499864422</v>
      </c>
      <c r="V230" s="795">
        <f>V229/Valuation!U19</f>
        <v>140.38182731421492</v>
      </c>
      <c r="W230" s="795">
        <f>W229/Valuation!V19</f>
        <v>120.57977251193843</v>
      </c>
      <c r="X230" s="795">
        <f>X229/Valuation!W19</f>
        <v>91.924537339454488</v>
      </c>
      <c r="Y230" s="795">
        <f>Y229/Valuation!X19</f>
        <v>80.40604848264509</v>
      </c>
      <c r="Z230" s="795">
        <f>Z229/Valuation!Y19</f>
        <v>70.832833028310901</v>
      </c>
      <c r="AA230" s="795">
        <f>AA229/Valuation!Z19</f>
        <v>65.501462933584818</v>
      </c>
      <c r="AB230" s="795">
        <f>AB229/Valuation!AA19</f>
        <v>61.314615501775599</v>
      </c>
      <c r="AC230" s="795">
        <f>AC229/Valuation!AB19</f>
        <v>58.112145227360635</v>
      </c>
      <c r="AD230" s="795">
        <f>AD229/Valuation!AC19</f>
        <v>55.085661523730579</v>
      </c>
      <c r="AE230" s="795">
        <f>AE229/Valuation!AD19</f>
        <v>52.225029613227498</v>
      </c>
      <c r="AF230" s="795">
        <f>AF229/Valuation!AE19</f>
        <v>49.520709640782798</v>
      </c>
    </row>
    <row r="231" spans="2:32" outlineLevel="1"/>
    <row r="232" spans="2:32" outlineLevel="1">
      <c r="B232" s="817" t="s">
        <v>653</v>
      </c>
    </row>
    <row r="233" spans="2:32" outlineLevel="1"/>
    <row r="234" spans="2:32" outlineLevel="1">
      <c r="B234" s="804" t="s">
        <v>654</v>
      </c>
      <c r="C234" s="743"/>
      <c r="D234" s="743"/>
      <c r="E234" s="743"/>
      <c r="F234" s="804">
        <f t="shared" ref="F234:N234" si="271">N76</f>
        <v>2017</v>
      </c>
      <c r="G234" s="804">
        <f t="shared" si="271"/>
        <v>2018</v>
      </c>
      <c r="H234" s="804">
        <f t="shared" si="271"/>
        <v>2019</v>
      </c>
      <c r="I234" s="804">
        <f t="shared" si="271"/>
        <v>2020</v>
      </c>
      <c r="J234" s="804">
        <f t="shared" si="271"/>
        <v>2021</v>
      </c>
      <c r="K234" s="804">
        <f t="shared" si="271"/>
        <v>2022</v>
      </c>
      <c r="L234" s="804">
        <f t="shared" si="271"/>
        <v>2023</v>
      </c>
      <c r="M234" s="804">
        <f t="shared" si="271"/>
        <v>2024</v>
      </c>
      <c r="N234" s="804">
        <f t="shared" si="271"/>
        <v>2025</v>
      </c>
    </row>
    <row r="235" spans="2:32" outlineLevel="1">
      <c r="B235" s="817"/>
      <c r="F235" s="817"/>
      <c r="G235" s="817"/>
      <c r="H235" s="817"/>
      <c r="I235" s="817"/>
      <c r="J235" s="817"/>
      <c r="K235" s="817"/>
      <c r="L235" s="817"/>
      <c r="M235" s="817"/>
      <c r="N235" s="817"/>
    </row>
    <row r="236" spans="2:32" outlineLevel="1">
      <c r="B236" s="979" t="s">
        <v>655</v>
      </c>
      <c r="C236" s="977" t="s">
        <v>656</v>
      </c>
      <c r="D236" s="977" t="s">
        <v>656</v>
      </c>
      <c r="E236" s="977" t="s">
        <v>656</v>
      </c>
      <c r="F236" s="978">
        <f t="shared" ref="F236:N236" si="272">N102</f>
        <v>7827.7169999999996</v>
      </c>
      <c r="G236" s="978">
        <f t="shared" si="272"/>
        <v>7478.0129999999999</v>
      </c>
      <c r="H236" s="978">
        <f t="shared" si="272"/>
        <v>7259.6589999999997</v>
      </c>
      <c r="I236" s="978">
        <f t="shared" si="272"/>
        <v>7307</v>
      </c>
      <c r="J236" s="978">
        <f t="shared" si="272"/>
        <v>7238</v>
      </c>
      <c r="K236" s="978">
        <f t="shared" si="272"/>
        <v>6087.0590000000002</v>
      </c>
      <c r="L236" s="978">
        <f t="shared" si="272"/>
        <v>5567.4260000000004</v>
      </c>
      <c r="M236" s="978">
        <f t="shared" si="272"/>
        <v>4696</v>
      </c>
      <c r="N236" s="980">
        <f t="shared" si="272"/>
        <v>4423.2719944281507</v>
      </c>
    </row>
    <row r="237" spans="2:32" outlineLevel="1"/>
    <row r="238" spans="2:32" outlineLevel="1">
      <c r="B238" s="685" t="s">
        <v>657</v>
      </c>
      <c r="F238" s="795">
        <f>Cable!L166</f>
        <v>16738</v>
      </c>
      <c r="G238" s="795">
        <f>Cable!M166</f>
        <v>18360</v>
      </c>
      <c r="H238" s="795">
        <f>Cable!N166</f>
        <v>19410.619469026551</v>
      </c>
      <c r="I238" s="795">
        <f>Cable!O166</f>
        <v>21934</v>
      </c>
      <c r="J238" s="795">
        <f>Cable!P166</f>
        <v>24576</v>
      </c>
      <c r="K238" s="795">
        <f>Cable!Q166</f>
        <v>24752.4804</v>
      </c>
      <c r="L238" s="795">
        <f>Cable!R166</f>
        <v>26066.639228</v>
      </c>
      <c r="M238" s="795">
        <f>Cable!S166</f>
        <v>27254.264816080002</v>
      </c>
      <c r="N238" s="795">
        <f>Cable!T166</f>
        <v>28478.108371992003</v>
      </c>
    </row>
    <row r="239" spans="2:32" outlineLevel="1">
      <c r="B239" s="685" t="s">
        <v>511</v>
      </c>
      <c r="F239" s="789">
        <f>Cable!L181</f>
        <v>0.47735973597359738</v>
      </c>
      <c r="G239" s="789">
        <f>Cable!M181</f>
        <v>0.52</v>
      </c>
      <c r="H239" s="789">
        <f>Cable!N181</f>
        <v>0.54502011263073213</v>
      </c>
      <c r="I239" s="789">
        <f>Cable!O181</f>
        <v>0.61848874598070736</v>
      </c>
      <c r="J239" s="789">
        <f>Cable!P181</f>
        <v>0.65348874598070739</v>
      </c>
      <c r="K239" s="789">
        <f>Cable!Q181</f>
        <v>0.67848874598070741</v>
      </c>
      <c r="L239" s="789">
        <f>Cable!R181</f>
        <v>0.70348874598070743</v>
      </c>
      <c r="M239" s="789">
        <f>Cable!S181</f>
        <v>0.72348874598070745</v>
      </c>
      <c r="N239" s="789">
        <f>Cable!T181</f>
        <v>0.74348874598070747</v>
      </c>
    </row>
    <row r="240" spans="2:32" outlineLevel="1"/>
    <row r="241" spans="2:14" outlineLevel="1">
      <c r="B241" s="685" t="str">
        <f>B112</f>
        <v>Bitstream / re-selling subs, 000s</v>
      </c>
      <c r="C241" s="685">
        <f>C112</f>
        <v>0</v>
      </c>
      <c r="D241" s="685">
        <f>D112</f>
        <v>0</v>
      </c>
      <c r="E241" s="685">
        <f>E112</f>
        <v>0</v>
      </c>
      <c r="F241" s="796">
        <f t="shared" ref="F241:N246" si="273">N112</f>
        <v>0</v>
      </c>
      <c r="G241" s="796">
        <f t="shared" si="273"/>
        <v>0</v>
      </c>
      <c r="H241" s="796">
        <f t="shared" si="273"/>
        <v>386</v>
      </c>
      <c r="I241" s="796">
        <f t="shared" si="273"/>
        <v>599.4</v>
      </c>
      <c r="J241" s="796">
        <f t="shared" si="273"/>
        <v>581.7808</v>
      </c>
      <c r="K241" s="796">
        <f t="shared" si="273"/>
        <v>512.23519999999996</v>
      </c>
      <c r="L241" s="796">
        <f t="shared" si="273"/>
        <v>412.07120000000009</v>
      </c>
      <c r="M241" s="796">
        <f t="shared" si="273"/>
        <v>280.70800000000003</v>
      </c>
      <c r="N241" s="796">
        <f t="shared" si="273"/>
        <v>180.30080000000001</v>
      </c>
    </row>
    <row r="242" spans="2:14" outlineLevel="1">
      <c r="B242" s="685" t="s">
        <v>658</v>
      </c>
      <c r="C242" s="685">
        <f t="shared" ref="C242:E246" si="274">C113</f>
        <v>0</v>
      </c>
      <c r="D242" s="685">
        <f t="shared" si="274"/>
        <v>0</v>
      </c>
      <c r="E242" s="685">
        <f t="shared" si="274"/>
        <v>0</v>
      </c>
      <c r="F242" s="789">
        <f t="shared" si="273"/>
        <v>0</v>
      </c>
      <c r="G242" s="789">
        <f t="shared" si="273"/>
        <v>1</v>
      </c>
      <c r="H242" s="789">
        <f t="shared" si="273"/>
        <v>1</v>
      </c>
      <c r="I242" s="789">
        <f t="shared" si="273"/>
        <v>0.9</v>
      </c>
      <c r="J242" s="789">
        <f t="shared" si="273"/>
        <v>0.8</v>
      </c>
      <c r="K242" s="789">
        <f t="shared" si="273"/>
        <v>0.8</v>
      </c>
      <c r="L242" s="789">
        <f t="shared" si="273"/>
        <v>0.8</v>
      </c>
      <c r="M242" s="789">
        <f t="shared" si="273"/>
        <v>0.8</v>
      </c>
      <c r="N242" s="789">
        <f t="shared" si="273"/>
        <v>0.8</v>
      </c>
    </row>
    <row r="243" spans="2:14" outlineLevel="1">
      <c r="B243" s="685" t="str">
        <f>B114</f>
        <v>ULL subs, 000s</v>
      </c>
      <c r="C243" s="685">
        <f t="shared" si="274"/>
        <v>0</v>
      </c>
      <c r="D243" s="685">
        <f t="shared" si="274"/>
        <v>0</v>
      </c>
      <c r="E243" s="685">
        <f t="shared" si="274"/>
        <v>0</v>
      </c>
      <c r="F243" s="795">
        <f t="shared" si="273"/>
        <v>0</v>
      </c>
      <c r="G243" s="795">
        <f t="shared" si="273"/>
        <v>0</v>
      </c>
      <c r="H243" s="795">
        <f t="shared" si="273"/>
        <v>0</v>
      </c>
      <c r="I243" s="795">
        <f t="shared" si="273"/>
        <v>66.600000000000023</v>
      </c>
      <c r="J243" s="795">
        <f t="shared" si="273"/>
        <v>145.4452</v>
      </c>
      <c r="K243" s="795">
        <f t="shared" si="273"/>
        <v>128.05880000000002</v>
      </c>
      <c r="L243" s="795">
        <f t="shared" si="273"/>
        <v>103.01779999999997</v>
      </c>
      <c r="M243" s="795">
        <f t="shared" si="273"/>
        <v>70.176999999999964</v>
      </c>
      <c r="N243" s="795">
        <f t="shared" si="273"/>
        <v>45.075199999999995</v>
      </c>
    </row>
    <row r="244" spans="2:14" outlineLevel="1">
      <c r="B244" s="743" t="s">
        <v>658</v>
      </c>
      <c r="C244" s="743">
        <f t="shared" si="274"/>
        <v>0</v>
      </c>
      <c r="D244" s="743">
        <f t="shared" si="274"/>
        <v>0</v>
      </c>
      <c r="E244" s="743">
        <f t="shared" si="274"/>
        <v>0</v>
      </c>
      <c r="F244" s="842">
        <f t="shared" si="273"/>
        <v>0</v>
      </c>
      <c r="G244" s="842">
        <f t="shared" si="273"/>
        <v>0</v>
      </c>
      <c r="H244" s="842">
        <f t="shared" si="273"/>
        <v>0</v>
      </c>
      <c r="I244" s="842">
        <f t="shared" si="273"/>
        <v>0.10000000000000003</v>
      </c>
      <c r="J244" s="842">
        <f t="shared" si="273"/>
        <v>0.2</v>
      </c>
      <c r="K244" s="842">
        <f t="shared" si="273"/>
        <v>0.20000000000000004</v>
      </c>
      <c r="L244" s="842">
        <f t="shared" si="273"/>
        <v>0.1999999999999999</v>
      </c>
      <c r="M244" s="842">
        <f t="shared" si="273"/>
        <v>0.1999999999999999</v>
      </c>
      <c r="N244" s="842">
        <f t="shared" si="273"/>
        <v>0.19999999999999998</v>
      </c>
    </row>
    <row r="245" spans="2:14" outlineLevel="1">
      <c r="B245" s="685" t="s">
        <v>659</v>
      </c>
      <c r="C245" s="685">
        <f t="shared" si="274"/>
        <v>0</v>
      </c>
      <c r="D245" s="685">
        <f t="shared" si="274"/>
        <v>0</v>
      </c>
      <c r="E245" s="685">
        <f t="shared" si="274"/>
        <v>0</v>
      </c>
      <c r="F245" s="795">
        <f t="shared" si="273"/>
        <v>0</v>
      </c>
      <c r="G245" s="795">
        <f t="shared" si="273"/>
        <v>0</v>
      </c>
      <c r="H245" s="795">
        <f t="shared" si="273"/>
        <v>386</v>
      </c>
      <c r="I245" s="795">
        <f t="shared" si="273"/>
        <v>666</v>
      </c>
      <c r="J245" s="795">
        <f t="shared" si="273"/>
        <v>727.226</v>
      </c>
      <c r="K245" s="795">
        <f t="shared" si="273"/>
        <v>640.29399999999998</v>
      </c>
      <c r="L245" s="795">
        <f t="shared" si="273"/>
        <v>515.08900000000006</v>
      </c>
      <c r="M245" s="795">
        <f t="shared" si="273"/>
        <v>350.88499999999999</v>
      </c>
      <c r="N245" s="795">
        <f t="shared" si="273"/>
        <v>225.376</v>
      </c>
    </row>
    <row r="246" spans="2:14" outlineLevel="1">
      <c r="B246" s="685" t="str">
        <f>B117</f>
        <v>as % TV</v>
      </c>
      <c r="C246" s="685">
        <f t="shared" si="274"/>
        <v>0</v>
      </c>
      <c r="D246" s="685">
        <f t="shared" si="274"/>
        <v>0</v>
      </c>
      <c r="E246" s="685">
        <f t="shared" si="274"/>
        <v>0</v>
      </c>
      <c r="F246" s="789">
        <f t="shared" si="273"/>
        <v>0</v>
      </c>
      <c r="G246" s="789">
        <f t="shared" si="273"/>
        <v>0</v>
      </c>
      <c r="H246" s="789">
        <f t="shared" si="273"/>
        <v>5.3170541481356082E-2</v>
      </c>
      <c r="I246" s="789">
        <f t="shared" si="273"/>
        <v>9.114547693992063E-2</v>
      </c>
      <c r="J246" s="789">
        <f t="shared" si="273"/>
        <v>0.10047333517546284</v>
      </c>
      <c r="K246" s="789">
        <f t="shared" si="273"/>
        <v>0.10518938620440511</v>
      </c>
      <c r="L246" s="789">
        <f t="shared" si="273"/>
        <v>9.2518337917737933E-2</v>
      </c>
      <c r="M246" s="789">
        <f t="shared" si="273"/>
        <v>7.4719974446337309E-2</v>
      </c>
      <c r="N246" s="789">
        <f t="shared" si="273"/>
        <v>5.0952326758087384E-2</v>
      </c>
    </row>
    <row r="247" spans="2:14" outlineLevel="1">
      <c r="B247" s="685" t="str">
        <f t="shared" ref="B247:E248" si="275">B119</f>
        <v>Voice subs, 000s</v>
      </c>
      <c r="C247" s="685">
        <f t="shared" si="275"/>
        <v>0</v>
      </c>
      <c r="D247" s="685">
        <f t="shared" si="275"/>
        <v>0</v>
      </c>
      <c r="E247" s="685">
        <f t="shared" si="275"/>
        <v>0</v>
      </c>
      <c r="F247" s="795">
        <f t="shared" ref="F247:N248" si="276">N119</f>
        <v>0</v>
      </c>
      <c r="G247" s="795">
        <f t="shared" si="276"/>
        <v>0</v>
      </c>
      <c r="H247" s="795">
        <f t="shared" si="276"/>
        <v>1.145</v>
      </c>
      <c r="I247" s="795">
        <f t="shared" si="276"/>
        <v>0.89200000000000002</v>
      </c>
      <c r="J247" s="795">
        <f t="shared" si="276"/>
        <v>0.60099999999999998</v>
      </c>
      <c r="K247" s="795">
        <f t="shared" si="276"/>
        <v>0.45300000000000001</v>
      </c>
      <c r="L247" s="795">
        <f t="shared" si="276"/>
        <v>0.34399999999999997</v>
      </c>
      <c r="M247" s="795">
        <f t="shared" si="276"/>
        <v>0.29399999999999998</v>
      </c>
      <c r="N247" s="795">
        <f t="shared" si="276"/>
        <v>0.26400000000000001</v>
      </c>
    </row>
    <row r="248" spans="2:14" outlineLevel="1">
      <c r="B248" s="685" t="str">
        <f t="shared" si="275"/>
        <v>as % TV</v>
      </c>
      <c r="C248" s="685">
        <f t="shared" si="275"/>
        <v>0</v>
      </c>
      <c r="D248" s="685">
        <f t="shared" si="275"/>
        <v>0</v>
      </c>
      <c r="E248" s="685">
        <f t="shared" si="275"/>
        <v>0</v>
      </c>
      <c r="F248" s="814">
        <f t="shared" si="276"/>
        <v>0</v>
      </c>
      <c r="G248" s="814">
        <f t="shared" si="276"/>
        <v>0</v>
      </c>
      <c r="H248" s="814">
        <f t="shared" si="276"/>
        <v>1.5772090672578425E-4</v>
      </c>
      <c r="I248" s="814">
        <f t="shared" si="276"/>
        <v>1.2207472286848229E-4</v>
      </c>
      <c r="J248" s="814">
        <f t="shared" si="276"/>
        <v>8.3033987289306437E-5</v>
      </c>
      <c r="K248" s="814">
        <f t="shared" si="276"/>
        <v>7.4420175654614154E-5</v>
      </c>
      <c r="L248" s="814">
        <f t="shared" si="276"/>
        <v>6.1787978861326572E-5</v>
      </c>
      <c r="M248" s="814">
        <f t="shared" si="276"/>
        <v>6.260647359454855E-5</v>
      </c>
      <c r="N248" s="814">
        <f t="shared" si="276"/>
        <v>5.9684324258727941E-5</v>
      </c>
    </row>
    <row r="249" spans="2:14" outlineLevel="1"/>
    <row r="250" spans="2:14" outlineLevel="1">
      <c r="B250" s="685" t="s">
        <v>660</v>
      </c>
    </row>
    <row r="251" spans="2:14" outlineLevel="1">
      <c r="B251" s="685" t="s">
        <v>466</v>
      </c>
      <c r="F251" s="814">
        <f>Cable!L184</f>
        <v>0.55359063209463499</v>
      </c>
      <c r="G251" s="814">
        <f>Cable!M184</f>
        <v>0.52407407407407403</v>
      </c>
      <c r="H251" s="814">
        <f>Cable!N184</f>
        <v>0.49936582474696811</v>
      </c>
      <c r="I251" s="814">
        <f>Cable!O184</f>
        <v>0.45641469864137868</v>
      </c>
      <c r="J251" s="814">
        <f>Cable!P184</f>
        <v>0.40840657552083331</v>
      </c>
      <c r="K251" s="814">
        <f>Cable!Q184</f>
        <v>0.40500991569313594</v>
      </c>
      <c r="L251" s="814">
        <f>Cable!R184</f>
        <v>0.40239172791914929</v>
      </c>
      <c r="M251" s="814">
        <f>Cable!S184</f>
        <v>0.38239172791914927</v>
      </c>
      <c r="N251" s="814">
        <f>Cable!T184</f>
        <v>0.36239172791914925</v>
      </c>
    </row>
    <row r="252" spans="2:14" outlineLevel="1">
      <c r="B252" s="685" t="s">
        <v>51</v>
      </c>
      <c r="F252" s="814" t="e">
        <f>Cable!#REF!</f>
        <v>#REF!</v>
      </c>
      <c r="G252" s="814" t="e">
        <f>Cable!#REF!</f>
        <v>#REF!</v>
      </c>
      <c r="H252" s="814" t="e">
        <f>Cable!#REF!</f>
        <v>#REF!</v>
      </c>
      <c r="I252" s="814" t="e">
        <f>Cable!#REF!</f>
        <v>#REF!</v>
      </c>
      <c r="J252" s="814" t="e">
        <f>Cable!#REF!</f>
        <v>#REF!</v>
      </c>
      <c r="K252" s="814" t="e">
        <f>Cable!#REF!</f>
        <v>#REF!</v>
      </c>
      <c r="L252" s="814" t="e">
        <f>Cable!#REF!</f>
        <v>#REF!</v>
      </c>
      <c r="M252" s="814" t="e">
        <f>Cable!#REF!</f>
        <v>#REF!</v>
      </c>
      <c r="N252" s="814" t="e">
        <f>Cable!#REF!</f>
        <v>#REF!</v>
      </c>
    </row>
    <row r="253" spans="2:14" outlineLevel="1">
      <c r="B253" s="743" t="s">
        <v>661</v>
      </c>
      <c r="C253" s="743"/>
      <c r="D253" s="743"/>
      <c r="E253" s="743"/>
      <c r="F253" s="958" t="e">
        <f>100%-F252-F251</f>
        <v>#REF!</v>
      </c>
      <c r="G253" s="958" t="e">
        <f t="shared" ref="G253:N253" si="277">100%-G252-G251</f>
        <v>#REF!</v>
      </c>
      <c r="H253" s="958" t="e">
        <f t="shared" si="277"/>
        <v>#REF!</v>
      </c>
      <c r="I253" s="958" t="e">
        <f t="shared" si="277"/>
        <v>#REF!</v>
      </c>
      <c r="J253" s="958" t="e">
        <f t="shared" si="277"/>
        <v>#REF!</v>
      </c>
      <c r="K253" s="958" t="e">
        <f t="shared" si="277"/>
        <v>#REF!</v>
      </c>
      <c r="L253" s="958" t="e">
        <f t="shared" si="277"/>
        <v>#REF!</v>
      </c>
      <c r="M253" s="958" t="e">
        <f t="shared" si="277"/>
        <v>#REF!</v>
      </c>
      <c r="N253" s="958" t="e">
        <f t="shared" si="277"/>
        <v>#REF!</v>
      </c>
    </row>
    <row r="254" spans="2:14" outlineLevel="1">
      <c r="B254" s="685" t="s">
        <v>85</v>
      </c>
      <c r="F254" s="814" t="e">
        <f>SUM(F251:F253)</f>
        <v>#REF!</v>
      </c>
      <c r="G254" s="814" t="e">
        <f t="shared" ref="G254:N254" si="278">SUM(G251:G253)</f>
        <v>#REF!</v>
      </c>
      <c r="H254" s="814" t="e">
        <f t="shared" si="278"/>
        <v>#REF!</v>
      </c>
      <c r="I254" s="814" t="e">
        <f t="shared" si="278"/>
        <v>#REF!</v>
      </c>
      <c r="J254" s="814" t="e">
        <f t="shared" si="278"/>
        <v>#REF!</v>
      </c>
      <c r="K254" s="814" t="e">
        <f t="shared" si="278"/>
        <v>#REF!</v>
      </c>
      <c r="L254" s="814" t="e">
        <f t="shared" si="278"/>
        <v>#REF!</v>
      </c>
      <c r="M254" s="814" t="e">
        <f t="shared" si="278"/>
        <v>#REF!</v>
      </c>
      <c r="N254" s="814" t="e">
        <f t="shared" si="278"/>
        <v>#REF!</v>
      </c>
    </row>
    <row r="255" spans="2:14" outlineLevel="1"/>
    <row r="256" spans="2:14" outlineLevel="1">
      <c r="B256" s="685" t="str">
        <f t="shared" ref="B256:E258" si="279">B122</f>
        <v>Est dual-play ARPU of Telmex, MXN / m</v>
      </c>
      <c r="C256" s="685">
        <f t="shared" si="279"/>
        <v>0</v>
      </c>
      <c r="D256" s="685">
        <f t="shared" si="279"/>
        <v>0</v>
      </c>
      <c r="E256" s="685">
        <f t="shared" si="279"/>
        <v>0</v>
      </c>
      <c r="F256" s="790">
        <f t="shared" ref="F256:N258" si="280">N122</f>
        <v>311.20000000000005</v>
      </c>
      <c r="G256" s="790">
        <f t="shared" si="280"/>
        <v>299.9518072289157</v>
      </c>
      <c r="H256" s="790">
        <f t="shared" si="280"/>
        <v>289.48837209302332</v>
      </c>
      <c r="I256" s="790">
        <f t="shared" si="280"/>
        <v>279.7303370786517</v>
      </c>
      <c r="J256" s="790">
        <f t="shared" si="280"/>
        <v>276.62222222222226</v>
      </c>
      <c r="K256" s="790">
        <f t="shared" si="280"/>
        <v>276.62222222222226</v>
      </c>
      <c r="L256" s="790">
        <f t="shared" si="280"/>
        <v>276.62222222222226</v>
      </c>
      <c r="M256" s="790">
        <f t="shared" si="280"/>
        <v>276.62222222222226</v>
      </c>
      <c r="N256" s="790">
        <f t="shared" si="280"/>
        <v>276.62222222222226</v>
      </c>
    </row>
    <row r="257" spans="2:14" outlineLevel="1">
      <c r="B257" s="685" t="str">
        <f t="shared" si="279"/>
        <v>% change</v>
      </c>
      <c r="C257" s="685">
        <f t="shared" si="279"/>
        <v>0</v>
      </c>
      <c r="D257" s="685">
        <f t="shared" si="279"/>
        <v>0</v>
      </c>
      <c r="E257" s="685">
        <f t="shared" si="279"/>
        <v>0</v>
      </c>
      <c r="F257" s="789">
        <f t="shared" si="280"/>
        <v>0</v>
      </c>
      <c r="G257" s="789">
        <f t="shared" si="280"/>
        <v>-3.6144578313253017E-2</v>
      </c>
      <c r="H257" s="789">
        <f t="shared" si="280"/>
        <v>-3.4883720930232509E-2</v>
      </c>
      <c r="I257" s="789">
        <f t="shared" si="280"/>
        <v>-3.3707865168539519E-2</v>
      </c>
      <c r="J257" s="789">
        <f t="shared" si="280"/>
        <v>-1.1111111111111072E-2</v>
      </c>
      <c r="K257" s="789">
        <f t="shared" si="280"/>
        <v>0</v>
      </c>
      <c r="L257" s="789">
        <f t="shared" si="280"/>
        <v>0</v>
      </c>
      <c r="M257" s="789">
        <f t="shared" si="280"/>
        <v>0</v>
      </c>
      <c r="N257" s="789">
        <f t="shared" si="280"/>
        <v>0</v>
      </c>
    </row>
    <row r="258" spans="2:14" outlineLevel="1">
      <c r="B258" s="685" t="str">
        <f t="shared" si="279"/>
        <v>discount</v>
      </c>
      <c r="C258" s="685">
        <f t="shared" si="279"/>
        <v>0</v>
      </c>
      <c r="D258" s="685">
        <f t="shared" si="279"/>
        <v>0</v>
      </c>
      <c r="E258" s="685">
        <f t="shared" si="279"/>
        <v>0</v>
      </c>
      <c r="F258" s="789">
        <f t="shared" si="280"/>
        <v>0.2</v>
      </c>
      <c r="G258" s="789">
        <f t="shared" si="280"/>
        <v>0.17</v>
      </c>
      <c r="H258" s="789">
        <f t="shared" si="280"/>
        <v>0.14000000000000001</v>
      </c>
      <c r="I258" s="789">
        <f t="shared" si="280"/>
        <v>0.11000000000000001</v>
      </c>
      <c r="J258" s="789">
        <f t="shared" si="280"/>
        <v>0.10000000000000002</v>
      </c>
      <c r="K258" s="789">
        <f t="shared" si="280"/>
        <v>0.10000000000000002</v>
      </c>
      <c r="L258" s="789">
        <f t="shared" si="280"/>
        <v>0.10000000000000002</v>
      </c>
      <c r="M258" s="789">
        <f t="shared" si="280"/>
        <v>0.10000000000000002</v>
      </c>
      <c r="N258" s="789">
        <f t="shared" si="280"/>
        <v>0.10000000000000002</v>
      </c>
    </row>
    <row r="259" spans="2:14" outlineLevel="1">
      <c r="C259" s="685">
        <f t="shared" ref="C259:E264" si="281">C125</f>
        <v>0</v>
      </c>
      <c r="D259" s="685">
        <f t="shared" si="281"/>
        <v>0</v>
      </c>
      <c r="E259" s="685">
        <f t="shared" si="281"/>
        <v>0</v>
      </c>
    </row>
    <row r="260" spans="2:14" outlineLevel="1">
      <c r="B260" s="685" t="str">
        <f>B126</f>
        <v>SKY dual-play price, MXN / m</v>
      </c>
      <c r="C260" s="685">
        <f t="shared" si="281"/>
        <v>0</v>
      </c>
      <c r="D260" s="685">
        <f t="shared" si="281"/>
        <v>0</v>
      </c>
      <c r="E260" s="685">
        <f t="shared" si="281"/>
        <v>0</v>
      </c>
      <c r="F260" s="796">
        <f t="shared" ref="F260:N260" si="282">N126</f>
        <v>248.96000000000004</v>
      </c>
      <c r="G260" s="796">
        <f t="shared" si="282"/>
        <v>248.96000000000004</v>
      </c>
      <c r="H260" s="796">
        <f t="shared" si="282"/>
        <v>248.96000000000004</v>
      </c>
      <c r="I260" s="796">
        <f t="shared" si="282"/>
        <v>248.96000000000004</v>
      </c>
      <c r="J260" s="796">
        <f t="shared" si="282"/>
        <v>248.96000000000004</v>
      </c>
      <c r="K260" s="796">
        <f t="shared" si="282"/>
        <v>248.96000000000004</v>
      </c>
      <c r="L260" s="796">
        <f t="shared" si="282"/>
        <v>248.96000000000004</v>
      </c>
      <c r="M260" s="796">
        <f t="shared" si="282"/>
        <v>248.96000000000004</v>
      </c>
      <c r="N260" s="796">
        <f t="shared" si="282"/>
        <v>248.96000000000004</v>
      </c>
    </row>
    <row r="261" spans="2:14" outlineLevel="1">
      <c r="C261" s="685">
        <f t="shared" si="281"/>
        <v>0</v>
      </c>
      <c r="D261" s="685">
        <f t="shared" si="281"/>
        <v>0</v>
      </c>
      <c r="E261" s="685">
        <f t="shared" si="281"/>
        <v>0</v>
      </c>
    </row>
    <row r="262" spans="2:14" outlineLevel="1">
      <c r="B262" s="685" t="str">
        <f>B128</f>
        <v>Bitstream / re-selling revenue</v>
      </c>
      <c r="C262" s="685">
        <f t="shared" si="281"/>
        <v>0</v>
      </c>
      <c r="D262" s="685">
        <f t="shared" si="281"/>
        <v>0</v>
      </c>
      <c r="E262" s="685">
        <f t="shared" si="281"/>
        <v>0</v>
      </c>
      <c r="F262" s="795">
        <f t="shared" ref="F262:N264" si="283">N128</f>
        <v>0</v>
      </c>
      <c r="G262" s="795">
        <f t="shared" si="283"/>
        <v>0</v>
      </c>
      <c r="H262" s="795">
        <f t="shared" si="283"/>
        <v>576.59136000000012</v>
      </c>
      <c r="I262" s="795">
        <f t="shared" si="283"/>
        <v>1471.9511040000002</v>
      </c>
      <c r="J262" s="795">
        <f t="shared" si="283"/>
        <v>1764.4006318080003</v>
      </c>
      <c r="K262" s="795">
        <f t="shared" si="283"/>
        <v>1634.1973401600003</v>
      </c>
      <c r="L262" s="795">
        <f t="shared" si="283"/>
        <v>1380.6919280640004</v>
      </c>
      <c r="M262" s="795">
        <f t="shared" si="283"/>
        <v>1034.8458577920005</v>
      </c>
      <c r="N262" s="795">
        <f t="shared" si="283"/>
        <v>688.63650508800026</v>
      </c>
    </row>
    <row r="263" spans="2:14" outlineLevel="1">
      <c r="B263" s="743" t="str">
        <f>B129</f>
        <v>FULL revenue</v>
      </c>
      <c r="C263" s="743">
        <f t="shared" si="281"/>
        <v>0</v>
      </c>
      <c r="D263" s="743">
        <f t="shared" si="281"/>
        <v>0</v>
      </c>
      <c r="E263" s="743">
        <f t="shared" si="281"/>
        <v>0</v>
      </c>
      <c r="F263" s="833">
        <f t="shared" si="283"/>
        <v>0</v>
      </c>
      <c r="G263" s="833">
        <f t="shared" si="283"/>
        <v>0</v>
      </c>
      <c r="H263" s="833">
        <f t="shared" si="283"/>
        <v>0</v>
      </c>
      <c r="I263" s="833">
        <f t="shared" si="283"/>
        <v>99.484416000000053</v>
      </c>
      <c r="J263" s="833">
        <f t="shared" si="283"/>
        <v>316.74463795200006</v>
      </c>
      <c r="K263" s="833">
        <f t="shared" si="283"/>
        <v>408.54933504000007</v>
      </c>
      <c r="L263" s="833">
        <f t="shared" si="283"/>
        <v>345.17298201600005</v>
      </c>
      <c r="M263" s="833">
        <f t="shared" si="283"/>
        <v>258.7114644479999</v>
      </c>
      <c r="N263" s="833">
        <f t="shared" si="283"/>
        <v>172.15912627199995</v>
      </c>
    </row>
    <row r="264" spans="2:14" outlineLevel="1">
      <c r="B264" s="939" t="str">
        <f>B130</f>
        <v>SKY BB / voice revenue</v>
      </c>
      <c r="C264" s="929">
        <f t="shared" si="281"/>
        <v>0</v>
      </c>
      <c r="D264" s="929">
        <f t="shared" si="281"/>
        <v>0</v>
      </c>
      <c r="E264" s="929">
        <f t="shared" si="281"/>
        <v>0</v>
      </c>
      <c r="F264" s="971">
        <f t="shared" si="283"/>
        <v>0</v>
      </c>
      <c r="G264" s="971">
        <f t="shared" si="283"/>
        <v>0</v>
      </c>
      <c r="H264" s="971">
        <f t="shared" si="283"/>
        <v>576.59136000000012</v>
      </c>
      <c r="I264" s="971">
        <f t="shared" si="283"/>
        <v>1571.4355200000002</v>
      </c>
      <c r="J264" s="971">
        <f t="shared" si="283"/>
        <v>2081.1452697600007</v>
      </c>
      <c r="K264" s="971">
        <f t="shared" si="283"/>
        <v>2042.7466752000005</v>
      </c>
      <c r="L264" s="971">
        <f t="shared" si="283"/>
        <v>1725.8649100800003</v>
      </c>
      <c r="M264" s="971">
        <f t="shared" si="283"/>
        <v>1293.5573222400001</v>
      </c>
      <c r="N264" s="981">
        <f t="shared" si="283"/>
        <v>860.79563136000002</v>
      </c>
    </row>
    <row r="265" spans="2:14" outlineLevel="1"/>
    <row r="266" spans="2:14" outlineLevel="1">
      <c r="B266" s="685" t="str">
        <f t="shared" ref="B266:E269" si="284">B144</f>
        <v>WLR regulated return</v>
      </c>
      <c r="C266" s="685">
        <f t="shared" si="284"/>
        <v>0</v>
      </c>
      <c r="D266" s="685">
        <f t="shared" si="284"/>
        <v>0</v>
      </c>
      <c r="E266" s="685">
        <f t="shared" si="284"/>
        <v>0</v>
      </c>
      <c r="F266" s="925">
        <f t="shared" ref="F266:N269" si="285">N144</f>
        <v>0.25</v>
      </c>
      <c r="G266" s="925">
        <f t="shared" si="285"/>
        <v>0.25</v>
      </c>
      <c r="H266" s="925">
        <f t="shared" si="285"/>
        <v>0.25</v>
      </c>
      <c r="I266" s="925">
        <f t="shared" si="285"/>
        <v>0.25</v>
      </c>
      <c r="J266" s="925">
        <f t="shared" si="285"/>
        <v>0.25</v>
      </c>
      <c r="K266" s="925">
        <f t="shared" si="285"/>
        <v>0.25</v>
      </c>
      <c r="L266" s="925">
        <f t="shared" si="285"/>
        <v>0.25</v>
      </c>
      <c r="M266" s="925">
        <f t="shared" si="285"/>
        <v>0.25</v>
      </c>
      <c r="N266" s="925">
        <f t="shared" si="285"/>
        <v>0.25</v>
      </c>
    </row>
    <row r="267" spans="2:14" outlineLevel="1">
      <c r="B267" s="685" t="str">
        <f t="shared" si="284"/>
        <v>Retail voice compenent off monthly fee, MXN</v>
      </c>
      <c r="C267" s="685">
        <f t="shared" si="284"/>
        <v>0</v>
      </c>
      <c r="D267" s="685">
        <f t="shared" si="284"/>
        <v>0</v>
      </c>
      <c r="E267" s="685">
        <f t="shared" si="284"/>
        <v>0</v>
      </c>
      <c r="F267" s="796">
        <f t="shared" si="285"/>
        <v>149.6</v>
      </c>
      <c r="G267" s="796">
        <f t="shared" si="285"/>
        <v>144.19277108433735</v>
      </c>
      <c r="H267" s="796">
        <f t="shared" si="285"/>
        <v>139.16279069767444</v>
      </c>
      <c r="I267" s="796">
        <f t="shared" si="285"/>
        <v>134.47191011235955</v>
      </c>
      <c r="J267" s="796">
        <f t="shared" si="285"/>
        <v>132.97777777777779</v>
      </c>
      <c r="K267" s="796">
        <f t="shared" si="285"/>
        <v>132.97777777777779</v>
      </c>
      <c r="L267" s="796">
        <f t="shared" si="285"/>
        <v>132.97777777777779</v>
      </c>
      <c r="M267" s="796">
        <f t="shared" si="285"/>
        <v>132.97777777777779</v>
      </c>
      <c r="N267" s="796">
        <f t="shared" si="285"/>
        <v>132.97777777777779</v>
      </c>
    </row>
    <row r="268" spans="2:14" outlineLevel="1">
      <c r="B268" s="685" t="str">
        <f t="shared" si="284"/>
        <v>% change</v>
      </c>
      <c r="C268" s="685">
        <f t="shared" si="284"/>
        <v>0</v>
      </c>
      <c r="D268" s="685">
        <f t="shared" si="284"/>
        <v>0</v>
      </c>
      <c r="E268" s="685">
        <f t="shared" si="284"/>
        <v>0</v>
      </c>
      <c r="F268" s="789">
        <f t="shared" si="285"/>
        <v>0</v>
      </c>
      <c r="G268" s="789">
        <f t="shared" si="285"/>
        <v>-3.6144578313253017E-2</v>
      </c>
      <c r="H268" s="789">
        <f t="shared" si="285"/>
        <v>-3.4883720930232509E-2</v>
      </c>
      <c r="I268" s="789">
        <f t="shared" si="285"/>
        <v>-3.3707865168539519E-2</v>
      </c>
      <c r="J268" s="789">
        <f t="shared" si="285"/>
        <v>-1.1111111111111072E-2</v>
      </c>
      <c r="K268" s="789">
        <f t="shared" si="285"/>
        <v>0</v>
      </c>
      <c r="L268" s="789">
        <f t="shared" si="285"/>
        <v>0</v>
      </c>
      <c r="M268" s="789">
        <f t="shared" si="285"/>
        <v>0</v>
      </c>
      <c r="N268" s="789">
        <f t="shared" si="285"/>
        <v>0</v>
      </c>
    </row>
    <row r="269" spans="2:14" outlineLevel="1">
      <c r="B269" s="685" t="str">
        <f t="shared" si="284"/>
        <v>WLR fees/line/month</v>
      </c>
      <c r="C269" s="685">
        <f t="shared" si="284"/>
        <v>0</v>
      </c>
      <c r="D269" s="685">
        <f t="shared" si="284"/>
        <v>0</v>
      </c>
      <c r="E269" s="685">
        <f t="shared" si="284"/>
        <v>0</v>
      </c>
      <c r="F269" s="796">
        <f t="shared" si="285"/>
        <v>112.19999999999999</v>
      </c>
      <c r="G269" s="796">
        <f t="shared" si="285"/>
        <v>108.14457831325302</v>
      </c>
      <c r="H269" s="796">
        <f t="shared" si="285"/>
        <v>104.37209302325583</v>
      </c>
      <c r="I269" s="796">
        <f t="shared" si="285"/>
        <v>100.85393258426967</v>
      </c>
      <c r="J269" s="796">
        <f t="shared" si="285"/>
        <v>99.733333333333348</v>
      </c>
      <c r="K269" s="796">
        <f t="shared" si="285"/>
        <v>99.733333333333348</v>
      </c>
      <c r="L269" s="796">
        <f t="shared" si="285"/>
        <v>99.733333333333348</v>
      </c>
      <c r="M269" s="796">
        <f t="shared" si="285"/>
        <v>99.733333333333348</v>
      </c>
      <c r="N269" s="796">
        <f t="shared" si="285"/>
        <v>99.733333333333348</v>
      </c>
    </row>
    <row r="270" spans="2:14" outlineLevel="1">
      <c r="F270" s="796"/>
      <c r="G270" s="796"/>
      <c r="H270" s="796"/>
      <c r="I270" s="796"/>
      <c r="J270" s="796"/>
      <c r="K270" s="796"/>
      <c r="L270" s="796"/>
      <c r="M270" s="796"/>
      <c r="N270" s="796"/>
    </row>
    <row r="271" spans="2:14" outlineLevel="1">
      <c r="B271" s="685" t="str">
        <f>B148</f>
        <v>Total WLR cost, MXN mn</v>
      </c>
      <c r="C271" s="685">
        <f>C148</f>
        <v>0</v>
      </c>
      <c r="D271" s="685">
        <f>D148</f>
        <v>0</v>
      </c>
      <c r="E271" s="685">
        <f>E148</f>
        <v>0</v>
      </c>
      <c r="F271" s="796">
        <f t="shared" ref="F271:N271" si="286">N148</f>
        <v>0</v>
      </c>
      <c r="G271" s="796">
        <f t="shared" si="286"/>
        <v>0</v>
      </c>
      <c r="H271" s="796">
        <f t="shared" si="286"/>
        <v>241.72576744186048</v>
      </c>
      <c r="I271" s="796">
        <f t="shared" si="286"/>
        <v>596.28879101123607</v>
      </c>
      <c r="J271" s="796">
        <f t="shared" si="286"/>
        <v>706.81859072000009</v>
      </c>
      <c r="K271" s="796">
        <f t="shared" si="286"/>
        <v>654.6591744000001</v>
      </c>
      <c r="L271" s="796">
        <f t="shared" si="286"/>
        <v>553.10494976000007</v>
      </c>
      <c r="M271" s="796">
        <f t="shared" si="286"/>
        <v>414.55907328000012</v>
      </c>
      <c r="N271" s="796">
        <f t="shared" si="286"/>
        <v>275.86766592000009</v>
      </c>
    </row>
    <row r="272" spans="2:14" outlineLevel="1"/>
    <row r="273" spans="2:14" outlineLevel="1">
      <c r="B273" s="685" t="str">
        <f t="shared" ref="B273:E276" si="287">B150</f>
        <v>Bitstream return</v>
      </c>
      <c r="C273" s="685">
        <f t="shared" si="287"/>
        <v>0</v>
      </c>
      <c r="D273" s="685">
        <f t="shared" si="287"/>
        <v>0</v>
      </c>
      <c r="E273" s="685">
        <f t="shared" si="287"/>
        <v>0</v>
      </c>
      <c r="F273" s="925">
        <f t="shared" ref="F273:N276" si="288">N150</f>
        <v>0.3</v>
      </c>
      <c r="G273" s="925">
        <f t="shared" si="288"/>
        <v>0.3</v>
      </c>
      <c r="H273" s="925">
        <f t="shared" si="288"/>
        <v>0.3</v>
      </c>
      <c r="I273" s="925">
        <f t="shared" si="288"/>
        <v>0.3</v>
      </c>
      <c r="J273" s="925">
        <f t="shared" si="288"/>
        <v>0.3</v>
      </c>
      <c r="K273" s="925">
        <f t="shared" si="288"/>
        <v>0.3</v>
      </c>
      <c r="L273" s="925">
        <f t="shared" si="288"/>
        <v>0.3</v>
      </c>
      <c r="M273" s="925">
        <f t="shared" si="288"/>
        <v>0.3</v>
      </c>
      <c r="N273" s="925">
        <f t="shared" si="288"/>
        <v>0.3</v>
      </c>
    </row>
    <row r="274" spans="2:14" outlineLevel="1">
      <c r="B274" s="685" t="str">
        <f t="shared" si="287"/>
        <v>Retail data compenent, MXN</v>
      </c>
      <c r="C274" s="685">
        <f t="shared" si="287"/>
        <v>0</v>
      </c>
      <c r="D274" s="685">
        <f t="shared" si="287"/>
        <v>0</v>
      </c>
      <c r="E274" s="685">
        <f t="shared" si="287"/>
        <v>0</v>
      </c>
      <c r="F274" s="796">
        <f t="shared" si="288"/>
        <v>161.60000000000005</v>
      </c>
      <c r="G274" s="796">
        <f t="shared" si="288"/>
        <v>155.75903614457837</v>
      </c>
      <c r="H274" s="796">
        <f t="shared" si="288"/>
        <v>150.32558139534891</v>
      </c>
      <c r="I274" s="796">
        <f t="shared" si="288"/>
        <v>145.25842696629218</v>
      </c>
      <c r="J274" s="796">
        <f t="shared" si="288"/>
        <v>143.6444444444445</v>
      </c>
      <c r="K274" s="796">
        <f t="shared" si="288"/>
        <v>143.6444444444445</v>
      </c>
      <c r="L274" s="796">
        <f t="shared" si="288"/>
        <v>143.6444444444445</v>
      </c>
      <c r="M274" s="796">
        <f t="shared" si="288"/>
        <v>143.6444444444445</v>
      </c>
      <c r="N274" s="796">
        <f t="shared" si="288"/>
        <v>143.6444444444445</v>
      </c>
    </row>
    <row r="275" spans="2:14" outlineLevel="1">
      <c r="B275" s="685" t="str">
        <f t="shared" si="287"/>
        <v>% change</v>
      </c>
      <c r="C275" s="685">
        <f t="shared" si="287"/>
        <v>0</v>
      </c>
      <c r="D275" s="685">
        <f t="shared" si="287"/>
        <v>0</v>
      </c>
      <c r="E275" s="685">
        <f t="shared" si="287"/>
        <v>0</v>
      </c>
      <c r="F275" s="789">
        <f t="shared" si="288"/>
        <v>0</v>
      </c>
      <c r="G275" s="789">
        <f t="shared" si="288"/>
        <v>-3.6144578313253017E-2</v>
      </c>
      <c r="H275" s="789">
        <f t="shared" si="288"/>
        <v>-3.4883720930232509E-2</v>
      </c>
      <c r="I275" s="789">
        <f t="shared" si="288"/>
        <v>-3.3707865168539519E-2</v>
      </c>
      <c r="J275" s="789">
        <f t="shared" si="288"/>
        <v>-1.1111111111111072E-2</v>
      </c>
      <c r="K275" s="789">
        <f t="shared" si="288"/>
        <v>0</v>
      </c>
      <c r="L275" s="789">
        <f t="shared" si="288"/>
        <v>0</v>
      </c>
      <c r="M275" s="789">
        <f t="shared" si="288"/>
        <v>0</v>
      </c>
      <c r="N275" s="789">
        <f t="shared" si="288"/>
        <v>0</v>
      </c>
    </row>
    <row r="276" spans="2:14" outlineLevel="1">
      <c r="B276" s="685" t="str">
        <f t="shared" si="287"/>
        <v>Bitstream fees/line/month</v>
      </c>
      <c r="C276" s="685">
        <f t="shared" si="287"/>
        <v>0</v>
      </c>
      <c r="D276" s="685">
        <f t="shared" si="287"/>
        <v>0</v>
      </c>
      <c r="E276" s="685">
        <f t="shared" si="287"/>
        <v>0</v>
      </c>
      <c r="F276" s="796">
        <f t="shared" si="288"/>
        <v>113.12000000000003</v>
      </c>
      <c r="G276" s="796">
        <f t="shared" si="288"/>
        <v>109.03132530120486</v>
      </c>
      <c r="H276" s="796">
        <f t="shared" si="288"/>
        <v>105.22790697674422</v>
      </c>
      <c r="I276" s="796">
        <f t="shared" si="288"/>
        <v>101.68089887640451</v>
      </c>
      <c r="J276" s="796">
        <f t="shared" si="288"/>
        <v>100.55111111111114</v>
      </c>
      <c r="K276" s="796">
        <f t="shared" si="288"/>
        <v>100.55111111111114</v>
      </c>
      <c r="L276" s="796">
        <f t="shared" si="288"/>
        <v>100.55111111111114</v>
      </c>
      <c r="M276" s="796">
        <f t="shared" si="288"/>
        <v>100.55111111111114</v>
      </c>
      <c r="N276" s="796">
        <f t="shared" si="288"/>
        <v>100.55111111111114</v>
      </c>
    </row>
    <row r="277" spans="2:14" outlineLevel="1">
      <c r="F277" s="796"/>
      <c r="G277" s="796"/>
      <c r="H277" s="796"/>
      <c r="I277" s="796"/>
      <c r="J277" s="796"/>
      <c r="K277" s="796"/>
      <c r="L277" s="796"/>
      <c r="M277" s="796"/>
      <c r="N277" s="796"/>
    </row>
    <row r="278" spans="2:14" outlineLevel="1">
      <c r="B278" s="685" t="str">
        <f>B154</f>
        <v>Total bitstream cost, MXN mn</v>
      </c>
      <c r="C278" s="685">
        <f>C154</f>
        <v>0</v>
      </c>
      <c r="D278" s="685">
        <f>D154</f>
        <v>0</v>
      </c>
      <c r="E278" s="685">
        <f>E154</f>
        <v>0</v>
      </c>
      <c r="F278" s="795">
        <f t="shared" ref="F278:N278" si="289">N154</f>
        <v>0</v>
      </c>
      <c r="G278" s="795">
        <f t="shared" si="289"/>
        <v>0</v>
      </c>
      <c r="H278" s="795">
        <f t="shared" si="289"/>
        <v>243.70783255813964</v>
      </c>
      <c r="I278" s="795">
        <f t="shared" si="289"/>
        <v>601.1781465168541</v>
      </c>
      <c r="J278" s="795">
        <f t="shared" si="289"/>
        <v>712.6142511786669</v>
      </c>
      <c r="K278" s="795">
        <f t="shared" si="289"/>
        <v>660.02714624000032</v>
      </c>
      <c r="L278" s="795">
        <f t="shared" si="289"/>
        <v>557.6402131626669</v>
      </c>
      <c r="M278" s="795">
        <f t="shared" si="289"/>
        <v>417.95830988800026</v>
      </c>
      <c r="N278" s="795">
        <f t="shared" si="289"/>
        <v>278.1296824320001</v>
      </c>
    </row>
    <row r="279" spans="2:14" outlineLevel="1"/>
    <row r="280" spans="2:14" outlineLevel="1">
      <c r="B280" s="685" t="str">
        <f t="shared" ref="B280:E281" si="290">B156</f>
        <v>EBITDA from Bitstream / re-selling</v>
      </c>
      <c r="C280" s="685">
        <f t="shared" si="290"/>
        <v>0</v>
      </c>
      <c r="D280" s="685">
        <f t="shared" si="290"/>
        <v>0</v>
      </c>
      <c r="E280" s="685">
        <f t="shared" si="290"/>
        <v>0</v>
      </c>
      <c r="F280" s="795">
        <f t="shared" ref="F280:N281" si="291">N156</f>
        <v>0</v>
      </c>
      <c r="G280" s="795">
        <f t="shared" si="291"/>
        <v>0</v>
      </c>
      <c r="H280" s="795">
        <f t="shared" si="291"/>
        <v>91.157759999999968</v>
      </c>
      <c r="I280" s="795">
        <f t="shared" si="291"/>
        <v>274.48416647191004</v>
      </c>
      <c r="J280" s="795">
        <f t="shared" si="291"/>
        <v>344.96778990933319</v>
      </c>
      <c r="K280" s="795">
        <f t="shared" si="291"/>
        <v>319.51101951999988</v>
      </c>
      <c r="L280" s="795">
        <f t="shared" si="291"/>
        <v>269.94676514133346</v>
      </c>
      <c r="M280" s="795">
        <f t="shared" si="291"/>
        <v>202.32847462400014</v>
      </c>
      <c r="N280" s="795">
        <f t="shared" si="291"/>
        <v>134.63915673600007</v>
      </c>
    </row>
    <row r="281" spans="2:14" outlineLevel="1">
      <c r="B281" s="685" t="str">
        <f t="shared" si="290"/>
        <v>% margin</v>
      </c>
      <c r="C281" s="685">
        <f t="shared" si="290"/>
        <v>0</v>
      </c>
      <c r="D281" s="685">
        <f t="shared" si="290"/>
        <v>0</v>
      </c>
      <c r="E281" s="685">
        <f t="shared" si="290"/>
        <v>0</v>
      </c>
      <c r="F281" s="789">
        <f t="shared" si="291"/>
        <v>0</v>
      </c>
      <c r="G281" s="789" t="e">
        <f t="shared" si="291"/>
        <v>#DIV/0!</v>
      </c>
      <c r="H281" s="789">
        <f t="shared" si="291"/>
        <v>0.15809768637532123</v>
      </c>
      <c r="I281" s="789">
        <f t="shared" si="291"/>
        <v>0.18647641604806325</v>
      </c>
      <c r="J281" s="789">
        <f t="shared" si="291"/>
        <v>0.1955155669808625</v>
      </c>
      <c r="K281" s="789">
        <f t="shared" si="291"/>
        <v>0.1955155669808625</v>
      </c>
      <c r="L281" s="789">
        <f t="shared" si="291"/>
        <v>0.19551556698086264</v>
      </c>
      <c r="M281" s="789">
        <f t="shared" si="291"/>
        <v>0.19551556698086264</v>
      </c>
      <c r="N281" s="789">
        <f t="shared" si="291"/>
        <v>0.19551556698086264</v>
      </c>
    </row>
    <row r="282" spans="2:14" outlineLevel="1"/>
    <row r="283" spans="2:14" outlineLevel="1">
      <c r="B283" s="685" t="str">
        <f t="shared" ref="B283:E287" si="292">B159</f>
        <v>FULL wholesale price per line per month (MXN)</v>
      </c>
      <c r="C283" s="685">
        <f t="shared" si="292"/>
        <v>0</v>
      </c>
      <c r="D283" s="685">
        <f t="shared" si="292"/>
        <v>0</v>
      </c>
      <c r="E283" s="685">
        <f t="shared" si="292"/>
        <v>0</v>
      </c>
      <c r="F283" s="936">
        <f t="shared" ref="F283:N287" si="293">N159</f>
        <v>66</v>
      </c>
      <c r="G283" s="685">
        <f t="shared" si="293"/>
        <v>66</v>
      </c>
      <c r="H283" s="685">
        <f t="shared" si="293"/>
        <v>66</v>
      </c>
      <c r="I283" s="685">
        <f t="shared" si="293"/>
        <v>66</v>
      </c>
      <c r="J283" s="685">
        <f t="shared" si="293"/>
        <v>66</v>
      </c>
      <c r="K283" s="685">
        <f t="shared" si="293"/>
        <v>66</v>
      </c>
      <c r="L283" s="685">
        <f t="shared" si="293"/>
        <v>66</v>
      </c>
      <c r="M283" s="685">
        <f t="shared" si="293"/>
        <v>66</v>
      </c>
      <c r="N283" s="685">
        <f t="shared" si="293"/>
        <v>66</v>
      </c>
    </row>
    <row r="284" spans="2:14" outlineLevel="1">
      <c r="B284" s="685" t="str">
        <f t="shared" si="292"/>
        <v>Implied allowed return on ULL</v>
      </c>
      <c r="C284" s="685">
        <f t="shared" si="292"/>
        <v>0</v>
      </c>
      <c r="D284" s="685">
        <f t="shared" si="292"/>
        <v>0</v>
      </c>
      <c r="E284" s="685">
        <f t="shared" si="292"/>
        <v>0</v>
      </c>
      <c r="F284" s="789">
        <f t="shared" si="293"/>
        <v>0.78791773778920315</v>
      </c>
      <c r="G284" s="789">
        <f t="shared" si="293"/>
        <v>0.77996465295629824</v>
      </c>
      <c r="H284" s="789">
        <f t="shared" si="293"/>
        <v>0.77201156812339333</v>
      </c>
      <c r="I284" s="789">
        <f t="shared" si="293"/>
        <v>0.76405848329048842</v>
      </c>
      <c r="J284" s="789">
        <f t="shared" si="293"/>
        <v>0.76140745501285345</v>
      </c>
      <c r="K284" s="789">
        <f t="shared" si="293"/>
        <v>0.76140745501285345</v>
      </c>
      <c r="L284" s="789">
        <f t="shared" si="293"/>
        <v>0.76140745501285345</v>
      </c>
      <c r="M284" s="789">
        <f t="shared" si="293"/>
        <v>0.76140745501285345</v>
      </c>
      <c r="N284" s="789">
        <f t="shared" si="293"/>
        <v>0.76140745501285345</v>
      </c>
    </row>
    <row r="285" spans="2:14" outlineLevel="1">
      <c r="B285" s="685" t="str">
        <f t="shared" si="292"/>
        <v>FULL costs (MXNm)</v>
      </c>
      <c r="C285" s="685">
        <f t="shared" si="292"/>
        <v>0</v>
      </c>
      <c r="D285" s="685">
        <f t="shared" si="292"/>
        <v>0</v>
      </c>
      <c r="E285" s="685">
        <f t="shared" si="292"/>
        <v>0</v>
      </c>
      <c r="F285" s="795">
        <f t="shared" si="293"/>
        <v>0</v>
      </c>
      <c r="G285" s="795">
        <f t="shared" si="293"/>
        <v>0</v>
      </c>
      <c r="H285" s="795">
        <f t="shared" si="293"/>
        <v>0</v>
      </c>
      <c r="I285" s="795">
        <f t="shared" si="293"/>
        <v>26.37360000000001</v>
      </c>
      <c r="J285" s="795">
        <f t="shared" si="293"/>
        <v>83.969899200000015</v>
      </c>
      <c r="K285" s="795">
        <f t="shared" si="293"/>
        <v>108.30758400000001</v>
      </c>
      <c r="L285" s="795">
        <f t="shared" si="293"/>
        <v>91.506333600000005</v>
      </c>
      <c r="M285" s="795">
        <f t="shared" si="293"/>
        <v>68.585140799999976</v>
      </c>
      <c r="N285" s="795">
        <f t="shared" si="293"/>
        <v>45.639871199999988</v>
      </c>
    </row>
    <row r="286" spans="2:14" outlineLevel="1">
      <c r="B286" s="685" t="str">
        <f t="shared" si="292"/>
        <v>Other ULL costs (backhaul, ancillaries etc.) MXN per line/month</v>
      </c>
      <c r="C286" s="685">
        <f t="shared" si="292"/>
        <v>0</v>
      </c>
      <c r="D286" s="685">
        <f t="shared" si="292"/>
        <v>0</v>
      </c>
      <c r="E286" s="685">
        <f t="shared" si="292"/>
        <v>0</v>
      </c>
      <c r="F286" s="934">
        <f t="shared" si="293"/>
        <v>140</v>
      </c>
      <c r="G286" s="796">
        <f t="shared" si="293"/>
        <v>126</v>
      </c>
      <c r="H286" s="796">
        <f t="shared" si="293"/>
        <v>113.4</v>
      </c>
      <c r="I286" s="796">
        <f t="shared" si="293"/>
        <v>102.06</v>
      </c>
      <c r="J286" s="796">
        <f t="shared" si="293"/>
        <v>91.853999999999999</v>
      </c>
      <c r="K286" s="796">
        <f t="shared" si="293"/>
        <v>82.668599999999998</v>
      </c>
      <c r="L286" s="796">
        <f t="shared" si="293"/>
        <v>74.401740000000004</v>
      </c>
      <c r="M286" s="796">
        <f t="shared" si="293"/>
        <v>66.961566000000005</v>
      </c>
      <c r="N286" s="796">
        <f t="shared" si="293"/>
        <v>60.265409400000003</v>
      </c>
    </row>
    <row r="287" spans="2:14" outlineLevel="1">
      <c r="B287" s="685" t="str">
        <f t="shared" si="292"/>
        <v>FULL other costs (MXNm)</v>
      </c>
      <c r="C287" s="685">
        <f t="shared" si="292"/>
        <v>0</v>
      </c>
      <c r="D287" s="685">
        <f t="shared" si="292"/>
        <v>0</v>
      </c>
      <c r="E287" s="685">
        <f t="shared" si="292"/>
        <v>0</v>
      </c>
      <c r="F287" s="796">
        <f t="shared" si="293"/>
        <v>0</v>
      </c>
      <c r="G287" s="796">
        <f t="shared" si="293"/>
        <v>0</v>
      </c>
      <c r="H287" s="796">
        <f t="shared" si="293"/>
        <v>0</v>
      </c>
      <c r="I287" s="796">
        <f t="shared" si="293"/>
        <v>40.783176000000012</v>
      </c>
      <c r="J287" s="796">
        <f t="shared" si="293"/>
        <v>116.86319880480002</v>
      </c>
      <c r="K287" s="796">
        <f t="shared" si="293"/>
        <v>135.6611566464</v>
      </c>
      <c r="L287" s="796">
        <f t="shared" si="293"/>
        <v>103.15500667970399</v>
      </c>
      <c r="M287" s="796">
        <f t="shared" si="293"/>
        <v>69.584370186340777</v>
      </c>
      <c r="N287" s="796">
        <f t="shared" si="293"/>
        <v>41.674326103504065</v>
      </c>
    </row>
    <row r="288" spans="2:14" outlineLevel="1">
      <c r="F288" s="796"/>
      <c r="G288" s="796"/>
      <c r="H288" s="796"/>
      <c r="I288" s="796"/>
      <c r="J288" s="796"/>
      <c r="K288" s="796"/>
      <c r="L288" s="796"/>
      <c r="M288" s="796"/>
      <c r="N288" s="796"/>
    </row>
    <row r="289" spans="2:14" outlineLevel="1">
      <c r="B289" s="685" t="str">
        <f t="shared" ref="B289:E290" si="294">B164</f>
        <v>EBITDA from ULL</v>
      </c>
      <c r="C289" s="685">
        <f t="shared" si="294"/>
        <v>0</v>
      </c>
      <c r="D289" s="685">
        <f t="shared" si="294"/>
        <v>0</v>
      </c>
      <c r="E289" s="685">
        <f t="shared" si="294"/>
        <v>0</v>
      </c>
      <c r="F289" s="796">
        <f t="shared" ref="F289:N290" si="295">N164</f>
        <v>0</v>
      </c>
      <c r="G289" s="796">
        <f t="shared" si="295"/>
        <v>0</v>
      </c>
      <c r="H289" s="796">
        <f t="shared" si="295"/>
        <v>0</v>
      </c>
      <c r="I289" s="796">
        <f t="shared" si="295"/>
        <v>32.327640000000031</v>
      </c>
      <c r="J289" s="796">
        <f t="shared" si="295"/>
        <v>115.91153994720003</v>
      </c>
      <c r="K289" s="796">
        <f t="shared" si="295"/>
        <v>164.58059439360005</v>
      </c>
      <c r="L289" s="796">
        <f t="shared" si="295"/>
        <v>150.51164173629604</v>
      </c>
      <c r="M289" s="796">
        <f t="shared" si="295"/>
        <v>120.54195346165915</v>
      </c>
      <c r="N289" s="796">
        <f t="shared" si="295"/>
        <v>84.844928968495907</v>
      </c>
    </row>
    <row r="290" spans="2:14" outlineLevel="1">
      <c r="B290" s="685" t="str">
        <f t="shared" si="294"/>
        <v>EBITDA margin on ULL</v>
      </c>
      <c r="C290" s="685">
        <f t="shared" si="294"/>
        <v>0</v>
      </c>
      <c r="D290" s="685">
        <f t="shared" si="294"/>
        <v>0</v>
      </c>
      <c r="E290" s="685">
        <f t="shared" si="294"/>
        <v>0</v>
      </c>
      <c r="F290" s="789">
        <f t="shared" si="295"/>
        <v>0</v>
      </c>
      <c r="G290" s="789">
        <f t="shared" si="295"/>
        <v>0</v>
      </c>
      <c r="H290" s="789">
        <f t="shared" si="295"/>
        <v>0</v>
      </c>
      <c r="I290" s="789">
        <f t="shared" si="295"/>
        <v>0.32495179948586134</v>
      </c>
      <c r="J290" s="789">
        <f t="shared" si="295"/>
        <v>0.36594633676092547</v>
      </c>
      <c r="K290" s="789">
        <f t="shared" si="295"/>
        <v>0.40284142030848336</v>
      </c>
      <c r="L290" s="789">
        <f t="shared" si="295"/>
        <v>0.43604699550128539</v>
      </c>
      <c r="M290" s="789">
        <f t="shared" si="295"/>
        <v>0.46593201317480715</v>
      </c>
      <c r="N290" s="789">
        <f t="shared" si="295"/>
        <v>0.49282852908097691</v>
      </c>
    </row>
    <row r="291" spans="2:14" outlineLevel="1"/>
    <row r="292" spans="2:14" outlineLevel="1">
      <c r="B292" s="939" t="str">
        <f t="shared" ref="B292:E293" si="296">B167</f>
        <v>SKY BB / voice EBITDA</v>
      </c>
      <c r="C292" s="929">
        <f t="shared" si="296"/>
        <v>0</v>
      </c>
      <c r="D292" s="929">
        <f t="shared" si="296"/>
        <v>0</v>
      </c>
      <c r="E292" s="929">
        <f t="shared" si="296"/>
        <v>0</v>
      </c>
      <c r="F292" s="971">
        <f t="shared" ref="F292:N293" si="297">N167</f>
        <v>0</v>
      </c>
      <c r="G292" s="971">
        <f t="shared" si="297"/>
        <v>0</v>
      </c>
      <c r="H292" s="971">
        <f t="shared" si="297"/>
        <v>91.157759999999968</v>
      </c>
      <c r="I292" s="971">
        <f t="shared" si="297"/>
        <v>306.81180647191007</v>
      </c>
      <c r="J292" s="971">
        <f t="shared" si="297"/>
        <v>460.87932985653322</v>
      </c>
      <c r="K292" s="971">
        <f t="shared" si="297"/>
        <v>484.09161391359993</v>
      </c>
      <c r="L292" s="971">
        <f t="shared" si="297"/>
        <v>420.4584068776295</v>
      </c>
      <c r="M292" s="971">
        <f t="shared" si="297"/>
        <v>322.87042808565928</v>
      </c>
      <c r="N292" s="981">
        <f t="shared" si="297"/>
        <v>215.19890784</v>
      </c>
    </row>
    <row r="293" spans="2:14" outlineLevel="1">
      <c r="B293" s="685" t="str">
        <f t="shared" si="296"/>
        <v>BB / ULL margin</v>
      </c>
      <c r="C293" s="685">
        <f t="shared" si="296"/>
        <v>0</v>
      </c>
      <c r="D293" s="685">
        <f t="shared" si="296"/>
        <v>0</v>
      </c>
      <c r="E293" s="685">
        <f t="shared" si="296"/>
        <v>0</v>
      </c>
      <c r="F293" s="789">
        <f t="shared" si="297"/>
        <v>0</v>
      </c>
      <c r="G293" s="789">
        <f t="shared" si="297"/>
        <v>0</v>
      </c>
      <c r="H293" s="789">
        <f t="shared" si="297"/>
        <v>0.15809768637532123</v>
      </c>
      <c r="I293" s="789">
        <f t="shared" si="297"/>
        <v>0.19524301351665388</v>
      </c>
      <c r="J293" s="789">
        <f t="shared" si="297"/>
        <v>0.2214546656369078</v>
      </c>
      <c r="K293" s="789">
        <f t="shared" si="297"/>
        <v>0.23698073764638666</v>
      </c>
      <c r="L293" s="789">
        <f t="shared" si="297"/>
        <v>0.24362185268494721</v>
      </c>
      <c r="M293" s="789">
        <f t="shared" si="297"/>
        <v>0.24959885621965158</v>
      </c>
      <c r="N293" s="789">
        <f t="shared" si="297"/>
        <v>0.25</v>
      </c>
    </row>
    <row r="294" spans="2:14" outlineLevel="1"/>
    <row r="295" spans="2:14" outlineLevel="1">
      <c r="B295" s="685" t="str">
        <f t="shared" ref="B295:E297" si="298">B183</f>
        <v>Bitstream capex/add</v>
      </c>
      <c r="C295" s="685">
        <f t="shared" si="298"/>
        <v>0</v>
      </c>
      <c r="D295" s="685">
        <f t="shared" si="298"/>
        <v>0</v>
      </c>
      <c r="E295" s="685">
        <f t="shared" si="298"/>
        <v>0</v>
      </c>
      <c r="F295" s="910">
        <f t="shared" ref="F295:N297" si="299">N183</f>
        <v>2000</v>
      </c>
      <c r="G295" s="795">
        <f t="shared" si="299"/>
        <v>2000</v>
      </c>
      <c r="H295" s="795">
        <f t="shared" si="299"/>
        <v>2000</v>
      </c>
      <c r="I295" s="795">
        <f t="shared" si="299"/>
        <v>2000</v>
      </c>
      <c r="J295" s="795">
        <f t="shared" si="299"/>
        <v>2000</v>
      </c>
      <c r="K295" s="795">
        <f t="shared" si="299"/>
        <v>2000</v>
      </c>
      <c r="L295" s="795">
        <f t="shared" si="299"/>
        <v>2000</v>
      </c>
      <c r="M295" s="795">
        <f t="shared" si="299"/>
        <v>2000</v>
      </c>
      <c r="N295" s="795">
        <f t="shared" si="299"/>
        <v>2000</v>
      </c>
    </row>
    <row r="296" spans="2:14" outlineLevel="1">
      <c r="B296" s="685" t="str">
        <f t="shared" si="298"/>
        <v>Bistream add</v>
      </c>
      <c r="C296" s="685">
        <f t="shared" si="298"/>
        <v>0</v>
      </c>
      <c r="D296" s="685">
        <f t="shared" si="298"/>
        <v>0</v>
      </c>
      <c r="E296" s="685">
        <f t="shared" si="298"/>
        <v>0</v>
      </c>
      <c r="F296" s="796">
        <f t="shared" si="299"/>
        <v>0</v>
      </c>
      <c r="G296" s="796">
        <f t="shared" si="299"/>
        <v>0</v>
      </c>
      <c r="H296" s="796">
        <f t="shared" si="299"/>
        <v>386</v>
      </c>
      <c r="I296" s="796">
        <f t="shared" si="299"/>
        <v>213.39999999999998</v>
      </c>
      <c r="J296" s="796">
        <f t="shared" si="299"/>
        <v>0</v>
      </c>
      <c r="K296" s="796">
        <f t="shared" si="299"/>
        <v>0</v>
      </c>
      <c r="L296" s="796">
        <f t="shared" si="299"/>
        <v>0</v>
      </c>
      <c r="M296" s="796">
        <f t="shared" si="299"/>
        <v>0</v>
      </c>
      <c r="N296" s="796">
        <f t="shared" si="299"/>
        <v>0</v>
      </c>
    </row>
    <row r="297" spans="2:14" outlineLevel="1">
      <c r="B297" s="685" t="str">
        <f t="shared" si="298"/>
        <v>Bitstream capex</v>
      </c>
      <c r="C297" s="685">
        <f t="shared" si="298"/>
        <v>0</v>
      </c>
      <c r="D297" s="685">
        <f t="shared" si="298"/>
        <v>0</v>
      </c>
      <c r="E297" s="685">
        <f t="shared" si="298"/>
        <v>0</v>
      </c>
      <c r="F297" s="796">
        <f t="shared" si="299"/>
        <v>0</v>
      </c>
      <c r="G297" s="796">
        <f t="shared" si="299"/>
        <v>0</v>
      </c>
      <c r="H297" s="796">
        <f t="shared" si="299"/>
        <v>772</v>
      </c>
      <c r="I297" s="796">
        <f t="shared" si="299"/>
        <v>426.79999999999995</v>
      </c>
      <c r="J297" s="796">
        <f t="shared" si="299"/>
        <v>0</v>
      </c>
      <c r="K297" s="796">
        <f t="shared" si="299"/>
        <v>0</v>
      </c>
      <c r="L297" s="796">
        <f t="shared" si="299"/>
        <v>0</v>
      </c>
      <c r="M297" s="796">
        <f t="shared" si="299"/>
        <v>0</v>
      </c>
      <c r="N297" s="796">
        <f t="shared" si="299"/>
        <v>0</v>
      </c>
    </row>
    <row r="298" spans="2:14" outlineLevel="1"/>
    <row r="299" spans="2:14" outlineLevel="1">
      <c r="B299" s="685" t="str">
        <f t="shared" ref="B299:E301" si="300">B187</f>
        <v>ULL capex/add</v>
      </c>
      <c r="C299" s="685">
        <f t="shared" si="300"/>
        <v>0</v>
      </c>
      <c r="D299" s="685">
        <f t="shared" si="300"/>
        <v>0</v>
      </c>
      <c r="E299" s="685">
        <f t="shared" si="300"/>
        <v>0</v>
      </c>
      <c r="F299" s="910">
        <f t="shared" ref="F299:N301" si="301">N187</f>
        <v>3000</v>
      </c>
      <c r="G299" s="795">
        <f t="shared" si="301"/>
        <v>3000</v>
      </c>
      <c r="H299" s="795">
        <f t="shared" si="301"/>
        <v>3000</v>
      </c>
      <c r="I299" s="795">
        <f t="shared" si="301"/>
        <v>3000</v>
      </c>
      <c r="J299" s="795">
        <f t="shared" si="301"/>
        <v>3000</v>
      </c>
      <c r="K299" s="795">
        <f t="shared" si="301"/>
        <v>3000</v>
      </c>
      <c r="L299" s="795">
        <f t="shared" si="301"/>
        <v>3000</v>
      </c>
      <c r="M299" s="795">
        <f t="shared" si="301"/>
        <v>3000</v>
      </c>
      <c r="N299" s="795">
        <f t="shared" si="301"/>
        <v>3000</v>
      </c>
    </row>
    <row r="300" spans="2:14" outlineLevel="1">
      <c r="B300" s="685" t="str">
        <f t="shared" si="300"/>
        <v>Net FULL add</v>
      </c>
      <c r="C300" s="685">
        <f t="shared" si="300"/>
        <v>0</v>
      </c>
      <c r="D300" s="685">
        <f t="shared" si="300"/>
        <v>0</v>
      </c>
      <c r="E300" s="685">
        <f t="shared" si="300"/>
        <v>0</v>
      </c>
      <c r="F300" s="796">
        <f t="shared" si="301"/>
        <v>0</v>
      </c>
      <c r="G300" s="796">
        <f t="shared" si="301"/>
        <v>0</v>
      </c>
      <c r="H300" s="796">
        <f t="shared" si="301"/>
        <v>0</v>
      </c>
      <c r="I300" s="796">
        <f t="shared" si="301"/>
        <v>66.600000000000023</v>
      </c>
      <c r="J300" s="796">
        <f t="shared" si="301"/>
        <v>78.845199999999977</v>
      </c>
      <c r="K300" s="796">
        <f t="shared" si="301"/>
        <v>-17.386399999999981</v>
      </c>
      <c r="L300" s="796">
        <f t="shared" si="301"/>
        <v>-25.041000000000054</v>
      </c>
      <c r="M300" s="796">
        <f t="shared" si="301"/>
        <v>-32.840800000000002</v>
      </c>
      <c r="N300" s="796">
        <f t="shared" si="301"/>
        <v>-25.101799999999969</v>
      </c>
    </row>
    <row r="301" spans="2:14" outlineLevel="1">
      <c r="B301" s="685" t="str">
        <f t="shared" si="300"/>
        <v>ULL capex</v>
      </c>
      <c r="C301" s="685">
        <f t="shared" si="300"/>
        <v>0</v>
      </c>
      <c r="D301" s="685">
        <f t="shared" si="300"/>
        <v>0</v>
      </c>
      <c r="E301" s="685">
        <f t="shared" si="300"/>
        <v>0</v>
      </c>
      <c r="F301" s="795">
        <f t="shared" si="301"/>
        <v>0</v>
      </c>
      <c r="G301" s="795">
        <f t="shared" si="301"/>
        <v>0</v>
      </c>
      <c r="H301" s="795">
        <f t="shared" si="301"/>
        <v>0</v>
      </c>
      <c r="I301" s="795">
        <f t="shared" si="301"/>
        <v>199.80000000000007</v>
      </c>
      <c r="J301" s="795">
        <f t="shared" si="301"/>
        <v>236.53559999999993</v>
      </c>
      <c r="K301" s="795">
        <f t="shared" si="301"/>
        <v>-52.159199999999942</v>
      </c>
      <c r="L301" s="795">
        <f t="shared" si="301"/>
        <v>-75.123000000000161</v>
      </c>
      <c r="M301" s="795">
        <f t="shared" si="301"/>
        <v>-98.522400000000005</v>
      </c>
      <c r="N301" s="795">
        <f t="shared" si="301"/>
        <v>-75.305399999999906</v>
      </c>
    </row>
    <row r="302" spans="2:14" outlineLevel="1">
      <c r="G302" s="795"/>
    </row>
    <row r="303" spans="2:14" outlineLevel="1">
      <c r="B303" s="939" t="str">
        <f>B192</f>
        <v>SKY BB / voice capex</v>
      </c>
      <c r="C303" s="929"/>
      <c r="D303" s="929"/>
      <c r="E303" s="929"/>
      <c r="F303" s="971"/>
      <c r="G303" s="971">
        <f t="shared" ref="G303:N304" si="302">O192</f>
        <v>0</v>
      </c>
      <c r="H303" s="971">
        <f t="shared" si="302"/>
        <v>772</v>
      </c>
      <c r="I303" s="971">
        <f t="shared" si="302"/>
        <v>626.6</v>
      </c>
      <c r="J303" s="971">
        <f t="shared" si="302"/>
        <v>236.53559999999993</v>
      </c>
      <c r="K303" s="971">
        <f t="shared" si="302"/>
        <v>-52.159199999999942</v>
      </c>
      <c r="L303" s="971">
        <f t="shared" si="302"/>
        <v>-75.123000000000161</v>
      </c>
      <c r="M303" s="971">
        <f t="shared" si="302"/>
        <v>-98.522400000000005</v>
      </c>
      <c r="N303" s="981">
        <f t="shared" si="302"/>
        <v>-75.305399999999906</v>
      </c>
    </row>
    <row r="304" spans="2:14" outlineLevel="1">
      <c r="B304" s="685" t="str">
        <f>B193</f>
        <v>as % sales</v>
      </c>
      <c r="G304" s="789" t="e">
        <f t="shared" si="302"/>
        <v>#DIV/0!</v>
      </c>
      <c r="H304" s="789">
        <f t="shared" si="302"/>
        <v>1.3389031705227075</v>
      </c>
      <c r="I304" s="789">
        <f t="shared" si="302"/>
        <v>0.39874369137335008</v>
      </c>
      <c r="J304" s="789">
        <f t="shared" si="302"/>
        <v>0.11365645802672747</v>
      </c>
      <c r="K304" s="789">
        <f t="shared" si="302"/>
        <v>-2.5533856269717419E-2</v>
      </c>
      <c r="L304" s="789">
        <f t="shared" si="302"/>
        <v>-4.3527740532437111E-2</v>
      </c>
      <c r="M304" s="789">
        <f t="shared" si="302"/>
        <v>-7.6163922777997051E-2</v>
      </c>
      <c r="N304" s="789">
        <f t="shared" si="302"/>
        <v>-8.7483483020263902E-2</v>
      </c>
    </row>
    <row r="305" spans="2:14" outlineLevel="1"/>
    <row r="306" spans="2:14" outlineLevel="1">
      <c r="B306" s="939" t="str">
        <f>B195</f>
        <v>SKY BB / ULL OpFCF</v>
      </c>
      <c r="C306" s="929">
        <f>C195</f>
        <v>0</v>
      </c>
      <c r="D306" s="929">
        <f>D195</f>
        <v>0</v>
      </c>
      <c r="E306" s="929">
        <f>E195</f>
        <v>0</v>
      </c>
      <c r="F306" s="971">
        <f t="shared" ref="F306:N306" si="303">N195</f>
        <v>0</v>
      </c>
      <c r="G306" s="971">
        <f t="shared" si="303"/>
        <v>0</v>
      </c>
      <c r="H306" s="971">
        <f t="shared" si="303"/>
        <v>-680.84224000000006</v>
      </c>
      <c r="I306" s="971">
        <f t="shared" si="303"/>
        <v>-319.78819352808995</v>
      </c>
      <c r="J306" s="971">
        <f t="shared" si="303"/>
        <v>224.34372985653329</v>
      </c>
      <c r="K306" s="971">
        <f t="shared" si="303"/>
        <v>536.25081391359981</v>
      </c>
      <c r="L306" s="971">
        <f t="shared" si="303"/>
        <v>495.58140687762966</v>
      </c>
      <c r="M306" s="971">
        <f t="shared" si="303"/>
        <v>421.39282808565929</v>
      </c>
      <c r="N306" s="981">
        <f t="shared" si="303"/>
        <v>290.50430783999991</v>
      </c>
    </row>
  </sheetData>
  <pageMargins left="0.70866141732283472" right="0.70866141732283472" top="0.74803149606299213" bottom="0.74803149606299213" header="0.31496062992125984" footer="0.31496062992125984"/>
  <pageSetup paperSize="9" scale="35" fitToHeight="2"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sheetPr>
  <dimension ref="A1:AC73"/>
  <sheetViews>
    <sheetView zoomScale="72" zoomScaleNormal="72" workbookViewId="0">
      <selection activeCell="Q8" sqref="Q8"/>
    </sheetView>
  </sheetViews>
  <sheetFormatPr defaultRowHeight="15"/>
  <cols>
    <col min="1" max="1" width="3.42578125" customWidth="1"/>
    <col min="2" max="2" width="30.140625" customWidth="1"/>
  </cols>
  <sheetData>
    <row r="1" spans="1:29">
      <c r="A1" s="685"/>
      <c r="B1" s="806"/>
      <c r="C1" s="806"/>
      <c r="D1" s="806"/>
      <c r="E1" s="806"/>
      <c r="F1" s="806"/>
      <c r="G1" s="806"/>
      <c r="H1" s="806"/>
      <c r="I1" s="806"/>
      <c r="J1" s="806"/>
      <c r="K1" s="806"/>
      <c r="L1" s="806"/>
      <c r="M1" s="806"/>
      <c r="N1" s="806"/>
      <c r="O1" s="806"/>
      <c r="P1" s="806"/>
      <c r="Q1" s="2037"/>
      <c r="R1" s="2037"/>
      <c r="S1" s="2037"/>
      <c r="T1" s="2037"/>
      <c r="U1" s="2037"/>
      <c r="V1" s="2037"/>
      <c r="W1" s="2037"/>
      <c r="X1" s="2037"/>
      <c r="Y1" s="2037"/>
      <c r="Z1" s="2037"/>
      <c r="AA1" s="685"/>
      <c r="AB1" s="685"/>
      <c r="AC1" s="685"/>
    </row>
    <row r="2" spans="1:29">
      <c r="A2" s="685"/>
      <c r="B2" s="905" t="s">
        <v>662</v>
      </c>
      <c r="C2" s="905">
        <f>D2-1</f>
        <v>2012</v>
      </c>
      <c r="D2" s="905">
        <f>E2-1</f>
        <v>2013</v>
      </c>
      <c r="E2" s="905">
        <v>2014</v>
      </c>
      <c r="F2" s="905">
        <f>E2+1</f>
        <v>2015</v>
      </c>
      <c r="G2" s="905">
        <f t="shared" ref="G2:P2" si="0">F2+1</f>
        <v>2016</v>
      </c>
      <c r="H2" s="905">
        <f t="shared" si="0"/>
        <v>2017</v>
      </c>
      <c r="I2" s="905">
        <f t="shared" si="0"/>
        <v>2018</v>
      </c>
      <c r="J2" s="905">
        <f t="shared" si="0"/>
        <v>2019</v>
      </c>
      <c r="K2" s="905">
        <f t="shared" si="0"/>
        <v>2020</v>
      </c>
      <c r="L2" s="905">
        <f t="shared" si="0"/>
        <v>2021</v>
      </c>
      <c r="M2" s="905">
        <f t="shared" si="0"/>
        <v>2022</v>
      </c>
      <c r="N2" s="905">
        <f t="shared" si="0"/>
        <v>2023</v>
      </c>
      <c r="O2" s="905">
        <f t="shared" si="0"/>
        <v>2024</v>
      </c>
      <c r="P2" s="905">
        <f t="shared" si="0"/>
        <v>2025</v>
      </c>
      <c r="Q2" s="1548">
        <f>P2+1</f>
        <v>2026</v>
      </c>
      <c r="R2" s="1548">
        <f>Q2+1</f>
        <v>2027</v>
      </c>
      <c r="S2" s="1548">
        <f t="shared" ref="S2:Z2" si="1">R2+1</f>
        <v>2028</v>
      </c>
      <c r="T2" s="1548">
        <f t="shared" si="1"/>
        <v>2029</v>
      </c>
      <c r="U2" s="1548">
        <f t="shared" si="1"/>
        <v>2030</v>
      </c>
      <c r="V2" s="1548">
        <f t="shared" si="1"/>
        <v>2031</v>
      </c>
      <c r="W2" s="1548">
        <f t="shared" si="1"/>
        <v>2032</v>
      </c>
      <c r="X2" s="1548">
        <f t="shared" si="1"/>
        <v>2033</v>
      </c>
      <c r="Y2" s="1548">
        <f t="shared" si="1"/>
        <v>2034</v>
      </c>
      <c r="Z2" s="1548">
        <f t="shared" si="1"/>
        <v>2035</v>
      </c>
      <c r="AA2" s="685"/>
      <c r="AB2" s="685"/>
      <c r="AC2" s="685"/>
    </row>
    <row r="3" spans="1:29">
      <c r="A3" s="685"/>
      <c r="B3" s="685" t="s">
        <v>663</v>
      </c>
      <c r="C3" s="795">
        <v>100.7754495412844</v>
      </c>
      <c r="D3" s="795">
        <v>105.10299999999999</v>
      </c>
      <c r="E3" s="795">
        <v>109.76816654808124</v>
      </c>
      <c r="F3" s="795">
        <v>113.34070499151689</v>
      </c>
      <c r="G3" s="795">
        <v>116.97855733255579</v>
      </c>
      <c r="H3" s="795">
        <v>120.68272819979359</v>
      </c>
      <c r="I3" s="795">
        <v>123.84323686800283</v>
      </c>
      <c r="J3" s="795">
        <v>126.74981384292558</v>
      </c>
      <c r="K3" s="795">
        <v>129.39309274274802</v>
      </c>
      <c r="L3" s="795">
        <v>132.07918705089156</v>
      </c>
      <c r="M3" s="795">
        <v>134.80871886959241</v>
      </c>
      <c r="N3" s="795">
        <v>137.58231880667151</v>
      </c>
      <c r="O3" s="795">
        <v>140.40062608738316</v>
      </c>
      <c r="P3" s="795">
        <v>143.26428866769481</v>
      </c>
      <c r="Q3" s="795">
        <v>143.26428866769481</v>
      </c>
      <c r="R3" s="795">
        <v>143.26428866769481</v>
      </c>
      <c r="S3" s="795">
        <v>143.26428866769481</v>
      </c>
      <c r="T3" s="795">
        <v>143.26428866769481</v>
      </c>
      <c r="U3" s="795">
        <v>143.26428866769481</v>
      </c>
      <c r="V3" s="795">
        <v>143.26428866769481</v>
      </c>
      <c r="W3" s="795">
        <v>143.26428866769481</v>
      </c>
      <c r="X3" s="795">
        <v>143.26428866769481</v>
      </c>
      <c r="Y3" s="795">
        <v>143.26428866769481</v>
      </c>
      <c r="Z3" s="795">
        <v>143.26428866769481</v>
      </c>
      <c r="AA3" s="685"/>
      <c r="AB3" s="685"/>
      <c r="AC3" s="685"/>
    </row>
    <row r="4" spans="1:29">
      <c r="A4" s="685"/>
      <c r="B4" s="685" t="s">
        <v>664</v>
      </c>
      <c r="C4" s="795">
        <v>114.436338687926</v>
      </c>
      <c r="D4" s="795">
        <v>115.69513841349317</v>
      </c>
      <c r="E4" s="795">
        <v>116.96778493604158</v>
      </c>
      <c r="F4" s="795">
        <v>118.25443057033803</v>
      </c>
      <c r="G4" s="795">
        <v>119.55522930661174</v>
      </c>
      <c r="H4" s="795">
        <v>120.87033682898445</v>
      </c>
      <c r="I4" s="795">
        <v>122.19991053410327</v>
      </c>
      <c r="J4" s="795">
        <v>123.54410954997839</v>
      </c>
      <c r="K4" s="795">
        <v>124.90309475502814</v>
      </c>
      <c r="L4" s="795">
        <v>126.27702879733343</v>
      </c>
      <c r="M4" s="795">
        <v>127.66607611410409</v>
      </c>
      <c r="N4" s="795">
        <v>129.07040295135923</v>
      </c>
      <c r="O4" s="795">
        <v>130.49017738382418</v>
      </c>
      <c r="P4" s="795">
        <v>131.92556933504622</v>
      </c>
      <c r="Q4" s="795">
        <v>131.92556933504622</v>
      </c>
      <c r="R4" s="795">
        <v>131.92556933504622</v>
      </c>
      <c r="S4" s="795">
        <v>131.92556933504622</v>
      </c>
      <c r="T4" s="795">
        <v>131.92556933504622</v>
      </c>
      <c r="U4" s="795">
        <v>131.92556933504622</v>
      </c>
      <c r="V4" s="795">
        <v>131.92556933504622</v>
      </c>
      <c r="W4" s="795">
        <v>131.92556933504622</v>
      </c>
      <c r="X4" s="795">
        <v>131.92556933504622</v>
      </c>
      <c r="Y4" s="795">
        <v>131.92556933504622</v>
      </c>
      <c r="Z4" s="795">
        <v>131.92556933504622</v>
      </c>
      <c r="AA4" s="685"/>
      <c r="AB4" s="685"/>
      <c r="AC4" s="685"/>
    </row>
    <row r="5" spans="1:29">
      <c r="A5" s="685"/>
      <c r="B5" s="685" t="s">
        <v>476</v>
      </c>
      <c r="C5" s="789">
        <f>C3/C4</f>
        <v>0.88062455245186089</v>
      </c>
      <c r="D5" s="789">
        <f t="shared" ref="D5:P5" si="2">D3/D4</f>
        <v>0.90844785218513691</v>
      </c>
      <c r="E5" s="789">
        <f t="shared" si="2"/>
        <v>0.93844785218513693</v>
      </c>
      <c r="F5" s="789">
        <f t="shared" si="2"/>
        <v>0.95844785218513695</v>
      </c>
      <c r="G5" s="789">
        <f t="shared" si="2"/>
        <v>0.97844785218513697</v>
      </c>
      <c r="H5" s="789">
        <f t="shared" si="2"/>
        <v>0.99844785218513699</v>
      </c>
      <c r="I5" s="789">
        <f t="shared" si="2"/>
        <v>1.0134478521851369</v>
      </c>
      <c r="J5" s="789">
        <f t="shared" si="2"/>
        <v>1.0259478521851368</v>
      </c>
      <c r="K5" s="789">
        <f t="shared" si="2"/>
        <v>1.0359478521851369</v>
      </c>
      <c r="L5" s="789">
        <f t="shared" si="2"/>
        <v>1.0459478521851366</v>
      </c>
      <c r="M5" s="789">
        <f t="shared" si="2"/>
        <v>1.0559478521851369</v>
      </c>
      <c r="N5" s="789">
        <f t="shared" si="2"/>
        <v>1.0659478521851369</v>
      </c>
      <c r="O5" s="789">
        <f t="shared" si="2"/>
        <v>1.0759478521851369</v>
      </c>
      <c r="P5" s="789">
        <f t="shared" si="2"/>
        <v>1.0859478521851369</v>
      </c>
      <c r="Q5" s="789">
        <f>Q3/Q4</f>
        <v>1.0859478521851369</v>
      </c>
      <c r="R5" s="789">
        <f>R3/R4</f>
        <v>1.0859478521851369</v>
      </c>
      <c r="S5" s="789">
        <f>S3/S4</f>
        <v>1.0859478521851369</v>
      </c>
      <c r="T5" s="789">
        <f t="shared" ref="T5:Z5" si="3">T3/T4</f>
        <v>1.0859478521851369</v>
      </c>
      <c r="U5" s="789">
        <f t="shared" si="3"/>
        <v>1.0859478521851369</v>
      </c>
      <c r="V5" s="789">
        <f t="shared" si="3"/>
        <v>1.0859478521851369</v>
      </c>
      <c r="W5" s="789">
        <f t="shared" si="3"/>
        <v>1.0859478521851369</v>
      </c>
      <c r="X5" s="789">
        <f t="shared" si="3"/>
        <v>1.0859478521851369</v>
      </c>
      <c r="Y5" s="789">
        <f t="shared" si="3"/>
        <v>1.0859478521851369</v>
      </c>
      <c r="Z5" s="789">
        <f t="shared" si="3"/>
        <v>1.0859478521851369</v>
      </c>
      <c r="AA5" s="685"/>
      <c r="AB5" s="685"/>
      <c r="AC5" s="685"/>
    </row>
    <row r="6" spans="1:29">
      <c r="A6" s="685"/>
      <c r="B6" s="685"/>
      <c r="C6" s="685"/>
      <c r="D6" s="685"/>
      <c r="E6" s="685"/>
      <c r="F6" s="685"/>
      <c r="G6" s="685"/>
      <c r="H6" s="685"/>
      <c r="I6" s="685"/>
      <c r="J6" s="685"/>
      <c r="K6" s="685"/>
      <c r="L6" s="685"/>
      <c r="M6" s="685"/>
      <c r="N6" s="685"/>
      <c r="O6" s="685"/>
      <c r="P6" s="685"/>
      <c r="Q6" s="685"/>
      <c r="R6" s="685"/>
      <c r="S6" s="685"/>
      <c r="T6" s="685"/>
      <c r="U6" s="685"/>
      <c r="V6" s="685"/>
      <c r="W6" s="685"/>
      <c r="X6" s="685"/>
      <c r="Y6" s="685"/>
      <c r="Z6" s="685"/>
      <c r="AA6" s="685"/>
      <c r="AB6" s="685"/>
      <c r="AC6" s="685"/>
    </row>
    <row r="7" spans="1:29">
      <c r="A7" s="685"/>
      <c r="B7" s="685" t="s">
        <v>579</v>
      </c>
      <c r="C7" s="814">
        <f>C8/1000/C3</f>
        <v>0</v>
      </c>
      <c r="D7" s="814">
        <f t="shared" ref="D7:P7" si="4">D8/1000/D3</f>
        <v>0</v>
      </c>
      <c r="E7" s="814">
        <f t="shared" si="4"/>
        <v>0</v>
      </c>
      <c r="F7" s="814">
        <f t="shared" si="4"/>
        <v>0</v>
      </c>
      <c r="G7" s="814">
        <f t="shared" si="4"/>
        <v>0</v>
      </c>
      <c r="H7" s="814">
        <f t="shared" si="4"/>
        <v>0</v>
      </c>
      <c r="I7" s="814">
        <f t="shared" si="4"/>
        <v>0</v>
      </c>
      <c r="J7" s="814">
        <f t="shared" si="4"/>
        <v>0</v>
      </c>
      <c r="K7" s="814">
        <f t="shared" si="4"/>
        <v>5.8360920509207257E-4</v>
      </c>
      <c r="L7" s="814">
        <f t="shared" si="4"/>
        <v>1.1814957639001203E-3</v>
      </c>
      <c r="M7" s="814">
        <f t="shared" si="4"/>
        <v>1.7803002803710691E-3</v>
      </c>
      <c r="N7" s="814">
        <f t="shared" si="4"/>
        <v>2.2386597541853956E-3</v>
      </c>
      <c r="O7" s="814">
        <f t="shared" si="4"/>
        <v>2.3787144637954852E-3</v>
      </c>
      <c r="P7" s="814">
        <f t="shared" si="4"/>
        <v>4.5570323635524095E-3</v>
      </c>
      <c r="Q7" s="814">
        <f>Q8/1000/Q3</f>
        <v>7.2104500682376605E-3</v>
      </c>
      <c r="R7" s="814">
        <f>R8/1000/R3</f>
        <v>9.6534873614449995E-3</v>
      </c>
      <c r="S7" s="814">
        <f>S8/1000/S3</f>
        <v>1.1922021990851815E-2</v>
      </c>
      <c r="T7" s="814">
        <f t="shared" ref="T7:Z7" si="5">T8/1000/T3</f>
        <v>1.4016053956458106E-2</v>
      </c>
      <c r="U7" s="814">
        <f t="shared" si="5"/>
        <v>1.6110085922064393E-2</v>
      </c>
      <c r="V7" s="814">
        <f t="shared" si="5"/>
        <v>1.8204117887670686E-2</v>
      </c>
      <c r="W7" s="814">
        <f t="shared" si="5"/>
        <v>2.0298149853276978E-2</v>
      </c>
      <c r="X7" s="814">
        <f t="shared" si="5"/>
        <v>2.2392181818883271E-2</v>
      </c>
      <c r="Y7" s="814">
        <f t="shared" si="5"/>
        <v>2.448621378448956E-2</v>
      </c>
      <c r="Z7" s="814">
        <f t="shared" si="5"/>
        <v>2.6580245750095849E-2</v>
      </c>
      <c r="AA7" s="685"/>
      <c r="AB7" s="685"/>
      <c r="AC7" s="685"/>
    </row>
    <row r="8" spans="1:29">
      <c r="A8" s="685"/>
      <c r="B8" s="685" t="s">
        <v>665</v>
      </c>
      <c r="C8" s="795">
        <f>C12*Cable!G210</f>
        <v>0</v>
      </c>
      <c r="D8" s="795">
        <f>D12*Cable!H210</f>
        <v>0</v>
      </c>
      <c r="E8" s="795">
        <f>E12*Cable!I210</f>
        <v>0</v>
      </c>
      <c r="F8" s="795">
        <f>F12*Cable!J210</f>
        <v>0</v>
      </c>
      <c r="G8" s="795">
        <f>G12*Cable!K210</f>
        <v>0</v>
      </c>
      <c r="H8" s="795">
        <f>H12*Cable!L210</f>
        <v>0</v>
      </c>
      <c r="I8" s="795">
        <f>I12*Cable!M210</f>
        <v>0</v>
      </c>
      <c r="J8" s="795">
        <f>J12*Cable!N210</f>
        <v>0</v>
      </c>
      <c r="K8" s="910">
        <v>75.515000000000001</v>
      </c>
      <c r="L8" s="910">
        <f>Interims!BH262</f>
        <v>156.05099999999999</v>
      </c>
      <c r="M8" s="910">
        <v>240</v>
      </c>
      <c r="N8" s="910">
        <v>308</v>
      </c>
      <c r="O8" s="910">
        <f>Interims!BW262</f>
        <v>333.97300000000001</v>
      </c>
      <c r="P8" s="910">
        <f>Interims!CB262</f>
        <v>652.86</v>
      </c>
      <c r="Q8" s="1992">
        <v>1033</v>
      </c>
      <c r="R8" s="1992">
        <f>Q8+350</f>
        <v>1383</v>
      </c>
      <c r="S8" s="1992">
        <f>R8+325</f>
        <v>1708</v>
      </c>
      <c r="T8" s="1992">
        <f>S8+300</f>
        <v>2008</v>
      </c>
      <c r="U8" s="1992">
        <f t="shared" ref="U8:Z8" si="6">T8+300</f>
        <v>2308</v>
      </c>
      <c r="V8" s="1992">
        <f t="shared" si="6"/>
        <v>2608</v>
      </c>
      <c r="W8" s="1992">
        <f t="shared" si="6"/>
        <v>2908</v>
      </c>
      <c r="X8" s="1992">
        <f t="shared" si="6"/>
        <v>3208</v>
      </c>
      <c r="Y8" s="1992">
        <f t="shared" si="6"/>
        <v>3508</v>
      </c>
      <c r="Z8" s="1992">
        <f t="shared" si="6"/>
        <v>3808</v>
      </c>
      <c r="AA8" s="685"/>
      <c r="AB8" s="685"/>
      <c r="AC8" s="685"/>
    </row>
    <row r="9" spans="1:29">
      <c r="A9" s="685"/>
      <c r="B9" s="685" t="s">
        <v>587</v>
      </c>
      <c r="C9" s="795"/>
      <c r="D9" s="795">
        <f t="shared" ref="D9:P9" si="7">D8-C8</f>
        <v>0</v>
      </c>
      <c r="E9" s="795">
        <f t="shared" si="7"/>
        <v>0</v>
      </c>
      <c r="F9" s="795">
        <f t="shared" si="7"/>
        <v>0</v>
      </c>
      <c r="G9" s="795">
        <f t="shared" si="7"/>
        <v>0</v>
      </c>
      <c r="H9" s="795">
        <f t="shared" si="7"/>
        <v>0</v>
      </c>
      <c r="I9" s="795">
        <f t="shared" si="7"/>
        <v>0</v>
      </c>
      <c r="J9" s="795">
        <f t="shared" si="7"/>
        <v>0</v>
      </c>
      <c r="K9" s="795">
        <f t="shared" si="7"/>
        <v>75.515000000000001</v>
      </c>
      <c r="L9" s="795">
        <f t="shared" si="7"/>
        <v>80.535999999999987</v>
      </c>
      <c r="M9" s="795">
        <f t="shared" si="7"/>
        <v>83.949000000000012</v>
      </c>
      <c r="N9" s="795">
        <f t="shared" si="7"/>
        <v>68</v>
      </c>
      <c r="O9" s="795">
        <f t="shared" si="7"/>
        <v>25.973000000000013</v>
      </c>
      <c r="P9" s="795">
        <f t="shared" si="7"/>
        <v>318.887</v>
      </c>
      <c r="Q9" s="795">
        <f>Q8-P8</f>
        <v>380.14</v>
      </c>
      <c r="R9" s="795">
        <f t="shared" ref="R9:Z9" si="8">R8-Q8</f>
        <v>350</v>
      </c>
      <c r="S9" s="795">
        <f t="shared" si="8"/>
        <v>325</v>
      </c>
      <c r="T9" s="795">
        <f t="shared" si="8"/>
        <v>300</v>
      </c>
      <c r="U9" s="795">
        <f t="shared" si="8"/>
        <v>300</v>
      </c>
      <c r="V9" s="795">
        <f t="shared" si="8"/>
        <v>300</v>
      </c>
      <c r="W9" s="795">
        <f t="shared" si="8"/>
        <v>300</v>
      </c>
      <c r="X9" s="795">
        <f t="shared" si="8"/>
        <v>300</v>
      </c>
      <c r="Y9" s="795">
        <f t="shared" si="8"/>
        <v>300</v>
      </c>
      <c r="Z9" s="795">
        <f t="shared" si="8"/>
        <v>300</v>
      </c>
      <c r="AA9" s="685"/>
      <c r="AB9" s="685"/>
      <c r="AC9" s="685"/>
    </row>
    <row r="10" spans="1:29">
      <c r="A10" s="685"/>
      <c r="B10" s="685"/>
      <c r="C10" s="685"/>
      <c r="D10" s="685"/>
      <c r="E10" s="685"/>
      <c r="F10" s="685"/>
      <c r="G10" s="685"/>
      <c r="H10" s="685"/>
      <c r="I10" s="685"/>
      <c r="J10" s="685"/>
      <c r="K10" s="685"/>
      <c r="L10" s="795"/>
      <c r="M10" s="795"/>
      <c r="N10" s="795"/>
      <c r="O10" s="795"/>
      <c r="P10" s="795"/>
      <c r="Q10" s="795"/>
      <c r="R10" s="795"/>
      <c r="S10" s="795"/>
      <c r="T10" s="795"/>
      <c r="U10" s="795"/>
      <c r="V10" s="795"/>
      <c r="W10" s="795"/>
      <c r="X10" s="795"/>
      <c r="Y10" s="795"/>
      <c r="Z10" s="795"/>
      <c r="AA10" s="685"/>
      <c r="AB10" s="685"/>
      <c r="AC10" s="685"/>
    </row>
    <row r="11" spans="1:29">
      <c r="A11" s="685"/>
      <c r="B11" s="685" t="s">
        <v>666</v>
      </c>
      <c r="C11" s="795">
        <f>Cable!G210</f>
        <v>3303.6052979352689</v>
      </c>
      <c r="D11" s="795">
        <f>Cable!H210</f>
        <v>3990.399700268656</v>
      </c>
      <c r="E11" s="795">
        <f>Cable!I210</f>
        <v>4418.2352941176468</v>
      </c>
      <c r="F11" s="795">
        <f>Cable!J210</f>
        <v>5067.4157303370785</v>
      </c>
      <c r="G11" s="795">
        <f>Cable!K210</f>
        <v>5003.4321076043798</v>
      </c>
      <c r="H11" s="795">
        <f>Cable!L210</f>
        <v>5117.0603583109059</v>
      </c>
      <c r="I11" s="795">
        <f>Cable!M210</f>
        <v>5731.6922869103319</v>
      </c>
      <c r="J11" s="795">
        <f>Cable!N210</f>
        <v>5761.2646102057342</v>
      </c>
      <c r="K11" s="795">
        <f>Cable!O210</f>
        <v>5151.2341329553883</v>
      </c>
      <c r="L11" s="795">
        <f>Cable!P210</f>
        <v>6414.5897777777782</v>
      </c>
      <c r="M11" s="795">
        <f>Cable!Q210</f>
        <v>6967.1533333333336</v>
      </c>
      <c r="N11" s="795">
        <f>Cable!R210</f>
        <v>6706.253333333334</v>
      </c>
      <c r="O11" s="795">
        <f>Cable!S210</f>
        <v>6602.5213333333331</v>
      </c>
      <c r="P11" s="795">
        <f>Cable!T210</f>
        <v>6598.9195555555552</v>
      </c>
      <c r="Q11" s="795">
        <f>Cable!U210</f>
        <v>6572.2528888888883</v>
      </c>
      <c r="R11" s="795">
        <f>Cable!V210</f>
        <v>6550.0306666666665</v>
      </c>
      <c r="S11" s="795">
        <f>Cable!W210</f>
        <v>6522.9958000000006</v>
      </c>
      <c r="T11" s="795">
        <f>Cable!X210</f>
        <v>6501.8682322222221</v>
      </c>
      <c r="U11" s="795">
        <f>Cable!Y210</f>
        <v>6484.2414872777772</v>
      </c>
      <c r="V11" s="795">
        <f>Cable!Z210</f>
        <v>6469.9405240250007</v>
      </c>
      <c r="W11" s="795">
        <f>Cable!AA210</f>
        <v>6458.7990533793054</v>
      </c>
      <c r="X11" s="795">
        <f>Cable!AB210</f>
        <v>6450.6591007103398</v>
      </c>
      <c r="Y11" s="795">
        <f>Cable!AC210</f>
        <v>6445.3705901192679</v>
      </c>
      <c r="Z11" s="795">
        <f>Cable!AD210</f>
        <v>6442.7909495021931</v>
      </c>
      <c r="AA11" s="685"/>
      <c r="AB11" s="685"/>
      <c r="AC11" s="685"/>
    </row>
    <row r="12" spans="1:29">
      <c r="A12" s="685"/>
      <c r="B12" s="685" t="s">
        <v>667</v>
      </c>
      <c r="C12" s="814"/>
      <c r="D12" s="814"/>
      <c r="E12" s="814"/>
      <c r="F12" s="814"/>
      <c r="G12" s="814"/>
      <c r="H12" s="814"/>
      <c r="I12" s="814"/>
      <c r="J12" s="814"/>
      <c r="K12" s="789">
        <f>K8/K11</f>
        <v>1.4659593808188098E-2</v>
      </c>
      <c r="L12" s="814">
        <f>L8/L11</f>
        <v>2.432751047317341E-2</v>
      </c>
      <c r="M12" s="814">
        <f>M8/M11</f>
        <v>3.4447354395338886E-2</v>
      </c>
      <c r="N12" s="814">
        <f>N8/N11</f>
        <v>4.5927283788861732E-2</v>
      </c>
      <c r="O12" s="933">
        <v>4.9000000000000002E-2</v>
      </c>
      <c r="P12" s="933">
        <v>0.06</v>
      </c>
      <c r="Q12" s="933">
        <v>7.0000000000000007E-2</v>
      </c>
      <c r="R12" s="933">
        <v>7.0000000000000007E-2</v>
      </c>
      <c r="S12" s="933">
        <v>7.0000000000000007E-2</v>
      </c>
      <c r="T12" s="933">
        <v>7.0000000000000007E-2</v>
      </c>
      <c r="U12" s="933">
        <v>7.0000000000000007E-2</v>
      </c>
      <c r="V12" s="933">
        <v>7.0000000000000007E-2</v>
      </c>
      <c r="W12" s="933">
        <v>7.0000000000000007E-2</v>
      </c>
      <c r="X12" s="933">
        <v>7.0000000000000007E-2</v>
      </c>
      <c r="Y12" s="933">
        <v>7.0000000000000007E-2</v>
      </c>
      <c r="Z12" s="933">
        <v>7.0000000000000007E-2</v>
      </c>
      <c r="AA12" s="685"/>
      <c r="AB12" s="685"/>
      <c r="AC12" s="685"/>
    </row>
    <row r="13" spans="1:29">
      <c r="A13" s="685"/>
      <c r="B13" s="685" t="s">
        <v>668</v>
      </c>
      <c r="C13" s="814"/>
      <c r="D13" s="814"/>
      <c r="E13" s="814"/>
      <c r="F13" s="814"/>
      <c r="G13" s="814"/>
      <c r="H13" s="814"/>
      <c r="I13" s="814"/>
      <c r="J13" s="814"/>
      <c r="K13" s="789">
        <f>K8/Cable!O198</f>
        <v>1.3904798485838058E-2</v>
      </c>
      <c r="L13" s="789">
        <f>L8/Cable!P198</f>
        <v>2.7624036528283609E-2</v>
      </c>
      <c r="M13" s="789">
        <f>M8/Cable!Q198</f>
        <v>4.010593984008759E-2</v>
      </c>
      <c r="N13" s="789">
        <f>N8/Cable!R198</f>
        <v>5.4240335050298231E-2</v>
      </c>
      <c r="O13" s="789">
        <f>O8/Cable!S198</f>
        <v>5.9360250939976246E-2</v>
      </c>
      <c r="P13" s="789">
        <f>P8/Cable!T198</f>
        <v>0.11518348623853211</v>
      </c>
      <c r="Q13" s="789">
        <f>Q8/Cable!U198</f>
        <v>0.18081568352879399</v>
      </c>
      <c r="R13" s="789">
        <f>R8/Cable!V198</f>
        <v>0.23997917751171266</v>
      </c>
      <c r="S13" s="789">
        <f>S8/Cable!W198</f>
        <v>0.29357167411481611</v>
      </c>
      <c r="T13" s="789">
        <f>T8/Cable!X198</f>
        <v>0.34161279346716572</v>
      </c>
      <c r="U13" s="789">
        <f>U8/Cable!Y198</f>
        <v>0.38868305826877736</v>
      </c>
      <c r="V13" s="789">
        <f>V8/Cable!Z198</f>
        <v>0.43481160386795598</v>
      </c>
      <c r="W13" s="789">
        <f>W8/Cable!AA198</f>
        <v>0.48002641135688345</v>
      </c>
      <c r="X13" s="789">
        <f>X8/Cable!AB198</f>
        <v>0.52435436417129777</v>
      </c>
      <c r="Y13" s="789">
        <f>Y8/Cable!AC198</f>
        <v>0.56782130139203624</v>
      </c>
      <c r="Z13" s="789">
        <f>Z8/Cable!AD198</f>
        <v>0.61045206797050333</v>
      </c>
      <c r="AA13" s="685"/>
      <c r="AB13" s="685"/>
      <c r="AC13" s="685"/>
    </row>
    <row r="14" spans="1:29">
      <c r="A14" s="685"/>
      <c r="B14" s="685"/>
      <c r="C14" s="685"/>
      <c r="D14" s="685"/>
      <c r="E14" s="685"/>
      <c r="F14" s="685"/>
      <c r="G14" s="685"/>
      <c r="H14" s="685"/>
      <c r="I14" s="685"/>
      <c r="J14" s="685"/>
      <c r="K14" s="685"/>
      <c r="L14" s="685"/>
      <c r="M14" s="685"/>
      <c r="N14" s="685"/>
      <c r="O14" s="685"/>
      <c r="P14" s="685"/>
      <c r="Q14" s="685"/>
      <c r="R14" s="685"/>
      <c r="S14" s="685"/>
      <c r="T14" s="685"/>
      <c r="U14" s="685"/>
      <c r="V14" s="685"/>
      <c r="W14" s="685"/>
      <c r="X14" s="685"/>
      <c r="Y14" s="685"/>
      <c r="Z14" s="685"/>
      <c r="AA14" s="685"/>
      <c r="AB14" s="685"/>
      <c r="AC14" s="685"/>
    </row>
    <row r="15" spans="1:29">
      <c r="A15" s="685"/>
      <c r="B15" s="685" t="s">
        <v>669</v>
      </c>
      <c r="C15" s="796"/>
      <c r="D15" s="796"/>
      <c r="E15" s="796"/>
      <c r="F15" s="796"/>
      <c r="G15" s="796"/>
      <c r="H15" s="796"/>
      <c r="I15" s="796"/>
      <c r="J15" s="796"/>
      <c r="K15" s="934">
        <v>164.87520406021414</v>
      </c>
      <c r="L15" s="934">
        <v>162.40207599931094</v>
      </c>
      <c r="M15" s="934">
        <v>159.96604485932127</v>
      </c>
      <c r="N15" s="934">
        <v>157.56655418643146</v>
      </c>
      <c r="O15" s="934">
        <v>155.20305587363498</v>
      </c>
      <c r="P15" s="934">
        <v>152.87501003553047</v>
      </c>
      <c r="Q15" s="934">
        <v>152.87501003553047</v>
      </c>
      <c r="R15" s="934">
        <v>152.87501003553047</v>
      </c>
      <c r="S15" s="934">
        <v>152.87501003553047</v>
      </c>
      <c r="T15" s="934">
        <v>152.87501003553047</v>
      </c>
      <c r="U15" s="934">
        <v>152.87501003553047</v>
      </c>
      <c r="V15" s="934">
        <v>152.87501003553047</v>
      </c>
      <c r="W15" s="934">
        <v>152.87501003553047</v>
      </c>
      <c r="X15" s="934">
        <v>152.87501003553047</v>
      </c>
      <c r="Y15" s="934">
        <v>152.87501003553047</v>
      </c>
      <c r="Z15" s="934">
        <v>152.87501003553047</v>
      </c>
      <c r="AA15" s="685"/>
      <c r="AB15" s="685"/>
      <c r="AC15" s="685"/>
    </row>
    <row r="16" spans="1:29">
      <c r="A16" s="685"/>
      <c r="B16" s="685"/>
      <c r="C16" s="685"/>
      <c r="D16" s="685"/>
      <c r="E16" s="685"/>
      <c r="F16" s="685"/>
      <c r="G16" s="685"/>
      <c r="H16" s="685"/>
      <c r="I16" s="685"/>
      <c r="J16" s="685"/>
      <c r="K16" s="685"/>
      <c r="L16" s="685"/>
      <c r="M16" s="685"/>
      <c r="N16" s="685"/>
      <c r="O16" s="685"/>
      <c r="P16" s="685"/>
      <c r="Q16" s="685"/>
      <c r="R16" s="685"/>
      <c r="S16" s="685"/>
      <c r="T16" s="685"/>
      <c r="U16" s="685"/>
      <c r="V16" s="685"/>
      <c r="W16" s="685"/>
      <c r="X16" s="685"/>
      <c r="Y16" s="685"/>
      <c r="Z16" s="685"/>
      <c r="AA16" s="685"/>
      <c r="AB16" s="685"/>
      <c r="AC16" s="685"/>
    </row>
    <row r="17" spans="1:29">
      <c r="A17" s="685"/>
      <c r="B17" s="685" t="s">
        <v>670</v>
      </c>
      <c r="C17" s="789"/>
      <c r="D17" s="789"/>
      <c r="E17" s="789"/>
      <c r="F17" s="789"/>
      <c r="G17" s="789"/>
      <c r="H17" s="789"/>
      <c r="I17" s="789"/>
      <c r="J17" s="789"/>
      <c r="K17" s="789">
        <f t="shared" ref="K17:P17" si="9">K18/K15-1</f>
        <v>-9.0220989535707008E-2</v>
      </c>
      <c r="L17" s="789">
        <f t="shared" si="9"/>
        <v>-7.6366486838281289E-2</v>
      </c>
      <c r="M17" s="789">
        <f t="shared" si="9"/>
        <v>-6.2301001866275407E-2</v>
      </c>
      <c r="N17" s="789">
        <f t="shared" si="9"/>
        <v>-4.8021321691650187E-2</v>
      </c>
      <c r="O17" s="789">
        <f t="shared" si="9"/>
        <v>-3.3524184458528117E-2</v>
      </c>
      <c r="P17" s="789">
        <f t="shared" si="9"/>
        <v>-1.8806278638099694E-2</v>
      </c>
      <c r="Q17" s="789">
        <f>Q18/Q15-1</f>
        <v>-1.8806278638099694E-2</v>
      </c>
      <c r="R17" s="789">
        <f>R18/R15-1</f>
        <v>-1.8806278638099694E-2</v>
      </c>
      <c r="S17" s="789">
        <f>S18/S15-1</f>
        <v>-1.8806278638099694E-2</v>
      </c>
      <c r="T17" s="789">
        <f t="shared" ref="T17:Z17" si="10">T18/T15-1</f>
        <v>-1.8806278638099694E-2</v>
      </c>
      <c r="U17" s="789">
        <f t="shared" si="10"/>
        <v>-1.8806278638099694E-2</v>
      </c>
      <c r="V17" s="789">
        <f t="shared" si="10"/>
        <v>-1.8806278638099694E-2</v>
      </c>
      <c r="W17" s="789">
        <f t="shared" si="10"/>
        <v>-1.8806278638099694E-2</v>
      </c>
      <c r="X17" s="789">
        <f t="shared" si="10"/>
        <v>-1.8806278638099694E-2</v>
      </c>
      <c r="Y17" s="789">
        <f t="shared" si="10"/>
        <v>-1.8806278638099694E-2</v>
      </c>
      <c r="Z17" s="789">
        <f t="shared" si="10"/>
        <v>-1.8806278638099694E-2</v>
      </c>
      <c r="AA17" s="685"/>
      <c r="AB17" s="685"/>
      <c r="AC17" s="685"/>
    </row>
    <row r="18" spans="1:29">
      <c r="A18" s="685"/>
      <c r="B18" s="685" t="s">
        <v>671</v>
      </c>
      <c r="C18" s="796">
        <f>(1-C17)*C15</f>
        <v>0</v>
      </c>
      <c r="D18" s="796">
        <f t="shared" ref="D18:J18" si="11">(1-D17)*D15</f>
        <v>0</v>
      </c>
      <c r="E18" s="796">
        <f t="shared" si="11"/>
        <v>0</v>
      </c>
      <c r="F18" s="796">
        <f t="shared" si="11"/>
        <v>0</v>
      </c>
      <c r="G18" s="796">
        <f t="shared" si="11"/>
        <v>0</v>
      </c>
      <c r="H18" s="796">
        <f t="shared" si="11"/>
        <v>0</v>
      </c>
      <c r="I18" s="796">
        <f t="shared" si="11"/>
        <v>0</v>
      </c>
      <c r="J18" s="796">
        <f t="shared" si="11"/>
        <v>0</v>
      </c>
      <c r="K18" s="934">
        <v>150</v>
      </c>
      <c r="L18" s="934">
        <f t="shared" ref="L18:Z18" si="12">K18</f>
        <v>150</v>
      </c>
      <c r="M18" s="934">
        <f t="shared" si="12"/>
        <v>150</v>
      </c>
      <c r="N18" s="934">
        <f t="shared" si="12"/>
        <v>150</v>
      </c>
      <c r="O18" s="934">
        <f t="shared" si="12"/>
        <v>150</v>
      </c>
      <c r="P18" s="934">
        <f t="shared" si="12"/>
        <v>150</v>
      </c>
      <c r="Q18" s="934">
        <f t="shared" si="12"/>
        <v>150</v>
      </c>
      <c r="R18" s="934">
        <f t="shared" si="12"/>
        <v>150</v>
      </c>
      <c r="S18" s="934">
        <f t="shared" si="12"/>
        <v>150</v>
      </c>
      <c r="T18" s="934">
        <f t="shared" si="12"/>
        <v>150</v>
      </c>
      <c r="U18" s="934">
        <f t="shared" si="12"/>
        <v>150</v>
      </c>
      <c r="V18" s="934">
        <f t="shared" si="12"/>
        <v>150</v>
      </c>
      <c r="W18" s="934">
        <f t="shared" si="12"/>
        <v>150</v>
      </c>
      <c r="X18" s="934">
        <f t="shared" si="12"/>
        <v>150</v>
      </c>
      <c r="Y18" s="934">
        <f t="shared" si="12"/>
        <v>150</v>
      </c>
      <c r="Z18" s="934">
        <f t="shared" si="12"/>
        <v>150</v>
      </c>
      <c r="AA18" s="685"/>
      <c r="AB18" s="685"/>
      <c r="AC18" s="685"/>
    </row>
    <row r="19" spans="1:29">
      <c r="A19" s="685"/>
      <c r="B19" s="685"/>
      <c r="C19" s="685"/>
      <c r="D19" s="685"/>
      <c r="E19" s="685"/>
      <c r="F19" s="685"/>
      <c r="G19" s="685"/>
      <c r="H19" s="685"/>
      <c r="I19" s="685"/>
      <c r="J19" s="685"/>
      <c r="K19" s="685"/>
      <c r="L19" s="685"/>
      <c r="M19" s="685"/>
      <c r="N19" s="685"/>
      <c r="O19" s="685"/>
      <c r="P19" s="685"/>
      <c r="Q19" s="685"/>
      <c r="R19" s="685"/>
      <c r="S19" s="685"/>
      <c r="T19" s="685"/>
      <c r="U19" s="685"/>
      <c r="V19" s="685"/>
      <c r="W19" s="685"/>
      <c r="X19" s="685"/>
      <c r="Y19" s="685"/>
      <c r="Z19" s="685"/>
      <c r="AA19" s="685"/>
      <c r="AB19" s="685"/>
      <c r="AC19" s="685"/>
    </row>
    <row r="20" spans="1:29">
      <c r="A20" s="685"/>
      <c r="B20" s="685" t="s">
        <v>672</v>
      </c>
      <c r="C20" s="795"/>
      <c r="D20" s="795">
        <f>D18*AVERAGE(C8,D8)*12/1000</f>
        <v>0</v>
      </c>
      <c r="E20" s="795">
        <f t="shared" ref="E20:Z20" si="13">E18*AVERAGE(D8,E8)*12/1000</f>
        <v>0</v>
      </c>
      <c r="F20" s="795">
        <f t="shared" si="13"/>
        <v>0</v>
      </c>
      <c r="G20" s="795">
        <f t="shared" si="13"/>
        <v>0</v>
      </c>
      <c r="H20" s="795">
        <f t="shared" si="13"/>
        <v>0</v>
      </c>
      <c r="I20" s="795">
        <f t="shared" si="13"/>
        <v>0</v>
      </c>
      <c r="J20" s="795">
        <f t="shared" si="13"/>
        <v>0</v>
      </c>
      <c r="K20" s="795">
        <f t="shared" si="13"/>
        <v>67.963499999999996</v>
      </c>
      <c r="L20" s="795">
        <f t="shared" si="13"/>
        <v>208.40939999999998</v>
      </c>
      <c r="M20" s="795">
        <f t="shared" si="13"/>
        <v>356.44590000000005</v>
      </c>
      <c r="N20" s="795">
        <f t="shared" si="13"/>
        <v>493.2</v>
      </c>
      <c r="O20" s="795">
        <f t="shared" si="13"/>
        <v>577.77569999999992</v>
      </c>
      <c r="P20" s="795">
        <f t="shared" si="13"/>
        <v>888.14970000000005</v>
      </c>
      <c r="Q20" s="795">
        <f t="shared" si="13"/>
        <v>1517.2740000000003</v>
      </c>
      <c r="R20" s="795">
        <f t="shared" si="13"/>
        <v>2174.4</v>
      </c>
      <c r="S20" s="795">
        <f t="shared" si="13"/>
        <v>2781.9</v>
      </c>
      <c r="T20" s="795">
        <f t="shared" si="13"/>
        <v>3344.4</v>
      </c>
      <c r="U20" s="795">
        <f t="shared" si="13"/>
        <v>3884.4</v>
      </c>
      <c r="V20" s="795">
        <f t="shared" si="13"/>
        <v>4424.3999999999996</v>
      </c>
      <c r="W20" s="795">
        <f t="shared" si="13"/>
        <v>4964.3999999999996</v>
      </c>
      <c r="X20" s="795">
        <f t="shared" si="13"/>
        <v>5504.4</v>
      </c>
      <c r="Y20" s="795">
        <f t="shared" si="13"/>
        <v>6044.4</v>
      </c>
      <c r="Z20" s="795">
        <f t="shared" si="13"/>
        <v>6584.4</v>
      </c>
      <c r="AA20" s="685"/>
      <c r="AB20" s="685"/>
      <c r="AC20" s="685"/>
    </row>
    <row r="21" spans="1:29">
      <c r="A21" s="685"/>
      <c r="B21" s="685"/>
      <c r="C21" s="685"/>
      <c r="D21" s="685"/>
      <c r="E21" s="685"/>
      <c r="F21" s="685"/>
      <c r="G21" s="685"/>
      <c r="H21" s="685"/>
      <c r="I21" s="685"/>
      <c r="J21" s="685"/>
      <c r="K21" s="685"/>
      <c r="L21" s="685"/>
      <c r="M21" s="685"/>
      <c r="N21" s="685"/>
      <c r="O21" s="685"/>
      <c r="P21" s="685"/>
      <c r="Q21" s="685"/>
      <c r="R21" s="685"/>
      <c r="S21" s="685"/>
      <c r="T21" s="685"/>
      <c r="U21" s="685"/>
      <c r="V21" s="685"/>
      <c r="W21" s="685"/>
      <c r="X21" s="685"/>
      <c r="Y21" s="685"/>
      <c r="Z21" s="685"/>
      <c r="AA21" s="685"/>
      <c r="AB21" s="685"/>
      <c r="AC21" s="685"/>
    </row>
    <row r="22" spans="1:29">
      <c r="A22" s="685"/>
      <c r="B22" s="685" t="s">
        <v>673</v>
      </c>
      <c r="C22" s="685"/>
      <c r="D22" s="789"/>
      <c r="E22" s="789"/>
      <c r="F22" s="789"/>
      <c r="G22" s="789"/>
      <c r="H22" s="789"/>
      <c r="I22" s="789"/>
      <c r="J22" s="789"/>
      <c r="K22" s="925">
        <v>1</v>
      </c>
      <c r="L22" s="925">
        <f t="shared" ref="L22:Z22" si="14">K22</f>
        <v>1</v>
      </c>
      <c r="M22" s="925">
        <f t="shared" si="14"/>
        <v>1</v>
      </c>
      <c r="N22" s="925">
        <f t="shared" si="14"/>
        <v>1</v>
      </c>
      <c r="O22" s="925">
        <f t="shared" si="14"/>
        <v>1</v>
      </c>
      <c r="P22" s="925">
        <f t="shared" si="14"/>
        <v>1</v>
      </c>
      <c r="Q22" s="925">
        <f t="shared" si="14"/>
        <v>1</v>
      </c>
      <c r="R22" s="925">
        <f t="shared" si="14"/>
        <v>1</v>
      </c>
      <c r="S22" s="925">
        <f t="shared" si="14"/>
        <v>1</v>
      </c>
      <c r="T22" s="925">
        <f t="shared" si="14"/>
        <v>1</v>
      </c>
      <c r="U22" s="925">
        <f t="shared" si="14"/>
        <v>1</v>
      </c>
      <c r="V22" s="925">
        <f t="shared" si="14"/>
        <v>1</v>
      </c>
      <c r="W22" s="925">
        <f t="shared" si="14"/>
        <v>1</v>
      </c>
      <c r="X22" s="925">
        <f t="shared" si="14"/>
        <v>1</v>
      </c>
      <c r="Y22" s="925">
        <f t="shared" si="14"/>
        <v>1</v>
      </c>
      <c r="Z22" s="925">
        <f t="shared" si="14"/>
        <v>1</v>
      </c>
      <c r="AA22" s="685"/>
      <c r="AB22" s="685"/>
      <c r="AC22" s="685"/>
    </row>
    <row r="23" spans="1:29">
      <c r="A23" s="685"/>
      <c r="B23" s="685"/>
      <c r="C23" s="685"/>
      <c r="D23" s="685"/>
      <c r="E23" s="685"/>
      <c r="F23" s="685"/>
      <c r="G23" s="685"/>
      <c r="H23" s="685"/>
      <c r="I23" s="685"/>
      <c r="J23" s="685"/>
      <c r="K23" s="685"/>
      <c r="L23" s="685"/>
      <c r="M23" s="685"/>
      <c r="N23" s="685"/>
      <c r="O23" s="685"/>
      <c r="P23" s="685"/>
      <c r="Q23" s="685"/>
      <c r="R23" s="685"/>
      <c r="S23" s="685"/>
      <c r="T23" s="685"/>
      <c r="U23" s="685"/>
      <c r="V23" s="685"/>
      <c r="W23" s="685"/>
      <c r="X23" s="685"/>
      <c r="Y23" s="685"/>
      <c r="Z23" s="685"/>
      <c r="AA23" s="685"/>
      <c r="AB23" s="685"/>
      <c r="AC23" s="685"/>
    </row>
    <row r="24" spans="1:29">
      <c r="A24" s="685"/>
      <c r="B24" s="685" t="s">
        <v>674</v>
      </c>
      <c r="C24" s="685"/>
      <c r="D24" s="789"/>
      <c r="E24" s="789"/>
      <c r="F24" s="789"/>
      <c r="G24" s="789"/>
      <c r="H24" s="789"/>
      <c r="I24" s="789"/>
      <c r="J24" s="789"/>
      <c r="K24" s="925">
        <v>-0.1</v>
      </c>
      <c r="L24" s="925">
        <v>0</v>
      </c>
      <c r="M24" s="925">
        <v>0.1</v>
      </c>
      <c r="N24" s="925">
        <v>0.1</v>
      </c>
      <c r="O24" s="925">
        <v>0.1</v>
      </c>
      <c r="P24" s="925">
        <v>0.1</v>
      </c>
      <c r="Q24" s="925">
        <v>0.1</v>
      </c>
      <c r="R24" s="925">
        <v>0.1</v>
      </c>
      <c r="S24" s="925">
        <v>0.1</v>
      </c>
      <c r="T24" s="925">
        <v>0.1</v>
      </c>
      <c r="U24" s="925">
        <v>0.1</v>
      </c>
      <c r="V24" s="925">
        <v>0.1</v>
      </c>
      <c r="W24" s="925">
        <v>0.1</v>
      </c>
      <c r="X24" s="925">
        <v>0.1</v>
      </c>
      <c r="Y24" s="925">
        <v>0.1</v>
      </c>
      <c r="Z24" s="925">
        <v>0.1</v>
      </c>
      <c r="AA24" s="685"/>
      <c r="AB24" s="685"/>
      <c r="AC24" s="685"/>
    </row>
    <row r="25" spans="1:29">
      <c r="A25" s="685"/>
      <c r="B25" s="685"/>
      <c r="C25" s="685"/>
      <c r="D25" s="685"/>
      <c r="E25" s="685"/>
      <c r="F25" s="685"/>
      <c r="G25" s="685"/>
      <c r="H25" s="685"/>
      <c r="I25" s="685"/>
      <c r="J25" s="685"/>
      <c r="K25" s="685"/>
      <c r="L25" s="685"/>
      <c r="M25" s="685"/>
      <c r="N25" s="685"/>
      <c r="O25" s="685"/>
      <c r="P25" s="685"/>
      <c r="Q25" s="685"/>
      <c r="R25" s="685"/>
      <c r="S25" s="685"/>
      <c r="T25" s="685"/>
      <c r="U25" s="685"/>
      <c r="V25" s="685"/>
      <c r="W25" s="685"/>
      <c r="X25" s="685"/>
      <c r="Y25" s="685"/>
      <c r="Z25" s="685"/>
      <c r="AA25" s="685"/>
      <c r="AB25" s="685"/>
      <c r="AC25" s="685"/>
    </row>
    <row r="26" spans="1:29">
      <c r="A26" s="685"/>
      <c r="B26" s="685" t="s">
        <v>675</v>
      </c>
      <c r="C26" s="685"/>
      <c r="D26" s="789"/>
      <c r="E26" s="789"/>
      <c r="F26" s="789"/>
      <c r="G26" s="789"/>
      <c r="H26" s="789"/>
      <c r="I26" s="789"/>
      <c r="J26" s="789"/>
      <c r="K26" s="925">
        <v>0.3</v>
      </c>
      <c r="L26" s="925">
        <v>0.3</v>
      </c>
      <c r="M26" s="925">
        <v>0.3</v>
      </c>
      <c r="N26" s="925">
        <v>0.3</v>
      </c>
      <c r="O26" s="925">
        <v>0.3</v>
      </c>
      <c r="P26" s="925">
        <v>0.3</v>
      </c>
      <c r="Q26" s="925">
        <v>0.3</v>
      </c>
      <c r="R26" s="925">
        <v>0.3</v>
      </c>
      <c r="S26" s="925">
        <v>0.3</v>
      </c>
      <c r="T26" s="925">
        <v>0.3</v>
      </c>
      <c r="U26" s="925">
        <v>0.3</v>
      </c>
      <c r="V26" s="925">
        <v>0.3</v>
      </c>
      <c r="W26" s="925">
        <v>0.3</v>
      </c>
      <c r="X26" s="925">
        <v>0.3</v>
      </c>
      <c r="Y26" s="925">
        <v>0.3</v>
      </c>
      <c r="Z26" s="925">
        <v>0.3</v>
      </c>
      <c r="AA26" s="685"/>
      <c r="AB26" s="685"/>
      <c r="AC26" s="685"/>
    </row>
    <row r="27" spans="1:29">
      <c r="A27" s="685"/>
      <c r="B27" s="685"/>
      <c r="C27" s="685"/>
      <c r="D27" s="685"/>
      <c r="E27" s="685"/>
      <c r="F27" s="685"/>
      <c r="G27" s="685"/>
      <c r="H27" s="685"/>
      <c r="I27" s="685"/>
      <c r="J27" s="685"/>
      <c r="K27" s="685"/>
      <c r="L27" s="685"/>
      <c r="M27" s="685"/>
      <c r="N27" s="685"/>
      <c r="O27" s="685"/>
      <c r="P27" s="685"/>
      <c r="Q27" s="685"/>
      <c r="R27" s="685"/>
      <c r="S27" s="685"/>
      <c r="T27" s="685"/>
      <c r="U27" s="685"/>
      <c r="V27" s="685"/>
      <c r="W27" s="685"/>
      <c r="X27" s="685"/>
      <c r="Y27" s="685"/>
      <c r="Z27" s="685"/>
      <c r="AA27" s="685"/>
      <c r="AB27" s="685"/>
      <c r="AC27" s="685"/>
    </row>
    <row r="28" spans="1:29">
      <c r="A28" s="685"/>
      <c r="B28" s="685" t="s">
        <v>676</v>
      </c>
      <c r="C28" s="685"/>
      <c r="D28" s="789">
        <f>(D22*D24)+(1-D22)*D26</f>
        <v>0</v>
      </c>
      <c r="E28" s="789">
        <f t="shared" ref="E28:P28" si="15">(E22*E24)+(1-E22)*E26</f>
        <v>0</v>
      </c>
      <c r="F28" s="789">
        <f t="shared" si="15"/>
        <v>0</v>
      </c>
      <c r="G28" s="789">
        <f t="shared" si="15"/>
        <v>0</v>
      </c>
      <c r="H28" s="789">
        <f t="shared" si="15"/>
        <v>0</v>
      </c>
      <c r="I28" s="789">
        <f t="shared" si="15"/>
        <v>0</v>
      </c>
      <c r="J28" s="789">
        <f t="shared" si="15"/>
        <v>0</v>
      </c>
      <c r="K28" s="789">
        <f t="shared" si="15"/>
        <v>-0.1</v>
      </c>
      <c r="L28" s="789">
        <f t="shared" si="15"/>
        <v>0</v>
      </c>
      <c r="M28" s="789">
        <f t="shared" si="15"/>
        <v>0.1</v>
      </c>
      <c r="N28" s="789">
        <f t="shared" si="15"/>
        <v>0.1</v>
      </c>
      <c r="O28" s="789">
        <f t="shared" si="15"/>
        <v>0.1</v>
      </c>
      <c r="P28" s="789">
        <f t="shared" si="15"/>
        <v>0.1</v>
      </c>
      <c r="Q28" s="789">
        <f>(Q22*Q24)+(1-Q22)*Q26</f>
        <v>0.1</v>
      </c>
      <c r="R28" s="789">
        <f>(R22*R24)+(1-R22)*R26</f>
        <v>0.1</v>
      </c>
      <c r="S28" s="789">
        <f>(S22*S24)+(1-S22)*S26</f>
        <v>0.1</v>
      </c>
      <c r="T28" s="789">
        <f t="shared" ref="T28:Z28" si="16">(T22*T24)+(1-T22)*T26</f>
        <v>0.1</v>
      </c>
      <c r="U28" s="789">
        <f t="shared" si="16"/>
        <v>0.1</v>
      </c>
      <c r="V28" s="789">
        <f t="shared" si="16"/>
        <v>0.1</v>
      </c>
      <c r="W28" s="789">
        <f t="shared" si="16"/>
        <v>0.1</v>
      </c>
      <c r="X28" s="789">
        <f t="shared" si="16"/>
        <v>0.1</v>
      </c>
      <c r="Y28" s="789">
        <f t="shared" si="16"/>
        <v>0.1</v>
      </c>
      <c r="Z28" s="789">
        <f t="shared" si="16"/>
        <v>0.1</v>
      </c>
      <c r="AA28" s="685"/>
      <c r="AB28" s="685"/>
      <c r="AC28" s="685"/>
    </row>
    <row r="29" spans="1:29">
      <c r="A29" s="685"/>
      <c r="B29" s="685" t="s">
        <v>34</v>
      </c>
      <c r="C29" s="685"/>
      <c r="D29" s="796">
        <f>D28*D20</f>
        <v>0</v>
      </c>
      <c r="E29" s="796">
        <f t="shared" ref="E29:P29" si="17">E28*E20</f>
        <v>0</v>
      </c>
      <c r="F29" s="796">
        <f t="shared" si="17"/>
        <v>0</v>
      </c>
      <c r="G29" s="796">
        <f t="shared" si="17"/>
        <v>0</v>
      </c>
      <c r="H29" s="796">
        <f t="shared" si="17"/>
        <v>0</v>
      </c>
      <c r="I29" s="796">
        <f t="shared" si="17"/>
        <v>0</v>
      </c>
      <c r="J29" s="796">
        <f t="shared" si="17"/>
        <v>0</v>
      </c>
      <c r="K29" s="796">
        <f t="shared" si="17"/>
        <v>-6.7963500000000003</v>
      </c>
      <c r="L29" s="796">
        <f t="shared" si="17"/>
        <v>0</v>
      </c>
      <c r="M29" s="796">
        <f t="shared" si="17"/>
        <v>35.644590000000008</v>
      </c>
      <c r="N29" s="796">
        <f t="shared" si="17"/>
        <v>49.32</v>
      </c>
      <c r="O29" s="796">
        <f t="shared" si="17"/>
        <v>57.777569999999997</v>
      </c>
      <c r="P29" s="796">
        <f t="shared" si="17"/>
        <v>88.814970000000017</v>
      </c>
      <c r="Q29" s="796">
        <f>Q28*Q20</f>
        <v>151.72740000000005</v>
      </c>
      <c r="R29" s="796">
        <f>R28*R20</f>
        <v>217.44000000000003</v>
      </c>
      <c r="S29" s="796">
        <f>S28*S20</f>
        <v>278.19</v>
      </c>
      <c r="T29" s="796">
        <f t="shared" ref="T29:Z29" si="18">T28*T20</f>
        <v>334.44000000000005</v>
      </c>
      <c r="U29" s="796">
        <f t="shared" si="18"/>
        <v>388.44000000000005</v>
      </c>
      <c r="V29" s="796">
        <f t="shared" si="18"/>
        <v>442.44</v>
      </c>
      <c r="W29" s="796">
        <f t="shared" si="18"/>
        <v>496.44</v>
      </c>
      <c r="X29" s="796">
        <f t="shared" si="18"/>
        <v>550.43999999999994</v>
      </c>
      <c r="Y29" s="796">
        <f t="shared" si="18"/>
        <v>604.43999999999994</v>
      </c>
      <c r="Z29" s="796">
        <f t="shared" si="18"/>
        <v>658.44</v>
      </c>
      <c r="AA29" s="685"/>
      <c r="AB29" s="685"/>
      <c r="AC29" s="685"/>
    </row>
    <row r="30" spans="1:29">
      <c r="A30" s="685"/>
      <c r="B30" s="685"/>
      <c r="C30" s="685"/>
      <c r="D30" s="685"/>
      <c r="E30" s="685"/>
      <c r="F30" s="685"/>
      <c r="G30" s="685"/>
      <c r="H30" s="685"/>
      <c r="I30" s="685"/>
      <c r="J30" s="685"/>
      <c r="K30" s="685"/>
      <c r="L30" s="685"/>
      <c r="M30" s="685"/>
      <c r="N30" s="685"/>
      <c r="O30" s="685"/>
      <c r="P30" s="685"/>
      <c r="Q30" s="685"/>
      <c r="R30" s="685"/>
      <c r="S30" s="685"/>
      <c r="T30" s="685"/>
      <c r="U30" s="685"/>
      <c r="V30" s="685"/>
      <c r="W30" s="685"/>
      <c r="X30" s="685"/>
      <c r="Y30" s="685"/>
      <c r="Z30" s="685"/>
      <c r="AA30" s="685"/>
      <c r="AB30" s="685"/>
      <c r="AC30" s="685"/>
    </row>
    <row r="31" spans="1:29">
      <c r="A31" s="685"/>
      <c r="B31" s="685" t="s">
        <v>35</v>
      </c>
      <c r="C31" s="685"/>
      <c r="D31" s="796">
        <f>D32*D20</f>
        <v>0</v>
      </c>
      <c r="E31" s="796">
        <f t="shared" ref="E31:P31" si="19">E32*E20</f>
        <v>0</v>
      </c>
      <c r="F31" s="796">
        <f t="shared" si="19"/>
        <v>0</v>
      </c>
      <c r="G31" s="796">
        <f t="shared" si="19"/>
        <v>0</v>
      </c>
      <c r="H31" s="796">
        <f t="shared" si="19"/>
        <v>0</v>
      </c>
      <c r="I31" s="796">
        <f t="shared" si="19"/>
        <v>0</v>
      </c>
      <c r="J31" s="796">
        <f t="shared" si="19"/>
        <v>0</v>
      </c>
      <c r="K31" s="796">
        <f t="shared" si="19"/>
        <v>0.67963499999999999</v>
      </c>
      <c r="L31" s="796">
        <f t="shared" si="19"/>
        <v>2.0840939999999999</v>
      </c>
      <c r="M31" s="796">
        <f t="shared" si="19"/>
        <v>3.5644590000000007</v>
      </c>
      <c r="N31" s="796">
        <f t="shared" si="19"/>
        <v>4.9320000000000004</v>
      </c>
      <c r="O31" s="796">
        <f t="shared" si="19"/>
        <v>5.7777569999999994</v>
      </c>
      <c r="P31" s="796">
        <f t="shared" si="19"/>
        <v>8.8814970000000013</v>
      </c>
      <c r="Q31" s="796">
        <f>Q32*Q20</f>
        <v>15.172740000000005</v>
      </c>
      <c r="R31" s="796">
        <f>R32*R20</f>
        <v>21.744</v>
      </c>
      <c r="S31" s="796">
        <f>S32*S20</f>
        <v>27.819000000000003</v>
      </c>
      <c r="T31" s="796">
        <f t="shared" ref="T31:Z31" si="20">T32*T20</f>
        <v>33.444000000000003</v>
      </c>
      <c r="U31" s="796">
        <f t="shared" si="20"/>
        <v>38.844000000000001</v>
      </c>
      <c r="V31" s="796">
        <f t="shared" si="20"/>
        <v>44.244</v>
      </c>
      <c r="W31" s="796">
        <f t="shared" si="20"/>
        <v>49.643999999999998</v>
      </c>
      <c r="X31" s="796">
        <f t="shared" si="20"/>
        <v>55.043999999999997</v>
      </c>
      <c r="Y31" s="796">
        <f t="shared" si="20"/>
        <v>60.443999999999996</v>
      </c>
      <c r="Z31" s="796">
        <f t="shared" si="20"/>
        <v>65.843999999999994</v>
      </c>
      <c r="AA31" s="685"/>
      <c r="AB31" s="685"/>
      <c r="AC31" s="685"/>
    </row>
    <row r="32" spans="1:29">
      <c r="A32" s="685"/>
      <c r="B32" s="685" t="s">
        <v>396</v>
      </c>
      <c r="C32" s="685"/>
      <c r="D32" s="925">
        <v>0.01</v>
      </c>
      <c r="E32" s="925">
        <v>0.01</v>
      </c>
      <c r="F32" s="925">
        <v>0.01</v>
      </c>
      <c r="G32" s="925">
        <v>0.01</v>
      </c>
      <c r="H32" s="925">
        <v>0.01</v>
      </c>
      <c r="I32" s="925">
        <v>0.01</v>
      </c>
      <c r="J32" s="925">
        <v>0.01</v>
      </c>
      <c r="K32" s="925">
        <v>0.01</v>
      </c>
      <c r="L32" s="925">
        <v>0.01</v>
      </c>
      <c r="M32" s="925">
        <v>0.01</v>
      </c>
      <c r="N32" s="925">
        <v>0.01</v>
      </c>
      <c r="O32" s="925">
        <v>0.01</v>
      </c>
      <c r="P32" s="925">
        <v>0.01</v>
      </c>
      <c r="Q32" s="925">
        <v>0.01</v>
      </c>
      <c r="R32" s="925">
        <v>0.01</v>
      </c>
      <c r="S32" s="925">
        <v>0.01</v>
      </c>
      <c r="T32" s="925">
        <v>0.01</v>
      </c>
      <c r="U32" s="925">
        <v>0.01</v>
      </c>
      <c r="V32" s="925">
        <v>0.01</v>
      </c>
      <c r="W32" s="925">
        <v>0.01</v>
      </c>
      <c r="X32" s="925">
        <v>0.01</v>
      </c>
      <c r="Y32" s="925">
        <v>0.01</v>
      </c>
      <c r="Z32" s="925">
        <v>0.01</v>
      </c>
      <c r="AA32" s="685"/>
      <c r="AB32" s="685"/>
      <c r="AC32" s="685"/>
    </row>
    <row r="33" spans="1:29">
      <c r="A33" s="685"/>
      <c r="B33" s="685"/>
      <c r="C33" s="685"/>
      <c r="D33" s="685"/>
      <c r="E33" s="685"/>
      <c r="F33" s="685"/>
      <c r="G33" s="685"/>
      <c r="H33" s="685"/>
      <c r="I33" s="685"/>
      <c r="J33" s="685"/>
      <c r="K33" s="685"/>
      <c r="L33" s="685"/>
      <c r="M33" s="685"/>
      <c r="N33" s="685"/>
      <c r="O33" s="685"/>
      <c r="P33" s="685"/>
      <c r="Q33" s="685"/>
      <c r="R33" s="685"/>
      <c r="S33" s="685"/>
      <c r="T33" s="685"/>
      <c r="U33" s="685"/>
      <c r="V33" s="685"/>
      <c r="W33" s="685"/>
      <c r="X33" s="685"/>
      <c r="Y33" s="685"/>
      <c r="Z33" s="685"/>
      <c r="AA33" s="685"/>
      <c r="AB33" s="685"/>
      <c r="AC33" s="685"/>
    </row>
    <row r="34" spans="1:29">
      <c r="A34" s="685"/>
      <c r="B34" s="685" t="s">
        <v>36</v>
      </c>
      <c r="C34" s="685"/>
      <c r="D34" s="796">
        <f>D29-D31</f>
        <v>0</v>
      </c>
      <c r="E34" s="796">
        <f t="shared" ref="E34:P34" si="21">E29-E31</f>
        <v>0</v>
      </c>
      <c r="F34" s="796">
        <f t="shared" si="21"/>
        <v>0</v>
      </c>
      <c r="G34" s="796">
        <f t="shared" si="21"/>
        <v>0</v>
      </c>
      <c r="H34" s="796">
        <f t="shared" si="21"/>
        <v>0</v>
      </c>
      <c r="I34" s="796">
        <f t="shared" si="21"/>
        <v>0</v>
      </c>
      <c r="J34" s="796">
        <f t="shared" si="21"/>
        <v>0</v>
      </c>
      <c r="K34" s="796">
        <f t="shared" si="21"/>
        <v>-7.4759850000000005</v>
      </c>
      <c r="L34" s="796">
        <f t="shared" si="21"/>
        <v>-2.0840939999999999</v>
      </c>
      <c r="M34" s="796">
        <f t="shared" si="21"/>
        <v>32.080131000000009</v>
      </c>
      <c r="N34" s="796">
        <f t="shared" si="21"/>
        <v>44.387999999999998</v>
      </c>
      <c r="O34" s="796">
        <f t="shared" si="21"/>
        <v>51.999812999999996</v>
      </c>
      <c r="P34" s="796">
        <f t="shared" si="21"/>
        <v>79.933473000000021</v>
      </c>
      <c r="Q34" s="796">
        <f>Q29-Q31</f>
        <v>136.55466000000004</v>
      </c>
      <c r="R34" s="796">
        <f>R29-R31</f>
        <v>195.69600000000003</v>
      </c>
      <c r="S34" s="796">
        <f>S29-S31</f>
        <v>250.37099999999998</v>
      </c>
      <c r="T34" s="796">
        <f t="shared" ref="T34:Z34" si="22">T29-T31</f>
        <v>300.99600000000004</v>
      </c>
      <c r="U34" s="796">
        <f t="shared" si="22"/>
        <v>349.59600000000006</v>
      </c>
      <c r="V34" s="796">
        <f t="shared" si="22"/>
        <v>398.19600000000003</v>
      </c>
      <c r="W34" s="796">
        <f t="shared" si="22"/>
        <v>446.79599999999999</v>
      </c>
      <c r="X34" s="796">
        <f t="shared" si="22"/>
        <v>495.39599999999996</v>
      </c>
      <c r="Y34" s="796">
        <f t="shared" si="22"/>
        <v>543.99599999999998</v>
      </c>
      <c r="Z34" s="796">
        <f t="shared" si="22"/>
        <v>592.596</v>
      </c>
      <c r="AA34" s="685"/>
      <c r="AB34" s="685"/>
      <c r="AC34" s="685"/>
    </row>
    <row r="35" spans="1:29">
      <c r="A35" s="685"/>
      <c r="B35" s="685"/>
      <c r="C35" s="685"/>
      <c r="D35" s="685"/>
      <c r="E35" s="685"/>
      <c r="F35" s="685"/>
      <c r="G35" s="685"/>
      <c r="H35" s="685"/>
      <c r="I35" s="685"/>
      <c r="J35" s="685"/>
      <c r="K35" s="685"/>
      <c r="L35" s="685"/>
      <c r="M35" s="685"/>
      <c r="N35" s="685"/>
      <c r="O35" s="685"/>
      <c r="P35" s="685"/>
      <c r="Q35" s="685"/>
      <c r="R35" s="685"/>
      <c r="S35" s="685"/>
      <c r="T35" s="685"/>
      <c r="U35" s="685"/>
      <c r="V35" s="685"/>
      <c r="W35" s="685"/>
      <c r="X35" s="685"/>
      <c r="Y35" s="685"/>
      <c r="Z35" s="685"/>
      <c r="AA35" s="685"/>
      <c r="AB35" s="685"/>
      <c r="AC35" s="685"/>
    </row>
    <row r="36" spans="1:29">
      <c r="A36" s="685"/>
      <c r="B36" s="743" t="s">
        <v>677</v>
      </c>
      <c r="C36" s="743">
        <f>C2</f>
        <v>2012</v>
      </c>
      <c r="D36" s="743">
        <f t="shared" ref="D36:P36" si="23">D2</f>
        <v>2013</v>
      </c>
      <c r="E36" s="743">
        <f t="shared" si="23"/>
        <v>2014</v>
      </c>
      <c r="F36" s="743">
        <f t="shared" si="23"/>
        <v>2015</v>
      </c>
      <c r="G36" s="743">
        <f t="shared" si="23"/>
        <v>2016</v>
      </c>
      <c r="H36" s="743">
        <f t="shared" si="23"/>
        <v>2017</v>
      </c>
      <c r="I36" s="743">
        <f t="shared" si="23"/>
        <v>2018</v>
      </c>
      <c r="J36" s="743">
        <f t="shared" si="23"/>
        <v>2019</v>
      </c>
      <c r="K36" s="743">
        <f t="shared" si="23"/>
        <v>2020</v>
      </c>
      <c r="L36" s="743">
        <f t="shared" si="23"/>
        <v>2021</v>
      </c>
      <c r="M36" s="743">
        <f t="shared" si="23"/>
        <v>2022</v>
      </c>
      <c r="N36" s="743">
        <f t="shared" si="23"/>
        <v>2023</v>
      </c>
      <c r="O36" s="743">
        <f t="shared" si="23"/>
        <v>2024</v>
      </c>
      <c r="P36" s="743">
        <f t="shared" si="23"/>
        <v>2025</v>
      </c>
      <c r="Q36" s="743">
        <f>Q2</f>
        <v>2026</v>
      </c>
      <c r="R36" s="743">
        <f>R2</f>
        <v>2027</v>
      </c>
      <c r="S36" s="743">
        <f>S2</f>
        <v>2028</v>
      </c>
      <c r="T36" s="743">
        <f t="shared" ref="T36:Z36" si="24">T2</f>
        <v>2029</v>
      </c>
      <c r="U36" s="743">
        <f t="shared" si="24"/>
        <v>2030</v>
      </c>
      <c r="V36" s="743">
        <f t="shared" si="24"/>
        <v>2031</v>
      </c>
      <c r="W36" s="743">
        <f t="shared" si="24"/>
        <v>2032</v>
      </c>
      <c r="X36" s="743">
        <f t="shared" si="24"/>
        <v>2033</v>
      </c>
      <c r="Y36" s="743">
        <f t="shared" si="24"/>
        <v>2034</v>
      </c>
      <c r="Z36" s="743">
        <f t="shared" si="24"/>
        <v>2035</v>
      </c>
      <c r="AA36" s="685"/>
      <c r="AB36" s="685"/>
      <c r="AC36" s="685"/>
    </row>
    <row r="37" spans="1:29">
      <c r="A37" s="685"/>
      <c r="B37" s="685" t="s">
        <v>36</v>
      </c>
      <c r="C37" s="795"/>
      <c r="D37" s="795">
        <f>D34</f>
        <v>0</v>
      </c>
      <c r="E37" s="795">
        <f t="shared" ref="E37:P37" si="25">E34</f>
        <v>0</v>
      </c>
      <c r="F37" s="795">
        <f t="shared" si="25"/>
        <v>0</v>
      </c>
      <c r="G37" s="795">
        <f t="shared" si="25"/>
        <v>0</v>
      </c>
      <c r="H37" s="795">
        <f t="shared" si="25"/>
        <v>0</v>
      </c>
      <c r="I37" s="795">
        <f t="shared" si="25"/>
        <v>0</v>
      </c>
      <c r="J37" s="795">
        <f t="shared" si="25"/>
        <v>0</v>
      </c>
      <c r="K37" s="795">
        <f t="shared" si="25"/>
        <v>-7.4759850000000005</v>
      </c>
      <c r="L37" s="795">
        <f t="shared" si="25"/>
        <v>-2.0840939999999999</v>
      </c>
      <c r="M37" s="795">
        <f t="shared" si="25"/>
        <v>32.080131000000009</v>
      </c>
      <c r="N37" s="795">
        <f t="shared" si="25"/>
        <v>44.387999999999998</v>
      </c>
      <c r="O37" s="795">
        <f t="shared" si="25"/>
        <v>51.999812999999996</v>
      </c>
      <c r="P37" s="795">
        <f t="shared" si="25"/>
        <v>79.933473000000021</v>
      </c>
      <c r="Q37" s="795">
        <f>Q34</f>
        <v>136.55466000000004</v>
      </c>
      <c r="R37" s="795">
        <f>R34</f>
        <v>195.69600000000003</v>
      </c>
      <c r="S37" s="795">
        <f>S34</f>
        <v>250.37099999999998</v>
      </c>
      <c r="T37" s="795">
        <f t="shared" ref="T37:Z37" si="26">T34</f>
        <v>300.99600000000004</v>
      </c>
      <c r="U37" s="795">
        <f t="shared" si="26"/>
        <v>349.59600000000006</v>
      </c>
      <c r="V37" s="795">
        <f t="shared" si="26"/>
        <v>398.19600000000003</v>
      </c>
      <c r="W37" s="795">
        <f t="shared" si="26"/>
        <v>446.79599999999999</v>
      </c>
      <c r="X37" s="795">
        <f t="shared" si="26"/>
        <v>495.39599999999996</v>
      </c>
      <c r="Y37" s="795">
        <f t="shared" si="26"/>
        <v>543.99599999999998</v>
      </c>
      <c r="Z37" s="795">
        <f t="shared" si="26"/>
        <v>592.596</v>
      </c>
      <c r="AA37" s="685"/>
      <c r="AB37" s="685"/>
      <c r="AC37" s="685"/>
    </row>
    <row r="38" spans="1:29">
      <c r="A38" s="685"/>
      <c r="B38" s="685" t="s">
        <v>47</v>
      </c>
      <c r="C38" s="795"/>
      <c r="D38" s="795">
        <f t="shared" ref="D38:P38" si="27">D37*(1-0.28)</f>
        <v>0</v>
      </c>
      <c r="E38" s="795">
        <f t="shared" si="27"/>
        <v>0</v>
      </c>
      <c r="F38" s="795">
        <f t="shared" si="27"/>
        <v>0</v>
      </c>
      <c r="G38" s="795">
        <f t="shared" si="27"/>
        <v>0</v>
      </c>
      <c r="H38" s="795">
        <f t="shared" si="27"/>
        <v>0</v>
      </c>
      <c r="I38" s="795">
        <f t="shared" si="27"/>
        <v>0</v>
      </c>
      <c r="J38" s="795">
        <f t="shared" si="27"/>
        <v>0</v>
      </c>
      <c r="K38" s="795">
        <f t="shared" si="27"/>
        <v>-5.3827091999999999</v>
      </c>
      <c r="L38" s="795">
        <f t="shared" si="27"/>
        <v>-1.5005476799999999</v>
      </c>
      <c r="M38" s="795">
        <f t="shared" si="27"/>
        <v>23.097694320000006</v>
      </c>
      <c r="N38" s="795">
        <f t="shared" si="27"/>
        <v>31.959359999999997</v>
      </c>
      <c r="O38" s="795">
        <f t="shared" si="27"/>
        <v>37.439865359999999</v>
      </c>
      <c r="P38" s="795">
        <f t="shared" si="27"/>
        <v>57.552100560000014</v>
      </c>
      <c r="Q38" s="795">
        <f>Q37*(1-0.28)</f>
        <v>98.319355200000032</v>
      </c>
      <c r="R38" s="795">
        <f>R37*(1-0.28)</f>
        <v>140.90112000000002</v>
      </c>
      <c r="S38" s="795">
        <f>S37*(1-0.28)</f>
        <v>180.26711999999998</v>
      </c>
      <c r="T38" s="795">
        <f t="shared" ref="T38:Z38" si="28">T37*(1-0.28)</f>
        <v>216.71712000000002</v>
      </c>
      <c r="U38" s="795">
        <f t="shared" si="28"/>
        <v>251.70912000000004</v>
      </c>
      <c r="V38" s="795">
        <f t="shared" si="28"/>
        <v>286.70112</v>
      </c>
      <c r="W38" s="795">
        <f t="shared" si="28"/>
        <v>321.69311999999996</v>
      </c>
      <c r="X38" s="795">
        <f t="shared" si="28"/>
        <v>356.68511999999998</v>
      </c>
      <c r="Y38" s="795">
        <f t="shared" si="28"/>
        <v>391.67711999999995</v>
      </c>
      <c r="Z38" s="795">
        <f t="shared" si="28"/>
        <v>426.66911999999996</v>
      </c>
      <c r="AA38" s="685"/>
      <c r="AB38" s="685"/>
      <c r="AC38" s="685"/>
    </row>
    <row r="39" spans="1:29">
      <c r="A39" s="685"/>
      <c r="B39" s="685"/>
      <c r="C39" s="685"/>
      <c r="D39" s="685"/>
      <c r="E39" s="685"/>
      <c r="F39" s="685"/>
      <c r="G39" s="685"/>
      <c r="H39" s="685"/>
      <c r="I39" s="685"/>
      <c r="J39" s="685"/>
      <c r="K39" s="685"/>
      <c r="L39" s="685"/>
      <c r="M39" s="685"/>
      <c r="N39" s="685"/>
      <c r="O39" s="685"/>
      <c r="P39" s="685"/>
      <c r="Q39" s="685"/>
      <c r="R39" s="685"/>
      <c r="S39" s="685"/>
      <c r="T39" s="685"/>
      <c r="U39" s="685"/>
      <c r="V39" s="685"/>
      <c r="W39" s="685"/>
      <c r="X39" s="685"/>
      <c r="Y39" s="685"/>
      <c r="Z39" s="685"/>
      <c r="AA39" s="685"/>
      <c r="AB39" s="685"/>
      <c r="AC39" s="685"/>
    </row>
    <row r="40" spans="1:29">
      <c r="A40" s="685"/>
      <c r="B40" s="685" t="s">
        <v>678</v>
      </c>
      <c r="C40" s="795">
        <f>NPV(C42,R38:Z38)</f>
        <v>1642.7848459171237</v>
      </c>
      <c r="D40" s="685"/>
      <c r="E40" s="685"/>
      <c r="F40" s="685"/>
      <c r="G40" s="685"/>
      <c r="H40" s="685"/>
      <c r="I40" s="685"/>
      <c r="J40" s="685"/>
      <c r="K40" s="685"/>
      <c r="L40" s="685"/>
      <c r="M40" s="685"/>
      <c r="N40" s="685"/>
      <c r="O40" s="685"/>
      <c r="P40" s="685"/>
      <c r="Q40" s="685"/>
      <c r="R40" s="685"/>
      <c r="S40" s="685"/>
      <c r="T40" s="685"/>
      <c r="U40" s="685"/>
      <c r="V40" s="685"/>
      <c r="W40" s="685"/>
      <c r="X40" s="685"/>
      <c r="Y40" s="685"/>
      <c r="Z40" s="685"/>
      <c r="AA40" s="685"/>
      <c r="AB40" s="685"/>
      <c r="AC40" s="685"/>
    </row>
    <row r="41" spans="1:29">
      <c r="A41" s="685"/>
      <c r="B41" s="685"/>
      <c r="C41" s="795"/>
      <c r="D41" s="685"/>
      <c r="E41" s="685"/>
      <c r="F41" s="685"/>
      <c r="G41" s="685"/>
      <c r="H41" s="685"/>
      <c r="I41" s="685"/>
      <c r="J41" s="685"/>
      <c r="K41" s="685"/>
      <c r="L41" s="685"/>
      <c r="M41" s="685"/>
      <c r="N41" s="685"/>
      <c r="O41" s="685"/>
      <c r="P41" s="685"/>
      <c r="Q41" s="685"/>
      <c r="R41" s="685"/>
      <c r="S41" s="685"/>
      <c r="T41" s="685"/>
      <c r="U41" s="685"/>
      <c r="V41" s="685"/>
      <c r="W41" s="685"/>
      <c r="X41" s="685"/>
      <c r="Y41" s="685"/>
      <c r="Z41" s="685"/>
      <c r="AA41" s="685"/>
      <c r="AB41" s="685"/>
      <c r="AC41" s="685"/>
    </row>
    <row r="42" spans="1:29">
      <c r="A42" s="685"/>
      <c r="B42" s="685" t="s">
        <v>110</v>
      </c>
      <c r="C42" s="933">
        <v>8.3699999999999997E-2</v>
      </c>
      <c r="D42" s="685"/>
      <c r="E42" s="685"/>
      <c r="F42" s="685"/>
      <c r="G42" s="685"/>
      <c r="H42" s="685"/>
      <c r="I42" s="685"/>
      <c r="J42" s="685"/>
      <c r="K42" s="685"/>
      <c r="L42" s="685"/>
      <c r="M42" s="685"/>
      <c r="N42" s="685"/>
      <c r="O42" s="685"/>
      <c r="P42" s="685"/>
      <c r="Q42" s="685"/>
      <c r="R42" s="685"/>
      <c r="S42" s="685"/>
      <c r="T42" s="685"/>
      <c r="U42" s="685"/>
      <c r="V42" s="685"/>
      <c r="W42" s="685"/>
      <c r="X42" s="685"/>
      <c r="Y42" s="685"/>
      <c r="Z42" s="685"/>
      <c r="AA42" s="685"/>
      <c r="AB42" s="685"/>
      <c r="AC42" s="685"/>
    </row>
    <row r="43" spans="1:29">
      <c r="A43" s="685"/>
      <c r="B43" s="685" t="s">
        <v>679</v>
      </c>
      <c r="C43" s="925">
        <v>0.01</v>
      </c>
      <c r="D43" s="685"/>
      <c r="E43" s="685"/>
      <c r="F43" s="685"/>
      <c r="G43" s="685"/>
      <c r="H43" s="685"/>
      <c r="I43" s="685"/>
      <c r="J43" s="685"/>
      <c r="K43" s="685"/>
      <c r="L43" s="685"/>
      <c r="M43" s="685"/>
      <c r="N43" s="685"/>
      <c r="O43" s="685"/>
      <c r="P43" s="685"/>
      <c r="Q43" s="685"/>
      <c r="R43" s="685"/>
      <c r="S43" s="685"/>
      <c r="T43" s="685"/>
      <c r="U43" s="685"/>
      <c r="V43" s="685"/>
      <c r="W43" s="685"/>
      <c r="X43" s="685"/>
      <c r="Y43" s="685"/>
      <c r="Z43" s="685"/>
      <c r="AA43" s="685"/>
      <c r="AB43" s="685"/>
      <c r="AC43" s="685"/>
    </row>
    <row r="44" spans="1:29">
      <c r="A44" s="685"/>
      <c r="B44" s="685" t="s">
        <v>680</v>
      </c>
      <c r="C44" s="790">
        <f>1/(C42-C43)</f>
        <v>13.568521031207599</v>
      </c>
      <c r="D44" s="685"/>
      <c r="E44" s="685"/>
      <c r="F44" s="685"/>
      <c r="G44" s="685"/>
      <c r="H44" s="685"/>
      <c r="I44" s="685"/>
      <c r="J44" s="685"/>
      <c r="K44" s="685"/>
      <c r="L44" s="685"/>
      <c r="M44" s="685"/>
      <c r="N44" s="685"/>
      <c r="O44" s="685"/>
      <c r="P44" s="685"/>
      <c r="Q44" s="685"/>
      <c r="R44" s="685"/>
      <c r="S44" s="685"/>
      <c r="T44" s="685"/>
      <c r="U44" s="685"/>
      <c r="V44" s="685"/>
      <c r="W44" s="685"/>
      <c r="X44" s="685"/>
      <c r="Y44" s="685"/>
      <c r="Z44" s="685"/>
      <c r="AA44" s="685"/>
      <c r="AB44" s="685"/>
      <c r="AC44" s="685"/>
    </row>
    <row r="45" spans="1:29">
      <c r="A45" s="685"/>
      <c r="B45" s="685" t="s">
        <v>681</v>
      </c>
      <c r="C45" s="795">
        <f>C44*Z38</f>
        <v>5789.2689280868381</v>
      </c>
      <c r="D45" s="685"/>
      <c r="E45" s="685"/>
      <c r="F45" s="685"/>
      <c r="G45" s="685"/>
      <c r="H45" s="685"/>
      <c r="I45" s="685"/>
      <c r="J45" s="685"/>
      <c r="K45" s="685"/>
      <c r="L45" s="685"/>
      <c r="M45" s="685"/>
      <c r="N45" s="685"/>
      <c r="O45" s="685"/>
      <c r="P45" s="685"/>
      <c r="Q45" s="685"/>
      <c r="R45" s="685"/>
      <c r="S45" s="685"/>
      <c r="T45" s="685"/>
      <c r="U45" s="685"/>
      <c r="V45" s="685"/>
      <c r="W45" s="685"/>
      <c r="X45" s="685"/>
      <c r="Y45" s="685"/>
      <c r="Z45" s="685"/>
      <c r="AA45" s="685"/>
      <c r="AB45" s="685"/>
      <c r="AC45" s="685"/>
    </row>
    <row r="46" spans="1:29">
      <c r="A46" s="685"/>
      <c r="B46" s="685" t="s">
        <v>682</v>
      </c>
      <c r="C46" s="795">
        <f>C45/(1+C83)^9</f>
        <v>5789.2689280868381</v>
      </c>
      <c r="D46" s="685"/>
      <c r="E46" s="685"/>
      <c r="F46" s="685"/>
      <c r="G46" s="685"/>
      <c r="H46" s="685"/>
      <c r="I46" s="685"/>
      <c r="J46" s="685"/>
      <c r="K46" s="685"/>
      <c r="L46" s="685"/>
      <c r="M46" s="685"/>
      <c r="N46" s="685"/>
      <c r="O46" s="685"/>
      <c r="P46" s="685"/>
      <c r="Q46" s="685"/>
      <c r="R46" s="685"/>
      <c r="S46" s="685"/>
      <c r="T46" s="685"/>
      <c r="U46" s="685"/>
      <c r="V46" s="685"/>
      <c r="W46" s="685"/>
      <c r="X46" s="685"/>
      <c r="Y46" s="685"/>
      <c r="Z46" s="685"/>
      <c r="AA46" s="685"/>
      <c r="AB46" s="685"/>
      <c r="AC46" s="685"/>
    </row>
    <row r="47" spans="1:29">
      <c r="A47" s="685"/>
      <c r="B47" s="685"/>
      <c r="C47" s="685"/>
      <c r="D47" s="685"/>
      <c r="E47" s="685"/>
      <c r="F47" s="685"/>
      <c r="G47" s="685"/>
      <c r="H47" s="685"/>
      <c r="I47" s="685"/>
      <c r="J47" s="685"/>
      <c r="K47" s="685"/>
      <c r="L47" s="685"/>
      <c r="M47" s="685"/>
      <c r="N47" s="685"/>
      <c r="O47" s="685"/>
      <c r="P47" s="685"/>
      <c r="Q47" s="685"/>
      <c r="R47" s="685"/>
      <c r="S47" s="685"/>
      <c r="T47" s="685"/>
      <c r="U47" s="685"/>
      <c r="V47" s="685"/>
      <c r="W47" s="685"/>
      <c r="X47" s="685"/>
      <c r="Y47" s="685"/>
      <c r="Z47" s="685"/>
      <c r="AA47" s="685"/>
      <c r="AB47" s="685"/>
      <c r="AC47" s="685"/>
    </row>
    <row r="48" spans="1:29">
      <c r="A48" s="685"/>
      <c r="B48" s="685" t="s">
        <v>683</v>
      </c>
      <c r="C48" s="795">
        <f>C46+C40</f>
        <v>7432.0537740039617</v>
      </c>
      <c r="D48" s="790"/>
      <c r="E48" s="685"/>
      <c r="F48" s="685"/>
      <c r="G48" s="685"/>
      <c r="H48" s="685"/>
      <c r="I48" s="685"/>
      <c r="J48" s="685"/>
      <c r="K48" s="685"/>
      <c r="L48" s="685"/>
      <c r="M48" s="685"/>
      <c r="N48" s="685"/>
      <c r="O48" s="685"/>
      <c r="P48" s="685"/>
      <c r="Q48" s="685"/>
      <c r="R48" s="685"/>
      <c r="S48" s="685"/>
      <c r="T48" s="685"/>
      <c r="U48" s="685"/>
      <c r="V48" s="685"/>
      <c r="W48" s="685"/>
      <c r="X48" s="685"/>
      <c r="Y48" s="685"/>
      <c r="Z48" s="685"/>
      <c r="AA48" s="685"/>
      <c r="AB48" s="685"/>
      <c r="AC48" s="685"/>
    </row>
    <row r="49" spans="1:29">
      <c r="A49" s="685"/>
      <c r="B49" s="685" t="s">
        <v>684</v>
      </c>
      <c r="C49" s="795">
        <f>C48/Valuation!J19</f>
        <v>558.38120015056063</v>
      </c>
      <c r="D49" s="789">
        <f>C49/SOP!G7</f>
        <v>0.12216226085625626</v>
      </c>
      <c r="E49" s="685"/>
      <c r="F49" s="685"/>
      <c r="G49" s="685"/>
      <c r="H49" s="685"/>
      <c r="I49" s="685"/>
      <c r="J49" s="685"/>
      <c r="K49" s="685"/>
      <c r="L49" s="685"/>
      <c r="M49" s="685"/>
      <c r="N49" s="685"/>
      <c r="O49" s="685"/>
      <c r="P49" s="685"/>
      <c r="Q49" s="685"/>
      <c r="R49" s="685"/>
      <c r="S49" s="685"/>
      <c r="T49" s="685"/>
      <c r="U49" s="685"/>
      <c r="V49" s="685"/>
      <c r="W49" s="685"/>
      <c r="X49" s="685"/>
      <c r="Y49" s="685"/>
      <c r="Z49" s="685"/>
      <c r="AA49" s="685"/>
      <c r="AB49" s="685"/>
      <c r="AC49" s="685"/>
    </row>
    <row r="50" spans="1:29">
      <c r="A50" s="685"/>
      <c r="B50" s="685" t="s">
        <v>685</v>
      </c>
      <c r="C50" s="790">
        <f>C49/SOP!G33</f>
        <v>0.84543477721019178</v>
      </c>
      <c r="D50" s="790">
        <f>C50*0.7</f>
        <v>0.59180434404713422</v>
      </c>
      <c r="E50" s="685"/>
      <c r="F50" s="685"/>
      <c r="G50" s="685"/>
      <c r="H50" s="685"/>
      <c r="I50" s="685"/>
      <c r="J50" s="685"/>
      <c r="K50" s="685"/>
      <c r="L50" s="685"/>
      <c r="M50" s="685"/>
      <c r="N50" s="685"/>
      <c r="O50" s="685"/>
      <c r="P50" s="685"/>
      <c r="Q50" s="685"/>
      <c r="R50" s="685"/>
      <c r="S50" s="685"/>
      <c r="T50" s="685"/>
      <c r="U50" s="685"/>
      <c r="V50" s="685"/>
      <c r="W50" s="685"/>
      <c r="X50" s="685"/>
      <c r="Y50" s="685"/>
      <c r="Z50" s="685"/>
      <c r="AA50" s="685"/>
      <c r="AB50" s="685"/>
      <c r="AC50" s="685"/>
    </row>
    <row r="51" spans="1:29">
      <c r="A51" s="685"/>
      <c r="B51" s="685"/>
      <c r="C51" s="685"/>
      <c r="D51" s="685"/>
      <c r="E51" s="685"/>
      <c r="F51" s="685"/>
      <c r="G51" s="685"/>
      <c r="H51" s="685"/>
      <c r="I51" s="685"/>
      <c r="J51" s="685"/>
      <c r="K51" s="685"/>
      <c r="L51" s="685"/>
      <c r="M51" s="685"/>
      <c r="N51" s="685"/>
      <c r="O51" s="685"/>
      <c r="P51" s="685"/>
      <c r="Q51" s="685"/>
      <c r="R51" s="685"/>
      <c r="S51" s="685"/>
      <c r="T51" s="685"/>
      <c r="U51" s="685"/>
      <c r="V51" s="685"/>
      <c r="W51" s="685"/>
      <c r="X51" s="685"/>
      <c r="Y51" s="685"/>
      <c r="Z51" s="685"/>
      <c r="AA51" s="685"/>
      <c r="AB51" s="685"/>
      <c r="AC51" s="685"/>
    </row>
    <row r="52" spans="1:29">
      <c r="A52" s="685"/>
      <c r="B52" s="685"/>
      <c r="C52" s="685"/>
      <c r="D52" s="685"/>
      <c r="E52" s="685"/>
      <c r="F52" s="685"/>
      <c r="G52" s="685"/>
      <c r="H52" s="685"/>
      <c r="I52" s="685"/>
      <c r="J52" s="685"/>
      <c r="K52" s="685"/>
      <c r="L52" s="685"/>
      <c r="M52" s="685"/>
      <c r="N52" s="685"/>
      <c r="O52" s="685"/>
      <c r="P52" s="685"/>
      <c r="Q52" s="685"/>
      <c r="R52" s="685"/>
      <c r="S52" s="685"/>
      <c r="T52" s="685"/>
      <c r="U52" s="685"/>
      <c r="V52" s="685"/>
      <c r="W52" s="685"/>
      <c r="X52" s="685"/>
      <c r="Y52" s="685"/>
      <c r="Z52" s="685"/>
      <c r="AA52" s="685"/>
      <c r="AB52" s="685"/>
      <c r="AC52" s="685"/>
    </row>
    <row r="53" spans="1:29">
      <c r="A53" s="685"/>
      <c r="B53" s="685"/>
      <c r="C53" s="685"/>
      <c r="D53" s="685"/>
      <c r="E53" s="685"/>
      <c r="F53" s="685"/>
      <c r="G53" s="685"/>
      <c r="H53" s="685"/>
      <c r="I53" s="685"/>
      <c r="J53" s="685"/>
      <c r="K53" s="685"/>
      <c r="L53" s="685"/>
      <c r="M53" s="685"/>
      <c r="N53" s="685"/>
      <c r="O53" s="685"/>
      <c r="P53" s="685"/>
      <c r="Q53" s="685"/>
      <c r="R53" s="685"/>
      <c r="S53" s="685"/>
      <c r="T53" s="685"/>
      <c r="U53" s="685"/>
      <c r="V53" s="685"/>
      <c r="W53" s="685"/>
      <c r="X53" s="685"/>
      <c r="Y53" s="685"/>
      <c r="Z53" s="685"/>
      <c r="AA53" s="685"/>
      <c r="AB53" s="685"/>
      <c r="AC53" s="685"/>
    </row>
    <row r="54" spans="1:29">
      <c r="A54" s="685"/>
      <c r="B54" s="685"/>
      <c r="C54" s="685"/>
      <c r="D54" s="685"/>
      <c r="E54" s="685"/>
      <c r="F54" s="685"/>
      <c r="G54" s="685"/>
      <c r="H54" s="685"/>
      <c r="I54" s="685"/>
      <c r="J54" s="685"/>
      <c r="K54" s="685"/>
      <c r="L54" s="685"/>
      <c r="M54" s="685"/>
      <c r="N54" s="685"/>
      <c r="O54" s="685"/>
      <c r="P54" s="685"/>
      <c r="Q54" s="685"/>
      <c r="R54" s="685"/>
      <c r="S54" s="685"/>
      <c r="T54" s="685"/>
      <c r="U54" s="685"/>
      <c r="V54" s="685"/>
      <c r="W54" s="685"/>
      <c r="X54" s="685"/>
      <c r="Y54" s="685"/>
      <c r="Z54" s="685"/>
      <c r="AA54" s="685"/>
      <c r="AB54" s="685"/>
      <c r="AC54" s="685"/>
    </row>
    <row r="55" spans="1:29">
      <c r="A55" s="685"/>
      <c r="B55" s="685"/>
      <c r="C55" s="685"/>
      <c r="D55" s="685"/>
      <c r="E55" s="685"/>
      <c r="F55" s="685"/>
      <c r="G55" s="685"/>
      <c r="H55" s="685"/>
      <c r="I55" s="685"/>
      <c r="J55" s="685"/>
      <c r="K55" s="685"/>
      <c r="L55" s="685"/>
      <c r="M55" s="685"/>
      <c r="N55" s="685"/>
      <c r="O55" s="685"/>
      <c r="P55" s="685"/>
      <c r="Q55" s="685"/>
      <c r="R55" s="685"/>
      <c r="S55" s="685"/>
      <c r="T55" s="685"/>
      <c r="U55" s="685"/>
      <c r="V55" s="685"/>
      <c r="W55" s="685"/>
      <c r="X55" s="685"/>
      <c r="Y55" s="685"/>
      <c r="Z55" s="685"/>
      <c r="AA55" s="685"/>
      <c r="AB55" s="685"/>
      <c r="AC55" s="685"/>
    </row>
    <row r="56" spans="1:29">
      <c r="A56" s="685"/>
      <c r="B56" s="685"/>
      <c r="C56" s="685"/>
      <c r="D56" s="685"/>
      <c r="E56" s="685"/>
      <c r="F56" s="685"/>
      <c r="G56" s="685"/>
      <c r="H56" s="685"/>
      <c r="I56" s="685"/>
      <c r="J56" s="685"/>
      <c r="K56" s="685"/>
      <c r="L56" s="685"/>
      <c r="M56" s="685"/>
      <c r="N56" s="685"/>
      <c r="O56" s="685"/>
      <c r="P56" s="685"/>
      <c r="Q56" s="685"/>
      <c r="R56" s="685"/>
      <c r="S56" s="685"/>
      <c r="T56" s="685"/>
      <c r="U56" s="685"/>
      <c r="V56" s="685"/>
      <c r="W56" s="685"/>
      <c r="X56" s="685"/>
      <c r="Y56" s="685"/>
      <c r="Z56" s="685"/>
      <c r="AA56" s="685"/>
      <c r="AB56" s="685"/>
      <c r="AC56" s="685"/>
    </row>
    <row r="57" spans="1:29">
      <c r="A57" s="685"/>
      <c r="B57" s="685"/>
      <c r="C57" s="685"/>
      <c r="D57" s="685"/>
      <c r="E57" s="685"/>
      <c r="F57" s="685"/>
      <c r="G57" s="685"/>
      <c r="H57" s="685"/>
      <c r="I57" s="685"/>
      <c r="J57" s="685"/>
      <c r="K57" s="685"/>
      <c r="L57" s="685"/>
      <c r="M57" s="685"/>
      <c r="N57" s="685"/>
      <c r="O57" s="685"/>
      <c r="P57" s="685"/>
      <c r="Q57" s="685"/>
      <c r="R57" s="685"/>
      <c r="S57" s="685"/>
      <c r="T57" s="685"/>
      <c r="U57" s="685"/>
      <c r="V57" s="685"/>
      <c r="W57" s="685"/>
      <c r="X57" s="685"/>
      <c r="Y57" s="685"/>
      <c r="Z57" s="685"/>
      <c r="AA57" s="685"/>
      <c r="AB57" s="685"/>
      <c r="AC57" s="685"/>
    </row>
    <row r="58" spans="1:29">
      <c r="A58" s="685"/>
      <c r="B58" s="685"/>
      <c r="C58" s="685"/>
      <c r="D58" s="685"/>
      <c r="E58" s="685"/>
      <c r="F58" s="685"/>
      <c r="G58" s="685"/>
      <c r="H58" s="685"/>
      <c r="I58" s="685"/>
      <c r="J58" s="685"/>
      <c r="K58" s="685"/>
      <c r="L58" s="685"/>
      <c r="M58" s="685"/>
      <c r="N58" s="685"/>
      <c r="O58" s="685"/>
      <c r="P58" s="685"/>
      <c r="Q58" s="685"/>
      <c r="R58" s="685"/>
      <c r="S58" s="685"/>
      <c r="T58" s="685"/>
      <c r="U58" s="685"/>
      <c r="V58" s="685"/>
      <c r="W58" s="685"/>
      <c r="X58" s="685"/>
      <c r="Y58" s="685"/>
      <c r="Z58" s="685"/>
      <c r="AA58" s="685"/>
      <c r="AB58" s="685"/>
      <c r="AC58" s="685"/>
    </row>
    <row r="59" spans="1:29">
      <c r="A59" s="685"/>
      <c r="B59" s="685"/>
      <c r="C59" s="685"/>
      <c r="D59" s="685"/>
      <c r="E59" s="685"/>
      <c r="F59" s="685"/>
      <c r="G59" s="685"/>
      <c r="H59" s="685"/>
      <c r="I59" s="685"/>
      <c r="J59" s="685"/>
      <c r="K59" s="685"/>
      <c r="L59" s="685"/>
      <c r="M59" s="685"/>
      <c r="N59" s="685"/>
      <c r="O59" s="685"/>
      <c r="P59" s="685"/>
      <c r="Q59" s="685"/>
      <c r="R59" s="685"/>
      <c r="S59" s="685"/>
      <c r="T59" s="685"/>
      <c r="U59" s="685"/>
      <c r="V59" s="685"/>
      <c r="W59" s="685"/>
      <c r="X59" s="685"/>
      <c r="Y59" s="685"/>
      <c r="Z59" s="685"/>
      <c r="AA59" s="685"/>
      <c r="AB59" s="685"/>
      <c r="AC59" s="685"/>
    </row>
    <row r="60" spans="1:29">
      <c r="A60" s="685"/>
      <c r="B60" s="685"/>
      <c r="C60" s="685"/>
      <c r="D60" s="685"/>
      <c r="E60" s="685"/>
      <c r="F60" s="685"/>
      <c r="G60" s="685"/>
      <c r="H60" s="685"/>
      <c r="I60" s="685"/>
      <c r="J60" s="685"/>
      <c r="K60" s="685"/>
      <c r="L60" s="685"/>
      <c r="M60" s="685"/>
      <c r="N60" s="685"/>
      <c r="O60" s="685"/>
      <c r="P60" s="685"/>
      <c r="Q60" s="685"/>
      <c r="R60" s="685"/>
      <c r="S60" s="685"/>
      <c r="T60" s="685"/>
      <c r="U60" s="685"/>
      <c r="V60" s="685"/>
      <c r="W60" s="685"/>
      <c r="X60" s="685"/>
      <c r="Y60" s="685"/>
      <c r="Z60" s="685"/>
      <c r="AA60" s="685"/>
      <c r="AB60" s="685"/>
      <c r="AC60" s="685"/>
    </row>
    <row r="61" spans="1:29">
      <c r="A61" s="685"/>
      <c r="B61" s="685"/>
      <c r="C61" s="685"/>
      <c r="D61" s="685"/>
      <c r="E61" s="685"/>
      <c r="F61" s="685"/>
      <c r="G61" s="685"/>
      <c r="H61" s="685"/>
      <c r="I61" s="685"/>
      <c r="J61" s="685"/>
      <c r="K61" s="685"/>
      <c r="L61" s="685"/>
      <c r="M61" s="685"/>
      <c r="N61" s="685"/>
      <c r="O61" s="685"/>
      <c r="P61" s="685"/>
      <c r="Q61" s="685"/>
      <c r="R61" s="685"/>
      <c r="S61" s="685"/>
      <c r="T61" s="685"/>
      <c r="U61" s="685"/>
      <c r="V61" s="685"/>
      <c r="W61" s="685"/>
      <c r="X61" s="685"/>
      <c r="Y61" s="685"/>
      <c r="Z61" s="685"/>
      <c r="AA61" s="685"/>
      <c r="AB61" s="685"/>
      <c r="AC61" s="685"/>
    </row>
    <row r="62" spans="1:29">
      <c r="A62" s="685"/>
      <c r="B62" s="685"/>
      <c r="C62" s="685"/>
      <c r="D62" s="685"/>
      <c r="E62" s="685"/>
      <c r="F62" s="685"/>
      <c r="G62" s="685"/>
      <c r="H62" s="685"/>
      <c r="I62" s="685"/>
      <c r="J62" s="685"/>
      <c r="K62" s="685"/>
      <c r="L62" s="685"/>
      <c r="M62" s="685"/>
      <c r="N62" s="685"/>
      <c r="O62" s="685"/>
      <c r="P62" s="685"/>
      <c r="Q62" s="685"/>
      <c r="R62" s="685"/>
      <c r="S62" s="685"/>
      <c r="T62" s="685"/>
      <c r="U62" s="685"/>
      <c r="V62" s="685"/>
      <c r="W62" s="685"/>
      <c r="X62" s="685"/>
      <c r="Y62" s="685"/>
      <c r="Z62" s="685"/>
      <c r="AA62" s="685"/>
      <c r="AB62" s="685"/>
      <c r="AC62" s="685"/>
    </row>
    <row r="63" spans="1:29">
      <c r="A63" s="685"/>
      <c r="B63" s="685"/>
      <c r="C63" s="685"/>
      <c r="D63" s="685"/>
      <c r="E63" s="685"/>
      <c r="F63" s="685"/>
      <c r="G63" s="685"/>
      <c r="H63" s="685"/>
      <c r="I63" s="685"/>
      <c r="J63" s="685"/>
      <c r="K63" s="685"/>
      <c r="L63" s="685"/>
      <c r="M63" s="685"/>
      <c r="N63" s="685"/>
      <c r="O63" s="685"/>
      <c r="P63" s="685"/>
      <c r="Q63" s="685"/>
      <c r="R63" s="685"/>
      <c r="S63" s="685"/>
      <c r="T63" s="685"/>
      <c r="U63" s="685"/>
      <c r="V63" s="685"/>
      <c r="W63" s="685"/>
      <c r="X63" s="685"/>
      <c r="Y63" s="685"/>
      <c r="Z63" s="685"/>
      <c r="AA63" s="685"/>
    </row>
    <row r="64" spans="1:29">
      <c r="A64" s="685"/>
      <c r="B64" s="685"/>
      <c r="C64" s="685"/>
      <c r="D64" s="685"/>
      <c r="E64" s="685"/>
      <c r="F64" s="685"/>
      <c r="G64" s="685"/>
      <c r="H64" s="685"/>
      <c r="I64" s="685"/>
      <c r="J64" s="685"/>
      <c r="K64" s="685"/>
      <c r="L64" s="685"/>
      <c r="M64" s="685"/>
      <c r="N64" s="685"/>
      <c r="O64" s="685"/>
      <c r="P64" s="685"/>
      <c r="Q64" s="685"/>
      <c r="R64" s="685"/>
      <c r="S64" s="685"/>
      <c r="T64" s="685"/>
      <c r="U64" s="685"/>
      <c r="V64" s="685"/>
      <c r="W64" s="685"/>
      <c r="X64" s="685"/>
      <c r="Y64" s="685"/>
      <c r="Z64" s="685"/>
      <c r="AA64" s="685"/>
    </row>
    <row r="65" spans="1:27">
      <c r="A65" s="685"/>
      <c r="B65" s="685"/>
      <c r="C65" s="685"/>
      <c r="D65" s="685"/>
      <c r="E65" s="685"/>
      <c r="F65" s="685"/>
      <c r="G65" s="685"/>
      <c r="H65" s="685"/>
      <c r="I65" s="685"/>
      <c r="J65" s="685"/>
      <c r="K65" s="685"/>
      <c r="L65" s="685"/>
      <c r="M65" s="685"/>
      <c r="N65" s="685"/>
      <c r="O65" s="685"/>
      <c r="P65" s="685"/>
      <c r="Q65" s="685"/>
      <c r="R65" s="685"/>
      <c r="S65" s="685"/>
      <c r="T65" s="685"/>
      <c r="U65" s="685"/>
      <c r="V65" s="685"/>
      <c r="W65" s="685"/>
      <c r="X65" s="685"/>
      <c r="Y65" s="685"/>
      <c r="Z65" s="685"/>
      <c r="AA65" s="685"/>
    </row>
    <row r="66" spans="1:27">
      <c r="A66" s="685"/>
      <c r="B66" s="685"/>
      <c r="C66" s="685"/>
      <c r="D66" s="685"/>
      <c r="E66" s="685"/>
      <c r="F66" s="685"/>
      <c r="G66" s="685"/>
      <c r="H66" s="685"/>
      <c r="I66" s="685"/>
      <c r="J66" s="685"/>
      <c r="K66" s="685"/>
      <c r="L66" s="685"/>
      <c r="M66" s="685"/>
      <c r="N66" s="685"/>
      <c r="O66" s="685"/>
      <c r="P66" s="685"/>
      <c r="Q66" s="685"/>
      <c r="R66" s="685"/>
      <c r="S66" s="685"/>
      <c r="T66" s="685"/>
      <c r="U66" s="685"/>
      <c r="V66" s="685"/>
      <c r="W66" s="685"/>
      <c r="X66" s="685"/>
      <c r="Y66" s="685"/>
      <c r="Z66" s="685"/>
      <c r="AA66" s="685"/>
    </row>
    <row r="67" spans="1:27">
      <c r="A67" s="685"/>
      <c r="B67" s="685"/>
      <c r="C67" s="685"/>
      <c r="D67" s="685"/>
      <c r="E67" s="685"/>
      <c r="F67" s="685"/>
      <c r="G67" s="685"/>
      <c r="H67" s="685"/>
      <c r="I67" s="685"/>
      <c r="J67" s="685"/>
      <c r="K67" s="685"/>
      <c r="L67" s="685"/>
      <c r="M67" s="685"/>
      <c r="N67" s="685"/>
      <c r="O67" s="685"/>
      <c r="P67" s="685"/>
      <c r="Q67" s="685"/>
      <c r="R67" s="685"/>
      <c r="S67" s="685"/>
      <c r="T67" s="685"/>
      <c r="U67" s="685"/>
      <c r="V67" s="685"/>
      <c r="W67" s="685"/>
      <c r="X67" s="685"/>
      <c r="Y67" s="685"/>
      <c r="Z67" s="685"/>
      <c r="AA67" s="685"/>
    </row>
    <row r="68" spans="1:27">
      <c r="A68" s="685"/>
      <c r="B68" s="685"/>
      <c r="C68" s="685"/>
      <c r="D68" s="685"/>
      <c r="E68" s="685"/>
      <c r="F68" s="685"/>
      <c r="G68" s="685"/>
      <c r="H68" s="685"/>
      <c r="I68" s="685"/>
      <c r="J68" s="685"/>
      <c r="K68" s="685"/>
      <c r="L68" s="685"/>
      <c r="M68" s="685"/>
      <c r="N68" s="685"/>
      <c r="O68" s="685"/>
      <c r="P68" s="685"/>
      <c r="Q68" s="685"/>
      <c r="R68" s="685"/>
      <c r="S68" s="685"/>
      <c r="T68" s="685"/>
      <c r="U68" s="685"/>
      <c r="V68" s="685"/>
      <c r="W68" s="685"/>
      <c r="X68" s="685"/>
      <c r="Y68" s="685"/>
      <c r="Z68" s="685"/>
      <c r="AA68" s="685"/>
    </row>
    <row r="69" spans="1:27">
      <c r="A69" s="685"/>
      <c r="B69" s="685"/>
      <c r="C69" s="685"/>
      <c r="D69" s="685"/>
      <c r="E69" s="685"/>
      <c r="F69" s="685"/>
      <c r="G69" s="685"/>
      <c r="H69" s="685"/>
      <c r="I69" s="685"/>
      <c r="J69" s="685"/>
      <c r="K69" s="685"/>
      <c r="L69" s="685"/>
      <c r="M69" s="685"/>
      <c r="N69" s="685"/>
      <c r="O69" s="685"/>
      <c r="P69" s="685"/>
      <c r="Q69" s="685"/>
      <c r="R69" s="685"/>
      <c r="S69" s="685"/>
      <c r="T69" s="685"/>
      <c r="U69" s="685"/>
      <c r="V69" s="685"/>
      <c r="W69" s="685"/>
      <c r="X69" s="685"/>
      <c r="Y69" s="685"/>
      <c r="Z69" s="685"/>
      <c r="AA69" s="685"/>
    </row>
    <row r="70" spans="1:27">
      <c r="A70" s="685"/>
      <c r="B70" s="685"/>
      <c r="C70" s="685"/>
      <c r="D70" s="685"/>
      <c r="E70" s="685"/>
      <c r="F70" s="685"/>
      <c r="G70" s="685"/>
      <c r="H70" s="685"/>
      <c r="I70" s="685"/>
      <c r="J70" s="685"/>
      <c r="K70" s="685"/>
      <c r="L70" s="685"/>
      <c r="M70" s="685"/>
      <c r="N70" s="685"/>
      <c r="O70" s="685"/>
      <c r="P70" s="685"/>
      <c r="Q70" s="685"/>
      <c r="R70" s="685"/>
      <c r="S70" s="685"/>
      <c r="T70" s="685"/>
      <c r="U70" s="685"/>
      <c r="V70" s="685"/>
      <c r="W70" s="685"/>
      <c r="X70" s="685"/>
      <c r="Y70" s="685"/>
      <c r="Z70" s="685"/>
      <c r="AA70" s="685"/>
    </row>
    <row r="71" spans="1:27">
      <c r="A71" s="685"/>
      <c r="B71" s="685"/>
      <c r="C71" s="685"/>
      <c r="D71" s="685"/>
      <c r="E71" s="685"/>
      <c r="F71" s="685"/>
      <c r="G71" s="685"/>
      <c r="H71" s="685"/>
      <c r="I71" s="685"/>
      <c r="J71" s="685"/>
      <c r="K71" s="685"/>
      <c r="L71" s="685"/>
      <c r="M71" s="685"/>
      <c r="N71" s="685"/>
      <c r="O71" s="685"/>
      <c r="P71" s="685"/>
      <c r="Q71" s="685"/>
      <c r="R71" s="685"/>
      <c r="S71" s="685"/>
      <c r="T71" s="685"/>
      <c r="U71" s="685"/>
      <c r="V71" s="685"/>
      <c r="W71" s="685"/>
      <c r="X71" s="685"/>
      <c r="Y71" s="685"/>
      <c r="Z71" s="685"/>
      <c r="AA71" s="685"/>
    </row>
    <row r="72" spans="1:27">
      <c r="A72" s="685"/>
      <c r="B72" s="685"/>
      <c r="C72" s="685"/>
      <c r="D72" s="685"/>
      <c r="E72" s="685"/>
      <c r="F72" s="685"/>
      <c r="G72" s="685"/>
      <c r="H72" s="685"/>
      <c r="I72" s="685"/>
      <c r="J72" s="685"/>
      <c r="K72" s="685"/>
      <c r="L72" s="685"/>
      <c r="M72" s="685"/>
      <c r="N72" s="685"/>
      <c r="O72" s="685"/>
      <c r="P72" s="685"/>
      <c r="Q72" s="685"/>
      <c r="R72" s="685"/>
      <c r="S72" s="685"/>
      <c r="T72" s="685"/>
      <c r="U72" s="685"/>
      <c r="V72" s="685"/>
      <c r="W72" s="685"/>
      <c r="X72" s="685"/>
      <c r="Y72" s="685"/>
      <c r="Z72" s="685"/>
      <c r="AA72" s="685"/>
    </row>
    <row r="73" spans="1:27">
      <c r="A73" s="685"/>
      <c r="B73" s="685"/>
      <c r="C73" s="685"/>
      <c r="D73" s="685"/>
      <c r="E73" s="685"/>
      <c r="F73" s="685"/>
      <c r="G73" s="685"/>
      <c r="H73" s="685"/>
      <c r="I73" s="685"/>
      <c r="J73" s="685"/>
      <c r="K73" s="685"/>
      <c r="L73" s="685"/>
      <c r="M73" s="685"/>
      <c r="N73" s="685"/>
      <c r="O73" s="685"/>
      <c r="P73" s="685"/>
      <c r="Q73" s="685"/>
      <c r="R73" s="685"/>
      <c r="S73" s="685"/>
      <c r="T73" s="685"/>
      <c r="U73" s="685"/>
      <c r="V73" s="685"/>
      <c r="W73" s="685"/>
      <c r="X73" s="685"/>
      <c r="Y73" s="685"/>
      <c r="Z73" s="685"/>
      <c r="AA73" s="68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pageSetUpPr fitToPage="1"/>
  </sheetPr>
  <dimension ref="A1:HR496"/>
  <sheetViews>
    <sheetView zoomScale="72" zoomScaleNormal="72" workbookViewId="0">
      <pane xSplit="1" ySplit="4" topLeftCell="BO5" activePane="bottomRight" state="frozen"/>
      <selection pane="topRight" activeCell="U242" sqref="U242"/>
      <selection pane="bottomLeft" activeCell="U242" sqref="U242"/>
      <selection pane="bottomRight" activeCell="CI1" sqref="CI1"/>
    </sheetView>
  </sheetViews>
  <sheetFormatPr defaultRowHeight="15" outlineLevelRow="1" outlineLevelCol="1"/>
  <cols>
    <col min="1" max="1" width="46" style="13" customWidth="1"/>
    <col min="2" max="12" width="10.5703125" style="13" customWidth="1" outlineLevel="1"/>
    <col min="13" max="13" width="10.5703125" style="13" customWidth="1" outlineLevel="1" collapsed="1"/>
    <col min="14" max="33" width="10.5703125" style="13" customWidth="1" outlineLevel="1"/>
    <col min="34" max="34" width="10.5703125" style="13" customWidth="1" outlineLevel="1" collapsed="1"/>
    <col min="35" max="36" width="10.5703125" style="13" customWidth="1" outlineLevel="1"/>
    <col min="37" max="37" width="10.5703125" style="13" customWidth="1" outlineLevel="1" collapsed="1"/>
    <col min="38" max="51" width="10.5703125" style="13" customWidth="1" outlineLevel="1"/>
    <col min="52" max="52" width="10.5703125" style="13" customWidth="1" outlineLevel="1" collapsed="1"/>
    <col min="53" max="56" width="10.5703125" style="13" customWidth="1" outlineLevel="1"/>
    <col min="57" max="57" width="10.5703125" style="13" customWidth="1" outlineLevel="1" collapsed="1"/>
    <col min="58" max="61" width="10.5703125" style="13" customWidth="1" outlineLevel="1"/>
    <col min="62" max="62" width="10.5703125" style="13" customWidth="1" outlineLevel="1" collapsed="1"/>
    <col min="63" max="66" width="10.5703125" style="13" customWidth="1" outlineLevel="1"/>
    <col min="67" max="87" width="10.5703125" style="13" customWidth="1"/>
    <col min="88" max="88" width="8.85546875" style="13" customWidth="1"/>
    <col min="89" max="90" width="8.42578125" style="13" hidden="1" customWidth="1" outlineLevel="1"/>
    <col min="91" max="91" width="7.5703125" style="13" hidden="1" customWidth="1" outlineLevel="1"/>
    <col min="92" max="92" width="7.42578125" style="13" hidden="1" customWidth="1" outlineLevel="1"/>
    <col min="93" max="93" width="7.140625" style="13" hidden="1" customWidth="1" outlineLevel="1"/>
    <col min="94" max="94" width="7.85546875" style="13" hidden="1" customWidth="1" outlineLevel="1"/>
    <col min="95" max="95" width="7.42578125" style="13" hidden="1" customWidth="1" outlineLevel="1"/>
    <col min="96" max="96" width="7.140625" style="13" hidden="1" customWidth="1" outlineLevel="1"/>
    <col min="97" max="97" width="7.42578125" style="13" hidden="1" customWidth="1" outlineLevel="1"/>
    <col min="98" max="98" width="6.5703125" style="13" hidden="1" customWidth="1" outlineLevel="1"/>
    <col min="99" max="102" width="7.42578125" style="13" hidden="1" customWidth="1" outlineLevel="1"/>
    <col min="103" max="103" width="5.140625" style="13" hidden="1" customWidth="1" outlineLevel="1"/>
    <col min="104" max="104" width="7.140625" style="13" hidden="1" customWidth="1" outlineLevel="1"/>
    <col min="105" max="105" width="8.42578125" style="13" hidden="1" customWidth="1" outlineLevel="1"/>
    <col min="106" max="107" width="7.42578125" style="13" hidden="1" customWidth="1" outlineLevel="1"/>
    <col min="108" max="108" width="5.140625" style="13" hidden="1" customWidth="1" outlineLevel="1"/>
    <col min="109" max="109" width="8.42578125" style="13" hidden="1" customWidth="1" outlineLevel="1"/>
    <col min="110" max="110" width="9.140625" style="13" hidden="1" customWidth="1" outlineLevel="1"/>
    <col min="111" max="111" width="8.5703125" style="13" hidden="1" customWidth="1" outlineLevel="1"/>
    <col min="112" max="112" width="9.42578125" style="13" hidden="1" customWidth="1" outlineLevel="1"/>
    <col min="113" max="113" width="5.140625" style="13" hidden="1" customWidth="1" outlineLevel="1"/>
    <col min="114" max="114" width="7.85546875" style="13" hidden="1" customWidth="1" outlineLevel="1"/>
    <col min="115" max="115" width="8.140625" style="13" hidden="1" customWidth="1" outlineLevel="1"/>
    <col min="116" max="117" width="8.42578125" style="13" hidden="1" customWidth="1" outlineLevel="1"/>
    <col min="118" max="118" width="5.140625" style="13" hidden="1" customWidth="1" outlineLevel="1"/>
    <col min="119" max="119" width="7.42578125" style="13" hidden="1" customWidth="1" outlineLevel="1"/>
    <col min="120" max="121" width="8.42578125" style="13" hidden="1" customWidth="1" outlineLevel="1"/>
    <col min="122" max="122" width="7.42578125" style="13" hidden="1" customWidth="1" outlineLevel="1"/>
    <col min="123" max="123" width="5.140625" style="13" hidden="1" customWidth="1" outlineLevel="1"/>
    <col min="124" max="124" width="7.85546875" style="13" hidden="1" customWidth="1" outlineLevel="1"/>
    <col min="125" max="125" width="8.42578125" style="13" hidden="1" customWidth="1" outlineLevel="1"/>
    <col min="126" max="126" width="7.85546875" style="13" hidden="1" customWidth="1" outlineLevel="1"/>
    <col min="127" max="127" width="7.42578125" style="13" hidden="1" customWidth="1" outlineLevel="1"/>
    <col min="128" max="128" width="6.42578125" style="13" hidden="1" customWidth="1" outlineLevel="1"/>
    <col min="129" max="129" width="8.42578125" style="13" hidden="1" customWidth="1" outlineLevel="1"/>
    <col min="130" max="130" width="9.42578125" style="13" hidden="1" customWidth="1" outlineLevel="1"/>
    <col min="131" max="132" width="8.42578125" style="13" hidden="1" customWidth="1" outlineLevel="1"/>
    <col min="133" max="133" width="5.140625" style="13" hidden="1" customWidth="1" outlineLevel="1"/>
    <col min="134" max="134" width="7.42578125" style="13" hidden="1" customWidth="1" outlineLevel="1" collapsed="1"/>
    <col min="135" max="135" width="8.42578125" style="13" hidden="1" customWidth="1" outlineLevel="1"/>
    <col min="136" max="136" width="8.140625" style="128" hidden="1" customWidth="1" outlineLevel="1"/>
    <col min="137" max="137" width="7.5703125" style="128" hidden="1" customWidth="1" outlineLevel="1"/>
    <col min="138" max="138" width="5.140625" style="128" hidden="1" customWidth="1" outlineLevel="1"/>
    <col min="139" max="139" width="9.85546875" style="128" hidden="1" customWidth="1" outlineLevel="1" collapsed="1"/>
    <col min="140" max="142" width="9.85546875" style="128" hidden="1" customWidth="1" outlineLevel="1"/>
    <col min="143" max="143" width="5.140625" style="128" hidden="1" customWidth="1" outlineLevel="1"/>
    <col min="144" max="144" width="8.42578125" style="128" bestFit="1" customWidth="1" collapsed="1"/>
    <col min="145" max="145" width="8.42578125" style="128" bestFit="1" customWidth="1"/>
    <col min="146" max="147" width="8.5703125" style="128" bestFit="1" customWidth="1"/>
    <col min="148" max="148" width="5.140625" style="128" bestFit="1" customWidth="1"/>
    <col min="149" max="149" width="9.42578125" style="128" bestFit="1" customWidth="1"/>
    <col min="150" max="151" width="8.42578125" style="128" bestFit="1" customWidth="1"/>
    <col min="152" max="152" width="8.42578125" style="128" customWidth="1"/>
    <col min="153" max="153" width="5.140625" style="128" bestFit="1" customWidth="1"/>
    <col min="154" max="154" width="8.42578125" style="128" customWidth="1"/>
    <col min="155" max="157" width="8.42578125" style="128" bestFit="1" customWidth="1"/>
    <col min="158" max="158" width="8.5703125" style="128" customWidth="1"/>
    <col min="159" max="163" width="8.42578125" style="128" customWidth="1"/>
    <col min="164" max="166" width="8" style="128" customWidth="1"/>
    <col min="167" max="167" width="17.140625" style="13" bestFit="1" customWidth="1"/>
    <col min="168" max="199" width="11.42578125" style="13" customWidth="1"/>
    <col min="200" max="200" width="10.5703125" style="13" hidden="1" customWidth="1"/>
    <col min="201" max="201" width="8.140625" style="128" hidden="1" customWidth="1"/>
    <col min="202" max="202" width="10.5703125" style="13" hidden="1" customWidth="1"/>
    <col min="203" max="203" width="10.42578125" style="128" hidden="1" customWidth="1"/>
    <col min="204" max="204" width="10.5703125" style="13" hidden="1" customWidth="1"/>
    <col min="205" max="205" width="10.42578125" style="128" hidden="1" customWidth="1"/>
    <col min="206" max="206" width="11.42578125" style="13" hidden="1" customWidth="1"/>
    <col min="207" max="207" width="10.5703125" style="13" hidden="1" customWidth="1"/>
    <col min="208" max="208" width="10.42578125" style="128" hidden="1" customWidth="1"/>
    <col min="209" max="209" width="11.42578125" style="13" hidden="1" customWidth="1"/>
    <col min="210" max="210" width="10.5703125" style="13" hidden="1" customWidth="1"/>
    <col min="211" max="211" width="10.42578125" style="128" hidden="1" customWidth="1"/>
    <col min="212" max="212" width="11.42578125" style="13" hidden="1" customWidth="1"/>
    <col min="213" max="213" width="10.5703125" style="13" hidden="1" customWidth="1"/>
    <col min="214" max="214" width="10.42578125" style="128" hidden="1" customWidth="1"/>
    <col min="215" max="215" width="11.42578125" style="13" hidden="1" customWidth="1"/>
    <col min="216" max="216" width="9.5703125" style="13" hidden="1" customWidth="1"/>
    <col min="217" max="217" width="10.5703125" style="13" hidden="1" customWidth="1"/>
    <col min="218" max="218" width="8.42578125" style="128" hidden="1" customWidth="1"/>
    <col min="219" max="219" width="11.42578125" style="13" hidden="1" customWidth="1"/>
    <col min="220" max="220" width="10.5703125" style="13" hidden="1" customWidth="1"/>
    <col min="221" max="221" width="8.42578125" style="128" hidden="1" customWidth="1"/>
    <col min="222" max="222" width="11.42578125" style="13" hidden="1" customWidth="1"/>
    <col min="223" max="223" width="10.5703125" style="13" hidden="1" customWidth="1"/>
    <col min="224" max="224" width="9.140625" style="128" hidden="1" customWidth="1"/>
    <col min="225" max="225" width="11.42578125" style="13" hidden="1" customWidth="1"/>
    <col min="226" max="226" width="10.5703125" style="13" hidden="1" customWidth="1"/>
    <col min="227" max="381" width="11.42578125" style="13" customWidth="1"/>
    <col min="382" max="382" width="36.140625" style="13" customWidth="1"/>
    <col min="383" max="389" width="7.85546875" style="13" customWidth="1"/>
    <col min="390" max="390" width="8.140625" style="13" bestFit="1" customWidth="1"/>
    <col min="391" max="392" width="7.85546875" style="13" customWidth="1"/>
    <col min="393" max="637" width="11.42578125" style="13" customWidth="1"/>
    <col min="638" max="638" width="36.140625" style="13" customWidth="1"/>
    <col min="639" max="645" width="7.85546875" style="13" customWidth="1"/>
    <col min="646" max="646" width="8.140625" style="13" bestFit="1" customWidth="1"/>
    <col min="647" max="648" width="7.85546875" style="13" customWidth="1"/>
    <col min="649" max="893" width="11.42578125" style="13" customWidth="1"/>
    <col min="894" max="894" width="36.140625" style="13" customWidth="1"/>
    <col min="895" max="901" width="7.85546875" style="13" customWidth="1"/>
    <col min="902" max="902" width="8.140625" style="13" bestFit="1" customWidth="1"/>
    <col min="903" max="904" width="7.85546875" style="13" customWidth="1"/>
    <col min="905" max="1149" width="11.42578125" style="13" customWidth="1"/>
    <col min="1150" max="1150" width="36.140625" style="13" customWidth="1"/>
    <col min="1151" max="1157" width="7.85546875" style="13" customWidth="1"/>
    <col min="1158" max="1158" width="8.140625" style="13" bestFit="1" customWidth="1"/>
    <col min="1159" max="1160" width="7.85546875" style="13" customWidth="1"/>
    <col min="1161" max="1405" width="11.42578125" style="13" customWidth="1"/>
    <col min="1406" max="1406" width="36.140625" style="13" customWidth="1"/>
    <col min="1407" max="1413" width="7.85546875" style="13" customWidth="1"/>
    <col min="1414" max="1414" width="8.140625" style="13" bestFit="1" customWidth="1"/>
    <col min="1415" max="1416" width="7.85546875" style="13" customWidth="1"/>
    <col min="1417" max="1661" width="11.42578125" style="13" customWidth="1"/>
    <col min="1662" max="1662" width="36.140625" style="13" customWidth="1"/>
    <col min="1663" max="1669" width="7.85546875" style="13" customWidth="1"/>
    <col min="1670" max="1670" width="8.140625" style="13" bestFit="1" customWidth="1"/>
    <col min="1671" max="1672" width="7.85546875" style="13" customWidth="1"/>
    <col min="1673" max="1917" width="11.42578125" style="13" customWidth="1"/>
    <col min="1918" max="1918" width="36.140625" style="13" customWidth="1"/>
    <col min="1919" max="1925" width="7.85546875" style="13" customWidth="1"/>
    <col min="1926" max="1926" width="8.140625" style="13" bestFit="1" customWidth="1"/>
    <col min="1927" max="1928" width="7.85546875" style="13" customWidth="1"/>
    <col min="1929" max="2173" width="11.42578125" style="13" customWidth="1"/>
    <col min="2174" max="2174" width="36.140625" style="13" customWidth="1"/>
    <col min="2175" max="2181" width="7.85546875" style="13" customWidth="1"/>
    <col min="2182" max="2182" width="8.140625" style="13" bestFit="1" customWidth="1"/>
    <col min="2183" max="2184" width="7.85546875" style="13" customWidth="1"/>
    <col min="2185" max="2429" width="11.42578125" style="13" customWidth="1"/>
    <col min="2430" max="2430" width="36.140625" style="13" customWidth="1"/>
    <col min="2431" max="2437" width="7.85546875" style="13" customWidth="1"/>
    <col min="2438" max="2438" width="8.140625" style="13" bestFit="1" customWidth="1"/>
    <col min="2439" max="2440" width="7.85546875" style="13" customWidth="1"/>
    <col min="2441" max="2685" width="11.42578125" style="13" customWidth="1"/>
    <col min="2686" max="2686" width="36.140625" style="13" customWidth="1"/>
    <col min="2687" max="2693" width="7.85546875" style="13" customWidth="1"/>
    <col min="2694" max="2694" width="8.140625" style="13" bestFit="1" customWidth="1"/>
    <col min="2695" max="2696" width="7.85546875" style="13" customWidth="1"/>
    <col min="2697" max="2941" width="11.42578125" style="13" customWidth="1"/>
    <col min="2942" max="2942" width="36.140625" style="13" customWidth="1"/>
    <col min="2943" max="2949" width="7.85546875" style="13" customWidth="1"/>
    <col min="2950" max="2950" width="8.140625" style="13" bestFit="1" customWidth="1"/>
    <col min="2951" max="2952" width="7.85546875" style="13" customWidth="1"/>
    <col min="2953" max="3197" width="11.42578125" style="13" customWidth="1"/>
    <col min="3198" max="3198" width="36.140625" style="13" customWidth="1"/>
    <col min="3199" max="3205" width="7.85546875" style="13" customWidth="1"/>
    <col min="3206" max="3206" width="8.140625" style="13" bestFit="1" customWidth="1"/>
    <col min="3207" max="3208" width="7.85546875" style="13" customWidth="1"/>
    <col min="3209" max="3453" width="11.42578125" style="13" customWidth="1"/>
    <col min="3454" max="3454" width="36.140625" style="13" customWidth="1"/>
    <col min="3455" max="3461" width="7.85546875" style="13" customWidth="1"/>
    <col min="3462" max="3462" width="8.140625" style="13" bestFit="1" customWidth="1"/>
    <col min="3463" max="3464" width="7.85546875" style="13" customWidth="1"/>
    <col min="3465" max="3709" width="11.42578125" style="13" customWidth="1"/>
    <col min="3710" max="3710" width="36.140625" style="13" customWidth="1"/>
    <col min="3711" max="3717" width="7.85546875" style="13" customWidth="1"/>
    <col min="3718" max="3718" width="8.140625" style="13" bestFit="1" customWidth="1"/>
    <col min="3719" max="3720" width="7.85546875" style="13" customWidth="1"/>
    <col min="3721" max="3965" width="11.42578125" style="13" customWidth="1"/>
    <col min="3966" max="3966" width="36.140625" style="13" customWidth="1"/>
    <col min="3967" max="3973" width="7.85546875" style="13" customWidth="1"/>
    <col min="3974" max="3974" width="8.140625" style="13" bestFit="1" customWidth="1"/>
    <col min="3975" max="3976" width="7.85546875" style="13" customWidth="1"/>
    <col min="3977" max="4221" width="11.42578125" style="13" customWidth="1"/>
    <col min="4222" max="4222" width="36.140625" style="13" customWidth="1"/>
    <col min="4223" max="4229" width="7.85546875" style="13" customWidth="1"/>
    <col min="4230" max="4230" width="8.140625" style="13" bestFit="1" customWidth="1"/>
    <col min="4231" max="4232" width="7.85546875" style="13" customWidth="1"/>
    <col min="4233" max="4477" width="11.42578125" style="13" customWidth="1"/>
    <col min="4478" max="4478" width="36.140625" style="13" customWidth="1"/>
    <col min="4479" max="4485" width="7.85546875" style="13" customWidth="1"/>
    <col min="4486" max="4486" width="8.140625" style="13" bestFit="1" customWidth="1"/>
    <col min="4487" max="4488" width="7.85546875" style="13" customWidth="1"/>
    <col min="4489" max="4733" width="11.42578125" style="13" customWidth="1"/>
    <col min="4734" max="4734" width="36.140625" style="13" customWidth="1"/>
    <col min="4735" max="4741" width="7.85546875" style="13" customWidth="1"/>
    <col min="4742" max="4742" width="8.140625" style="13" bestFit="1" customWidth="1"/>
    <col min="4743" max="4744" width="7.85546875" style="13" customWidth="1"/>
    <col min="4745" max="4989" width="11.42578125" style="13" customWidth="1"/>
    <col min="4990" max="4990" width="36.140625" style="13" customWidth="1"/>
    <col min="4991" max="4997" width="7.85546875" style="13" customWidth="1"/>
    <col min="4998" max="4998" width="8.140625" style="13" bestFit="1" customWidth="1"/>
    <col min="4999" max="5000" width="7.85546875" style="13" customWidth="1"/>
    <col min="5001" max="5245" width="11.42578125" style="13" customWidth="1"/>
    <col min="5246" max="5246" width="36.140625" style="13" customWidth="1"/>
    <col min="5247" max="5253" width="7.85546875" style="13" customWidth="1"/>
    <col min="5254" max="5254" width="8.140625" style="13" bestFit="1" customWidth="1"/>
    <col min="5255" max="5256" width="7.85546875" style="13" customWidth="1"/>
    <col min="5257" max="5501" width="11.42578125" style="13" customWidth="1"/>
    <col min="5502" max="5502" width="36.140625" style="13" customWidth="1"/>
    <col min="5503" max="5509" width="7.85546875" style="13" customWidth="1"/>
    <col min="5510" max="5510" width="8.140625" style="13" bestFit="1" customWidth="1"/>
    <col min="5511" max="5512" width="7.85546875" style="13" customWidth="1"/>
    <col min="5513" max="5757" width="11.42578125" style="13" customWidth="1"/>
    <col min="5758" max="5758" width="36.140625" style="13" customWidth="1"/>
    <col min="5759" max="5765" width="7.85546875" style="13" customWidth="1"/>
    <col min="5766" max="5766" width="8.140625" style="13" bestFit="1" customWidth="1"/>
    <col min="5767" max="5768" width="7.85546875" style="13" customWidth="1"/>
    <col min="5769" max="6013" width="11.42578125" style="13" customWidth="1"/>
    <col min="6014" max="6014" width="36.140625" style="13" customWidth="1"/>
    <col min="6015" max="6021" width="7.85546875" style="13" customWidth="1"/>
    <col min="6022" max="6022" width="8.140625" style="13" bestFit="1" customWidth="1"/>
    <col min="6023" max="6024" width="7.85546875" style="13" customWidth="1"/>
    <col min="6025" max="6269" width="11.42578125" style="13" customWidth="1"/>
    <col min="6270" max="6270" width="36.140625" style="13" customWidth="1"/>
    <col min="6271" max="6277" width="7.85546875" style="13" customWidth="1"/>
    <col min="6278" max="6278" width="8.140625" style="13" bestFit="1" customWidth="1"/>
    <col min="6279" max="6280" width="7.85546875" style="13" customWidth="1"/>
    <col min="6281" max="6525" width="11.42578125" style="13" customWidth="1"/>
    <col min="6526" max="6526" width="36.140625" style="13" customWidth="1"/>
    <col min="6527" max="6533" width="7.85546875" style="13" customWidth="1"/>
    <col min="6534" max="6534" width="8.140625" style="13" bestFit="1" customWidth="1"/>
    <col min="6535" max="6536" width="7.85546875" style="13" customWidth="1"/>
    <col min="6537" max="6781" width="11.42578125" style="13" customWidth="1"/>
    <col min="6782" max="6782" width="36.140625" style="13" customWidth="1"/>
    <col min="6783" max="6789" width="7.85546875" style="13" customWidth="1"/>
    <col min="6790" max="6790" width="8.140625" style="13" bestFit="1" customWidth="1"/>
    <col min="6791" max="6792" width="7.85546875" style="13" customWidth="1"/>
    <col min="6793" max="7037" width="11.42578125" style="13" customWidth="1"/>
    <col min="7038" max="7038" width="36.140625" style="13" customWidth="1"/>
    <col min="7039" max="7045" width="7.85546875" style="13" customWidth="1"/>
    <col min="7046" max="7046" width="8.140625" style="13" bestFit="1" customWidth="1"/>
    <col min="7047" max="7048" width="7.85546875" style="13" customWidth="1"/>
    <col min="7049" max="7293" width="11.42578125" style="13" customWidth="1"/>
    <col min="7294" max="7294" width="36.140625" style="13" customWidth="1"/>
    <col min="7295" max="7301" width="7.85546875" style="13" customWidth="1"/>
    <col min="7302" max="7302" width="8.140625" style="13" bestFit="1" customWidth="1"/>
    <col min="7303" max="7304" width="7.85546875" style="13" customWidth="1"/>
    <col min="7305" max="7549" width="11.42578125" style="13" customWidth="1"/>
    <col min="7550" max="7550" width="36.140625" style="13" customWidth="1"/>
    <col min="7551" max="7557" width="7.85546875" style="13" customWidth="1"/>
    <col min="7558" max="7558" width="8.140625" style="13" bestFit="1" customWidth="1"/>
    <col min="7559" max="7560" width="7.85546875" style="13" customWidth="1"/>
    <col min="7561" max="7805" width="11.42578125" style="13" customWidth="1"/>
    <col min="7806" max="7806" width="36.140625" style="13" customWidth="1"/>
    <col min="7807" max="7813" width="7.85546875" style="13" customWidth="1"/>
    <col min="7814" max="7814" width="8.140625" style="13" bestFit="1" customWidth="1"/>
    <col min="7815" max="7816" width="7.85546875" style="13" customWidth="1"/>
    <col min="7817" max="8061" width="11.42578125" style="13" customWidth="1"/>
    <col min="8062" max="8062" width="36.140625" style="13" customWidth="1"/>
    <col min="8063" max="8069" width="7.85546875" style="13" customWidth="1"/>
    <col min="8070" max="8070" width="8.140625" style="13" bestFit="1" customWidth="1"/>
    <col min="8071" max="8072" width="7.85546875" style="13" customWidth="1"/>
    <col min="8073" max="8317" width="11.42578125" style="13" customWidth="1"/>
    <col min="8318" max="8318" width="36.140625" style="13" customWidth="1"/>
    <col min="8319" max="8325" width="7.85546875" style="13" customWidth="1"/>
    <col min="8326" max="8326" width="8.140625" style="13" bestFit="1" customWidth="1"/>
    <col min="8327" max="8328" width="7.85546875" style="13" customWidth="1"/>
    <col min="8329" max="8573" width="11.42578125" style="13" customWidth="1"/>
    <col min="8574" max="8574" width="36.140625" style="13" customWidth="1"/>
    <col min="8575" max="8581" width="7.85546875" style="13" customWidth="1"/>
    <col min="8582" max="8582" width="8.140625" style="13" bestFit="1" customWidth="1"/>
    <col min="8583" max="8584" width="7.85546875" style="13" customWidth="1"/>
    <col min="8585" max="8829" width="11.42578125" style="13" customWidth="1"/>
    <col min="8830" max="8830" width="36.140625" style="13" customWidth="1"/>
    <col min="8831" max="8837" width="7.85546875" style="13" customWidth="1"/>
    <col min="8838" max="8838" width="8.140625" style="13" bestFit="1" customWidth="1"/>
    <col min="8839" max="8840" width="7.85546875" style="13" customWidth="1"/>
    <col min="8841" max="9085" width="11.42578125" style="13" customWidth="1"/>
    <col min="9086" max="9086" width="36.140625" style="13" customWidth="1"/>
    <col min="9087" max="9093" width="7.85546875" style="13" customWidth="1"/>
    <col min="9094" max="9094" width="8.140625" style="13" bestFit="1" customWidth="1"/>
    <col min="9095" max="9096" width="7.85546875" style="13" customWidth="1"/>
    <col min="9097" max="9341" width="11.42578125" style="13" customWidth="1"/>
    <col min="9342" max="9342" width="36.140625" style="13" customWidth="1"/>
    <col min="9343" max="9349" width="7.85546875" style="13" customWidth="1"/>
    <col min="9350" max="9350" width="8.140625" style="13" bestFit="1" customWidth="1"/>
    <col min="9351" max="9352" width="7.85546875" style="13" customWidth="1"/>
    <col min="9353" max="9597" width="11.42578125" style="13" customWidth="1"/>
    <col min="9598" max="9598" width="36.140625" style="13" customWidth="1"/>
    <col min="9599" max="9605" width="7.85546875" style="13" customWidth="1"/>
    <col min="9606" max="9606" width="8.140625" style="13" bestFit="1" customWidth="1"/>
    <col min="9607" max="9608" width="7.85546875" style="13" customWidth="1"/>
    <col min="9609" max="9853" width="11.42578125" style="13" customWidth="1"/>
    <col min="9854" max="9854" width="36.140625" style="13" customWidth="1"/>
    <col min="9855" max="9861" width="7.85546875" style="13" customWidth="1"/>
    <col min="9862" max="9862" width="8.140625" style="13" bestFit="1" customWidth="1"/>
    <col min="9863" max="9864" width="7.85546875" style="13" customWidth="1"/>
    <col min="9865" max="10109" width="11.42578125" style="13" customWidth="1"/>
    <col min="10110" max="10110" width="36.140625" style="13" customWidth="1"/>
    <col min="10111" max="10117" width="7.85546875" style="13" customWidth="1"/>
    <col min="10118" max="10118" width="8.140625" style="13" bestFit="1" customWidth="1"/>
    <col min="10119" max="10120" width="7.85546875" style="13" customWidth="1"/>
    <col min="10121" max="10365" width="11.42578125" style="13" customWidth="1"/>
    <col min="10366" max="10366" width="36.140625" style="13" customWidth="1"/>
    <col min="10367" max="10373" width="7.85546875" style="13" customWidth="1"/>
    <col min="10374" max="10374" width="8.140625" style="13" bestFit="1" customWidth="1"/>
    <col min="10375" max="10376" width="7.85546875" style="13" customWidth="1"/>
    <col min="10377" max="10621" width="11.42578125" style="13" customWidth="1"/>
    <col min="10622" max="10622" width="36.140625" style="13" customWidth="1"/>
    <col min="10623" max="10629" width="7.85546875" style="13" customWidth="1"/>
    <col min="10630" max="10630" width="8.140625" style="13" bestFit="1" customWidth="1"/>
    <col min="10631" max="10632" width="7.85546875" style="13" customWidth="1"/>
    <col min="10633" max="10877" width="11.42578125" style="13" customWidth="1"/>
    <col min="10878" max="10878" width="36.140625" style="13" customWidth="1"/>
    <col min="10879" max="10885" width="7.85546875" style="13" customWidth="1"/>
    <col min="10886" max="10886" width="8.140625" style="13" bestFit="1" customWidth="1"/>
    <col min="10887" max="10888" width="7.85546875" style="13" customWidth="1"/>
    <col min="10889" max="11133" width="11.42578125" style="13" customWidth="1"/>
    <col min="11134" max="11134" width="36.140625" style="13" customWidth="1"/>
    <col min="11135" max="11141" width="7.85546875" style="13" customWidth="1"/>
    <col min="11142" max="11142" width="8.140625" style="13" bestFit="1" customWidth="1"/>
    <col min="11143" max="11144" width="7.85546875" style="13" customWidth="1"/>
    <col min="11145" max="11389" width="11.42578125" style="13" customWidth="1"/>
    <col min="11390" max="11390" width="36.140625" style="13" customWidth="1"/>
    <col min="11391" max="11397" width="7.85546875" style="13" customWidth="1"/>
    <col min="11398" max="11398" width="8.140625" style="13" bestFit="1" customWidth="1"/>
    <col min="11399" max="11400" width="7.85546875" style="13" customWidth="1"/>
    <col min="11401" max="11645" width="11.42578125" style="13" customWidth="1"/>
    <col min="11646" max="11646" width="36.140625" style="13" customWidth="1"/>
    <col min="11647" max="11653" width="7.85546875" style="13" customWidth="1"/>
    <col min="11654" max="11654" width="8.140625" style="13" bestFit="1" customWidth="1"/>
    <col min="11655" max="11656" width="7.85546875" style="13" customWidth="1"/>
    <col min="11657" max="11901" width="11.42578125" style="13" customWidth="1"/>
    <col min="11902" max="11902" width="36.140625" style="13" customWidth="1"/>
    <col min="11903" max="11909" width="7.85546875" style="13" customWidth="1"/>
    <col min="11910" max="11910" width="8.140625" style="13" bestFit="1" customWidth="1"/>
    <col min="11911" max="11912" width="7.85546875" style="13" customWidth="1"/>
    <col min="11913" max="12157" width="11.42578125" style="13" customWidth="1"/>
    <col min="12158" max="12158" width="36.140625" style="13" customWidth="1"/>
    <col min="12159" max="12165" width="7.85546875" style="13" customWidth="1"/>
    <col min="12166" max="12166" width="8.140625" style="13" bestFit="1" customWidth="1"/>
    <col min="12167" max="12168" width="7.85546875" style="13" customWidth="1"/>
    <col min="12169" max="12413" width="11.42578125" style="13" customWidth="1"/>
    <col min="12414" max="12414" width="36.140625" style="13" customWidth="1"/>
    <col min="12415" max="12421" width="7.85546875" style="13" customWidth="1"/>
    <col min="12422" max="12422" width="8.140625" style="13" bestFit="1" customWidth="1"/>
    <col min="12423" max="12424" width="7.85546875" style="13" customWidth="1"/>
    <col min="12425" max="12669" width="11.42578125" style="13" customWidth="1"/>
    <col min="12670" max="12670" width="36.140625" style="13" customWidth="1"/>
    <col min="12671" max="12677" width="7.85546875" style="13" customWidth="1"/>
    <col min="12678" max="12678" width="8.140625" style="13" bestFit="1" customWidth="1"/>
    <col min="12679" max="12680" width="7.85546875" style="13" customWidth="1"/>
    <col min="12681" max="12925" width="11.42578125" style="13" customWidth="1"/>
    <col min="12926" max="12926" width="36.140625" style="13" customWidth="1"/>
    <col min="12927" max="12933" width="7.85546875" style="13" customWidth="1"/>
    <col min="12934" max="12934" width="8.140625" style="13" bestFit="1" customWidth="1"/>
    <col min="12935" max="12936" width="7.85546875" style="13" customWidth="1"/>
    <col min="12937" max="13181" width="11.42578125" style="13" customWidth="1"/>
    <col min="13182" max="13182" width="36.140625" style="13" customWidth="1"/>
    <col min="13183" max="13189" width="7.85546875" style="13" customWidth="1"/>
    <col min="13190" max="13190" width="8.140625" style="13" bestFit="1" customWidth="1"/>
    <col min="13191" max="13192" width="7.85546875" style="13" customWidth="1"/>
    <col min="13193" max="13437" width="11.42578125" style="13" customWidth="1"/>
    <col min="13438" max="13438" width="36.140625" style="13" customWidth="1"/>
    <col min="13439" max="13445" width="7.85546875" style="13" customWidth="1"/>
    <col min="13446" max="13446" width="8.140625" style="13" bestFit="1" customWidth="1"/>
    <col min="13447" max="13448" width="7.85546875" style="13" customWidth="1"/>
    <col min="13449" max="13693" width="11.42578125" style="13" customWidth="1"/>
    <col min="13694" max="13694" width="36.140625" style="13" customWidth="1"/>
    <col min="13695" max="13701" width="7.85546875" style="13" customWidth="1"/>
    <col min="13702" max="13702" width="8.140625" style="13" bestFit="1" customWidth="1"/>
    <col min="13703" max="13704" width="7.85546875" style="13" customWidth="1"/>
    <col min="13705" max="13949" width="11.42578125" style="13" customWidth="1"/>
    <col min="13950" max="13950" width="36.140625" style="13" customWidth="1"/>
    <col min="13951" max="13957" width="7.85546875" style="13" customWidth="1"/>
    <col min="13958" max="13958" width="8.140625" style="13" bestFit="1" customWidth="1"/>
    <col min="13959" max="13960" width="7.85546875" style="13" customWidth="1"/>
    <col min="13961" max="14205" width="11.42578125" style="13" customWidth="1"/>
    <col min="14206" max="14206" width="36.140625" style="13" customWidth="1"/>
    <col min="14207" max="14213" width="7.85546875" style="13" customWidth="1"/>
    <col min="14214" max="14214" width="8.140625" style="13" bestFit="1" customWidth="1"/>
    <col min="14215" max="14216" width="7.85546875" style="13" customWidth="1"/>
    <col min="14217" max="14461" width="11.42578125" style="13" customWidth="1"/>
    <col min="14462" max="14462" width="36.140625" style="13" customWidth="1"/>
    <col min="14463" max="14469" width="7.85546875" style="13" customWidth="1"/>
    <col min="14470" max="14470" width="8.140625" style="13" bestFit="1" customWidth="1"/>
    <col min="14471" max="14472" width="7.85546875" style="13" customWidth="1"/>
    <col min="14473" max="14717" width="11.42578125" style="13" customWidth="1"/>
    <col min="14718" max="14718" width="36.140625" style="13" customWidth="1"/>
    <col min="14719" max="14725" width="7.85546875" style="13" customWidth="1"/>
    <col min="14726" max="14726" width="8.140625" style="13" bestFit="1" customWidth="1"/>
    <col min="14727" max="14728" width="7.85546875" style="13" customWidth="1"/>
    <col min="14729" max="14973" width="11.42578125" style="13" customWidth="1"/>
    <col min="14974" max="14974" width="36.140625" style="13" customWidth="1"/>
    <col min="14975" max="14981" width="7.85546875" style="13" customWidth="1"/>
    <col min="14982" max="14982" width="8.140625" style="13" bestFit="1" customWidth="1"/>
    <col min="14983" max="14984" width="7.85546875" style="13" customWidth="1"/>
    <col min="14985" max="15229" width="11.42578125" style="13" customWidth="1"/>
    <col min="15230" max="15230" width="36.140625" style="13" customWidth="1"/>
    <col min="15231" max="15237" width="7.85546875" style="13" customWidth="1"/>
    <col min="15238" max="15238" width="8.140625" style="13" bestFit="1" customWidth="1"/>
    <col min="15239" max="15240" width="7.85546875" style="13" customWidth="1"/>
    <col min="15241" max="15485" width="11.42578125" style="13" customWidth="1"/>
    <col min="15486" max="15486" width="36.140625" style="13" customWidth="1"/>
    <col min="15487" max="15493" width="7.85546875" style="13" customWidth="1"/>
    <col min="15494" max="15494" width="8.140625" style="13" bestFit="1" customWidth="1"/>
    <col min="15495" max="15496" width="7.85546875" style="13" customWidth="1"/>
    <col min="15497" max="15741" width="11.42578125" style="13" customWidth="1"/>
    <col min="15742" max="15742" width="36.140625" style="13" customWidth="1"/>
    <col min="15743" max="15749" width="7.85546875" style="13" customWidth="1"/>
    <col min="15750" max="15750" width="8.140625" style="13" bestFit="1" customWidth="1"/>
    <col min="15751" max="15752" width="7.85546875" style="13" customWidth="1"/>
    <col min="15753" max="15997" width="11.42578125" style="13" customWidth="1"/>
    <col min="15998" max="15998" width="36.140625" style="13" customWidth="1"/>
    <col min="15999" max="16005" width="7.85546875" style="13" customWidth="1"/>
    <col min="16006" max="16006" width="8.140625" style="13" bestFit="1" customWidth="1"/>
    <col min="16007" max="16008" width="7.85546875" style="13" customWidth="1"/>
    <col min="16009" max="16253" width="11.42578125" style="13" customWidth="1"/>
    <col min="16254" max="16254" width="36.140625" style="13" customWidth="1"/>
    <col min="16255" max="16261" width="7.85546875" style="13" customWidth="1"/>
    <col min="16262" max="16262" width="8.140625" style="13" bestFit="1" customWidth="1"/>
    <col min="16263" max="16264" width="7.85546875" style="13" customWidth="1"/>
    <col min="16265" max="16384" width="11.42578125" style="13" customWidth="1"/>
  </cols>
  <sheetData>
    <row r="1" spans="1:226">
      <c r="A1" s="860"/>
      <c r="B1" s="860"/>
      <c r="C1" s="860"/>
      <c r="D1" s="860"/>
      <c r="E1" s="860"/>
      <c r="F1" s="860"/>
      <c r="G1" s="860"/>
      <c r="H1" s="860"/>
      <c r="I1" s="860"/>
      <c r="J1" s="860"/>
      <c r="K1" s="860"/>
      <c r="L1" s="860"/>
      <c r="M1" s="860"/>
      <c r="N1" s="860"/>
      <c r="O1" s="860"/>
      <c r="P1" s="860"/>
      <c r="Q1" s="860"/>
      <c r="R1" s="860"/>
      <c r="S1" s="860"/>
      <c r="T1" s="860"/>
      <c r="U1" s="860"/>
      <c r="V1" s="860"/>
      <c r="W1" s="860"/>
      <c r="X1" s="860"/>
      <c r="Y1" s="860"/>
      <c r="Z1" s="860"/>
      <c r="AA1" s="860"/>
      <c r="AB1" s="860"/>
      <c r="AC1" s="860"/>
      <c r="AD1" s="860"/>
      <c r="AE1" s="860"/>
      <c r="AF1" s="860"/>
      <c r="AG1" s="860"/>
      <c r="AH1" s="860"/>
      <c r="AI1" s="860"/>
      <c r="AJ1" s="860"/>
      <c r="AK1" s="860"/>
      <c r="AL1" s="860"/>
      <c r="AM1" s="860"/>
      <c r="AN1" s="860"/>
      <c r="AO1" s="860"/>
      <c r="AP1" s="860"/>
      <c r="AQ1" s="860"/>
      <c r="AR1" s="860"/>
      <c r="AS1" s="860"/>
      <c r="AT1" s="860"/>
      <c r="AU1" s="860"/>
      <c r="AV1" s="860"/>
      <c r="AW1" s="860"/>
      <c r="AX1" s="860"/>
      <c r="AY1" s="860"/>
      <c r="AZ1" s="860"/>
      <c r="BA1" s="860"/>
      <c r="BB1" s="860"/>
      <c r="BC1" s="860"/>
      <c r="BD1" s="860"/>
      <c r="BE1" s="860"/>
      <c r="BF1" s="860"/>
      <c r="BG1" s="860"/>
      <c r="BH1" s="860"/>
      <c r="BI1" s="860"/>
      <c r="BJ1" s="860"/>
      <c r="BK1" s="860"/>
      <c r="BL1" s="860"/>
      <c r="BM1" s="860"/>
      <c r="BN1" s="860"/>
      <c r="BO1" s="860"/>
      <c r="BP1" s="860"/>
      <c r="BQ1" s="860"/>
      <c r="BR1" s="860"/>
      <c r="BS1" s="860"/>
      <c r="BT1" s="860"/>
      <c r="BU1" s="860"/>
      <c r="BV1" s="860"/>
      <c r="BW1" s="860"/>
      <c r="BX1" s="860"/>
      <c r="BY1" s="860"/>
      <c r="BZ1" s="860"/>
      <c r="CA1" s="860"/>
      <c r="CB1" s="860"/>
      <c r="CC1" s="1753"/>
      <c r="CD1" s="860"/>
      <c r="CE1" s="860"/>
      <c r="CF1" s="860"/>
      <c r="CG1" s="860"/>
      <c r="CH1" s="1753"/>
      <c r="CI1" s="860"/>
      <c r="CJ1" s="860"/>
      <c r="CK1" s="860"/>
      <c r="CL1" s="860"/>
      <c r="CM1" s="860"/>
      <c r="CN1" s="860"/>
      <c r="CO1" s="860"/>
      <c r="CP1" s="860"/>
      <c r="CQ1" s="860"/>
      <c r="CR1" s="860"/>
      <c r="CS1" s="860"/>
      <c r="CT1" s="860"/>
      <c r="CU1" s="860"/>
      <c r="CV1" s="860"/>
      <c r="CW1" s="860"/>
      <c r="CX1" s="860"/>
      <c r="CY1" s="860"/>
      <c r="CZ1" s="860"/>
      <c r="DA1" s="860"/>
      <c r="DB1" s="860"/>
      <c r="DC1" s="860"/>
      <c r="DD1" s="860"/>
      <c r="DE1" s="860"/>
      <c r="DF1" s="860"/>
      <c r="DG1" s="860"/>
      <c r="DH1" s="860"/>
      <c r="DI1" s="860"/>
      <c r="DJ1" s="860"/>
      <c r="DK1" s="860"/>
      <c r="DL1" s="860"/>
      <c r="DM1" s="860"/>
      <c r="DN1" s="860"/>
      <c r="DO1" s="860"/>
      <c r="DP1" s="860"/>
      <c r="DQ1" s="860"/>
      <c r="DR1" s="860"/>
      <c r="DS1" s="860"/>
      <c r="DT1" s="860"/>
      <c r="DU1" s="860"/>
      <c r="DV1" s="860"/>
      <c r="DW1" s="860"/>
      <c r="DX1" s="860"/>
      <c r="DY1" s="860"/>
      <c r="DZ1" s="860"/>
      <c r="EA1" s="860"/>
      <c r="EB1" s="860"/>
      <c r="EC1" s="860"/>
      <c r="ED1" s="860"/>
      <c r="EE1" s="860"/>
      <c r="EF1" s="860"/>
      <c r="EG1" s="860"/>
      <c r="EH1" s="860"/>
      <c r="EI1" s="860"/>
      <c r="EJ1" s="860"/>
      <c r="EK1" s="860"/>
      <c r="EL1" s="860"/>
      <c r="EM1" s="860"/>
      <c r="EN1" s="1217"/>
      <c r="EO1" s="1217"/>
      <c r="EP1" s="1217"/>
      <c r="EQ1" s="1217"/>
      <c r="ER1" s="860"/>
      <c r="ES1" s="860"/>
      <c r="ET1" s="860"/>
      <c r="EU1" s="860"/>
      <c r="EV1" s="860"/>
      <c r="EW1" s="860"/>
      <c r="EX1" s="860"/>
      <c r="EY1" s="860"/>
      <c r="EZ1" s="860"/>
      <c r="FA1" s="860"/>
      <c r="FB1" s="1753"/>
      <c r="FC1" s="860"/>
      <c r="FD1" s="860"/>
      <c r="FE1" s="860"/>
      <c r="FF1" s="860"/>
      <c r="FG1" s="1753"/>
      <c r="FH1" s="860"/>
      <c r="FI1" s="860"/>
      <c r="FJ1" s="860"/>
      <c r="FK1" s="860"/>
      <c r="FL1" s="860"/>
      <c r="FM1" s="860"/>
      <c r="FN1" s="860"/>
      <c r="FO1" s="860"/>
      <c r="FP1" s="860"/>
      <c r="FQ1" s="860"/>
      <c r="FR1" s="860"/>
      <c r="FS1" s="860"/>
      <c r="FT1" s="860"/>
      <c r="FU1" s="860"/>
      <c r="FV1" s="860"/>
      <c r="FW1" s="860"/>
      <c r="FX1" s="860"/>
      <c r="FY1" s="860"/>
      <c r="FZ1" s="860"/>
      <c r="GA1" s="860"/>
      <c r="GB1" s="860"/>
      <c r="GC1" s="860"/>
      <c r="GD1" s="860"/>
      <c r="GE1" s="860"/>
      <c r="GF1" s="860"/>
      <c r="GG1" s="860"/>
      <c r="GH1" s="860"/>
      <c r="GI1" s="860"/>
      <c r="GJ1" s="860"/>
      <c r="GK1" s="860"/>
      <c r="GL1" s="860"/>
      <c r="GM1" s="860"/>
      <c r="GN1" s="860"/>
      <c r="GO1" s="860"/>
      <c r="GP1" s="860"/>
      <c r="GQ1" s="860"/>
      <c r="GR1" s="1218"/>
      <c r="GS1" s="1247"/>
      <c r="GT1" s="1218" t="s">
        <v>686</v>
      </c>
      <c r="GU1" s="1218" t="s">
        <v>686</v>
      </c>
      <c r="GV1" s="1218"/>
      <c r="GW1" s="1218"/>
      <c r="GX1" s="1218"/>
      <c r="GY1" s="1218"/>
      <c r="GZ1" s="1218"/>
      <c r="HA1" s="1218"/>
      <c r="HB1" s="1218"/>
      <c r="HC1" s="1218"/>
      <c r="HD1" s="2000"/>
      <c r="HE1" s="1218"/>
      <c r="HF1" s="1218"/>
      <c r="HG1" s="2000"/>
      <c r="HH1" s="1218"/>
      <c r="HI1" s="1218"/>
      <c r="HJ1" s="1218"/>
      <c r="HK1" s="2000"/>
      <c r="HL1" s="1218"/>
      <c r="HM1" s="1218"/>
      <c r="HN1" s="2000"/>
      <c r="HO1" s="1218"/>
      <c r="HP1" s="1218"/>
      <c r="HQ1" s="2000"/>
      <c r="HR1" s="1218"/>
    </row>
    <row r="2" spans="1:226">
      <c r="A2" s="860"/>
      <c r="B2" s="860"/>
      <c r="C2" s="860"/>
      <c r="D2" s="860"/>
      <c r="E2" s="860"/>
      <c r="F2" s="860"/>
      <c r="G2" s="860"/>
      <c r="H2" s="860"/>
      <c r="I2" s="860"/>
      <c r="J2" s="860"/>
      <c r="K2" s="860"/>
      <c r="L2" s="860"/>
      <c r="M2" s="860"/>
      <c r="N2" s="860"/>
      <c r="O2" s="860"/>
      <c r="P2" s="860"/>
      <c r="Q2" s="860"/>
      <c r="R2" s="860"/>
      <c r="S2" s="860"/>
      <c r="T2" s="860"/>
      <c r="U2" s="860"/>
      <c r="V2" s="860"/>
      <c r="W2" s="860"/>
      <c r="X2" s="860"/>
      <c r="Y2" s="1162"/>
      <c r="Z2" s="860"/>
      <c r="AA2" s="860"/>
      <c r="AB2" s="860"/>
      <c r="AC2" s="860"/>
      <c r="AD2" s="1162"/>
      <c r="AE2" s="860"/>
      <c r="AF2" s="860"/>
      <c r="AG2" s="860"/>
      <c r="AH2" s="860"/>
      <c r="AI2" s="1162"/>
      <c r="AJ2" s="860"/>
      <c r="AK2" s="860"/>
      <c r="AL2" s="860"/>
      <c r="AM2" s="860"/>
      <c r="AN2" s="1162"/>
      <c r="AO2" s="860"/>
      <c r="AP2" s="860"/>
      <c r="AQ2" s="860"/>
      <c r="AR2" s="860"/>
      <c r="AS2" s="860"/>
      <c r="AT2" s="860"/>
      <c r="AU2" s="860"/>
      <c r="AV2" s="860"/>
      <c r="AW2" s="860"/>
      <c r="AX2" s="860"/>
      <c r="AY2" s="860"/>
      <c r="AZ2" s="860"/>
      <c r="BA2" s="860"/>
      <c r="BB2" s="860"/>
      <c r="BC2" s="860"/>
      <c r="BD2" s="860"/>
      <c r="BE2" s="860"/>
      <c r="BF2" s="860"/>
      <c r="BG2" s="860"/>
      <c r="BH2" s="860"/>
      <c r="BI2" s="860"/>
      <c r="BJ2" s="860"/>
      <c r="BK2" s="860"/>
      <c r="BL2" s="860"/>
      <c r="BM2" s="860"/>
      <c r="BN2" s="860"/>
      <c r="BO2" s="860"/>
      <c r="BP2" s="860"/>
      <c r="BQ2" s="860"/>
      <c r="BR2" s="860"/>
      <c r="BS2" s="860"/>
      <c r="BT2" s="860"/>
      <c r="BU2" s="860"/>
      <c r="BV2" s="860"/>
      <c r="BW2" s="860"/>
      <c r="BX2" s="860"/>
      <c r="BY2" s="860"/>
      <c r="BZ2" s="860"/>
      <c r="CA2" s="860"/>
      <c r="CB2" s="860"/>
      <c r="CC2" s="1753"/>
      <c r="CD2" s="860"/>
      <c r="CE2" s="860"/>
      <c r="CF2" s="860"/>
      <c r="CG2" s="860"/>
      <c r="CH2" s="1753"/>
      <c r="CI2" s="860"/>
      <c r="CJ2" s="860"/>
      <c r="CK2" s="860"/>
      <c r="CL2" s="860"/>
      <c r="CM2" s="860"/>
      <c r="CN2" s="860"/>
      <c r="CO2" s="860"/>
      <c r="CP2" s="860"/>
      <c r="CQ2" s="860"/>
      <c r="CR2" s="860"/>
      <c r="CS2" s="860"/>
      <c r="CT2" s="860"/>
      <c r="CU2" s="860"/>
      <c r="CV2" s="860"/>
      <c r="CW2" s="860"/>
      <c r="CX2" s="860"/>
      <c r="CY2" s="860"/>
      <c r="CZ2" s="860"/>
      <c r="DA2" s="860"/>
      <c r="DB2" s="860"/>
      <c r="DC2" s="860"/>
      <c r="DD2" s="860"/>
      <c r="DE2" s="860"/>
      <c r="DF2" s="860"/>
      <c r="DG2" s="860"/>
      <c r="DH2" s="860"/>
      <c r="DI2" s="860"/>
      <c r="DJ2" s="860"/>
      <c r="DK2" s="860"/>
      <c r="DL2" s="860"/>
      <c r="DM2" s="860"/>
      <c r="DN2" s="860"/>
      <c r="DO2" s="860"/>
      <c r="DP2" s="860"/>
      <c r="DQ2" s="860"/>
      <c r="DR2" s="860"/>
      <c r="DS2" s="860"/>
      <c r="DT2" s="860"/>
      <c r="DU2" s="860"/>
      <c r="DV2" s="860"/>
      <c r="DW2" s="860"/>
      <c r="DX2" s="860"/>
      <c r="DY2" s="860"/>
      <c r="DZ2" s="860"/>
      <c r="EA2" s="860"/>
      <c r="EB2" s="860"/>
      <c r="EC2" s="860"/>
      <c r="ED2" s="860"/>
      <c r="EE2" s="860"/>
      <c r="EF2" s="860"/>
      <c r="EG2" s="860"/>
      <c r="EH2" s="860"/>
      <c r="EI2" s="860"/>
      <c r="EJ2" s="860"/>
      <c r="EK2" s="860"/>
      <c r="EL2" s="860"/>
      <c r="EM2" s="860"/>
      <c r="EN2" s="860"/>
      <c r="EO2" s="860"/>
      <c r="EP2" s="860"/>
      <c r="EQ2" s="860"/>
      <c r="ER2" s="860"/>
      <c r="ES2" s="860"/>
      <c r="ET2" s="860"/>
      <c r="EU2" s="860"/>
      <c r="EV2" s="860"/>
      <c r="EW2" s="860"/>
      <c r="EX2" s="860"/>
      <c r="EY2" s="860"/>
      <c r="EZ2" s="860"/>
      <c r="FA2" s="860"/>
      <c r="FB2" s="1753"/>
      <c r="FC2" s="860"/>
      <c r="FD2" s="860"/>
      <c r="FE2" s="860"/>
      <c r="FF2" s="860"/>
      <c r="FG2" s="1753"/>
      <c r="FH2" s="860"/>
      <c r="FI2" s="860"/>
      <c r="FJ2" s="860"/>
      <c r="FK2" s="860"/>
      <c r="FL2" s="860"/>
      <c r="FM2" s="860"/>
      <c r="FN2" s="860"/>
      <c r="FO2" s="860"/>
      <c r="FP2" s="860"/>
      <c r="FQ2" s="860"/>
      <c r="FR2" s="860"/>
      <c r="FS2" s="860"/>
      <c r="FT2" s="860"/>
      <c r="FU2" s="860"/>
      <c r="FV2" s="860"/>
      <c r="FW2" s="860"/>
      <c r="FX2" s="860"/>
      <c r="FY2" s="860"/>
      <c r="FZ2" s="860"/>
      <c r="GA2" s="860"/>
      <c r="GB2" s="860"/>
      <c r="GC2" s="860"/>
      <c r="GD2" s="860"/>
      <c r="GE2" s="860"/>
      <c r="GF2" s="860"/>
      <c r="GG2" s="860"/>
      <c r="GH2" s="860"/>
      <c r="GI2" s="860"/>
      <c r="GJ2" s="860"/>
      <c r="GK2" s="860"/>
      <c r="GL2" s="860"/>
      <c r="GM2" s="860"/>
      <c r="GN2" s="860"/>
      <c r="GO2" s="860"/>
      <c r="GP2" s="860"/>
      <c r="GQ2" s="860"/>
      <c r="GR2" s="1218"/>
      <c r="GS2" s="1218"/>
      <c r="GT2" s="1218"/>
      <c r="GU2" s="1218"/>
      <c r="GV2" s="1628" t="s">
        <v>686</v>
      </c>
      <c r="GW2" s="1628" t="s">
        <v>686</v>
      </c>
      <c r="GX2" s="1218"/>
      <c r="GY2" s="1218"/>
      <c r="GZ2" s="1218"/>
      <c r="HA2" s="1218"/>
      <c r="HB2" s="1218"/>
      <c r="HC2" s="1218"/>
      <c r="HD2" s="2000"/>
      <c r="HE2" s="1218"/>
      <c r="HF2" s="1218"/>
      <c r="HG2" s="2000"/>
      <c r="HH2" s="1218"/>
      <c r="HI2" s="1218"/>
      <c r="HJ2" s="1218"/>
      <c r="HK2" s="2000"/>
      <c r="HL2" s="1218"/>
      <c r="HM2" s="1218"/>
      <c r="HN2" s="2000"/>
      <c r="HO2" s="1218"/>
      <c r="HP2" s="1218"/>
      <c r="HQ2" s="2000"/>
      <c r="HR2" s="1218"/>
    </row>
    <row r="3" spans="1:226" ht="18.75" customHeight="1">
      <c r="A3" s="1689" t="s">
        <v>687</v>
      </c>
      <c r="B3" s="2202">
        <v>2010</v>
      </c>
      <c r="C3" s="2203"/>
      <c r="D3" s="2203"/>
      <c r="E3" s="2203"/>
      <c r="F3" s="2204"/>
      <c r="G3" s="2202">
        <v>2011</v>
      </c>
      <c r="H3" s="2203"/>
      <c r="I3" s="2203"/>
      <c r="J3" s="2203"/>
      <c r="K3" s="2204"/>
      <c r="L3" s="2202">
        <v>2012</v>
      </c>
      <c r="M3" s="2203"/>
      <c r="N3" s="2203"/>
      <c r="O3" s="2203"/>
      <c r="P3" s="2204"/>
      <c r="Q3" s="2202">
        <v>2013</v>
      </c>
      <c r="R3" s="2203"/>
      <c r="S3" s="2203"/>
      <c r="T3" s="2203"/>
      <c r="U3" s="2204"/>
      <c r="V3" s="2202">
        <v>2014</v>
      </c>
      <c r="W3" s="2203"/>
      <c r="X3" s="2203"/>
      <c r="Y3" s="2203"/>
      <c r="Z3" s="2204"/>
      <c r="AA3" s="2202">
        <v>2015</v>
      </c>
      <c r="AB3" s="2203"/>
      <c r="AC3" s="2203"/>
      <c r="AD3" s="2203"/>
      <c r="AE3" s="2204"/>
      <c r="AF3" s="2202">
        <v>2016</v>
      </c>
      <c r="AG3" s="2203"/>
      <c r="AH3" s="2203"/>
      <c r="AI3" s="2203"/>
      <c r="AJ3" s="2204"/>
      <c r="AK3" s="2202">
        <v>2017</v>
      </c>
      <c r="AL3" s="2203"/>
      <c r="AM3" s="2203"/>
      <c r="AN3" s="2203"/>
      <c r="AO3" s="2204"/>
      <c r="AP3" s="2202">
        <v>2018</v>
      </c>
      <c r="AQ3" s="2203"/>
      <c r="AR3" s="2203"/>
      <c r="AS3" s="2203"/>
      <c r="AT3" s="2204"/>
      <c r="AU3" s="2202">
        <v>2019</v>
      </c>
      <c r="AV3" s="2203"/>
      <c r="AW3" s="2203"/>
      <c r="AX3" s="2203"/>
      <c r="AY3" s="2204"/>
      <c r="AZ3" s="2202">
        <v>2020</v>
      </c>
      <c r="BA3" s="2203"/>
      <c r="BB3" s="2203"/>
      <c r="BC3" s="2203"/>
      <c r="BD3" s="2204"/>
      <c r="BE3" s="2202">
        <v>2021</v>
      </c>
      <c r="BF3" s="2203"/>
      <c r="BG3" s="2203"/>
      <c r="BH3" s="2203"/>
      <c r="BI3" s="2204"/>
      <c r="BJ3" s="2202">
        <v>2022</v>
      </c>
      <c r="BK3" s="2203"/>
      <c r="BL3" s="2203"/>
      <c r="BM3" s="2203"/>
      <c r="BN3" s="2204"/>
      <c r="BO3" s="2202">
        <v>2023</v>
      </c>
      <c r="BP3" s="2203"/>
      <c r="BQ3" s="2203"/>
      <c r="BR3" s="2203"/>
      <c r="BS3" s="2204"/>
      <c r="BT3" s="2202">
        <v>2024</v>
      </c>
      <c r="BU3" s="2203"/>
      <c r="BV3" s="2203"/>
      <c r="BW3" s="2203"/>
      <c r="BX3" s="2204"/>
      <c r="BY3" s="1893">
        <v>2025</v>
      </c>
      <c r="BZ3" s="1894"/>
      <c r="CA3" s="1894"/>
      <c r="CB3" s="1894"/>
      <c r="CC3" s="1899"/>
      <c r="CD3" s="1893">
        <v>2026</v>
      </c>
      <c r="CE3" s="1894"/>
      <c r="CF3" s="1894"/>
      <c r="CG3" s="1894"/>
      <c r="CH3" s="1899"/>
      <c r="CI3" s="1626"/>
      <c r="CJ3" s="1220"/>
      <c r="CK3" s="2205">
        <v>2012</v>
      </c>
      <c r="CL3" s="2206"/>
      <c r="CM3" s="2206"/>
      <c r="CN3" s="2206"/>
      <c r="CO3" s="2207"/>
      <c r="CP3" s="2205">
        <v>2013</v>
      </c>
      <c r="CQ3" s="2206"/>
      <c r="CR3" s="2206"/>
      <c r="CS3" s="2206"/>
      <c r="CT3" s="2207"/>
      <c r="CU3" s="2205">
        <v>2014</v>
      </c>
      <c r="CV3" s="2206"/>
      <c r="CW3" s="2206"/>
      <c r="CX3" s="2206"/>
      <c r="CY3" s="2207"/>
      <c r="CZ3" s="2205">
        <v>2015</v>
      </c>
      <c r="DA3" s="2206"/>
      <c r="DB3" s="2206"/>
      <c r="DC3" s="2206"/>
      <c r="DD3" s="2207"/>
      <c r="DE3" s="2205">
        <v>2016</v>
      </c>
      <c r="DF3" s="2206"/>
      <c r="DG3" s="2206"/>
      <c r="DH3" s="2206"/>
      <c r="DI3" s="2207"/>
      <c r="DJ3" s="2205">
        <v>2017</v>
      </c>
      <c r="DK3" s="2206"/>
      <c r="DL3" s="2206"/>
      <c r="DM3" s="2206"/>
      <c r="DN3" s="2207"/>
      <c r="DO3" s="2205">
        <v>2018</v>
      </c>
      <c r="DP3" s="2206"/>
      <c r="DQ3" s="2206"/>
      <c r="DR3" s="2206"/>
      <c r="DS3" s="2207"/>
      <c r="DT3" s="2205">
        <v>2019</v>
      </c>
      <c r="DU3" s="2206"/>
      <c r="DV3" s="2206"/>
      <c r="DW3" s="2206"/>
      <c r="DX3" s="2207"/>
      <c r="DY3" s="2205">
        <v>2020</v>
      </c>
      <c r="DZ3" s="2206"/>
      <c r="EA3" s="2206"/>
      <c r="EB3" s="2206"/>
      <c r="EC3" s="2207"/>
      <c r="ED3" s="2206">
        <v>2021</v>
      </c>
      <c r="EE3" s="2206"/>
      <c r="EF3" s="2206"/>
      <c r="EG3" s="2206"/>
      <c r="EH3" s="2206"/>
      <c r="EI3" s="2202">
        <v>2022</v>
      </c>
      <c r="EJ3" s="2203"/>
      <c r="EK3" s="2203"/>
      <c r="EL3" s="2203"/>
      <c r="EM3" s="2204"/>
      <c r="EN3" s="2202">
        <v>2023</v>
      </c>
      <c r="EO3" s="2203"/>
      <c r="EP3" s="2203"/>
      <c r="EQ3" s="2203"/>
      <c r="ER3" s="2204"/>
      <c r="ES3" s="2202">
        <v>2024</v>
      </c>
      <c r="ET3" s="2203"/>
      <c r="EU3" s="2203"/>
      <c r="EV3" s="2203"/>
      <c r="EW3" s="2204"/>
      <c r="EX3" s="1893">
        <v>2025</v>
      </c>
      <c r="EY3" s="1894"/>
      <c r="EZ3" s="1894"/>
      <c r="FA3" s="1894"/>
      <c r="FB3" s="1899"/>
      <c r="FC3" s="1893">
        <v>2026</v>
      </c>
      <c r="FD3" s="1894"/>
      <c r="FE3" s="1894"/>
      <c r="FF3" s="1894"/>
      <c r="FG3" s="1899"/>
      <c r="FH3" s="1220"/>
      <c r="FI3" s="1220"/>
      <c r="FJ3" s="1220"/>
      <c r="FK3" s="860"/>
      <c r="FL3" s="860"/>
      <c r="FM3" s="860"/>
      <c r="FN3" s="860"/>
      <c r="FO3" s="860"/>
      <c r="FP3" s="860"/>
      <c r="FQ3" s="860"/>
      <c r="FR3" s="860"/>
      <c r="FS3" s="860"/>
      <c r="FT3" s="860"/>
      <c r="FU3" s="860"/>
      <c r="FV3" s="860"/>
      <c r="FW3" s="860"/>
      <c r="FX3" s="860"/>
      <c r="FY3" s="860"/>
      <c r="FZ3" s="860"/>
      <c r="GA3" s="860"/>
      <c r="GB3" s="860"/>
      <c r="GC3" s="860"/>
      <c r="GD3" s="860"/>
      <c r="GE3" s="860"/>
      <c r="GF3" s="860"/>
      <c r="GG3" s="860"/>
      <c r="GH3" s="860"/>
      <c r="GI3" s="860"/>
      <c r="GJ3" s="860"/>
      <c r="GK3" s="860"/>
      <c r="GL3" s="860"/>
      <c r="GM3" s="860"/>
      <c r="GN3" s="860"/>
      <c r="GO3" s="860"/>
      <c r="GP3" s="860"/>
      <c r="GQ3" s="860"/>
      <c r="GR3" s="1629"/>
      <c r="GS3" s="1629"/>
      <c r="GT3" s="1221"/>
      <c r="GU3" s="1222"/>
      <c r="GV3" s="1221"/>
      <c r="GW3" s="1222"/>
      <c r="GX3" s="1218"/>
      <c r="GY3" s="1221"/>
      <c r="GZ3" s="1221"/>
      <c r="HA3" s="1218"/>
      <c r="HB3" s="1221"/>
      <c r="HC3" s="1221"/>
      <c r="HD3" s="2000"/>
      <c r="HE3" s="1221"/>
      <c r="HF3" s="1221"/>
      <c r="HG3" s="2000"/>
      <c r="HH3" s="1218"/>
      <c r="HI3" s="1221"/>
      <c r="HJ3" s="1221"/>
      <c r="HK3" s="2000"/>
      <c r="HL3" s="1221"/>
      <c r="HM3" s="1221"/>
      <c r="HN3" s="2000"/>
      <c r="HO3" s="1221"/>
      <c r="HP3" s="1221"/>
      <c r="HQ3" s="2000"/>
      <c r="HR3" s="1221">
        <v>2026</v>
      </c>
    </row>
    <row r="4" spans="1:226" ht="14.25" customHeight="1">
      <c r="A4" s="1677"/>
      <c r="B4" s="1224" t="s">
        <v>688</v>
      </c>
      <c r="C4" s="1223" t="s">
        <v>689</v>
      </c>
      <c r="D4" s="1223" t="s">
        <v>690</v>
      </c>
      <c r="E4" s="1223" t="s">
        <v>691</v>
      </c>
      <c r="F4" s="1225" t="s">
        <v>692</v>
      </c>
      <c r="G4" s="1224" t="s">
        <v>688</v>
      </c>
      <c r="H4" s="1223" t="s">
        <v>689</v>
      </c>
      <c r="I4" s="1223" t="s">
        <v>690</v>
      </c>
      <c r="J4" s="1223" t="s">
        <v>691</v>
      </c>
      <c r="K4" s="1225" t="s">
        <v>692</v>
      </c>
      <c r="L4" s="1224" t="s">
        <v>688</v>
      </c>
      <c r="M4" s="1223" t="s">
        <v>689</v>
      </c>
      <c r="N4" s="1223" t="s">
        <v>690</v>
      </c>
      <c r="O4" s="1223" t="s">
        <v>691</v>
      </c>
      <c r="P4" s="1225" t="s">
        <v>692</v>
      </c>
      <c r="Q4" s="1224" t="s">
        <v>688</v>
      </c>
      <c r="R4" s="1223" t="s">
        <v>689</v>
      </c>
      <c r="S4" s="1223" t="s">
        <v>690</v>
      </c>
      <c r="T4" s="1223" t="s">
        <v>691</v>
      </c>
      <c r="U4" s="1225" t="s">
        <v>692</v>
      </c>
      <c r="V4" s="1224" t="s">
        <v>688</v>
      </c>
      <c r="W4" s="1223" t="s">
        <v>689</v>
      </c>
      <c r="X4" s="1223" t="s">
        <v>690</v>
      </c>
      <c r="Y4" s="1223" t="s">
        <v>691</v>
      </c>
      <c r="Z4" s="1225" t="s">
        <v>692</v>
      </c>
      <c r="AA4" s="1224" t="s">
        <v>688</v>
      </c>
      <c r="AB4" s="1223" t="s">
        <v>689</v>
      </c>
      <c r="AC4" s="1223" t="s">
        <v>690</v>
      </c>
      <c r="AD4" s="1223" t="s">
        <v>691</v>
      </c>
      <c r="AE4" s="1225" t="s">
        <v>692</v>
      </c>
      <c r="AF4" s="1224" t="s">
        <v>688</v>
      </c>
      <c r="AG4" s="1223" t="s">
        <v>689</v>
      </c>
      <c r="AH4" s="1223" t="s">
        <v>690</v>
      </c>
      <c r="AI4" s="1223" t="s">
        <v>691</v>
      </c>
      <c r="AJ4" s="1225" t="s">
        <v>692</v>
      </c>
      <c r="AK4" s="1224" t="s">
        <v>688</v>
      </c>
      <c r="AL4" s="1223" t="s">
        <v>689</v>
      </c>
      <c r="AM4" s="1223" t="s">
        <v>690</v>
      </c>
      <c r="AN4" s="1223" t="s">
        <v>691</v>
      </c>
      <c r="AO4" s="1225" t="s">
        <v>692</v>
      </c>
      <c r="AP4" s="1224" t="s">
        <v>688</v>
      </c>
      <c r="AQ4" s="1223" t="s">
        <v>689</v>
      </c>
      <c r="AR4" s="1223" t="s">
        <v>690</v>
      </c>
      <c r="AS4" s="1223" t="s">
        <v>691</v>
      </c>
      <c r="AT4" s="1225" t="s">
        <v>692</v>
      </c>
      <c r="AU4" s="1224" t="s">
        <v>688</v>
      </c>
      <c r="AV4" s="1223" t="s">
        <v>689</v>
      </c>
      <c r="AW4" s="1223" t="s">
        <v>690</v>
      </c>
      <c r="AX4" s="1223" t="s">
        <v>691</v>
      </c>
      <c r="AY4" s="1225" t="s">
        <v>692</v>
      </c>
      <c r="AZ4" s="1224" t="s">
        <v>688</v>
      </c>
      <c r="BA4" s="1223" t="s">
        <v>689</v>
      </c>
      <c r="BB4" s="1223" t="s">
        <v>690</v>
      </c>
      <c r="BC4" s="1223" t="s">
        <v>691</v>
      </c>
      <c r="BD4" s="1225" t="s">
        <v>692</v>
      </c>
      <c r="BE4" s="1224" t="s">
        <v>688</v>
      </c>
      <c r="BF4" s="1223" t="s">
        <v>689</v>
      </c>
      <c r="BG4" s="1223" t="s">
        <v>690</v>
      </c>
      <c r="BH4" s="1223" t="s">
        <v>691</v>
      </c>
      <c r="BI4" s="1225" t="s">
        <v>692</v>
      </c>
      <c r="BJ4" s="1224" t="s">
        <v>688</v>
      </c>
      <c r="BK4" s="1223" t="s">
        <v>689</v>
      </c>
      <c r="BL4" s="1223" t="s">
        <v>690</v>
      </c>
      <c r="BM4" s="1223" t="s">
        <v>691</v>
      </c>
      <c r="BN4" s="1225" t="s">
        <v>692</v>
      </c>
      <c r="BO4" s="1224" t="s">
        <v>688</v>
      </c>
      <c r="BP4" s="1223" t="s">
        <v>689</v>
      </c>
      <c r="BQ4" s="1223" t="s">
        <v>690</v>
      </c>
      <c r="BR4" s="1223" t="s">
        <v>691</v>
      </c>
      <c r="BS4" s="1225" t="s">
        <v>692</v>
      </c>
      <c r="BT4" s="1224" t="s">
        <v>688</v>
      </c>
      <c r="BU4" s="1223" t="s">
        <v>689</v>
      </c>
      <c r="BV4" s="1223" t="s">
        <v>690</v>
      </c>
      <c r="BW4" s="1223" t="s">
        <v>691</v>
      </c>
      <c r="BX4" s="1225" t="s">
        <v>692</v>
      </c>
      <c r="BY4" s="1224" t="s">
        <v>688</v>
      </c>
      <c r="BZ4" s="1223" t="s">
        <v>689</v>
      </c>
      <c r="CA4" s="1223" t="s">
        <v>690</v>
      </c>
      <c r="CB4" s="1223" t="s">
        <v>691</v>
      </c>
      <c r="CC4" s="1752" t="s">
        <v>692</v>
      </c>
      <c r="CD4" s="1224" t="s">
        <v>688</v>
      </c>
      <c r="CE4" s="1223" t="s">
        <v>689</v>
      </c>
      <c r="CF4" s="1223" t="s">
        <v>690</v>
      </c>
      <c r="CG4" s="1223" t="s">
        <v>691</v>
      </c>
      <c r="CH4" s="1752" t="s">
        <v>692</v>
      </c>
      <c r="CI4" s="1223"/>
      <c r="CJ4" s="860"/>
      <c r="CK4" s="1224" t="s">
        <v>688</v>
      </c>
      <c r="CL4" s="1223" t="s">
        <v>689</v>
      </c>
      <c r="CM4" s="1223" t="s">
        <v>690</v>
      </c>
      <c r="CN4" s="1223" t="s">
        <v>691</v>
      </c>
      <c r="CO4" s="1225" t="s">
        <v>692</v>
      </c>
      <c r="CP4" s="1224" t="s">
        <v>688</v>
      </c>
      <c r="CQ4" s="1223" t="s">
        <v>689</v>
      </c>
      <c r="CR4" s="1223" t="s">
        <v>690</v>
      </c>
      <c r="CS4" s="1223" t="s">
        <v>691</v>
      </c>
      <c r="CT4" s="1225" t="s">
        <v>692</v>
      </c>
      <c r="CU4" s="1224" t="str">
        <f t="shared" ref="CU4:DD4" si="0">CP4</f>
        <v>1Q</v>
      </c>
      <c r="CV4" s="1223" t="str">
        <f t="shared" si="0"/>
        <v>2Q</v>
      </c>
      <c r="CW4" s="1223" t="str">
        <f t="shared" si="0"/>
        <v>3Q</v>
      </c>
      <c r="CX4" s="1223" t="str">
        <f t="shared" si="0"/>
        <v>4Q</v>
      </c>
      <c r="CY4" s="1225" t="str">
        <f t="shared" si="0"/>
        <v>FY</v>
      </c>
      <c r="CZ4" s="1224" t="str">
        <f t="shared" si="0"/>
        <v>1Q</v>
      </c>
      <c r="DA4" s="1223" t="str">
        <f t="shared" si="0"/>
        <v>2Q</v>
      </c>
      <c r="DB4" s="1223" t="str">
        <f t="shared" si="0"/>
        <v>3Q</v>
      </c>
      <c r="DC4" s="1223" t="str">
        <f t="shared" si="0"/>
        <v>4Q</v>
      </c>
      <c r="DD4" s="1225" t="str">
        <f t="shared" si="0"/>
        <v>FY</v>
      </c>
      <c r="DE4" s="1224" t="str">
        <f>AF4</f>
        <v>1Q</v>
      </c>
      <c r="DF4" s="1223" t="str">
        <f>AG4</f>
        <v>2Q</v>
      </c>
      <c r="DG4" s="1223" t="str">
        <f>AH4</f>
        <v>3Q</v>
      </c>
      <c r="DH4" s="1223" t="str">
        <f>AI4</f>
        <v>4Q</v>
      </c>
      <c r="DI4" s="1225" t="str">
        <f>DD4</f>
        <v>FY</v>
      </c>
      <c r="DJ4" s="1224" t="str">
        <f>AK4</f>
        <v>1Q</v>
      </c>
      <c r="DK4" s="1223" t="str">
        <f>AL4</f>
        <v>2Q</v>
      </c>
      <c r="DL4" s="1223" t="str">
        <f>AM4</f>
        <v>3Q</v>
      </c>
      <c r="DM4" s="1223" t="str">
        <f>AN4</f>
        <v>4Q</v>
      </c>
      <c r="DN4" s="1225" t="str">
        <f>DI4</f>
        <v>FY</v>
      </c>
      <c r="DO4" s="1224" t="str">
        <f>AP4</f>
        <v>1Q</v>
      </c>
      <c r="DP4" s="1223" t="str">
        <f>AQ4</f>
        <v>2Q</v>
      </c>
      <c r="DQ4" s="1223" t="str">
        <f>AR4</f>
        <v>3Q</v>
      </c>
      <c r="DR4" s="1223" t="str">
        <f>AS4</f>
        <v>4Q</v>
      </c>
      <c r="DS4" s="1225" t="str">
        <f>DN4</f>
        <v>FY</v>
      </c>
      <c r="DT4" s="1224" t="str">
        <f>AU4</f>
        <v>1Q</v>
      </c>
      <c r="DU4" s="1223" t="str">
        <f>AV4</f>
        <v>2Q</v>
      </c>
      <c r="DV4" s="1223" t="str">
        <f>AW4</f>
        <v>3Q</v>
      </c>
      <c r="DW4" s="1223" t="str">
        <f>AX4</f>
        <v>4Q</v>
      </c>
      <c r="DX4" s="1225" t="str">
        <f>DS4</f>
        <v>FY</v>
      </c>
      <c r="DY4" s="1224" t="str">
        <f>DT4</f>
        <v>1Q</v>
      </c>
      <c r="DZ4" s="1223" t="s">
        <v>689</v>
      </c>
      <c r="EA4" s="1223" t="s">
        <v>690</v>
      </c>
      <c r="EB4" s="1223" t="str">
        <f>DW4</f>
        <v>4Q</v>
      </c>
      <c r="EC4" s="1225" t="str">
        <f>DX4</f>
        <v>FY</v>
      </c>
      <c r="ED4" s="1227" t="s">
        <v>688</v>
      </c>
      <c r="EE4" s="1227" t="s">
        <v>689</v>
      </c>
      <c r="EF4" s="1227" t="s">
        <v>690</v>
      </c>
      <c r="EG4" s="1227" t="str">
        <f>EB4</f>
        <v>4Q</v>
      </c>
      <c r="EH4" s="1227" t="str">
        <f>EC4</f>
        <v>FY</v>
      </c>
      <c r="EI4" s="1226" t="s">
        <v>688</v>
      </c>
      <c r="EJ4" s="1227" t="s">
        <v>689</v>
      </c>
      <c r="EK4" s="1227" t="s">
        <v>690</v>
      </c>
      <c r="EL4" s="1227" t="str">
        <f>EG4</f>
        <v>4Q</v>
      </c>
      <c r="EM4" s="1228" t="str">
        <f>EH4</f>
        <v>FY</v>
      </c>
      <c r="EN4" s="1226" t="s">
        <v>688</v>
      </c>
      <c r="EO4" s="1227" t="s">
        <v>689</v>
      </c>
      <c r="EP4" s="1227" t="s">
        <v>690</v>
      </c>
      <c r="EQ4" s="1227" t="str">
        <f>EL4</f>
        <v>4Q</v>
      </c>
      <c r="ER4" s="1228" t="str">
        <f>EM4</f>
        <v>FY</v>
      </c>
      <c r="ES4" s="1227" t="s">
        <v>688</v>
      </c>
      <c r="ET4" s="1227" t="s">
        <v>689</v>
      </c>
      <c r="EU4" s="1227" t="s">
        <v>690</v>
      </c>
      <c r="EV4" s="1227" t="str">
        <f>EQ4</f>
        <v>4Q</v>
      </c>
      <c r="EW4" s="1228" t="str">
        <f>ER4</f>
        <v>FY</v>
      </c>
      <c r="EX4" s="1226" t="str">
        <f t="shared" ref="EX4:FG4" si="1">BY4</f>
        <v>1Q</v>
      </c>
      <c r="EY4" s="1227" t="str">
        <f t="shared" si="1"/>
        <v>2Q</v>
      </c>
      <c r="EZ4" s="1227" t="str">
        <f t="shared" si="1"/>
        <v>3Q</v>
      </c>
      <c r="FA4" s="1227" t="str">
        <f t="shared" si="1"/>
        <v>4Q</v>
      </c>
      <c r="FB4" s="1790" t="str">
        <f t="shared" si="1"/>
        <v>FY</v>
      </c>
      <c r="FC4" s="1226" t="str">
        <f t="shared" si="1"/>
        <v>1Q</v>
      </c>
      <c r="FD4" s="1227" t="str">
        <f t="shared" si="1"/>
        <v>2Q</v>
      </c>
      <c r="FE4" s="1227" t="str">
        <f t="shared" si="1"/>
        <v>3Q</v>
      </c>
      <c r="FF4" s="1227" t="str">
        <f t="shared" si="1"/>
        <v>4Q</v>
      </c>
      <c r="FG4" s="1790" t="str">
        <f t="shared" si="1"/>
        <v>FY</v>
      </c>
      <c r="FH4" s="1223"/>
      <c r="FI4" s="1223"/>
      <c r="FJ4" s="1223"/>
      <c r="FK4" s="860"/>
      <c r="FL4" s="860"/>
      <c r="FM4" s="860"/>
      <c r="FN4" s="860"/>
      <c r="FO4" s="860"/>
      <c r="FP4" s="860"/>
      <c r="FQ4" s="860"/>
      <c r="FR4" s="860"/>
      <c r="FS4" s="860"/>
      <c r="FT4" s="860"/>
      <c r="FU4" s="860"/>
      <c r="FV4" s="860"/>
      <c r="FW4" s="860"/>
      <c r="FX4" s="860"/>
      <c r="FY4" s="860"/>
      <c r="FZ4" s="860"/>
      <c r="GA4" s="860"/>
      <c r="GB4" s="860"/>
      <c r="GC4" s="860"/>
      <c r="GD4" s="860"/>
      <c r="GE4" s="860"/>
      <c r="GF4" s="860"/>
      <c r="GG4" s="860"/>
      <c r="GH4" s="860"/>
      <c r="GI4" s="860"/>
      <c r="GJ4" s="860"/>
      <c r="GK4" s="860"/>
      <c r="GL4" s="860"/>
      <c r="GM4" s="860"/>
      <c r="GN4" s="860"/>
      <c r="GO4" s="860"/>
      <c r="GP4" s="860"/>
      <c r="GQ4" s="860"/>
      <c r="GR4" s="1229" t="s">
        <v>693</v>
      </c>
      <c r="GS4" s="1229" t="s">
        <v>690</v>
      </c>
      <c r="GT4" s="1229" t="s">
        <v>694</v>
      </c>
      <c r="GU4" s="1230" t="s">
        <v>691</v>
      </c>
      <c r="GV4" s="1229" t="s">
        <v>688</v>
      </c>
      <c r="GW4" s="1230" t="s">
        <v>688</v>
      </c>
      <c r="GX4" s="1218"/>
      <c r="GY4" s="1229" t="s">
        <v>689</v>
      </c>
      <c r="GZ4" s="1230" t="s">
        <v>689</v>
      </c>
      <c r="HA4" s="1218"/>
      <c r="HB4" s="1229" t="s">
        <v>690</v>
      </c>
      <c r="HC4" s="1230" t="s">
        <v>690</v>
      </c>
      <c r="HD4" s="2000"/>
      <c r="HE4" s="1229" t="s">
        <v>691</v>
      </c>
      <c r="HF4" s="1230" t="s">
        <v>691</v>
      </c>
      <c r="HG4" s="2000"/>
      <c r="HH4" s="1229"/>
      <c r="HI4" s="1229" t="s">
        <v>689</v>
      </c>
      <c r="HJ4" s="1230" t="s">
        <v>689</v>
      </c>
      <c r="HK4" s="2000"/>
      <c r="HL4" s="1229" t="s">
        <v>690</v>
      </c>
      <c r="HM4" s="1230" t="s">
        <v>690</v>
      </c>
      <c r="HN4" s="2000"/>
      <c r="HO4" s="1229" t="s">
        <v>8073</v>
      </c>
      <c r="HP4" s="1230" t="s">
        <v>8073</v>
      </c>
      <c r="HQ4" s="2000"/>
      <c r="HR4" s="1229" t="s">
        <v>688</v>
      </c>
    </row>
    <row r="5" spans="1:226" ht="14.25" customHeight="1">
      <c r="A5" s="1677"/>
      <c r="B5" s="1231"/>
      <c r="C5" s="1674"/>
      <c r="D5" s="1674"/>
      <c r="E5" s="1674"/>
      <c r="F5" s="1681"/>
      <c r="G5" s="1231"/>
      <c r="H5" s="860"/>
      <c r="I5" s="860"/>
      <c r="J5" s="860"/>
      <c r="K5" s="1232"/>
      <c r="L5" s="1231"/>
      <c r="M5" s="1674"/>
      <c r="N5" s="1674"/>
      <c r="O5" s="860"/>
      <c r="P5" s="1232"/>
      <c r="Q5" s="1233"/>
      <c r="R5" s="860"/>
      <c r="S5" s="860"/>
      <c r="T5" s="860"/>
      <c r="U5" s="1232"/>
      <c r="V5" s="1233"/>
      <c r="W5" s="860"/>
      <c r="X5" s="860"/>
      <c r="Y5" s="860"/>
      <c r="Z5" s="1232"/>
      <c r="AA5" s="1233"/>
      <c r="AB5" s="860"/>
      <c r="AC5" s="860"/>
      <c r="AD5" s="860"/>
      <c r="AE5" s="1232"/>
      <c r="AF5" s="1233"/>
      <c r="AG5" s="860"/>
      <c r="AH5" s="860"/>
      <c r="AI5" s="860"/>
      <c r="AJ5" s="1232"/>
      <c r="AK5" s="1233"/>
      <c r="AL5" s="860"/>
      <c r="AM5" s="860"/>
      <c r="AN5" s="860"/>
      <c r="AO5" s="1232"/>
      <c r="AP5" s="1233"/>
      <c r="AQ5" s="860"/>
      <c r="AR5" s="860"/>
      <c r="AS5" s="860"/>
      <c r="AT5" s="1232"/>
      <c r="AU5" s="1233"/>
      <c r="AV5" s="860"/>
      <c r="AW5" s="860"/>
      <c r="AX5" s="1234"/>
      <c r="AY5" s="1232"/>
      <c r="AZ5" s="1233"/>
      <c r="BA5" s="860"/>
      <c r="BB5" s="860"/>
      <c r="BC5" s="860"/>
      <c r="BD5" s="1232"/>
      <c r="BE5" s="1233"/>
      <c r="BF5" s="860"/>
      <c r="BG5" s="860"/>
      <c r="BH5" s="860"/>
      <c r="BI5" s="1232"/>
      <c r="BJ5" s="1233"/>
      <c r="BK5" s="860"/>
      <c r="BL5" s="860"/>
      <c r="BM5" s="860"/>
      <c r="BN5" s="1232"/>
      <c r="BO5" s="1233"/>
      <c r="BP5" s="860"/>
      <c r="BQ5" s="860"/>
      <c r="BR5" s="860"/>
      <c r="BS5" s="1232"/>
      <c r="BT5" s="1233"/>
      <c r="BU5" s="860"/>
      <c r="BV5" s="860"/>
      <c r="BW5" s="860"/>
      <c r="BX5" s="1232"/>
      <c r="BY5" s="1233"/>
      <c r="BZ5" s="860"/>
      <c r="CA5" s="860"/>
      <c r="CB5" s="860"/>
      <c r="CC5" s="1754"/>
      <c r="CD5" s="1233"/>
      <c r="CE5" s="860"/>
      <c r="CF5" s="860"/>
      <c r="CG5" s="860"/>
      <c r="CH5" s="1754"/>
      <c r="CI5" s="860"/>
      <c r="CJ5" s="860"/>
      <c r="CK5" s="1233"/>
      <c r="CL5" s="860"/>
      <c r="CM5" s="860"/>
      <c r="CN5" s="860"/>
      <c r="CO5" s="1232"/>
      <c r="CP5" s="1233"/>
      <c r="CQ5" s="860"/>
      <c r="CR5" s="860"/>
      <c r="CS5" s="860"/>
      <c r="CT5" s="1232"/>
      <c r="CU5" s="1233"/>
      <c r="CV5" s="860"/>
      <c r="CW5" s="860"/>
      <c r="CX5" s="860"/>
      <c r="CY5" s="1232"/>
      <c r="CZ5" s="1233"/>
      <c r="DA5" s="860"/>
      <c r="DB5" s="860"/>
      <c r="DC5" s="860"/>
      <c r="DD5" s="1232"/>
      <c r="DE5" s="1233"/>
      <c r="DF5" s="860"/>
      <c r="DG5" s="860"/>
      <c r="DH5" s="860"/>
      <c r="DI5" s="1232"/>
      <c r="DJ5" s="1233"/>
      <c r="DK5" s="860"/>
      <c r="DL5" s="860"/>
      <c r="DM5" s="860"/>
      <c r="DN5" s="1232"/>
      <c r="DO5" s="1233"/>
      <c r="DP5" s="860"/>
      <c r="DQ5" s="860"/>
      <c r="DR5" s="860"/>
      <c r="DS5" s="1232"/>
      <c r="DT5" s="1233"/>
      <c r="DU5" s="860"/>
      <c r="DV5" s="860"/>
      <c r="DW5" s="860"/>
      <c r="DX5" s="1232"/>
      <c r="DY5" s="1233"/>
      <c r="DZ5" s="860"/>
      <c r="EA5" s="860"/>
      <c r="EB5" s="860"/>
      <c r="EC5" s="1232"/>
      <c r="ED5" s="860"/>
      <c r="EE5" s="860"/>
      <c r="EF5" s="860"/>
      <c r="EG5" s="860"/>
      <c r="EH5" s="860"/>
      <c r="EI5" s="1233"/>
      <c r="EJ5" s="860"/>
      <c r="EK5" s="860"/>
      <c r="EL5" s="860"/>
      <c r="EM5" s="1232"/>
      <c r="EN5" s="1233"/>
      <c r="EO5" s="860"/>
      <c r="EP5" s="860"/>
      <c r="EQ5" s="860"/>
      <c r="ER5" s="1232"/>
      <c r="ES5" s="860"/>
      <c r="ET5" s="860"/>
      <c r="EU5" s="860"/>
      <c r="EV5" s="860"/>
      <c r="EW5" s="1232"/>
      <c r="EX5" s="1233"/>
      <c r="EY5" s="860"/>
      <c r="EZ5" s="860"/>
      <c r="FA5" s="860"/>
      <c r="FB5" s="1754"/>
      <c r="FC5" s="1233"/>
      <c r="FD5" s="860"/>
      <c r="FE5" s="860"/>
      <c r="FF5" s="860"/>
      <c r="FG5" s="1753"/>
      <c r="FH5" s="860"/>
      <c r="FI5" s="860"/>
      <c r="FJ5" s="860"/>
      <c r="FK5" s="860"/>
      <c r="FL5" s="860"/>
      <c r="FM5" s="860"/>
      <c r="FN5" s="860"/>
      <c r="FO5" s="860"/>
      <c r="FP5" s="860"/>
      <c r="FQ5" s="860"/>
      <c r="FR5" s="860"/>
      <c r="FS5" s="860"/>
      <c r="FT5" s="860"/>
      <c r="FU5" s="860"/>
      <c r="FV5" s="860"/>
      <c r="FW5" s="860"/>
      <c r="FX5" s="860"/>
      <c r="FY5" s="860"/>
      <c r="FZ5" s="860"/>
      <c r="GA5" s="860"/>
      <c r="GB5" s="860"/>
      <c r="GC5" s="860"/>
      <c r="GD5" s="860"/>
      <c r="GE5" s="860"/>
      <c r="GF5" s="860"/>
      <c r="GG5" s="860"/>
      <c r="GH5" s="860"/>
      <c r="GI5" s="860"/>
      <c r="GJ5" s="860"/>
      <c r="GK5" s="860"/>
      <c r="GL5" s="860"/>
      <c r="GM5" s="860"/>
      <c r="GN5" s="860"/>
      <c r="GO5" s="860"/>
      <c r="GP5" s="860"/>
      <c r="GQ5" s="860"/>
      <c r="GR5" s="1218"/>
      <c r="GS5" s="1218"/>
      <c r="GT5" s="1218"/>
      <c r="GU5" s="1218"/>
      <c r="GV5" s="1218"/>
      <c r="GW5" s="1218"/>
      <c r="GX5" s="1218"/>
      <c r="GY5" s="1218"/>
      <c r="GZ5" s="1218"/>
      <c r="HA5" s="1218"/>
      <c r="HB5" s="1218"/>
      <c r="HC5" s="1218"/>
      <c r="HD5" s="2000"/>
      <c r="HE5" s="1218"/>
      <c r="HF5" s="1218"/>
      <c r="HG5" s="2000"/>
      <c r="HH5" s="1218"/>
      <c r="HI5" s="1218"/>
      <c r="HJ5" s="1218"/>
      <c r="HK5" s="2000"/>
      <c r="HL5" s="1218"/>
      <c r="HM5" s="1218"/>
      <c r="HN5" s="2000"/>
      <c r="HO5" s="1218"/>
      <c r="HP5" s="1218"/>
      <c r="HQ5" s="2000"/>
      <c r="HR5" s="1218"/>
    </row>
    <row r="6" spans="1:226">
      <c r="A6" s="2002" t="s">
        <v>695</v>
      </c>
      <c r="B6" s="1231"/>
      <c r="C6" s="1674"/>
      <c r="D6" s="1674"/>
      <c r="E6" s="1674"/>
      <c r="F6" s="1681"/>
      <c r="G6" s="1231"/>
      <c r="H6" s="1162"/>
      <c r="I6" s="860"/>
      <c r="J6" s="860"/>
      <c r="K6" s="1232"/>
      <c r="L6" s="1231"/>
      <c r="M6" s="1162"/>
      <c r="N6" s="1675"/>
      <c r="O6" s="1162"/>
      <c r="P6" s="1232"/>
      <c r="Q6" s="1233"/>
      <c r="R6" s="1162"/>
      <c r="S6" s="860"/>
      <c r="T6" s="1162"/>
      <c r="U6" s="1232"/>
      <c r="V6" s="1233"/>
      <c r="W6" s="1162"/>
      <c r="X6" s="860"/>
      <c r="Y6" s="860"/>
      <c r="Z6" s="1232"/>
      <c r="AA6" s="1233"/>
      <c r="AB6" s="1162"/>
      <c r="AC6" s="1217"/>
      <c r="AD6" s="1217"/>
      <c r="AE6" s="1232"/>
      <c r="AF6" s="1233"/>
      <c r="AG6" s="1162"/>
      <c r="AH6" s="860"/>
      <c r="AI6" s="1217"/>
      <c r="AJ6" s="1232"/>
      <c r="AK6" s="1233"/>
      <c r="AL6" s="1162"/>
      <c r="AM6" s="860"/>
      <c r="AN6" s="860"/>
      <c r="AO6" s="1232"/>
      <c r="AP6" s="1233"/>
      <c r="AQ6" s="1162"/>
      <c r="AR6" s="860"/>
      <c r="AS6" s="860"/>
      <c r="AT6" s="1232"/>
      <c r="AU6" s="1242"/>
      <c r="AV6" s="1162"/>
      <c r="AW6" s="1162"/>
      <c r="AX6" s="1235"/>
      <c r="AY6" s="1232"/>
      <c r="AZ6" s="1233"/>
      <c r="BA6" s="860"/>
      <c r="BB6" s="860"/>
      <c r="BC6" s="860"/>
      <c r="BD6" s="1232"/>
      <c r="BE6" s="1233"/>
      <c r="BF6" s="860"/>
      <c r="BG6" s="860"/>
      <c r="BH6" s="860"/>
      <c r="BI6" s="1232"/>
      <c r="BJ6" s="1233"/>
      <c r="BK6" s="860"/>
      <c r="BL6" s="860"/>
      <c r="BM6" s="860"/>
      <c r="BN6" s="1232"/>
      <c r="BO6" s="1233"/>
      <c r="BP6" s="860"/>
      <c r="BQ6" s="860"/>
      <c r="BR6" s="860"/>
      <c r="BS6" s="1232"/>
      <c r="BT6" s="1233"/>
      <c r="BU6" s="860"/>
      <c r="BV6" s="860"/>
      <c r="BW6" s="860"/>
      <c r="BX6" s="1232"/>
      <c r="BY6" s="1233"/>
      <c r="BZ6" s="860"/>
      <c r="CA6" s="860"/>
      <c r="CB6" s="860"/>
      <c r="CC6" s="1754"/>
      <c r="CD6" s="1233"/>
      <c r="CE6" s="860"/>
      <c r="CF6" s="860"/>
      <c r="CG6" s="860"/>
      <c r="CH6" s="1754"/>
      <c r="CI6" s="860"/>
      <c r="CJ6" s="860"/>
      <c r="CK6" s="1233"/>
      <c r="CL6" s="860"/>
      <c r="CM6" s="860"/>
      <c r="CN6" s="860"/>
      <c r="CO6" s="1232"/>
      <c r="CP6" s="1233"/>
      <c r="CQ6" s="1217"/>
      <c r="CR6" s="1217"/>
      <c r="CS6" s="1217"/>
      <c r="CT6" s="1232"/>
      <c r="CU6" s="1233"/>
      <c r="CV6" s="860"/>
      <c r="CW6" s="1217"/>
      <c r="CX6" s="1217"/>
      <c r="CY6" s="1232"/>
      <c r="CZ6" s="1233"/>
      <c r="DA6" s="860"/>
      <c r="DB6" s="860"/>
      <c r="DC6" s="860"/>
      <c r="DD6" s="1232"/>
      <c r="DE6" s="1233"/>
      <c r="DF6" s="860"/>
      <c r="DG6" s="1217"/>
      <c r="DH6" s="1217"/>
      <c r="DI6" s="1232"/>
      <c r="DJ6" s="1233"/>
      <c r="DK6" s="860"/>
      <c r="DL6" s="860"/>
      <c r="DM6" s="860"/>
      <c r="DN6" s="1232"/>
      <c r="DO6" s="1233"/>
      <c r="DP6" s="860"/>
      <c r="DQ6" s="860"/>
      <c r="DR6" s="860"/>
      <c r="DS6" s="1232"/>
      <c r="DT6" s="1233"/>
      <c r="DU6" s="860"/>
      <c r="DV6" s="860"/>
      <c r="DW6" s="860"/>
      <c r="DX6" s="1232"/>
      <c r="DY6" s="1233"/>
      <c r="DZ6" s="860"/>
      <c r="EA6" s="860"/>
      <c r="EB6" s="860"/>
      <c r="EC6" s="1232"/>
      <c r="ED6" s="860"/>
      <c r="EE6" s="860"/>
      <c r="EF6" s="860"/>
      <c r="EG6" s="860"/>
      <c r="EH6" s="860"/>
      <c r="EI6" s="1233"/>
      <c r="EJ6" s="860"/>
      <c r="EK6" s="860"/>
      <c r="EL6" s="860"/>
      <c r="EM6" s="1232"/>
      <c r="EN6" s="1233"/>
      <c r="EO6" s="860"/>
      <c r="EP6" s="860"/>
      <c r="EQ6" s="860"/>
      <c r="ER6" s="1232"/>
      <c r="ES6" s="860"/>
      <c r="ET6" s="860"/>
      <c r="EU6" s="860"/>
      <c r="EV6" s="860"/>
      <c r="EW6" s="1232"/>
      <c r="EX6" s="1233"/>
      <c r="EY6" s="860"/>
      <c r="EZ6" s="860"/>
      <c r="FA6" s="860"/>
      <c r="FB6" s="1754"/>
      <c r="FC6" s="1233"/>
      <c r="FD6" s="860"/>
      <c r="FE6" s="860"/>
      <c r="FF6" s="860"/>
      <c r="FG6" s="1753"/>
      <c r="FH6" s="860"/>
      <c r="FI6" s="860"/>
      <c r="FJ6" s="860"/>
      <c r="FK6" s="860"/>
      <c r="FL6" s="860"/>
      <c r="FM6" s="860"/>
      <c r="FN6" s="860"/>
      <c r="FO6" s="860"/>
      <c r="FP6" s="860"/>
      <c r="FQ6" s="860"/>
      <c r="FR6" s="860"/>
      <c r="FS6" s="860"/>
      <c r="FT6" s="860"/>
      <c r="FU6" s="860"/>
      <c r="FV6" s="860"/>
      <c r="FW6" s="860"/>
      <c r="FX6" s="860"/>
      <c r="FY6" s="860"/>
      <c r="FZ6" s="860"/>
      <c r="GA6" s="860"/>
      <c r="GB6" s="860"/>
      <c r="GC6" s="860"/>
      <c r="GD6" s="860"/>
      <c r="GE6" s="860"/>
      <c r="GF6" s="860"/>
      <c r="GG6" s="860"/>
      <c r="GH6" s="860"/>
      <c r="GI6" s="860"/>
      <c r="GJ6" s="860"/>
      <c r="GK6" s="860"/>
      <c r="GL6" s="860"/>
      <c r="GM6" s="860"/>
      <c r="GN6" s="860"/>
      <c r="GO6" s="860"/>
      <c r="GP6" s="860"/>
      <c r="GQ6" s="860"/>
      <c r="GR6" s="1218"/>
      <c r="GS6" s="1218"/>
      <c r="GT6" s="1218"/>
      <c r="GU6" s="1218"/>
      <c r="GV6" s="1218"/>
      <c r="GW6" s="1218"/>
      <c r="GX6" s="1218"/>
      <c r="GY6" s="1218"/>
      <c r="GZ6" s="1218"/>
      <c r="HA6" s="1218"/>
      <c r="HB6" s="1218"/>
      <c r="HC6" s="1218"/>
      <c r="HD6" s="2000"/>
      <c r="HE6" s="1218"/>
      <c r="HF6" s="1218"/>
      <c r="HG6" s="2000"/>
      <c r="HH6" s="1218"/>
      <c r="HI6" s="1218"/>
      <c r="HJ6" s="1218"/>
      <c r="HK6" s="2000"/>
      <c r="HL6" s="1218"/>
      <c r="HM6" s="1218"/>
      <c r="HN6" s="2000"/>
      <c r="HO6" s="1218"/>
      <c r="HP6" s="1218"/>
      <c r="HQ6" s="2000"/>
      <c r="HR6" s="1218"/>
    </row>
    <row r="7" spans="1:226" ht="14.25" customHeight="1">
      <c r="A7" s="1132" t="s">
        <v>94</v>
      </c>
      <c r="B7" s="1682"/>
      <c r="C7" s="1675"/>
      <c r="D7" s="1675"/>
      <c r="E7" s="1675"/>
      <c r="F7" s="1683"/>
      <c r="G7" s="1237">
        <f>+SUM(G8:G10)</f>
        <v>5696.4999999999991</v>
      </c>
      <c r="H7" s="1235">
        <f>+SUM(H8:H10)</f>
        <v>7253.2</v>
      </c>
      <c r="I7" s="1235">
        <f>+SUM(I8:I10)</f>
        <v>7997.3</v>
      </c>
      <c r="J7" s="1235">
        <f>+SUM(J8:J10)</f>
        <v>9738.6</v>
      </c>
      <c r="K7" s="1238">
        <f>+SUM(G7:J7)</f>
        <v>30685.599999999999</v>
      </c>
      <c r="L7" s="1237">
        <v>6470.1</v>
      </c>
      <c r="M7" s="1235">
        <v>7845.4</v>
      </c>
      <c r="N7" s="1235">
        <v>8349.7999999999993</v>
      </c>
      <c r="O7" s="1235">
        <v>10218.700000000001</v>
      </c>
      <c r="P7" s="1238">
        <f>+SUM(L7:O7)</f>
        <v>32884</v>
      </c>
      <c r="Q7" s="1237">
        <v>6348</v>
      </c>
      <c r="R7" s="1235">
        <v>8241.7000000000007</v>
      </c>
      <c r="S7" s="1235">
        <v>8794</v>
      </c>
      <c r="T7" s="1235">
        <f>T8+T9+T10</f>
        <v>10436.800000000001</v>
      </c>
      <c r="U7" s="1238">
        <f>+SUM(Q7:T7)</f>
        <v>33820.5</v>
      </c>
      <c r="V7" s="1237">
        <v>6641.8</v>
      </c>
      <c r="W7" s="1235">
        <f>W8+W9+W10</f>
        <v>8723.6723500000007</v>
      </c>
      <c r="X7" s="1235">
        <f>X8+X9+X10</f>
        <v>8372.8276499999993</v>
      </c>
      <c r="Y7" s="1235">
        <f>Y8+Y9+Y10</f>
        <v>11129.8</v>
      </c>
      <c r="Z7" s="1238">
        <f>Master!M17</f>
        <v>34868.1</v>
      </c>
      <c r="AA7" s="1237">
        <v>7021</v>
      </c>
      <c r="AB7" s="1235">
        <v>7923</v>
      </c>
      <c r="AC7" s="1235">
        <f>SUM(AC8:AC10)</f>
        <v>8626</v>
      </c>
      <c r="AD7" s="1235">
        <f>SUM(AD8:AD10)</f>
        <v>10762.6</v>
      </c>
      <c r="AE7" s="1238">
        <f>Master!N17</f>
        <v>34332.6</v>
      </c>
      <c r="AF7" s="1237">
        <f>SUM(AF8:AF10)</f>
        <v>7526.4000000000005</v>
      </c>
      <c r="AG7" s="1235">
        <f>SUM(AG8:AG10)</f>
        <v>8793</v>
      </c>
      <c r="AH7" s="1235">
        <f>SUM(AH8:AH10)</f>
        <v>8676.1</v>
      </c>
      <c r="AI7" s="1235">
        <f>SUM(AI8:AI10)</f>
        <v>11691.2</v>
      </c>
      <c r="AJ7" s="1238">
        <f>Master!O17</f>
        <v>36686.699999999997</v>
      </c>
      <c r="AK7" s="1237">
        <v>7290.7</v>
      </c>
      <c r="AL7" s="1235">
        <f>SUM(AL8:AL10)</f>
        <v>8075.9000000000005</v>
      </c>
      <c r="AM7" s="1235">
        <f>SUM(AM8:AM10)</f>
        <v>8025</v>
      </c>
      <c r="AN7" s="1235">
        <f>SUM(AN8:AN10)</f>
        <v>10605.8</v>
      </c>
      <c r="AO7" s="1238">
        <f>Master!P17</f>
        <v>33997</v>
      </c>
      <c r="AP7" s="1237">
        <f>SUM(AP8:AP11)</f>
        <v>7899.4</v>
      </c>
      <c r="AQ7" s="1235">
        <f>SUM(AQ8:AQ11)</f>
        <v>10971.400000000001</v>
      </c>
      <c r="AR7" s="1235">
        <f>SUM(AR8:AR11)</f>
        <v>9710.1</v>
      </c>
      <c r="AS7" s="1235">
        <f>SUM(AS8:AS11)</f>
        <v>10642.800000000001</v>
      </c>
      <c r="AT7" s="1238">
        <f>Master!Q17</f>
        <v>39251</v>
      </c>
      <c r="AU7" s="1237">
        <f>SUM(AU8:AU11)</f>
        <v>7184.9</v>
      </c>
      <c r="AV7" s="1235">
        <f>SUM(AV8:AV11)</f>
        <v>8050</v>
      </c>
      <c r="AW7" s="1235">
        <f>SUM(AW8:AW11)</f>
        <v>8659.2999999999993</v>
      </c>
      <c r="AX7" s="1235">
        <f>SUM(AX8:AX11)</f>
        <v>11166.6</v>
      </c>
      <c r="AY7" s="1238">
        <f>Master!R17</f>
        <v>34795.4</v>
      </c>
      <c r="AZ7" s="1237">
        <f>SUM(AZ8:AZ11)</f>
        <v>6727.6</v>
      </c>
      <c r="BA7" s="1235">
        <f>SUM(BA8:BA11)</f>
        <v>6740.5999999999995</v>
      </c>
      <c r="BB7" s="1235">
        <f>SUM(BB8:BB11)</f>
        <v>8033.4</v>
      </c>
      <c r="BC7" s="1235">
        <f>SUM(BC8:BC11)</f>
        <v>11111.400000000001</v>
      </c>
      <c r="BD7" s="1238">
        <f>Master!S17</f>
        <v>32613</v>
      </c>
      <c r="BE7" s="1237">
        <v>7416</v>
      </c>
      <c r="BF7" s="1235">
        <f>SUM(BF8:BF10)</f>
        <v>7856</v>
      </c>
      <c r="BG7" s="1235">
        <f>SUM(BG8:BG10)</f>
        <v>9109.8000000000011</v>
      </c>
      <c r="BH7" s="1235">
        <f>SUM(BH8:BH11)</f>
        <v>11559.300000000001</v>
      </c>
      <c r="BI7" s="1238">
        <f>Master!T17</f>
        <v>35941.9</v>
      </c>
      <c r="BJ7" s="1237"/>
      <c r="BK7" s="1235"/>
      <c r="BL7" s="1235"/>
      <c r="BM7" s="1235"/>
      <c r="BN7" s="1238"/>
      <c r="BO7" s="1237"/>
      <c r="BP7" s="1235"/>
      <c r="BQ7" s="1235"/>
      <c r="BR7" s="1235"/>
      <c r="BS7" s="1238"/>
      <c r="BT7" s="1237"/>
      <c r="BU7" s="1235"/>
      <c r="BV7" s="1235"/>
      <c r="BW7" s="1235"/>
      <c r="BX7" s="1238"/>
      <c r="BY7" s="1237"/>
      <c r="BZ7" s="1235"/>
      <c r="CA7" s="1268"/>
      <c r="CB7" s="1268"/>
      <c r="CC7" s="1758"/>
      <c r="CD7" s="1237"/>
      <c r="CE7" s="1235"/>
      <c r="CF7" s="1235"/>
      <c r="CG7" s="1235"/>
      <c r="CH7" s="1758"/>
      <c r="CI7" s="1235"/>
      <c r="CJ7" s="860"/>
      <c r="CK7" s="1242">
        <f t="shared" ref="CK7:CX10" si="2">L7/G7-1</f>
        <v>0.13580268585973876</v>
      </c>
      <c r="CL7" s="1162">
        <f t="shared" si="2"/>
        <v>8.1646721447085291E-2</v>
      </c>
      <c r="CM7" s="1162">
        <f t="shared" si="2"/>
        <v>4.4077376114438405E-2</v>
      </c>
      <c r="CN7" s="1217">
        <f t="shared" si="2"/>
        <v>4.929866715955078E-2</v>
      </c>
      <c r="CO7" s="1276">
        <f t="shared" si="2"/>
        <v>7.1642724926349821E-2</v>
      </c>
      <c r="CP7" s="1239">
        <f t="shared" si="2"/>
        <v>-1.8871423934715081E-2</v>
      </c>
      <c r="CQ7" s="1217">
        <f t="shared" si="2"/>
        <v>5.0513676804242014E-2</v>
      </c>
      <c r="CR7" s="1217">
        <f t="shared" si="2"/>
        <v>5.3198879015066369E-2</v>
      </c>
      <c r="CS7" s="1217">
        <f t="shared" si="2"/>
        <v>2.1343223697730673E-2</v>
      </c>
      <c r="CT7" s="1276">
        <f t="shared" si="2"/>
        <v>2.8478895511494962E-2</v>
      </c>
      <c r="CU7" s="1239">
        <f t="shared" si="2"/>
        <v>4.6282293635790728E-2</v>
      </c>
      <c r="CV7" s="1217">
        <f t="shared" si="2"/>
        <v>5.8479725056723719E-2</v>
      </c>
      <c r="CW7" s="1217">
        <f t="shared" si="2"/>
        <v>-4.7893148737775837E-2</v>
      </c>
      <c r="CX7" s="1217">
        <f t="shared" si="2"/>
        <v>6.63996627318717E-2</v>
      </c>
      <c r="CY7" s="1232"/>
      <c r="CZ7" s="1239">
        <f t="shared" ref="CZ7:DC10" si="3">AA7/V7-1</f>
        <v>5.7092956728597599E-2</v>
      </c>
      <c r="DA7" s="1217">
        <f t="shared" si="3"/>
        <v>-9.178157063636172E-2</v>
      </c>
      <c r="DB7" s="1217">
        <f t="shared" si="3"/>
        <v>3.0237377452765335E-2</v>
      </c>
      <c r="DC7" s="1217">
        <f t="shared" si="3"/>
        <v>-3.2992506603892191E-2</v>
      </c>
      <c r="DD7" s="1232"/>
      <c r="DE7" s="1239">
        <f t="shared" ref="DE7:DH10" si="4">AF7/AA7-1</f>
        <v>7.1984047856430866E-2</v>
      </c>
      <c r="DF7" s="1217">
        <f t="shared" si="4"/>
        <v>0.10980689132904198</v>
      </c>
      <c r="DG7" s="1217">
        <f t="shared" si="4"/>
        <v>5.8080222582890251E-3</v>
      </c>
      <c r="DH7" s="1217">
        <f t="shared" si="4"/>
        <v>8.6280266850017773E-2</v>
      </c>
      <c r="DI7" s="1232"/>
      <c r="DJ7" s="1239">
        <f t="shared" ref="DJ7:DM10" si="5">AK7/AF7-1</f>
        <v>-3.1316432823129348E-2</v>
      </c>
      <c r="DK7" s="1217">
        <f t="shared" si="5"/>
        <v>-8.1553508472648639E-2</v>
      </c>
      <c r="DL7" s="1217">
        <f t="shared" si="5"/>
        <v>-7.5045239220387083E-2</v>
      </c>
      <c r="DM7" s="1217">
        <f t="shared" si="5"/>
        <v>-9.2839058437115263E-2</v>
      </c>
      <c r="DN7" s="1276"/>
      <c r="DO7" s="1239">
        <f t="shared" ref="DO7:DR10" si="6">AP7/AK7-1</f>
        <v>8.3489925521554875E-2</v>
      </c>
      <c r="DP7" s="1217">
        <f t="shared" si="6"/>
        <v>0.35853589073663628</v>
      </c>
      <c r="DQ7" s="1217">
        <f t="shared" si="6"/>
        <v>0.20998130841121498</v>
      </c>
      <c r="DR7" s="1217">
        <f t="shared" si="6"/>
        <v>3.4886571498615737E-3</v>
      </c>
      <c r="DS7" s="1232"/>
      <c r="DT7" s="1239">
        <f t="shared" ref="DT7:DW10" si="7">AU7/AP7-1</f>
        <v>-9.0449907587918044E-2</v>
      </c>
      <c r="DU7" s="1217">
        <f t="shared" si="7"/>
        <v>-0.26627413092221608</v>
      </c>
      <c r="DV7" s="1217">
        <f t="shared" si="7"/>
        <v>-0.10821721712443755</v>
      </c>
      <c r="DW7" s="1217">
        <f t="shared" si="7"/>
        <v>4.921637163152548E-2</v>
      </c>
      <c r="DX7" s="1232"/>
      <c r="DY7" s="1239">
        <f t="shared" ref="DY7:EB10" si="8">AZ7/AU7-1</f>
        <v>-6.3647371570933364E-2</v>
      </c>
      <c r="DZ7" s="1217">
        <f t="shared" si="8"/>
        <v>-0.16265838509316777</v>
      </c>
      <c r="EA7" s="1217">
        <f t="shared" si="8"/>
        <v>-7.2280669338168124E-2</v>
      </c>
      <c r="EB7" s="1217">
        <f t="shared" si="8"/>
        <v>-4.9433130944064319E-3</v>
      </c>
      <c r="EC7" s="1232"/>
      <c r="ED7" s="1217">
        <f t="shared" ref="ED7:EG10" si="9">BE7/AZ7-1</f>
        <v>0.10232475176883282</v>
      </c>
      <c r="EE7" s="1217">
        <f t="shared" si="9"/>
        <v>0.16547488354152451</v>
      </c>
      <c r="EF7" s="1162">
        <f t="shared" si="9"/>
        <v>0.13399058928971552</v>
      </c>
      <c r="EG7" s="1162">
        <f t="shared" si="9"/>
        <v>4.0309951941249533E-2</v>
      </c>
      <c r="EH7" s="860"/>
      <c r="EI7" s="1233"/>
      <c r="EJ7" s="860"/>
      <c r="EK7" s="860"/>
      <c r="EL7" s="1162"/>
      <c r="EM7" s="1232"/>
      <c r="EN7" s="1233"/>
      <c r="EO7" s="860"/>
      <c r="EP7" s="860"/>
      <c r="EQ7" s="1162"/>
      <c r="ER7" s="1232"/>
      <c r="ES7" s="860"/>
      <c r="ET7" s="860"/>
      <c r="EU7" s="860"/>
      <c r="EV7" s="1162"/>
      <c r="EW7" s="1232"/>
      <c r="EX7" s="1233"/>
      <c r="EY7" s="860"/>
      <c r="EZ7" s="860"/>
      <c r="FA7" s="860"/>
      <c r="FB7" s="1754"/>
      <c r="FC7" s="1233"/>
      <c r="FD7" s="860"/>
      <c r="FE7" s="860"/>
      <c r="FF7" s="860"/>
      <c r="FG7" s="1753"/>
      <c r="FH7" s="860"/>
      <c r="FI7" s="860"/>
      <c r="FJ7" s="860"/>
      <c r="FK7" s="860"/>
      <c r="FX7" s="860"/>
      <c r="FY7" s="860"/>
      <c r="FZ7" s="860"/>
      <c r="GA7" s="860"/>
      <c r="GB7" s="860"/>
      <c r="GC7" s="860"/>
      <c r="GD7" s="860"/>
      <c r="GE7" s="860"/>
      <c r="GF7" s="860"/>
      <c r="GG7" s="860"/>
      <c r="GH7" s="860"/>
      <c r="GI7" s="860"/>
      <c r="GJ7" s="860"/>
      <c r="GK7" s="860"/>
      <c r="GL7" s="860"/>
      <c r="GM7" s="860"/>
      <c r="GN7" s="860"/>
      <c r="GO7" s="860"/>
      <c r="GP7" s="860"/>
      <c r="GQ7" s="860"/>
      <c r="GR7" s="1376"/>
      <c r="GS7" s="1218"/>
      <c r="GT7" s="1376"/>
      <c r="GU7" s="1241"/>
      <c r="GV7" s="1376"/>
      <c r="GW7" s="1218"/>
      <c r="GX7" s="1218"/>
      <c r="GY7" s="1376"/>
      <c r="GZ7" s="1218"/>
      <c r="HA7" s="1218"/>
      <c r="HB7" s="1376"/>
      <c r="HC7" s="1218"/>
      <c r="HD7" s="2000"/>
      <c r="HE7" s="1376"/>
      <c r="HF7" s="1241"/>
      <c r="HG7" s="2000"/>
      <c r="HH7" s="1376"/>
      <c r="HI7" s="1376"/>
      <c r="HJ7" s="1218"/>
      <c r="HK7" s="2000"/>
      <c r="HL7" s="1376"/>
      <c r="HM7" s="1218"/>
      <c r="HN7" s="2000"/>
      <c r="HO7" s="1376"/>
      <c r="HP7" s="1218"/>
      <c r="HQ7" s="2000"/>
      <c r="HR7" s="1376"/>
    </row>
    <row r="8" spans="1:226" ht="14.25" customHeight="1">
      <c r="A8" s="1135" t="s">
        <v>189</v>
      </c>
      <c r="B8" s="1682"/>
      <c r="C8" s="1675"/>
      <c r="D8" s="1675"/>
      <c r="E8" s="1675"/>
      <c r="F8" s="1683"/>
      <c r="G8" s="1237">
        <v>4131.3999999999996</v>
      </c>
      <c r="H8" s="1235">
        <v>5570.7</v>
      </c>
      <c r="I8" s="1235">
        <v>6059.4</v>
      </c>
      <c r="J8" s="1235">
        <v>7444.6</v>
      </c>
      <c r="K8" s="1238">
        <f>+SUM(G8:J8)</f>
        <v>23206.1</v>
      </c>
      <c r="L8" s="1237">
        <v>4533.1000000000004</v>
      </c>
      <c r="M8" s="1235">
        <v>5566.9</v>
      </c>
      <c r="N8" s="1235">
        <v>6119.7</v>
      </c>
      <c r="O8" s="1235">
        <v>7716.2</v>
      </c>
      <c r="P8" s="1238">
        <f>+SUM(L8:O8)</f>
        <v>23935.9</v>
      </c>
      <c r="Q8" s="1237">
        <v>4207.7</v>
      </c>
      <c r="R8" s="1235">
        <v>5911.4</v>
      </c>
      <c r="S8" s="1235">
        <v>6426.7</v>
      </c>
      <c r="T8" s="1235">
        <f>24865.5-Q8-R8-S8</f>
        <v>8319.7000000000007</v>
      </c>
      <c r="U8" s="1238">
        <f>+SUM(Q8:T8)</f>
        <v>24865.5</v>
      </c>
      <c r="V8" s="1237">
        <v>4552.6000000000004</v>
      </c>
      <c r="W8" s="1235">
        <v>6264.7</v>
      </c>
      <c r="X8" s="1235">
        <v>6015.4</v>
      </c>
      <c r="Y8" s="1235">
        <f>25465.7-V8-W8-X8</f>
        <v>8632.9999999999982</v>
      </c>
      <c r="Z8" s="1238">
        <f>+SUM(V8:Y8)</f>
        <v>25465.699999999997</v>
      </c>
      <c r="AA8" s="1237">
        <v>4623.8999999999996</v>
      </c>
      <c r="AB8" s="1235">
        <v>5238.5</v>
      </c>
      <c r="AC8" s="1235">
        <v>5480</v>
      </c>
      <c r="AD8" s="1235">
        <f>23029.3-AA8-AB8-AC8</f>
        <v>7686.9000000000015</v>
      </c>
      <c r="AE8" s="1238">
        <f>Master!N13</f>
        <v>23029.3</v>
      </c>
      <c r="AF8" s="1237">
        <v>4478.7</v>
      </c>
      <c r="AG8" s="1235">
        <v>5351</v>
      </c>
      <c r="AH8" s="1235">
        <v>5397.7</v>
      </c>
      <c r="AI8" s="1235">
        <f>23223.2-AF8-AG8-AH8</f>
        <v>7995.8</v>
      </c>
      <c r="AJ8" s="1238">
        <f>Master!O13</f>
        <v>23223.200000000001</v>
      </c>
      <c r="AK8" s="1237">
        <v>4128.2</v>
      </c>
      <c r="AL8" s="1235">
        <v>4826.6000000000004</v>
      </c>
      <c r="AM8" s="1235">
        <f>4943.8</f>
        <v>4943.8</v>
      </c>
      <c r="AN8" s="1235">
        <v>6820.5</v>
      </c>
      <c r="AO8" s="1238">
        <f>Master!P13</f>
        <v>20719</v>
      </c>
      <c r="AP8" s="1237">
        <v>4272.7</v>
      </c>
      <c r="AQ8" s="1235">
        <v>5265.8</v>
      </c>
      <c r="AR8" s="1235">
        <v>5051.2</v>
      </c>
      <c r="AS8" s="1235">
        <f>21154.9-AP8-AQ8-AR8</f>
        <v>6565.2000000000016</v>
      </c>
      <c r="AT8" s="1238">
        <f>Master!Q13</f>
        <v>21155</v>
      </c>
      <c r="AU8" s="1237">
        <v>3681.9</v>
      </c>
      <c r="AV8" s="1235">
        <v>4370.3</v>
      </c>
      <c r="AW8" s="1235">
        <v>4786.8999999999996</v>
      </c>
      <c r="AX8" s="1651">
        <v>6620.6</v>
      </c>
      <c r="AY8" s="1238">
        <f>Master!R13</f>
        <v>19420.400000000001</v>
      </c>
      <c r="AZ8" s="1237">
        <v>2635.1</v>
      </c>
      <c r="BA8" s="1235">
        <v>2922.2</v>
      </c>
      <c r="BB8" s="1235">
        <v>4164.3999999999996</v>
      </c>
      <c r="BC8" s="1235">
        <f>BD8-AZ8-BA8-BB8</f>
        <v>6628.1</v>
      </c>
      <c r="BD8" s="1238">
        <f>Master!S13</f>
        <v>16349.8</v>
      </c>
      <c r="BE8" s="1237">
        <v>3374.9</v>
      </c>
      <c r="BF8" s="1235">
        <v>3860</v>
      </c>
      <c r="BG8" s="1235">
        <v>4823.8</v>
      </c>
      <c r="BH8" s="1235">
        <v>7103.2</v>
      </c>
      <c r="BI8" s="1238">
        <f>Master!T13</f>
        <v>19162</v>
      </c>
      <c r="BJ8" s="1237"/>
      <c r="BK8" s="1235"/>
      <c r="BL8" s="1235"/>
      <c r="BM8" s="1235"/>
      <c r="BN8" s="1238"/>
      <c r="BO8" s="1237"/>
      <c r="BP8" s="1235"/>
      <c r="BQ8" s="1235"/>
      <c r="BR8" s="1235"/>
      <c r="BS8" s="1238"/>
      <c r="BT8" s="1237"/>
      <c r="BU8" s="1235"/>
      <c r="BV8" s="1235"/>
      <c r="BW8" s="1235"/>
      <c r="BX8" s="1238"/>
      <c r="BY8" s="1237"/>
      <c r="BZ8" s="1235"/>
      <c r="CA8" s="1268"/>
      <c r="CB8" s="1268"/>
      <c r="CC8" s="1758"/>
      <c r="CD8" s="1237"/>
      <c r="CE8" s="1235"/>
      <c r="CF8" s="1235"/>
      <c r="CG8" s="1235"/>
      <c r="CH8" s="1758"/>
      <c r="CI8" s="1235"/>
      <c r="CJ8" s="860"/>
      <c r="CK8" s="1239">
        <f t="shared" si="2"/>
        <v>9.7230962869729654E-2</v>
      </c>
      <c r="CL8" s="1217">
        <f t="shared" si="2"/>
        <v>-6.8214048503778546E-4</v>
      </c>
      <c r="CM8" s="1217">
        <f t="shared" si="2"/>
        <v>9.9514803445885924E-3</v>
      </c>
      <c r="CN8" s="1217">
        <f t="shared" si="2"/>
        <v>3.6482819761975094E-2</v>
      </c>
      <c r="CO8" s="1276">
        <f t="shared" si="2"/>
        <v>3.144862773150181E-2</v>
      </c>
      <c r="CP8" s="1239">
        <f t="shared" si="2"/>
        <v>-7.178310648342201E-2</v>
      </c>
      <c r="CQ8" s="1217">
        <f t="shared" si="2"/>
        <v>6.1883633620147593E-2</v>
      </c>
      <c r="CR8" s="1217">
        <f t="shared" si="2"/>
        <v>5.0165857803487146E-2</v>
      </c>
      <c r="CS8" s="1217">
        <f t="shared" si="2"/>
        <v>7.821207330032931E-2</v>
      </c>
      <c r="CT8" s="1276">
        <f t="shared" si="2"/>
        <v>3.8837060649484556E-2</v>
      </c>
      <c r="CU8" s="1239">
        <f t="shared" si="2"/>
        <v>8.1968771537894947E-2</v>
      </c>
      <c r="CV8" s="1217">
        <f t="shared" si="2"/>
        <v>5.9765876103799576E-2</v>
      </c>
      <c r="CW8" s="1217">
        <f t="shared" si="2"/>
        <v>-6.3998630712496341E-2</v>
      </c>
      <c r="CX8" s="1217">
        <f t="shared" si="2"/>
        <v>3.7657607846436569E-2</v>
      </c>
      <c r="CY8" s="1232"/>
      <c r="CZ8" s="1239">
        <f t="shared" si="3"/>
        <v>1.5661380310152184E-2</v>
      </c>
      <c r="DA8" s="1217">
        <f t="shared" si="3"/>
        <v>-0.16380672657908601</v>
      </c>
      <c r="DB8" s="1217">
        <f t="shared" si="3"/>
        <v>-8.9004887455530701E-2</v>
      </c>
      <c r="DC8" s="1217">
        <f t="shared" si="3"/>
        <v>-0.10959110390362525</v>
      </c>
      <c r="DD8" s="1232"/>
      <c r="DE8" s="1239">
        <f t="shared" si="4"/>
        <v>-3.1402063193408103E-2</v>
      </c>
      <c r="DF8" s="1217">
        <f t="shared" si="4"/>
        <v>2.1475613248067127E-2</v>
      </c>
      <c r="DG8" s="1217">
        <f t="shared" si="4"/>
        <v>-1.5018248175182491E-2</v>
      </c>
      <c r="DH8" s="1217">
        <f t="shared" si="4"/>
        <v>4.0185250230912128E-2</v>
      </c>
      <c r="DI8" s="1232"/>
      <c r="DJ8" s="1239">
        <f t="shared" si="5"/>
        <v>-7.8259316319467698E-2</v>
      </c>
      <c r="DK8" s="1217">
        <f t="shared" si="5"/>
        <v>-9.8000373761913617E-2</v>
      </c>
      <c r="DL8" s="1217">
        <f t="shared" si="5"/>
        <v>-8.4091372251143937E-2</v>
      </c>
      <c r="DM8" s="1217">
        <f t="shared" si="5"/>
        <v>-0.1469896695765277</v>
      </c>
      <c r="DN8" s="1232"/>
      <c r="DO8" s="1239">
        <f t="shared" si="6"/>
        <v>3.5003149072234896E-2</v>
      </c>
      <c r="DP8" s="1217">
        <f t="shared" si="6"/>
        <v>9.0995731985248351E-2</v>
      </c>
      <c r="DQ8" s="1217">
        <f t="shared" si="6"/>
        <v>2.1724179780735486E-2</v>
      </c>
      <c r="DR8" s="1217">
        <f t="shared" si="6"/>
        <v>-3.7431273367054985E-2</v>
      </c>
      <c r="DS8" s="1232"/>
      <c r="DT8" s="1239">
        <f t="shared" si="7"/>
        <v>-0.13827322302057243</v>
      </c>
      <c r="DU8" s="1217">
        <f t="shared" si="7"/>
        <v>-0.17005963006570701</v>
      </c>
      <c r="DV8" s="1217">
        <f t="shared" si="7"/>
        <v>-5.2324200190053904E-2</v>
      </c>
      <c r="DW8" s="1217">
        <f t="shared" si="7"/>
        <v>8.4384329494910926E-3</v>
      </c>
      <c r="DX8" s="1232"/>
      <c r="DY8" s="1239">
        <f t="shared" si="8"/>
        <v>-0.28430973138868521</v>
      </c>
      <c r="DZ8" s="1217">
        <f t="shared" si="8"/>
        <v>-0.33135025055488188</v>
      </c>
      <c r="EA8" s="1217">
        <f t="shared" si="8"/>
        <v>-0.13004240740353878</v>
      </c>
      <c r="EB8" s="1217">
        <f t="shared" si="8"/>
        <v>1.1328278403770486E-3</v>
      </c>
      <c r="EC8" s="1232"/>
      <c r="ED8" s="1217">
        <f t="shared" si="9"/>
        <v>0.28074835869606485</v>
      </c>
      <c r="EE8" s="1217">
        <f t="shared" si="9"/>
        <v>0.32092259256724387</v>
      </c>
      <c r="EF8" s="1217">
        <f t="shared" si="9"/>
        <v>0.15834213812313913</v>
      </c>
      <c r="EG8" s="1217">
        <f t="shared" si="9"/>
        <v>7.1679666872859427E-2</v>
      </c>
      <c r="EH8" s="860"/>
      <c r="EI8" s="1233"/>
      <c r="EJ8" s="860"/>
      <c r="EK8" s="860"/>
      <c r="EL8" s="1162"/>
      <c r="EM8" s="1232"/>
      <c r="EN8" s="1233"/>
      <c r="EO8" s="860"/>
      <c r="EP8" s="860"/>
      <c r="EQ8" s="1162"/>
      <c r="ER8" s="1232"/>
      <c r="ES8" s="860"/>
      <c r="ET8" s="860"/>
      <c r="EU8" s="860"/>
      <c r="EV8" s="1162"/>
      <c r="EW8" s="1232"/>
      <c r="EX8" s="1233"/>
      <c r="EY8" s="860"/>
      <c r="EZ8" s="860"/>
      <c r="FA8" s="860"/>
      <c r="FB8" s="1754"/>
      <c r="FC8" s="1233"/>
      <c r="FD8" s="860"/>
      <c r="FE8" s="860"/>
      <c r="FF8" s="860"/>
      <c r="FG8" s="1753"/>
      <c r="FH8" s="860"/>
      <c r="FI8" s="860"/>
      <c r="FJ8" s="860"/>
      <c r="FX8" s="860"/>
      <c r="FY8" s="860"/>
      <c r="FZ8" s="860"/>
      <c r="GA8" s="860"/>
      <c r="GB8" s="860"/>
      <c r="GC8" s="860"/>
      <c r="GD8" s="860"/>
      <c r="GE8" s="860"/>
      <c r="GF8" s="860"/>
      <c r="GG8" s="860"/>
      <c r="GH8" s="860"/>
      <c r="GI8" s="860"/>
      <c r="GJ8" s="860"/>
      <c r="GK8" s="860"/>
      <c r="GL8" s="860"/>
      <c r="GM8" s="860"/>
      <c r="GN8" s="860"/>
      <c r="GO8" s="860"/>
      <c r="GP8" s="860"/>
      <c r="GQ8" s="860"/>
      <c r="GR8" s="1376"/>
      <c r="GS8" s="1218"/>
      <c r="GT8" s="1376"/>
      <c r="GU8" s="1241"/>
      <c r="GV8" s="1376"/>
      <c r="GW8" s="1218"/>
      <c r="GX8" s="1218"/>
      <c r="GY8" s="1376"/>
      <c r="GZ8" s="1218"/>
      <c r="HA8" s="1218"/>
      <c r="HB8" s="1376"/>
      <c r="HC8" s="1218"/>
      <c r="HD8" s="2000"/>
      <c r="HE8" s="1376"/>
      <c r="HF8" s="1241"/>
      <c r="HG8" s="2000"/>
      <c r="HH8" s="1376"/>
      <c r="HI8" s="1376"/>
      <c r="HJ8" s="1218"/>
      <c r="HK8" s="2000"/>
      <c r="HL8" s="1376"/>
      <c r="HM8" s="1218"/>
      <c r="HN8" s="2000"/>
      <c r="HO8" s="1376"/>
      <c r="HP8" s="1218"/>
      <c r="HQ8" s="2000"/>
      <c r="HR8" s="1376"/>
    </row>
    <row r="9" spans="1:226" ht="14.25" customHeight="1">
      <c r="A9" s="1135" t="s">
        <v>190</v>
      </c>
      <c r="B9" s="1682"/>
      <c r="C9" s="1675"/>
      <c r="D9" s="1675"/>
      <c r="E9" s="1675"/>
      <c r="F9" s="1683"/>
      <c r="G9" s="1237">
        <v>606.4</v>
      </c>
      <c r="H9" s="1235">
        <v>613.20000000000005</v>
      </c>
      <c r="I9" s="1235">
        <v>672.6</v>
      </c>
      <c r="J9" s="1235">
        <v>698.6</v>
      </c>
      <c r="K9" s="1238">
        <f>+SUM(G9:J9)</f>
        <v>2590.7999999999997</v>
      </c>
      <c r="L9" s="1237">
        <v>742.7</v>
      </c>
      <c r="M9" s="1235">
        <v>805.4</v>
      </c>
      <c r="N9" s="1235">
        <v>821.7</v>
      </c>
      <c r="O9" s="1235">
        <v>819.4</v>
      </c>
      <c r="P9" s="1238">
        <f>+SUM(L9:O9)</f>
        <v>3189.2000000000003</v>
      </c>
      <c r="Q9" s="1237">
        <v>870.9</v>
      </c>
      <c r="R9" s="1235">
        <v>881.7</v>
      </c>
      <c r="S9" s="1235">
        <v>872.3</v>
      </c>
      <c r="T9" s="1235">
        <f>3265.6-Q9-R9-S9</f>
        <v>640.69999999999982</v>
      </c>
      <c r="U9" s="1238">
        <f>+SUM(Q9:T9)</f>
        <v>3265.5999999999995</v>
      </c>
      <c r="V9" s="1237">
        <v>688.1</v>
      </c>
      <c r="W9" s="1235">
        <v>672</v>
      </c>
      <c r="X9" s="1235">
        <v>718.5</v>
      </c>
      <c r="Y9" s="1235">
        <f>2854.4-V9-W9-X9</f>
        <v>775.80000000000018</v>
      </c>
      <c r="Z9" s="1238">
        <f>+SUM(V9:Y9)</f>
        <v>2854.4</v>
      </c>
      <c r="AA9" s="1237">
        <v>821.8</v>
      </c>
      <c r="AB9" s="1235">
        <v>854.1</v>
      </c>
      <c r="AC9" s="1235">
        <v>935</v>
      </c>
      <c r="AD9" s="1235">
        <f>3595.4-AA9-AB9-AC9</f>
        <v>984.50000000000045</v>
      </c>
      <c r="AE9" s="1238">
        <f>Master!N14</f>
        <v>3595.4</v>
      </c>
      <c r="AF9" s="1237">
        <v>1077.9000000000001</v>
      </c>
      <c r="AG9" s="1235">
        <v>1150.3</v>
      </c>
      <c r="AH9" s="1235">
        <v>1125.8</v>
      </c>
      <c r="AI9" s="1235">
        <f>4399.3-AF9-AG9-AH9</f>
        <v>1045.3000000000004</v>
      </c>
      <c r="AJ9" s="1238">
        <f>Master!O14</f>
        <v>4399.3</v>
      </c>
      <c r="AK9" s="1237">
        <v>1042.3</v>
      </c>
      <c r="AL9" s="1235">
        <v>941.1</v>
      </c>
      <c r="AM9" s="1235">
        <v>929.7</v>
      </c>
      <c r="AN9" s="1235">
        <v>1145.0999999999999</v>
      </c>
      <c r="AO9" s="1238">
        <f>Master!P14</f>
        <v>4058</v>
      </c>
      <c r="AP9" s="1237">
        <v>1179.0999999999999</v>
      </c>
      <c r="AQ9" s="1235">
        <v>1200.8</v>
      </c>
      <c r="AR9" s="1235">
        <v>1182.8</v>
      </c>
      <c r="AS9" s="1235">
        <f>4814.3-AP9-AQ9-AR9</f>
        <v>1251.6000000000006</v>
      </c>
      <c r="AT9" s="1238">
        <f>Master!Q14</f>
        <v>4841</v>
      </c>
      <c r="AU9" s="1237">
        <v>1218.3</v>
      </c>
      <c r="AV9" s="1235">
        <v>1206</v>
      </c>
      <c r="AW9" s="1235">
        <v>1238.9000000000001</v>
      </c>
      <c r="AX9" s="1651">
        <v>1330</v>
      </c>
      <c r="AY9" s="1238">
        <f>Master!R14</f>
        <v>4939</v>
      </c>
      <c r="AZ9" s="1237">
        <v>1332.1</v>
      </c>
      <c r="BA9" s="1235">
        <v>1400.7</v>
      </c>
      <c r="BB9" s="1235">
        <v>1331.7</v>
      </c>
      <c r="BC9" s="1235">
        <f>BD9-AZ9-BA9-BB9</f>
        <v>1401.7000000000005</v>
      </c>
      <c r="BD9" s="1238">
        <f>Master!S14</f>
        <v>5466.2</v>
      </c>
      <c r="BE9" s="1237">
        <v>1344.8</v>
      </c>
      <c r="BF9" s="1235">
        <v>1329</v>
      </c>
      <c r="BG9" s="1235">
        <v>1323.9</v>
      </c>
      <c r="BH9" s="1235">
        <v>1392.5</v>
      </c>
      <c r="BI9" s="1238">
        <f>Master!T14</f>
        <v>5390.8</v>
      </c>
      <c r="BJ9" s="1237"/>
      <c r="BK9" s="1235"/>
      <c r="BL9" s="1235"/>
      <c r="BM9" s="1235"/>
      <c r="BN9" s="1238"/>
      <c r="BO9" s="1237"/>
      <c r="BP9" s="1235"/>
      <c r="BQ9" s="1235"/>
      <c r="BR9" s="1235"/>
      <c r="BS9" s="1238"/>
      <c r="BT9" s="1237"/>
      <c r="BU9" s="1235"/>
      <c r="BV9" s="1235"/>
      <c r="BW9" s="1235"/>
      <c r="BX9" s="1238"/>
      <c r="BY9" s="1237"/>
      <c r="BZ9" s="1235"/>
      <c r="CA9" s="1268"/>
      <c r="CB9" s="1268"/>
      <c r="CC9" s="1758"/>
      <c r="CD9" s="1237"/>
      <c r="CE9" s="1235"/>
      <c r="CF9" s="1235"/>
      <c r="CG9" s="1235"/>
      <c r="CH9" s="1758"/>
      <c r="CI9" s="1235"/>
      <c r="CJ9" s="860"/>
      <c r="CK9" s="1242">
        <f t="shared" si="2"/>
        <v>0.22476912928759907</v>
      </c>
      <c r="CL9" s="1162">
        <f t="shared" si="2"/>
        <v>0.31343770384866265</v>
      </c>
      <c r="CM9" s="1162">
        <f t="shared" si="2"/>
        <v>0.22167707404103476</v>
      </c>
      <c r="CN9" s="1162">
        <f t="shared" si="2"/>
        <v>0.17291726309762367</v>
      </c>
      <c r="CO9" s="1276">
        <f t="shared" si="2"/>
        <v>0.23097112860892421</v>
      </c>
      <c r="CP9" s="1242">
        <f t="shared" si="2"/>
        <v>0.17261343745792379</v>
      </c>
      <c r="CQ9" s="1162">
        <f t="shared" si="2"/>
        <v>9.4735535137819848E-2</v>
      </c>
      <c r="CR9" s="1162">
        <f t="shared" si="2"/>
        <v>6.1579651941097602E-2</v>
      </c>
      <c r="CS9" s="1162">
        <f t="shared" si="2"/>
        <v>-0.21808640468635609</v>
      </c>
      <c r="CT9" s="1276">
        <f t="shared" si="2"/>
        <v>2.3955850997114947E-2</v>
      </c>
      <c r="CU9" s="1242">
        <f t="shared" si="2"/>
        <v>-0.20989780686645998</v>
      </c>
      <c r="CV9" s="1162">
        <f t="shared" si="2"/>
        <v>-0.23783599863899285</v>
      </c>
      <c r="CW9" s="1162">
        <f t="shared" si="2"/>
        <v>-0.17631548779089756</v>
      </c>
      <c r="CX9" s="1162">
        <f t="shared" si="2"/>
        <v>0.21086311846418049</v>
      </c>
      <c r="CY9" s="1232"/>
      <c r="CZ9" s="1242">
        <f t="shared" si="3"/>
        <v>0.1943031536113935</v>
      </c>
      <c r="DA9" s="1162">
        <f t="shared" si="3"/>
        <v>0.27098214285714284</v>
      </c>
      <c r="DB9" s="1162">
        <f t="shared" si="3"/>
        <v>0.30132219902574819</v>
      </c>
      <c r="DC9" s="1162">
        <f t="shared" si="3"/>
        <v>0.26901263212168103</v>
      </c>
      <c r="DD9" s="1232"/>
      <c r="DE9" s="1242">
        <f t="shared" si="4"/>
        <v>0.31163300073010491</v>
      </c>
      <c r="DF9" s="1162">
        <f t="shared" si="4"/>
        <v>0.34679779885259321</v>
      </c>
      <c r="DG9" s="1162">
        <f t="shared" si="4"/>
        <v>0.20406417112299469</v>
      </c>
      <c r="DH9" s="1162">
        <f t="shared" si="4"/>
        <v>6.1757237176231605E-2</v>
      </c>
      <c r="DI9" s="1232"/>
      <c r="DJ9" s="1242">
        <f t="shared" si="5"/>
        <v>-3.3027182484460682E-2</v>
      </c>
      <c r="DK9" s="1162">
        <f t="shared" si="5"/>
        <v>-0.18186560027818821</v>
      </c>
      <c r="DL9" s="1162">
        <f t="shared" si="5"/>
        <v>-0.17418724462604362</v>
      </c>
      <c r="DM9" s="1162">
        <f t="shared" si="5"/>
        <v>9.5474983258394097E-2</v>
      </c>
      <c r="DN9" s="1232"/>
      <c r="DO9" s="1242">
        <f t="shared" si="6"/>
        <v>0.13124820109373503</v>
      </c>
      <c r="DP9" s="1162">
        <f t="shared" si="6"/>
        <v>0.27595367123578773</v>
      </c>
      <c r="DQ9" s="1162">
        <f t="shared" si="6"/>
        <v>0.27223835645907268</v>
      </c>
      <c r="DR9" s="1162">
        <f t="shared" si="6"/>
        <v>9.3004977731203198E-2</v>
      </c>
      <c r="DS9" s="1232"/>
      <c r="DT9" s="1239">
        <f t="shared" si="7"/>
        <v>3.324569586973114E-2</v>
      </c>
      <c r="DU9" s="1217">
        <f t="shared" si="7"/>
        <v>4.3304463690874151E-3</v>
      </c>
      <c r="DV9" s="1217">
        <f t="shared" si="7"/>
        <v>4.7429827527899926E-2</v>
      </c>
      <c r="DW9" s="1217">
        <f t="shared" si="7"/>
        <v>6.2639821029082166E-2</v>
      </c>
      <c r="DX9" s="1232"/>
      <c r="DY9" s="1239">
        <f t="shared" si="8"/>
        <v>9.3408848395304833E-2</v>
      </c>
      <c r="DZ9" s="1217">
        <f t="shared" si="8"/>
        <v>0.16144278606965168</v>
      </c>
      <c r="EA9" s="1217">
        <f t="shared" si="8"/>
        <v>7.4905157801275379E-2</v>
      </c>
      <c r="EB9" s="1217">
        <f t="shared" si="8"/>
        <v>5.3909774436090574E-2</v>
      </c>
      <c r="EC9" s="1232"/>
      <c r="ED9" s="1217">
        <f t="shared" si="9"/>
        <v>9.5338187823736931E-3</v>
      </c>
      <c r="EE9" s="1217">
        <f t="shared" si="9"/>
        <v>-5.1188691368601491E-2</v>
      </c>
      <c r="EF9" s="1217">
        <f t="shared" si="9"/>
        <v>-5.8571750394232902E-3</v>
      </c>
      <c r="EG9" s="1217">
        <f t="shared" si="9"/>
        <v>-6.5634586573449782E-3</v>
      </c>
      <c r="EH9" s="860"/>
      <c r="EI9" s="1233"/>
      <c r="EJ9" s="860"/>
      <c r="EK9" s="860"/>
      <c r="EL9" s="1162"/>
      <c r="EM9" s="1232"/>
      <c r="EN9" s="1233"/>
      <c r="EO9" s="860"/>
      <c r="EP9" s="860"/>
      <c r="EQ9" s="1162"/>
      <c r="ER9" s="1232"/>
      <c r="ES9" s="860"/>
      <c r="ET9" s="860"/>
      <c r="EU9" s="860"/>
      <c r="EV9" s="1162"/>
      <c r="EW9" s="1232"/>
      <c r="EX9" s="1233"/>
      <c r="EY9" s="860"/>
      <c r="EZ9" s="860"/>
      <c r="FA9" s="860"/>
      <c r="FB9" s="1754"/>
      <c r="FC9" s="1233"/>
      <c r="FD9" s="860"/>
      <c r="FE9" s="860"/>
      <c r="FF9" s="860"/>
      <c r="FG9" s="1753"/>
      <c r="FH9" s="860"/>
      <c r="FI9" s="860"/>
      <c r="FJ9" s="860"/>
      <c r="FX9" s="860"/>
      <c r="FY9" s="860"/>
      <c r="FZ9" s="860"/>
      <c r="GA9" s="860"/>
      <c r="GB9" s="860"/>
      <c r="GC9" s="860"/>
      <c r="GD9" s="860"/>
      <c r="GE9" s="860"/>
      <c r="GF9" s="860"/>
      <c r="GG9" s="860"/>
      <c r="GH9" s="860"/>
      <c r="GI9" s="860"/>
      <c r="GJ9" s="860"/>
      <c r="GK9" s="860"/>
      <c r="GL9" s="860"/>
      <c r="GM9" s="860"/>
      <c r="GN9" s="860"/>
      <c r="GO9" s="860"/>
      <c r="GP9" s="860"/>
      <c r="GQ9" s="860"/>
      <c r="GR9" s="1376"/>
      <c r="GS9" s="1218"/>
      <c r="GT9" s="1376"/>
      <c r="GU9" s="1241"/>
      <c r="GV9" s="1376"/>
      <c r="GW9" s="1218"/>
      <c r="GX9" s="1218"/>
      <c r="GY9" s="1376"/>
      <c r="GZ9" s="1218"/>
      <c r="HA9" s="1218"/>
      <c r="HB9" s="1376"/>
      <c r="HC9" s="1218"/>
      <c r="HD9" s="2000"/>
      <c r="HE9" s="1376"/>
      <c r="HF9" s="1241"/>
      <c r="HG9" s="2000"/>
      <c r="HH9" s="1376"/>
      <c r="HI9" s="1376"/>
      <c r="HJ9" s="1218"/>
      <c r="HK9" s="2000"/>
      <c r="HL9" s="1376"/>
      <c r="HM9" s="1218"/>
      <c r="HN9" s="2000"/>
      <c r="HO9" s="1376"/>
      <c r="HP9" s="1218"/>
      <c r="HQ9" s="2000"/>
      <c r="HR9" s="1376"/>
    </row>
    <row r="10" spans="1:226" ht="14.25" customHeight="1">
      <c r="A10" s="1135" t="s">
        <v>191</v>
      </c>
      <c r="B10" s="1682"/>
      <c r="C10" s="1675"/>
      <c r="D10" s="1675"/>
      <c r="E10" s="1675"/>
      <c r="F10" s="1683"/>
      <c r="G10" s="1237">
        <v>958.7</v>
      </c>
      <c r="H10" s="1235">
        <v>1069.3</v>
      </c>
      <c r="I10" s="1235">
        <v>1265.3</v>
      </c>
      <c r="J10" s="1235">
        <v>1595.4</v>
      </c>
      <c r="K10" s="1238">
        <f>+SUM(G10:J10)</f>
        <v>4888.7000000000007</v>
      </c>
      <c r="L10" s="1237">
        <v>1194.3</v>
      </c>
      <c r="M10" s="1235">
        <v>1473.1</v>
      </c>
      <c r="N10" s="1235">
        <v>1408.4</v>
      </c>
      <c r="O10" s="1235">
        <v>1683.1</v>
      </c>
      <c r="P10" s="1238">
        <f>+SUM(L10:O10)</f>
        <v>5758.9</v>
      </c>
      <c r="Q10" s="1237">
        <v>1269.5</v>
      </c>
      <c r="R10" s="1235">
        <v>1448.6</v>
      </c>
      <c r="S10" s="1235">
        <v>1495</v>
      </c>
      <c r="T10" s="1235">
        <f>5689.5-Q10-R10-S10</f>
        <v>1476.4</v>
      </c>
      <c r="U10" s="1238">
        <f>+SUM(Q10:T10)</f>
        <v>5689.5</v>
      </c>
      <c r="V10" s="1237">
        <v>1401.1</v>
      </c>
      <c r="W10" s="1659">
        <f>1668.9+9*X199</f>
        <v>1786.97235</v>
      </c>
      <c r="X10" s="1659">
        <f>1757-9*X199</f>
        <v>1638.9276500000001</v>
      </c>
      <c r="Y10" s="1235">
        <f>6548-V10-W10-X10</f>
        <v>1720.9999999999995</v>
      </c>
      <c r="Z10" s="1238">
        <f>+SUM(V10:Y10)</f>
        <v>6548</v>
      </c>
      <c r="AA10" s="1237">
        <v>1575.3</v>
      </c>
      <c r="AB10" s="1235">
        <v>1830.4</v>
      </c>
      <c r="AC10" s="1235">
        <v>2211</v>
      </c>
      <c r="AD10" s="1235">
        <f>7707.9-AA10-AB10-AC10</f>
        <v>2091.1999999999989</v>
      </c>
      <c r="AE10" s="1238">
        <f>Master!N15</f>
        <v>7707.9</v>
      </c>
      <c r="AF10" s="1237">
        <v>1969.8</v>
      </c>
      <c r="AG10" s="1235">
        <v>2291.6999999999998</v>
      </c>
      <c r="AH10" s="1235">
        <v>2152.6</v>
      </c>
      <c r="AI10" s="1235">
        <f>9064.2-AF10-AG10-AH10</f>
        <v>2650.1000000000008</v>
      </c>
      <c r="AJ10" s="1238">
        <f>Master!O15</f>
        <v>9064.2000000000007</v>
      </c>
      <c r="AK10" s="1237">
        <v>2120.1999999999998</v>
      </c>
      <c r="AL10" s="1235">
        <v>2308.1999999999998</v>
      </c>
      <c r="AM10" s="1235">
        <v>2151.5</v>
      </c>
      <c r="AN10" s="1235">
        <v>2640.2</v>
      </c>
      <c r="AO10" s="1238">
        <f>Master!P15</f>
        <v>9220</v>
      </c>
      <c r="AP10" s="1237">
        <v>2447.6</v>
      </c>
      <c r="AQ10" s="1235">
        <v>2781.3</v>
      </c>
      <c r="AR10" s="1235">
        <v>2466</v>
      </c>
      <c r="AS10" s="1235">
        <f>10520.9-AP10-AQ10-AR10</f>
        <v>2825.9999999999991</v>
      </c>
      <c r="AT10" s="1238">
        <f>Master!Q15</f>
        <v>10521</v>
      </c>
      <c r="AU10" s="1237">
        <v>2284.6999999999998</v>
      </c>
      <c r="AV10" s="1235">
        <v>2473.6999999999998</v>
      </c>
      <c r="AW10" s="1235">
        <v>2633.5</v>
      </c>
      <c r="AX10" s="1651">
        <v>3216</v>
      </c>
      <c r="AY10" s="1238">
        <f>Master!R15</f>
        <v>10436</v>
      </c>
      <c r="AZ10" s="1237">
        <v>2760.4</v>
      </c>
      <c r="BA10" s="1235">
        <v>2417.6999999999998</v>
      </c>
      <c r="BB10" s="1235">
        <v>2537.3000000000002</v>
      </c>
      <c r="BC10" s="1235">
        <f>BD10-AZ10-BA10-BB10</f>
        <v>3081.6000000000004</v>
      </c>
      <c r="BD10" s="1238">
        <f>Master!S15</f>
        <v>10797</v>
      </c>
      <c r="BE10" s="1237">
        <v>2696.4</v>
      </c>
      <c r="BF10" s="1235">
        <v>2667</v>
      </c>
      <c r="BG10" s="1235">
        <v>2962.1</v>
      </c>
      <c r="BH10" s="1235">
        <v>3063.6</v>
      </c>
      <c r="BI10" s="1238">
        <f>Master!T15</f>
        <v>11389.1</v>
      </c>
      <c r="BJ10" s="1237"/>
      <c r="BK10" s="1235"/>
      <c r="BL10" s="1235"/>
      <c r="BM10" s="1235"/>
      <c r="BN10" s="1238"/>
      <c r="BO10" s="1237"/>
      <c r="BP10" s="1235"/>
      <c r="BQ10" s="1235"/>
      <c r="BR10" s="1235"/>
      <c r="BS10" s="1238"/>
      <c r="BT10" s="1237"/>
      <c r="BU10" s="1235"/>
      <c r="BV10" s="1235"/>
      <c r="BW10" s="1235"/>
      <c r="BX10" s="1238"/>
      <c r="BY10" s="1237"/>
      <c r="BZ10" s="1235"/>
      <c r="CA10" s="1268"/>
      <c r="CB10" s="1268"/>
      <c r="CC10" s="1758"/>
      <c r="CD10" s="1237"/>
      <c r="CE10" s="1235"/>
      <c r="CF10" s="1235"/>
      <c r="CG10" s="1235"/>
      <c r="CH10" s="1758"/>
      <c r="CI10" s="1235"/>
      <c r="CJ10" s="860"/>
      <c r="CK10" s="1242">
        <f t="shared" si="2"/>
        <v>0.24574945238343582</v>
      </c>
      <c r="CL10" s="1162">
        <f t="shared" si="2"/>
        <v>0.37763022538109037</v>
      </c>
      <c r="CM10" s="1162">
        <f t="shared" si="2"/>
        <v>0.11309570852762207</v>
      </c>
      <c r="CN10" s="1162">
        <f t="shared" si="2"/>
        <v>5.4970540303372006E-2</v>
      </c>
      <c r="CO10" s="1276">
        <f t="shared" si="2"/>
        <v>0.17800233190827797</v>
      </c>
      <c r="CP10" s="1242">
        <f t="shared" si="2"/>
        <v>6.2965753998157847E-2</v>
      </c>
      <c r="CQ10" s="1162">
        <f t="shared" si="2"/>
        <v>-1.6631593238748188E-2</v>
      </c>
      <c r="CR10" s="1162">
        <f t="shared" si="2"/>
        <v>6.1488213575688677E-2</v>
      </c>
      <c r="CS10" s="1162">
        <f t="shared" si="2"/>
        <v>-0.1228091022517972</v>
      </c>
      <c r="CT10" s="1276">
        <f t="shared" si="2"/>
        <v>-1.2050912500651156E-2</v>
      </c>
      <c r="CU10" s="1242">
        <f t="shared" si="2"/>
        <v>0.10366285939346187</v>
      </c>
      <c r="CV10" s="1162">
        <f t="shared" si="2"/>
        <v>0.23358577246997103</v>
      </c>
      <c r="CW10" s="1162">
        <f t="shared" si="2"/>
        <v>9.6272675585284295E-2</v>
      </c>
      <c r="CX10" s="1162">
        <f t="shared" si="2"/>
        <v>0.16567325927932774</v>
      </c>
      <c r="CY10" s="1232"/>
      <c r="CZ10" s="1242">
        <f t="shared" si="3"/>
        <v>0.12433088287773897</v>
      </c>
      <c r="DA10" s="1162">
        <f t="shared" si="3"/>
        <v>2.4302362596712923E-2</v>
      </c>
      <c r="DB10" s="1162">
        <f t="shared" si="3"/>
        <v>0.34905283951979205</v>
      </c>
      <c r="DC10" s="1162">
        <f t="shared" si="3"/>
        <v>0.21510749564206821</v>
      </c>
      <c r="DD10" s="1232"/>
      <c r="DE10" s="1242">
        <f t="shared" si="4"/>
        <v>0.25042848981146459</v>
      </c>
      <c r="DF10" s="1162">
        <f t="shared" si="4"/>
        <v>0.25202141608391582</v>
      </c>
      <c r="DG10" s="1162">
        <f t="shared" si="4"/>
        <v>-2.6413387607417516E-2</v>
      </c>
      <c r="DH10" s="1162">
        <f t="shared" si="4"/>
        <v>0.26726281560826415</v>
      </c>
      <c r="DI10" s="1232"/>
      <c r="DJ10" s="1242">
        <f t="shared" si="5"/>
        <v>7.6352929231394029E-2</v>
      </c>
      <c r="DK10" s="1162">
        <f t="shared" si="5"/>
        <v>7.1998952742504674E-3</v>
      </c>
      <c r="DL10" s="1162">
        <f t="shared" si="5"/>
        <v>-5.1100994146613399E-4</v>
      </c>
      <c r="DM10" s="1162">
        <f t="shared" si="5"/>
        <v>-3.7357080864877101E-3</v>
      </c>
      <c r="DN10" s="1232"/>
      <c r="DO10" s="1242">
        <f t="shared" si="6"/>
        <v>0.15441939439675512</v>
      </c>
      <c r="DP10" s="1162">
        <f t="shared" si="6"/>
        <v>0.20496490772030174</v>
      </c>
      <c r="DQ10" s="1162">
        <f t="shared" si="6"/>
        <v>0.14617708575412514</v>
      </c>
      <c r="DR10" s="1162">
        <f t="shared" si="6"/>
        <v>7.0373456556321212E-2</v>
      </c>
      <c r="DS10" s="1232"/>
      <c r="DT10" s="1239">
        <f t="shared" si="7"/>
        <v>-6.6554992645857181E-2</v>
      </c>
      <c r="DU10" s="1217">
        <f t="shared" si="7"/>
        <v>-0.11059576457052467</v>
      </c>
      <c r="DV10" s="1217">
        <f t="shared" si="7"/>
        <v>6.792376317923754E-2</v>
      </c>
      <c r="DW10" s="1217">
        <f t="shared" si="7"/>
        <v>0.13800424628450148</v>
      </c>
      <c r="DX10" s="1232"/>
      <c r="DY10" s="1239">
        <f t="shared" si="8"/>
        <v>0.2082111436950147</v>
      </c>
      <c r="DZ10" s="1217">
        <f t="shared" si="8"/>
        <v>-2.2638153373489067E-2</v>
      </c>
      <c r="EA10" s="1217">
        <f t="shared" si="8"/>
        <v>-3.6529333586481805E-2</v>
      </c>
      <c r="EB10" s="1217">
        <f t="shared" si="8"/>
        <v>-4.1791044776119279E-2</v>
      </c>
      <c r="EC10" s="1232"/>
      <c r="ED10" s="1217">
        <f t="shared" si="9"/>
        <v>-2.3185045645558566E-2</v>
      </c>
      <c r="EE10" s="1217">
        <f t="shared" si="9"/>
        <v>0.10311453033875173</v>
      </c>
      <c r="EF10" s="1217">
        <f t="shared" si="9"/>
        <v>0.16742206282268546</v>
      </c>
      <c r="EG10" s="1217">
        <f t="shared" si="9"/>
        <v>-5.8411214953272284E-3</v>
      </c>
      <c r="EH10" s="860"/>
      <c r="EI10" s="1233"/>
      <c r="EJ10" s="860"/>
      <c r="EK10" s="860"/>
      <c r="EL10" s="1162"/>
      <c r="EM10" s="1232"/>
      <c r="EN10" s="1233"/>
      <c r="EO10" s="860"/>
      <c r="EP10" s="860"/>
      <c r="EQ10" s="1162"/>
      <c r="ER10" s="1232"/>
      <c r="ES10" s="860"/>
      <c r="ET10" s="860"/>
      <c r="EU10" s="860"/>
      <c r="EV10" s="1162"/>
      <c r="EW10" s="1232"/>
      <c r="EX10" s="1233"/>
      <c r="EY10" s="860"/>
      <c r="EZ10" s="860"/>
      <c r="FA10" s="860"/>
      <c r="FB10" s="1754"/>
      <c r="FC10" s="1233"/>
      <c r="FD10" s="860"/>
      <c r="FE10" s="860"/>
      <c r="FF10" s="860"/>
      <c r="FG10" s="1753"/>
      <c r="FH10" s="860"/>
      <c r="FI10" s="860"/>
      <c r="FJ10" s="860"/>
      <c r="FX10" s="860"/>
      <c r="FY10" s="860"/>
      <c r="FZ10" s="860"/>
      <c r="GA10" s="860"/>
      <c r="GB10" s="860"/>
      <c r="GC10" s="860"/>
      <c r="GD10" s="860"/>
      <c r="GE10" s="860"/>
      <c r="GF10" s="860"/>
      <c r="GG10" s="860"/>
      <c r="GH10" s="860"/>
      <c r="GI10" s="860"/>
      <c r="GJ10" s="860"/>
      <c r="GK10" s="860"/>
      <c r="GL10" s="860"/>
      <c r="GM10" s="860"/>
      <c r="GN10" s="860"/>
      <c r="GO10" s="860"/>
      <c r="GP10" s="860"/>
      <c r="GQ10" s="860"/>
      <c r="GR10" s="1376"/>
      <c r="GS10" s="1218"/>
      <c r="GT10" s="1376"/>
      <c r="GU10" s="1241"/>
      <c r="GV10" s="1376"/>
      <c r="GW10" s="1218"/>
      <c r="GX10" s="1218"/>
      <c r="GY10" s="1376"/>
      <c r="GZ10" s="1218"/>
      <c r="HA10" s="1218"/>
      <c r="HB10" s="1376"/>
      <c r="HC10" s="1218"/>
      <c r="HD10" s="2000"/>
      <c r="HE10" s="1376"/>
      <c r="HF10" s="1241"/>
      <c r="HG10" s="2000"/>
      <c r="HH10" s="1376"/>
      <c r="HI10" s="1376"/>
      <c r="HJ10" s="1218"/>
      <c r="HK10" s="2000"/>
      <c r="HL10" s="1376"/>
      <c r="HM10" s="1218"/>
      <c r="HN10" s="2000"/>
      <c r="HO10" s="1376"/>
      <c r="HP10" s="1218"/>
      <c r="HQ10" s="2000"/>
      <c r="HR10" s="1376"/>
    </row>
    <row r="11" spans="1:226" ht="14.25" customHeight="1">
      <c r="A11" s="1135" t="s">
        <v>696</v>
      </c>
      <c r="B11" s="1682"/>
      <c r="C11" s="1675"/>
      <c r="D11" s="1675"/>
      <c r="E11" s="1675"/>
      <c r="F11" s="1683"/>
      <c r="G11" s="1237"/>
      <c r="H11" s="1235"/>
      <c r="I11" s="1235"/>
      <c r="J11" s="1235"/>
      <c r="K11" s="1238"/>
      <c r="L11" s="1237"/>
      <c r="M11" s="1235"/>
      <c r="N11" s="1235"/>
      <c r="O11" s="1235"/>
      <c r="P11" s="1238"/>
      <c r="Q11" s="1237"/>
      <c r="R11" s="1235"/>
      <c r="S11" s="1235"/>
      <c r="T11" s="1235"/>
      <c r="U11" s="1238"/>
      <c r="V11" s="1237"/>
      <c r="W11" s="1235"/>
      <c r="X11" s="1235"/>
      <c r="Y11" s="1235"/>
      <c r="Z11" s="1238"/>
      <c r="AA11" s="1237"/>
      <c r="AB11" s="1235"/>
      <c r="AC11" s="1235"/>
      <c r="AD11" s="1235"/>
      <c r="AE11" s="1238"/>
      <c r="AF11" s="1237"/>
      <c r="AG11" s="1235"/>
      <c r="AH11" s="1235"/>
      <c r="AI11" s="1235"/>
      <c r="AJ11" s="1238"/>
      <c r="AK11" s="1237"/>
      <c r="AL11" s="1235"/>
      <c r="AM11" s="1235"/>
      <c r="AN11" s="1235"/>
      <c r="AO11" s="1238"/>
      <c r="AP11" s="1237">
        <v>0</v>
      </c>
      <c r="AQ11" s="1235">
        <v>1723.5</v>
      </c>
      <c r="AR11" s="1235">
        <v>1010.1</v>
      </c>
      <c r="AS11" s="1235">
        <v>0</v>
      </c>
      <c r="AT11" s="1238">
        <f>Master!Q16</f>
        <v>2734</v>
      </c>
      <c r="AU11" s="1237"/>
      <c r="AV11" s="1235"/>
      <c r="AW11" s="1235"/>
      <c r="AX11" s="1235"/>
      <c r="AY11" s="1238"/>
      <c r="AZ11" s="1237"/>
      <c r="BA11" s="1235"/>
      <c r="BB11" s="1235"/>
      <c r="BC11" s="1235"/>
      <c r="BD11" s="1238"/>
      <c r="BE11" s="1237"/>
      <c r="BF11" s="1235"/>
      <c r="BG11" s="1235"/>
      <c r="BH11" s="1235"/>
      <c r="BI11" s="1238"/>
      <c r="BJ11" s="1237"/>
      <c r="BK11" s="1235"/>
      <c r="BL11" s="1235"/>
      <c r="BM11" s="1235"/>
      <c r="BN11" s="1238"/>
      <c r="BO11" s="1237"/>
      <c r="BP11" s="1235"/>
      <c r="BQ11" s="1235"/>
      <c r="BR11" s="1235"/>
      <c r="BS11" s="1238"/>
      <c r="BT11" s="1237"/>
      <c r="BU11" s="1235"/>
      <c r="BV11" s="1235"/>
      <c r="BW11" s="1235"/>
      <c r="BX11" s="1238"/>
      <c r="BY11" s="1237"/>
      <c r="BZ11" s="1235"/>
      <c r="CA11" s="1268"/>
      <c r="CB11" s="1268"/>
      <c r="CC11" s="1758"/>
      <c r="CD11" s="1237"/>
      <c r="CE11" s="1235"/>
      <c r="CF11" s="1235"/>
      <c r="CG11" s="1235"/>
      <c r="CH11" s="1758"/>
      <c r="CI11" s="1235"/>
      <c r="CJ11" s="860"/>
      <c r="CK11" s="1242"/>
      <c r="CL11" s="1162"/>
      <c r="CM11" s="1162"/>
      <c r="CN11" s="1162"/>
      <c r="CO11" s="1276"/>
      <c r="CP11" s="1242"/>
      <c r="CQ11" s="1162"/>
      <c r="CR11" s="1162"/>
      <c r="CS11" s="1162"/>
      <c r="CT11" s="1276"/>
      <c r="CU11" s="1242"/>
      <c r="CV11" s="1162"/>
      <c r="CW11" s="1162"/>
      <c r="CX11" s="1162"/>
      <c r="CY11" s="1232"/>
      <c r="CZ11" s="1242"/>
      <c r="DA11" s="1162"/>
      <c r="DB11" s="1162"/>
      <c r="DC11" s="1162"/>
      <c r="DD11" s="1232"/>
      <c r="DE11" s="1242"/>
      <c r="DF11" s="1162"/>
      <c r="DG11" s="1162"/>
      <c r="DH11" s="1162"/>
      <c r="DI11" s="1232"/>
      <c r="DJ11" s="1242"/>
      <c r="DK11" s="1162"/>
      <c r="DL11" s="1162"/>
      <c r="DM11" s="1162"/>
      <c r="DN11" s="1232"/>
      <c r="DO11" s="1242"/>
      <c r="DP11" s="1162"/>
      <c r="DQ11" s="1162"/>
      <c r="DR11" s="1162"/>
      <c r="DS11" s="1232"/>
      <c r="DT11" s="1242"/>
      <c r="DU11" s="1162"/>
      <c r="DV11" s="1162"/>
      <c r="DW11" s="1162"/>
      <c r="DX11" s="1232"/>
      <c r="DY11" s="1242"/>
      <c r="DZ11" s="1162"/>
      <c r="EA11" s="1162"/>
      <c r="EB11" s="1162"/>
      <c r="EC11" s="1232"/>
      <c r="ED11" s="1162"/>
      <c r="EE11" s="1162"/>
      <c r="EF11" s="860"/>
      <c r="EG11" s="860"/>
      <c r="EH11" s="860"/>
      <c r="EI11" s="1233"/>
      <c r="EJ11" s="860"/>
      <c r="EK11" s="860"/>
      <c r="EL11" s="860"/>
      <c r="EM11" s="1232"/>
      <c r="EN11" s="1233"/>
      <c r="EO11" s="860"/>
      <c r="EP11" s="860"/>
      <c r="EQ11" s="860"/>
      <c r="ER11" s="1232"/>
      <c r="ES11" s="860"/>
      <c r="ET11" s="860"/>
      <c r="EU11" s="860"/>
      <c r="EV11" s="860"/>
      <c r="EW11" s="1232"/>
      <c r="EX11" s="1233"/>
      <c r="EY11" s="860"/>
      <c r="EZ11" s="860"/>
      <c r="FA11" s="860"/>
      <c r="FB11" s="1754"/>
      <c r="FC11" s="1233"/>
      <c r="FD11" s="860"/>
      <c r="FE11" s="860"/>
      <c r="FF11" s="860"/>
      <c r="FG11" s="1753"/>
      <c r="FH11" s="860"/>
      <c r="FI11" s="860"/>
      <c r="FJ11" s="860"/>
      <c r="FX11" s="860"/>
      <c r="FY11" s="860"/>
      <c r="FZ11" s="860"/>
      <c r="GA11" s="860"/>
      <c r="GB11" s="860"/>
      <c r="GC11" s="860"/>
      <c r="GD11" s="860"/>
      <c r="GE11" s="860"/>
      <c r="GF11" s="860"/>
      <c r="GG11" s="860"/>
      <c r="GH11" s="860"/>
      <c r="GI11" s="860"/>
      <c r="GJ11" s="860"/>
      <c r="GK11" s="860"/>
      <c r="GL11" s="860"/>
      <c r="GM11" s="860"/>
      <c r="GN11" s="860"/>
      <c r="GO11" s="860"/>
      <c r="GP11" s="860"/>
      <c r="GQ11" s="860"/>
      <c r="GR11" s="1376"/>
      <c r="GS11" s="1218"/>
      <c r="GT11" s="1376"/>
      <c r="GU11" s="1218"/>
      <c r="GV11" s="1376"/>
      <c r="GW11" s="1218"/>
      <c r="GX11" s="1218"/>
      <c r="GY11" s="1376"/>
      <c r="GZ11" s="1218"/>
      <c r="HA11" s="1218"/>
      <c r="HB11" s="1376"/>
      <c r="HC11" s="1218"/>
      <c r="HD11" s="2000"/>
      <c r="HE11" s="1376"/>
      <c r="HF11" s="1218"/>
      <c r="HG11" s="2000"/>
      <c r="HH11" s="1376"/>
      <c r="HI11" s="1376"/>
      <c r="HJ11" s="1218"/>
      <c r="HK11" s="2000"/>
      <c r="HL11" s="1376"/>
      <c r="HM11" s="1218"/>
      <c r="HN11" s="2000"/>
      <c r="HO11" s="1376"/>
      <c r="HP11" s="1218"/>
      <c r="HQ11" s="2000"/>
      <c r="HR11" s="1376"/>
    </row>
    <row r="12" spans="1:226" ht="14.25" customHeight="1">
      <c r="A12" s="1132" t="s">
        <v>193</v>
      </c>
      <c r="B12" s="1682"/>
      <c r="C12" s="1675"/>
      <c r="D12" s="1675"/>
      <c r="E12" s="1675"/>
      <c r="F12" s="1683"/>
      <c r="G12" s="1237">
        <v>609.70000000000005</v>
      </c>
      <c r="H12" s="1235">
        <v>795.8</v>
      </c>
      <c r="I12" s="1235">
        <v>810.9</v>
      </c>
      <c r="J12" s="1235">
        <v>975.4</v>
      </c>
      <c r="K12" s="1238">
        <f>+SUM(G12:J12)</f>
        <v>3191.8</v>
      </c>
      <c r="L12" s="1237">
        <v>695.6</v>
      </c>
      <c r="M12" s="1235">
        <v>928.7</v>
      </c>
      <c r="N12" s="1235">
        <v>828.3</v>
      </c>
      <c r="O12" s="1235">
        <v>1000.3</v>
      </c>
      <c r="P12" s="1238">
        <f>+SUM(L12:O12)</f>
        <v>3452.9000000000005</v>
      </c>
      <c r="Q12" s="1237">
        <v>666.5</v>
      </c>
      <c r="R12" s="1235">
        <v>838.7</v>
      </c>
      <c r="S12" s="1235">
        <v>785.4</v>
      </c>
      <c r="T12" s="1235">
        <f>3218.3-Q12-R12-S12</f>
        <v>927.70000000000016</v>
      </c>
      <c r="U12" s="1238">
        <f>+SUM(Q12:T12)</f>
        <v>3218.3</v>
      </c>
      <c r="V12" s="1237"/>
      <c r="W12" s="1235"/>
      <c r="X12" s="1235"/>
      <c r="Y12" s="1235"/>
      <c r="Z12" s="1238"/>
      <c r="AA12" s="1237"/>
      <c r="AB12" s="1235"/>
      <c r="AC12" s="1235"/>
      <c r="AD12" s="1235"/>
      <c r="AE12" s="1238"/>
      <c r="AF12" s="1237"/>
      <c r="AG12" s="1235"/>
      <c r="AH12" s="1235"/>
      <c r="AI12" s="1235"/>
      <c r="AJ12" s="1238"/>
      <c r="AK12" s="1237"/>
      <c r="AL12" s="1235"/>
      <c r="AM12" s="1235"/>
      <c r="AN12" s="1235"/>
      <c r="AO12" s="1238"/>
      <c r="AP12" s="1237"/>
      <c r="AQ12" s="1235"/>
      <c r="AR12" s="1235"/>
      <c r="AS12" s="1235"/>
      <c r="AT12" s="1238"/>
      <c r="AU12" s="1237"/>
      <c r="AV12" s="1235"/>
      <c r="AW12" s="1235"/>
      <c r="AX12" s="1235"/>
      <c r="AY12" s="1238"/>
      <c r="AZ12" s="1237"/>
      <c r="BA12" s="1235"/>
      <c r="BB12" s="1235"/>
      <c r="BC12" s="1235"/>
      <c r="BD12" s="1238"/>
      <c r="BE12" s="1237"/>
      <c r="BF12" s="1235"/>
      <c r="BG12" s="1235"/>
      <c r="BH12" s="1235"/>
      <c r="BI12" s="1238"/>
      <c r="BJ12" s="1237"/>
      <c r="BK12" s="1235"/>
      <c r="BL12" s="1235"/>
      <c r="BM12" s="1235"/>
      <c r="BN12" s="1238"/>
      <c r="BO12" s="1237"/>
      <c r="BP12" s="1235"/>
      <c r="BQ12" s="1235"/>
      <c r="BR12" s="1243"/>
      <c r="BS12" s="1238"/>
      <c r="BT12" s="1237"/>
      <c r="BU12" s="1235"/>
      <c r="BV12" s="1235"/>
      <c r="BW12" s="1243"/>
      <c r="BX12" s="1238"/>
      <c r="BY12" s="1237"/>
      <c r="BZ12" s="1235"/>
      <c r="CA12" s="1268"/>
      <c r="CB12" s="1990"/>
      <c r="CC12" s="1758"/>
      <c r="CD12" s="1237"/>
      <c r="CE12" s="1235"/>
      <c r="CF12" s="1235"/>
      <c r="CG12" s="1235"/>
      <c r="CH12" s="1758"/>
      <c r="CI12" s="1235"/>
      <c r="CJ12" s="860"/>
      <c r="CK12" s="1242">
        <f t="shared" ref="CK12:CN21" si="10">L12/G12-1</f>
        <v>0.14088896178448418</v>
      </c>
      <c r="CL12" s="1162">
        <f t="shared" si="10"/>
        <v>0.16700175923598914</v>
      </c>
      <c r="CM12" s="1162">
        <f t="shared" si="10"/>
        <v>2.1457639659637318E-2</v>
      </c>
      <c r="CN12" s="1162">
        <f t="shared" si="10"/>
        <v>2.5527988517531242E-2</v>
      </c>
      <c r="CO12" s="1276"/>
      <c r="CP12" s="1242">
        <f t="shared" ref="CP12:CS21" si="11">Q12/L12-1</f>
        <v>-4.1834387579068433E-2</v>
      </c>
      <c r="CQ12" s="1162">
        <f t="shared" si="11"/>
        <v>-9.6909658662646669E-2</v>
      </c>
      <c r="CR12" s="1162">
        <f t="shared" si="11"/>
        <v>-5.1792828685258918E-2</v>
      </c>
      <c r="CS12" s="1162">
        <f t="shared" si="11"/>
        <v>-7.2578226532040158E-2</v>
      </c>
      <c r="CT12" s="1276"/>
      <c r="CU12" s="1242"/>
      <c r="CV12" s="1162"/>
      <c r="CW12" s="1162"/>
      <c r="CX12" s="1162"/>
      <c r="CY12" s="1232"/>
      <c r="CZ12" s="1233"/>
      <c r="DA12" s="860"/>
      <c r="DB12" s="860"/>
      <c r="DC12" s="860"/>
      <c r="DD12" s="1232"/>
      <c r="DE12" s="1233"/>
      <c r="DF12" s="860"/>
      <c r="DG12" s="860"/>
      <c r="DH12" s="860"/>
      <c r="DI12" s="1232"/>
      <c r="DJ12" s="1233"/>
      <c r="DK12" s="860"/>
      <c r="DL12" s="860"/>
      <c r="DM12" s="860"/>
      <c r="DN12" s="1232"/>
      <c r="DO12" s="1233"/>
      <c r="DP12" s="860"/>
      <c r="DQ12" s="860"/>
      <c r="DR12" s="860"/>
      <c r="DS12" s="1232"/>
      <c r="DT12" s="1239"/>
      <c r="DU12" s="1217"/>
      <c r="DV12" s="1217"/>
      <c r="DW12" s="1217"/>
      <c r="DX12" s="1232"/>
      <c r="DY12" s="1239"/>
      <c r="DZ12" s="1217"/>
      <c r="EA12" s="1217"/>
      <c r="EB12" s="1217"/>
      <c r="EC12" s="1232"/>
      <c r="ED12" s="1217"/>
      <c r="EE12" s="1217"/>
      <c r="EF12" s="860"/>
      <c r="EG12" s="860"/>
      <c r="EH12" s="860"/>
      <c r="EI12" s="1233"/>
      <c r="EJ12" s="860"/>
      <c r="EK12" s="860"/>
      <c r="EL12" s="860"/>
      <c r="EM12" s="1232"/>
      <c r="EN12" s="1233"/>
      <c r="EO12" s="860"/>
      <c r="EP12" s="860"/>
      <c r="EQ12" s="860"/>
      <c r="ER12" s="1232"/>
      <c r="ES12" s="860"/>
      <c r="ET12" s="860"/>
      <c r="EU12" s="860"/>
      <c r="EV12" s="860"/>
      <c r="EW12" s="1232"/>
      <c r="EX12" s="1233"/>
      <c r="EY12" s="860"/>
      <c r="EZ12" s="860"/>
      <c r="FA12" s="860"/>
      <c r="FB12" s="1754"/>
      <c r="FC12" s="1233"/>
      <c r="FD12" s="860"/>
      <c r="FE12" s="860"/>
      <c r="FF12" s="860"/>
      <c r="FG12" s="1753"/>
      <c r="FH12" s="860"/>
      <c r="FI12" s="860"/>
      <c r="FJ12" s="860"/>
      <c r="FX12" s="860"/>
      <c r="FY12" s="860"/>
      <c r="FZ12" s="860"/>
      <c r="GA12" s="860"/>
      <c r="GB12" s="860"/>
      <c r="GC12" s="860"/>
      <c r="GD12" s="860"/>
      <c r="GE12" s="860"/>
      <c r="GF12" s="860"/>
      <c r="GG12" s="860"/>
      <c r="GH12" s="860"/>
      <c r="GI12" s="860"/>
      <c r="GJ12" s="860"/>
      <c r="GK12" s="860"/>
      <c r="GL12" s="860"/>
      <c r="GM12" s="860"/>
      <c r="GN12" s="860"/>
      <c r="GO12" s="860"/>
      <c r="GP12" s="860"/>
      <c r="GQ12" s="860"/>
      <c r="GR12" s="1376"/>
      <c r="GS12" s="1218"/>
      <c r="GT12" s="1376"/>
      <c r="GU12" s="1218"/>
      <c r="GV12" s="1376"/>
      <c r="GW12" s="1218"/>
      <c r="GX12" s="1218"/>
      <c r="GY12" s="1376"/>
      <c r="GZ12" s="1218"/>
      <c r="HA12" s="1218"/>
      <c r="HB12" s="1376"/>
      <c r="HC12" s="1218"/>
      <c r="HD12" s="2000"/>
      <c r="HE12" s="2003"/>
      <c r="HF12" s="1218"/>
      <c r="HG12" s="2000"/>
      <c r="HH12" s="1376"/>
      <c r="HI12" s="1376"/>
      <c r="HJ12" s="1218"/>
      <c r="HK12" s="2000"/>
      <c r="HL12" s="1376"/>
      <c r="HM12" s="1218"/>
      <c r="HN12" s="2000"/>
      <c r="HO12" s="2003"/>
      <c r="HP12" s="1218"/>
      <c r="HQ12" s="2000"/>
      <c r="HR12" s="1376"/>
    </row>
    <row r="13" spans="1:226" ht="14.25" customHeight="1">
      <c r="A13" s="1132"/>
      <c r="B13" s="1682"/>
      <c r="C13" s="1675"/>
      <c r="D13" s="1675"/>
      <c r="E13" s="1675"/>
      <c r="F13" s="1683"/>
      <c r="G13" s="1324"/>
      <c r="H13" s="1246"/>
      <c r="I13" s="1246"/>
      <c r="J13" s="1246"/>
      <c r="K13" s="1238"/>
      <c r="L13" s="1324"/>
      <c r="M13" s="1246"/>
      <c r="N13" s="1246"/>
      <c r="O13" s="1246"/>
      <c r="P13" s="1238"/>
      <c r="Q13" s="1324"/>
      <c r="R13" s="1246"/>
      <c r="S13" s="1246"/>
      <c r="T13" s="1246"/>
      <c r="U13" s="1238"/>
      <c r="V13" s="1324"/>
      <c r="W13" s="1246"/>
      <c r="X13" s="1246"/>
      <c r="Y13" s="1246"/>
      <c r="Z13" s="1238"/>
      <c r="AA13" s="1324"/>
      <c r="AB13" s="1246"/>
      <c r="AC13" s="1246"/>
      <c r="AD13" s="1246"/>
      <c r="AE13" s="1238"/>
      <c r="AF13" s="1324"/>
      <c r="AG13" s="1246"/>
      <c r="AH13" s="1246"/>
      <c r="AI13" s="1246"/>
      <c r="AJ13" s="1238"/>
      <c r="AK13" s="1324"/>
      <c r="AL13" s="1246"/>
      <c r="AM13" s="1246"/>
      <c r="AN13" s="1246"/>
      <c r="AO13" s="1238"/>
      <c r="AP13" s="1324"/>
      <c r="AQ13" s="1246"/>
      <c r="AR13" s="1246"/>
      <c r="AS13" s="1246"/>
      <c r="AT13" s="1238"/>
      <c r="AU13" s="1324"/>
      <c r="AV13" s="1246"/>
      <c r="AW13" s="1246"/>
      <c r="AX13" s="1246"/>
      <c r="AY13" s="1238"/>
      <c r="AZ13" s="1324"/>
      <c r="BA13" s="1246"/>
      <c r="BB13" s="1246"/>
      <c r="BC13" s="1235"/>
      <c r="BD13" s="1238"/>
      <c r="BE13" s="1324"/>
      <c r="BF13" s="1246"/>
      <c r="BG13" s="1246"/>
      <c r="BH13" s="1246"/>
      <c r="BI13" s="1238"/>
      <c r="BJ13" s="1324"/>
      <c r="BK13" s="1246"/>
      <c r="BL13" s="1246"/>
      <c r="BM13" s="1246"/>
      <c r="BN13" s="1238"/>
      <c r="BO13" s="1324"/>
      <c r="BP13" s="1246"/>
      <c r="BQ13" s="1246"/>
      <c r="BR13" s="1246"/>
      <c r="BS13" s="1238"/>
      <c r="BT13" s="1324"/>
      <c r="BU13" s="1246"/>
      <c r="BV13" s="1246"/>
      <c r="BW13" s="1246"/>
      <c r="BX13" s="1238"/>
      <c r="BY13" s="1324"/>
      <c r="BZ13" s="1246"/>
      <c r="CA13" s="1246"/>
      <c r="CB13" s="1246"/>
      <c r="CC13" s="1758"/>
      <c r="CD13" s="1246"/>
      <c r="CE13" s="1246"/>
      <c r="CF13" s="1246"/>
      <c r="CG13" s="1246"/>
      <c r="CH13" s="1758"/>
      <c r="CI13" s="1235"/>
      <c r="CJ13" s="1234"/>
      <c r="CK13" s="1242"/>
      <c r="CL13" s="1162"/>
      <c r="CM13" s="1162"/>
      <c r="CN13" s="1162"/>
      <c r="CO13" s="1232"/>
      <c r="CP13" s="1239"/>
      <c r="CQ13" s="1217"/>
      <c r="CR13" s="1217"/>
      <c r="CS13" s="1217"/>
      <c r="CT13" s="1232"/>
      <c r="CU13" s="1239"/>
      <c r="CV13" s="1217"/>
      <c r="CW13" s="1796"/>
      <c r="CX13" s="1796"/>
      <c r="CY13" s="1232"/>
      <c r="CZ13" s="1356"/>
      <c r="DA13" s="1796"/>
      <c r="DB13" s="1796"/>
      <c r="DC13" s="1796"/>
      <c r="DD13" s="1232"/>
      <c r="DE13" s="1239"/>
      <c r="DF13" s="1217"/>
      <c r="DG13" s="1217"/>
      <c r="DH13" s="1217"/>
      <c r="DI13" s="1232"/>
      <c r="DJ13" s="1239"/>
      <c r="DK13" s="1217"/>
      <c r="DL13" s="1217"/>
      <c r="DM13" s="1217"/>
      <c r="DN13" s="1232"/>
      <c r="DO13" s="1239"/>
      <c r="DP13" s="1217"/>
      <c r="DQ13" s="1217"/>
      <c r="DR13" s="1217"/>
      <c r="DS13" s="1232"/>
      <c r="DT13" s="1239"/>
      <c r="DU13" s="1217"/>
      <c r="DV13" s="1217"/>
      <c r="DW13" s="1217"/>
      <c r="DX13" s="1232"/>
      <c r="DY13" s="1239"/>
      <c r="DZ13" s="1217"/>
      <c r="EA13" s="1217"/>
      <c r="EB13" s="1217"/>
      <c r="EC13" s="1232"/>
      <c r="ED13" s="1217"/>
      <c r="EE13" s="1217"/>
      <c r="EF13" s="1217"/>
      <c r="EG13" s="1217"/>
      <c r="EH13" s="860"/>
      <c r="EI13" s="1239"/>
      <c r="EJ13" s="1217"/>
      <c r="EK13" s="1217"/>
      <c r="EL13" s="1217"/>
      <c r="EM13" s="1232"/>
      <c r="EN13" s="1239"/>
      <c r="EO13" s="1217"/>
      <c r="EP13" s="1217"/>
      <c r="EQ13" s="1217"/>
      <c r="ER13" s="1232"/>
      <c r="ES13" s="1217"/>
      <c r="ET13" s="1217"/>
      <c r="EU13" s="1217"/>
      <c r="EV13" s="1217"/>
      <c r="EW13" s="1232"/>
      <c r="EX13" s="1239"/>
      <c r="EY13" s="1217"/>
      <c r="EZ13" s="1217"/>
      <c r="FA13" s="1217"/>
      <c r="FB13" s="1754"/>
      <c r="FC13" s="1239"/>
      <c r="FD13" s="1162"/>
      <c r="FE13" s="1217"/>
      <c r="FF13" s="1217"/>
      <c r="FG13" s="2040"/>
      <c r="FH13" s="860"/>
      <c r="FI13" s="860"/>
      <c r="FJ13" s="860"/>
      <c r="FY13" s="860"/>
      <c r="FZ13" s="860"/>
      <c r="GA13" s="860"/>
      <c r="GB13" s="860"/>
      <c r="GC13" s="860"/>
      <c r="GD13" s="860"/>
      <c r="GE13" s="860"/>
      <c r="GF13" s="860"/>
      <c r="GG13" s="860"/>
      <c r="GH13" s="860"/>
      <c r="GI13" s="860"/>
      <c r="GJ13" s="860"/>
      <c r="GK13" s="860"/>
      <c r="GL13" s="860"/>
      <c r="GM13" s="860"/>
      <c r="GN13" s="860"/>
      <c r="GO13" s="860"/>
      <c r="GP13" s="860"/>
      <c r="GQ13" s="860"/>
      <c r="GR13" s="1376"/>
      <c r="GS13" s="1247"/>
      <c r="GT13" s="1376"/>
      <c r="GU13" s="1247"/>
      <c r="GV13" s="1376"/>
      <c r="GW13" s="1247"/>
      <c r="GX13" s="1218"/>
      <c r="GY13" s="1376"/>
      <c r="GZ13" s="1247"/>
      <c r="HA13" s="1218"/>
      <c r="HB13" s="1376"/>
      <c r="HC13" s="1247"/>
      <c r="HD13" s="2000"/>
      <c r="HE13" s="1376"/>
      <c r="HF13" s="1247"/>
      <c r="HG13" s="2000"/>
      <c r="HH13" s="1376"/>
      <c r="HI13" s="1376"/>
      <c r="HJ13" s="1247"/>
      <c r="HK13" s="2000"/>
      <c r="HL13" s="1376"/>
      <c r="HM13" s="1247"/>
      <c r="HN13" s="2000"/>
      <c r="HO13" s="1376"/>
      <c r="HP13" s="1247"/>
      <c r="HQ13" s="2000"/>
      <c r="HR13" s="1376"/>
    </row>
    <row r="14" spans="1:226" ht="14.25" customHeight="1">
      <c r="A14" s="1132" t="s">
        <v>8100</v>
      </c>
      <c r="B14" s="1682"/>
      <c r="C14" s="1675"/>
      <c r="D14" s="1675"/>
      <c r="E14" s="1675"/>
      <c r="F14" s="1683"/>
      <c r="G14" s="1324">
        <v>3229.7</v>
      </c>
      <c r="H14" s="1246">
        <v>3332.7</v>
      </c>
      <c r="I14" s="1246">
        <v>3394.8</v>
      </c>
      <c r="J14" s="1246">
        <v>3678.2</v>
      </c>
      <c r="K14" s="1238">
        <f>+SUM(G14:J14)</f>
        <v>13635.400000000001</v>
      </c>
      <c r="L14" s="1324">
        <v>3771.1</v>
      </c>
      <c r="M14" s="1246">
        <v>3871.7</v>
      </c>
      <c r="N14" s="1246">
        <v>3890.6</v>
      </c>
      <c r="O14" s="1246">
        <v>4037</v>
      </c>
      <c r="P14" s="1238">
        <f>+SUM(L14:O14)</f>
        <v>15570.4</v>
      </c>
      <c r="Q14" s="1324">
        <v>3976.5</v>
      </c>
      <c r="R14" s="1246">
        <v>4188.3999999999996</v>
      </c>
      <c r="S14" s="1246">
        <v>4374.5</v>
      </c>
      <c r="T14" s="1246">
        <f>17138.8-Q14-R14-S14</f>
        <v>4599.3999999999996</v>
      </c>
      <c r="U14" s="1238">
        <f>+SUM(Q14:T14)</f>
        <v>17138.8</v>
      </c>
      <c r="V14" s="1324">
        <v>4600.6000000000004</v>
      </c>
      <c r="W14" s="1246">
        <v>4803.7</v>
      </c>
      <c r="X14" s="1246">
        <v>5305.1</v>
      </c>
      <c r="Y14" s="1246">
        <v>6227.8</v>
      </c>
      <c r="Z14" s="1238">
        <f>+SUM(V14:Y14)</f>
        <v>20937.2</v>
      </c>
      <c r="AA14" s="1324">
        <v>6714.5</v>
      </c>
      <c r="AB14" s="1246">
        <v>6909.7</v>
      </c>
      <c r="AC14" s="1246">
        <v>7294</v>
      </c>
      <c r="AD14" s="1246">
        <f>28488.3-AA14-AB14-AC14</f>
        <v>7570.0999999999985</v>
      </c>
      <c r="AE14" s="1238">
        <f>Master!N21</f>
        <v>28488.3</v>
      </c>
      <c r="AF14" s="1324">
        <v>7621.1</v>
      </c>
      <c r="AG14" s="1246">
        <v>7802.1</v>
      </c>
      <c r="AH14" s="1246">
        <v>8155.2</v>
      </c>
      <c r="AI14" s="1246">
        <v>8313.2000000000007</v>
      </c>
      <c r="AJ14" s="1238">
        <f>Master!O21</f>
        <v>31891.599999999999</v>
      </c>
      <c r="AK14" s="1324">
        <v>8096.3</v>
      </c>
      <c r="AL14" s="1246">
        <v>8036.7</v>
      </c>
      <c r="AM14" s="1246">
        <v>8322.5</v>
      </c>
      <c r="AN14" s="1246">
        <v>8592.9</v>
      </c>
      <c r="AO14" s="1238">
        <f>Master!P21</f>
        <v>33048</v>
      </c>
      <c r="AP14" s="1324">
        <v>8669.7000000000007</v>
      </c>
      <c r="AQ14" s="1246">
        <v>8825.7000000000007</v>
      </c>
      <c r="AR14" s="1246">
        <v>9219.9</v>
      </c>
      <c r="AS14" s="1246">
        <v>9517.7000000000007</v>
      </c>
      <c r="AT14" s="1238">
        <f>Master!Q21</f>
        <v>36233</v>
      </c>
      <c r="AU14" s="1324">
        <v>9898.1</v>
      </c>
      <c r="AV14" s="1246">
        <v>10215.700000000001</v>
      </c>
      <c r="AW14" s="1246">
        <v>10572.1</v>
      </c>
      <c r="AX14" s="1246">
        <v>11016.1</v>
      </c>
      <c r="AY14" s="1238">
        <f>Master!R21</f>
        <v>41702</v>
      </c>
      <c r="AZ14" s="1324">
        <v>10824.7</v>
      </c>
      <c r="BA14" s="1246">
        <v>11308.8</v>
      </c>
      <c r="BB14" s="1246">
        <v>11407.9</v>
      </c>
      <c r="BC14" s="1235">
        <f>BD14-AZ14-BA14-BB14</f>
        <v>11825.699999999995</v>
      </c>
      <c r="BD14" s="1238">
        <f>Master!S21</f>
        <v>45367.1</v>
      </c>
      <c r="BE14" s="1324">
        <v>11676.5</v>
      </c>
      <c r="BF14" s="1246">
        <v>11981.6</v>
      </c>
      <c r="BG14" s="1246">
        <v>12066.6</v>
      </c>
      <c r="BH14" s="1246">
        <v>12296.2</v>
      </c>
      <c r="BI14" s="1238">
        <f>Master!T21</f>
        <v>48020.9</v>
      </c>
      <c r="BJ14" s="1324">
        <v>11804.5</v>
      </c>
      <c r="BK14" s="1246">
        <v>11750</v>
      </c>
      <c r="BL14" s="1246">
        <v>12394</v>
      </c>
      <c r="BM14" s="1246">
        <v>12463.3</v>
      </c>
      <c r="BN14" s="1238">
        <f>Master!U21</f>
        <v>48411.8</v>
      </c>
      <c r="BO14" s="1324">
        <v>12122.7</v>
      </c>
      <c r="BP14" s="1246">
        <v>12291.5</v>
      </c>
      <c r="BQ14" s="1246">
        <v>12147.9</v>
      </c>
      <c r="BR14" s="1246">
        <v>12240.4</v>
      </c>
      <c r="BS14" s="1238">
        <f>Master!V21</f>
        <v>48802.5</v>
      </c>
      <c r="BT14" s="1324">
        <v>11908.7</v>
      </c>
      <c r="BU14" s="1246">
        <v>11904.8</v>
      </c>
      <c r="BV14" s="1246">
        <v>11675.4</v>
      </c>
      <c r="BW14" s="1246">
        <v>11904.2</v>
      </c>
      <c r="BX14" s="1238">
        <f>Master!W21</f>
        <v>47393</v>
      </c>
      <c r="BY14" s="1324">
        <v>11537.7</v>
      </c>
      <c r="BZ14" s="1246">
        <v>11602</v>
      </c>
      <c r="CA14" s="1246">
        <v>11679.8</v>
      </c>
      <c r="CB14" s="1268">
        <f>CB15+CB17</f>
        <v>11749.6</v>
      </c>
      <c r="CC14" s="1758">
        <f>Master!X21</f>
        <v>46569.1</v>
      </c>
      <c r="CD14" s="1268">
        <f>CD15+CD17</f>
        <v>11896.6</v>
      </c>
      <c r="CE14" s="1268">
        <f>CE15+CE17</f>
        <v>11850</v>
      </c>
      <c r="CF14" s="1268">
        <f t="shared" ref="CF14:CG14" si="12">CF15+CF17</f>
        <v>11875</v>
      </c>
      <c r="CG14" s="1268">
        <f t="shared" si="12"/>
        <v>11914.792599999993</v>
      </c>
      <c r="CH14" s="1758">
        <f>Master!Y21</f>
        <v>47536.392599999992</v>
      </c>
      <c r="CI14" s="1235"/>
      <c r="CJ14" s="1234"/>
      <c r="CK14" s="1242">
        <f t="shared" si="10"/>
        <v>0.16763166857602885</v>
      </c>
      <c r="CL14" s="1162">
        <f t="shared" si="10"/>
        <v>0.16173072883847928</v>
      </c>
      <c r="CM14" s="1162">
        <f t="shared" si="10"/>
        <v>0.14604689525156123</v>
      </c>
      <c r="CN14" s="1162">
        <f t="shared" si="10"/>
        <v>9.7547713555543591E-2</v>
      </c>
      <c r="CO14" s="1232"/>
      <c r="CP14" s="1239">
        <f t="shared" si="11"/>
        <v>5.4466866431545302E-2</v>
      </c>
      <c r="CQ14" s="1217">
        <f t="shared" si="11"/>
        <v>8.1798693080558982E-2</v>
      </c>
      <c r="CR14" s="1217">
        <f t="shared" si="11"/>
        <v>0.12437670282218694</v>
      </c>
      <c r="CS14" s="1217">
        <f t="shared" si="11"/>
        <v>0.13931136982908088</v>
      </c>
      <c r="CT14" s="1232"/>
      <c r="CU14" s="1239">
        <f t="shared" ref="CU14:CV21" si="13">V14/Q14-1</f>
        <v>0.156947064001006</v>
      </c>
      <c r="CV14" s="1217">
        <f t="shared" si="13"/>
        <v>0.14690573966192355</v>
      </c>
      <c r="CW14" s="1796">
        <f>(X14-X305)/S14-1</f>
        <v>0.13736427020230901</v>
      </c>
      <c r="CX14" s="1796">
        <f>(Y14-Y305)/T14-1</f>
        <v>0.12792972996477814</v>
      </c>
      <c r="CY14" s="1232"/>
      <c r="CZ14" s="1356">
        <f>(AA14-1545)/V14-1</f>
        <v>0.12365778376733472</v>
      </c>
      <c r="DA14" s="1796">
        <f>(AB14-1598.5)/W14-1</f>
        <v>0.10564772987488813</v>
      </c>
      <c r="DB14" s="1796">
        <f>(AC14-1632)/(X14-X305)-1</f>
        <v>0.13799895485790081</v>
      </c>
      <c r="DC14" s="1796">
        <f>(AD14-559.7)/(Y14)-1</f>
        <v>0.12566235267670733</v>
      </c>
      <c r="DD14" s="1232"/>
      <c r="DE14" s="1239">
        <f t="shared" ref="DE14:DH18" si="14">AF14/AA14-1</f>
        <v>0.13502122272693429</v>
      </c>
      <c r="DF14" s="1217">
        <f t="shared" si="14"/>
        <v>0.12915177214640305</v>
      </c>
      <c r="DG14" s="1217">
        <f t="shared" si="14"/>
        <v>0.11806964628461758</v>
      </c>
      <c r="DH14" s="1217">
        <f t="shared" si="14"/>
        <v>9.8162507760796158E-2</v>
      </c>
      <c r="DI14" s="1232"/>
      <c r="DJ14" s="1239">
        <f t="shared" ref="DJ14:DM18" si="15">AK14/AF14-1</f>
        <v>6.2353203605778562E-2</v>
      </c>
      <c r="DK14" s="1217">
        <f t="shared" si="15"/>
        <v>3.0068827623332073E-2</v>
      </c>
      <c r="DL14" s="1217">
        <f t="shared" si="15"/>
        <v>2.0514518344123989E-2</v>
      </c>
      <c r="DM14" s="1217">
        <f t="shared" si="15"/>
        <v>3.3645287013424285E-2</v>
      </c>
      <c r="DN14" s="1232"/>
      <c r="DO14" s="1239">
        <f t="shared" ref="DO14:DR21" si="16">AP14/AK14-1</f>
        <v>7.082247446364387E-2</v>
      </c>
      <c r="DP14" s="1217">
        <f t="shared" si="16"/>
        <v>9.8174623912800074E-2</v>
      </c>
      <c r="DQ14" s="1217">
        <f t="shared" si="16"/>
        <v>0.10782817662961852</v>
      </c>
      <c r="DR14" s="1217">
        <f t="shared" si="16"/>
        <v>0.10762373587496676</v>
      </c>
      <c r="DS14" s="1232"/>
      <c r="DT14" s="1239">
        <f t="shared" ref="DT14:DW21" si="17">AU14/AP14-1</f>
        <v>0.14168887043380973</v>
      </c>
      <c r="DU14" s="1217">
        <f t="shared" si="17"/>
        <v>0.15749458966427587</v>
      </c>
      <c r="DV14" s="1217">
        <f t="shared" si="17"/>
        <v>0.14666102669226366</v>
      </c>
      <c r="DW14" s="1217">
        <f t="shared" si="17"/>
        <v>0.15743299326517946</v>
      </c>
      <c r="DX14" s="1232"/>
      <c r="DY14" s="1239">
        <f t="shared" ref="DY14:EB21" si="18">AZ14/AU14-1</f>
        <v>9.3613925904971751E-2</v>
      </c>
      <c r="DZ14" s="1217">
        <f t="shared" si="18"/>
        <v>0.10700196755973623</v>
      </c>
      <c r="EA14" s="1217">
        <f t="shared" si="18"/>
        <v>7.9057140965371087E-2</v>
      </c>
      <c r="EB14" s="1217">
        <f t="shared" si="18"/>
        <v>7.3492433801435553E-2</v>
      </c>
      <c r="EC14" s="1232"/>
      <c r="ED14" s="1217">
        <f t="shared" ref="ED14:EG21" si="19">BE14/AZ14-1</f>
        <v>7.8690402505381174E-2</v>
      </c>
      <c r="EE14" s="1217">
        <f t="shared" si="19"/>
        <v>5.9493491794001319E-2</v>
      </c>
      <c r="EF14" s="1217">
        <f t="shared" si="19"/>
        <v>5.7740688470270696E-2</v>
      </c>
      <c r="EG14" s="1217">
        <f t="shared" si="19"/>
        <v>3.9786228299382387E-2</v>
      </c>
      <c r="EH14" s="860"/>
      <c r="EI14" s="1239">
        <f t="shared" ref="EI14:EL21" si="20">BJ14/BE14-1</f>
        <v>1.0962189012118317E-2</v>
      </c>
      <c r="EJ14" s="1217">
        <f t="shared" si="20"/>
        <v>-1.9329638779461922E-2</v>
      </c>
      <c r="EK14" s="1217">
        <f t="shared" si="20"/>
        <v>2.7132746589760171E-2</v>
      </c>
      <c r="EL14" s="1217">
        <f t="shared" si="20"/>
        <v>1.3589564255623632E-2</v>
      </c>
      <c r="EM14" s="1232"/>
      <c r="EN14" s="1239">
        <f t="shared" ref="EN14:EQ21" si="21">BO14/BJ14-1</f>
        <v>2.695582193231405E-2</v>
      </c>
      <c r="EO14" s="1217">
        <f t="shared" si="21"/>
        <v>4.6085106382978802E-2</v>
      </c>
      <c r="EP14" s="1217">
        <f t="shared" si="21"/>
        <v>-1.9856382120380878E-2</v>
      </c>
      <c r="EQ14" s="1217">
        <f t="shared" si="21"/>
        <v>-1.7884508918183717E-2</v>
      </c>
      <c r="ER14" s="1232"/>
      <c r="ES14" s="1217">
        <f t="shared" ref="ES14:EV14" si="22">BT14/BO14-1</f>
        <v>-1.76528331147352E-2</v>
      </c>
      <c r="ET14" s="1217">
        <f t="shared" si="22"/>
        <v>-3.1460765569702676E-2</v>
      </c>
      <c r="EU14" s="1217">
        <f t="shared" si="22"/>
        <v>-3.8895611587187906E-2</v>
      </c>
      <c r="EV14" s="1217">
        <f t="shared" si="22"/>
        <v>-2.7466422665925916E-2</v>
      </c>
      <c r="EW14" s="1232"/>
      <c r="EX14" s="1239">
        <f t="shared" ref="EX14:EZ14" si="23">BY14/BT14-1</f>
        <v>-3.1153694357906381E-2</v>
      </c>
      <c r="EY14" s="1217">
        <f t="shared" si="23"/>
        <v>-2.5435118607620377E-2</v>
      </c>
      <c r="EZ14" s="1217">
        <f t="shared" si="23"/>
        <v>3.7686074995280094E-4</v>
      </c>
      <c r="FA14" s="1417">
        <f>CB14/(10622.6+1240.3)-1</f>
        <v>-9.5507843781873492E-3</v>
      </c>
      <c r="FB14" s="1754"/>
      <c r="FC14" s="1239"/>
      <c r="FD14" s="1162"/>
      <c r="FE14" s="1217"/>
      <c r="FF14" s="1217"/>
      <c r="FG14" s="2040"/>
      <c r="FH14" s="860"/>
      <c r="FI14" s="860"/>
      <c r="FJ14" s="860"/>
      <c r="FY14" s="860"/>
      <c r="FZ14" s="860"/>
      <c r="GA14" s="860"/>
      <c r="GB14" s="860"/>
      <c r="GC14" s="860"/>
      <c r="GD14" s="860"/>
      <c r="GE14" s="860"/>
      <c r="GF14" s="860"/>
      <c r="GG14" s="860"/>
      <c r="GH14" s="860"/>
      <c r="GI14" s="860"/>
      <c r="GJ14" s="860"/>
      <c r="GK14" s="860"/>
      <c r="GL14" s="860"/>
      <c r="GM14" s="860"/>
      <c r="GN14" s="860"/>
      <c r="GO14" s="860"/>
      <c r="GP14" s="860"/>
      <c r="GQ14" s="860"/>
      <c r="GR14" s="1376">
        <v>12550.089999999998</v>
      </c>
      <c r="GS14" s="1247">
        <v>1.259399709536857E-2</v>
      </c>
      <c r="GT14" s="1376">
        <v>12575.877000000002</v>
      </c>
      <c r="GU14" s="1247">
        <v>9.0326799483284592E-3</v>
      </c>
      <c r="GV14" s="1376">
        <v>12200</v>
      </c>
      <c r="GW14" s="1247">
        <v>6.3764672886401641E-3</v>
      </c>
      <c r="GX14" s="1218"/>
      <c r="GY14" s="1376">
        <v>12050</v>
      </c>
      <c r="GZ14" s="1247">
        <v>-1.9647724036936043E-2</v>
      </c>
      <c r="HA14" s="1218"/>
      <c r="HB14" s="1376">
        <v>12100</v>
      </c>
      <c r="HC14" s="1247">
        <v>-3.9430683492619467E-3</v>
      </c>
      <c r="HD14" s="2000"/>
      <c r="HE14" s="1376">
        <v>11971.531249999998</v>
      </c>
      <c r="HF14" s="1247">
        <v>-2.1965683311003015E-2</v>
      </c>
      <c r="HG14" s="2000"/>
      <c r="HH14" s="1376">
        <v>11590</v>
      </c>
      <c r="HI14" s="1376">
        <v>11547.655999999999</v>
      </c>
      <c r="HJ14" s="1247">
        <v>-3.0000000000000027E-2</v>
      </c>
      <c r="HK14" s="2000"/>
      <c r="HL14" s="1376">
        <v>11600</v>
      </c>
      <c r="HM14" s="1247">
        <v>-6.4580228514654614E-3</v>
      </c>
      <c r="HN14" s="2000"/>
      <c r="HO14" s="1376">
        <v>11862.605</v>
      </c>
      <c r="HP14" s="1247">
        <v>-3.4941449236405298E-3</v>
      </c>
      <c r="HQ14" s="2000"/>
      <c r="HR14" s="1376">
        <f>1.005*BY14</f>
        <v>11595.388499999999</v>
      </c>
    </row>
    <row r="15" spans="1:226" ht="14.25" customHeight="1">
      <c r="A15" s="1132" t="s">
        <v>8099</v>
      </c>
      <c r="B15" s="1682"/>
      <c r="C15" s="1675"/>
      <c r="D15" s="1675"/>
      <c r="E15" s="1675"/>
      <c r="F15" s="1683"/>
      <c r="G15" s="1324"/>
      <c r="H15" s="1246"/>
      <c r="I15" s="1246"/>
      <c r="J15" s="1246"/>
      <c r="K15" s="1238"/>
      <c r="L15" s="1324"/>
      <c r="M15" s="1246"/>
      <c r="N15" s="1246"/>
      <c r="O15" s="1246"/>
      <c r="P15" s="1238"/>
      <c r="Q15" s="1324"/>
      <c r="R15" s="1246"/>
      <c r="S15" s="1246"/>
      <c r="T15" s="1246"/>
      <c r="U15" s="1238"/>
      <c r="V15" s="1324"/>
      <c r="W15" s="1246"/>
      <c r="X15" s="1246"/>
      <c r="Y15" s="1246"/>
      <c r="Z15" s="1238"/>
      <c r="AA15" s="1324"/>
      <c r="AB15" s="1246"/>
      <c r="AC15" s="1246"/>
      <c r="AD15" s="1246"/>
      <c r="AE15" s="1238"/>
      <c r="AF15" s="1324"/>
      <c r="AG15" s="1246"/>
      <c r="AH15" s="1246"/>
      <c r="AI15" s="1246"/>
      <c r="AJ15" s="1238"/>
      <c r="AK15" s="1324"/>
      <c r="AL15" s="1246"/>
      <c r="AM15" s="1246"/>
      <c r="AN15" s="1246"/>
      <c r="AO15" s="1238"/>
      <c r="AP15" s="1324"/>
      <c r="AQ15" s="1246"/>
      <c r="AR15" s="1246"/>
      <c r="AS15" s="1246"/>
      <c r="AT15" s="1238"/>
      <c r="AU15" s="1324"/>
      <c r="AV15" s="1246"/>
      <c r="AW15" s="1246"/>
      <c r="AX15" s="1246"/>
      <c r="AY15" s="1238"/>
      <c r="AZ15" s="1324"/>
      <c r="BA15" s="1246"/>
      <c r="BB15" s="1246"/>
      <c r="BC15" s="1235"/>
      <c r="BD15" s="1238"/>
      <c r="BE15" s="1324"/>
      <c r="BF15" s="1246"/>
      <c r="BG15" s="1246"/>
      <c r="BH15" s="1246"/>
      <c r="BI15" s="1238"/>
      <c r="BJ15" s="1324"/>
      <c r="BK15" s="1246"/>
      <c r="BL15" s="1246"/>
      <c r="BM15" s="1246"/>
      <c r="BN15" s="1238"/>
      <c r="BO15" s="1324"/>
      <c r="BP15" s="1246"/>
      <c r="BQ15" s="1246"/>
      <c r="BR15" s="1246"/>
      <c r="BS15" s="1238"/>
      <c r="BT15" s="1324"/>
      <c r="BU15" s="1246"/>
      <c r="BV15" s="1246"/>
      <c r="BW15" s="1246"/>
      <c r="BX15" s="1238"/>
      <c r="BY15" s="1993">
        <v>10516.5</v>
      </c>
      <c r="BZ15" s="2038">
        <f>21104/2</f>
        <v>10552</v>
      </c>
      <c r="CA15" s="2038">
        <f>CC15-BY15-CB15-BZ15</f>
        <v>10552.099999999999</v>
      </c>
      <c r="CB15" s="1993">
        <v>10561</v>
      </c>
      <c r="CC15" s="1758">
        <f>Master!X22</f>
        <v>42181.599999999999</v>
      </c>
      <c r="CD15" s="1993">
        <v>10611.9</v>
      </c>
      <c r="CE15" s="1991">
        <v>10650</v>
      </c>
      <c r="CF15" s="1991">
        <v>10675</v>
      </c>
      <c r="CG15" s="1991">
        <f>CH15-CD15-CE15-CF15</f>
        <v>10708.697599999992</v>
      </c>
      <c r="CH15" s="1758">
        <f>Master!Y22</f>
        <v>42645.597599999994</v>
      </c>
      <c r="CI15" s="1235"/>
      <c r="CJ15" s="1234"/>
      <c r="CK15" s="1242"/>
      <c r="CL15" s="1162"/>
      <c r="CM15" s="1162"/>
      <c r="CN15" s="1162"/>
      <c r="CO15" s="1232"/>
      <c r="CP15" s="1239"/>
      <c r="CQ15" s="1217"/>
      <c r="CR15" s="1217"/>
      <c r="CS15" s="1217"/>
      <c r="CT15" s="1232"/>
      <c r="CU15" s="1239"/>
      <c r="CV15" s="1217"/>
      <c r="CW15" s="1796"/>
      <c r="CX15" s="1796"/>
      <c r="CY15" s="1232"/>
      <c r="CZ15" s="1356"/>
      <c r="DA15" s="1796"/>
      <c r="DB15" s="1796"/>
      <c r="DC15" s="1796"/>
      <c r="DD15" s="1232"/>
      <c r="DE15" s="1239"/>
      <c r="DF15" s="1217"/>
      <c r="DG15" s="1217"/>
      <c r="DH15" s="1217"/>
      <c r="DI15" s="1232"/>
      <c r="DJ15" s="1239"/>
      <c r="DK15" s="1217"/>
      <c r="DL15" s="1217"/>
      <c r="DM15" s="1217"/>
      <c r="DN15" s="1232"/>
      <c r="DO15" s="1239"/>
      <c r="DP15" s="1217"/>
      <c r="DQ15" s="1217"/>
      <c r="DR15" s="1217"/>
      <c r="DS15" s="1232"/>
      <c r="DT15" s="1239"/>
      <c r="DU15" s="1217"/>
      <c r="DV15" s="1217"/>
      <c r="DW15" s="1217"/>
      <c r="DX15" s="1232"/>
      <c r="DY15" s="1239"/>
      <c r="DZ15" s="1217"/>
      <c r="EA15" s="1217"/>
      <c r="EB15" s="1217"/>
      <c r="EC15" s="1232"/>
      <c r="ED15" s="1217"/>
      <c r="EE15" s="1217"/>
      <c r="EF15" s="1217"/>
      <c r="EG15" s="1217"/>
      <c r="EH15" s="860"/>
      <c r="EI15" s="1239"/>
      <c r="EJ15" s="1217"/>
      <c r="EK15" s="1217"/>
      <c r="EL15" s="1217"/>
      <c r="EM15" s="1232"/>
      <c r="EN15" s="1239"/>
      <c r="EO15" s="1217"/>
      <c r="EP15" s="1217"/>
      <c r="EQ15" s="1217"/>
      <c r="ER15" s="1232"/>
      <c r="ES15" s="1217"/>
      <c r="ET15" s="1217"/>
      <c r="EU15" s="1217"/>
      <c r="EV15" s="1217"/>
      <c r="EW15" s="1232"/>
      <c r="EX15" s="1239"/>
      <c r="EY15" s="1217"/>
      <c r="EZ15" s="1217"/>
      <c r="FA15" s="1417">
        <v>-6.0000000000000001E-3</v>
      </c>
      <c r="FB15" s="1754"/>
      <c r="FC15" s="1997">
        <f t="shared" ref="FC15:FG19" si="24">CD15/BY15-1</f>
        <v>9.071459135644E-3</v>
      </c>
      <c r="FD15" s="1217">
        <f t="shared" si="24"/>
        <v>9.2873388931007383E-3</v>
      </c>
      <c r="FE15" s="1217">
        <f t="shared" si="24"/>
        <v>1.1646970745159857E-2</v>
      </c>
      <c r="FF15" s="1217">
        <f t="shared" si="24"/>
        <v>1.398519079632532E-2</v>
      </c>
      <c r="FG15" s="2040">
        <f t="shared" si="24"/>
        <v>1.0999999999999899E-2</v>
      </c>
      <c r="FH15" s="860"/>
      <c r="FI15" s="860"/>
      <c r="FJ15" s="860"/>
      <c r="FY15" s="860"/>
      <c r="FZ15" s="860"/>
      <c r="GA15" s="860"/>
      <c r="GB15" s="860"/>
      <c r="GC15" s="860"/>
      <c r="GD15" s="860"/>
      <c r="GE15" s="860"/>
      <c r="GF15" s="860"/>
      <c r="GG15" s="860"/>
      <c r="GH15" s="860"/>
      <c r="GI15" s="860"/>
      <c r="GJ15" s="860"/>
      <c r="GK15" s="860"/>
      <c r="GL15" s="860"/>
      <c r="GM15" s="860"/>
      <c r="GN15" s="860"/>
      <c r="GO15" s="860"/>
      <c r="GP15" s="860"/>
      <c r="GQ15" s="860"/>
      <c r="GR15" s="1376"/>
      <c r="GS15" s="1247"/>
      <c r="GT15" s="1376"/>
      <c r="GU15" s="1247"/>
      <c r="GV15" s="1376"/>
      <c r="GW15" s="1247"/>
      <c r="GX15" s="1218"/>
      <c r="GY15" s="1376"/>
      <c r="GZ15" s="1247"/>
      <c r="HA15" s="1218"/>
      <c r="HB15" s="1376"/>
      <c r="HC15" s="1247"/>
      <c r="HD15" s="2000"/>
      <c r="HE15" s="1376"/>
      <c r="HF15" s="1247"/>
      <c r="HG15" s="2000"/>
      <c r="HH15" s="1376"/>
      <c r="HI15" s="1376"/>
      <c r="HJ15" s="1247"/>
      <c r="HK15" s="2000"/>
      <c r="HL15" s="1376"/>
      <c r="HM15" s="1247"/>
      <c r="HN15" s="2000"/>
      <c r="HO15" s="1376"/>
      <c r="HP15" s="1247"/>
      <c r="HQ15" s="2000"/>
      <c r="HR15" s="1376"/>
    </row>
    <row r="16" spans="1:226" ht="14.25" customHeight="1">
      <c r="A16" s="1132" t="s">
        <v>8098</v>
      </c>
      <c r="B16" s="1682">
        <f>SEGMENTOS!W11</f>
        <v>2645.9</v>
      </c>
      <c r="C16" s="1675">
        <f>SEGMENTOS!X11</f>
        <v>2832.6</v>
      </c>
      <c r="D16" s="1675">
        <f>SEGMENTOS!Y11</f>
        <v>2894.9</v>
      </c>
      <c r="E16" s="1675">
        <f>SEGMENTOS!Z11</f>
        <v>2874.8000000000011</v>
      </c>
      <c r="F16" s="1238">
        <f>+SUM(B16:E16)</f>
        <v>11248.2</v>
      </c>
      <c r="G16" s="1324">
        <v>3028.9</v>
      </c>
      <c r="H16" s="1246">
        <v>3122.4</v>
      </c>
      <c r="I16" s="1246">
        <v>3131.7</v>
      </c>
      <c r="J16" s="1246">
        <v>3196.2</v>
      </c>
      <c r="K16" s="1238">
        <f>+SUM(G16:J16)</f>
        <v>12479.2</v>
      </c>
      <c r="L16" s="1324">
        <v>3386.7</v>
      </c>
      <c r="M16" s="1246">
        <v>3545.5</v>
      </c>
      <c r="N16" s="1246">
        <v>3722.7</v>
      </c>
      <c r="O16" s="1246">
        <v>3810.5</v>
      </c>
      <c r="P16" s="1238">
        <f>+SUM(L16:O16)</f>
        <v>14465.4</v>
      </c>
      <c r="Q16" s="1324">
        <v>3826.8</v>
      </c>
      <c r="R16" s="1246">
        <v>4000.9</v>
      </c>
      <c r="S16" s="1246">
        <v>4089.8</v>
      </c>
      <c r="T16" s="1246">
        <f>16098.3-Q16-R16-S16</f>
        <v>4180.8</v>
      </c>
      <c r="U16" s="1238">
        <f>+SUM(Q16:T16)</f>
        <v>16098.3</v>
      </c>
      <c r="V16" s="1324">
        <v>4199.2</v>
      </c>
      <c r="W16" s="1246">
        <v>4333.1000000000004</v>
      </c>
      <c r="X16" s="1246">
        <v>4476.8</v>
      </c>
      <c r="Y16" s="1246">
        <v>4489.3999999999996</v>
      </c>
      <c r="Z16" s="1238">
        <f>+SUM(V16:Y16)</f>
        <v>17498.5</v>
      </c>
      <c r="AA16" s="1324">
        <v>4621.7</v>
      </c>
      <c r="AB16" s="1246">
        <v>4724.5</v>
      </c>
      <c r="AC16" s="1246">
        <v>4895</v>
      </c>
      <c r="AD16" s="1246">
        <f>19253.5-AA16-AB16-AC16</f>
        <v>5012.2999999999993</v>
      </c>
      <c r="AE16" s="2026">
        <f>Master!N23</f>
        <v>19253.5</v>
      </c>
      <c r="AF16" s="1324">
        <v>5349.6</v>
      </c>
      <c r="AG16" s="1246">
        <v>5580.7</v>
      </c>
      <c r="AH16" s="1246">
        <v>5505.8</v>
      </c>
      <c r="AI16" s="1246">
        <v>5505.1</v>
      </c>
      <c r="AJ16" s="1238">
        <f>Master!O23</f>
        <v>21941.200000000001</v>
      </c>
      <c r="AK16" s="1324">
        <v>5540.6</v>
      </c>
      <c r="AL16" s="1246">
        <v>5641.9</v>
      </c>
      <c r="AM16" s="1246">
        <v>5445.2</v>
      </c>
      <c r="AN16" s="1246">
        <v>5568.8</v>
      </c>
      <c r="AO16" s="1238">
        <f>Master!P23</f>
        <v>22197</v>
      </c>
      <c r="AP16" s="1324">
        <v>5474.2</v>
      </c>
      <c r="AQ16" s="1246">
        <v>5658.8</v>
      </c>
      <c r="AR16" s="1246">
        <v>5407.3</v>
      </c>
      <c r="AS16" s="1246">
        <v>5461.9</v>
      </c>
      <c r="AT16" s="1238">
        <f>Master!Q23</f>
        <v>22002</v>
      </c>
      <c r="AU16" s="1324">
        <v>5281.6</v>
      </c>
      <c r="AV16" s="1246">
        <v>5348.1</v>
      </c>
      <c r="AW16" s="1246">
        <v>5338.3</v>
      </c>
      <c r="AX16" s="1246">
        <v>5379.1</v>
      </c>
      <c r="AY16" s="1238">
        <f>Master!R23</f>
        <v>21347</v>
      </c>
      <c r="AZ16" s="1324">
        <v>5405.3</v>
      </c>
      <c r="BA16" s="1246">
        <v>5514.7</v>
      </c>
      <c r="BB16" s="1246">
        <v>5597.9</v>
      </c>
      <c r="BC16" s="1235">
        <f>BD16-AZ16-BA16-BB16</f>
        <v>5616.8000000000011</v>
      </c>
      <c r="BD16" s="1238">
        <f>Master!S23</f>
        <v>22134.7</v>
      </c>
      <c r="BE16" s="1324">
        <v>5624.8</v>
      </c>
      <c r="BF16" s="1246">
        <v>5570.1</v>
      </c>
      <c r="BG16" s="1246">
        <v>5459.4</v>
      </c>
      <c r="BH16" s="1246">
        <v>5372.3</v>
      </c>
      <c r="BI16" s="1238">
        <f>Master!T23</f>
        <v>22026.6</v>
      </c>
      <c r="BJ16" s="1324">
        <v>5275.7</v>
      </c>
      <c r="BK16" s="1246">
        <v>5140.1000000000004</v>
      </c>
      <c r="BL16" s="1246">
        <v>4986.6000000000004</v>
      </c>
      <c r="BM16" s="1246">
        <v>4936.6000000000004</v>
      </c>
      <c r="BN16" s="1238">
        <f>Master!U23</f>
        <v>20339</v>
      </c>
      <c r="BO16" s="1324">
        <v>4657.6000000000004</v>
      </c>
      <c r="BP16" s="1246">
        <v>4449.5</v>
      </c>
      <c r="BQ16" s="1246">
        <v>4296.6000000000004</v>
      </c>
      <c r="BR16" s="1246">
        <v>4181.6000000000004</v>
      </c>
      <c r="BS16" s="1238">
        <f>Master!V23</f>
        <v>17585.2</v>
      </c>
      <c r="BT16" s="1324">
        <v>4083.6</v>
      </c>
      <c r="BU16" s="1246">
        <v>3858.3</v>
      </c>
      <c r="BV16" s="1246">
        <v>3731.1</v>
      </c>
      <c r="BW16" s="1246">
        <v>3664.3</v>
      </c>
      <c r="BX16" s="1238">
        <f>Master!W23</f>
        <v>15034.7</v>
      </c>
      <c r="BY16" s="1994">
        <v>3469</v>
      </c>
      <c r="BZ16" s="1246">
        <v>3229.5</v>
      </c>
      <c r="CA16" s="1246">
        <v>3051</v>
      </c>
      <c r="CB16" s="1993">
        <v>2798.6</v>
      </c>
      <c r="CC16" s="1758">
        <f>Master!X23</f>
        <v>12397</v>
      </c>
      <c r="CD16" s="1994">
        <v>2615.9</v>
      </c>
      <c r="CE16" s="1991">
        <v>2500</v>
      </c>
      <c r="CF16" s="1991">
        <v>2300</v>
      </c>
      <c r="CG16" s="1991">
        <f>CH16-CD16-CE16-CF16</f>
        <v>2129.7900000000009</v>
      </c>
      <c r="CH16" s="1758">
        <f>Master!Y23</f>
        <v>9545.69</v>
      </c>
      <c r="CI16" s="1235"/>
      <c r="CJ16" s="860"/>
      <c r="CK16" s="1242">
        <f>L16/G16-1</f>
        <v>0.11812869358512978</v>
      </c>
      <c r="CL16" s="1162">
        <f>M16/H16-1</f>
        <v>0.1355047399436331</v>
      </c>
      <c r="CM16" s="1162">
        <f>N16/I16-1</f>
        <v>0.18871539419484629</v>
      </c>
      <c r="CN16" s="1162">
        <f>O16/J16-1</f>
        <v>0.19219698391840323</v>
      </c>
      <c r="CO16" s="1232"/>
      <c r="CP16" s="1242">
        <f>Q16/L16-1</f>
        <v>0.12994950837098074</v>
      </c>
      <c r="CQ16" s="1162">
        <f>R16/M16-1</f>
        <v>0.12844450712170352</v>
      </c>
      <c r="CR16" s="1162">
        <f>S16/N16-1</f>
        <v>9.8611223037043061E-2</v>
      </c>
      <c r="CS16" s="1162">
        <f>T16/O16-1</f>
        <v>9.7178847920220468E-2</v>
      </c>
      <c r="CT16" s="1232"/>
      <c r="CU16" s="1242">
        <f>V16/Q16-1</f>
        <v>9.7313682450088645E-2</v>
      </c>
      <c r="CV16" s="1162">
        <f>W16/R16-1</f>
        <v>8.3031317953460526E-2</v>
      </c>
      <c r="CW16" s="1162">
        <f>X16/S16-1</f>
        <v>9.4625654066213594E-2</v>
      </c>
      <c r="CX16" s="1162">
        <f>Y16/T16-1</f>
        <v>7.3813624186758409E-2</v>
      </c>
      <c r="CY16" s="1232"/>
      <c r="CZ16" s="1239">
        <f>AA16/V16-1</f>
        <v>0.10061440274337974</v>
      </c>
      <c r="DA16" s="1217">
        <f>AB16/W16-1</f>
        <v>9.0327940735270174E-2</v>
      </c>
      <c r="DB16" s="1217">
        <f>AC16/X16-1</f>
        <v>9.3414939242315809E-2</v>
      </c>
      <c r="DC16" s="1217">
        <f>AD16/Y16-1</f>
        <v>0.11647436183008852</v>
      </c>
      <c r="DD16" s="1232"/>
      <c r="DE16" s="1239">
        <f>AF16/AA16-1</f>
        <v>0.1574961594218578</v>
      </c>
      <c r="DF16" s="1217">
        <f>AG16/AB16-1</f>
        <v>0.18122552651074186</v>
      </c>
      <c r="DG16" s="1217">
        <f>AH16/AC16-1</f>
        <v>0.12478038815117465</v>
      </c>
      <c r="DH16" s="1217">
        <f>AI16/AD16-1</f>
        <v>9.8318137382040316E-2</v>
      </c>
      <c r="DI16" s="1232"/>
      <c r="DJ16" s="1239">
        <f>AK16/AF16-1</f>
        <v>3.570360400777628E-2</v>
      </c>
      <c r="DK16" s="1217">
        <f>AL16/AG16-1</f>
        <v>1.0966366226458968E-2</v>
      </c>
      <c r="DL16" s="1217">
        <f>AM16/AH16-1</f>
        <v>-1.1006574884667164E-2</v>
      </c>
      <c r="DM16" s="1217">
        <f>AN16/AI16-1</f>
        <v>1.1571088626909587E-2</v>
      </c>
      <c r="DN16" s="1232"/>
      <c r="DO16" s="1239">
        <f>AP16/AK16-1</f>
        <v>-1.1984261632314253E-2</v>
      </c>
      <c r="DP16" s="1217">
        <f>AQ16/AL16-1</f>
        <v>2.9954447969655629E-3</v>
      </c>
      <c r="DQ16" s="1217">
        <f>AR16/AM16-1</f>
        <v>-6.9602585763607339E-3</v>
      </c>
      <c r="DR16" s="1217">
        <f>AS16/AN16-1</f>
        <v>-1.9196236172963732E-2</v>
      </c>
      <c r="DS16" s="1232"/>
      <c r="DT16" s="1239">
        <f>AU16/AP16-1</f>
        <v>-3.5183223119359841E-2</v>
      </c>
      <c r="DU16" s="1217">
        <f>AV16/AQ16-1</f>
        <v>-5.4905633703258627E-2</v>
      </c>
      <c r="DV16" s="1217">
        <f>AW16/AR16-1</f>
        <v>-1.2760527435134006E-2</v>
      </c>
      <c r="DW16" s="1217">
        <f>AX16/AS16-1</f>
        <v>-1.5159559860121852E-2</v>
      </c>
      <c r="DX16" s="1232"/>
      <c r="DY16" s="1239">
        <f>AZ16/AU16-1</f>
        <v>2.3420933050590786E-2</v>
      </c>
      <c r="DZ16" s="1217">
        <f>BA16/AV16-1</f>
        <v>3.1151249976627104E-2</v>
      </c>
      <c r="EA16" s="1217">
        <f>BB16/AW16-1</f>
        <v>4.8629713579229294E-2</v>
      </c>
      <c r="EB16" s="1217">
        <f>BC16/AX16-1</f>
        <v>4.4189548437471027E-2</v>
      </c>
      <c r="EC16" s="1232"/>
      <c r="ED16" s="1217">
        <f>BE16/AZ16-1</f>
        <v>4.0608291861691237E-2</v>
      </c>
      <c r="EE16" s="1217">
        <f>BF16/BA16-1</f>
        <v>1.0045877382269364E-2</v>
      </c>
      <c r="EF16" s="1217">
        <f>BG16/BB16-1</f>
        <v>-2.4741420889976551E-2</v>
      </c>
      <c r="EG16" s="1217">
        <f>BH16/BC16-1</f>
        <v>-4.3530123913972485E-2</v>
      </c>
      <c r="EH16" s="860"/>
      <c r="EI16" s="1239">
        <f>BJ16/BE16-1</f>
        <v>-6.2064428957474105E-2</v>
      </c>
      <c r="EJ16" s="1217">
        <f>BK16/BF16-1</f>
        <v>-7.719789590851156E-2</v>
      </c>
      <c r="EK16" s="1217">
        <f>BL16/BG16-1</f>
        <v>-8.6602923398175546E-2</v>
      </c>
      <c r="EL16" s="1217">
        <f>BM16/BH16-1</f>
        <v>-8.110120432589385E-2</v>
      </c>
      <c r="EM16" s="1232"/>
      <c r="EN16" s="1239">
        <f>BO16/BJ16-1</f>
        <v>-0.1171598081771138</v>
      </c>
      <c r="EO16" s="1217">
        <f>BP16/BK16-1</f>
        <v>-0.13435536273613358</v>
      </c>
      <c r="EP16" s="1217">
        <f>BQ16/BL16-1</f>
        <v>-0.13837083383467697</v>
      </c>
      <c r="EQ16" s="1217">
        <f>BR16/BM16-1</f>
        <v>-0.15293926994287566</v>
      </c>
      <c r="ER16" s="1232"/>
      <c r="ES16" s="1217">
        <f>BT16/BO16-1</f>
        <v>-0.12323943661971837</v>
      </c>
      <c r="ET16" s="1217">
        <f>BU16/BP16-1</f>
        <v>-0.13286886166985046</v>
      </c>
      <c r="EU16" s="1217">
        <f>BV16/BQ16-1</f>
        <v>-0.13161569613182522</v>
      </c>
      <c r="EV16" s="1217">
        <f>BW16/BR16-1</f>
        <v>-0.12370862827625795</v>
      </c>
      <c r="EW16" s="1232"/>
      <c r="EX16" s="1239">
        <f>BY16/BT16-1</f>
        <v>-0.15050445685179736</v>
      </c>
      <c r="EY16" s="1217">
        <f>BZ16/BU16-1</f>
        <v>-0.1629733302231553</v>
      </c>
      <c r="EZ16" s="1217">
        <f>CA16/BV16-1</f>
        <v>-0.182278684570234</v>
      </c>
      <c r="FA16" s="1417">
        <v>-0.16800000000000001</v>
      </c>
      <c r="FB16" s="1754"/>
      <c r="FC16" s="1997">
        <f t="shared" si="24"/>
        <v>-0.24592101470164307</v>
      </c>
      <c r="FD16" s="1217">
        <f t="shared" si="24"/>
        <v>-0.22588636011766527</v>
      </c>
      <c r="FE16" s="1217">
        <f t="shared" si="24"/>
        <v>-0.24614880367092762</v>
      </c>
      <c r="FF16" s="1217">
        <f t="shared" si="24"/>
        <v>-0.2389802043879079</v>
      </c>
      <c r="FG16" s="2040">
        <f t="shared" si="24"/>
        <v>-0.22999999999999998</v>
      </c>
      <c r="FH16" s="860"/>
      <c r="FI16" s="860"/>
      <c r="FJ16" s="860"/>
      <c r="FY16" s="860"/>
      <c r="FZ16" s="860"/>
      <c r="GA16" s="860"/>
      <c r="GB16" s="860"/>
      <c r="GC16" s="860"/>
      <c r="GD16" s="860"/>
      <c r="GE16" s="860"/>
      <c r="GF16" s="860"/>
      <c r="GG16" s="860"/>
      <c r="GH16" s="860"/>
      <c r="GI16" s="860"/>
      <c r="GJ16" s="860"/>
      <c r="GK16" s="860"/>
      <c r="GL16" s="860"/>
      <c r="GM16" s="860"/>
      <c r="GN16" s="860"/>
      <c r="GO16" s="860"/>
      <c r="GP16" s="860"/>
      <c r="GQ16" s="860"/>
      <c r="GR16" s="1376">
        <v>4330</v>
      </c>
      <c r="GS16" s="1247">
        <v>-0.1316728833273173</v>
      </c>
      <c r="GT16" s="1376">
        <v>4290.1534856085564</v>
      </c>
      <c r="GU16" s="1247">
        <v>-0.13094974565317097</v>
      </c>
      <c r="GV16" s="1376">
        <v>4000</v>
      </c>
      <c r="GW16" s="1247">
        <v>-0.1411885949845415</v>
      </c>
      <c r="GX16" s="1218"/>
      <c r="GY16" s="1376">
        <v>3925</v>
      </c>
      <c r="GZ16" s="1247">
        <v>-0.1178784133048657</v>
      </c>
      <c r="HA16" s="1218"/>
      <c r="HB16" s="1376">
        <v>3750</v>
      </c>
      <c r="HC16" s="1247">
        <v>-0.12721686915235308</v>
      </c>
      <c r="HD16" s="2000"/>
      <c r="HE16" s="1376">
        <v>2925.9011319018186</v>
      </c>
      <c r="HF16" s="1247">
        <v>-0.30029148366610425</v>
      </c>
      <c r="HG16" s="2000"/>
      <c r="HH16" s="1218">
        <v>3480</v>
      </c>
      <c r="HI16" s="1376">
        <v>3300</v>
      </c>
      <c r="HJ16" s="1247">
        <v>-0.14470103413420421</v>
      </c>
      <c r="HK16" s="2000"/>
      <c r="HL16" s="1376">
        <v>3050</v>
      </c>
      <c r="HM16" s="1247">
        <v>-0.18254670204497336</v>
      </c>
      <c r="HN16" s="2000"/>
      <c r="HO16" s="1376">
        <v>3049.4521097625602</v>
      </c>
      <c r="HP16" s="1247">
        <v>-0.16779409170576642</v>
      </c>
      <c r="HQ16" s="2000"/>
      <c r="HR16" s="1376">
        <f>0.825*BY16</f>
        <v>2861.9249999999997</v>
      </c>
    </row>
    <row r="17" spans="1:226" ht="14.25" customHeight="1">
      <c r="A17" s="1132" t="s">
        <v>4644</v>
      </c>
      <c r="B17" s="1682"/>
      <c r="C17" s="1675"/>
      <c r="D17" s="1675"/>
      <c r="E17" s="1675"/>
      <c r="F17" s="1683"/>
      <c r="G17" s="1324"/>
      <c r="H17" s="1246"/>
      <c r="I17" s="1246"/>
      <c r="J17" s="1246"/>
      <c r="K17" s="1238"/>
      <c r="L17" s="1324"/>
      <c r="M17" s="1246"/>
      <c r="N17" s="1246"/>
      <c r="O17" s="1246"/>
      <c r="P17" s="1238"/>
      <c r="Q17" s="1324"/>
      <c r="R17" s="1246"/>
      <c r="S17" s="1246"/>
      <c r="T17" s="1246"/>
      <c r="U17" s="1238"/>
      <c r="V17" s="1324"/>
      <c r="W17" s="1246"/>
      <c r="X17" s="1246"/>
      <c r="Y17" s="1246"/>
      <c r="Z17" s="1238"/>
      <c r="AA17" s="1324"/>
      <c r="AB17" s="1246"/>
      <c r="AC17" s="1246"/>
      <c r="AD17" s="1246"/>
      <c r="AE17" s="1238"/>
      <c r="AF17" s="1324"/>
      <c r="AG17" s="1246"/>
      <c r="AH17" s="1246"/>
      <c r="AI17" s="1246"/>
      <c r="AJ17" s="1238"/>
      <c r="AK17" s="1324"/>
      <c r="AL17" s="1246"/>
      <c r="AM17" s="1246"/>
      <c r="AN17" s="1246"/>
      <c r="AO17" s="1238"/>
      <c r="AP17" s="1324"/>
      <c r="AQ17" s="1246"/>
      <c r="AR17" s="1246"/>
      <c r="AS17" s="1246"/>
      <c r="AT17" s="1238"/>
      <c r="AU17" s="1324"/>
      <c r="AV17" s="1246"/>
      <c r="AW17" s="1246"/>
      <c r="AX17" s="1246"/>
      <c r="AY17" s="1238"/>
      <c r="AZ17" s="1324"/>
      <c r="BA17" s="1246"/>
      <c r="BB17" s="1246"/>
      <c r="BC17" s="1235"/>
      <c r="BD17" s="1238"/>
      <c r="BE17" s="1324"/>
      <c r="BF17" s="1246"/>
      <c r="BG17" s="1246"/>
      <c r="BH17" s="1246"/>
      <c r="BI17" s="1238"/>
      <c r="BJ17" s="1324"/>
      <c r="BK17" s="1246"/>
      <c r="BL17" s="1246"/>
      <c r="BM17" s="1246"/>
      <c r="BN17" s="1238"/>
      <c r="BO17" s="1324"/>
      <c r="BP17" s="1246"/>
      <c r="BQ17" s="1246"/>
      <c r="BR17" s="1246"/>
      <c r="BS17" s="1238"/>
      <c r="BT17" s="1324"/>
      <c r="BU17" s="1246"/>
      <c r="BV17" s="1246"/>
      <c r="BW17" s="1246"/>
      <c r="BX17" s="1238"/>
      <c r="BY17" s="1993">
        <v>988.1</v>
      </c>
      <c r="BZ17" s="2038">
        <f>2123/2</f>
        <v>1061.5</v>
      </c>
      <c r="CA17" s="2038">
        <f>CC17-BY17-BZ17-CB17</f>
        <v>1061.4000000000005</v>
      </c>
      <c r="CB17" s="1993">
        <v>1188.5999999999999</v>
      </c>
      <c r="CC17" s="1758">
        <f>Master!X24</f>
        <v>4299.6000000000004</v>
      </c>
      <c r="CD17" s="1993">
        <v>1284.7</v>
      </c>
      <c r="CE17" s="1991">
        <v>1200</v>
      </c>
      <c r="CF17" s="1991">
        <v>1200</v>
      </c>
      <c r="CG17" s="1991">
        <f>CH17-CD17-CE17-CF17</f>
        <v>1206.0950000000003</v>
      </c>
      <c r="CH17" s="1758">
        <f>Master!Y24</f>
        <v>4890.7950000000001</v>
      </c>
      <c r="CI17" s="1235"/>
      <c r="CJ17" s="1234"/>
      <c r="CK17" s="1242"/>
      <c r="CL17" s="1162"/>
      <c r="CM17" s="1162"/>
      <c r="CN17" s="1162"/>
      <c r="CO17" s="1232"/>
      <c r="CP17" s="1239"/>
      <c r="CQ17" s="1217"/>
      <c r="CR17" s="1217"/>
      <c r="CS17" s="1217"/>
      <c r="CT17" s="1232"/>
      <c r="CU17" s="1239"/>
      <c r="CV17" s="1217"/>
      <c r="CW17" s="1796"/>
      <c r="CX17" s="1796"/>
      <c r="CY17" s="1232"/>
      <c r="CZ17" s="1356"/>
      <c r="DA17" s="1796"/>
      <c r="DB17" s="1796"/>
      <c r="DC17" s="1796"/>
      <c r="DD17" s="1232"/>
      <c r="DE17" s="1239"/>
      <c r="DF17" s="1217"/>
      <c r="DG17" s="1217"/>
      <c r="DH17" s="1217"/>
      <c r="DI17" s="1232"/>
      <c r="DJ17" s="1239"/>
      <c r="DK17" s="1217"/>
      <c r="DL17" s="1217"/>
      <c r="DM17" s="1217"/>
      <c r="DN17" s="1232"/>
      <c r="DO17" s="1239"/>
      <c r="DP17" s="1217"/>
      <c r="DQ17" s="1217"/>
      <c r="DR17" s="1217"/>
      <c r="DS17" s="1232"/>
      <c r="DT17" s="1239"/>
      <c r="DU17" s="1217"/>
      <c r="DV17" s="1217"/>
      <c r="DW17" s="1217"/>
      <c r="DX17" s="1232"/>
      <c r="DY17" s="1239"/>
      <c r="DZ17" s="1217"/>
      <c r="EA17" s="1217"/>
      <c r="EB17" s="1217"/>
      <c r="EC17" s="1232"/>
      <c r="ED17" s="1217"/>
      <c r="EE17" s="1217"/>
      <c r="EF17" s="1217"/>
      <c r="EG17" s="1217"/>
      <c r="EH17" s="860"/>
      <c r="EI17" s="1239"/>
      <c r="EJ17" s="1217"/>
      <c r="EK17" s="1217"/>
      <c r="EL17" s="1217"/>
      <c r="EM17" s="1232"/>
      <c r="EN17" s="1239"/>
      <c r="EO17" s="1217"/>
      <c r="EP17" s="1217"/>
      <c r="EQ17" s="1217"/>
      <c r="ER17" s="1232"/>
      <c r="ES17" s="1217"/>
      <c r="ET17" s="1217"/>
      <c r="EU17" s="1217"/>
      <c r="EV17" s="1217"/>
      <c r="EW17" s="1232"/>
      <c r="EX17" s="1239"/>
      <c r="EY17" s="1217"/>
      <c r="EZ17" s="1217"/>
      <c r="FA17" s="1417">
        <v>-4.2000000000000003E-2</v>
      </c>
      <c r="FB17" s="1754"/>
      <c r="FC17" s="1997">
        <f t="shared" si="24"/>
        <v>0.30017204736362713</v>
      </c>
      <c r="FD17" s="1217">
        <f t="shared" si="24"/>
        <v>0.13047574187470556</v>
      </c>
      <c r="FE17" s="1217">
        <f t="shared" si="24"/>
        <v>0.13058224985867661</v>
      </c>
      <c r="FF17" s="1217">
        <f t="shared" si="24"/>
        <v>1.4718997139492096E-2</v>
      </c>
      <c r="FG17" s="2040">
        <f t="shared" si="24"/>
        <v>0.13749999999999996</v>
      </c>
      <c r="FH17" s="860"/>
      <c r="FI17" s="860"/>
      <c r="FJ17" s="860"/>
      <c r="FY17" s="860"/>
      <c r="FZ17" s="860"/>
      <c r="GA17" s="860"/>
      <c r="GB17" s="860"/>
      <c r="GC17" s="860"/>
      <c r="GD17" s="860"/>
      <c r="GE17" s="860"/>
      <c r="GF17" s="860"/>
      <c r="GG17" s="860"/>
      <c r="GH17" s="860"/>
      <c r="GI17" s="860"/>
      <c r="GJ17" s="860"/>
      <c r="GK17" s="860"/>
      <c r="GL17" s="860"/>
      <c r="GM17" s="860"/>
      <c r="GN17" s="860"/>
      <c r="GO17" s="860"/>
      <c r="GP17" s="860"/>
      <c r="GQ17" s="860"/>
      <c r="GR17" s="1376"/>
      <c r="GS17" s="1247"/>
      <c r="GT17" s="1376"/>
      <c r="GU17" s="1247"/>
      <c r="GV17" s="1376"/>
      <c r="GW17" s="1247"/>
      <c r="GX17" s="1218"/>
      <c r="GY17" s="1376"/>
      <c r="GZ17" s="1247"/>
      <c r="HA17" s="1218"/>
      <c r="HB17" s="1376"/>
      <c r="HC17" s="1247"/>
      <c r="HD17" s="2000"/>
      <c r="HE17" s="1376"/>
      <c r="HF17" s="1247"/>
      <c r="HG17" s="2000"/>
      <c r="HH17" s="1376"/>
      <c r="HI17" s="1376"/>
      <c r="HJ17" s="1247"/>
      <c r="HK17" s="2000"/>
      <c r="HL17" s="1376"/>
      <c r="HM17" s="1247"/>
      <c r="HN17" s="2000"/>
      <c r="HO17" s="1376"/>
      <c r="HP17" s="1247"/>
      <c r="HQ17" s="2000"/>
      <c r="HR17" s="1376"/>
    </row>
    <row r="18" spans="1:226" ht="14.25" customHeight="1">
      <c r="A18" s="1132" t="s">
        <v>195</v>
      </c>
      <c r="B18" s="1682"/>
      <c r="C18" s="1675"/>
      <c r="D18" s="1675"/>
      <c r="E18" s="1675"/>
      <c r="F18" s="1683"/>
      <c r="G18" s="1237">
        <v>907.6</v>
      </c>
      <c r="H18" s="1235">
        <v>927.09999999999991</v>
      </c>
      <c r="I18" s="1235">
        <v>962.1</v>
      </c>
      <c r="J18" s="1235">
        <v>1028.4000000000001</v>
      </c>
      <c r="K18" s="1238">
        <f>+SUM(G18:J18)</f>
        <v>3825.2</v>
      </c>
      <c r="L18" s="1237">
        <v>1117</v>
      </c>
      <c r="M18" s="1235">
        <v>1113.8</v>
      </c>
      <c r="N18" s="1235">
        <v>920.1</v>
      </c>
      <c r="O18" s="1235">
        <v>1060.5</v>
      </c>
      <c r="P18" s="1238">
        <f>+SUM(L18:O18)</f>
        <v>4211.3999999999996</v>
      </c>
      <c r="Q18" s="1237">
        <v>995.1</v>
      </c>
      <c r="R18" s="1235">
        <v>1127.5</v>
      </c>
      <c r="S18" s="1235">
        <v>1085.4000000000001</v>
      </c>
      <c r="T18" s="1235">
        <f>4855-Q18-R18-S18</f>
        <v>1647</v>
      </c>
      <c r="U18" s="1238">
        <f>+SUM(Q18:T18)</f>
        <v>4855</v>
      </c>
      <c r="V18" s="1237">
        <f>1787.5</f>
        <v>1787.5</v>
      </c>
      <c r="W18" s="1235">
        <v>1946.9</v>
      </c>
      <c r="X18" s="1235">
        <v>1936.6</v>
      </c>
      <c r="Y18" s="1235">
        <v>2533.1999999999998</v>
      </c>
      <c r="Z18" s="1238">
        <f>+SUM(V18:Y18)</f>
        <v>8204.2000000000007</v>
      </c>
      <c r="AA18" s="1237">
        <v>1918.4</v>
      </c>
      <c r="AB18" s="1235">
        <v>1896.5</v>
      </c>
      <c r="AC18" s="1235">
        <v>2009</v>
      </c>
      <c r="AD18" s="1235">
        <f>8124.3-AA18-AB18-AC18</f>
        <v>2300.3999999999996</v>
      </c>
      <c r="AE18" s="1238">
        <f>Master!N25</f>
        <v>8124.3</v>
      </c>
      <c r="AF18" s="1237">
        <v>1775.1</v>
      </c>
      <c r="AG18" s="1235">
        <v>2044.7</v>
      </c>
      <c r="AH18" s="1235">
        <v>2225.6999999999998</v>
      </c>
      <c r="AI18" s="1235">
        <v>2783</v>
      </c>
      <c r="AJ18" s="1238">
        <f>Master!O25</f>
        <v>8828.2999999999993</v>
      </c>
      <c r="AK18" s="1237">
        <v>1981.4</v>
      </c>
      <c r="AL18" s="1235">
        <v>2194.6</v>
      </c>
      <c r="AM18" s="1235">
        <v>1970.9</v>
      </c>
      <c r="AN18" s="1235">
        <v>2229.1999999999998</v>
      </c>
      <c r="AO18" s="1238">
        <f>Master!P25</f>
        <v>8376</v>
      </c>
      <c r="AP18" s="1237">
        <v>1778.4</v>
      </c>
      <c r="AQ18" s="1235">
        <v>2312.6</v>
      </c>
      <c r="AR18" s="1235">
        <v>1946.5</v>
      </c>
      <c r="AS18" s="1235">
        <v>2598</v>
      </c>
      <c r="AT18" s="1238">
        <f>Master!Q25</f>
        <v>8636</v>
      </c>
      <c r="AU18" s="1237">
        <v>2260.3000000000002</v>
      </c>
      <c r="AV18" s="1235">
        <v>1946.5</v>
      </c>
      <c r="AW18" s="1235">
        <v>2633.1</v>
      </c>
      <c r="AX18" s="1651">
        <f>1933.9+267.8-267.8</f>
        <v>1933.9000000000003</v>
      </c>
      <c r="AY18" s="1238">
        <f>Master!R25</f>
        <v>8200.2000000000007</v>
      </c>
      <c r="AZ18" s="1324">
        <f>1756.5+147.5</f>
        <v>1904</v>
      </c>
      <c r="BA18" s="1246">
        <v>567.1</v>
      </c>
      <c r="BB18" s="1246">
        <v>782.5</v>
      </c>
      <c r="BC18" s="1235">
        <f>BD18-AZ18-BA18-BB18</f>
        <v>1022.4000000000001</v>
      </c>
      <c r="BD18" s="1238">
        <f>Master!S25</f>
        <v>4276</v>
      </c>
      <c r="BE18" s="1324">
        <v>951.5</v>
      </c>
      <c r="BF18" s="1246">
        <v>1220.2</v>
      </c>
      <c r="BG18" s="1246">
        <v>1409.1</v>
      </c>
      <c r="BH18" s="1246">
        <v>1448.2</v>
      </c>
      <c r="BI18" s="1238">
        <f>Master!T25</f>
        <v>5029.1000000000004</v>
      </c>
      <c r="BJ18" s="1324">
        <v>1661.1</v>
      </c>
      <c r="BK18" s="1246">
        <v>1742.7</v>
      </c>
      <c r="BL18" s="1246">
        <v>1932.7</v>
      </c>
      <c r="BM18" s="1246">
        <v>2002.3</v>
      </c>
      <c r="BN18" s="1238">
        <f>Master!U25</f>
        <v>7338.8</v>
      </c>
      <c r="BO18" s="1324">
        <v>1850.3</v>
      </c>
      <c r="BP18" s="1246">
        <v>1917.6</v>
      </c>
      <c r="BQ18" s="1246">
        <v>1974.7</v>
      </c>
      <c r="BR18" s="1246">
        <v>2127.8000000000002</v>
      </c>
      <c r="BS18" s="1238">
        <f>Master!V25</f>
        <v>7870.6</v>
      </c>
      <c r="BT18" s="1324">
        <v>0</v>
      </c>
      <c r="BU18" s="1246">
        <v>0</v>
      </c>
      <c r="BV18" s="1246">
        <v>0</v>
      </c>
      <c r="BW18" s="1246">
        <v>0</v>
      </c>
      <c r="BX18" s="1238">
        <f>Master!W25</f>
        <v>0</v>
      </c>
      <c r="BY18" s="1994">
        <v>0</v>
      </c>
      <c r="BZ18" s="1246">
        <v>0</v>
      </c>
      <c r="CA18" s="1246">
        <v>0</v>
      </c>
      <c r="CB18" s="1993">
        <v>0</v>
      </c>
      <c r="CC18" s="1758">
        <f>Master!X25</f>
        <v>0</v>
      </c>
      <c r="CD18" s="1994">
        <v>0</v>
      </c>
      <c r="CE18" s="1991">
        <v>0</v>
      </c>
      <c r="CF18" s="1991">
        <v>0</v>
      </c>
      <c r="CG18" s="1991">
        <f>CH18-CD18-CE18-CF18</f>
        <v>0</v>
      </c>
      <c r="CH18" s="1758">
        <f>Master!Y25</f>
        <v>0</v>
      </c>
      <c r="CI18" s="1235"/>
      <c r="CJ18" s="860"/>
      <c r="CK18" s="1242">
        <f t="shared" si="10"/>
        <v>0.23071837814014984</v>
      </c>
      <c r="CL18" s="1162">
        <f t="shared" si="10"/>
        <v>0.20138064933664124</v>
      </c>
      <c r="CM18" s="1162">
        <f t="shared" si="10"/>
        <v>-4.3654505768631169E-2</v>
      </c>
      <c r="CN18" s="1162">
        <f t="shared" si="10"/>
        <v>3.1213535589264874E-2</v>
      </c>
      <c r="CO18" s="1232"/>
      <c r="CP18" s="1242">
        <f t="shared" si="11"/>
        <v>-0.10913160250671439</v>
      </c>
      <c r="CQ18" s="1162">
        <f t="shared" si="11"/>
        <v>1.2300233435087238E-2</v>
      </c>
      <c r="CR18" s="1162">
        <f t="shared" si="11"/>
        <v>0.17965438539289225</v>
      </c>
      <c r="CS18" s="1162">
        <f t="shared" si="11"/>
        <v>0.55304101838755315</v>
      </c>
      <c r="CT18" s="1232"/>
      <c r="CU18" s="1242">
        <f t="shared" si="13"/>
        <v>0.79630187920811979</v>
      </c>
      <c r="CV18" s="1162">
        <f t="shared" si="13"/>
        <v>0.72674057649667412</v>
      </c>
      <c r="CW18" s="1162">
        <f>X18/S18-1</f>
        <v>0.78422701308273424</v>
      </c>
      <c r="CX18" s="1162">
        <f>Y18/T18-1</f>
        <v>0.53806921675774122</v>
      </c>
      <c r="CY18" s="1232"/>
      <c r="CZ18" s="1242">
        <f>AA18/V18-1</f>
        <v>7.323076923076921E-2</v>
      </c>
      <c r="DA18" s="1162">
        <f>AB18/W18-1</f>
        <v>-2.5887308028147316E-2</v>
      </c>
      <c r="DB18" s="1162">
        <f>AC18/X18-1</f>
        <v>3.7385107921098948E-2</v>
      </c>
      <c r="DC18" s="1162">
        <f>AD18/Y18-1</f>
        <v>-9.1899573661771705E-2</v>
      </c>
      <c r="DD18" s="1232"/>
      <c r="DE18" s="1242">
        <f t="shared" si="14"/>
        <v>-7.4697664720600576E-2</v>
      </c>
      <c r="DF18" s="1162">
        <f t="shared" si="14"/>
        <v>7.8143949380437672E-2</v>
      </c>
      <c r="DG18" s="1162">
        <f t="shared" si="14"/>
        <v>0.1078646092583373</v>
      </c>
      <c r="DH18" s="1162">
        <f t="shared" si="14"/>
        <v>0.20978960180838135</v>
      </c>
      <c r="DI18" s="1232"/>
      <c r="DJ18" s="1242">
        <f t="shared" si="15"/>
        <v>0.11621880457439038</v>
      </c>
      <c r="DK18" s="1162">
        <f t="shared" si="15"/>
        <v>7.3311488237883138E-2</v>
      </c>
      <c r="DL18" s="1162">
        <f t="shared" si="15"/>
        <v>-0.11448083748932913</v>
      </c>
      <c r="DM18" s="1162">
        <f t="shared" si="15"/>
        <v>-0.19899389148401014</v>
      </c>
      <c r="DN18" s="1232"/>
      <c r="DO18" s="1242">
        <f t="shared" si="16"/>
        <v>-0.1024528111436358</v>
      </c>
      <c r="DP18" s="1162">
        <f t="shared" si="16"/>
        <v>5.376834047206791E-2</v>
      </c>
      <c r="DQ18" s="1162">
        <f t="shared" si="16"/>
        <v>-1.2380130904662945E-2</v>
      </c>
      <c r="DR18" s="1162">
        <f t="shared" si="16"/>
        <v>0.16544051677731941</v>
      </c>
      <c r="DS18" s="1232"/>
      <c r="DT18" s="1242">
        <f t="shared" si="17"/>
        <v>0.27097390913180397</v>
      </c>
      <c r="DU18" s="1162">
        <f t="shared" si="17"/>
        <v>-0.15830666781976988</v>
      </c>
      <c r="DV18" s="1162">
        <f t="shared" si="17"/>
        <v>0.35273567942460815</v>
      </c>
      <c r="DW18" s="1162">
        <f t="shared" si="17"/>
        <v>-0.25561970746728235</v>
      </c>
      <c r="DX18" s="1232"/>
      <c r="DY18" s="1242">
        <f t="shared" si="18"/>
        <v>-0.15763394239702699</v>
      </c>
      <c r="DZ18" s="1162">
        <f t="shared" si="18"/>
        <v>-0.70865656306190594</v>
      </c>
      <c r="EA18" s="1162">
        <f t="shared" si="18"/>
        <v>-0.70282176901750781</v>
      </c>
      <c r="EB18" s="1162">
        <f t="shared" si="18"/>
        <v>-0.47132736956409327</v>
      </c>
      <c r="EC18" s="1232"/>
      <c r="ED18" s="1162">
        <f t="shared" si="19"/>
        <v>-0.50026260504201681</v>
      </c>
      <c r="EE18" s="1162">
        <f t="shared" si="19"/>
        <v>1.1516487391994357</v>
      </c>
      <c r="EF18" s="1162">
        <f t="shared" si="19"/>
        <v>0.80076677316293909</v>
      </c>
      <c r="EG18" s="1162">
        <f t="shared" si="19"/>
        <v>0.41647104851330186</v>
      </c>
      <c r="EH18" s="860"/>
      <c r="EI18" s="1242">
        <f t="shared" si="20"/>
        <v>0.74576983709931688</v>
      </c>
      <c r="EJ18" s="1162">
        <f t="shared" si="20"/>
        <v>0.42820849041140785</v>
      </c>
      <c r="EK18" s="1162">
        <f t="shared" si="20"/>
        <v>0.3715846994535521</v>
      </c>
      <c r="EL18" s="1162">
        <f t="shared" si="20"/>
        <v>0.38261289877088789</v>
      </c>
      <c r="EM18" s="1232"/>
      <c r="EN18" s="1242">
        <f t="shared" si="21"/>
        <v>0.11390042742760831</v>
      </c>
      <c r="EO18" s="1162">
        <f t="shared" si="21"/>
        <v>0.10036150800482013</v>
      </c>
      <c r="EP18" s="1162">
        <f t="shared" si="21"/>
        <v>2.1731256791017728E-2</v>
      </c>
      <c r="EQ18" s="1162">
        <f t="shared" si="21"/>
        <v>6.2677920391549735E-2</v>
      </c>
      <c r="ER18" s="1232"/>
      <c r="ES18" s="1162"/>
      <c r="ET18" s="1162"/>
      <c r="EU18" s="1162"/>
      <c r="EV18" s="1162"/>
      <c r="EW18" s="1232"/>
      <c r="EX18" s="1242"/>
      <c r="EY18" s="1162"/>
      <c r="EZ18" s="1162"/>
      <c r="FA18" s="1162"/>
      <c r="FB18" s="1754"/>
      <c r="FC18" s="1242"/>
      <c r="FD18" s="1162"/>
      <c r="FE18" s="1162"/>
      <c r="FF18" s="1162"/>
      <c r="FG18" s="1756"/>
      <c r="FH18" s="860"/>
      <c r="FI18" s="860"/>
      <c r="FJ18" s="860"/>
      <c r="FY18" s="860"/>
      <c r="FZ18" s="860"/>
      <c r="GA18" s="860"/>
      <c r="GB18" s="860"/>
      <c r="GC18" s="860"/>
      <c r="GD18" s="860"/>
      <c r="GE18" s="860"/>
      <c r="GF18" s="860"/>
      <c r="GG18" s="860"/>
      <c r="GH18" s="860"/>
      <c r="GI18" s="860"/>
      <c r="GJ18" s="860"/>
      <c r="GK18" s="860"/>
      <c r="GL18" s="860"/>
      <c r="GM18" s="860"/>
      <c r="GN18" s="860"/>
      <c r="GO18" s="860"/>
      <c r="GP18" s="860"/>
      <c r="GQ18" s="860"/>
      <c r="GR18" s="1376">
        <v>2075</v>
      </c>
      <c r="GS18" s="1241">
        <v>7.3627567651471937E-2</v>
      </c>
      <c r="GT18" s="1376">
        <v>2107.3999999999996</v>
      </c>
      <c r="GU18" s="1241">
        <v>5.2489636917544713E-2</v>
      </c>
      <c r="GV18" s="1376">
        <v>450</v>
      </c>
      <c r="GW18" s="1241">
        <v>-0.75679619521158736</v>
      </c>
      <c r="GX18" s="1218"/>
      <c r="GY18" s="1376">
        <v>0</v>
      </c>
      <c r="GZ18" s="1241">
        <v>-1</v>
      </c>
      <c r="HA18" s="1218"/>
      <c r="HB18" s="1376">
        <v>0</v>
      </c>
      <c r="HC18" s="1241"/>
      <c r="HD18" s="2000"/>
      <c r="HE18" s="1376">
        <v>0</v>
      </c>
      <c r="HF18" s="1241"/>
      <c r="HG18" s="2000"/>
      <c r="HH18" s="1376"/>
      <c r="HI18" s="1376">
        <v>0</v>
      </c>
      <c r="HJ18" s="1241"/>
      <c r="HK18" s="2000"/>
      <c r="HL18" s="1376">
        <v>0</v>
      </c>
      <c r="HM18" s="1241"/>
      <c r="HN18" s="2000"/>
      <c r="HO18" s="1376">
        <v>0</v>
      </c>
      <c r="HP18" s="1241"/>
      <c r="HQ18" s="2000"/>
      <c r="HR18" s="1376">
        <v>0</v>
      </c>
    </row>
    <row r="19" spans="1:226" ht="14.25" customHeight="1">
      <c r="A19" s="1270" t="s">
        <v>196</v>
      </c>
      <c r="B19" s="1684"/>
      <c r="C19" s="1363"/>
      <c r="D19" s="1363"/>
      <c r="E19" s="1363"/>
      <c r="F19" s="1685"/>
      <c r="G19" s="1357">
        <f t="shared" ref="G19:AL19" si="25">+SUM(G7,G12:G18)</f>
        <v>13472.399999999998</v>
      </c>
      <c r="H19" s="1272">
        <f t="shared" si="25"/>
        <v>15431.2</v>
      </c>
      <c r="I19" s="1272">
        <f t="shared" si="25"/>
        <v>16296.800000000001</v>
      </c>
      <c r="J19" s="1272">
        <f t="shared" si="25"/>
        <v>18616.800000000003</v>
      </c>
      <c r="K19" s="1256">
        <f t="shared" si="25"/>
        <v>63817.2</v>
      </c>
      <c r="L19" s="1357">
        <f t="shared" si="25"/>
        <v>15440.5</v>
      </c>
      <c r="M19" s="1272">
        <f t="shared" si="25"/>
        <v>17305.099999999999</v>
      </c>
      <c r="N19" s="1272">
        <f t="shared" si="25"/>
        <v>17711.499999999996</v>
      </c>
      <c r="O19" s="1272">
        <f t="shared" si="25"/>
        <v>20127</v>
      </c>
      <c r="P19" s="1256">
        <f t="shared" si="25"/>
        <v>70584.099999999991</v>
      </c>
      <c r="Q19" s="1357">
        <f t="shared" si="25"/>
        <v>15812.9</v>
      </c>
      <c r="R19" s="1272">
        <f t="shared" si="25"/>
        <v>18397.2</v>
      </c>
      <c r="S19" s="1272">
        <f t="shared" si="25"/>
        <v>19129.100000000002</v>
      </c>
      <c r="T19" s="1272">
        <f t="shared" si="25"/>
        <v>21791.7</v>
      </c>
      <c r="U19" s="1256">
        <f t="shared" si="25"/>
        <v>75130.900000000009</v>
      </c>
      <c r="V19" s="1357">
        <f t="shared" si="25"/>
        <v>17229.100000000002</v>
      </c>
      <c r="W19" s="1272">
        <f t="shared" si="25"/>
        <v>19807.372350000005</v>
      </c>
      <c r="X19" s="1272">
        <f t="shared" si="25"/>
        <v>20091.327649999999</v>
      </c>
      <c r="Y19" s="1272">
        <f t="shared" si="25"/>
        <v>24380.2</v>
      </c>
      <c r="Z19" s="1256">
        <f t="shared" si="25"/>
        <v>81508</v>
      </c>
      <c r="AA19" s="1357">
        <f t="shared" si="25"/>
        <v>20275.600000000002</v>
      </c>
      <c r="AB19" s="1272">
        <f t="shared" si="25"/>
        <v>21453.7</v>
      </c>
      <c r="AC19" s="1272">
        <f t="shared" si="25"/>
        <v>22824</v>
      </c>
      <c r="AD19" s="1272">
        <f t="shared" si="25"/>
        <v>25645.399999999994</v>
      </c>
      <c r="AE19" s="1256">
        <f t="shared" si="25"/>
        <v>90198.7</v>
      </c>
      <c r="AF19" s="1357">
        <f t="shared" si="25"/>
        <v>22272.199999999997</v>
      </c>
      <c r="AG19" s="1272">
        <f t="shared" si="25"/>
        <v>24220.5</v>
      </c>
      <c r="AH19" s="1272">
        <f t="shared" si="25"/>
        <v>24562.799999999999</v>
      </c>
      <c r="AI19" s="1272">
        <f t="shared" si="25"/>
        <v>28292.5</v>
      </c>
      <c r="AJ19" s="1256">
        <f t="shared" si="25"/>
        <v>99347.799999999988</v>
      </c>
      <c r="AK19" s="1357">
        <f t="shared" si="25"/>
        <v>22909</v>
      </c>
      <c r="AL19" s="1272">
        <f t="shared" si="25"/>
        <v>23949.1</v>
      </c>
      <c r="AM19" s="1272">
        <f t="shared" ref="AM19:BR19" si="26">+SUM(AM7,AM12:AM18)</f>
        <v>23763.600000000002</v>
      </c>
      <c r="AN19" s="1272">
        <f t="shared" si="26"/>
        <v>26996.699999999997</v>
      </c>
      <c r="AO19" s="1256">
        <f t="shared" si="26"/>
        <v>97618</v>
      </c>
      <c r="AP19" s="1357">
        <f t="shared" si="26"/>
        <v>23821.7</v>
      </c>
      <c r="AQ19" s="1272">
        <f t="shared" si="26"/>
        <v>27768.5</v>
      </c>
      <c r="AR19" s="1272">
        <f t="shared" si="26"/>
        <v>26283.8</v>
      </c>
      <c r="AS19" s="1272">
        <f t="shared" si="26"/>
        <v>28220.400000000001</v>
      </c>
      <c r="AT19" s="1256">
        <f t="shared" si="26"/>
        <v>106122</v>
      </c>
      <c r="AU19" s="1357">
        <f t="shared" si="26"/>
        <v>24624.899999999998</v>
      </c>
      <c r="AV19" s="1272">
        <f t="shared" si="26"/>
        <v>25560.300000000003</v>
      </c>
      <c r="AW19" s="1272">
        <f t="shared" si="26"/>
        <v>27202.799999999999</v>
      </c>
      <c r="AX19" s="1272">
        <f t="shared" si="26"/>
        <v>29495.700000000004</v>
      </c>
      <c r="AY19" s="1256">
        <f t="shared" si="26"/>
        <v>106044.59999999999</v>
      </c>
      <c r="AZ19" s="1357">
        <f t="shared" si="26"/>
        <v>24861.600000000002</v>
      </c>
      <c r="BA19" s="1272">
        <f t="shared" si="26"/>
        <v>24131.199999999997</v>
      </c>
      <c r="BB19" s="1272">
        <f t="shared" si="26"/>
        <v>25821.699999999997</v>
      </c>
      <c r="BC19" s="1272">
        <f t="shared" si="26"/>
        <v>29576.300000000003</v>
      </c>
      <c r="BD19" s="1256">
        <f t="shared" si="26"/>
        <v>104390.8</v>
      </c>
      <c r="BE19" s="1357">
        <f t="shared" si="26"/>
        <v>25668.799999999999</v>
      </c>
      <c r="BF19" s="1272">
        <f t="shared" si="26"/>
        <v>26627.899999999998</v>
      </c>
      <c r="BG19" s="1272">
        <f t="shared" si="26"/>
        <v>28044.9</v>
      </c>
      <c r="BH19" s="1272">
        <f t="shared" si="26"/>
        <v>30676</v>
      </c>
      <c r="BI19" s="1256">
        <f t="shared" si="26"/>
        <v>111018.5</v>
      </c>
      <c r="BJ19" s="1357">
        <f t="shared" si="26"/>
        <v>18741.3</v>
      </c>
      <c r="BK19" s="1272">
        <f t="shared" si="26"/>
        <v>18632.8</v>
      </c>
      <c r="BL19" s="1272">
        <f t="shared" si="26"/>
        <v>19313.3</v>
      </c>
      <c r="BM19" s="1272">
        <f t="shared" si="26"/>
        <v>19402.2</v>
      </c>
      <c r="BN19" s="1256">
        <f t="shared" si="26"/>
        <v>76089.600000000006</v>
      </c>
      <c r="BO19" s="1357">
        <f t="shared" si="26"/>
        <v>18630.600000000002</v>
      </c>
      <c r="BP19" s="1272">
        <f t="shared" si="26"/>
        <v>18658.599999999999</v>
      </c>
      <c r="BQ19" s="1272">
        <f t="shared" si="26"/>
        <v>18419.2</v>
      </c>
      <c r="BR19" s="1272">
        <f t="shared" si="26"/>
        <v>18549.8</v>
      </c>
      <c r="BS19" s="1256">
        <f t="shared" ref="BS19" si="27">+SUM(BS7,BS12:BS18)</f>
        <v>74258.3</v>
      </c>
      <c r="BT19" s="1357">
        <f>BT16+BT14</f>
        <v>15992.300000000001</v>
      </c>
      <c r="BU19" s="1272">
        <f>BU16+BU14</f>
        <v>15763.099999999999</v>
      </c>
      <c r="BV19" s="1272">
        <f>BV16+BV14</f>
        <v>15406.5</v>
      </c>
      <c r="BW19" s="1272">
        <f>BW16+BW14</f>
        <v>15568.5</v>
      </c>
      <c r="BX19" s="1256">
        <f>BX16+BX14</f>
        <v>62427.7</v>
      </c>
      <c r="BY19" s="1995">
        <f>BY15+BY16+BY17+BY18</f>
        <v>14973.6</v>
      </c>
      <c r="BZ19" s="1272">
        <f>BZ16+BZ14</f>
        <v>14831.5</v>
      </c>
      <c r="CA19" s="1272">
        <f>CA16+CA14</f>
        <v>14730.8</v>
      </c>
      <c r="CB19" s="1998">
        <f>CB15+CB16+CB17+CB18</f>
        <v>14548.2</v>
      </c>
      <c r="CC19" s="1787">
        <f>CC16+CC14</f>
        <v>58966.1</v>
      </c>
      <c r="CD19" s="1995">
        <f>CD15+CD16+CD17+CD18</f>
        <v>14512.5</v>
      </c>
      <c r="CE19" s="1272">
        <f>CE15+CE16+CE17+CE18</f>
        <v>14350</v>
      </c>
      <c r="CF19" s="1272">
        <f t="shared" ref="CF19:CG19" si="28">CF15+CF16+CF17+CF18</f>
        <v>14175</v>
      </c>
      <c r="CG19" s="1272">
        <f t="shared" si="28"/>
        <v>14044.582599999994</v>
      </c>
      <c r="CH19" s="1787">
        <f>CH15+CH16+CH17+CH18</f>
        <v>57082.082599999994</v>
      </c>
      <c r="CI19" s="1248"/>
      <c r="CJ19" s="860"/>
      <c r="CK19" s="1364">
        <f t="shared" si="10"/>
        <v>0.14608384549152365</v>
      </c>
      <c r="CL19" s="1365">
        <f t="shared" si="10"/>
        <v>0.12143579242055047</v>
      </c>
      <c r="CM19" s="1365">
        <f t="shared" si="10"/>
        <v>8.680845319326469E-2</v>
      </c>
      <c r="CN19" s="1365">
        <f t="shared" si="10"/>
        <v>8.1120278458166606E-2</v>
      </c>
      <c r="CO19" s="1366">
        <f>P19/K19-1</f>
        <v>0.10603567690215177</v>
      </c>
      <c r="CP19" s="1364">
        <f t="shared" si="11"/>
        <v>2.4118389948512009E-2</v>
      </c>
      <c r="CQ19" s="1365">
        <f t="shared" si="11"/>
        <v>6.3108563371491844E-2</v>
      </c>
      <c r="CR19" s="1365">
        <f t="shared" si="11"/>
        <v>8.003839313440464E-2</v>
      </c>
      <c r="CS19" s="1365">
        <f t="shared" si="11"/>
        <v>8.2709792815620853E-2</v>
      </c>
      <c r="CT19" s="1366">
        <f>U19/P19-1</f>
        <v>6.4416773749329082E-2</v>
      </c>
      <c r="CU19" s="1364">
        <f t="shared" si="13"/>
        <v>8.9559789791878952E-2</v>
      </c>
      <c r="CV19" s="1365">
        <f t="shared" si="13"/>
        <v>7.6651465983954337E-2</v>
      </c>
      <c r="CW19" s="1367">
        <f>(X19-X305)/S19-1</f>
        <v>3.3066252463523904E-2</v>
      </c>
      <c r="CX19" s="1367">
        <f>(Y19-Y305)/T19-1</f>
        <v>7.1059164727855118E-2</v>
      </c>
      <c r="CY19" s="1232"/>
      <c r="CZ19" s="1368">
        <f>(AA19-1545)/V19-1</f>
        <v>8.7149067565920335E-2</v>
      </c>
      <c r="DA19" s="1369">
        <f>(AB19-1598.5)/W19-1</f>
        <v>2.4146388099779426E-3</v>
      </c>
      <c r="DB19" s="1369">
        <f>(AC19-1632)/X19-1</f>
        <v>5.4783455288481164E-2</v>
      </c>
      <c r="DC19" s="1369">
        <f>(AD19-559.7)/Y19-1</f>
        <v>2.8937416428084894E-2</v>
      </c>
      <c r="DD19" s="1232"/>
      <c r="DE19" s="1370">
        <f>(AF19)/AA19-1</f>
        <v>9.8473041488291058E-2</v>
      </c>
      <c r="DF19" s="1371">
        <f>(AG19)/AB19-1</f>
        <v>0.12896609908780299</v>
      </c>
      <c r="DG19" s="1371">
        <f>(AH19)/AC19-1</f>
        <v>7.6182965299684602E-2</v>
      </c>
      <c r="DH19" s="1371">
        <f>(AI19)/AD19-1</f>
        <v>0.10321929078899172</v>
      </c>
      <c r="DI19" s="1232"/>
      <c r="DJ19" s="1372">
        <f>(AK19)/AF19-1</f>
        <v>2.8591697272833505E-2</v>
      </c>
      <c r="DK19" s="1371">
        <f>(AL19)/AG19-1</f>
        <v>-1.1205383869036578E-2</v>
      </c>
      <c r="DL19" s="1371">
        <f>(AM19)/AH19-1</f>
        <v>-3.2537007181591582E-2</v>
      </c>
      <c r="DM19" s="1371">
        <f>(AN19)/AI19-1</f>
        <v>-4.5800123707696483E-2</v>
      </c>
      <c r="DN19" s="1232"/>
      <c r="DO19" s="1372">
        <f t="shared" si="16"/>
        <v>3.9840237461259864E-2</v>
      </c>
      <c r="DP19" s="1371">
        <f t="shared" si="16"/>
        <v>0.15947989694811082</v>
      </c>
      <c r="DQ19" s="1371">
        <f t="shared" si="16"/>
        <v>0.10605295493948708</v>
      </c>
      <c r="DR19" s="1371">
        <f t="shared" si="16"/>
        <v>4.5327762282056927E-2</v>
      </c>
      <c r="DS19" s="1232"/>
      <c r="DT19" s="1372">
        <f t="shared" si="17"/>
        <v>3.3717157045886514E-2</v>
      </c>
      <c r="DU19" s="1371">
        <f t="shared" si="17"/>
        <v>-7.9521760267929342E-2</v>
      </c>
      <c r="DV19" s="1371">
        <f t="shared" si="17"/>
        <v>3.4964502849664125E-2</v>
      </c>
      <c r="DW19" s="1371">
        <f t="shared" si="17"/>
        <v>4.5190713101161073E-2</v>
      </c>
      <c r="DX19" s="1232"/>
      <c r="DY19" s="1372">
        <f t="shared" si="18"/>
        <v>9.6122217755201245E-3</v>
      </c>
      <c r="DZ19" s="1371">
        <f t="shared" si="18"/>
        <v>-5.5910924363172798E-2</v>
      </c>
      <c r="EA19" s="1371">
        <f t="shared" si="18"/>
        <v>-5.0770508918199675E-2</v>
      </c>
      <c r="EB19" s="1371">
        <f t="shared" si="18"/>
        <v>2.7326017012647696E-3</v>
      </c>
      <c r="EC19" s="1232"/>
      <c r="ED19" s="1371">
        <f t="shared" si="19"/>
        <v>3.2467741416481566E-2</v>
      </c>
      <c r="EE19" s="1371">
        <f t="shared" si="19"/>
        <v>0.10346356584007421</v>
      </c>
      <c r="EF19" s="1371">
        <f t="shared" si="19"/>
        <v>8.6098126769345251E-2</v>
      </c>
      <c r="EG19" s="1371">
        <f t="shared" si="19"/>
        <v>3.7181797587933385E-2</v>
      </c>
      <c r="EH19" s="860"/>
      <c r="EI19" s="1372">
        <f t="shared" si="20"/>
        <v>-0.26988016580440066</v>
      </c>
      <c r="EJ19" s="1371">
        <f t="shared" si="20"/>
        <v>-0.30025274242429933</v>
      </c>
      <c r="EK19" s="1371">
        <f t="shared" si="20"/>
        <v>-0.31134359544872692</v>
      </c>
      <c r="EL19" s="1371">
        <f t="shared" si="20"/>
        <v>-0.36751206154648586</v>
      </c>
      <c r="EM19" s="1232"/>
      <c r="EN19" s="1372">
        <f t="shared" si="21"/>
        <v>-5.9067407276974793E-3</v>
      </c>
      <c r="EO19" s="1371">
        <f t="shared" si="21"/>
        <v>1.3846550169593907E-3</v>
      </c>
      <c r="EP19" s="1371">
        <f t="shared" si="21"/>
        <v>-4.6294522427549833E-2</v>
      </c>
      <c r="EQ19" s="1371">
        <f t="shared" si="21"/>
        <v>-4.393316221871757E-2</v>
      </c>
      <c r="ER19" s="1232"/>
      <c r="ES19" s="1416">
        <v>-4.7E-2</v>
      </c>
      <c r="ET19" s="1371">
        <f>BU19/(BP19-BP18)-1</f>
        <v>-5.8413475897497236E-2</v>
      </c>
      <c r="EU19" s="1371">
        <f>BV19/(BQ19-BQ18)-1</f>
        <v>-6.3121408373620347E-2</v>
      </c>
      <c r="EV19" s="1371">
        <f>BW19/(BR19-BR18)-1</f>
        <v>-5.1972963098282809E-2</v>
      </c>
      <c r="EW19" s="1232"/>
      <c r="EX19" s="1372">
        <f>BY19/(BT19)-1</f>
        <v>-6.3699405338819348E-2</v>
      </c>
      <c r="EY19" s="1371">
        <f>BZ19/(BU19)-1</f>
        <v>-5.9100050117045444E-2</v>
      </c>
      <c r="EZ19" s="1371">
        <f>CA19/(BV19)-1</f>
        <v>-4.3858111835913483E-2</v>
      </c>
      <c r="FA19" s="1416">
        <f>CB19/(15226.4)-1</f>
        <v>-4.4541060263752374E-2</v>
      </c>
      <c r="FB19" s="1754"/>
      <c r="FC19" s="1996">
        <f>CD19/(BY19)-1</f>
        <v>-3.0794197788107103E-2</v>
      </c>
      <c r="FD19" s="1257">
        <f t="shared" si="24"/>
        <v>-3.2464686646664243E-2</v>
      </c>
      <c r="FE19" s="1257">
        <f t="shared" ref="FE19" si="29">CF19/CA19-1</f>
        <v>-3.7730469492491925E-2</v>
      </c>
      <c r="FF19" s="1257">
        <f t="shared" ref="FF19" si="30">CG19/CB19-1</f>
        <v>-3.4617162260623724E-2</v>
      </c>
      <c r="FG19" s="2041"/>
      <c r="FH19" s="860"/>
      <c r="FI19" s="860"/>
      <c r="FJ19" s="860"/>
      <c r="FY19" s="860"/>
      <c r="FZ19" s="860"/>
      <c r="GA19" s="860"/>
      <c r="GB19" s="860"/>
      <c r="GC19" s="860"/>
      <c r="GD19" s="860"/>
      <c r="GE19" s="860"/>
      <c r="GF19" s="860"/>
      <c r="GG19" s="860"/>
      <c r="GH19" s="860"/>
      <c r="GI19" s="860"/>
      <c r="GJ19" s="860"/>
      <c r="GK19" s="860"/>
      <c r="GL19" s="860"/>
      <c r="GM19" s="860"/>
      <c r="GN19" s="860"/>
      <c r="GO19" s="860"/>
      <c r="GP19" s="860"/>
      <c r="GQ19" s="860"/>
      <c r="GR19" s="2004">
        <v>18955.089999999997</v>
      </c>
      <c r="GS19" s="1630">
        <v>-1.854732231156786E-2</v>
      </c>
      <c r="GT19" s="2004">
        <v>18973.430485608558</v>
      </c>
      <c r="GU19" s="1249">
        <v>-2.2099015286485169E-2</v>
      </c>
      <c r="GV19" s="2004">
        <v>16650</v>
      </c>
      <c r="GW19" s="1630">
        <v>-0.10630897555634289</v>
      </c>
      <c r="GX19" s="1218"/>
      <c r="GY19" s="2004">
        <v>15975</v>
      </c>
      <c r="GZ19" s="1630">
        <v>-4.5755928558628534E-2</v>
      </c>
      <c r="HA19" s="1218"/>
      <c r="HB19" s="2004">
        <v>15850</v>
      </c>
      <c r="HC19" s="1630">
        <v>-0.13948488533703962</v>
      </c>
      <c r="HD19" s="2000"/>
      <c r="HE19" s="2004">
        <v>14897.432381901817</v>
      </c>
      <c r="HF19" s="1249">
        <v>-9.2836902819277922E-2</v>
      </c>
      <c r="HG19" s="2000"/>
      <c r="HH19" s="2004">
        <f>HH16+HH14</f>
        <v>15070</v>
      </c>
      <c r="HI19" s="2004">
        <v>14847.655999999999</v>
      </c>
      <c r="HJ19" s="1630">
        <v>-5.8075124816818979E-2</v>
      </c>
      <c r="HK19" s="2000"/>
      <c r="HL19" s="2004">
        <v>14650</v>
      </c>
      <c r="HM19" s="1630">
        <v>-4.9102651478272197E-2</v>
      </c>
      <c r="HN19" s="2000"/>
      <c r="HO19" s="2004">
        <v>14912.05710976256</v>
      </c>
      <c r="HP19" s="1249">
        <v>-4.2164812938782825E-2</v>
      </c>
      <c r="HQ19" s="2000"/>
      <c r="HR19" s="2005">
        <v>14512.5</v>
      </c>
    </row>
    <row r="20" spans="1:226" ht="14.25" customHeight="1">
      <c r="A20" s="1132" t="s">
        <v>197</v>
      </c>
      <c r="B20" s="1686"/>
      <c r="C20" s="1687"/>
      <c r="D20" s="1687"/>
      <c r="E20" s="1687"/>
      <c r="F20" s="1688"/>
      <c r="G20" s="1250">
        <v>-272.8</v>
      </c>
      <c r="H20" s="1251">
        <v>-305.5</v>
      </c>
      <c r="I20" s="1251">
        <v>-333.3</v>
      </c>
      <c r="J20" s="1251">
        <v>-324.10000000000002</v>
      </c>
      <c r="K20" s="1252">
        <f>+SUM(G20:J20)</f>
        <v>-1235.6999999999998</v>
      </c>
      <c r="L20" s="1250">
        <v>-283.89999999999998</v>
      </c>
      <c r="M20" s="1251">
        <v>-321.3</v>
      </c>
      <c r="N20" s="1251">
        <v>-354</v>
      </c>
      <c r="O20" s="1235">
        <v>-334.5</v>
      </c>
      <c r="P20" s="1252">
        <f>+SUM(L20:O20)</f>
        <v>-1293.7</v>
      </c>
      <c r="Q20" s="1250">
        <v>-293.5</v>
      </c>
      <c r="R20" s="1251">
        <v>-332.3</v>
      </c>
      <c r="S20" s="1251">
        <f>S21-S19</f>
        <v>-366.00000000000364</v>
      </c>
      <c r="T20" s="1251">
        <f>-1337.3-Q20-R20-S20</f>
        <v>-345.49999999999636</v>
      </c>
      <c r="U20" s="1252">
        <f>+SUM(Q20:T20)</f>
        <v>-1337.3</v>
      </c>
      <c r="V20" s="1250">
        <v>-305.10000000000002</v>
      </c>
      <c r="W20" s="1251">
        <v>-344.9</v>
      </c>
      <c r="X20" s="1251">
        <v>-380.6</v>
      </c>
      <c r="Y20" s="1251">
        <f>Y21-Y19</f>
        <v>-359.00000000001091</v>
      </c>
      <c r="Z20" s="1252">
        <f>+SUM(V20:Y20)</f>
        <v>-1389.6000000000108</v>
      </c>
      <c r="AA20" s="1250">
        <f>19859.4-AA19</f>
        <v>-416.20000000000073</v>
      </c>
      <c r="AB20" s="1251">
        <v>-468</v>
      </c>
      <c r="AC20" s="1251">
        <v>-567.5</v>
      </c>
      <c r="AD20" s="1251">
        <f>-2146.9-AA20-AB20-AC20</f>
        <v>-695.19999999999936</v>
      </c>
      <c r="AE20" s="1238">
        <f>Master!N27</f>
        <v>-2146.9</v>
      </c>
      <c r="AF20" s="1515">
        <v>-531.20000000000005</v>
      </c>
      <c r="AG20" s="1516">
        <v>-697</v>
      </c>
      <c r="AH20" s="1516">
        <v>-840.7</v>
      </c>
      <c r="AI20" s="1516">
        <f>-3060.4-AF20-AG20-AH20</f>
        <v>-991.49999999999977</v>
      </c>
      <c r="AJ20" s="1517">
        <f>Master!O27</f>
        <v>-3064.4</v>
      </c>
      <c r="AK20" s="1515">
        <v>-731.9</v>
      </c>
      <c r="AL20" s="1516">
        <v>-787.3</v>
      </c>
      <c r="AM20" s="1516">
        <v>-931.3</v>
      </c>
      <c r="AN20" s="1516">
        <f>-3344.2-AK20-AL20-AM20</f>
        <v>-893.69999999999982</v>
      </c>
      <c r="AO20" s="1517">
        <f>Master!P27</f>
        <v>-3343</v>
      </c>
      <c r="AP20" s="1515">
        <v>-1009.7</v>
      </c>
      <c r="AQ20" s="1516">
        <v>-1066.7</v>
      </c>
      <c r="AR20" s="1516">
        <v>-1250.5999999999999</v>
      </c>
      <c r="AS20" s="1516">
        <f>-4812.1-AP20-AQ20-AR20</f>
        <v>-1485.1000000000008</v>
      </c>
      <c r="AT20" s="1517">
        <f>Master!Q27</f>
        <v>-4812</v>
      </c>
      <c r="AU20" s="1515">
        <v>-1229.7</v>
      </c>
      <c r="AV20" s="1516">
        <v>-1252.7</v>
      </c>
      <c r="AW20" s="1516">
        <v>-1416.4</v>
      </c>
      <c r="AX20" s="1516">
        <v>-1495.3</v>
      </c>
      <c r="AY20" s="1517">
        <f>Master!R27</f>
        <v>-5394</v>
      </c>
      <c r="AZ20" s="1515">
        <v>-1632.8</v>
      </c>
      <c r="BA20" s="1516">
        <v>-1799.8</v>
      </c>
      <c r="BB20" s="1516">
        <v>-1878.7</v>
      </c>
      <c r="BC20" s="1516">
        <f>BD20-AZ20-BA20-BB20</f>
        <v>-1941.1999999999996</v>
      </c>
      <c r="BD20" s="1517">
        <f>Master!S27</f>
        <v>-7252.5</v>
      </c>
      <c r="BE20" s="1515">
        <v>-1840</v>
      </c>
      <c r="BF20" s="1516">
        <v>-1875.5</v>
      </c>
      <c r="BG20" s="1516">
        <v>-1917</v>
      </c>
      <c r="BH20" s="1516">
        <v>-1864.2</v>
      </c>
      <c r="BI20" s="1517">
        <f>Master!T27</f>
        <v>-7496.7</v>
      </c>
      <c r="BJ20" s="1324">
        <v>-132.1</v>
      </c>
      <c r="BK20" s="1246">
        <v>-99.3</v>
      </c>
      <c r="BL20" s="1246">
        <v>-61.6</v>
      </c>
      <c r="BM20" s="1246">
        <v>-269.89999999999998</v>
      </c>
      <c r="BN20" s="1235">
        <f>Master!U27</f>
        <v>-563</v>
      </c>
      <c r="BO20" s="1324">
        <v>-111</v>
      </c>
      <c r="BP20" s="1246">
        <v>-138.4</v>
      </c>
      <c r="BQ20" s="1246">
        <v>-103.5</v>
      </c>
      <c r="BR20" s="1246">
        <v>-137.4</v>
      </c>
      <c r="BS20" s="1235">
        <f>Master!V27</f>
        <v>-490.4</v>
      </c>
      <c r="BT20" s="1324">
        <v>-40.9</v>
      </c>
      <c r="BU20" s="1246">
        <v>-42.8</v>
      </c>
      <c r="BV20" s="1246">
        <v>-43.7</v>
      </c>
      <c r="BW20" s="1246">
        <v>-342.1</v>
      </c>
      <c r="BX20" s="1238">
        <f>Master!W27</f>
        <v>-3.6000000007334165E-2</v>
      </c>
      <c r="BY20" s="1993">
        <v>0</v>
      </c>
      <c r="BZ20" s="1246">
        <v>-102.1</v>
      </c>
      <c r="CA20" s="1246">
        <v>-103.8</v>
      </c>
      <c r="CB20" s="1993">
        <v>0</v>
      </c>
      <c r="CC20" s="1758">
        <f>Master!X27</f>
        <v>0</v>
      </c>
      <c r="CD20" s="1993">
        <v>0</v>
      </c>
      <c r="CE20" s="1991">
        <v>0</v>
      </c>
      <c r="CF20" s="1991">
        <v>0</v>
      </c>
      <c r="CG20" s="1991">
        <f>CH20-CD20-CE20-CF20</f>
        <v>0</v>
      </c>
      <c r="CH20" s="1758">
        <f>Master!Y27</f>
        <v>0</v>
      </c>
      <c r="CI20" s="1235"/>
      <c r="CJ20" s="860"/>
      <c r="CK20" s="1242">
        <f t="shared" si="10"/>
        <v>4.0689149560117155E-2</v>
      </c>
      <c r="CL20" s="1162">
        <f t="shared" si="10"/>
        <v>5.1718494271685733E-2</v>
      </c>
      <c r="CM20" s="1162">
        <f t="shared" si="10"/>
        <v>6.2106210621062141E-2</v>
      </c>
      <c r="CN20" s="1162">
        <f t="shared" si="10"/>
        <v>3.2088861462511442E-2</v>
      </c>
      <c r="CO20" s="1232"/>
      <c r="CP20" s="1242">
        <f t="shared" si="11"/>
        <v>3.3814723494188126E-2</v>
      </c>
      <c r="CQ20" s="1162">
        <f t="shared" si="11"/>
        <v>3.4235916588857718E-2</v>
      </c>
      <c r="CR20" s="1162">
        <f t="shared" si="11"/>
        <v>3.3898305084756108E-2</v>
      </c>
      <c r="CS20" s="1162">
        <f t="shared" si="11"/>
        <v>3.2884902840048857E-2</v>
      </c>
      <c r="CT20" s="1232"/>
      <c r="CU20" s="1242">
        <f t="shared" si="13"/>
        <v>3.9522998296422474E-2</v>
      </c>
      <c r="CV20" s="1162">
        <f t="shared" si="13"/>
        <v>3.7917544387601421E-2</v>
      </c>
      <c r="CW20" s="1162">
        <f>X20/S20-1</f>
        <v>3.9890710382503469E-2</v>
      </c>
      <c r="CX20" s="1162">
        <f>Y20/T20-1</f>
        <v>3.907380607819011E-2</v>
      </c>
      <c r="CY20" s="1232"/>
      <c r="CZ20" s="1242">
        <f>AA20/V20-1</f>
        <v>0.3641429039659152</v>
      </c>
      <c r="DA20" s="1162">
        <f>AB20/W20-1</f>
        <v>0.35691504783995365</v>
      </c>
      <c r="DB20" s="1162">
        <f>AC20/X20-1</f>
        <v>0.49106673673147649</v>
      </c>
      <c r="DC20" s="1162">
        <f>AD20/Y20-1</f>
        <v>0.93649025069631819</v>
      </c>
      <c r="DD20" s="1232"/>
      <c r="DE20" s="1242">
        <f>AF20/AA20-1</f>
        <v>0.2763094666025927</v>
      </c>
      <c r="DF20" s="1162">
        <f>AG20/AB20-1</f>
        <v>0.48931623931623935</v>
      </c>
      <c r="DG20" s="1162">
        <f>AH20/AC20-1</f>
        <v>0.48140969162995595</v>
      </c>
      <c r="DH20" s="1162">
        <f>AI20/AD20-1</f>
        <v>0.4262082853855016</v>
      </c>
      <c r="DI20" s="1232"/>
      <c r="DJ20" s="1242">
        <f>AK20/AF20-1</f>
        <v>0.37782379518072262</v>
      </c>
      <c r="DK20" s="1162">
        <f>AL20/AG20-1</f>
        <v>0.12955523672883773</v>
      </c>
      <c r="DL20" s="1162">
        <f>AM20/AH20-1</f>
        <v>0.10776733674319017</v>
      </c>
      <c r="DM20" s="1162">
        <f>AN20/AI20-1</f>
        <v>-9.8638426626323716E-2</v>
      </c>
      <c r="DN20" s="1232"/>
      <c r="DO20" s="1242">
        <f t="shared" si="16"/>
        <v>0.37956004918704744</v>
      </c>
      <c r="DP20" s="1162">
        <f t="shared" si="16"/>
        <v>0.35488378000762122</v>
      </c>
      <c r="DQ20" s="1162">
        <f t="shared" si="16"/>
        <v>0.34285407494899589</v>
      </c>
      <c r="DR20" s="1162">
        <f t="shared" si="16"/>
        <v>0.66174331431129141</v>
      </c>
      <c r="DS20" s="1232"/>
      <c r="DT20" s="1242">
        <f t="shared" si="17"/>
        <v>0.21788650094087347</v>
      </c>
      <c r="DU20" s="1162">
        <f t="shared" si="17"/>
        <v>0.17436955095153284</v>
      </c>
      <c r="DV20" s="1162">
        <f t="shared" si="17"/>
        <v>0.13257636334559431</v>
      </c>
      <c r="DW20" s="1162">
        <f t="shared" si="17"/>
        <v>6.868224361995301E-3</v>
      </c>
      <c r="DX20" s="1232"/>
      <c r="DY20" s="1242">
        <f t="shared" si="18"/>
        <v>0.32780352931609325</v>
      </c>
      <c r="DZ20" s="1162">
        <f t="shared" si="18"/>
        <v>0.43673664883850871</v>
      </c>
      <c r="EA20" s="1162">
        <f t="shared" si="18"/>
        <v>0.3263908500423609</v>
      </c>
      <c r="EB20" s="1162">
        <f t="shared" si="18"/>
        <v>0.29820102989366659</v>
      </c>
      <c r="EC20" s="1232"/>
      <c r="ED20" s="1162">
        <f t="shared" si="19"/>
        <v>0.1268985791278785</v>
      </c>
      <c r="EE20" s="1162">
        <f t="shared" si="19"/>
        <v>4.2060228914323927E-2</v>
      </c>
      <c r="EF20" s="1162">
        <f t="shared" si="19"/>
        <v>2.0386437430137905E-2</v>
      </c>
      <c r="EG20" s="1162">
        <f t="shared" si="19"/>
        <v>-3.9666185864413506E-2</v>
      </c>
      <c r="EH20" s="860"/>
      <c r="EI20" s="1242">
        <f t="shared" si="20"/>
        <v>-0.92820652173913043</v>
      </c>
      <c r="EJ20" s="1162">
        <f t="shared" si="20"/>
        <v>-0.94705411890162627</v>
      </c>
      <c r="EK20" s="1162">
        <f t="shared" si="20"/>
        <v>-0.96786645800730309</v>
      </c>
      <c r="EL20" s="1162">
        <f t="shared" si="20"/>
        <v>-0.85521939706040129</v>
      </c>
      <c r="EM20" s="1232"/>
      <c r="EN20" s="1242">
        <f t="shared" si="21"/>
        <v>-0.15972747918243746</v>
      </c>
      <c r="EO20" s="1162">
        <f t="shared" si="21"/>
        <v>0.39375629405840895</v>
      </c>
      <c r="EP20" s="1162">
        <f t="shared" si="21"/>
        <v>0.68019480519480524</v>
      </c>
      <c r="EQ20" s="1162">
        <f t="shared" si="21"/>
        <v>-0.49092256391256017</v>
      </c>
      <c r="ER20" s="1232"/>
      <c r="ES20" s="1162">
        <f>BT20/BO20-1</f>
        <v>-0.63153153153153152</v>
      </c>
      <c r="ET20" s="1162">
        <f>BU20/BP20-1</f>
        <v>-0.69075144508670516</v>
      </c>
      <c r="EU20" s="1162">
        <f>BV20/BQ20-1</f>
        <v>-0.57777777777777772</v>
      </c>
      <c r="EV20" s="1162">
        <f>BW20/BR20-1</f>
        <v>1.4898107714701601</v>
      </c>
      <c r="EW20" s="1232"/>
      <c r="EX20" s="1242">
        <f>BY20/BT20-1</f>
        <v>-1</v>
      </c>
      <c r="EY20" s="1162">
        <f>BZ20/BU20-1</f>
        <v>1.3855140186915889</v>
      </c>
      <c r="EZ20" s="1162">
        <f>CA20/BV20-1</f>
        <v>1.375286041189931</v>
      </c>
      <c r="FA20" s="1162"/>
      <c r="FB20" s="1754"/>
      <c r="FC20" s="1242"/>
      <c r="FD20" s="1162"/>
      <c r="FE20" s="1162"/>
      <c r="FF20" s="1162"/>
      <c r="FG20" s="1756"/>
      <c r="FH20" s="860"/>
      <c r="FI20" s="860"/>
      <c r="FJ20" s="860"/>
      <c r="FY20" s="860"/>
      <c r="FZ20" s="860"/>
      <c r="GA20" s="860"/>
      <c r="GB20" s="860"/>
      <c r="GC20" s="860"/>
      <c r="GD20" s="860"/>
      <c r="GE20" s="860"/>
      <c r="GF20" s="860"/>
      <c r="GG20" s="860"/>
      <c r="GH20" s="860"/>
      <c r="GI20" s="860"/>
      <c r="GJ20" s="860"/>
      <c r="GK20" s="860"/>
      <c r="GL20" s="860"/>
      <c r="GM20" s="860"/>
      <c r="GN20" s="860"/>
      <c r="GO20" s="860"/>
      <c r="GP20" s="860"/>
      <c r="GQ20" s="860"/>
      <c r="GR20" s="1376">
        <v>-100</v>
      </c>
      <c r="GS20" s="1241">
        <v>0.62337662337662336</v>
      </c>
      <c r="GT20" s="1376">
        <v>-97.1</v>
      </c>
      <c r="GU20" s="1241">
        <v>-0.64023712486105966</v>
      </c>
      <c r="GV20" s="1376">
        <v>-99.199703713245938</v>
      </c>
      <c r="GW20" s="1241">
        <v>-0.10630897555634289</v>
      </c>
      <c r="GX20" s="1218"/>
      <c r="GY20" s="1376">
        <v>-40.855755582374016</v>
      </c>
      <c r="GZ20" s="1241">
        <v>-0.70479945388458076</v>
      </c>
      <c r="HA20" s="1218"/>
      <c r="HB20" s="1376">
        <v>-43.035951050237578</v>
      </c>
      <c r="HC20" s="1241">
        <v>-0.58419370965954032</v>
      </c>
      <c r="HD20" s="2000"/>
      <c r="HE20" s="1376">
        <v>-42.599999999999994</v>
      </c>
      <c r="HF20" s="1241">
        <v>-0.68995633187772931</v>
      </c>
      <c r="HG20" s="2000"/>
      <c r="HH20" s="1376">
        <v>-105</v>
      </c>
      <c r="HI20" s="1376">
        <v>-100</v>
      </c>
      <c r="HJ20" s="1241">
        <v>1.3364485981308412</v>
      </c>
      <c r="HK20" s="2000"/>
      <c r="HL20" s="1376">
        <v>-100</v>
      </c>
      <c r="HM20" s="1241">
        <v>1.2883295194508007</v>
      </c>
      <c r="HN20" s="2000"/>
      <c r="HO20" s="1376">
        <v>-205.99999999999994</v>
      </c>
      <c r="HP20" s="1241">
        <v>-0.39783688979830478</v>
      </c>
      <c r="HQ20" s="2000"/>
      <c r="HR20" s="1376">
        <v>0</v>
      </c>
    </row>
    <row r="21" spans="1:226" ht="14.25" customHeight="1">
      <c r="A21" s="1270" t="s">
        <v>198</v>
      </c>
      <c r="B21" s="1684"/>
      <c r="C21" s="1363"/>
      <c r="D21" s="1363"/>
      <c r="E21" s="1363"/>
      <c r="F21" s="1685"/>
      <c r="G21" s="1357">
        <f t="shared" ref="G21:P21" si="31">+G19+G20</f>
        <v>13199.599999999999</v>
      </c>
      <c r="H21" s="1272">
        <f t="shared" si="31"/>
        <v>15125.7</v>
      </c>
      <c r="I21" s="1272">
        <f t="shared" si="31"/>
        <v>15963.500000000002</v>
      </c>
      <c r="J21" s="1272">
        <f t="shared" si="31"/>
        <v>18292.700000000004</v>
      </c>
      <c r="K21" s="1256">
        <f t="shared" si="31"/>
        <v>62581.5</v>
      </c>
      <c r="L21" s="1357">
        <f t="shared" si="31"/>
        <v>15156.6</v>
      </c>
      <c r="M21" s="1272">
        <f t="shared" si="31"/>
        <v>16983.8</v>
      </c>
      <c r="N21" s="1272">
        <f t="shared" si="31"/>
        <v>17357.499999999996</v>
      </c>
      <c r="O21" s="1272">
        <f t="shared" si="31"/>
        <v>19792.5</v>
      </c>
      <c r="P21" s="1256">
        <f t="shared" si="31"/>
        <v>69290.399999999994</v>
      </c>
      <c r="Q21" s="1357">
        <f>Q19+Q20</f>
        <v>15519.4</v>
      </c>
      <c r="R21" s="1272">
        <f>R19+R20</f>
        <v>18064.900000000001</v>
      </c>
      <c r="S21" s="1272">
        <v>18763.099999999999</v>
      </c>
      <c r="T21" s="1272">
        <f>T19+T20</f>
        <v>21446.200000000004</v>
      </c>
      <c r="U21" s="1256">
        <f>+U19+U20</f>
        <v>73793.600000000006</v>
      </c>
      <c r="V21" s="1357">
        <v>16924</v>
      </c>
      <c r="W21" s="1272">
        <f>W19+W20</f>
        <v>19462.472350000004</v>
      </c>
      <c r="X21" s="1272">
        <f>X19+X20</f>
        <v>19710.727650000001</v>
      </c>
      <c r="Y21" s="1272">
        <f>80118.4-V21-W21-X21</f>
        <v>24021.19999999999</v>
      </c>
      <c r="Z21" s="1256">
        <f>+Z19+Z20</f>
        <v>80118.399999999994</v>
      </c>
      <c r="AA21" s="1357">
        <f>AA19+AA20</f>
        <v>19859.400000000001</v>
      </c>
      <c r="AB21" s="1272">
        <f>AB19+AB20</f>
        <v>20985.7</v>
      </c>
      <c r="AC21" s="1272">
        <f>AC19+AC20</f>
        <v>22256.5</v>
      </c>
      <c r="AD21" s="1272">
        <f>AD19+AD20</f>
        <v>24950.199999999993</v>
      </c>
      <c r="AE21" s="1256">
        <f>+AE19+AE20</f>
        <v>88051.8</v>
      </c>
      <c r="AF21" s="1357">
        <f>AF19+AF20</f>
        <v>21740.999999999996</v>
      </c>
      <c r="AG21" s="1272">
        <f>AG19+AG20</f>
        <v>23523.5</v>
      </c>
      <c r="AH21" s="1272">
        <f>AH19+AH20</f>
        <v>23722.1</v>
      </c>
      <c r="AI21" s="1272">
        <f>AI19+AI20</f>
        <v>27301</v>
      </c>
      <c r="AJ21" s="1256">
        <f>+AJ19+AJ20</f>
        <v>96283.4</v>
      </c>
      <c r="AK21" s="1357">
        <f>AK19+AK20</f>
        <v>22177.1</v>
      </c>
      <c r="AL21" s="1272">
        <f>AL19+AL20</f>
        <v>23161.8</v>
      </c>
      <c r="AM21" s="1272">
        <f>AM19+AM20</f>
        <v>22832.300000000003</v>
      </c>
      <c r="AN21" s="1272">
        <f>AN19+AN20</f>
        <v>26102.999999999996</v>
      </c>
      <c r="AO21" s="1256">
        <f>+AO19+AO20</f>
        <v>94275</v>
      </c>
      <c r="AP21" s="1357">
        <f>AP19+AP20</f>
        <v>22812</v>
      </c>
      <c r="AQ21" s="1272">
        <f>AQ19+AQ20</f>
        <v>26701.8</v>
      </c>
      <c r="AR21" s="1272">
        <f>AR19+AR20</f>
        <v>25033.200000000001</v>
      </c>
      <c r="AS21" s="1272">
        <f>AS19+AS20</f>
        <v>26735.3</v>
      </c>
      <c r="AT21" s="1256">
        <f>+AT19+AT20</f>
        <v>101310</v>
      </c>
      <c r="AU21" s="1357">
        <f>AU19+AU20</f>
        <v>23395.199999999997</v>
      </c>
      <c r="AV21" s="1272">
        <f>AV19+AV20</f>
        <v>24307.600000000002</v>
      </c>
      <c r="AW21" s="1272">
        <f>AW19+AW20</f>
        <v>25786.399999999998</v>
      </c>
      <c r="AX21" s="1272">
        <f>AX19+AX20</f>
        <v>28000.400000000005</v>
      </c>
      <c r="AY21" s="1256">
        <f>+AY19+AY20</f>
        <v>100650.59999999999</v>
      </c>
      <c r="AZ21" s="1357">
        <f>AZ19+AZ20</f>
        <v>23228.800000000003</v>
      </c>
      <c r="BA21" s="1272">
        <f>BA19+BA20</f>
        <v>22331.399999999998</v>
      </c>
      <c r="BB21" s="1272">
        <f>BB19+BB20</f>
        <v>23942.999999999996</v>
      </c>
      <c r="BC21" s="1272">
        <f>BC19+BC20</f>
        <v>27635.100000000002</v>
      </c>
      <c r="BD21" s="1256">
        <f>+BD19+BD20</f>
        <v>97138.3</v>
      </c>
      <c r="BE21" s="1357">
        <f>BE19+BE20</f>
        <v>23828.799999999999</v>
      </c>
      <c r="BF21" s="1272">
        <f>BF19+BF20</f>
        <v>24752.399999999998</v>
      </c>
      <c r="BG21" s="1272">
        <f>BG19+BG20</f>
        <v>26127.9</v>
      </c>
      <c r="BH21" s="1272">
        <f>BH19+BH20</f>
        <v>28811.8</v>
      </c>
      <c r="BI21" s="1272">
        <f>+BI19+BI20</f>
        <v>103521.8</v>
      </c>
      <c r="BJ21" s="1357">
        <f>BJ19+BJ20</f>
        <v>18609.2</v>
      </c>
      <c r="BK21" s="1272">
        <f>BK19+BK20</f>
        <v>18533.5</v>
      </c>
      <c r="BL21" s="1272">
        <f>BL19+BL20</f>
        <v>19251.7</v>
      </c>
      <c r="BM21" s="1272">
        <f>BM19+BM20</f>
        <v>19132.3</v>
      </c>
      <c r="BN21" s="1272">
        <f>+BN19+BN20</f>
        <v>75526.600000000006</v>
      </c>
      <c r="BO21" s="1357">
        <f>BO19+BO20</f>
        <v>18519.600000000002</v>
      </c>
      <c r="BP21" s="1272">
        <f>BP19+BP20</f>
        <v>18520.199999999997</v>
      </c>
      <c r="BQ21" s="1272">
        <f>BQ19+BQ20</f>
        <v>18315.7</v>
      </c>
      <c r="BR21" s="1272">
        <f>BR19+BR20</f>
        <v>18412.399999999998</v>
      </c>
      <c r="BS21" s="1272">
        <f>+BS19+BS20</f>
        <v>73767.900000000009</v>
      </c>
      <c r="BT21" s="1357">
        <f>BT19+BT20</f>
        <v>15951.400000000001</v>
      </c>
      <c r="BU21" s="1272">
        <f>BU19+BU20</f>
        <v>15720.3</v>
      </c>
      <c r="BV21" s="1272">
        <f>BV19+BV20</f>
        <v>15362.8</v>
      </c>
      <c r="BW21" s="1272">
        <f>BW19+BW20</f>
        <v>15226.4</v>
      </c>
      <c r="BX21" s="1256">
        <f>+BX19+BX20</f>
        <v>62427.66399999999</v>
      </c>
      <c r="BY21" s="1357">
        <f>BY19+BY20</f>
        <v>14973.6</v>
      </c>
      <c r="BZ21" s="1272">
        <f>BZ19+BZ20</f>
        <v>14729.4</v>
      </c>
      <c r="CA21" s="1272">
        <f>CA19+CA20</f>
        <v>14627</v>
      </c>
      <c r="CB21" s="1272">
        <f>CB19+CB20</f>
        <v>14548.2</v>
      </c>
      <c r="CC21" s="1787">
        <f>+CC19+CC20</f>
        <v>58966.1</v>
      </c>
      <c r="CD21" s="1357">
        <f>CD19+CD20</f>
        <v>14512.5</v>
      </c>
      <c r="CE21" s="1272">
        <f t="shared" ref="CE21:CG21" si="32">CE19+CE20</f>
        <v>14350</v>
      </c>
      <c r="CF21" s="1272">
        <f t="shared" si="32"/>
        <v>14175</v>
      </c>
      <c r="CG21" s="1272">
        <f t="shared" si="32"/>
        <v>14044.582599999994</v>
      </c>
      <c r="CH21" s="1787">
        <f>+CH19+CH20</f>
        <v>57082.082599999994</v>
      </c>
      <c r="CI21" s="1248"/>
      <c r="CJ21" s="860"/>
      <c r="CK21" s="1372">
        <f t="shared" si="10"/>
        <v>0.14826206854753199</v>
      </c>
      <c r="CL21" s="1371">
        <f t="shared" si="10"/>
        <v>0.12284390143927215</v>
      </c>
      <c r="CM21" s="1371">
        <f t="shared" si="10"/>
        <v>8.7324208350298749E-2</v>
      </c>
      <c r="CN21" s="1371">
        <f t="shared" si="10"/>
        <v>8.1988990143608831E-2</v>
      </c>
      <c r="CO21" s="1418"/>
      <c r="CP21" s="1372">
        <f t="shared" si="11"/>
        <v>2.3936766821054833E-2</v>
      </c>
      <c r="CQ21" s="1371">
        <f t="shared" si="11"/>
        <v>6.3654776905050836E-2</v>
      </c>
      <c r="CR21" s="1371">
        <f t="shared" si="11"/>
        <v>8.0979403715973008E-2</v>
      </c>
      <c r="CS21" s="1371">
        <f t="shared" si="11"/>
        <v>8.3551850448402298E-2</v>
      </c>
      <c r="CT21" s="1418"/>
      <c r="CU21" s="1372">
        <f t="shared" si="13"/>
        <v>9.0506076265834956E-2</v>
      </c>
      <c r="CV21" s="1371">
        <f t="shared" si="13"/>
        <v>7.7363968247817771E-2</v>
      </c>
      <c r="CW21" s="1369">
        <f>(X21-X305)/S21-1</f>
        <v>3.2933132051739866E-2</v>
      </c>
      <c r="CX21" s="1369">
        <f>(Y21-Y305)/T21-1</f>
        <v>7.1574451417966145E-2</v>
      </c>
      <c r="CY21" s="1418"/>
      <c r="CZ21" s="1368">
        <f>(AA21-1545)/V21-1</f>
        <v>8.2155518789884363E-2</v>
      </c>
      <c r="DA21" s="1369">
        <f>(AB21-1598.5)/W21-1</f>
        <v>-3.8675636191720653E-3</v>
      </c>
      <c r="DB21" s="1369">
        <f>(AC21-1632)/X21-1</f>
        <v>4.6359138344646444E-2</v>
      </c>
      <c r="DC21" s="1369">
        <f>(AD21-559.7)/Y21-1</f>
        <v>1.5373919704261274E-2</v>
      </c>
      <c r="DD21" s="1418"/>
      <c r="DE21" s="1370">
        <f>(AF21)/AA21-1</f>
        <v>9.4746064835795396E-2</v>
      </c>
      <c r="DF21" s="1371">
        <f>(AG21)/AB21-1</f>
        <v>0.12092996659630129</v>
      </c>
      <c r="DG21" s="1371">
        <f>(AH21)/AC21-1</f>
        <v>6.5850425718329442E-2</v>
      </c>
      <c r="DH21" s="1371">
        <f>(AI21)/AD21-1</f>
        <v>9.4219685613742943E-2</v>
      </c>
      <c r="DI21" s="1418"/>
      <c r="DJ21" s="1372">
        <f>(AK21)/AF21-1</f>
        <v>2.0058874936755622E-2</v>
      </c>
      <c r="DK21" s="1371">
        <f>(AL21)/AG21-1</f>
        <v>-1.5376113248453671E-2</v>
      </c>
      <c r="DL21" s="1371">
        <f>(AM21)/AH21-1</f>
        <v>-3.7509326745945537E-2</v>
      </c>
      <c r="DM21" s="1371">
        <f>(AN21)/AI21-1</f>
        <v>-4.3881176513680953E-2</v>
      </c>
      <c r="DN21" s="1418"/>
      <c r="DO21" s="1372">
        <f t="shared" si="16"/>
        <v>2.862863043409658E-2</v>
      </c>
      <c r="DP21" s="1371">
        <f t="shared" si="16"/>
        <v>0.15283786234230501</v>
      </c>
      <c r="DQ21" s="1371">
        <f t="shared" si="16"/>
        <v>9.6394143384590958E-2</v>
      </c>
      <c r="DR21" s="1371">
        <f t="shared" si="16"/>
        <v>2.4223269356012933E-2</v>
      </c>
      <c r="DS21" s="1418"/>
      <c r="DT21" s="1372">
        <f t="shared" si="17"/>
        <v>2.556549184639656E-2</v>
      </c>
      <c r="DU21" s="1371">
        <f t="shared" si="17"/>
        <v>-8.9664367196218842E-2</v>
      </c>
      <c r="DV21" s="1371">
        <f t="shared" si="17"/>
        <v>3.0088043078791316E-2</v>
      </c>
      <c r="DW21" s="1371">
        <f t="shared" si="17"/>
        <v>4.7319461535872298E-2</v>
      </c>
      <c r="DX21" s="1418"/>
      <c r="DY21" s="1372">
        <f t="shared" si="18"/>
        <v>-7.1125700998493357E-3</v>
      </c>
      <c r="DZ21" s="1371">
        <f t="shared" si="18"/>
        <v>-8.1299675821553952E-2</v>
      </c>
      <c r="EA21" s="1371">
        <f t="shared" si="18"/>
        <v>-7.1487295628703595E-2</v>
      </c>
      <c r="EB21" s="1371">
        <f t="shared" si="18"/>
        <v>-1.3046242196540159E-2</v>
      </c>
      <c r="EC21" s="1418"/>
      <c r="ED21" s="1371">
        <f t="shared" si="19"/>
        <v>2.5830004132800566E-2</v>
      </c>
      <c r="EE21" s="1371">
        <f t="shared" si="19"/>
        <v>0.10841237002606197</v>
      </c>
      <c r="EF21" s="1371">
        <f t="shared" si="19"/>
        <v>9.1254228793384407E-2</v>
      </c>
      <c r="EG21" s="1371">
        <f t="shared" si="19"/>
        <v>4.257990743655693E-2</v>
      </c>
      <c r="EH21" s="1271"/>
      <c r="EI21" s="1372">
        <f t="shared" si="20"/>
        <v>-0.21904586047136232</v>
      </c>
      <c r="EJ21" s="1371">
        <f t="shared" si="20"/>
        <v>-0.25124432378274419</v>
      </c>
      <c r="EK21" s="1371">
        <f t="shared" si="20"/>
        <v>-0.26317461410982135</v>
      </c>
      <c r="EL21" s="1371">
        <f t="shared" si="20"/>
        <v>-0.33595610131959819</v>
      </c>
      <c r="EM21" s="1418"/>
      <c r="EN21" s="1372">
        <f t="shared" si="21"/>
        <v>-4.814822775831229E-3</v>
      </c>
      <c r="EO21" s="1371">
        <f t="shared" si="21"/>
        <v>-7.1761944586845594E-4</v>
      </c>
      <c r="EP21" s="1371">
        <f t="shared" si="21"/>
        <v>-4.8619082990073559E-2</v>
      </c>
      <c r="EQ21" s="1371">
        <f t="shared" si="21"/>
        <v>-3.7627467685537153E-2</v>
      </c>
      <c r="ER21" s="1232"/>
      <c r="ES21" s="1416">
        <v>-4.8000000000000001E-2</v>
      </c>
      <c r="ET21" s="1371">
        <f>(BU21-BU20)/(BP21-BP20-BP18)-1</f>
        <v>-5.8413475897497236E-2</v>
      </c>
      <c r="EU21" s="1371">
        <f>(BV21-BV20)/(BQ21-BQ20-BQ18)-1</f>
        <v>-6.3121408373620347E-2</v>
      </c>
      <c r="EV21" s="1371">
        <f>(BW21-BW20)/(BR21-BR20-BR18)-1</f>
        <v>-5.1972963098282809E-2</v>
      </c>
      <c r="EW21" s="1232"/>
      <c r="EX21" s="1372">
        <f>(BY21-BY20)/(BT21-BT20)-1</f>
        <v>-6.3699405338819348E-2</v>
      </c>
      <c r="EY21" s="1371">
        <f>(BZ21-BZ20)/(BU21-BU20)-1</f>
        <v>-5.9100050117045444E-2</v>
      </c>
      <c r="EZ21" s="1371">
        <f>(CA21-CA20)/(BV21-BV20)-1</f>
        <v>-4.3858111835913483E-2</v>
      </c>
      <c r="FA21" s="1371">
        <f>FA19</f>
        <v>-4.4541060263752374E-2</v>
      </c>
      <c r="FB21" s="1754"/>
      <c r="FC21" s="1996">
        <f>(CD21-CD20)/(BY21-BY20)-1</f>
        <v>-3.0794197788107103E-2</v>
      </c>
      <c r="FD21" s="1257">
        <f t="shared" ref="FD21" si="33">CE21/BZ21-1</f>
        <v>-2.5758007793935889E-2</v>
      </c>
      <c r="FE21" s="1257">
        <f t="shared" ref="FE21" si="34">CF21/CA21-1</f>
        <v>-3.0901757024680343E-2</v>
      </c>
      <c r="FF21" s="1257">
        <f t="shared" ref="FF21" si="35">CG21/CB21-1</f>
        <v>-3.4617162260623724E-2</v>
      </c>
      <c r="FG21" s="2041"/>
      <c r="FH21" s="860"/>
      <c r="FI21" s="860"/>
      <c r="FJ21" s="860"/>
      <c r="FY21" s="860"/>
      <c r="FZ21" s="860"/>
      <c r="GA21" s="860"/>
      <c r="GB21" s="860"/>
      <c r="GC21" s="860"/>
      <c r="GD21" s="860"/>
      <c r="GE21" s="860"/>
      <c r="GF21" s="860"/>
      <c r="GG21" s="860"/>
      <c r="GH21" s="860"/>
      <c r="GI21" s="860"/>
      <c r="GJ21" s="860"/>
      <c r="GK21" s="860"/>
      <c r="GL21" s="860"/>
      <c r="GM21" s="860"/>
      <c r="GN21" s="860"/>
      <c r="GO21" s="860"/>
      <c r="GP21" s="860"/>
      <c r="GQ21" s="860"/>
      <c r="GR21" s="2005">
        <v>18855.089999999997</v>
      </c>
      <c r="GS21" s="1249">
        <v>-2.0601297547749198E-2</v>
      </c>
      <c r="GT21" s="2005">
        <v>18876.33048560856</v>
      </c>
      <c r="GU21" s="1249">
        <v>-1.337892017119946E-2</v>
      </c>
      <c r="GV21" s="2004">
        <v>16550.800296286754</v>
      </c>
      <c r="GW21" s="1630">
        <v>-0.10630897555634289</v>
      </c>
      <c r="GX21" s="1218"/>
      <c r="GY21" s="2004">
        <v>15934.144244417626</v>
      </c>
      <c r="GZ21" s="1630">
        <v>-4.5755928558628534E-2</v>
      </c>
      <c r="HA21" s="1218"/>
      <c r="HB21" s="2004">
        <v>15806.964048949763</v>
      </c>
      <c r="HC21" s="1630">
        <v>-0.13697188483378941</v>
      </c>
      <c r="HD21" s="2000"/>
      <c r="HE21" s="2004">
        <v>14854.832381901817</v>
      </c>
      <c r="HF21" s="1249">
        <v>-9.2836902819277922E-2</v>
      </c>
      <c r="HG21" s="2000"/>
      <c r="HH21" s="2005">
        <v>14964.51</v>
      </c>
      <c r="HI21" s="2004">
        <v>14747.655999999999</v>
      </c>
      <c r="HJ21" s="1630">
        <v>-5.8075124816818979E-2</v>
      </c>
      <c r="HK21" s="2000"/>
      <c r="HL21" s="2004">
        <v>14550</v>
      </c>
      <c r="HM21" s="1630">
        <v>-4.9102651478272197E-2</v>
      </c>
      <c r="HN21" s="2000"/>
      <c r="HO21" s="2004">
        <v>14706.05710976256</v>
      </c>
      <c r="HP21" s="1249">
        <v>-4.2164812938782825E-2</v>
      </c>
      <c r="HQ21" s="2000"/>
      <c r="HR21" s="2005">
        <v>14512.5</v>
      </c>
    </row>
    <row r="22" spans="1:226" ht="14.25" customHeight="1">
      <c r="A22" s="1132"/>
      <c r="B22" s="1682"/>
      <c r="C22" s="1675"/>
      <c r="D22" s="1675"/>
      <c r="E22" s="1675"/>
      <c r="F22" s="1683"/>
      <c r="G22" s="1237"/>
      <c r="H22" s="1235"/>
      <c r="I22" s="1235"/>
      <c r="J22" s="1235"/>
      <c r="K22" s="1238"/>
      <c r="L22" s="1237"/>
      <c r="M22" s="1235"/>
      <c r="N22" s="1235"/>
      <c r="O22" s="1235"/>
      <c r="P22" s="1238"/>
      <c r="Q22" s="1237"/>
      <c r="R22" s="1235"/>
      <c r="S22" s="1235"/>
      <c r="T22" s="1235"/>
      <c r="U22" s="1238"/>
      <c r="V22" s="1237"/>
      <c r="W22" s="1235"/>
      <c r="X22" s="1235"/>
      <c r="Y22" s="1235"/>
      <c r="Z22" s="1238"/>
      <c r="AA22" s="1237"/>
      <c r="AB22" s="1235"/>
      <c r="AC22" s="1235"/>
      <c r="AD22" s="1235"/>
      <c r="AE22" s="1238"/>
      <c r="AF22" s="1237"/>
      <c r="AG22" s="1235"/>
      <c r="AH22" s="1235"/>
      <c r="AI22" s="1235"/>
      <c r="AJ22" s="1238"/>
      <c r="AK22" s="1237"/>
      <c r="AL22" s="1235"/>
      <c r="AM22" s="1235"/>
      <c r="AN22" s="1235"/>
      <c r="AO22" s="1238"/>
      <c r="AP22" s="1237"/>
      <c r="AQ22" s="1235"/>
      <c r="AR22" s="1235"/>
      <c r="AS22" s="1235"/>
      <c r="AT22" s="1238"/>
      <c r="AU22" s="1237"/>
      <c r="AV22" s="1235"/>
      <c r="AW22" s="1235"/>
      <c r="AX22" s="1235"/>
      <c r="AY22" s="1238"/>
      <c r="AZ22" s="1237"/>
      <c r="BA22" s="1235"/>
      <c r="BB22" s="1235"/>
      <c r="BC22" s="1235"/>
      <c r="BD22" s="1238"/>
      <c r="BE22" s="1237"/>
      <c r="BF22" s="1235"/>
      <c r="BG22" s="1235"/>
      <c r="BH22" s="1235"/>
      <c r="BI22" s="1235"/>
      <c r="BJ22" s="1237"/>
      <c r="BK22" s="1235"/>
      <c r="BL22" s="1235"/>
      <c r="BM22" s="1235"/>
      <c r="BN22" s="1235"/>
      <c r="BO22" s="1237"/>
      <c r="BP22" s="1235"/>
      <c r="BQ22" s="1235"/>
      <c r="BR22" s="1235"/>
      <c r="BS22" s="1235"/>
      <c r="BT22" s="1237"/>
      <c r="BU22" s="1235"/>
      <c r="BV22" s="1235"/>
      <c r="BW22" s="1235"/>
      <c r="BX22" s="1238"/>
      <c r="BY22" s="1237"/>
      <c r="BZ22" s="1235"/>
      <c r="CA22" s="1235"/>
      <c r="CB22" s="1235"/>
      <c r="CC22" s="1758"/>
      <c r="CD22" s="1237"/>
      <c r="CE22" s="1235"/>
      <c r="CF22" s="1235"/>
      <c r="CG22" s="1235"/>
      <c r="CH22" s="1758"/>
      <c r="CI22" s="1235"/>
      <c r="CJ22" s="860"/>
      <c r="CK22" s="1239"/>
      <c r="CL22" s="1217"/>
      <c r="CM22" s="1217"/>
      <c r="CN22" s="1217"/>
      <c r="CO22" s="1232"/>
      <c r="CP22" s="1239"/>
      <c r="CQ22" s="1217"/>
      <c r="CR22" s="1217"/>
      <c r="CS22" s="1217"/>
      <c r="CT22" s="1232"/>
      <c r="CU22" s="1239"/>
      <c r="CV22" s="1217"/>
      <c r="CW22" s="1796"/>
      <c r="CX22" s="1796"/>
      <c r="CY22" s="1232"/>
      <c r="CZ22" s="1999"/>
      <c r="DA22" s="1796"/>
      <c r="DB22" s="1796"/>
      <c r="DC22" s="1796"/>
      <c r="DD22" s="1232"/>
      <c r="DE22" s="1356"/>
      <c r="DF22" s="1217"/>
      <c r="DG22" s="1217"/>
      <c r="DH22" s="1217"/>
      <c r="DI22" s="1232"/>
      <c r="DJ22" s="1239"/>
      <c r="DK22" s="1217"/>
      <c r="DL22" s="1217"/>
      <c r="DM22" s="1217"/>
      <c r="DN22" s="1232"/>
      <c r="DO22" s="1239"/>
      <c r="DP22" s="1217"/>
      <c r="DQ22" s="1217"/>
      <c r="DR22" s="1217"/>
      <c r="DS22" s="1232"/>
      <c r="DT22" s="1239"/>
      <c r="DU22" s="1217"/>
      <c r="DV22" s="1217"/>
      <c r="DW22" s="1217"/>
      <c r="DX22" s="1232"/>
      <c r="DY22" s="1239"/>
      <c r="DZ22" s="1217"/>
      <c r="EA22" s="1217"/>
      <c r="EB22" s="1217"/>
      <c r="EC22" s="1232"/>
      <c r="ED22" s="1217"/>
      <c r="EE22" s="1217"/>
      <c r="EF22" s="1217"/>
      <c r="EG22" s="1217"/>
      <c r="EH22" s="860"/>
      <c r="EI22" s="1239"/>
      <c r="EJ22" s="1217"/>
      <c r="EK22" s="1217"/>
      <c r="EL22" s="1217"/>
      <c r="EM22" s="1232"/>
      <c r="EN22" s="1239"/>
      <c r="EO22" s="1217"/>
      <c r="EP22" s="1217"/>
      <c r="EQ22" s="1217"/>
      <c r="ER22" s="1232"/>
      <c r="ES22" s="1417"/>
      <c r="ET22" s="1217"/>
      <c r="EU22" s="1217"/>
      <c r="EV22" s="1217"/>
      <c r="EW22" s="1232"/>
      <c r="EX22" s="1239"/>
      <c r="EY22" s="1217"/>
      <c r="EZ22" s="1217"/>
      <c r="FA22" s="1217"/>
      <c r="FB22" s="1754"/>
      <c r="FC22" s="1239"/>
      <c r="FD22" s="1217"/>
      <c r="FE22" s="1217"/>
      <c r="FF22" s="1217"/>
      <c r="FG22" s="2040"/>
      <c r="FH22" s="860"/>
      <c r="FI22" s="860"/>
      <c r="FJ22" s="860"/>
      <c r="FY22" s="860"/>
      <c r="FZ22" s="860"/>
      <c r="GA22" s="860"/>
      <c r="GB22" s="860"/>
      <c r="GC22" s="860"/>
      <c r="GD22" s="860"/>
      <c r="GE22" s="860"/>
      <c r="GF22" s="860"/>
      <c r="GG22" s="860"/>
      <c r="GH22" s="860"/>
      <c r="GI22" s="860"/>
      <c r="GJ22" s="860"/>
      <c r="GK22" s="860"/>
      <c r="GL22" s="860"/>
      <c r="GM22" s="860"/>
      <c r="GN22" s="860"/>
      <c r="GO22" s="860"/>
      <c r="GP22" s="860"/>
      <c r="GQ22" s="860"/>
      <c r="GR22" s="1376"/>
      <c r="GS22" s="1247"/>
      <c r="GT22" s="1376"/>
      <c r="GU22" s="1247"/>
      <c r="GV22" s="1376"/>
      <c r="GW22" s="1247"/>
      <c r="GX22" s="1218"/>
      <c r="GY22" s="1376"/>
      <c r="GZ22" s="1247"/>
      <c r="HA22" s="1218"/>
      <c r="HB22" s="1376"/>
      <c r="HC22" s="1247"/>
      <c r="HD22" s="2000"/>
      <c r="HE22" s="1376"/>
      <c r="HF22" s="1247"/>
      <c r="HG22" s="2000"/>
      <c r="HH22" s="1376"/>
      <c r="HI22" s="1376"/>
      <c r="HJ22" s="1247"/>
      <c r="HK22" s="2000"/>
      <c r="HL22" s="1376"/>
      <c r="HM22" s="1247"/>
      <c r="HN22" s="2000"/>
      <c r="HO22" s="1376"/>
      <c r="HP22" s="1247"/>
      <c r="HQ22" s="2000"/>
      <c r="HR22" s="1376"/>
    </row>
    <row r="23" spans="1:226" ht="14.25" hidden="1" customHeight="1">
      <c r="A23" s="1132" t="s">
        <v>8101</v>
      </c>
      <c r="B23" s="1259"/>
      <c r="C23" s="1673"/>
      <c r="D23" s="1673"/>
      <c r="E23" s="1673"/>
      <c r="F23" s="1260"/>
      <c r="G23" s="1253"/>
      <c r="H23" s="1248"/>
      <c r="I23" s="1248"/>
      <c r="J23" s="1248"/>
      <c r="K23" s="1254"/>
      <c r="L23" s="1253"/>
      <c r="M23" s="1248"/>
      <c r="N23" s="1248"/>
      <c r="O23" s="1248"/>
      <c r="P23" s="1254"/>
      <c r="Q23" s="1237">
        <f>Q9</f>
        <v>870.9</v>
      </c>
      <c r="R23" s="1235">
        <f>R9</f>
        <v>881.7</v>
      </c>
      <c r="S23" s="1235">
        <f>S9+53</f>
        <v>925.3</v>
      </c>
      <c r="T23" s="1235">
        <f>T9+(370-53)</f>
        <v>957.69999999999982</v>
      </c>
      <c r="U23" s="1254"/>
      <c r="V23" s="1255"/>
      <c r="W23" s="1643"/>
      <c r="X23" s="1643"/>
      <c r="Y23" s="1243"/>
      <c r="Z23" s="1254"/>
      <c r="AA23" s="1664"/>
      <c r="AB23" s="1653"/>
      <c r="AC23" s="1653">
        <f>AC24/X24-1</f>
        <v>6.3145516769756771E-2</v>
      </c>
      <c r="AD23" s="1653">
        <f>AD24/Y24-1</f>
        <v>3.5445613918032803E-2</v>
      </c>
      <c r="AE23" s="1254"/>
      <c r="AF23" s="1253"/>
      <c r="AG23" s="1643"/>
      <c r="AH23" s="1662"/>
      <c r="AI23" s="1662"/>
      <c r="AJ23" s="1254"/>
      <c r="AK23" s="1652"/>
      <c r="AL23" s="1243"/>
      <c r="AM23" s="1653"/>
      <c r="AN23" s="1235"/>
      <c r="AO23" s="1254"/>
      <c r="AT23" s="1254"/>
      <c r="AY23" s="1254"/>
      <c r="AZ23" s="1253"/>
      <c r="BA23" s="1643"/>
      <c r="BB23" s="1644"/>
      <c r="BC23" s="1644"/>
      <c r="BD23" s="1254"/>
      <c r="BE23" s="1253"/>
      <c r="BF23" s="1248"/>
      <c r="BG23" s="1248"/>
      <c r="BH23" s="1248"/>
      <c r="BI23" s="1254"/>
      <c r="BJ23" s="1253"/>
      <c r="BK23" s="1248"/>
      <c r="BL23" s="1248"/>
      <c r="BM23" s="1248"/>
      <c r="BN23" s="1254"/>
      <c r="BO23" s="1253"/>
      <c r="BP23" s="1248"/>
      <c r="BQ23" s="1248"/>
      <c r="BR23" s="1248"/>
      <c r="BS23" s="1254"/>
      <c r="BT23" s="1253"/>
      <c r="BU23" s="1248"/>
      <c r="BV23" s="1248"/>
      <c r="BW23" s="1248"/>
      <c r="BX23" s="1254"/>
      <c r="BY23" s="1253"/>
      <c r="BZ23" s="1248"/>
      <c r="CA23" s="1788"/>
      <c r="CB23" s="1788"/>
      <c r="CC23" s="1789"/>
      <c r="CD23" s="1253"/>
      <c r="CE23" s="1248"/>
      <c r="CF23" s="1248"/>
      <c r="CG23" s="1248"/>
      <c r="CH23" s="1789"/>
      <c r="CI23" s="1248"/>
      <c r="CJ23" s="860"/>
      <c r="CK23" s="1355"/>
      <c r="CL23" s="1257"/>
      <c r="CM23" s="1257"/>
      <c r="CN23" s="1257"/>
      <c r="CO23" s="1232"/>
      <c r="CP23" s="1355"/>
      <c r="CQ23" s="1257"/>
      <c r="CR23" s="1257"/>
      <c r="CS23" s="1257"/>
      <c r="CT23" s="1232"/>
      <c r="CU23" s="1355"/>
      <c r="CV23" s="1257"/>
      <c r="CW23" s="1257"/>
      <c r="CX23" s="1257"/>
      <c r="CY23" s="1232"/>
      <c r="CZ23" s="1233"/>
      <c r="DA23" s="860"/>
      <c r="DB23" s="860"/>
      <c r="DC23" s="860"/>
      <c r="DD23" s="1232"/>
      <c r="DE23" s="1233"/>
      <c r="DF23" s="860"/>
      <c r="DG23" s="860"/>
      <c r="DH23" s="860"/>
      <c r="DI23" s="1232"/>
      <c r="DJ23" s="1233"/>
      <c r="DK23" s="860"/>
      <c r="DL23" s="860"/>
      <c r="DM23" s="860"/>
      <c r="DN23" s="1232"/>
      <c r="DO23" s="1239">
        <f>DO21</f>
        <v>2.862863043409658E-2</v>
      </c>
      <c r="DP23" s="1217">
        <f>AQ25/AL21-1</f>
        <v>7.8426547159547111E-2</v>
      </c>
      <c r="DQ23" s="1217">
        <f>AR25/AM21-1</f>
        <v>5.2154185079908766E-2</v>
      </c>
      <c r="DR23" s="1217">
        <f>DR21</f>
        <v>2.4223269356012933E-2</v>
      </c>
      <c r="DS23" s="1232"/>
      <c r="DT23" s="1239">
        <f>(AU21-AU11)/(AP21-AP11)-1</f>
        <v>2.556549184639656E-2</v>
      </c>
      <c r="DU23" s="1217">
        <f>(AV21-AV11)/(AQ21-AQ11)-1</f>
        <v>-2.685130693441895E-2</v>
      </c>
      <c r="DV23" s="1217">
        <f>(AW21-AW11)/(AR21-AR11)-1</f>
        <v>7.340018565464046E-2</v>
      </c>
      <c r="DW23" s="1217">
        <f>(AX21-AX11)/(AS21-AS11)-1</f>
        <v>4.7319461535872298E-2</v>
      </c>
      <c r="DX23" s="1232"/>
      <c r="DY23" s="1239">
        <f>(AZ21-AZ11)/(AU21-AU11)-1</f>
        <v>-7.1125700998493357E-3</v>
      </c>
      <c r="DZ23" s="1217">
        <f>(BA21-BA11)/(AV21-AV11)-1</f>
        <v>-8.1299675821553952E-2</v>
      </c>
      <c r="EA23" s="1217">
        <f>(BB21-BB11)/(AW21-AW11)-1</f>
        <v>-7.1487295628703595E-2</v>
      </c>
      <c r="EB23" s="1217"/>
      <c r="EC23" s="1232"/>
      <c r="ED23" s="1217"/>
      <c r="EE23" s="1217"/>
      <c r="EF23" s="860"/>
      <c r="EG23" s="860"/>
      <c r="EH23" s="860"/>
      <c r="EI23" s="1233"/>
      <c r="EJ23" s="860"/>
      <c r="EK23" s="860"/>
      <c r="EL23" s="860"/>
      <c r="EM23" s="1232"/>
      <c r="EN23" s="1233"/>
      <c r="EO23" s="860"/>
      <c r="EP23" s="860"/>
      <c r="EQ23" s="860"/>
      <c r="ER23" s="1232"/>
      <c r="ES23" s="860"/>
      <c r="ET23" s="860"/>
      <c r="EU23" s="860"/>
      <c r="EV23" s="860"/>
      <c r="EW23" s="1232"/>
      <c r="EX23" s="1233"/>
      <c r="EY23" s="860"/>
      <c r="EZ23" s="860"/>
      <c r="FA23" s="860"/>
      <c r="FB23" s="1754"/>
      <c r="FC23" s="1233"/>
      <c r="FD23" s="860"/>
      <c r="FE23" s="860"/>
      <c r="FF23" s="860"/>
      <c r="FG23" s="1753"/>
      <c r="FH23" s="860"/>
      <c r="FI23" s="860"/>
      <c r="FJ23" s="860"/>
      <c r="FY23" s="860"/>
      <c r="FZ23" s="860"/>
      <c r="GA23" s="860"/>
      <c r="GB23" s="860"/>
      <c r="GC23" s="860"/>
      <c r="GD23" s="860"/>
      <c r="GE23" s="860"/>
      <c r="GF23" s="860"/>
      <c r="GG23" s="860"/>
      <c r="GH23" s="860"/>
      <c r="GI23" s="860"/>
      <c r="GJ23" s="860"/>
      <c r="GK23" s="860"/>
      <c r="GL23" s="860"/>
      <c r="GM23" s="860"/>
      <c r="GN23" s="860"/>
      <c r="GO23" s="860"/>
      <c r="GP23" s="860"/>
      <c r="GQ23" s="860"/>
      <c r="GR23" s="2005"/>
      <c r="GS23" s="1218"/>
      <c r="GT23" s="2005"/>
      <c r="GU23" s="1218"/>
      <c r="GV23" s="2005"/>
      <c r="GW23" s="1218"/>
      <c r="GX23" s="1218"/>
      <c r="GY23" s="2005"/>
      <c r="GZ23" s="1218"/>
      <c r="HA23" s="1218"/>
      <c r="HB23" s="2005"/>
      <c r="HC23" s="1218"/>
      <c r="HD23" s="2000"/>
      <c r="HE23" s="2005"/>
      <c r="HF23" s="1218"/>
      <c r="HG23" s="2000"/>
      <c r="HH23" s="2005"/>
      <c r="HI23" s="2005"/>
      <c r="HJ23" s="1218"/>
      <c r="HK23" s="2000"/>
      <c r="HL23" s="2005"/>
      <c r="HM23" s="1218"/>
      <c r="HN23" s="2000"/>
      <c r="HO23" s="2005"/>
      <c r="HP23" s="1218"/>
      <c r="HQ23" s="2000"/>
      <c r="HR23" s="2005"/>
    </row>
    <row r="24" spans="1:226" ht="14.25" hidden="1" customHeight="1">
      <c r="A24" s="1132" t="s">
        <v>8081</v>
      </c>
      <c r="B24" s="1259"/>
      <c r="C24" s="1673"/>
      <c r="D24" s="1673"/>
      <c r="E24" s="1673"/>
      <c r="F24" s="1260"/>
      <c r="G24" s="1259"/>
      <c r="H24" s="1673"/>
      <c r="I24" s="1673"/>
      <c r="J24" s="1673"/>
      <c r="K24" s="1260"/>
      <c r="L24" s="1259"/>
      <c r="M24" s="1673"/>
      <c r="N24" s="1676"/>
      <c r="O24" s="1162"/>
      <c r="P24" s="1232"/>
      <c r="Q24" s="1242">
        <f>Q23/L9-1</f>
        <v>0.17261343745792379</v>
      </c>
      <c r="R24" s="1162">
        <f>R23/M9-1</f>
        <v>9.4735535137819848E-2</v>
      </c>
      <c r="S24" s="1162">
        <f>S23/N9-1</f>
        <v>0.1260800778873068</v>
      </c>
      <c r="T24" s="1162">
        <f>T23/O9-1</f>
        <v>0.16878203563583094</v>
      </c>
      <c r="U24" s="1261"/>
      <c r="V24" s="1237">
        <f t="shared" ref="V24:AD24" si="36">V7-V29</f>
        <v>4241.7000000000007</v>
      </c>
      <c r="W24" s="1235">
        <f t="shared" si="36"/>
        <v>4766.1723500000007</v>
      </c>
      <c r="X24" s="1235">
        <f t="shared" si="36"/>
        <v>4330.8276499999993</v>
      </c>
      <c r="Y24" s="1235">
        <f t="shared" si="36"/>
        <v>5995.1</v>
      </c>
      <c r="Z24" s="1238">
        <f t="shared" si="36"/>
        <v>19333.8</v>
      </c>
      <c r="AA24" s="1237">
        <f t="shared" si="36"/>
        <v>4412</v>
      </c>
      <c r="AB24" s="1235">
        <f t="shared" si="36"/>
        <v>4544.5</v>
      </c>
      <c r="AC24" s="1235">
        <f t="shared" si="36"/>
        <v>4604.3</v>
      </c>
      <c r="AD24" s="1235">
        <f t="shared" si="36"/>
        <v>6207.5999999999995</v>
      </c>
      <c r="AE24" s="1261"/>
      <c r="AF24" s="1242"/>
      <c r="AG24" s="1162"/>
      <c r="AH24" s="1162"/>
      <c r="AI24" s="1162"/>
      <c r="AJ24" s="1261"/>
      <c r="AK24" s="1242"/>
      <c r="AL24" s="1162"/>
      <c r="AM24" s="1162"/>
      <c r="AN24" s="1162"/>
      <c r="AO24" s="1261"/>
      <c r="AP24" s="1237"/>
      <c r="AQ24" s="860"/>
      <c r="AR24" s="860"/>
      <c r="AS24" s="1656"/>
      <c r="AT24" s="1261"/>
      <c r="AU24" s="1242"/>
      <c r="AV24" s="1162"/>
      <c r="AW24" s="1235"/>
      <c r="AX24" s="1235"/>
      <c r="AY24" s="1261"/>
      <c r="AZ24" s="1242"/>
      <c r="BA24" s="1162"/>
      <c r="BB24" s="1162"/>
      <c r="BC24" s="1162"/>
      <c r="BD24" s="1261"/>
      <c r="BE24" s="1242"/>
      <c r="BF24" s="1162"/>
      <c r="BG24" s="1162"/>
      <c r="BH24" s="1162"/>
      <c r="BI24" s="1261"/>
      <c r="BJ24" s="1242"/>
      <c r="BK24" s="1162"/>
      <c r="BL24" s="1162"/>
      <c r="BM24" s="1162"/>
      <c r="BN24" s="1261"/>
      <c r="BO24" s="1242"/>
      <c r="BP24" s="1162"/>
      <c r="BQ24" s="1162"/>
      <c r="BR24" s="1162"/>
      <c r="BS24" s="1162"/>
      <c r="BT24" s="1242"/>
      <c r="BU24" s="1162"/>
      <c r="BV24" s="1162"/>
      <c r="BW24" s="1162"/>
      <c r="BX24" s="1261"/>
      <c r="BY24" s="1242"/>
      <c r="BZ24" s="1162"/>
      <c r="CA24" s="1756"/>
      <c r="CB24" s="1756"/>
      <c r="CC24" s="1757"/>
      <c r="CD24" s="1242"/>
      <c r="CE24" s="1162"/>
      <c r="CF24" s="1162"/>
      <c r="CG24" s="1162"/>
      <c r="CH24" s="1757"/>
      <c r="CI24" s="1162"/>
      <c r="CJ24" s="860"/>
      <c r="CK24" s="1242"/>
      <c r="CL24" s="1162"/>
      <c r="CM24" s="1162"/>
      <c r="CN24" s="1162"/>
      <c r="CO24" s="1232"/>
      <c r="CP24" s="1242"/>
      <c r="CQ24" s="1162"/>
      <c r="CR24" s="1162"/>
      <c r="CS24" s="1162"/>
      <c r="CT24" s="1232"/>
      <c r="CU24" s="1242"/>
      <c r="CV24" s="1162"/>
      <c r="CW24" s="1162"/>
      <c r="CX24" s="1162"/>
      <c r="CY24" s="1232"/>
      <c r="CZ24" s="1233"/>
      <c r="DA24" s="860"/>
      <c r="DB24" s="860"/>
      <c r="DC24" s="860"/>
      <c r="DD24" s="1232"/>
      <c r="DE24" s="1233"/>
      <c r="DF24" s="860"/>
      <c r="DG24" s="860"/>
      <c r="DH24" s="860"/>
      <c r="DI24" s="1232"/>
      <c r="DJ24" s="1233"/>
      <c r="DK24" s="860"/>
      <c r="DL24" s="860"/>
      <c r="DM24" s="860"/>
      <c r="DN24" s="1232"/>
      <c r="DO24" s="1233"/>
      <c r="DP24" s="860"/>
      <c r="DQ24" s="860"/>
      <c r="DR24" s="860"/>
      <c r="DS24" s="1232"/>
      <c r="DT24" s="1233"/>
      <c r="DU24" s="860"/>
      <c r="DV24" s="860"/>
      <c r="DW24" s="860"/>
      <c r="DX24" s="1232"/>
      <c r="DY24" s="1233"/>
      <c r="DZ24" s="860"/>
      <c r="EA24" s="860"/>
      <c r="EB24" s="860"/>
      <c r="EC24" s="1232"/>
      <c r="ED24" s="860"/>
      <c r="EE24" s="860"/>
      <c r="EF24" s="860"/>
      <c r="EG24" s="860"/>
      <c r="EH24" s="860"/>
      <c r="EI24" s="1233"/>
      <c r="EJ24" s="860"/>
      <c r="EK24" s="860"/>
      <c r="EL24" s="860"/>
      <c r="EM24" s="1232"/>
      <c r="EN24" s="1233"/>
      <c r="EO24" s="860"/>
      <c r="EP24" s="860"/>
      <c r="EQ24" s="860"/>
      <c r="ER24" s="1232"/>
      <c r="ES24" s="860"/>
      <c r="ET24" s="860"/>
      <c r="EU24" s="860"/>
      <c r="EV24" s="860"/>
      <c r="EW24" s="1232"/>
      <c r="EX24" s="1233"/>
      <c r="EY24" s="860"/>
      <c r="EZ24" s="860"/>
      <c r="FA24" s="860"/>
      <c r="FB24" s="1754"/>
      <c r="FC24" s="1233"/>
      <c r="FD24" s="860"/>
      <c r="FE24" s="860"/>
      <c r="FF24" s="860"/>
      <c r="FG24" s="1753"/>
      <c r="FH24" s="860"/>
      <c r="FI24" s="860"/>
      <c r="FJ24" s="860"/>
      <c r="FY24" s="860"/>
      <c r="FZ24" s="860"/>
      <c r="GA24" s="860"/>
      <c r="GB24" s="860"/>
      <c r="GC24" s="860"/>
      <c r="GD24" s="860"/>
      <c r="GE24" s="860"/>
      <c r="GF24" s="860"/>
      <c r="GG24" s="860"/>
      <c r="GH24" s="860"/>
      <c r="GI24" s="860"/>
      <c r="GJ24" s="860"/>
      <c r="GK24" s="860"/>
      <c r="GL24" s="860"/>
      <c r="GM24" s="860"/>
      <c r="GN24" s="860"/>
      <c r="GO24" s="860"/>
      <c r="GP24" s="860"/>
      <c r="GQ24" s="860"/>
      <c r="GR24" s="1241"/>
      <c r="GS24" s="1218"/>
      <c r="GT24" s="1241"/>
      <c r="GU24" s="1218"/>
      <c r="GV24" s="1241"/>
      <c r="GW24" s="1218"/>
      <c r="GX24" s="1218"/>
      <c r="GY24" s="1241"/>
      <c r="GZ24" s="1218"/>
      <c r="HA24" s="1218"/>
      <c r="HB24" s="1241"/>
      <c r="HC24" s="1218"/>
      <c r="HD24" s="2000"/>
      <c r="HE24" s="1241"/>
      <c r="HF24" s="1218"/>
      <c r="HG24" s="2000"/>
      <c r="HH24" s="1241"/>
      <c r="HI24" s="1241"/>
      <c r="HJ24" s="1218"/>
      <c r="HK24" s="2000"/>
      <c r="HL24" s="1241"/>
      <c r="HM24" s="1218"/>
      <c r="HN24" s="2000"/>
      <c r="HO24" s="1241"/>
      <c r="HP24" s="1218"/>
      <c r="HQ24" s="2000"/>
      <c r="HR24" s="1241"/>
    </row>
    <row r="25" spans="1:226" ht="14.25" hidden="1" customHeight="1">
      <c r="A25" s="1132" t="s">
        <v>8102</v>
      </c>
      <c r="B25" s="1682"/>
      <c r="C25" s="1675"/>
      <c r="D25" s="1675"/>
      <c r="E25" s="1675"/>
      <c r="F25" s="1683"/>
      <c r="G25" s="1682"/>
      <c r="H25" s="1675"/>
      <c r="I25" s="1675"/>
      <c r="J25" s="1675"/>
      <c r="K25" s="1683"/>
      <c r="L25" s="1682"/>
      <c r="M25" s="1675"/>
      <c r="N25" s="2001"/>
      <c r="O25" s="1162"/>
      <c r="P25" s="1232"/>
      <c r="Q25" s="1242"/>
      <c r="R25" s="1162"/>
      <c r="S25" s="1162"/>
      <c r="T25" s="1162"/>
      <c r="U25" s="1261"/>
      <c r="V25" s="1237"/>
      <c r="W25" s="1235"/>
      <c r="X25" s="1235"/>
      <c r="Y25" s="1235"/>
      <c r="Z25" s="1238"/>
      <c r="AA25" s="1237"/>
      <c r="AB25" s="1235"/>
      <c r="AC25" s="1235"/>
      <c r="AD25" s="1235"/>
      <c r="AE25" s="1261"/>
      <c r="AF25" s="1242"/>
      <c r="AG25" s="1162"/>
      <c r="AH25" s="1162"/>
      <c r="AI25" s="1162"/>
      <c r="AJ25" s="1261"/>
      <c r="AK25" s="1242"/>
      <c r="AL25" s="1162"/>
      <c r="AM25" s="1162"/>
      <c r="AN25" s="1162"/>
      <c r="AO25" s="1261"/>
      <c r="AP25" s="1237">
        <f>AP21-AP11</f>
        <v>22812</v>
      </c>
      <c r="AQ25" s="1235">
        <f>AQ21-AQ11</f>
        <v>24978.3</v>
      </c>
      <c r="AR25" s="1235">
        <f>AR21-AR11</f>
        <v>24023.100000000002</v>
      </c>
      <c r="AS25" s="1235">
        <f>AS21-AS11</f>
        <v>26735.3</v>
      </c>
      <c r="AT25" s="1261"/>
      <c r="AU25" s="1237">
        <f>AU21-AU11</f>
        <v>23395.199999999997</v>
      </c>
      <c r="AV25" s="1235">
        <f>AV21-AV11</f>
        <v>24307.600000000002</v>
      </c>
      <c r="AW25" s="1235">
        <f>AW21-AW11</f>
        <v>25786.399999999998</v>
      </c>
      <c r="AX25" s="1235">
        <f>AX21-AX11</f>
        <v>28000.400000000005</v>
      </c>
      <c r="AY25" s="1261"/>
      <c r="AZ25" s="1242"/>
      <c r="BA25" s="1162"/>
      <c r="BB25" s="1162"/>
      <c r="BC25" s="1162"/>
      <c r="BD25" s="1261"/>
      <c r="BE25" s="1242"/>
      <c r="BF25" s="1162"/>
      <c r="BG25" s="1162"/>
      <c r="BH25" s="1162"/>
      <c r="BI25" s="1261"/>
      <c r="BJ25" s="1242"/>
      <c r="BK25" s="1162"/>
      <c r="BL25" s="1162"/>
      <c r="BM25" s="1162"/>
      <c r="BN25" s="1261"/>
      <c r="BO25" s="1242"/>
      <c r="BP25" s="1162"/>
      <c r="BQ25" s="1162"/>
      <c r="BR25" s="1162"/>
      <c r="BS25" s="1162"/>
      <c r="BT25" s="1242"/>
      <c r="BU25" s="1162"/>
      <c r="BV25" s="1162"/>
      <c r="BW25" s="1162"/>
      <c r="BX25" s="1261"/>
      <c r="BY25" s="1242"/>
      <c r="BZ25" s="1162"/>
      <c r="CA25" s="1162"/>
      <c r="CB25" s="1162"/>
      <c r="CC25" s="1757"/>
      <c r="CD25" s="1242"/>
      <c r="CE25" s="1162"/>
      <c r="CF25" s="1162"/>
      <c r="CG25" s="1162"/>
      <c r="CH25" s="1757"/>
      <c r="CI25" s="1162"/>
      <c r="CJ25" s="860"/>
      <c r="CK25" s="1242"/>
      <c r="CL25" s="1162"/>
      <c r="CM25" s="1162"/>
      <c r="CN25" s="1162"/>
      <c r="CO25" s="1232"/>
      <c r="CP25" s="1242"/>
      <c r="CQ25" s="1162"/>
      <c r="CR25" s="1162"/>
      <c r="CS25" s="1162"/>
      <c r="CT25" s="1232"/>
      <c r="CU25" s="1242"/>
      <c r="CV25" s="1162"/>
      <c r="CW25" s="1162"/>
      <c r="CX25" s="1162"/>
      <c r="CY25" s="1232"/>
      <c r="CZ25" s="1233"/>
      <c r="DA25" s="860"/>
      <c r="DB25" s="860"/>
      <c r="DC25" s="860"/>
      <c r="DD25" s="1232"/>
      <c r="DE25" s="1233"/>
      <c r="DF25" s="860"/>
      <c r="DG25" s="860"/>
      <c r="DH25" s="860"/>
      <c r="DI25" s="1232"/>
      <c r="DJ25" s="1233"/>
      <c r="DK25" s="860"/>
      <c r="DL25" s="860"/>
      <c r="DM25" s="860"/>
      <c r="DN25" s="1232"/>
      <c r="DO25" s="1233"/>
      <c r="DP25" s="860"/>
      <c r="DQ25" s="860"/>
      <c r="DR25" s="860"/>
      <c r="DS25" s="1232"/>
      <c r="DT25" s="1233"/>
      <c r="DU25" s="860"/>
      <c r="DV25" s="860"/>
      <c r="DW25" s="860"/>
      <c r="DX25" s="1232"/>
      <c r="DY25" s="1233"/>
      <c r="DZ25" s="860"/>
      <c r="EA25" s="860"/>
      <c r="EB25" s="860"/>
      <c r="EC25" s="1232"/>
      <c r="ED25" s="860"/>
      <c r="EE25" s="860"/>
      <c r="EF25" s="860"/>
      <c r="EG25" s="860"/>
      <c r="EH25" s="860"/>
      <c r="EI25" s="1233"/>
      <c r="EJ25" s="860"/>
      <c r="EK25" s="860"/>
      <c r="EL25" s="860"/>
      <c r="EM25" s="1232"/>
      <c r="EN25" s="1233"/>
      <c r="EO25" s="860"/>
      <c r="EP25" s="860"/>
      <c r="EQ25" s="860"/>
      <c r="ER25" s="1232"/>
      <c r="ES25" s="860"/>
      <c r="ET25" s="860"/>
      <c r="EU25" s="860"/>
      <c r="EV25" s="860"/>
      <c r="EW25" s="1232"/>
      <c r="EX25" s="1233"/>
      <c r="EY25" s="860"/>
      <c r="EZ25" s="860"/>
      <c r="FB25" s="1754"/>
      <c r="FC25" s="1233"/>
      <c r="FD25" s="860"/>
      <c r="FE25" s="860"/>
      <c r="FF25" s="860"/>
      <c r="FG25" s="1753"/>
      <c r="FH25" s="860"/>
      <c r="FI25" s="860"/>
      <c r="FJ25" s="860"/>
      <c r="FY25" s="860"/>
      <c r="FZ25" s="860"/>
      <c r="GA25" s="860"/>
      <c r="GB25" s="860"/>
      <c r="GC25" s="860"/>
      <c r="GD25" s="860"/>
      <c r="GE25" s="860"/>
      <c r="GF25" s="860"/>
      <c r="GG25" s="860"/>
      <c r="GH25" s="860"/>
      <c r="GI25" s="860"/>
      <c r="GJ25" s="860"/>
      <c r="GK25" s="860"/>
      <c r="GL25" s="860"/>
      <c r="GM25" s="860"/>
      <c r="GN25" s="860"/>
      <c r="GO25" s="860"/>
      <c r="GP25" s="860"/>
      <c r="GQ25" s="860"/>
      <c r="GR25" s="1241"/>
      <c r="GS25" s="1218"/>
      <c r="GT25" s="1241"/>
      <c r="GU25" s="1218"/>
      <c r="GV25" s="1241"/>
      <c r="GW25" s="1218"/>
      <c r="GX25" s="1218"/>
      <c r="GY25" s="1241"/>
      <c r="GZ25" s="1218"/>
      <c r="HA25" s="1218"/>
      <c r="HB25" s="1241"/>
      <c r="HC25" s="1218"/>
      <c r="HD25" s="2000"/>
      <c r="HE25" s="1241"/>
      <c r="HF25" s="1218"/>
      <c r="HG25" s="2000"/>
      <c r="HH25" s="1241"/>
      <c r="HI25" s="1241"/>
      <c r="HJ25" s="1218"/>
      <c r="HK25" s="2000"/>
      <c r="HL25" s="1241"/>
      <c r="HM25" s="1218"/>
      <c r="HN25" s="2000"/>
      <c r="HO25" s="1241"/>
      <c r="HP25" s="1218"/>
      <c r="HQ25" s="2000"/>
      <c r="HR25" s="1241"/>
    </row>
    <row r="26" spans="1:226" ht="14.25" customHeight="1">
      <c r="A26" s="1509"/>
      <c r="B26" s="1259"/>
      <c r="C26" s="1673"/>
      <c r="D26" s="1673"/>
      <c r="E26" s="1673"/>
      <c r="F26" s="1260"/>
      <c r="G26" s="1259"/>
      <c r="H26" s="1673"/>
      <c r="I26" s="1673"/>
      <c r="J26" s="1673"/>
      <c r="K26" s="1260"/>
      <c r="L26" s="1259"/>
      <c r="M26" s="1673"/>
      <c r="N26" s="1676"/>
      <c r="O26" s="1162"/>
      <c r="P26" s="1232"/>
      <c r="Q26" s="1242"/>
      <c r="R26" s="1162"/>
      <c r="S26" s="1162"/>
      <c r="T26" s="1162"/>
      <c r="U26" s="1261"/>
      <c r="V26" s="1237"/>
      <c r="W26" s="1235"/>
      <c r="X26" s="1235"/>
      <c r="Y26" s="1235"/>
      <c r="Z26" s="1238"/>
      <c r="AA26" s="1237"/>
      <c r="AB26" s="1235"/>
      <c r="AC26" s="1235"/>
      <c r="AD26" s="1235"/>
      <c r="AE26" s="1261"/>
      <c r="AF26" s="1242"/>
      <c r="AG26" s="1162"/>
      <c r="AH26" s="1162"/>
      <c r="AI26" s="1162"/>
      <c r="AJ26" s="1261"/>
      <c r="AK26" s="1242"/>
      <c r="AL26" s="1162"/>
      <c r="AM26" s="1162"/>
      <c r="AN26" s="1162"/>
      <c r="AO26" s="1261"/>
      <c r="AP26" s="1237"/>
      <c r="AQ26" s="860"/>
      <c r="AR26" s="860"/>
      <c r="AS26" s="1656"/>
      <c r="AT26" s="1261"/>
      <c r="AU26" s="1242"/>
      <c r="AV26" s="1162"/>
      <c r="AW26" s="1235"/>
      <c r="AX26" s="1235"/>
      <c r="AY26" s="1261"/>
      <c r="AZ26" s="1242"/>
      <c r="BA26" s="1162"/>
      <c r="BB26" s="1162"/>
      <c r="BC26" s="1162"/>
      <c r="BD26" s="1261"/>
      <c r="BE26" s="1242"/>
      <c r="BF26" s="1162"/>
      <c r="BG26" s="1162"/>
      <c r="BH26" s="1162"/>
      <c r="BI26" s="1261"/>
      <c r="BJ26" s="1242"/>
      <c r="BK26" s="1162"/>
      <c r="BL26" s="1162"/>
      <c r="BM26" s="1162"/>
      <c r="BN26" s="1162"/>
      <c r="BO26" s="1242"/>
      <c r="BP26" s="1162"/>
      <c r="BQ26" s="1162"/>
      <c r="BR26" s="1162"/>
      <c r="BS26" s="1162"/>
      <c r="BT26" s="1242"/>
      <c r="BU26" s="1162"/>
      <c r="BV26" s="1162"/>
      <c r="BW26" s="1162"/>
      <c r="BX26" s="1261"/>
      <c r="BY26" s="1242"/>
      <c r="BZ26" s="1162"/>
      <c r="CA26" s="1162"/>
      <c r="CB26" s="1162"/>
      <c r="CC26" s="1757"/>
      <c r="CD26" s="1242"/>
      <c r="CE26" s="1162"/>
      <c r="CF26" s="1162"/>
      <c r="CG26" s="1162"/>
      <c r="CH26" s="1757"/>
      <c r="CI26" s="1162"/>
      <c r="CJ26" s="860"/>
      <c r="CK26" s="1242"/>
      <c r="CL26" s="1162"/>
      <c r="CM26" s="1162"/>
      <c r="CN26" s="1162"/>
      <c r="CO26" s="1232"/>
      <c r="CP26" s="1242"/>
      <c r="CQ26" s="1162"/>
      <c r="CR26" s="1162"/>
      <c r="CS26" s="1162"/>
      <c r="CT26" s="1232"/>
      <c r="CU26" s="1242"/>
      <c r="CV26" s="1162"/>
      <c r="CW26" s="1162"/>
      <c r="CX26" s="1162"/>
      <c r="CY26" s="1232"/>
      <c r="CZ26" s="1233"/>
      <c r="DA26" s="860"/>
      <c r="DB26" s="860"/>
      <c r="DC26" s="860"/>
      <c r="DD26" s="1232"/>
      <c r="DE26" s="1233"/>
      <c r="DF26" s="860"/>
      <c r="DG26" s="860"/>
      <c r="DH26" s="860"/>
      <c r="DI26" s="1232"/>
      <c r="DJ26" s="1233"/>
      <c r="DK26" s="860"/>
      <c r="DL26" s="860"/>
      <c r="DM26" s="860"/>
      <c r="DN26" s="1232"/>
      <c r="DO26" s="1233"/>
      <c r="DP26" s="860"/>
      <c r="DQ26" s="860"/>
      <c r="DR26" s="860"/>
      <c r="DS26" s="1232"/>
      <c r="DT26" s="1233"/>
      <c r="DU26" s="860"/>
      <c r="DV26" s="860"/>
      <c r="DW26" s="860"/>
      <c r="DX26" s="1232"/>
      <c r="DY26" s="1233"/>
      <c r="DZ26" s="860"/>
      <c r="EA26" s="860"/>
      <c r="EB26" s="860"/>
      <c r="EC26" s="1232"/>
      <c r="ED26" s="860"/>
      <c r="EE26" s="860"/>
      <c r="EF26" s="860"/>
      <c r="EG26" s="860"/>
      <c r="EH26" s="860"/>
      <c r="EI26" s="1233"/>
      <c r="EJ26" s="860"/>
      <c r="EK26" s="860"/>
      <c r="EL26" s="860"/>
      <c r="EM26" s="1232"/>
      <c r="EN26" s="1233"/>
      <c r="EO26" s="860"/>
      <c r="EP26" s="860"/>
      <c r="EQ26" s="860"/>
      <c r="ER26" s="1232"/>
      <c r="ES26" s="860"/>
      <c r="ET26" s="860"/>
      <c r="EU26" s="860"/>
      <c r="EV26" s="860"/>
      <c r="EW26" s="1232"/>
      <c r="EX26" s="1233"/>
      <c r="EY26" s="860"/>
      <c r="EZ26" s="860"/>
      <c r="FB26" s="1754"/>
      <c r="FC26" s="1233"/>
      <c r="FD26" s="860"/>
      <c r="FE26" s="860"/>
      <c r="FF26" s="860"/>
      <c r="FG26" s="1753"/>
      <c r="FH26" s="860"/>
      <c r="FI26" s="860"/>
      <c r="FJ26" s="860"/>
      <c r="FY26" s="860"/>
      <c r="FZ26" s="860"/>
      <c r="GA26" s="860"/>
      <c r="GB26" s="860"/>
      <c r="GC26" s="860"/>
      <c r="GD26" s="860"/>
      <c r="GE26" s="860"/>
      <c r="GF26" s="860"/>
      <c r="GG26" s="860"/>
      <c r="GH26" s="860"/>
      <c r="GI26" s="860"/>
      <c r="GJ26" s="860"/>
      <c r="GK26" s="860"/>
      <c r="GL26" s="860"/>
      <c r="GM26" s="860"/>
      <c r="GN26" s="860"/>
      <c r="GO26" s="860"/>
      <c r="GP26" s="860"/>
      <c r="GQ26" s="860"/>
      <c r="GR26" s="1241"/>
      <c r="GS26" s="1218"/>
      <c r="GT26" s="1241"/>
      <c r="GU26" s="1218"/>
      <c r="GV26" s="1241"/>
      <c r="GW26" s="1218"/>
      <c r="GX26" s="1218"/>
      <c r="GY26" s="1241"/>
      <c r="GZ26" s="1218"/>
      <c r="HA26" s="1218"/>
      <c r="HB26" s="1241"/>
      <c r="HC26" s="1218"/>
      <c r="HD26" s="2000"/>
      <c r="HE26" s="1241"/>
      <c r="HF26" s="1218"/>
      <c r="HG26" s="2000"/>
      <c r="HH26" s="1241"/>
      <c r="HI26" s="1241"/>
      <c r="HJ26" s="1218"/>
      <c r="HK26" s="2000"/>
      <c r="HL26" s="1241"/>
      <c r="HM26" s="1218"/>
      <c r="HN26" s="2000"/>
      <c r="HO26" s="1241"/>
      <c r="HP26" s="1218"/>
      <c r="HQ26" s="2000"/>
      <c r="HR26" s="1241"/>
    </row>
    <row r="27" spans="1:226" ht="14.25" customHeight="1">
      <c r="A27" s="1509"/>
      <c r="B27" s="1259"/>
      <c r="C27" s="1673"/>
      <c r="D27" s="1673"/>
      <c r="E27" s="1673"/>
      <c r="F27" s="1260"/>
      <c r="G27" s="1259"/>
      <c r="H27" s="1673"/>
      <c r="I27" s="1673"/>
      <c r="J27" s="1673"/>
      <c r="K27" s="1260"/>
      <c r="L27" s="1259"/>
      <c r="M27" s="1673"/>
      <c r="N27" s="1676"/>
      <c r="O27" s="1162"/>
      <c r="P27" s="1232"/>
      <c r="Q27" s="1242"/>
      <c r="R27" s="1162"/>
      <c r="S27" s="1162"/>
      <c r="T27" s="1162"/>
      <c r="U27" s="1261"/>
      <c r="V27" s="1237"/>
      <c r="W27" s="1235"/>
      <c r="X27" s="1235"/>
      <c r="Y27" s="1235"/>
      <c r="Z27" s="1238"/>
      <c r="AA27" s="1237"/>
      <c r="AB27" s="1235"/>
      <c r="AC27" s="1235"/>
      <c r="AD27" s="1235"/>
      <c r="AE27" s="1261"/>
      <c r="AF27" s="1242"/>
      <c r="AG27" s="1162"/>
      <c r="AH27" s="1162"/>
      <c r="AI27" s="1162"/>
      <c r="AJ27" s="1261"/>
      <c r="AK27" s="1242"/>
      <c r="AL27" s="1162"/>
      <c r="AM27" s="1162"/>
      <c r="AN27" s="1162"/>
      <c r="AO27" s="1261"/>
      <c r="AP27" s="1237"/>
      <c r="AQ27" s="860"/>
      <c r="AR27" s="860"/>
      <c r="AS27" s="1656"/>
      <c r="AT27" s="1261"/>
      <c r="AU27" s="1242"/>
      <c r="AV27" s="1162"/>
      <c r="AW27" s="1235"/>
      <c r="AX27" s="1235"/>
      <c r="AY27" s="1261"/>
      <c r="AZ27" s="1242"/>
      <c r="BA27" s="1162"/>
      <c r="BB27" s="1162"/>
      <c r="BC27" s="1162"/>
      <c r="BD27" s="1261"/>
      <c r="BI27" s="1261"/>
      <c r="BN27" s="1162"/>
      <c r="BO27" s="1242"/>
      <c r="BT27" s="1242"/>
      <c r="BY27" s="1242"/>
      <c r="CC27" s="1757"/>
      <c r="CE27" s="1234"/>
      <c r="CF27" s="1234"/>
      <c r="CG27" s="1234"/>
      <c r="CH27" s="1757"/>
      <c r="CI27" s="1162"/>
      <c r="CJ27" s="860"/>
      <c r="CK27" s="1242"/>
      <c r="CL27" s="1162"/>
      <c r="CM27" s="1162"/>
      <c r="CN27" s="1162"/>
      <c r="CO27" s="1232"/>
      <c r="CP27" s="1242"/>
      <c r="CQ27" s="1162"/>
      <c r="CR27" s="1162"/>
      <c r="CS27" s="1162"/>
      <c r="CT27" s="1232"/>
      <c r="CU27" s="1242"/>
      <c r="CV27" s="1162"/>
      <c r="CW27" s="1162"/>
      <c r="CX27" s="1162"/>
      <c r="CY27" s="1232"/>
      <c r="CZ27" s="1233"/>
      <c r="DA27" s="860"/>
      <c r="DB27" s="860"/>
      <c r="DC27" s="860"/>
      <c r="DD27" s="1232"/>
      <c r="DE27" s="1233"/>
      <c r="DF27" s="860"/>
      <c r="DG27" s="860"/>
      <c r="DH27" s="860"/>
      <c r="DI27" s="1232"/>
      <c r="DJ27" s="1233"/>
      <c r="DK27" s="860"/>
      <c r="DL27" s="860"/>
      <c r="DM27" s="860"/>
      <c r="DN27" s="1232"/>
      <c r="DO27" s="1233"/>
      <c r="DP27" s="860"/>
      <c r="DQ27" s="860"/>
      <c r="DR27" s="860"/>
      <c r="DS27" s="1232"/>
      <c r="DT27" s="1233"/>
      <c r="DU27" s="860"/>
      <c r="DV27" s="860"/>
      <c r="DW27" s="860"/>
      <c r="DX27" s="1232"/>
      <c r="DY27" s="1233"/>
      <c r="DZ27" s="860"/>
      <c r="EA27" s="860"/>
      <c r="EB27" s="860"/>
      <c r="EC27" s="1232"/>
      <c r="ED27" s="860"/>
      <c r="EE27" s="860"/>
      <c r="EF27" s="860"/>
      <c r="EG27" s="860"/>
      <c r="EH27" s="860"/>
      <c r="EI27" s="1233"/>
      <c r="EJ27" s="860"/>
      <c r="EK27" s="860"/>
      <c r="EL27" s="860"/>
      <c r="EM27" s="1232"/>
      <c r="EN27" s="1233"/>
      <c r="EO27" s="860"/>
      <c r="EP27" s="860"/>
      <c r="EQ27" s="860"/>
      <c r="ER27" s="1232"/>
      <c r="ES27" s="860"/>
      <c r="ET27" s="860"/>
      <c r="EU27" s="860"/>
      <c r="EV27" s="860"/>
      <c r="EW27" s="1232"/>
      <c r="EX27" s="1233"/>
      <c r="EY27" s="860"/>
      <c r="EZ27" s="860"/>
      <c r="FA27" s="860"/>
      <c r="FB27" s="1754"/>
      <c r="FC27" s="1233"/>
      <c r="FD27" s="860"/>
      <c r="FE27" s="860"/>
      <c r="FF27" s="860"/>
      <c r="FG27" s="1753"/>
      <c r="FH27" s="860"/>
      <c r="FI27" s="860"/>
      <c r="FJ27" s="860"/>
      <c r="FY27" s="860"/>
      <c r="FZ27" s="860"/>
      <c r="GA27" s="860"/>
      <c r="GB27" s="860"/>
      <c r="GC27" s="860"/>
      <c r="GD27" s="860"/>
      <c r="GE27" s="860"/>
      <c r="GF27" s="860"/>
      <c r="GG27" s="860"/>
      <c r="GH27" s="860"/>
      <c r="GI27" s="860"/>
      <c r="GJ27" s="860"/>
      <c r="GK27" s="860"/>
      <c r="GL27" s="860"/>
      <c r="GM27" s="860"/>
      <c r="GN27" s="860"/>
      <c r="GO27" s="860"/>
      <c r="GP27" s="860"/>
      <c r="GQ27" s="860"/>
      <c r="GR27" s="1241"/>
      <c r="GS27" s="1218"/>
      <c r="GT27" s="1241"/>
      <c r="GU27" s="1218"/>
      <c r="GV27" s="1241"/>
      <c r="GW27" s="1218"/>
      <c r="GX27" s="1218"/>
      <c r="GY27" s="1241"/>
      <c r="GZ27" s="1218"/>
      <c r="HA27" s="1218"/>
      <c r="HB27" s="1631"/>
      <c r="HC27" s="1218"/>
      <c r="HD27" s="2000"/>
      <c r="HE27" s="1631"/>
      <c r="HF27" s="1218"/>
      <c r="HG27" s="2000"/>
      <c r="HH27" s="1241"/>
      <c r="HI27" s="1631"/>
      <c r="HJ27" s="1218"/>
      <c r="HK27" s="2000"/>
      <c r="HL27" s="1631"/>
      <c r="HM27" s="1218"/>
      <c r="HN27" s="2000"/>
      <c r="HO27" s="1631"/>
      <c r="HP27" s="1218"/>
      <c r="HQ27" s="2000"/>
      <c r="HR27" s="1631">
        <v>5926.7</v>
      </c>
    </row>
    <row r="28" spans="1:226">
      <c r="A28" s="1264" t="s">
        <v>207</v>
      </c>
      <c r="B28" s="1259"/>
      <c r="C28" s="1673"/>
      <c r="D28" s="1673"/>
      <c r="E28" s="1673"/>
      <c r="F28" s="1260"/>
      <c r="G28" s="1259"/>
      <c r="H28" s="1673"/>
      <c r="I28" s="1673"/>
      <c r="J28" s="1673"/>
      <c r="K28" s="1260"/>
      <c r="L28" s="1259"/>
      <c r="M28" s="1673"/>
      <c r="N28" s="1673"/>
      <c r="O28" s="860"/>
      <c r="P28" s="1232"/>
      <c r="Q28" s="1233"/>
      <c r="R28" s="860"/>
      <c r="S28" s="860"/>
      <c r="T28" s="860"/>
      <c r="U28" s="1232"/>
      <c r="V28" s="1233"/>
      <c r="W28" s="860"/>
      <c r="X28" s="860"/>
      <c r="Y28" s="860"/>
      <c r="Z28" s="1261"/>
      <c r="AA28" s="1237"/>
      <c r="AB28" s="1235"/>
      <c r="AC28" s="1235"/>
      <c r="AD28" s="1235"/>
      <c r="AE28" s="1261"/>
      <c r="AF28" s="1242"/>
      <c r="AG28" s="1162"/>
      <c r="AH28" s="1162"/>
      <c r="AI28" s="1162"/>
      <c r="AJ28" s="1261"/>
      <c r="AK28" s="1242"/>
      <c r="AL28" s="1162"/>
      <c r="AM28" s="1162"/>
      <c r="AN28" s="1162"/>
      <c r="AO28" s="1261"/>
      <c r="AP28" s="1233"/>
      <c r="AQ28" s="860"/>
      <c r="AR28" s="860"/>
      <c r="AS28" s="860"/>
      <c r="AT28" s="1261"/>
      <c r="AU28" s="1242"/>
      <c r="AV28" s="1162"/>
      <c r="AW28" s="1243"/>
      <c r="AX28" s="1235"/>
      <c r="AY28" s="1261"/>
      <c r="AZ28" s="1242"/>
      <c r="BA28" s="1162"/>
      <c r="BB28" s="1162"/>
      <c r="BC28" s="1162"/>
      <c r="BD28" s="1261"/>
      <c r="BE28" s="1242"/>
      <c r="BF28" s="1162"/>
      <c r="BG28" s="1162"/>
      <c r="BH28" s="1162"/>
      <c r="BI28" s="1261"/>
      <c r="BN28" s="1261"/>
      <c r="BT28" s="1242"/>
      <c r="BY28" s="1242"/>
      <c r="CC28" s="1757"/>
      <c r="CE28" s="1217"/>
      <c r="CF28" s="1217"/>
      <c r="CG28" s="1217"/>
      <c r="CH28" s="1757"/>
      <c r="CI28" s="1162"/>
      <c r="CJ28" s="860"/>
      <c r="CK28" s="1242"/>
      <c r="CL28" s="1162"/>
      <c r="CM28" s="1162"/>
      <c r="CN28" s="1162"/>
      <c r="CO28" s="1232"/>
      <c r="CP28" s="1242"/>
      <c r="CQ28" s="1162"/>
      <c r="CR28" s="1162"/>
      <c r="CS28" s="1162"/>
      <c r="CT28" s="1232"/>
      <c r="CU28" s="1242"/>
      <c r="CV28" s="1162"/>
      <c r="CW28" s="1162"/>
      <c r="CX28" s="1162"/>
      <c r="CY28" s="1232"/>
      <c r="CZ28" s="1233"/>
      <c r="DA28" s="860"/>
      <c r="DB28" s="860"/>
      <c r="DC28" s="860"/>
      <c r="DD28" s="1232"/>
      <c r="DE28" s="1233"/>
      <c r="DF28" s="860"/>
      <c r="DG28" s="860"/>
      <c r="DH28" s="860"/>
      <c r="DI28" s="1232"/>
      <c r="DJ28" s="1233"/>
      <c r="DK28" s="860"/>
      <c r="DL28" s="860"/>
      <c r="DM28" s="860"/>
      <c r="DN28" s="1232"/>
      <c r="DO28" s="1233"/>
      <c r="DP28" s="860"/>
      <c r="DQ28" s="860"/>
      <c r="DR28" s="860"/>
      <c r="DS28" s="1232"/>
      <c r="DT28" s="1233"/>
      <c r="DU28" s="860"/>
      <c r="DV28" s="860"/>
      <c r="DW28" s="860"/>
      <c r="DX28" s="1232"/>
      <c r="DY28" s="1233"/>
      <c r="DZ28" s="860"/>
      <c r="EA28" s="860"/>
      <c r="EB28" s="860"/>
      <c r="EC28" s="1232"/>
      <c r="ED28" s="860"/>
      <c r="EE28" s="860"/>
      <c r="EF28" s="860"/>
      <c r="EG28" s="860"/>
      <c r="EH28" s="860"/>
      <c r="EI28" s="1233"/>
      <c r="EJ28" s="860"/>
      <c r="EK28" s="860"/>
      <c r="EL28" s="860"/>
      <c r="EM28" s="1232"/>
      <c r="EN28" s="1233"/>
      <c r="EO28" s="860"/>
      <c r="EP28" s="860"/>
      <c r="EQ28" s="860"/>
      <c r="ER28" s="1232"/>
      <c r="ES28" s="860"/>
      <c r="ET28" s="860"/>
      <c r="EU28" s="860"/>
      <c r="EV28" s="860"/>
      <c r="EW28" s="1232"/>
      <c r="EX28" s="1233"/>
      <c r="EY28" s="860"/>
      <c r="EZ28" s="860"/>
      <c r="FA28" s="860"/>
      <c r="FB28" s="1754"/>
      <c r="FC28" s="1233"/>
      <c r="FD28" s="860"/>
      <c r="FE28" s="860"/>
      <c r="FF28" s="860"/>
      <c r="FG28" s="1753"/>
      <c r="FH28" s="860"/>
      <c r="FI28" s="860"/>
      <c r="FJ28" s="860"/>
      <c r="FY28" s="860"/>
      <c r="FZ28" s="860"/>
      <c r="GA28" s="860"/>
      <c r="GB28" s="860"/>
      <c r="GC28" s="860"/>
      <c r="GD28" s="860"/>
      <c r="GE28" s="860"/>
      <c r="GF28" s="860"/>
      <c r="GG28" s="860"/>
      <c r="GH28" s="860"/>
      <c r="GI28" s="860"/>
      <c r="GJ28" s="860"/>
      <c r="GK28" s="860"/>
      <c r="GL28" s="860"/>
      <c r="GM28" s="860"/>
      <c r="GN28" s="860"/>
      <c r="GO28" s="860"/>
      <c r="GP28" s="860"/>
      <c r="GQ28" s="860"/>
      <c r="GR28" s="1241"/>
      <c r="GS28" s="1218"/>
      <c r="GT28" s="1241"/>
      <c r="GU28" s="1218"/>
      <c r="GV28" s="1241"/>
      <c r="GW28" s="1218"/>
      <c r="GX28" s="1218"/>
      <c r="GY28" s="1241"/>
      <c r="GZ28" s="1218"/>
      <c r="HA28" s="1218"/>
      <c r="HB28" s="1376"/>
      <c r="HC28" s="1218"/>
      <c r="HD28" s="2000"/>
      <c r="HE28" s="1376"/>
      <c r="HF28" s="1218"/>
      <c r="HG28" s="2000"/>
      <c r="HH28" s="1241"/>
      <c r="HI28" s="1376"/>
      <c r="HJ28" s="1218"/>
      <c r="HK28" s="2000"/>
      <c r="HL28" s="1376"/>
      <c r="HM28" s="1218"/>
      <c r="HN28" s="2000"/>
      <c r="HO28" s="1376"/>
      <c r="HP28" s="1218"/>
      <c r="HQ28" s="2000"/>
      <c r="HR28" s="1247">
        <v>6.1466821885913792E-2</v>
      </c>
    </row>
    <row r="29" spans="1:226" ht="14.25" customHeight="1">
      <c r="A29" s="1132" t="s">
        <v>94</v>
      </c>
      <c r="B29" s="1682"/>
      <c r="C29" s="1675"/>
      <c r="D29" s="1675"/>
      <c r="E29" s="1675"/>
      <c r="F29" s="1683"/>
      <c r="G29" s="1237">
        <v>2163.6</v>
      </c>
      <c r="H29" s="1235">
        <v>3522.2</v>
      </c>
      <c r="I29" s="1235">
        <v>4002.5</v>
      </c>
      <c r="J29" s="1235">
        <v>4792.3999999999996</v>
      </c>
      <c r="K29" s="1238">
        <f>+SUM(G29:J29)</f>
        <v>14480.699999999999</v>
      </c>
      <c r="L29" s="1237">
        <v>2597.6</v>
      </c>
      <c r="M29" s="1235">
        <v>3778.6</v>
      </c>
      <c r="N29" s="1235">
        <v>4227.2</v>
      </c>
      <c r="O29" s="1235">
        <v>4807.8</v>
      </c>
      <c r="P29" s="1238">
        <f>+SUM(L29:O29)</f>
        <v>15411.2</v>
      </c>
      <c r="Q29" s="1237">
        <v>2378.6</v>
      </c>
      <c r="R29" s="1235">
        <v>4066.8</v>
      </c>
      <c r="S29" s="1235">
        <v>4415.1000000000004</v>
      </c>
      <c r="T29" s="1235">
        <f>15566-Q29-R29-S29</f>
        <v>4705.4999999999982</v>
      </c>
      <c r="U29" s="1238">
        <f>+SUM(Q29:T29)</f>
        <v>15565.999999999998</v>
      </c>
      <c r="V29" s="1237">
        <v>2400.1</v>
      </c>
      <c r="W29" s="1235">
        <v>3957.5</v>
      </c>
      <c r="X29" s="1235">
        <v>4042</v>
      </c>
      <c r="Y29" s="1235">
        <f>15534.3-V29-W29-X29</f>
        <v>5134.6999999999989</v>
      </c>
      <c r="Z29" s="1238">
        <f>+SUM(V29:Y29)</f>
        <v>15534.3</v>
      </c>
      <c r="AA29" s="1237">
        <v>2609</v>
      </c>
      <c r="AB29" s="1235">
        <v>3378.5</v>
      </c>
      <c r="AC29" s="1235">
        <v>4021.7</v>
      </c>
      <c r="AD29" s="1235">
        <f>14564.2-AA29-AB29-AC29</f>
        <v>4555.0000000000009</v>
      </c>
      <c r="AE29" s="1238">
        <f>Master!N53</f>
        <v>14564.2</v>
      </c>
      <c r="AF29" s="1237">
        <v>2655</v>
      </c>
      <c r="AG29" s="1235">
        <v>3682.6</v>
      </c>
      <c r="AH29" s="1235">
        <v>3642.6</v>
      </c>
      <c r="AI29" s="1235">
        <v>4767.8</v>
      </c>
      <c r="AJ29" s="1238">
        <f>Master!O53</f>
        <v>14748</v>
      </c>
      <c r="AK29" s="1237">
        <v>2618.6</v>
      </c>
      <c r="AL29" s="1235">
        <v>3185.1</v>
      </c>
      <c r="AM29" s="1659">
        <f>3102.1</f>
        <v>3102.1</v>
      </c>
      <c r="AN29" s="1235">
        <v>3919.5</v>
      </c>
      <c r="AO29" s="1238">
        <f>Master!P53</f>
        <v>12825</v>
      </c>
      <c r="AP29" s="1237">
        <v>2820.1</v>
      </c>
      <c r="AQ29" s="1235">
        <f>3477.1+817.2</f>
        <v>4294.3</v>
      </c>
      <c r="AR29" s="1235">
        <f>3110.7+593.3</f>
        <v>3704</v>
      </c>
      <c r="AS29" s="1235">
        <f>14855.1-AP29-AQ29-AR29</f>
        <v>4036.7</v>
      </c>
      <c r="AT29" s="1238">
        <f>Master!Q53</f>
        <v>14855</v>
      </c>
      <c r="AU29" s="1237">
        <v>2267.3000000000002</v>
      </c>
      <c r="AV29" s="1235">
        <v>2928.3</v>
      </c>
      <c r="AW29" s="1235">
        <v>3112.3</v>
      </c>
      <c r="AX29" s="1651">
        <v>4545</v>
      </c>
      <c r="AY29" s="1238">
        <f>Master!R53</f>
        <v>12632</v>
      </c>
      <c r="AZ29" s="1324">
        <v>1613.9</v>
      </c>
      <c r="BA29" s="1246">
        <v>2080.8000000000002</v>
      </c>
      <c r="BB29" s="1246">
        <v>3294.7</v>
      </c>
      <c r="BC29" s="1235">
        <f>BD29-AZ29-BA29-BB29</f>
        <v>5371.3999999999987</v>
      </c>
      <c r="BD29" s="1238">
        <f>Master!S53</f>
        <v>12360.8</v>
      </c>
      <c r="BE29" s="1324">
        <v>2376.5</v>
      </c>
      <c r="BF29" s="1246">
        <v>2569.1999999999998</v>
      </c>
      <c r="BG29" s="1246">
        <v>3389.6</v>
      </c>
      <c r="BH29" s="1246">
        <v>5443.7</v>
      </c>
      <c r="BI29" s="1238">
        <f>Master!T53</f>
        <v>13779</v>
      </c>
      <c r="BN29" s="1238"/>
      <c r="BT29" s="1242"/>
      <c r="BY29" s="1242"/>
      <c r="CC29" s="1757"/>
      <c r="CE29" s="1162"/>
      <c r="CF29" s="1162"/>
      <c r="CG29" s="1162"/>
      <c r="CH29" s="1758"/>
      <c r="CI29" s="1235"/>
      <c r="CJ29" s="860"/>
      <c r="CK29" s="1242">
        <f t="shared" ref="CK29:CK40" si="37">L29/G29-1</f>
        <v>0.20059160658162334</v>
      </c>
      <c r="CL29" s="1162">
        <f t="shared" ref="CL29:CL40" si="38">M29/H29-1</f>
        <v>7.2795411958435086E-2</v>
      </c>
      <c r="CM29" s="1162">
        <f t="shared" ref="CM29:CM40" si="39">N29/I29-1</f>
        <v>5.6139912554653337E-2</v>
      </c>
      <c r="CN29" s="1162">
        <f t="shared" ref="CN29:CN40" si="40">O29/J29-1</f>
        <v>3.2134212503132087E-3</v>
      </c>
      <c r="CO29" s="1232"/>
      <c r="CP29" s="1242">
        <f t="shared" ref="CP29:CP40" si="41">Q29/L29-1</f>
        <v>-8.4308592546966432E-2</v>
      </c>
      <c r="CQ29" s="1162">
        <f t="shared" ref="CQ29:CQ40" si="42">R29/M29-1</f>
        <v>7.6271634997088888E-2</v>
      </c>
      <c r="CR29" s="1162">
        <f t="shared" ref="CR29:CR40" si="43">S29/N29-1</f>
        <v>4.4450227100681472E-2</v>
      </c>
      <c r="CS29" s="1162">
        <f t="shared" ref="CS29:CS40" si="44">T29/O29-1</f>
        <v>-2.1277923374516838E-2</v>
      </c>
      <c r="CT29" s="1232"/>
      <c r="CU29" s="1242">
        <f t="shared" ref="CU29:CU40" si="45">V29/Q29-1</f>
        <v>9.0389304632978451E-3</v>
      </c>
      <c r="CV29" s="1162">
        <f t="shared" ref="CV29:CV40" si="46">W29/R29-1</f>
        <v>-2.6876167994491995E-2</v>
      </c>
      <c r="CW29" s="1162">
        <f t="shared" ref="CW29:CW40" si="47">X29/S29-1</f>
        <v>-8.4505447215238672E-2</v>
      </c>
      <c r="CX29" s="1162">
        <f t="shared" ref="CX29:CX40" si="48">Y29/T29-1</f>
        <v>9.1212411008394723E-2</v>
      </c>
      <c r="CY29" s="1232"/>
      <c r="CZ29" s="1242">
        <f>AA29/V29-1</f>
        <v>8.703804008166327E-2</v>
      </c>
      <c r="DA29" s="1162">
        <f>AB29/W29-1</f>
        <v>-0.14630448515476946</v>
      </c>
      <c r="DB29" s="1162">
        <f>AC29/X29-1</f>
        <v>-5.0222662048491351E-3</v>
      </c>
      <c r="DC29" s="1162">
        <f>AD29/Y29-1</f>
        <v>-0.11289851403197815</v>
      </c>
      <c r="DD29" s="1232"/>
      <c r="DE29" s="1242">
        <f>AF29/AA29-1</f>
        <v>1.7631276351092406E-2</v>
      </c>
      <c r="DF29" s="1162">
        <f>AG29/AB29-1</f>
        <v>9.0010359627053393E-2</v>
      </c>
      <c r="DG29" s="1162">
        <f>AH29/AC29-1</f>
        <v>-9.4263619862247294E-2</v>
      </c>
      <c r="DH29" s="1162">
        <f>AI29/AD29-1</f>
        <v>4.6717892425905516E-2</v>
      </c>
      <c r="DI29" s="1232"/>
      <c r="DJ29" s="1242">
        <f>AK29/AF29-1</f>
        <v>-1.3709981167608354E-2</v>
      </c>
      <c r="DK29" s="1162">
        <f>AL29/AG29-1</f>
        <v>-0.13509476999945691</v>
      </c>
      <c r="DL29" s="1162">
        <f>AM29/AH29-1</f>
        <v>-0.14838302311535712</v>
      </c>
      <c r="DM29" s="1162">
        <f>AN29/AI29-1</f>
        <v>-0.17792273165820716</v>
      </c>
      <c r="DN29" s="1232"/>
      <c r="DO29" s="1242">
        <f>AP29/AK29-1</f>
        <v>7.6949515008019498E-2</v>
      </c>
      <c r="DP29" s="1162">
        <f>AQ29/AL29-1</f>
        <v>0.34824652287212343</v>
      </c>
      <c r="DQ29" s="1162">
        <f>AR29/AM29-1</f>
        <v>0.19402985074626877</v>
      </c>
      <c r="DR29" s="1162">
        <f>AS29/AN29-1</f>
        <v>2.9901773185355252E-2</v>
      </c>
      <c r="DS29" s="1232"/>
      <c r="DT29" s="1242">
        <f>AU29/AP29-1</f>
        <v>-0.19602141768022396</v>
      </c>
      <c r="DU29" s="1162">
        <f>AV29/AQ29-1</f>
        <v>-0.3180960808513611</v>
      </c>
      <c r="DV29" s="1162">
        <f>AW29/AR29-1</f>
        <v>-0.15974622030237573</v>
      </c>
      <c r="DW29" s="1162">
        <f>AX29/AS29-1</f>
        <v>0.12591968687294086</v>
      </c>
      <c r="DX29" s="1232"/>
      <c r="DY29" s="1242">
        <f>AZ29/AU29-1</f>
        <v>-0.28818418383098843</v>
      </c>
      <c r="DZ29" s="1162">
        <f>BA29/AV29-1</f>
        <v>-0.28941706792336852</v>
      </c>
      <c r="EA29" s="1162">
        <f>BB29/AW29-1</f>
        <v>5.8606175497220692E-2</v>
      </c>
      <c r="EB29" s="1162">
        <f>BC29/AX29-1</f>
        <v>0.18182618261826144</v>
      </c>
      <c r="EC29" s="1232"/>
      <c r="ED29" s="1162">
        <f>BE29/AZ29-1</f>
        <v>0.47251998265072181</v>
      </c>
      <c r="EE29" s="1162">
        <f>BF29/BA29-1</f>
        <v>0.23471741637831589</v>
      </c>
      <c r="EF29" s="1162">
        <f>BG29/BB29-1</f>
        <v>2.8803836464625032E-2</v>
      </c>
      <c r="EG29" s="1162">
        <f>BH29/BC29-1</f>
        <v>1.3460177979670362E-2</v>
      </c>
      <c r="EH29" s="860"/>
      <c r="EI29" s="1242"/>
      <c r="EJ29" s="1162"/>
      <c r="EK29" s="1162"/>
      <c r="EL29" s="1162"/>
      <c r="EM29" s="1232"/>
      <c r="EN29" s="1242"/>
      <c r="EO29" s="1162"/>
      <c r="EP29" s="1162"/>
      <c r="EQ29" s="1162"/>
      <c r="ER29" s="1232"/>
      <c r="ES29" s="1162"/>
      <c r="ET29" s="1162"/>
      <c r="EU29" s="1162"/>
      <c r="EV29" s="1162"/>
      <c r="EW29" s="1232"/>
      <c r="EX29" s="1242"/>
      <c r="EY29" s="1162"/>
      <c r="EZ29" s="1162"/>
      <c r="FA29" s="1162"/>
      <c r="FB29" s="1754"/>
      <c r="FC29" s="1242"/>
      <c r="FD29" s="1162"/>
      <c r="FE29" s="1162"/>
      <c r="FF29" s="1162"/>
      <c r="FG29" s="1756"/>
      <c r="FH29" s="860"/>
      <c r="FI29" s="860"/>
      <c r="FJ29" s="860"/>
      <c r="FY29" s="860"/>
      <c r="FZ29" s="860"/>
      <c r="GA29" s="860"/>
      <c r="GB29" s="860"/>
      <c r="GC29" s="860"/>
      <c r="GD29" s="860"/>
      <c r="GE29" s="860"/>
      <c r="GF29" s="860"/>
      <c r="GG29" s="860"/>
      <c r="GH29" s="860"/>
      <c r="GI29" s="860"/>
      <c r="GJ29" s="860"/>
      <c r="GK29" s="860"/>
      <c r="GL29" s="860"/>
      <c r="GM29" s="860"/>
      <c r="GN29" s="860"/>
      <c r="GO29" s="860"/>
      <c r="GP29" s="860"/>
      <c r="GQ29" s="860"/>
      <c r="GR29" s="1376"/>
      <c r="GS29" s="1241"/>
      <c r="GT29" s="1376"/>
      <c r="GU29" s="1241"/>
      <c r="GV29" s="1376"/>
      <c r="GW29" s="1241"/>
      <c r="GX29" s="1218"/>
      <c r="GY29" s="1376"/>
      <c r="GZ29" s="1241"/>
      <c r="HA29" s="1218"/>
      <c r="HB29" s="1376"/>
      <c r="HC29" s="1241"/>
      <c r="HD29" s="2000"/>
      <c r="HE29" s="1376"/>
      <c r="HF29" s="1241"/>
      <c r="HG29" s="2000"/>
      <c r="HH29" s="1376"/>
      <c r="HI29" s="1376"/>
      <c r="HJ29" s="1241"/>
      <c r="HK29" s="2000"/>
      <c r="HL29" s="1376"/>
      <c r="HM29" s="1241"/>
      <c r="HN29" s="2000"/>
      <c r="HO29" s="1376"/>
      <c r="HP29" s="1241"/>
      <c r="HQ29" s="2000"/>
      <c r="HR29" s="1241">
        <v>6.1466821885913792E-2</v>
      </c>
    </row>
    <row r="30" spans="1:226" ht="14.25" customHeight="1">
      <c r="A30" s="1132" t="s">
        <v>193</v>
      </c>
      <c r="B30" s="1682"/>
      <c r="C30" s="1675"/>
      <c r="D30" s="1675"/>
      <c r="E30" s="1675"/>
      <c r="F30" s="1683"/>
      <c r="G30" s="1237">
        <v>20.2</v>
      </c>
      <c r="H30" s="1235">
        <v>152.1</v>
      </c>
      <c r="I30" s="1235">
        <v>122.3</v>
      </c>
      <c r="J30" s="1235">
        <v>160.1</v>
      </c>
      <c r="K30" s="1238">
        <f>+SUM(G30:J30)</f>
        <v>454.69999999999993</v>
      </c>
      <c r="L30" s="1237">
        <v>33.4</v>
      </c>
      <c r="M30" s="1235">
        <v>155.19999999999999</v>
      </c>
      <c r="N30" s="1235">
        <v>123.5</v>
      </c>
      <c r="O30" s="1235">
        <v>135.6</v>
      </c>
      <c r="P30" s="1238">
        <f>+SUM(L30:O30)</f>
        <v>447.70000000000005</v>
      </c>
      <c r="Q30" s="1237">
        <v>1.5</v>
      </c>
      <c r="R30" s="1235">
        <v>118.1</v>
      </c>
      <c r="S30" s="1235">
        <v>64.900000000000006</v>
      </c>
      <c r="T30" s="1235">
        <f>328.9-Q30-R30-S30</f>
        <v>144.39999999999998</v>
      </c>
      <c r="U30" s="1238">
        <f>+SUM(Q30:T30)</f>
        <v>328.9</v>
      </c>
      <c r="V30" s="1237"/>
      <c r="W30" s="1235"/>
      <c r="X30" s="1235"/>
      <c r="Y30" s="1235"/>
      <c r="Z30" s="1238"/>
      <c r="AA30" s="1237"/>
      <c r="AB30" s="1235"/>
      <c r="AC30" s="1235"/>
      <c r="AD30" s="1235"/>
      <c r="AE30" s="1238"/>
      <c r="AF30" s="1237"/>
      <c r="AG30" s="1235"/>
      <c r="AH30" s="1235"/>
      <c r="AI30" s="1235"/>
      <c r="AJ30" s="1238"/>
      <c r="AK30" s="1237"/>
      <c r="AL30" s="1235"/>
      <c r="AM30" s="1235"/>
      <c r="AN30" s="1235"/>
      <c r="AO30" s="1238"/>
      <c r="AP30" s="1237"/>
      <c r="AQ30" s="1235"/>
      <c r="AR30" s="1235"/>
      <c r="AS30" s="1235"/>
      <c r="AT30" s="1238"/>
      <c r="AU30" s="1652"/>
      <c r="AV30" s="1243"/>
      <c r="AW30" s="1243"/>
      <c r="AX30" s="1243"/>
      <c r="AY30" s="1238"/>
      <c r="AZ30" s="1237"/>
      <c r="BA30" s="1235"/>
      <c r="BB30" s="1235"/>
      <c r="BC30" s="1235"/>
      <c r="BD30" s="1955"/>
      <c r="BE30" s="1325"/>
      <c r="BF30" s="1263"/>
      <c r="BG30" s="1263"/>
      <c r="BH30" s="1235"/>
      <c r="BI30" s="1955"/>
      <c r="BJ30" s="1237"/>
      <c r="BK30" s="1235"/>
      <c r="BL30" s="1235"/>
      <c r="BM30" s="1235"/>
      <c r="BN30" s="1955"/>
      <c r="BO30" s="1237"/>
      <c r="BP30" s="1235"/>
      <c r="BQ30" s="1235"/>
      <c r="BR30" s="1235"/>
      <c r="BS30" s="1955"/>
      <c r="BT30" s="1237"/>
      <c r="BU30" s="1235"/>
      <c r="BV30" s="1235"/>
      <c r="BW30" s="1235"/>
      <c r="BX30" s="1238"/>
      <c r="BY30" s="1237"/>
      <c r="BZ30" s="1235"/>
      <c r="CA30" s="1235"/>
      <c r="CB30" s="1235"/>
      <c r="CC30" s="1757"/>
      <c r="CD30" s="1237"/>
      <c r="CE30" s="1235"/>
      <c r="CF30" s="1235"/>
      <c r="CG30" s="1235"/>
      <c r="CH30" s="1758"/>
      <c r="CI30" s="1235"/>
      <c r="CJ30" s="860"/>
      <c r="CK30" s="1242">
        <f t="shared" si="37"/>
        <v>0.65346534653465338</v>
      </c>
      <c r="CL30" s="1162">
        <f t="shared" si="38"/>
        <v>2.0381328073635796E-2</v>
      </c>
      <c r="CM30" s="1162">
        <f t="shared" si="39"/>
        <v>9.8119378577268268E-3</v>
      </c>
      <c r="CN30" s="1162">
        <f t="shared" si="40"/>
        <v>-0.1530293566520925</v>
      </c>
      <c r="CO30" s="1232"/>
      <c r="CP30" s="1242">
        <f t="shared" si="41"/>
        <v>-0.95508982035928147</v>
      </c>
      <c r="CQ30" s="1162">
        <f t="shared" si="42"/>
        <v>-0.23904639175257725</v>
      </c>
      <c r="CR30" s="1162">
        <f t="shared" si="43"/>
        <v>-0.47449392712550598</v>
      </c>
      <c r="CS30" s="1162">
        <f t="shared" si="44"/>
        <v>6.4896755162241693E-2</v>
      </c>
      <c r="CT30" s="1232"/>
      <c r="CU30" s="1242">
        <f t="shared" si="45"/>
        <v>-1</v>
      </c>
      <c r="CV30" s="1162">
        <f t="shared" si="46"/>
        <v>-1</v>
      </c>
      <c r="CW30" s="1162">
        <f t="shared" si="47"/>
        <v>-1</v>
      </c>
      <c r="CX30" s="1162">
        <f t="shared" si="48"/>
        <v>-1</v>
      </c>
      <c r="CY30" s="1232"/>
      <c r="CZ30" s="1242"/>
      <c r="DA30" s="1162"/>
      <c r="DB30" s="1162"/>
      <c r="DC30" s="1162"/>
      <c r="DD30" s="1232"/>
      <c r="DE30" s="1242"/>
      <c r="DF30" s="1162"/>
      <c r="DG30" s="1162"/>
      <c r="DH30" s="1162"/>
      <c r="DI30" s="1232"/>
      <c r="DJ30" s="1242"/>
      <c r="DK30" s="1162"/>
      <c r="DL30" s="1162"/>
      <c r="DM30" s="1162"/>
      <c r="DN30" s="1232"/>
      <c r="DO30" s="1242"/>
      <c r="DP30" s="1162"/>
      <c r="DQ30" s="1162"/>
      <c r="DR30" s="1162"/>
      <c r="DS30" s="1232"/>
      <c r="DT30" s="1242"/>
      <c r="DU30" s="1162"/>
      <c r="DV30" s="1162"/>
      <c r="DW30" s="1162"/>
      <c r="DX30" s="1232"/>
      <c r="DY30" s="1242"/>
      <c r="DZ30" s="1162"/>
      <c r="EA30" s="1162"/>
      <c r="EB30" s="1162"/>
      <c r="EC30" s="1232"/>
      <c r="ED30" s="1162"/>
      <c r="EE30" s="1162"/>
      <c r="EF30" s="1162"/>
      <c r="EG30" s="1162"/>
      <c r="EH30" s="860"/>
      <c r="EI30" s="1242"/>
      <c r="EJ30" s="1162"/>
      <c r="EK30" s="1162"/>
      <c r="EL30" s="1162"/>
      <c r="EM30" s="1232"/>
      <c r="EN30" s="1242"/>
      <c r="EO30" s="1162"/>
      <c r="EP30" s="1162"/>
      <c r="EQ30" s="1162"/>
      <c r="ER30" s="1232"/>
      <c r="ES30" s="1162"/>
      <c r="ET30" s="1162"/>
      <c r="EU30" s="1162"/>
      <c r="EV30" s="1162"/>
      <c r="EW30" s="1232"/>
      <c r="EX30" s="1242"/>
      <c r="EY30" s="1162"/>
      <c r="EZ30" s="1162"/>
      <c r="FA30" s="1162"/>
      <c r="FB30" s="1754"/>
      <c r="FC30" s="1242"/>
      <c r="FD30" s="1162"/>
      <c r="FE30" s="1162"/>
      <c r="FF30" s="1162"/>
      <c r="FG30" s="1756"/>
      <c r="FH30" s="860"/>
      <c r="FI30" s="860"/>
      <c r="FJ30" s="860"/>
      <c r="FY30" s="860"/>
      <c r="FZ30" s="860"/>
      <c r="GA30" s="860"/>
      <c r="GB30" s="860"/>
      <c r="GC30" s="860"/>
      <c r="GD30" s="860"/>
      <c r="GE30" s="860"/>
      <c r="GF30" s="860"/>
      <c r="GG30" s="860"/>
      <c r="GH30" s="860"/>
      <c r="GI30" s="860"/>
      <c r="GJ30" s="860"/>
      <c r="GK30" s="860"/>
      <c r="GL30" s="860"/>
      <c r="GM30" s="860"/>
      <c r="GN30" s="860"/>
      <c r="GO30" s="860"/>
      <c r="GP30" s="860"/>
      <c r="GQ30" s="860"/>
      <c r="GR30" s="1376"/>
      <c r="GS30" s="1241"/>
      <c r="GT30" s="1376"/>
      <c r="GU30" s="1241"/>
      <c r="GV30" s="1376"/>
      <c r="GW30" s="1241"/>
      <c r="GX30" s="1218"/>
      <c r="GY30" s="1376"/>
      <c r="GZ30" s="1241"/>
      <c r="HA30" s="1218"/>
      <c r="HB30" s="1376"/>
      <c r="HC30" s="1241"/>
      <c r="HD30" s="2000"/>
      <c r="HE30" s="1376"/>
      <c r="HF30" s="1241"/>
      <c r="HG30" s="2000"/>
      <c r="HH30" s="1376"/>
      <c r="HI30" s="1376"/>
      <c r="HJ30" s="1241"/>
      <c r="HK30" s="2000"/>
      <c r="HL30" s="1376"/>
      <c r="HM30" s="1241"/>
      <c r="HN30" s="2000"/>
      <c r="HO30" s="1376"/>
      <c r="HP30" s="1241"/>
      <c r="HQ30" s="2000"/>
      <c r="HR30" s="1376"/>
    </row>
    <row r="31" spans="1:226" ht="14.25" customHeight="1">
      <c r="A31" s="1132" t="s">
        <v>8098</v>
      </c>
      <c r="B31" s="1682"/>
      <c r="C31" s="1675"/>
      <c r="D31" s="1675"/>
      <c r="E31" s="1675"/>
      <c r="F31" s="1683"/>
      <c r="G31" s="1237">
        <v>1425.6</v>
      </c>
      <c r="H31" s="1235">
        <v>1496.5</v>
      </c>
      <c r="I31" s="1235">
        <v>1457.5</v>
      </c>
      <c r="J31" s="1235">
        <v>1410.2</v>
      </c>
      <c r="K31" s="1238">
        <f>+SUM(G31:J31)</f>
        <v>5789.8</v>
      </c>
      <c r="L31" s="1237">
        <v>1571.8</v>
      </c>
      <c r="M31" s="1235">
        <v>1668.2</v>
      </c>
      <c r="N31" s="1235">
        <v>1713.6</v>
      </c>
      <c r="O31" s="1235">
        <v>1604.4</v>
      </c>
      <c r="P31" s="1238">
        <f>+SUM(L31:O31)</f>
        <v>6558</v>
      </c>
      <c r="Q31" s="1237">
        <v>1768.5</v>
      </c>
      <c r="R31" s="1235">
        <v>1881</v>
      </c>
      <c r="S31" s="1235">
        <v>1903.7</v>
      </c>
      <c r="T31" s="1235">
        <f>7340.5-Q31-R31-S31</f>
        <v>1787.3</v>
      </c>
      <c r="U31" s="1238">
        <f>+SUM(Q31:T31)</f>
        <v>7340.5</v>
      </c>
      <c r="V31" s="1237">
        <v>1947.7</v>
      </c>
      <c r="W31" s="1235">
        <v>2082</v>
      </c>
      <c r="X31" s="1235">
        <v>2136.9</v>
      </c>
      <c r="Y31" s="1235">
        <f>8211.3-V31-W31-X31</f>
        <v>2044.6999999999994</v>
      </c>
      <c r="Z31" s="1238">
        <f>+SUM(V31:Y31)</f>
        <v>8211.2999999999993</v>
      </c>
      <c r="AA31" s="1237">
        <v>2149.1</v>
      </c>
      <c r="AB31" s="1235">
        <v>2273.9</v>
      </c>
      <c r="AC31" s="1235">
        <v>2332</v>
      </c>
      <c r="AD31" s="1235">
        <f>8972.3-AA31-AB31-AC31</f>
        <v>2217.2999999999993</v>
      </c>
      <c r="AE31" s="1238">
        <f>Master!N55</f>
        <v>8972.2999999999993</v>
      </c>
      <c r="AF31" s="1237">
        <v>2409.4</v>
      </c>
      <c r="AG31" s="1235">
        <v>2531.1999999999998</v>
      </c>
      <c r="AH31" s="1235">
        <v>2534.1</v>
      </c>
      <c r="AI31" s="1235">
        <v>2423.8000000000002</v>
      </c>
      <c r="AJ31" s="1238">
        <f>Master!O55</f>
        <v>9898.5</v>
      </c>
      <c r="AK31" s="1237">
        <v>2466.3000000000002</v>
      </c>
      <c r="AL31" s="1235">
        <v>2655.9</v>
      </c>
      <c r="AM31" s="1235">
        <v>2660.4</v>
      </c>
      <c r="AN31" s="1235">
        <v>2324.1</v>
      </c>
      <c r="AO31" s="1238">
        <f>Master!P55</f>
        <v>10107</v>
      </c>
      <c r="AP31" s="1237">
        <v>2441.9</v>
      </c>
      <c r="AQ31" s="1235">
        <v>2540.9</v>
      </c>
      <c r="AR31" s="1235">
        <v>2569.9</v>
      </c>
      <c r="AS31" s="1235">
        <f>9767.3-AP31-AQ31-AR31</f>
        <v>2214.6</v>
      </c>
      <c r="AT31" s="1238">
        <f>Master!Q55</f>
        <v>9767</v>
      </c>
      <c r="AU31" s="1237">
        <v>2306.9</v>
      </c>
      <c r="AV31" s="1235">
        <v>2305.6</v>
      </c>
      <c r="AW31" s="1235">
        <v>2399.9</v>
      </c>
      <c r="AX31" s="1235">
        <v>2108.9</v>
      </c>
      <c r="AY31" s="1238">
        <f>Master!R55</f>
        <v>9121</v>
      </c>
      <c r="AZ31" s="1324">
        <v>2234</v>
      </c>
      <c r="BA31" s="1246">
        <v>2321.4</v>
      </c>
      <c r="BB31" s="1246">
        <v>2436.6999999999998</v>
      </c>
      <c r="BC31" s="1246">
        <f>BD31-AZ31-BA31-BB31</f>
        <v>2143.6999999999998</v>
      </c>
      <c r="BD31" s="1238">
        <f>Master!S55</f>
        <v>9135.7999999999993</v>
      </c>
      <c r="BE31" s="1324">
        <v>2154.5</v>
      </c>
      <c r="BF31" s="1246">
        <v>2242.6999999999998</v>
      </c>
      <c r="BG31" s="1246">
        <v>2261.6999999999998</v>
      </c>
      <c r="BH31" s="1246">
        <v>1845.4</v>
      </c>
      <c r="BI31" s="1238">
        <f>Master!T55</f>
        <v>8504.2000000000007</v>
      </c>
      <c r="BJ31" s="1324">
        <v>1861.4</v>
      </c>
      <c r="BK31" s="1246">
        <v>1702.3</v>
      </c>
      <c r="BL31" s="1246">
        <v>1701</v>
      </c>
      <c r="BM31" s="1246">
        <v>1151.5999999999999</v>
      </c>
      <c r="BN31" s="1238">
        <f>Master!U55</f>
        <v>6416.33</v>
      </c>
      <c r="BO31" s="1324">
        <v>1608.9</v>
      </c>
      <c r="BP31" s="1246">
        <v>1448.4</v>
      </c>
      <c r="BQ31" s="1246">
        <v>1533.2</v>
      </c>
      <c r="BR31" s="1246">
        <v>1140.9000000000001</v>
      </c>
      <c r="BS31" s="1238">
        <f>Master!V55</f>
        <v>5731.4</v>
      </c>
      <c r="BT31" s="1324">
        <v>1215.5999999999999</v>
      </c>
      <c r="BU31" s="1268"/>
      <c r="BV31" s="1268"/>
      <c r="BW31" s="1268"/>
      <c r="BX31" s="1362"/>
      <c r="BY31" s="1324"/>
      <c r="BZ31" s="1268"/>
      <c r="CA31" s="1268"/>
      <c r="CB31" s="1268"/>
      <c r="CC31" s="1758"/>
      <c r="CD31" s="1324"/>
      <c r="CE31" s="1246"/>
      <c r="CF31" s="1246"/>
      <c r="CG31" s="1246"/>
      <c r="CH31" s="1758"/>
      <c r="CI31" s="1268"/>
      <c r="CJ31" s="860"/>
      <c r="CK31" s="1242">
        <f t="shared" si="37"/>
        <v>0.10255331088664432</v>
      </c>
      <c r="CL31" s="1162">
        <f t="shared" si="38"/>
        <v>0.11473438022051452</v>
      </c>
      <c r="CM31" s="1162">
        <f t="shared" si="39"/>
        <v>0.17571183533447687</v>
      </c>
      <c r="CN31" s="1162">
        <f t="shared" si="40"/>
        <v>0.13771096298397389</v>
      </c>
      <c r="CO31" s="1232"/>
      <c r="CP31" s="1242">
        <f t="shared" si="41"/>
        <v>0.12514314798320392</v>
      </c>
      <c r="CQ31" s="1162">
        <f t="shared" si="42"/>
        <v>0.12756264236902037</v>
      </c>
      <c r="CR31" s="1162">
        <f t="shared" si="43"/>
        <v>0.11093604108309996</v>
      </c>
      <c r="CS31" s="1162">
        <f t="shared" si="44"/>
        <v>0.11399900274245822</v>
      </c>
      <c r="CT31" s="1232"/>
      <c r="CU31" s="1242">
        <f t="shared" si="45"/>
        <v>0.10132880972575631</v>
      </c>
      <c r="CV31" s="1162">
        <f t="shared" si="46"/>
        <v>0.10685805422647521</v>
      </c>
      <c r="CW31" s="1162">
        <f t="shared" si="47"/>
        <v>0.12249829279823499</v>
      </c>
      <c r="CX31" s="1162">
        <f t="shared" si="48"/>
        <v>0.14401611369104206</v>
      </c>
      <c r="CY31" s="1232"/>
      <c r="CZ31" s="1242">
        <f t="shared" ref="CZ31:CZ40" si="49">AA31/V31-1</f>
        <v>0.10340401499204188</v>
      </c>
      <c r="DA31" s="1162">
        <f t="shared" ref="DA31:DA40" si="50">AB31/W31-1</f>
        <v>9.2170989433237205E-2</v>
      </c>
      <c r="DB31" s="1162">
        <f t="shared" ref="DB31:DB40" si="51">AC31/X31-1</f>
        <v>9.1300482006645201E-2</v>
      </c>
      <c r="DC31" s="1162">
        <f t="shared" ref="DC31:DC40" si="52">AD31/Y31-1</f>
        <v>8.4413361373306683E-2</v>
      </c>
      <c r="DD31" s="1232"/>
      <c r="DE31" s="1242">
        <f t="shared" ref="DE31:DE40" si="53">AF31/AA31-1</f>
        <v>0.12112046903354901</v>
      </c>
      <c r="DF31" s="1162">
        <f t="shared" ref="DF31:DF40" si="54">AG31/AB31-1</f>
        <v>0.11315361273582814</v>
      </c>
      <c r="DG31" s="1162">
        <f t="shared" ref="DG31:DG40" si="55">AH31/AC31-1</f>
        <v>8.6663807890222877E-2</v>
      </c>
      <c r="DH31" s="1162">
        <f t="shared" ref="DH31:DH40" si="56">AI31/AD31-1</f>
        <v>9.3131285798043084E-2</v>
      </c>
      <c r="DI31" s="1232"/>
      <c r="DJ31" s="1242">
        <f t="shared" ref="DJ31:DJ40" si="57">AK31/AF31-1</f>
        <v>2.3615837967958964E-2</v>
      </c>
      <c r="DK31" s="1162">
        <f t="shared" ref="DK31:DK40" si="58">AL31/AG31-1</f>
        <v>4.9265170670037994E-2</v>
      </c>
      <c r="DL31" s="1162">
        <f t="shared" ref="DL31:DL40" si="59">AM31/AH31-1</f>
        <v>4.9840179945542795E-2</v>
      </c>
      <c r="DM31" s="1162">
        <f t="shared" ref="DM31:DM40" si="60">AN31/AI31-1</f>
        <v>-4.1133756910636254E-2</v>
      </c>
      <c r="DN31" s="1232"/>
      <c r="DO31" s="1242">
        <f t="shared" ref="DO31:DO40" si="61">AP31/AK31-1</f>
        <v>-9.8933625268621261E-3</v>
      </c>
      <c r="DP31" s="1162">
        <f t="shared" ref="DP31:DP40" si="62">AQ31/AL31-1</f>
        <v>-4.3299823035505836E-2</v>
      </c>
      <c r="DQ31" s="1162">
        <f t="shared" ref="DQ31:DQ40" si="63">AR31/AM31-1</f>
        <v>-3.4017440986317871E-2</v>
      </c>
      <c r="DR31" s="1162">
        <f t="shared" ref="DR31:DR40" si="64">AS31/AN31-1</f>
        <v>-4.7115012262811451E-2</v>
      </c>
      <c r="DS31" s="1232"/>
      <c r="DT31" s="1242">
        <f t="shared" ref="DT31:DT40" si="65">AU31/AP31-1</f>
        <v>-5.5284819198165414E-2</v>
      </c>
      <c r="DU31" s="1162">
        <f t="shared" ref="DU31:DU40" si="66">AV31/AQ31-1</f>
        <v>-9.2604982486520604E-2</v>
      </c>
      <c r="DV31" s="1162">
        <f t="shared" ref="DV31:DV40" si="67">AW31/AR31-1</f>
        <v>-6.6150433869022085E-2</v>
      </c>
      <c r="DW31" s="1162">
        <f t="shared" ref="DW31:DW40" si="68">AX31/AS31-1</f>
        <v>-4.7728709473494058E-2</v>
      </c>
      <c r="DX31" s="1232"/>
      <c r="DY31" s="1242">
        <f t="shared" ref="DY31:DY40" si="69">AZ31/AU31-1</f>
        <v>-3.1600849625037952E-2</v>
      </c>
      <c r="DZ31" s="1162">
        <f t="shared" ref="DZ31:DZ40" si="70">BA31/AV31-1</f>
        <v>6.8528799444831368E-3</v>
      </c>
      <c r="EA31" s="1162">
        <f t="shared" ref="EA31:EA40" si="71">BB31/AW31-1</f>
        <v>1.5333972248843697E-2</v>
      </c>
      <c r="EB31" s="1162">
        <f t="shared" ref="EB31:EB40" si="72">BC31/AX31-1</f>
        <v>1.6501493669685452E-2</v>
      </c>
      <c r="EC31" s="1232"/>
      <c r="ED31" s="1162">
        <f t="shared" ref="ED31:ED40" si="73">BE31/AZ31-1</f>
        <v>-3.558639212175474E-2</v>
      </c>
      <c r="EE31" s="1162">
        <f t="shared" ref="EE31:EE40" si="74">BF31/BA31-1</f>
        <v>-3.3901955716378218E-2</v>
      </c>
      <c r="EF31" s="1162">
        <f t="shared" ref="EF31:EF40" si="75">BG31/BB31-1</f>
        <v>-7.1818442976156249E-2</v>
      </c>
      <c r="EG31" s="1162">
        <f t="shared" ref="EG31:EG40" si="76">BH31/BC31-1</f>
        <v>-0.13915193357279454</v>
      </c>
      <c r="EH31" s="860"/>
      <c r="EI31" s="1242">
        <f t="shared" ref="EI31:EI40" si="77">BJ31/BE31-1</f>
        <v>-0.13604084474355993</v>
      </c>
      <c r="EJ31" s="1162">
        <f t="shared" ref="EJ31:EJ40" si="78">BK31/BF31-1</f>
        <v>-0.24095955767601551</v>
      </c>
      <c r="EK31" s="1162">
        <f t="shared" ref="EK31:EK40" si="79">BL31/BG31-1</f>
        <v>-0.24791086350974922</v>
      </c>
      <c r="EL31" s="1162">
        <f t="shared" ref="EL31:EL40" si="80">BM31/BH31-1</f>
        <v>-0.37596185108919489</v>
      </c>
      <c r="EM31" s="1232"/>
      <c r="EN31" s="1242">
        <f t="shared" ref="EN31:EN40" si="81">BO31/BJ31-1</f>
        <v>-0.13565058558074572</v>
      </c>
      <c r="EO31" s="1162">
        <f t="shared" ref="EO31:EO40" si="82">BP31/BK31-1</f>
        <v>-0.14915114844621979</v>
      </c>
      <c r="EP31" s="1162">
        <f t="shared" ref="EP31:EP40" si="83">BQ31/BL31-1</f>
        <v>-9.8647854203409713E-2</v>
      </c>
      <c r="EQ31" s="1162">
        <f t="shared" ref="EQ31:EQ40" si="84">BR31/BM31-1</f>
        <v>-9.291420632163816E-3</v>
      </c>
      <c r="ER31" s="1232"/>
      <c r="ES31" s="1162">
        <f>BT31/BO31-1</f>
        <v>-0.2444527316800299</v>
      </c>
      <c r="ET31" s="1162"/>
      <c r="EU31" s="1162"/>
      <c r="EV31" s="1162"/>
      <c r="EW31" s="1232"/>
      <c r="EX31" s="1242"/>
      <c r="EY31" s="1162"/>
      <c r="EZ31" s="1162"/>
      <c r="FA31" s="1162"/>
      <c r="FB31" s="1754"/>
      <c r="FC31" s="1242"/>
      <c r="FD31" s="1162"/>
      <c r="FE31" s="1162"/>
      <c r="FF31" s="1162"/>
      <c r="FG31" s="1756"/>
      <c r="FH31" s="860"/>
      <c r="FI31" s="860"/>
      <c r="FJ31" s="860"/>
      <c r="FY31" s="860"/>
      <c r="FZ31" s="860"/>
      <c r="GA31" s="860"/>
      <c r="GB31" s="860"/>
      <c r="GC31" s="860"/>
      <c r="GD31" s="860"/>
      <c r="GE31" s="860"/>
      <c r="GF31" s="860"/>
      <c r="GG31" s="860"/>
      <c r="GH31" s="860"/>
      <c r="GI31" s="860"/>
      <c r="GJ31" s="860"/>
      <c r="GK31" s="860"/>
      <c r="GL31" s="860"/>
      <c r="GM31" s="860"/>
      <c r="GN31" s="860"/>
      <c r="GO31" s="860"/>
      <c r="GP31" s="860"/>
      <c r="GQ31" s="860"/>
      <c r="GR31" s="1376">
        <v>1490</v>
      </c>
      <c r="GS31" s="1241">
        <v>-0.12404467960023513</v>
      </c>
      <c r="GT31" s="1376">
        <v>1014.1396935799255</v>
      </c>
      <c r="GU31" s="1241">
        <v>-0.11936462870794928</v>
      </c>
      <c r="GV31" s="1376">
        <v>1415.8320000000001</v>
      </c>
      <c r="GW31" s="1241">
        <v>-0.12</v>
      </c>
      <c r="GX31" s="1218"/>
      <c r="GY31" s="1376">
        <v>1267.3500000000001</v>
      </c>
      <c r="GZ31" s="1241">
        <v>-0.125</v>
      </c>
      <c r="HA31" s="1218"/>
      <c r="HB31" s="1376"/>
      <c r="HC31" s="1241"/>
      <c r="HD31" s="2000"/>
      <c r="HE31" s="1376"/>
      <c r="HF31" s="1241"/>
      <c r="HG31" s="2000"/>
      <c r="HH31" s="1376"/>
      <c r="HI31" s="1376"/>
      <c r="HJ31" s="1241"/>
      <c r="HK31" s="2000"/>
      <c r="HL31" s="1376"/>
      <c r="HM31" s="1241"/>
      <c r="HN31" s="2000"/>
      <c r="HO31" s="1376"/>
      <c r="HP31" s="1241"/>
      <c r="HQ31" s="2000"/>
      <c r="HR31" s="1376"/>
    </row>
    <row r="32" spans="1:226" ht="14.25" customHeight="1">
      <c r="A32" s="1132" t="s">
        <v>194</v>
      </c>
      <c r="B32" s="1682"/>
      <c r="C32" s="1675"/>
      <c r="D32" s="1675"/>
      <c r="E32" s="1675"/>
      <c r="F32" s="1683"/>
      <c r="G32" s="1237">
        <v>1067.3</v>
      </c>
      <c r="H32" s="1235">
        <v>1108.5999999999999</v>
      </c>
      <c r="I32" s="1235">
        <v>1201.5999999999999</v>
      </c>
      <c r="J32" s="1235">
        <v>1401.1</v>
      </c>
      <c r="K32" s="1238">
        <f>+SUM(G32:J32)</f>
        <v>4778.5999999999995</v>
      </c>
      <c r="L32" s="1237">
        <v>1330.5</v>
      </c>
      <c r="M32" s="1235">
        <v>1472.9</v>
      </c>
      <c r="N32" s="1235">
        <v>1430.3</v>
      </c>
      <c r="O32" s="1235">
        <v>1579.1</v>
      </c>
      <c r="P32" s="1238">
        <f>+SUM(L32:O32)</f>
        <v>5812.7999999999993</v>
      </c>
      <c r="Q32" s="1237">
        <v>1417.5</v>
      </c>
      <c r="R32" s="1235">
        <v>1578.6</v>
      </c>
      <c r="S32" s="1235">
        <v>1479.1</v>
      </c>
      <c r="T32" s="1235">
        <f>6131.8-Q32-R32-S32</f>
        <v>1656.6000000000004</v>
      </c>
      <c r="U32" s="1238">
        <f>+SUM(Q32:T32)</f>
        <v>6131.8</v>
      </c>
      <c r="V32" s="1237">
        <v>1627.2</v>
      </c>
      <c r="W32" s="1235">
        <v>1778.2</v>
      </c>
      <c r="X32" s="1235">
        <v>1981.6</v>
      </c>
      <c r="Y32" s="1235">
        <f>7882.9-V32-W32-X32</f>
        <v>2495.9</v>
      </c>
      <c r="Z32" s="1238">
        <f>+SUM(V32:Y32)</f>
        <v>7882.9</v>
      </c>
      <c r="AA32" s="1237">
        <v>2657.8</v>
      </c>
      <c r="AB32" s="1235">
        <v>2764.2</v>
      </c>
      <c r="AC32" s="1235">
        <v>2973</v>
      </c>
      <c r="AD32" s="1235">
        <f>11405.6-AA32-AB32-AC32</f>
        <v>3010.5999999999995</v>
      </c>
      <c r="AE32" s="1238">
        <f>Master!N56</f>
        <v>11405.6</v>
      </c>
      <c r="AF32" s="1237">
        <v>3152.4</v>
      </c>
      <c r="AG32" s="1235">
        <v>3294.2</v>
      </c>
      <c r="AH32" s="1235">
        <v>3443.2</v>
      </c>
      <c r="AI32" s="1235">
        <v>3346.2</v>
      </c>
      <c r="AJ32" s="1238">
        <f>Master!O56</f>
        <v>13236.1</v>
      </c>
      <c r="AK32" s="1237">
        <v>3397.3</v>
      </c>
      <c r="AL32" s="1235">
        <v>3442.3</v>
      </c>
      <c r="AM32" s="1235">
        <v>3523.5</v>
      </c>
      <c r="AN32" s="1235">
        <v>3671.7</v>
      </c>
      <c r="AO32" s="1238">
        <f>Master!P56</f>
        <v>14035</v>
      </c>
      <c r="AP32" s="1237">
        <v>3664.9</v>
      </c>
      <c r="AQ32" s="1235">
        <v>3724.4</v>
      </c>
      <c r="AR32" s="1235">
        <v>3907.5</v>
      </c>
      <c r="AS32" s="1235">
        <f>15302.5-AP32-AQ32-AR32</f>
        <v>4005.7000000000007</v>
      </c>
      <c r="AT32" s="1238">
        <f>Master!Q56</f>
        <v>15303</v>
      </c>
      <c r="AU32" s="1237">
        <v>4297.1000000000004</v>
      </c>
      <c r="AV32" s="1235">
        <v>4473.7</v>
      </c>
      <c r="AW32" s="1235">
        <v>4481.7</v>
      </c>
      <c r="AX32" s="1235">
        <v>4545</v>
      </c>
      <c r="AY32" s="1238">
        <f>Master!R56</f>
        <v>17798</v>
      </c>
      <c r="AZ32" s="1324">
        <v>4490.3</v>
      </c>
      <c r="BA32" s="1246">
        <v>4656.5</v>
      </c>
      <c r="BB32" s="1246">
        <v>4796.7</v>
      </c>
      <c r="BC32" s="1246">
        <f>BD32-AZ32-BA32-BB32</f>
        <v>4954.8</v>
      </c>
      <c r="BD32" s="1238">
        <f>Master!S56</f>
        <v>18898.3</v>
      </c>
      <c r="BE32" s="1324">
        <v>4834.6000000000004</v>
      </c>
      <c r="BF32" s="1246">
        <v>5020.1000000000004</v>
      </c>
      <c r="BG32" s="1246">
        <v>5064.5</v>
      </c>
      <c r="BH32" s="1246">
        <v>5365.8</v>
      </c>
      <c r="BI32" s="1238">
        <f>Master!T56</f>
        <v>20285</v>
      </c>
      <c r="BJ32" s="1324">
        <v>4979.3</v>
      </c>
      <c r="BK32" s="1246">
        <v>4951.8</v>
      </c>
      <c r="BL32" s="1246">
        <v>4912.3999999999996</v>
      </c>
      <c r="BM32" s="1246">
        <v>5059.3</v>
      </c>
      <c r="BN32" s="1238">
        <f>Master!U56</f>
        <v>19902.8</v>
      </c>
      <c r="BO32" s="1324">
        <v>4957</v>
      </c>
      <c r="BP32" s="1246">
        <v>4841.3999999999996</v>
      </c>
      <c r="BQ32" s="1246">
        <v>4320.8</v>
      </c>
      <c r="BR32" s="1246">
        <v>4701.8</v>
      </c>
      <c r="BS32" s="1238">
        <f>Master!V56</f>
        <v>18727.5</v>
      </c>
      <c r="BT32" s="1324">
        <v>4667.8</v>
      </c>
      <c r="BU32" s="1268"/>
      <c r="BV32" s="1268"/>
      <c r="BW32" s="1268"/>
      <c r="BX32" s="1362"/>
      <c r="BY32" s="1324"/>
      <c r="BZ32" s="1268"/>
      <c r="CA32" s="1268"/>
      <c r="CB32" s="1268"/>
      <c r="CC32" s="1758"/>
      <c r="CD32" s="1324"/>
      <c r="CE32" s="1246"/>
      <c r="CF32" s="1246"/>
      <c r="CG32" s="1246"/>
      <c r="CH32" s="1758"/>
      <c r="CI32" s="1268"/>
      <c r="CJ32" s="860"/>
      <c r="CK32" s="1242">
        <f t="shared" si="37"/>
        <v>0.24660357912489461</v>
      </c>
      <c r="CL32" s="1162">
        <f t="shared" si="38"/>
        <v>0.32861266462204597</v>
      </c>
      <c r="CM32" s="1162">
        <f t="shared" si="39"/>
        <v>0.19032956058588546</v>
      </c>
      <c r="CN32" s="1162">
        <f t="shared" si="40"/>
        <v>0.12704303761330382</v>
      </c>
      <c r="CO32" s="1232"/>
      <c r="CP32" s="1242">
        <f t="shared" si="41"/>
        <v>6.5388951521984318E-2</v>
      </c>
      <c r="CQ32" s="1162">
        <f t="shared" si="42"/>
        <v>7.176318826804251E-2</v>
      </c>
      <c r="CR32" s="1162">
        <f t="shared" si="43"/>
        <v>3.4118716353212619E-2</v>
      </c>
      <c r="CS32" s="1162">
        <f t="shared" si="44"/>
        <v>4.9078589069723622E-2</v>
      </c>
      <c r="CT32" s="1232"/>
      <c r="CU32" s="1242">
        <f t="shared" si="45"/>
        <v>0.14793650793650803</v>
      </c>
      <c r="CV32" s="1162">
        <f t="shared" si="46"/>
        <v>0.12644115038641845</v>
      </c>
      <c r="CW32" s="1162">
        <f t="shared" si="47"/>
        <v>0.33973362179703881</v>
      </c>
      <c r="CX32" s="1162">
        <f t="shared" si="48"/>
        <v>0.50664010624169964</v>
      </c>
      <c r="CY32" s="1232"/>
      <c r="CZ32" s="1242">
        <f t="shared" si="49"/>
        <v>0.63335791543756148</v>
      </c>
      <c r="DA32" s="1162">
        <f t="shared" si="50"/>
        <v>0.55449330783938811</v>
      </c>
      <c r="DB32" s="1162">
        <f t="shared" si="51"/>
        <v>0.50030278562777553</v>
      </c>
      <c r="DC32" s="1162">
        <f t="shared" si="52"/>
        <v>0.2062181978444646</v>
      </c>
      <c r="DD32" s="1232"/>
      <c r="DE32" s="1242">
        <f t="shared" si="53"/>
        <v>0.18609376175784487</v>
      </c>
      <c r="DF32" s="1162">
        <f t="shared" si="54"/>
        <v>0.19173721148976197</v>
      </c>
      <c r="DG32" s="1162">
        <f t="shared" si="55"/>
        <v>0.15815674402959967</v>
      </c>
      <c r="DH32" s="1162">
        <f t="shared" si="56"/>
        <v>0.11147279612037475</v>
      </c>
      <c r="DI32" s="1232"/>
      <c r="DJ32" s="1242">
        <f t="shared" si="57"/>
        <v>7.7686841771348769E-2</v>
      </c>
      <c r="DK32" s="1162">
        <f t="shared" si="58"/>
        <v>4.4957804626313047E-2</v>
      </c>
      <c r="DL32" s="1162">
        <f t="shared" si="59"/>
        <v>2.3321328996282586E-2</v>
      </c>
      <c r="DM32" s="1162">
        <f t="shared" si="60"/>
        <v>9.727452035144335E-2</v>
      </c>
      <c r="DN32" s="1232"/>
      <c r="DO32" s="1242">
        <f t="shared" si="61"/>
        <v>7.8768433756218226E-2</v>
      </c>
      <c r="DP32" s="1162">
        <f t="shared" si="62"/>
        <v>8.1951021119600176E-2</v>
      </c>
      <c r="DQ32" s="1162">
        <f t="shared" si="63"/>
        <v>0.10898254576415489</v>
      </c>
      <c r="DR32" s="1162">
        <f t="shared" si="64"/>
        <v>9.0966037530299637E-2</v>
      </c>
      <c r="DS32" s="1232"/>
      <c r="DT32" s="1242">
        <f t="shared" si="65"/>
        <v>0.17250129607901998</v>
      </c>
      <c r="DU32" s="1162">
        <f t="shared" si="66"/>
        <v>0.20118676833852422</v>
      </c>
      <c r="DV32" s="1162">
        <f t="shared" si="67"/>
        <v>0.14694817658349324</v>
      </c>
      <c r="DW32" s="1162">
        <f t="shared" si="68"/>
        <v>0.13463314776443558</v>
      </c>
      <c r="DX32" s="1232"/>
      <c r="DY32" s="1242">
        <f t="shared" si="69"/>
        <v>4.4960554792767171E-2</v>
      </c>
      <c r="DZ32" s="1162">
        <f t="shared" si="70"/>
        <v>4.0861032255180341E-2</v>
      </c>
      <c r="EA32" s="1162">
        <f t="shared" si="71"/>
        <v>7.0285829038088332E-2</v>
      </c>
      <c r="EB32" s="1162">
        <f t="shared" si="72"/>
        <v>9.0165016501650097E-2</v>
      </c>
      <c r="EC32" s="1232"/>
      <c r="ED32" s="1162">
        <f t="shared" si="73"/>
        <v>7.6676391332427762E-2</v>
      </c>
      <c r="EE32" s="1162">
        <f t="shared" si="74"/>
        <v>7.8084398153119405E-2</v>
      </c>
      <c r="EF32" s="1162">
        <f t="shared" si="75"/>
        <v>5.5830049825922101E-2</v>
      </c>
      <c r="EG32" s="1162">
        <f t="shared" si="76"/>
        <v>8.2949866795834382E-2</v>
      </c>
      <c r="EH32" s="860"/>
      <c r="EI32" s="1239">
        <f t="shared" si="77"/>
        <v>2.9930087287469487E-2</v>
      </c>
      <c r="EJ32" s="1217">
        <f t="shared" si="78"/>
        <v>-1.3605306667197947E-2</v>
      </c>
      <c r="EK32" s="1217">
        <f t="shared" si="79"/>
        <v>-3.0032579721591568E-2</v>
      </c>
      <c r="EL32" s="1217">
        <f t="shared" si="80"/>
        <v>-5.7121025755712096E-2</v>
      </c>
      <c r="EM32" s="1232"/>
      <c r="EN32" s="1239">
        <f t="shared" si="81"/>
        <v>-4.478541160404137E-3</v>
      </c>
      <c r="EO32" s="1217">
        <f t="shared" si="82"/>
        <v>-2.2294923058281957E-2</v>
      </c>
      <c r="EP32" s="1217">
        <f t="shared" si="83"/>
        <v>-0.12042993241592692</v>
      </c>
      <c r="EQ32" s="1217">
        <f t="shared" si="84"/>
        <v>-7.0661949281521141E-2</v>
      </c>
      <c r="ER32" s="1232"/>
      <c r="ES32" s="1417">
        <v>-8.6999999999999994E-2</v>
      </c>
      <c r="ET32" s="1162"/>
      <c r="EU32" s="1217"/>
      <c r="EV32" s="1217"/>
      <c r="EW32" s="1232"/>
      <c r="EX32" s="1791"/>
      <c r="EY32" s="1162"/>
      <c r="EZ32" s="1162"/>
      <c r="FA32" s="1162"/>
      <c r="FB32" s="1754"/>
      <c r="FC32" s="1791"/>
      <c r="FD32" s="1417"/>
      <c r="FE32" s="1417"/>
      <c r="FF32" s="1417"/>
      <c r="FG32" s="2042"/>
      <c r="FH32" s="860"/>
      <c r="FI32" s="860"/>
      <c r="FJ32" s="860"/>
      <c r="FY32" s="860"/>
      <c r="FZ32" s="860"/>
      <c r="GA32" s="860"/>
      <c r="GB32" s="860"/>
      <c r="GC32" s="860"/>
      <c r="GD32" s="860"/>
      <c r="GE32" s="860"/>
      <c r="GF32" s="860"/>
      <c r="GG32" s="860"/>
      <c r="GH32" s="860"/>
      <c r="GI32" s="860"/>
      <c r="GJ32" s="860"/>
      <c r="GK32" s="860"/>
      <c r="GL32" s="860"/>
      <c r="GM32" s="860"/>
      <c r="GN32" s="860"/>
      <c r="GO32" s="860"/>
      <c r="GP32" s="860"/>
      <c r="GQ32" s="860"/>
      <c r="GR32" s="1376">
        <v>4750</v>
      </c>
      <c r="GS32" s="1247">
        <v>-3.3059197133783802E-2</v>
      </c>
      <c r="GT32" s="1376">
        <v>4626.9382254999991</v>
      </c>
      <c r="GU32" s="1247">
        <v>-8.5458813373391784E-2</v>
      </c>
      <c r="GV32" s="1376">
        <v>4820</v>
      </c>
      <c r="GW32" s="1247">
        <v>-2.7637684083114733E-2</v>
      </c>
      <c r="GX32" s="1218"/>
      <c r="GY32" s="1376">
        <v>4650</v>
      </c>
      <c r="GZ32" s="1247">
        <v>-3.953401908538845E-2</v>
      </c>
      <c r="HA32" s="1218"/>
      <c r="HB32" s="1376"/>
      <c r="HC32" s="1247"/>
      <c r="HD32" s="2000"/>
      <c r="HE32" s="1376"/>
      <c r="HF32" s="1247"/>
      <c r="HG32" s="2000"/>
      <c r="HH32" s="1376"/>
      <c r="HI32" s="1376"/>
      <c r="HJ32" s="1247"/>
      <c r="HK32" s="2000"/>
      <c r="HL32" s="1376"/>
      <c r="HM32" s="1247"/>
      <c r="HN32" s="2000"/>
      <c r="HO32" s="1376"/>
      <c r="HP32" s="1247"/>
      <c r="HQ32" s="2000"/>
      <c r="HR32" s="1376"/>
    </row>
    <row r="33" spans="1:226" ht="14.25" customHeight="1">
      <c r="A33" s="1132" t="s">
        <v>195</v>
      </c>
      <c r="B33" s="1682"/>
      <c r="C33" s="1675"/>
      <c r="D33" s="1675"/>
      <c r="E33" s="1675"/>
      <c r="F33" s="1683"/>
      <c r="G33" s="1237">
        <v>-48.8</v>
      </c>
      <c r="H33" s="1235">
        <v>10.9</v>
      </c>
      <c r="I33" s="1235">
        <v>-6.2999999999999972</v>
      </c>
      <c r="J33" s="1235">
        <v>-88.1</v>
      </c>
      <c r="K33" s="1238">
        <f>+SUM(G33:J33)</f>
        <v>-132.29999999999998</v>
      </c>
      <c r="L33" s="1237">
        <v>105.8</v>
      </c>
      <c r="M33" s="1235">
        <v>50.8</v>
      </c>
      <c r="N33" s="1235">
        <v>11.9</v>
      </c>
      <c r="O33" s="1235">
        <v>15.3</v>
      </c>
      <c r="P33" s="1238">
        <f>+SUM(L33:O33)</f>
        <v>183.8</v>
      </c>
      <c r="Q33" s="1237">
        <v>109.4</v>
      </c>
      <c r="R33" s="1235">
        <v>89.2</v>
      </c>
      <c r="S33" s="1235">
        <v>98.1</v>
      </c>
      <c r="T33" s="1235">
        <f>493.2-Q33-R33-S33</f>
        <v>196.49999999999997</v>
      </c>
      <c r="U33" s="1238">
        <f>+SUM(Q33:T33)</f>
        <v>493.20000000000005</v>
      </c>
      <c r="V33" s="1237">
        <v>104.7</v>
      </c>
      <c r="W33" s="1235">
        <v>198.1</v>
      </c>
      <c r="X33" s="1235">
        <v>151.6</v>
      </c>
      <c r="Y33" s="1235">
        <f>651.2-V33-W33-X33</f>
        <v>196.79999999999998</v>
      </c>
      <c r="Z33" s="1238">
        <f>+SUM(V33:Y33)</f>
        <v>651.19999999999993</v>
      </c>
      <c r="AA33" s="1237">
        <v>221.6</v>
      </c>
      <c r="AB33" s="1235">
        <v>129</v>
      </c>
      <c r="AC33" s="1235">
        <v>258</v>
      </c>
      <c r="AD33" s="1235">
        <f>753.2-AA33-AB33-AC33</f>
        <v>144.60000000000002</v>
      </c>
      <c r="AE33" s="1238">
        <f>Master!N57</f>
        <v>753.2</v>
      </c>
      <c r="AF33" s="1237">
        <v>141.5</v>
      </c>
      <c r="AG33" s="1235">
        <v>172</v>
      </c>
      <c r="AH33" s="1235">
        <v>359.1</v>
      </c>
      <c r="AI33" s="1235">
        <v>368.1</v>
      </c>
      <c r="AJ33" s="1238">
        <f>Master!O57</f>
        <v>1040.5999999999999</v>
      </c>
      <c r="AK33" s="1237">
        <v>76.900000000000006</v>
      </c>
      <c r="AL33" s="1235">
        <v>136.1</v>
      </c>
      <c r="AM33" s="1235">
        <v>53.3</v>
      </c>
      <c r="AN33" s="1235">
        <v>223.7</v>
      </c>
      <c r="AO33" s="1238">
        <f>Master!P57</f>
        <v>490</v>
      </c>
      <c r="AP33" s="1237">
        <v>203.9</v>
      </c>
      <c r="AQ33" s="1235">
        <v>193.2</v>
      </c>
      <c r="AR33" s="1235">
        <v>126.7</v>
      </c>
      <c r="AS33" s="1235">
        <f>754.3-AP33-AQ33-AR33</f>
        <v>230.5</v>
      </c>
      <c r="AT33" s="1238">
        <f>Master!Q57</f>
        <v>754</v>
      </c>
      <c r="AU33" s="1237">
        <v>535.1</v>
      </c>
      <c r="AV33" s="1235">
        <v>220.5</v>
      </c>
      <c r="AW33" s="1235">
        <v>770.5</v>
      </c>
      <c r="AX33" s="1651">
        <f>96.7+100.3-18.8-100.3</f>
        <v>77.899999999999991</v>
      </c>
      <c r="AY33" s="1238">
        <f>Master!R57</f>
        <v>1464</v>
      </c>
      <c r="AZ33" s="1324">
        <v>371</v>
      </c>
      <c r="BA33" s="1246">
        <v>-422.4</v>
      </c>
      <c r="BB33" s="1246">
        <v>3.3</v>
      </c>
      <c r="BC33" s="1246">
        <f>BD33-AZ33-BA33-BB33</f>
        <v>164.59999999999997</v>
      </c>
      <c r="BD33" s="1238">
        <f>Master!S57</f>
        <v>116.5</v>
      </c>
      <c r="BE33" s="1324">
        <v>12.1</v>
      </c>
      <c r="BF33" s="1246">
        <v>273.5</v>
      </c>
      <c r="BG33" s="1246">
        <v>253.2</v>
      </c>
      <c r="BH33" s="1246">
        <v>368.5</v>
      </c>
      <c r="BI33" s="1238">
        <f>Master!T57</f>
        <v>907.3</v>
      </c>
      <c r="BJ33" s="1324">
        <v>376.4</v>
      </c>
      <c r="BK33" s="1246">
        <v>391.6</v>
      </c>
      <c r="BL33" s="1246">
        <v>423.7</v>
      </c>
      <c r="BM33" s="1246">
        <v>499.2</v>
      </c>
      <c r="BN33" s="1238">
        <f>Master!U57</f>
        <v>1691</v>
      </c>
      <c r="BO33" s="1324">
        <v>403.9</v>
      </c>
      <c r="BP33" s="1246">
        <v>524.20000000000005</v>
      </c>
      <c r="BQ33" s="1246">
        <v>561</v>
      </c>
      <c r="BR33" s="1246">
        <v>463.1</v>
      </c>
      <c r="BS33" s="1238">
        <f>Master!V57</f>
        <v>1952.4</v>
      </c>
      <c r="BT33" s="1324">
        <v>0</v>
      </c>
      <c r="BU33" s="1268"/>
      <c r="BV33" s="1268"/>
      <c r="BW33" s="1268"/>
      <c r="BX33" s="1502"/>
      <c r="BY33" s="1324"/>
      <c r="BZ33" s="1268"/>
      <c r="CA33" s="1268"/>
      <c r="CB33" s="1268"/>
      <c r="CC33" s="1759"/>
      <c r="CD33" s="1324"/>
      <c r="CE33" s="1246"/>
      <c r="CF33" s="1246"/>
      <c r="CG33" s="1246"/>
      <c r="CH33" s="1759"/>
      <c r="CI33" s="1268"/>
      <c r="CJ33" s="860"/>
      <c r="CK33" s="1242">
        <f t="shared" si="37"/>
        <v>-3.168032786885246</v>
      </c>
      <c r="CL33" s="1162">
        <f t="shared" si="38"/>
        <v>3.6605504587155959</v>
      </c>
      <c r="CM33" s="1162">
        <f t="shared" si="39"/>
        <v>-2.8888888888888897</v>
      </c>
      <c r="CN33" s="1162">
        <f t="shared" si="40"/>
        <v>-1.1736662883087401</v>
      </c>
      <c r="CO33" s="1232"/>
      <c r="CP33" s="1242">
        <f t="shared" si="41"/>
        <v>3.402646502835549E-2</v>
      </c>
      <c r="CQ33" s="1162">
        <f t="shared" si="42"/>
        <v>0.75590551181102383</v>
      </c>
      <c r="CR33" s="1162">
        <f t="shared" si="43"/>
        <v>7.2436974789915958</v>
      </c>
      <c r="CS33" s="1162">
        <f t="shared" si="44"/>
        <v>11.843137254901958</v>
      </c>
      <c r="CT33" s="1232"/>
      <c r="CU33" s="1242">
        <f t="shared" si="45"/>
        <v>-4.2961608775137106E-2</v>
      </c>
      <c r="CV33" s="1162">
        <f t="shared" si="46"/>
        <v>1.2208520179372195</v>
      </c>
      <c r="CW33" s="1162">
        <f t="shared" si="47"/>
        <v>0.54536187563710503</v>
      </c>
      <c r="CX33" s="1162">
        <f t="shared" si="48"/>
        <v>1.5267175572519776E-3</v>
      </c>
      <c r="CY33" s="1232"/>
      <c r="CZ33" s="1242">
        <f t="shared" si="49"/>
        <v>1.116523400191022</v>
      </c>
      <c r="DA33" s="1162">
        <f t="shared" si="50"/>
        <v>-0.34881373043917208</v>
      </c>
      <c r="DB33" s="1162">
        <f t="shared" si="51"/>
        <v>0.70184696569920857</v>
      </c>
      <c r="DC33" s="1162">
        <f t="shared" si="52"/>
        <v>-0.26524390243902418</v>
      </c>
      <c r="DD33" s="1232"/>
      <c r="DE33" s="1242">
        <f t="shared" si="53"/>
        <v>-0.36146209386281591</v>
      </c>
      <c r="DF33" s="1162">
        <f t="shared" si="54"/>
        <v>0.33333333333333326</v>
      </c>
      <c r="DG33" s="1162">
        <f t="shared" si="55"/>
        <v>0.39186046511627914</v>
      </c>
      <c r="DH33" s="1162">
        <f t="shared" si="56"/>
        <v>1.5456431535269708</v>
      </c>
      <c r="DI33" s="1232"/>
      <c r="DJ33" s="1242">
        <f t="shared" si="57"/>
        <v>-0.45653710247349821</v>
      </c>
      <c r="DK33" s="1162">
        <f t="shared" si="58"/>
        <v>-0.20872093023255822</v>
      </c>
      <c r="DL33" s="1162">
        <f t="shared" si="59"/>
        <v>-0.85157337788916743</v>
      </c>
      <c r="DM33" s="1162">
        <f t="shared" si="60"/>
        <v>-0.39228470524314052</v>
      </c>
      <c r="DN33" s="1232"/>
      <c r="DO33" s="1242">
        <f t="shared" si="61"/>
        <v>1.6514954486345901</v>
      </c>
      <c r="DP33" s="1162">
        <f t="shared" si="62"/>
        <v>0.41954445260837625</v>
      </c>
      <c r="DQ33" s="1162">
        <f t="shared" si="63"/>
        <v>1.3771106941838651</v>
      </c>
      <c r="DR33" s="1162">
        <f t="shared" si="64"/>
        <v>3.0397854269110569E-2</v>
      </c>
      <c r="DS33" s="1232"/>
      <c r="DT33" s="1242">
        <f t="shared" si="65"/>
        <v>1.6243256498283474</v>
      </c>
      <c r="DU33" s="1162">
        <f t="shared" si="66"/>
        <v>0.14130434782608692</v>
      </c>
      <c r="DV33" s="1162">
        <f t="shared" si="67"/>
        <v>5.0812943962115229</v>
      </c>
      <c r="DW33" s="1162">
        <f t="shared" si="68"/>
        <v>-0.6620390455531453</v>
      </c>
      <c r="DX33" s="1232"/>
      <c r="DY33" s="1242">
        <f t="shared" si="69"/>
        <v>-0.3066716501588489</v>
      </c>
      <c r="DZ33" s="1162">
        <f t="shared" si="70"/>
        <v>-2.9156462585034015</v>
      </c>
      <c r="EA33" s="1162">
        <f t="shared" si="71"/>
        <v>-0.9957170668397145</v>
      </c>
      <c r="EB33" s="1162">
        <f t="shared" si="72"/>
        <v>1.1129653401797173</v>
      </c>
      <c r="EC33" s="1232"/>
      <c r="ED33" s="1162">
        <f t="shared" si="73"/>
        <v>-0.96738544474393529</v>
      </c>
      <c r="EE33" s="1162">
        <f t="shared" si="74"/>
        <v>-1.6474905303030303</v>
      </c>
      <c r="EF33" s="1162">
        <f t="shared" si="75"/>
        <v>75.727272727272734</v>
      </c>
      <c r="EG33" s="1162">
        <f t="shared" si="76"/>
        <v>1.2387606318347513</v>
      </c>
      <c r="EH33" s="860"/>
      <c r="EI33" s="1242">
        <f t="shared" si="77"/>
        <v>30.107438016528924</v>
      </c>
      <c r="EJ33" s="1162">
        <f t="shared" si="78"/>
        <v>0.43180987202925047</v>
      </c>
      <c r="EK33" s="1162">
        <f t="shared" si="79"/>
        <v>0.67338072669826232</v>
      </c>
      <c r="EL33" s="1162">
        <f t="shared" si="80"/>
        <v>0.35468113975576654</v>
      </c>
      <c r="EM33" s="1232"/>
      <c r="EN33" s="1242">
        <f t="shared" si="81"/>
        <v>7.3060573857598232E-2</v>
      </c>
      <c r="EO33" s="1162">
        <f t="shared" si="82"/>
        <v>0.33861082737487225</v>
      </c>
      <c r="EP33" s="1162">
        <f t="shared" si="83"/>
        <v>0.3240500354024074</v>
      </c>
      <c r="EQ33" s="1162">
        <f t="shared" si="84"/>
        <v>-7.2315705128205066E-2</v>
      </c>
      <c r="ER33" s="1232"/>
      <c r="ES33" s="1162"/>
      <c r="ET33" s="1162"/>
      <c r="EU33" s="1162"/>
      <c r="EV33" s="1162"/>
      <c r="EW33" s="1232"/>
      <c r="EX33" s="1242"/>
      <c r="EY33" s="1162"/>
      <c r="EZ33" s="1162"/>
      <c r="FA33" s="1162"/>
      <c r="FB33" s="1754"/>
      <c r="FC33" s="1242"/>
      <c r="FD33" s="1162"/>
      <c r="FE33" s="1162"/>
      <c r="FF33" s="1162"/>
      <c r="FG33" s="1756"/>
      <c r="FH33" s="860"/>
      <c r="FI33" s="860"/>
      <c r="FJ33" s="860"/>
      <c r="FY33" s="860"/>
      <c r="FZ33" s="860"/>
      <c r="GA33" s="860"/>
      <c r="GB33" s="860"/>
      <c r="GC33" s="860"/>
      <c r="GD33" s="860"/>
      <c r="GE33" s="860"/>
      <c r="GF33" s="860"/>
      <c r="GG33" s="860"/>
      <c r="GH33" s="860"/>
      <c r="GI33" s="860"/>
      <c r="GJ33" s="860"/>
      <c r="GK33" s="860"/>
      <c r="GL33" s="860"/>
      <c r="GM33" s="860"/>
      <c r="GN33" s="860"/>
      <c r="GO33" s="860"/>
      <c r="GP33" s="860"/>
      <c r="GQ33" s="860"/>
      <c r="GR33" s="1376">
        <v>480</v>
      </c>
      <c r="GS33" s="1241">
        <v>0.13287703563842346</v>
      </c>
      <c r="GT33" s="1376">
        <v>460.89999999999986</v>
      </c>
      <c r="GU33" s="1241">
        <v>-7.672275641025661E-2</v>
      </c>
      <c r="GV33" s="1376">
        <v>200</v>
      </c>
      <c r="GW33" s="1241">
        <v>-0.5048279277048775</v>
      </c>
      <c r="GX33" s="1218"/>
      <c r="GY33" s="1376">
        <v>0</v>
      </c>
      <c r="GZ33" s="1241">
        <v>-1</v>
      </c>
      <c r="HA33" s="1218"/>
      <c r="HB33" s="1376"/>
      <c r="HC33" s="1241"/>
      <c r="HD33" s="2000"/>
      <c r="HE33" s="1376"/>
      <c r="HF33" s="1241"/>
      <c r="HG33" s="2000"/>
      <c r="HH33" s="1376"/>
      <c r="HI33" s="1376"/>
      <c r="HJ33" s="1241"/>
      <c r="HK33" s="2000"/>
      <c r="HL33" s="1376"/>
      <c r="HM33" s="1241"/>
      <c r="HN33" s="2000"/>
      <c r="HO33" s="1376"/>
      <c r="HP33" s="1241"/>
      <c r="HQ33" s="2000"/>
      <c r="HR33" s="1376"/>
    </row>
    <row r="34" spans="1:226" ht="14.25" customHeight="1">
      <c r="A34" s="1270" t="s">
        <v>207</v>
      </c>
      <c r="B34" s="1684"/>
      <c r="C34" s="1363"/>
      <c r="D34" s="1363"/>
      <c r="E34" s="1363"/>
      <c r="F34" s="1685"/>
      <c r="G34" s="1357">
        <f>+SUM(G29:G33)</f>
        <v>4627.8999999999996</v>
      </c>
      <c r="H34" s="1272">
        <f t="shared" ref="H34:AL34" si="85">+SUM(H29:H33)</f>
        <v>6290.2999999999993</v>
      </c>
      <c r="I34" s="1272">
        <f t="shared" si="85"/>
        <v>6777.5999999999995</v>
      </c>
      <c r="J34" s="1272">
        <f t="shared" si="85"/>
        <v>7675.6999999999989</v>
      </c>
      <c r="K34" s="1256">
        <f t="shared" si="85"/>
        <v>25371.5</v>
      </c>
      <c r="L34" s="1357">
        <f t="shared" si="85"/>
        <v>5639.1</v>
      </c>
      <c r="M34" s="1272">
        <f t="shared" si="85"/>
        <v>7125.7</v>
      </c>
      <c r="N34" s="1272">
        <f t="shared" si="85"/>
        <v>7506.4999999999991</v>
      </c>
      <c r="O34" s="1272">
        <f t="shared" si="85"/>
        <v>8142.2000000000016</v>
      </c>
      <c r="P34" s="1256">
        <f t="shared" si="85"/>
        <v>28413.5</v>
      </c>
      <c r="Q34" s="1357">
        <f t="shared" si="85"/>
        <v>5675.5</v>
      </c>
      <c r="R34" s="1272">
        <f t="shared" si="85"/>
        <v>7733.7</v>
      </c>
      <c r="S34" s="1272">
        <f t="shared" si="85"/>
        <v>7960.9</v>
      </c>
      <c r="T34" s="1272">
        <f t="shared" si="85"/>
        <v>8490.2999999999993</v>
      </c>
      <c r="U34" s="1256">
        <f t="shared" si="85"/>
        <v>29860.399999999998</v>
      </c>
      <c r="V34" s="1357">
        <f t="shared" si="85"/>
        <v>6079.7</v>
      </c>
      <c r="W34" s="1272">
        <f t="shared" si="85"/>
        <v>8015.8</v>
      </c>
      <c r="X34" s="1272">
        <f t="shared" si="85"/>
        <v>8312.1</v>
      </c>
      <c r="Y34" s="1272">
        <f t="shared" si="85"/>
        <v>9872.0999999999967</v>
      </c>
      <c r="Z34" s="1256">
        <f t="shared" si="85"/>
        <v>32279.7</v>
      </c>
      <c r="AA34" s="1357">
        <f t="shared" si="85"/>
        <v>7637.5000000000009</v>
      </c>
      <c r="AB34" s="1272">
        <f t="shared" si="85"/>
        <v>8545.5999999999985</v>
      </c>
      <c r="AC34" s="1272">
        <f t="shared" si="85"/>
        <v>9584.7000000000007</v>
      </c>
      <c r="AD34" s="1272">
        <f t="shared" si="85"/>
        <v>9927.5</v>
      </c>
      <c r="AE34" s="1256">
        <f t="shared" si="85"/>
        <v>35695.299999999996</v>
      </c>
      <c r="AF34" s="1357">
        <f t="shared" si="85"/>
        <v>8358.2999999999993</v>
      </c>
      <c r="AG34" s="1272">
        <f t="shared" si="85"/>
        <v>9680</v>
      </c>
      <c r="AH34" s="1272">
        <f t="shared" si="85"/>
        <v>9979</v>
      </c>
      <c r="AI34" s="1272">
        <f t="shared" si="85"/>
        <v>10905.9</v>
      </c>
      <c r="AJ34" s="1256">
        <f t="shared" si="85"/>
        <v>38923.199999999997</v>
      </c>
      <c r="AK34" s="1357">
        <f t="shared" si="85"/>
        <v>8559.1</v>
      </c>
      <c r="AL34" s="1272">
        <f t="shared" si="85"/>
        <v>9419.4</v>
      </c>
      <c r="AM34" s="1272">
        <f t="shared" ref="AM34:BI34" si="86">+SUM(AM29:AM33)</f>
        <v>9339.2999999999993</v>
      </c>
      <c r="AN34" s="1272">
        <f t="shared" si="86"/>
        <v>10139</v>
      </c>
      <c r="AO34" s="1256">
        <f t="shared" si="86"/>
        <v>37457</v>
      </c>
      <c r="AP34" s="1357">
        <f t="shared" si="86"/>
        <v>9130.7999999999993</v>
      </c>
      <c r="AQ34" s="1272">
        <f t="shared" si="86"/>
        <v>10752.800000000001</v>
      </c>
      <c r="AR34" s="1272">
        <f t="shared" si="86"/>
        <v>10308.1</v>
      </c>
      <c r="AS34" s="1272">
        <f t="shared" si="86"/>
        <v>10487.5</v>
      </c>
      <c r="AT34" s="1256">
        <f t="shared" si="86"/>
        <v>40679</v>
      </c>
      <c r="AU34" s="1357">
        <f t="shared" si="86"/>
        <v>9406.4000000000015</v>
      </c>
      <c r="AV34" s="1272">
        <f t="shared" si="86"/>
        <v>9928.0999999999985</v>
      </c>
      <c r="AW34" s="1272">
        <f t="shared" si="86"/>
        <v>10764.400000000001</v>
      </c>
      <c r="AX34" s="1272">
        <f t="shared" si="86"/>
        <v>11276.8</v>
      </c>
      <c r="AY34" s="1256">
        <f t="shared" si="86"/>
        <v>41015</v>
      </c>
      <c r="AZ34" s="1357">
        <f t="shared" si="86"/>
        <v>8709.2000000000007</v>
      </c>
      <c r="BA34" s="1272">
        <f t="shared" si="86"/>
        <v>8636.3000000000011</v>
      </c>
      <c r="BB34" s="1272">
        <f t="shared" si="86"/>
        <v>10531.399999999998</v>
      </c>
      <c r="BC34" s="1272">
        <f t="shared" si="86"/>
        <v>12634.499999999998</v>
      </c>
      <c r="BD34" s="1256">
        <f t="shared" si="86"/>
        <v>40511.399999999994</v>
      </c>
      <c r="BE34" s="1357">
        <f t="shared" si="86"/>
        <v>9377.7000000000007</v>
      </c>
      <c r="BF34" s="1272">
        <f t="shared" si="86"/>
        <v>10105.5</v>
      </c>
      <c r="BG34" s="1272">
        <f t="shared" si="86"/>
        <v>10969</v>
      </c>
      <c r="BH34" s="1272">
        <f t="shared" si="86"/>
        <v>13023.400000000001</v>
      </c>
      <c r="BI34" s="1256">
        <f t="shared" si="86"/>
        <v>43475.5</v>
      </c>
      <c r="BJ34" s="1357">
        <f>+SUM(BJ31:BJ33)</f>
        <v>7217.1</v>
      </c>
      <c r="BK34" s="1357">
        <f t="shared" ref="BK34:BT34" si="87">+SUM(BK31:BK33)</f>
        <v>7045.7000000000007</v>
      </c>
      <c r="BL34" s="1357">
        <f t="shared" si="87"/>
        <v>7037.0999999999995</v>
      </c>
      <c r="BM34" s="1357">
        <f t="shared" si="87"/>
        <v>6710.0999999999995</v>
      </c>
      <c r="BN34" s="1357">
        <f t="shared" si="87"/>
        <v>28010.129999999997</v>
      </c>
      <c r="BO34" s="1357">
        <f t="shared" si="87"/>
        <v>6969.7999999999993</v>
      </c>
      <c r="BP34" s="1357">
        <f t="shared" si="87"/>
        <v>6813.9999999999991</v>
      </c>
      <c r="BQ34" s="1357">
        <f t="shared" si="87"/>
        <v>6415</v>
      </c>
      <c r="BR34" s="1357">
        <f t="shared" si="87"/>
        <v>6305.8000000000011</v>
      </c>
      <c r="BS34" s="1357">
        <f t="shared" si="87"/>
        <v>26411.300000000003</v>
      </c>
      <c r="BT34" s="1357">
        <f t="shared" si="87"/>
        <v>5883.4</v>
      </c>
      <c r="BU34" s="1462">
        <v>5950.1</v>
      </c>
      <c r="BV34" s="1462">
        <v>5717.1</v>
      </c>
      <c r="BW34" s="1462">
        <v>5607.3</v>
      </c>
      <c r="BX34" s="1256">
        <f>Master!W58</f>
        <v>23157.915999999997</v>
      </c>
      <c r="BY34" s="1895">
        <v>5702.1</v>
      </c>
      <c r="BZ34" s="1462">
        <v>5694.3</v>
      </c>
      <c r="CA34" s="1462">
        <v>5677.1</v>
      </c>
      <c r="CB34" s="1462">
        <v>5948.4</v>
      </c>
      <c r="CC34" s="1755">
        <f>Master!X58</f>
        <v>23021.9</v>
      </c>
      <c r="CD34" s="1895">
        <v>6001.2</v>
      </c>
      <c r="CE34" s="2045">
        <f>40%*CE21</f>
        <v>5740</v>
      </c>
      <c r="CF34" s="2045">
        <f>40%*CF21</f>
        <v>5670</v>
      </c>
      <c r="CG34" s="2045">
        <f>CH34-CD34-CE34-CF34</f>
        <v>5707.0434529999984</v>
      </c>
      <c r="CH34" s="1755">
        <f>Master!Y58</f>
        <v>23118.243452999999</v>
      </c>
      <c r="CI34" s="1248"/>
      <c r="CJ34" s="860"/>
      <c r="CK34" s="1364">
        <f t="shared" si="37"/>
        <v>0.21850083191080194</v>
      </c>
      <c r="CL34" s="1365">
        <f t="shared" si="38"/>
        <v>0.13280765623261215</v>
      </c>
      <c r="CM34" s="1365">
        <f t="shared" si="39"/>
        <v>0.10754544381491971</v>
      </c>
      <c r="CN34" s="1365">
        <f t="shared" si="40"/>
        <v>6.0776215850020465E-2</v>
      </c>
      <c r="CO34" s="1232"/>
      <c r="CP34" s="1364">
        <f t="shared" si="41"/>
        <v>6.4549307513610543E-3</v>
      </c>
      <c r="CQ34" s="1365">
        <f t="shared" si="42"/>
        <v>8.5324950531175947E-2</v>
      </c>
      <c r="CR34" s="1365">
        <f t="shared" si="43"/>
        <v>6.0534203690135291E-2</v>
      </c>
      <c r="CS34" s="1365">
        <f t="shared" si="44"/>
        <v>4.2752573014664064E-2</v>
      </c>
      <c r="CT34" s="1232"/>
      <c r="CU34" s="1364">
        <f t="shared" si="45"/>
        <v>7.1218394855078859E-2</v>
      </c>
      <c r="CV34" s="1365">
        <f t="shared" si="46"/>
        <v>3.6476718776264905E-2</v>
      </c>
      <c r="CW34" s="1365">
        <f t="shared" si="47"/>
        <v>4.411561506864814E-2</v>
      </c>
      <c r="CX34" s="1365">
        <f t="shared" si="48"/>
        <v>0.16275043284689561</v>
      </c>
      <c r="CY34" s="1232"/>
      <c r="CZ34" s="1364">
        <f t="shared" si="49"/>
        <v>0.25622974817836419</v>
      </c>
      <c r="DA34" s="1365">
        <f t="shared" si="50"/>
        <v>6.6094463434716255E-2</v>
      </c>
      <c r="DB34" s="1365">
        <f t="shared" si="51"/>
        <v>0.15310210416140335</v>
      </c>
      <c r="DC34" s="1365">
        <f t="shared" si="52"/>
        <v>5.6117745970971633E-3</v>
      </c>
      <c r="DD34" s="1232"/>
      <c r="DE34" s="1364">
        <f t="shared" si="53"/>
        <v>9.4376432078559613E-2</v>
      </c>
      <c r="DF34" s="1365">
        <f t="shared" si="54"/>
        <v>0.13274667665231243</v>
      </c>
      <c r="DG34" s="1365">
        <f t="shared" si="55"/>
        <v>4.1138481120953196E-2</v>
      </c>
      <c r="DH34" s="1365">
        <f t="shared" si="56"/>
        <v>9.8554520271971757E-2</v>
      </c>
      <c r="DI34" s="1232"/>
      <c r="DJ34" s="1364">
        <f t="shared" si="57"/>
        <v>2.4024024024024149E-2</v>
      </c>
      <c r="DK34" s="1365">
        <f t="shared" si="58"/>
        <v>-2.6921487603305816E-2</v>
      </c>
      <c r="DL34" s="1365">
        <f t="shared" si="59"/>
        <v>-6.4104619701372934E-2</v>
      </c>
      <c r="DM34" s="1365">
        <f t="shared" si="60"/>
        <v>-7.0319735189209531E-2</v>
      </c>
      <c r="DN34" s="1232"/>
      <c r="DO34" s="1364">
        <f t="shared" si="61"/>
        <v>6.6794405953896963E-2</v>
      </c>
      <c r="DP34" s="1365">
        <f t="shared" si="62"/>
        <v>0.14155891033399182</v>
      </c>
      <c r="DQ34" s="1365">
        <f t="shared" si="63"/>
        <v>0.10373368453738507</v>
      </c>
      <c r="DR34" s="1365">
        <f t="shared" si="64"/>
        <v>3.4372226057796551E-2</v>
      </c>
      <c r="DS34" s="1232"/>
      <c r="DT34" s="1372">
        <f t="shared" si="65"/>
        <v>3.0183554562579706E-2</v>
      </c>
      <c r="DU34" s="1371">
        <f t="shared" si="66"/>
        <v>-7.6696302358455704E-2</v>
      </c>
      <c r="DV34" s="1371">
        <f t="shared" si="67"/>
        <v>4.4266159622044832E-2</v>
      </c>
      <c r="DW34" s="1371">
        <f t="shared" si="68"/>
        <v>7.5261025029797368E-2</v>
      </c>
      <c r="DX34" s="1232"/>
      <c r="DY34" s="1372">
        <f t="shared" si="69"/>
        <v>-7.4119748256506246E-2</v>
      </c>
      <c r="DZ34" s="1371">
        <f t="shared" si="70"/>
        <v>-0.13011553066548465</v>
      </c>
      <c r="EA34" s="1371">
        <f t="shared" si="71"/>
        <v>-2.1645423804392605E-2</v>
      </c>
      <c r="EB34" s="1371">
        <f t="shared" si="72"/>
        <v>0.12039763053348462</v>
      </c>
      <c r="EC34" s="1232"/>
      <c r="ED34" s="1371">
        <f t="shared" si="73"/>
        <v>7.6757911174390347E-2</v>
      </c>
      <c r="EE34" s="1371">
        <f t="shared" si="74"/>
        <v>0.17011914824635532</v>
      </c>
      <c r="EF34" s="1371">
        <f t="shared" si="75"/>
        <v>4.1551930417608407E-2</v>
      </c>
      <c r="EG34" s="1371">
        <f t="shared" si="76"/>
        <v>3.0780798606989013E-2</v>
      </c>
      <c r="EH34" s="860"/>
      <c r="EI34" s="1372">
        <f t="shared" si="77"/>
        <v>-0.23039764547810238</v>
      </c>
      <c r="EJ34" s="1371">
        <f t="shared" si="78"/>
        <v>-0.30278561179555685</v>
      </c>
      <c r="EK34" s="1371">
        <f t="shared" si="79"/>
        <v>-0.35845564773452465</v>
      </c>
      <c r="EL34" s="1371">
        <f t="shared" si="80"/>
        <v>-0.48476588294915313</v>
      </c>
      <c r="EM34" s="1232"/>
      <c r="EN34" s="1372">
        <f t="shared" si="81"/>
        <v>-3.4265840850203122E-2</v>
      </c>
      <c r="EO34" s="1371">
        <f t="shared" si="82"/>
        <v>-3.2885305931277475E-2</v>
      </c>
      <c r="EP34" s="1371">
        <f t="shared" si="83"/>
        <v>-8.8402893237271019E-2</v>
      </c>
      <c r="EQ34" s="1371">
        <f t="shared" si="84"/>
        <v>-6.0252455254019788E-2</v>
      </c>
      <c r="ER34" s="1232"/>
      <c r="ES34" s="1416">
        <v>-0.125</v>
      </c>
      <c r="ET34" s="1416">
        <v>-7.6999999999999999E-2</v>
      </c>
      <c r="EU34" s="1416">
        <v>-4.7E-2</v>
      </c>
      <c r="EV34" s="1416">
        <v>-4.3999999999999997E-2</v>
      </c>
      <c r="EW34" s="1232"/>
      <c r="EX34" s="1372">
        <f t="shared" ref="EX34:FA37" si="88">BY34/BT34-1</f>
        <v>-3.0815514838358649E-2</v>
      </c>
      <c r="EY34" s="1371">
        <f t="shared" si="88"/>
        <v>-4.2990874102956322E-2</v>
      </c>
      <c r="EZ34" s="1371">
        <f t="shared" si="88"/>
        <v>-6.9965541970579137E-3</v>
      </c>
      <c r="FA34" s="1371">
        <f t="shared" si="88"/>
        <v>6.0831416189609966E-2</v>
      </c>
      <c r="FB34" s="1754"/>
      <c r="FC34" s="1372">
        <f>CD34/BY34-1</f>
        <v>5.2454358920397626E-2</v>
      </c>
      <c r="FD34" s="1371">
        <f t="shared" ref="FD34:FD37" si="89">CE34/BZ34-1</f>
        <v>8.025569429078061E-3</v>
      </c>
      <c r="FE34" s="1371">
        <f t="shared" ref="FE34:FE37" si="90">CF34/CA34-1</f>
        <v>-1.2506385302355483E-3</v>
      </c>
      <c r="FF34" s="1371">
        <f t="shared" ref="FF34:FF37" si="91">CG34/CB34-1</f>
        <v>-4.0575036480398285E-2</v>
      </c>
      <c r="FG34" s="2041"/>
      <c r="FH34" s="860"/>
      <c r="FI34" s="860"/>
      <c r="FJ34" s="860"/>
      <c r="FY34" s="860"/>
      <c r="FZ34" s="860"/>
      <c r="GA34" s="860"/>
      <c r="GB34" s="860"/>
      <c r="GC34" s="860"/>
      <c r="GD34" s="860"/>
      <c r="GE34" s="860"/>
      <c r="GF34" s="860"/>
      <c r="GG34" s="860"/>
      <c r="GH34" s="860"/>
      <c r="GI34" s="860"/>
      <c r="GJ34" s="860"/>
      <c r="GK34" s="860"/>
      <c r="GL34" s="860"/>
      <c r="GM34" s="860"/>
      <c r="GN34" s="860"/>
      <c r="GO34" s="860"/>
      <c r="GP34" s="860"/>
      <c r="GQ34" s="860"/>
      <c r="GR34" s="2004">
        <v>6720</v>
      </c>
      <c r="GS34" s="1630">
        <v>-4.5061175768427275E-2</v>
      </c>
      <c r="GT34" s="2004">
        <v>6101.9779190799245</v>
      </c>
      <c r="GU34" s="1249">
        <v>-9.0627871554831541E-2</v>
      </c>
      <c r="GV34" s="2004">
        <v>6435.8320000000003</v>
      </c>
      <c r="GW34" s="1630">
        <v>-7.6611667479697942E-2</v>
      </c>
      <c r="GX34" s="1218"/>
      <c r="GY34" s="2004">
        <v>5917.35</v>
      </c>
      <c r="GZ34" s="1630">
        <v>-5.9214919393303256E-2</v>
      </c>
      <c r="HA34" s="1218"/>
      <c r="HB34" s="2004">
        <v>5900</v>
      </c>
      <c r="HC34" s="1630">
        <v>7.8578749572941753E-3</v>
      </c>
      <c r="HD34" s="2000"/>
      <c r="HE34" s="2004">
        <v>5477.4245881798961</v>
      </c>
      <c r="HF34" s="1249">
        <v>-6.2518255570216619E-2</v>
      </c>
      <c r="HG34" s="2000"/>
      <c r="HH34" s="2004">
        <v>5590</v>
      </c>
      <c r="HI34" s="2004">
        <v>5652.5950000000003</v>
      </c>
      <c r="HJ34" s="1630">
        <v>-5.0000000000000044E-2</v>
      </c>
      <c r="HK34" s="2000"/>
      <c r="HL34" s="2004">
        <v>5545.5870000000004</v>
      </c>
      <c r="HM34" s="1630">
        <v>-3.0000000000000027E-2</v>
      </c>
      <c r="HN34" s="2000"/>
      <c r="HO34" s="2004">
        <v>5595.9205509775802</v>
      </c>
      <c r="HP34" s="1249">
        <v>-2.0293990017334895E-3</v>
      </c>
      <c r="HQ34" s="2000"/>
      <c r="HR34" s="2005">
        <f>39%*HR21</f>
        <v>5659.875</v>
      </c>
    </row>
    <row r="35" spans="1:226" ht="14.25" customHeight="1">
      <c r="A35" s="1132" t="s">
        <v>209</v>
      </c>
      <c r="B35" s="1686"/>
      <c r="C35" s="1687"/>
      <c r="D35" s="1687"/>
      <c r="E35" s="1687"/>
      <c r="F35" s="1688"/>
      <c r="G35" s="1250">
        <v>-287.5</v>
      </c>
      <c r="H35" s="1251">
        <v>-246.4</v>
      </c>
      <c r="I35" s="1251">
        <v>-269.8</v>
      </c>
      <c r="J35" s="1251">
        <v>-338.9</v>
      </c>
      <c r="K35" s="1252">
        <f>+SUM(G35:J35)</f>
        <v>-1142.5999999999999</v>
      </c>
      <c r="L35" s="1250">
        <v>-287.10000000000002</v>
      </c>
      <c r="M35" s="1251">
        <v>-283.39999999999998</v>
      </c>
      <c r="N35" s="1251">
        <v>-277</v>
      </c>
      <c r="O35" s="1235">
        <v>-301.8</v>
      </c>
      <c r="P35" s="1252">
        <f>+SUM(L35:O35)</f>
        <v>-1149.3</v>
      </c>
      <c r="Q35" s="1250">
        <v>-261</v>
      </c>
      <c r="R35" s="1251">
        <v>-277.8</v>
      </c>
      <c r="S35" s="1251">
        <v>-295.2</v>
      </c>
      <c r="T35" s="1251">
        <f>-1192.5-Q35-R35-S35</f>
        <v>-358.50000000000006</v>
      </c>
      <c r="U35" s="1252">
        <f>+SUM(Q35:T35)</f>
        <v>-1192.5</v>
      </c>
      <c r="V35" s="1250">
        <v>-307.5</v>
      </c>
      <c r="W35" s="1251">
        <v>-391.4</v>
      </c>
      <c r="X35" s="1251">
        <v>-357.9</v>
      </c>
      <c r="Y35" s="1251">
        <f>-1478.5-V35-W35-X35</f>
        <v>-421.70000000000005</v>
      </c>
      <c r="Z35" s="1252">
        <f>+SUM(V35:Y35)</f>
        <v>-1478.5</v>
      </c>
      <c r="AA35" s="1250">
        <v>-410.6</v>
      </c>
      <c r="AB35" s="1251">
        <v>-514.20000000000005</v>
      </c>
      <c r="AC35" s="1251">
        <v>-496.3</v>
      </c>
      <c r="AD35" s="1251">
        <f>-1960.8-AA35-AB35-AC35</f>
        <v>-539.69999999999982</v>
      </c>
      <c r="AE35" s="1252">
        <f>Master!N61</f>
        <v>-1960.8</v>
      </c>
      <c r="AF35" s="1250">
        <v>-544.20000000000005</v>
      </c>
      <c r="AG35" s="1251">
        <v>-551.9</v>
      </c>
      <c r="AH35" s="1251">
        <v>-518</v>
      </c>
      <c r="AI35" s="1251">
        <f>-2207.9-AF35-AG35-AH35</f>
        <v>-593.80000000000018</v>
      </c>
      <c r="AJ35" s="1252">
        <f>Master!O61</f>
        <v>-2207.9</v>
      </c>
      <c r="AK35" s="1250">
        <v>-580.70000000000005</v>
      </c>
      <c r="AL35" s="1251">
        <v>-553.9</v>
      </c>
      <c r="AM35" s="1251">
        <v>-550.20000000000005</v>
      </c>
      <c r="AN35" s="1251">
        <f>-2291-AK35-AL35-AM35</f>
        <v>-606.20000000000005</v>
      </c>
      <c r="AO35" s="1252">
        <f>Master!P61</f>
        <v>-2291</v>
      </c>
      <c r="AP35" s="1250">
        <v>-551.70000000000005</v>
      </c>
      <c r="AQ35" s="1251">
        <v>-520.29999999999995</v>
      </c>
      <c r="AR35" s="1251">
        <v>-496</v>
      </c>
      <c r="AS35" s="1251">
        <f>-2154.7-AP35-AQ35-AR35</f>
        <v>-586.69999999999982</v>
      </c>
      <c r="AT35" s="1252">
        <f>Master!Q61</f>
        <v>-2155</v>
      </c>
      <c r="AU35" s="1250">
        <v>-516.1</v>
      </c>
      <c r="AV35" s="1251">
        <v>-439.2</v>
      </c>
      <c r="AW35" s="1251">
        <v>-436.3</v>
      </c>
      <c r="AX35" s="1251">
        <v>-496.7</v>
      </c>
      <c r="AY35" s="1252">
        <f>Master!R61</f>
        <v>-1888</v>
      </c>
      <c r="AZ35" s="1508">
        <v>-423.8</v>
      </c>
      <c r="BA35" s="1374">
        <v>-366</v>
      </c>
      <c r="BB35" s="1374">
        <v>-374.9</v>
      </c>
      <c r="BC35" s="1251">
        <f>BD35-AZ35-BA35-BB35</f>
        <v>-718.20000000000016</v>
      </c>
      <c r="BD35" s="1252">
        <f>Master!S61</f>
        <v>-1882.9</v>
      </c>
      <c r="BE35" s="1508">
        <v>-499.4</v>
      </c>
      <c r="BF35" s="1374">
        <v>-481.9</v>
      </c>
      <c r="BG35" s="1374">
        <v>-480.7</v>
      </c>
      <c r="BH35" s="1251">
        <v>-741.6</v>
      </c>
      <c r="BI35" s="1251">
        <f>Master!T61</f>
        <v>-2203.5</v>
      </c>
      <c r="BJ35" s="1324">
        <v>-333.7</v>
      </c>
      <c r="BK35" s="1246">
        <v>-285.2</v>
      </c>
      <c r="BL35" s="1246">
        <v>-213.5</v>
      </c>
      <c r="BM35" s="1246">
        <v>-705.7</v>
      </c>
      <c r="BN35" s="1268">
        <f>Master!U61</f>
        <v>-1538.1</v>
      </c>
      <c r="BO35" s="1324">
        <v>-242.4</v>
      </c>
      <c r="BP35" s="1246">
        <v>-238.3</v>
      </c>
      <c r="BQ35" s="1246">
        <v>-189.8</v>
      </c>
      <c r="BR35" s="1246">
        <v>-589.4</v>
      </c>
      <c r="BS35" s="1268">
        <f>Master!V61</f>
        <v>-1259.9000000000001</v>
      </c>
      <c r="BT35" s="1324">
        <v>-185.8</v>
      </c>
      <c r="BU35" s="1246">
        <v>-91.4</v>
      </c>
      <c r="BV35" s="1246">
        <v>-61.2</v>
      </c>
      <c r="BW35" s="1246">
        <v>-417.6</v>
      </c>
      <c r="BX35" s="1362">
        <f>Master!W61</f>
        <v>-756</v>
      </c>
      <c r="BY35" s="1324">
        <v>-118.6</v>
      </c>
      <c r="BZ35" s="1246">
        <v>-22.1</v>
      </c>
      <c r="CA35" s="1246">
        <v>-57.4</v>
      </c>
      <c r="CB35" s="1246">
        <v>-250.8</v>
      </c>
      <c r="CC35" s="1758">
        <f>Master!X61</f>
        <v>-448.9</v>
      </c>
      <c r="CD35" s="1324">
        <v>-74.5</v>
      </c>
      <c r="CE35" s="1991">
        <v>-75</v>
      </c>
      <c r="CF35" s="1991">
        <v>-75</v>
      </c>
      <c r="CG35" s="1991">
        <f>CH35-CD35-CE35-CF35</f>
        <v>-210.70601647366937</v>
      </c>
      <c r="CH35" s="1758">
        <f>Master!Y61</f>
        <v>-435.20601647366937</v>
      </c>
      <c r="CI35" s="1268"/>
      <c r="CJ35" s="860"/>
      <c r="CK35" s="1242">
        <f t="shared" si="37"/>
        <v>-1.3913043478259723E-3</v>
      </c>
      <c r="CL35" s="1162">
        <f t="shared" si="38"/>
        <v>0.15016233766233755</v>
      </c>
      <c r="CM35" s="1162">
        <f t="shared" si="39"/>
        <v>2.6686434395848835E-2</v>
      </c>
      <c r="CN35" s="1162">
        <f t="shared" si="40"/>
        <v>-0.10947182059604599</v>
      </c>
      <c r="CO35" s="1232"/>
      <c r="CP35" s="1242">
        <f t="shared" si="41"/>
        <v>-9.0909090909090939E-2</v>
      </c>
      <c r="CQ35" s="1162">
        <f t="shared" si="42"/>
        <v>-1.9760056457304054E-2</v>
      </c>
      <c r="CR35" s="1162">
        <f t="shared" si="43"/>
        <v>6.570397111913362E-2</v>
      </c>
      <c r="CS35" s="1162">
        <f t="shared" si="44"/>
        <v>0.18787276341948322</v>
      </c>
      <c r="CT35" s="1232"/>
      <c r="CU35" s="1242">
        <f t="shared" si="45"/>
        <v>0.17816091954022983</v>
      </c>
      <c r="CV35" s="1162">
        <f t="shared" si="46"/>
        <v>0.40892728581713444</v>
      </c>
      <c r="CW35" s="1162">
        <f t="shared" si="47"/>
        <v>0.21239837398373984</v>
      </c>
      <c r="CX35" s="1162">
        <f t="shared" si="48"/>
        <v>0.1762900976290096</v>
      </c>
      <c r="CY35" s="1232"/>
      <c r="CZ35" s="1242">
        <f t="shared" si="49"/>
        <v>0.33528455284552861</v>
      </c>
      <c r="DA35" s="1162">
        <f t="shared" si="50"/>
        <v>0.31374552887072071</v>
      </c>
      <c r="DB35" s="1162">
        <f t="shared" si="51"/>
        <v>0.38670019558535906</v>
      </c>
      <c r="DC35" s="1162">
        <f t="shared" si="52"/>
        <v>0.27981977709271932</v>
      </c>
      <c r="DD35" s="1232"/>
      <c r="DE35" s="1242">
        <f t="shared" si="53"/>
        <v>0.32537749634680968</v>
      </c>
      <c r="DF35" s="1162">
        <f t="shared" si="54"/>
        <v>7.3317775184752909E-2</v>
      </c>
      <c r="DG35" s="1162">
        <f t="shared" si="55"/>
        <v>4.37235543018335E-2</v>
      </c>
      <c r="DH35" s="1162">
        <f t="shared" si="56"/>
        <v>0.10024087455994146</v>
      </c>
      <c r="DI35" s="1232"/>
      <c r="DJ35" s="1242">
        <f t="shared" si="57"/>
        <v>6.707092980521856E-2</v>
      </c>
      <c r="DK35" s="1162">
        <f t="shared" si="58"/>
        <v>3.6238448994383443E-3</v>
      </c>
      <c r="DL35" s="1162">
        <f t="shared" si="59"/>
        <v>6.2162162162162193E-2</v>
      </c>
      <c r="DM35" s="1162">
        <f t="shared" si="60"/>
        <v>2.0882452004041596E-2</v>
      </c>
      <c r="DN35" s="1232"/>
      <c r="DO35" s="1242">
        <f t="shared" si="61"/>
        <v>-4.9939727914585785E-2</v>
      </c>
      <c r="DP35" s="1162">
        <f t="shared" si="62"/>
        <v>-6.0660769091893885E-2</v>
      </c>
      <c r="DQ35" s="1162">
        <f t="shared" si="63"/>
        <v>-9.8509632860777963E-2</v>
      </c>
      <c r="DR35" s="1162">
        <f t="shared" si="64"/>
        <v>-3.2167601451666528E-2</v>
      </c>
      <c r="DS35" s="1232"/>
      <c r="DT35" s="1242">
        <f t="shared" si="65"/>
        <v>-6.452782309226035E-2</v>
      </c>
      <c r="DU35" s="1162">
        <f t="shared" si="66"/>
        <v>-0.15587161253123194</v>
      </c>
      <c r="DV35" s="1162">
        <f t="shared" si="67"/>
        <v>-0.12036290322580645</v>
      </c>
      <c r="DW35" s="1162">
        <f t="shared" si="68"/>
        <v>-0.15340037497869419</v>
      </c>
      <c r="DX35" s="1232"/>
      <c r="DY35" s="1242">
        <f t="shared" si="69"/>
        <v>-0.17884130982367763</v>
      </c>
      <c r="DZ35" s="1162">
        <f t="shared" si="70"/>
        <v>-0.16666666666666663</v>
      </c>
      <c r="EA35" s="1162">
        <f t="shared" si="71"/>
        <v>-0.14072885629154264</v>
      </c>
      <c r="EB35" s="1162">
        <f t="shared" si="72"/>
        <v>0.44594322528689379</v>
      </c>
      <c r="EC35" s="1232"/>
      <c r="ED35" s="1162">
        <f t="shared" si="73"/>
        <v>0.17838603114676732</v>
      </c>
      <c r="EE35" s="1162">
        <f t="shared" si="74"/>
        <v>0.31666666666666665</v>
      </c>
      <c r="EF35" s="1162">
        <f t="shared" si="75"/>
        <v>0.28220858895705536</v>
      </c>
      <c r="EG35" s="1162">
        <f t="shared" si="76"/>
        <v>3.2581453634084934E-2</v>
      </c>
      <c r="EH35" s="860"/>
      <c r="EI35" s="1242">
        <f t="shared" si="77"/>
        <v>-0.33179815778934718</v>
      </c>
      <c r="EJ35" s="1162">
        <f t="shared" si="78"/>
        <v>-0.40817597011828177</v>
      </c>
      <c r="EK35" s="1162">
        <f t="shared" si="79"/>
        <v>-0.55585604327023086</v>
      </c>
      <c r="EL35" s="1162">
        <f t="shared" si="80"/>
        <v>-4.8408845738942774E-2</v>
      </c>
      <c r="EM35" s="1232"/>
      <c r="EN35" s="1242">
        <f t="shared" si="81"/>
        <v>-0.27359904105483968</v>
      </c>
      <c r="EO35" s="1162">
        <f t="shared" si="82"/>
        <v>-0.16444600280504906</v>
      </c>
      <c r="EP35" s="1162">
        <f t="shared" si="83"/>
        <v>-0.11100702576112409</v>
      </c>
      <c r="EQ35" s="1162">
        <f t="shared" si="84"/>
        <v>-0.16480090690094951</v>
      </c>
      <c r="ER35" s="1232"/>
      <c r="ES35" s="1162">
        <f t="shared" ref="ES35:EV37" si="92">BT35/BO35-1</f>
        <v>-0.23349834983498352</v>
      </c>
      <c r="ET35" s="1162">
        <f t="shared" si="92"/>
        <v>-0.6164498531263114</v>
      </c>
      <c r="EU35" s="1162">
        <f t="shared" si="92"/>
        <v>-0.67755532139093777</v>
      </c>
      <c r="EV35" s="1162">
        <f t="shared" si="92"/>
        <v>-0.29148286392941969</v>
      </c>
      <c r="EW35" s="1232"/>
      <c r="EX35" s="1242">
        <f t="shared" si="88"/>
        <v>-0.36167922497308946</v>
      </c>
      <c r="EY35" s="1162">
        <f t="shared" si="88"/>
        <v>-0.75820568927789933</v>
      </c>
      <c r="EZ35" s="1162">
        <f t="shared" si="88"/>
        <v>-6.2091503267973969E-2</v>
      </c>
      <c r="FA35" s="1162">
        <f t="shared" si="88"/>
        <v>-0.39942528735632188</v>
      </c>
      <c r="FB35" s="1754"/>
      <c r="FC35" s="1242">
        <f>CD35/BY35-1</f>
        <v>-0.37183811129848221</v>
      </c>
      <c r="FD35" s="1162">
        <f t="shared" si="89"/>
        <v>2.3936651583710407</v>
      </c>
      <c r="FE35" s="1162">
        <f t="shared" si="90"/>
        <v>0.30662020905923337</v>
      </c>
      <c r="FF35" s="1162">
        <f t="shared" si="91"/>
        <v>-0.15986436812731519</v>
      </c>
      <c r="FG35" s="1756"/>
      <c r="FH35" s="860"/>
      <c r="FI35" s="860"/>
      <c r="FJ35" s="860"/>
      <c r="FY35" s="860"/>
      <c r="FZ35" s="860"/>
      <c r="GA35" s="860"/>
      <c r="GB35" s="860"/>
      <c r="GC35" s="860"/>
      <c r="GD35" s="860"/>
      <c r="GE35" s="860"/>
      <c r="GF35" s="860"/>
      <c r="GG35" s="860"/>
      <c r="GH35" s="860"/>
      <c r="GI35" s="860"/>
      <c r="GJ35" s="860"/>
      <c r="GK35" s="860"/>
      <c r="GL35" s="860"/>
      <c r="GM35" s="860"/>
      <c r="GN35" s="860"/>
      <c r="GO35" s="860"/>
      <c r="GP35" s="860"/>
      <c r="GQ35" s="860"/>
      <c r="GR35" s="1376">
        <v>-240</v>
      </c>
      <c r="GS35" s="1241">
        <v>0.12412177985948469</v>
      </c>
      <c r="GT35" s="1376">
        <v>-579.5</v>
      </c>
      <c r="GU35" s="1241">
        <v>-0.17882953096216525</v>
      </c>
      <c r="GV35" s="1376">
        <v>-230.28</v>
      </c>
      <c r="GW35" s="1241">
        <v>-5.0000000000000044E-2</v>
      </c>
      <c r="GX35" s="1218"/>
      <c r="GY35" s="1376">
        <v>-186.87215385661358</v>
      </c>
      <c r="GZ35" s="1241">
        <v>-0.21581135603603196</v>
      </c>
      <c r="HA35" s="1218"/>
      <c r="HB35" s="1376">
        <v>-80</v>
      </c>
      <c r="HC35" s="1241">
        <v>-0.57850368809272923</v>
      </c>
      <c r="HD35" s="2000"/>
      <c r="HE35" s="1376">
        <v>-661.6</v>
      </c>
      <c r="HF35" s="1241">
        <v>0.12249745503902276</v>
      </c>
      <c r="HG35" s="2000"/>
      <c r="HH35" s="1218">
        <v>-150</v>
      </c>
      <c r="HI35" s="1376">
        <v>-100</v>
      </c>
      <c r="HJ35" s="1241">
        <v>9.4091903719912384E-2</v>
      </c>
      <c r="HK35" s="2000"/>
      <c r="HL35" s="1376">
        <v>-100</v>
      </c>
      <c r="HM35" s="1241">
        <v>0.63398692810457513</v>
      </c>
      <c r="HN35" s="2000"/>
      <c r="HO35" s="1376">
        <v>-201.89999999999995</v>
      </c>
      <c r="HP35" s="1241">
        <v>-0.51652298850574729</v>
      </c>
      <c r="HQ35" s="2000"/>
      <c r="HR35" s="1376">
        <f>CH35/4</f>
        <v>-108.80150411841734</v>
      </c>
    </row>
    <row r="36" spans="1:226" ht="14.25" customHeight="1">
      <c r="A36" s="1270" t="s">
        <v>697</v>
      </c>
      <c r="B36" s="1684"/>
      <c r="C36" s="1363"/>
      <c r="D36" s="1363"/>
      <c r="E36" s="1363"/>
      <c r="F36" s="1685"/>
      <c r="G36" s="1357">
        <f t="shared" ref="G36:AL36" si="93">G34+G35</f>
        <v>4340.3999999999996</v>
      </c>
      <c r="H36" s="1272">
        <f t="shared" si="93"/>
        <v>6043.9</v>
      </c>
      <c r="I36" s="1272">
        <f t="shared" si="93"/>
        <v>6507.7999999999993</v>
      </c>
      <c r="J36" s="1272">
        <f t="shared" si="93"/>
        <v>7336.7999999999993</v>
      </c>
      <c r="K36" s="1256">
        <f t="shared" si="93"/>
        <v>24228.9</v>
      </c>
      <c r="L36" s="1357">
        <f t="shared" si="93"/>
        <v>5352</v>
      </c>
      <c r="M36" s="1272">
        <f t="shared" si="93"/>
        <v>6842.3</v>
      </c>
      <c r="N36" s="1272">
        <f t="shared" si="93"/>
        <v>7229.4999999999991</v>
      </c>
      <c r="O36" s="1272">
        <f t="shared" si="93"/>
        <v>7840.4000000000015</v>
      </c>
      <c r="P36" s="1256">
        <f t="shared" si="93"/>
        <v>27264.2</v>
      </c>
      <c r="Q36" s="1357">
        <f t="shared" si="93"/>
        <v>5414.5</v>
      </c>
      <c r="R36" s="1272">
        <f t="shared" si="93"/>
        <v>7455.9</v>
      </c>
      <c r="S36" s="1272">
        <f t="shared" si="93"/>
        <v>7665.7</v>
      </c>
      <c r="T36" s="1272">
        <f t="shared" si="93"/>
        <v>8131.7999999999993</v>
      </c>
      <c r="U36" s="1256">
        <f t="shared" si="93"/>
        <v>28667.899999999998</v>
      </c>
      <c r="V36" s="1357">
        <f t="shared" si="93"/>
        <v>5772.2</v>
      </c>
      <c r="W36" s="1272">
        <f t="shared" si="93"/>
        <v>7624.4000000000005</v>
      </c>
      <c r="X36" s="1272">
        <f t="shared" si="93"/>
        <v>7954.2000000000007</v>
      </c>
      <c r="Y36" s="1272">
        <f t="shared" si="93"/>
        <v>9450.399999999996</v>
      </c>
      <c r="Z36" s="1256">
        <f t="shared" si="93"/>
        <v>30801.200000000001</v>
      </c>
      <c r="AA36" s="1357">
        <f t="shared" si="93"/>
        <v>7226.9000000000005</v>
      </c>
      <c r="AB36" s="1272">
        <f t="shared" si="93"/>
        <v>8031.3999999999987</v>
      </c>
      <c r="AC36" s="1272">
        <f t="shared" si="93"/>
        <v>9088.4000000000015</v>
      </c>
      <c r="AD36" s="1272">
        <f t="shared" si="93"/>
        <v>9387.7999999999993</v>
      </c>
      <c r="AE36" s="1256">
        <f t="shared" si="93"/>
        <v>33734.499999999993</v>
      </c>
      <c r="AF36" s="1357">
        <f t="shared" si="93"/>
        <v>7814.0999999999995</v>
      </c>
      <c r="AG36" s="1272">
        <f t="shared" si="93"/>
        <v>9128.1</v>
      </c>
      <c r="AH36" s="1272">
        <f t="shared" si="93"/>
        <v>9461</v>
      </c>
      <c r="AI36" s="1272">
        <f t="shared" si="93"/>
        <v>10312.099999999999</v>
      </c>
      <c r="AJ36" s="1256">
        <f t="shared" si="93"/>
        <v>36715.299999999996</v>
      </c>
      <c r="AK36" s="1357">
        <f t="shared" si="93"/>
        <v>7978.4000000000005</v>
      </c>
      <c r="AL36" s="1272">
        <f t="shared" si="93"/>
        <v>8865.5</v>
      </c>
      <c r="AM36" s="1272">
        <f t="shared" ref="AM36:BJ36" si="94">AM34+AM35</f>
        <v>8789.0999999999985</v>
      </c>
      <c r="AN36" s="1272">
        <f t="shared" si="94"/>
        <v>9532.7999999999993</v>
      </c>
      <c r="AO36" s="1256">
        <f t="shared" si="94"/>
        <v>35166</v>
      </c>
      <c r="AP36" s="1357">
        <f t="shared" si="94"/>
        <v>8579.0999999999985</v>
      </c>
      <c r="AQ36" s="1272">
        <f t="shared" si="94"/>
        <v>10232.500000000002</v>
      </c>
      <c r="AR36" s="1272">
        <f t="shared" si="94"/>
        <v>9812.1</v>
      </c>
      <c r="AS36" s="1272">
        <f t="shared" si="94"/>
        <v>9900.7999999999993</v>
      </c>
      <c r="AT36" s="1256">
        <f t="shared" si="94"/>
        <v>38524</v>
      </c>
      <c r="AU36" s="1357">
        <f t="shared" si="94"/>
        <v>8890.3000000000011</v>
      </c>
      <c r="AV36" s="1272">
        <f t="shared" si="94"/>
        <v>9488.8999999999978</v>
      </c>
      <c r="AW36" s="1272">
        <f t="shared" si="94"/>
        <v>10328.100000000002</v>
      </c>
      <c r="AX36" s="1272">
        <f t="shared" si="94"/>
        <v>10780.099999999999</v>
      </c>
      <c r="AY36" s="1256">
        <f t="shared" si="94"/>
        <v>39127</v>
      </c>
      <c r="AZ36" s="1357">
        <f t="shared" si="94"/>
        <v>8285.4000000000015</v>
      </c>
      <c r="BA36" s="1272">
        <f t="shared" si="94"/>
        <v>8270.3000000000011</v>
      </c>
      <c r="BB36" s="1272">
        <f t="shared" si="94"/>
        <v>10156.499999999998</v>
      </c>
      <c r="BC36" s="1272">
        <f t="shared" si="94"/>
        <v>11916.299999999997</v>
      </c>
      <c r="BD36" s="1256">
        <f t="shared" si="94"/>
        <v>38628.499999999993</v>
      </c>
      <c r="BE36" s="1357">
        <f t="shared" si="94"/>
        <v>8878.3000000000011</v>
      </c>
      <c r="BF36" s="1272">
        <f t="shared" si="94"/>
        <v>9623.6</v>
      </c>
      <c r="BG36" s="1272">
        <f t="shared" si="94"/>
        <v>10488.3</v>
      </c>
      <c r="BH36" s="1272">
        <f t="shared" si="94"/>
        <v>12281.800000000001</v>
      </c>
      <c r="BI36" s="1256">
        <f t="shared" si="94"/>
        <v>41272</v>
      </c>
      <c r="BJ36" s="1357">
        <f t="shared" si="94"/>
        <v>6883.4000000000005</v>
      </c>
      <c r="BK36" s="1272">
        <f t="shared" ref="BK36:BW36" si="95">BK34+BK35</f>
        <v>6760.5000000000009</v>
      </c>
      <c r="BL36" s="1272">
        <f t="shared" si="95"/>
        <v>6823.5999999999995</v>
      </c>
      <c r="BM36" s="1272">
        <f t="shared" si="95"/>
        <v>6004.4</v>
      </c>
      <c r="BN36" s="1272">
        <f t="shared" si="95"/>
        <v>26472.03</v>
      </c>
      <c r="BO36" s="1357">
        <f t="shared" si="95"/>
        <v>6727.4</v>
      </c>
      <c r="BP36" s="1272">
        <f t="shared" si="95"/>
        <v>6575.6999999999989</v>
      </c>
      <c r="BQ36" s="1272">
        <f t="shared" si="95"/>
        <v>6225.2</v>
      </c>
      <c r="BR36" s="1272">
        <f t="shared" si="95"/>
        <v>5716.4000000000015</v>
      </c>
      <c r="BS36" s="1272">
        <f t="shared" si="95"/>
        <v>25151.4</v>
      </c>
      <c r="BT36" s="1357">
        <f t="shared" si="95"/>
        <v>5697.5999999999995</v>
      </c>
      <c r="BU36" s="1272">
        <f t="shared" si="95"/>
        <v>5858.7000000000007</v>
      </c>
      <c r="BV36" s="1272">
        <f t="shared" si="95"/>
        <v>5655.9000000000005</v>
      </c>
      <c r="BW36" s="1272">
        <f t="shared" si="95"/>
        <v>5189.7</v>
      </c>
      <c r="BX36" s="1256">
        <f t="shared" ref="BX36:CG36" si="96">BX34+BX35</f>
        <v>22401.915999999997</v>
      </c>
      <c r="BY36" s="1357">
        <f t="shared" si="96"/>
        <v>5583.5</v>
      </c>
      <c r="BZ36" s="1272">
        <f t="shared" si="96"/>
        <v>5672.2</v>
      </c>
      <c r="CA36" s="1272">
        <f t="shared" si="96"/>
        <v>5619.7000000000007</v>
      </c>
      <c r="CB36" s="1272">
        <f t="shared" si="96"/>
        <v>5697.5999999999995</v>
      </c>
      <c r="CC36" s="1787">
        <f t="shared" si="96"/>
        <v>22573</v>
      </c>
      <c r="CD36" s="1357">
        <f>CD34+CD35</f>
        <v>5926.7</v>
      </c>
      <c r="CE36" s="1272">
        <f t="shared" si="96"/>
        <v>5665</v>
      </c>
      <c r="CF36" s="1272">
        <f t="shared" si="96"/>
        <v>5595</v>
      </c>
      <c r="CG36" s="1272">
        <f t="shared" si="96"/>
        <v>5496.3374365263289</v>
      </c>
      <c r="CH36" s="1787">
        <f>CH34+CH35</f>
        <v>22683.037436526331</v>
      </c>
      <c r="CI36" s="1248"/>
      <c r="CJ36" s="1264"/>
      <c r="CK36" s="1364">
        <f t="shared" si="37"/>
        <v>0.23306607685927583</v>
      </c>
      <c r="CL36" s="1365">
        <f t="shared" si="38"/>
        <v>0.13210013401942455</v>
      </c>
      <c r="CM36" s="1365">
        <f t="shared" si="39"/>
        <v>0.11089769200036881</v>
      </c>
      <c r="CN36" s="1365">
        <f t="shared" si="40"/>
        <v>6.8640279140770089E-2</v>
      </c>
      <c r="CO36" s="1377"/>
      <c r="CP36" s="1364">
        <f t="shared" si="41"/>
        <v>1.1677877428998507E-2</v>
      </c>
      <c r="CQ36" s="1365">
        <f t="shared" si="42"/>
        <v>8.9677447641874686E-2</v>
      </c>
      <c r="CR36" s="1365">
        <f t="shared" si="43"/>
        <v>6.0336122830071393E-2</v>
      </c>
      <c r="CS36" s="1365">
        <f t="shared" si="44"/>
        <v>3.7166471098412979E-2</v>
      </c>
      <c r="CT36" s="1377"/>
      <c r="CU36" s="1364">
        <f t="shared" si="45"/>
        <v>6.606334841628958E-2</v>
      </c>
      <c r="CV36" s="1365">
        <f t="shared" si="46"/>
        <v>2.2599552032618542E-2</v>
      </c>
      <c r="CW36" s="1365">
        <f t="shared" si="47"/>
        <v>3.7635180087924214E-2</v>
      </c>
      <c r="CX36" s="1365">
        <f t="shared" si="48"/>
        <v>0.16215352074571387</v>
      </c>
      <c r="CY36" s="1377"/>
      <c r="CZ36" s="1364">
        <f t="shared" si="49"/>
        <v>0.2520182945843874</v>
      </c>
      <c r="DA36" s="1365">
        <f t="shared" si="50"/>
        <v>5.3381249672105113E-2</v>
      </c>
      <c r="DB36" s="1365">
        <f t="shared" si="51"/>
        <v>0.14259133539513713</v>
      </c>
      <c r="DC36" s="1365">
        <f t="shared" si="52"/>
        <v>-6.624058240920716E-3</v>
      </c>
      <c r="DD36" s="1377"/>
      <c r="DE36" s="1364">
        <f t="shared" si="53"/>
        <v>8.1251989096292832E-2</v>
      </c>
      <c r="DF36" s="1365">
        <f t="shared" si="54"/>
        <v>0.13655153522424501</v>
      </c>
      <c r="DG36" s="1365">
        <f t="shared" si="55"/>
        <v>4.0997315259011291E-2</v>
      </c>
      <c r="DH36" s="1365">
        <f t="shared" si="56"/>
        <v>9.8457572594218057E-2</v>
      </c>
      <c r="DI36" s="1377"/>
      <c r="DJ36" s="1364">
        <f t="shared" si="57"/>
        <v>2.1026093855978534E-2</v>
      </c>
      <c r="DK36" s="1365">
        <f t="shared" si="58"/>
        <v>-2.876830884850079E-2</v>
      </c>
      <c r="DL36" s="1365">
        <f t="shared" si="59"/>
        <v>-7.1017862805200505E-2</v>
      </c>
      <c r="DM36" s="1365">
        <f t="shared" si="60"/>
        <v>-7.5571416103412448E-2</v>
      </c>
      <c r="DN36" s="1377"/>
      <c r="DO36" s="1364">
        <f t="shared" si="61"/>
        <v>7.5290785119823234E-2</v>
      </c>
      <c r="DP36" s="1365">
        <f t="shared" si="62"/>
        <v>0.1541932209125263</v>
      </c>
      <c r="DQ36" s="1365">
        <f t="shared" si="63"/>
        <v>0.1163941700515414</v>
      </c>
      <c r="DR36" s="1365">
        <f t="shared" si="64"/>
        <v>3.8603558241020464E-2</v>
      </c>
      <c r="DS36" s="1377"/>
      <c r="DT36" s="1364">
        <f t="shared" si="65"/>
        <v>3.627420125654246E-2</v>
      </c>
      <c r="DU36" s="1365">
        <f t="shared" si="66"/>
        <v>-7.26704129000737E-2</v>
      </c>
      <c r="DV36" s="1365">
        <f t="shared" si="67"/>
        <v>5.2588130981135794E-2</v>
      </c>
      <c r="DW36" s="1365">
        <f t="shared" si="68"/>
        <v>8.881100517129914E-2</v>
      </c>
      <c r="DX36" s="1377"/>
      <c r="DY36" s="1364">
        <f t="shared" si="69"/>
        <v>-6.8040448578788104E-2</v>
      </c>
      <c r="DZ36" s="1365">
        <f t="shared" si="70"/>
        <v>-0.12842373720873834</v>
      </c>
      <c r="EA36" s="1365">
        <f t="shared" si="71"/>
        <v>-1.6614866238708337E-2</v>
      </c>
      <c r="EB36" s="1365">
        <f t="shared" si="72"/>
        <v>0.105397909110305</v>
      </c>
      <c r="EC36" s="1377"/>
      <c r="ED36" s="1365">
        <f t="shared" si="73"/>
        <v>7.1559610881791968E-2</v>
      </c>
      <c r="EE36" s="1365">
        <f t="shared" si="74"/>
        <v>0.16363372549967936</v>
      </c>
      <c r="EF36" s="1365">
        <f t="shared" si="75"/>
        <v>3.2668734308078706E-2</v>
      </c>
      <c r="EG36" s="1365">
        <f t="shared" si="76"/>
        <v>3.0672272433557746E-2</v>
      </c>
      <c r="EH36" s="1282"/>
      <c r="EI36" s="1364">
        <f t="shared" si="77"/>
        <v>-0.22469391662818339</v>
      </c>
      <c r="EJ36" s="1365">
        <f t="shared" si="78"/>
        <v>-0.29750820898624208</v>
      </c>
      <c r="EK36" s="1365">
        <f t="shared" si="79"/>
        <v>-0.34940838839468746</v>
      </c>
      <c r="EL36" s="1365">
        <f t="shared" si="80"/>
        <v>-0.51111400609031254</v>
      </c>
      <c r="EM36" s="1377"/>
      <c r="EN36" s="1364">
        <f t="shared" si="81"/>
        <v>-2.266321875817201E-2</v>
      </c>
      <c r="EO36" s="1365">
        <f t="shared" si="82"/>
        <v>-2.7335256268027797E-2</v>
      </c>
      <c r="EP36" s="1365">
        <f t="shared" si="83"/>
        <v>-8.7695644527815197E-2</v>
      </c>
      <c r="EQ36" s="1365">
        <f t="shared" si="84"/>
        <v>-4.7964825794417076E-2</v>
      </c>
      <c r="ER36" s="1232"/>
      <c r="ES36" s="1365">
        <f t="shared" si="92"/>
        <v>-0.1530754823557392</v>
      </c>
      <c r="ET36" s="1365">
        <f t="shared" si="92"/>
        <v>-0.10903782106847915</v>
      </c>
      <c r="EU36" s="1365">
        <f t="shared" si="92"/>
        <v>-9.1450877080254345E-2</v>
      </c>
      <c r="EV36" s="1365">
        <f t="shared" si="92"/>
        <v>-9.213840878874846E-2</v>
      </c>
      <c r="EW36" s="1232"/>
      <c r="EX36" s="1364">
        <f t="shared" si="88"/>
        <v>-2.0025975849480404E-2</v>
      </c>
      <c r="EY36" s="1365">
        <f t="shared" si="88"/>
        <v>-3.1833000494990493E-2</v>
      </c>
      <c r="EZ36" s="1365">
        <f t="shared" si="88"/>
        <v>-6.4003960466061383E-3</v>
      </c>
      <c r="FA36" s="1365">
        <f t="shared" si="88"/>
        <v>9.786692872420355E-2</v>
      </c>
      <c r="FB36" s="1754"/>
      <c r="FC36" s="1364">
        <f>CD36/BY36-1</f>
        <v>6.1466821885913792E-2</v>
      </c>
      <c r="FD36" s="1365">
        <f t="shared" si="89"/>
        <v>-1.2693487535699877E-3</v>
      </c>
      <c r="FE36" s="1365">
        <f t="shared" si="90"/>
        <v>-4.3952524156094519E-3</v>
      </c>
      <c r="FF36" s="1365">
        <f t="shared" si="91"/>
        <v>-3.5324094965190733E-2</v>
      </c>
      <c r="FG36" s="2043"/>
      <c r="FH36" s="860"/>
      <c r="FI36" s="860"/>
      <c r="FJ36" s="860"/>
      <c r="FY36" s="860"/>
      <c r="FZ36" s="860"/>
      <c r="GA36" s="860"/>
      <c r="GB36" s="860"/>
      <c r="GC36" s="860"/>
      <c r="GD36" s="860"/>
      <c r="GE36" s="860"/>
      <c r="GF36" s="860"/>
      <c r="GG36" s="860"/>
      <c r="GH36" s="860"/>
      <c r="GI36" s="860"/>
      <c r="GJ36" s="860"/>
      <c r="GK36" s="860"/>
      <c r="GL36" s="860"/>
      <c r="GM36" s="860"/>
      <c r="GN36" s="860"/>
      <c r="GO36" s="860"/>
      <c r="GP36" s="860"/>
      <c r="GQ36" s="860"/>
      <c r="GR36" s="1376">
        <v>6480</v>
      </c>
      <c r="GS36" s="1265">
        <v>-5.0354651503605075E-2</v>
      </c>
      <c r="GT36" s="2005">
        <v>5522.4779190799245</v>
      </c>
      <c r="GU36" s="1265">
        <v>-8.0261488395189429E-2</v>
      </c>
      <c r="GV36" s="2004">
        <v>6205.5520000000006</v>
      </c>
      <c r="GW36" s="1632">
        <v>-7.7570532449385943E-2</v>
      </c>
      <c r="GX36" s="1218"/>
      <c r="GY36" s="2004">
        <v>5730.4778461433871</v>
      </c>
      <c r="GZ36" s="1632">
        <v>-0.12853721335471691</v>
      </c>
      <c r="HA36" s="1218"/>
      <c r="HB36" s="2004">
        <v>5820</v>
      </c>
      <c r="HC36" s="1632">
        <v>-6.5090278223992826E-2</v>
      </c>
      <c r="HD36" s="2000"/>
      <c r="HE36" s="2004">
        <v>4815.8245881798957</v>
      </c>
      <c r="HF36" s="1265">
        <v>-0.15754240637815853</v>
      </c>
      <c r="HG36" s="2000"/>
      <c r="HH36" s="2004">
        <f>HH34+HH35</f>
        <v>5440</v>
      </c>
      <c r="HI36" s="2004">
        <v>5552.5950000000003</v>
      </c>
      <c r="HJ36" s="1632">
        <v>-5.2247938962568519E-2</v>
      </c>
      <c r="HK36" s="2000"/>
      <c r="HL36" s="2004">
        <v>5445.5870000000004</v>
      </c>
      <c r="HM36" s="1632">
        <v>-3.7184709772096425E-2</v>
      </c>
      <c r="HN36" s="2000"/>
      <c r="HO36" s="2004">
        <v>5394.0205509775806</v>
      </c>
      <c r="HP36" s="1265">
        <v>3.9370397321151662E-2</v>
      </c>
      <c r="HQ36" s="2000"/>
      <c r="HR36" s="2005">
        <f>HR34+HR35</f>
        <v>5551.0734958815829</v>
      </c>
    </row>
    <row r="37" spans="1:226" ht="14.25" customHeight="1">
      <c r="A37" s="1132" t="s">
        <v>698</v>
      </c>
      <c r="B37" s="1686"/>
      <c r="C37" s="1687"/>
      <c r="D37" s="1687"/>
      <c r="E37" s="1687"/>
      <c r="F37" s="1688"/>
      <c r="G37" s="1250">
        <v>-30.3</v>
      </c>
      <c r="H37" s="1251">
        <v>-146</v>
      </c>
      <c r="I37" s="1251">
        <v>-199.59999999999997</v>
      </c>
      <c r="J37" s="1251">
        <v>-217.80000000000007</v>
      </c>
      <c r="K37" s="1252">
        <f>+SUM(G37:J37)</f>
        <v>-593.70000000000005</v>
      </c>
      <c r="L37" s="1250">
        <v>-37.700000000000003</v>
      </c>
      <c r="M37" s="1251">
        <v>-135.30000000000001</v>
      </c>
      <c r="N37" s="1251">
        <v>-260.3</v>
      </c>
      <c r="O37" s="1235">
        <v>-217.1</v>
      </c>
      <c r="P37" s="1252">
        <f>+SUM(L37:O37)</f>
        <v>-650.4</v>
      </c>
      <c r="Q37" s="1665">
        <f>334.3-30*Q199</f>
        <v>-44.923109375000081</v>
      </c>
      <c r="R37" s="1251">
        <v>-72.3</v>
      </c>
      <c r="S37" s="1251">
        <v>-101.1</v>
      </c>
      <c r="T37" s="1251">
        <f>(-83.1-30*Q199)-Q37-R37-S37</f>
        <v>-243.99999999999997</v>
      </c>
      <c r="U37" s="1252">
        <f>+SUM(Q37:T37)</f>
        <v>-462.32310937500006</v>
      </c>
      <c r="V37" s="1250">
        <v>-161.80000000000001</v>
      </c>
      <c r="W37" s="1251">
        <v>-51.4</v>
      </c>
      <c r="X37" s="1251">
        <f>-4546.9+13.12*320</f>
        <v>-348.5</v>
      </c>
      <c r="Y37" s="1646">
        <f>(-5281.7+13.12*320)-V37-W37-X37+290</f>
        <v>-231.60000000000025</v>
      </c>
      <c r="Z37" s="1252">
        <f>+SUM(V37:Y37)</f>
        <v>-793.3000000000003</v>
      </c>
      <c r="AA37" s="1665">
        <f>926.4-1030.7</f>
        <v>-104.30000000000007</v>
      </c>
      <c r="AB37" s="1251">
        <v>-197.8</v>
      </c>
      <c r="AC37" s="1251">
        <v>-693.7</v>
      </c>
      <c r="AD37" s="1251">
        <f>-328.5-1030.7-AA37-AB37-AC37</f>
        <v>-363.40000000000009</v>
      </c>
      <c r="AE37" s="1252">
        <f>Master!N62</f>
        <v>-1359.2</v>
      </c>
      <c r="AF37" s="1250">
        <v>-495.2</v>
      </c>
      <c r="AG37" s="1646">
        <f>-699.3+699.3*0.6</f>
        <v>-279.71999999999997</v>
      </c>
      <c r="AH37" s="1646">
        <v>-821.4</v>
      </c>
      <c r="AI37" s="1251">
        <v>-1121.5</v>
      </c>
      <c r="AJ37" s="1252">
        <f>Master!O62</f>
        <v>-3137.4</v>
      </c>
      <c r="AK37" s="1250">
        <v>-393.7</v>
      </c>
      <c r="AL37" s="1251">
        <v>-370.9</v>
      </c>
      <c r="AM37" s="1251">
        <v>-495.7</v>
      </c>
      <c r="AN37" s="1251">
        <f>-2386.3-AK37-AL37-AM37</f>
        <v>-1126.0000000000002</v>
      </c>
      <c r="AO37" s="1252">
        <f>Master!P62</f>
        <v>-2386</v>
      </c>
      <c r="AP37" s="1250">
        <v>-154.1</v>
      </c>
      <c r="AQ37" s="1646">
        <f>3237.9-3513.8</f>
        <v>-275.90000000000009</v>
      </c>
      <c r="AR37" s="1251">
        <v>-432.5</v>
      </c>
      <c r="AS37" s="1251">
        <f>1562.3-AP37-AQ37-AR37-3513.8</f>
        <v>-1089</v>
      </c>
      <c r="AT37" s="1657">
        <f>Master!Q62</f>
        <v>-1951.5000000000002</v>
      </c>
      <c r="AU37" s="1250">
        <f>-188.9-15</f>
        <v>-203.9</v>
      </c>
      <c r="AV37" s="1251">
        <v>-283</v>
      </c>
      <c r="AW37" s="1251">
        <f>-389.4-21.7</f>
        <v>-411.09999999999997</v>
      </c>
      <c r="AX37" s="1251">
        <v>-234.3</v>
      </c>
      <c r="AY37" s="1252">
        <f>Master!R62</f>
        <v>-908.9</v>
      </c>
      <c r="AZ37" s="1645">
        <f>284.9-17.8+25.6-386</f>
        <v>-93.300000000000011</v>
      </c>
      <c r="BA37" s="1251">
        <f>-293.5-19.9-29.6</f>
        <v>-343</v>
      </c>
      <c r="BB37" s="1646">
        <f>666-933.5</f>
        <v>-267.5</v>
      </c>
      <c r="BC37" s="1251">
        <f>-399.9-16.3</f>
        <v>-416.2</v>
      </c>
      <c r="BD37" s="1252">
        <f>Master!S62</f>
        <v>181.8</v>
      </c>
      <c r="BE37" s="1250">
        <f>-152.9-15</f>
        <v>-167.9</v>
      </c>
      <c r="BF37" s="1251">
        <f>-398.9-14.9</f>
        <v>-413.79999999999995</v>
      </c>
      <c r="BG37" s="1251">
        <f>-293.7-15.6</f>
        <v>-309.3</v>
      </c>
      <c r="BH37" s="1375">
        <f>3239.5-18.8</f>
        <v>3220.7</v>
      </c>
      <c r="BI37" s="1251">
        <f>Master!T62</f>
        <v>2329.6</v>
      </c>
      <c r="BJ37" s="1324">
        <f>-168.3-0.3</f>
        <v>-168.60000000000002</v>
      </c>
      <c r="BK37" s="1246">
        <f>-40.9-0.4</f>
        <v>-41.3</v>
      </c>
      <c r="BL37" s="1246">
        <f>-291.3-0.3</f>
        <v>-291.60000000000002</v>
      </c>
      <c r="BM37" s="1246">
        <f>-315.2-119.3</f>
        <v>-434.5</v>
      </c>
      <c r="BN37" s="1268">
        <f>Master!U62</f>
        <v>-936</v>
      </c>
      <c r="BO37" s="1324">
        <f>-182.2-29.8</f>
        <v>-212</v>
      </c>
      <c r="BP37" s="1246">
        <f>-181.2-47.6</f>
        <v>-228.79999999999998</v>
      </c>
      <c r="BQ37" s="1246">
        <f>-717.3-40.9</f>
        <v>-758.19999999999993</v>
      </c>
      <c r="BR37" s="1246">
        <f>213.9-41.5</f>
        <v>172.4</v>
      </c>
      <c r="BS37" s="1268">
        <f>Master!V62</f>
        <v>-1026.8</v>
      </c>
      <c r="BT37" s="1324">
        <f>2293.5-29.9</f>
        <v>2263.6</v>
      </c>
      <c r="BU37" s="1246">
        <f>-529.6-30.6</f>
        <v>-560.20000000000005</v>
      </c>
      <c r="BV37" s="1246">
        <f>-319.3-64.4</f>
        <v>-383.70000000000005</v>
      </c>
      <c r="BW37" s="1246">
        <f>-6023.4-30.1</f>
        <v>-6053.5</v>
      </c>
      <c r="BX37" s="1362">
        <f>SUM(BT37:BW37)</f>
        <v>-4733.8</v>
      </c>
      <c r="BY37" s="1324">
        <f>-198.7-43</f>
        <v>-241.7</v>
      </c>
      <c r="BZ37" s="1246">
        <f>-274.2-41.9</f>
        <v>-316.09999999999997</v>
      </c>
      <c r="CA37" s="1246">
        <f>-43.7-42.7</f>
        <v>-86.4</v>
      </c>
      <c r="CB37" s="1246">
        <f>-497.2-46.2</f>
        <v>-543.4</v>
      </c>
      <c r="CC37" s="1758">
        <f>Master!X62</f>
        <v>-1187.5999999999999</v>
      </c>
      <c r="CD37" s="1324">
        <f>-79.4-43.5</f>
        <v>-122.9</v>
      </c>
      <c r="CE37" s="1991">
        <v>-300</v>
      </c>
      <c r="CF37" s="1991">
        <v>-100</v>
      </c>
      <c r="CG37" s="1991">
        <f>CH37-CD37-CE37-CF37</f>
        <v>-477.1</v>
      </c>
      <c r="CH37" s="1758">
        <f>Master!Y62</f>
        <v>-1000</v>
      </c>
      <c r="CI37" s="1268"/>
      <c r="CJ37" s="860"/>
      <c r="CK37" s="1242">
        <f t="shared" si="37"/>
        <v>0.24422442244224429</v>
      </c>
      <c r="CL37" s="1162">
        <f t="shared" si="38"/>
        <v>-7.3287671232876606E-2</v>
      </c>
      <c r="CM37" s="1162">
        <f t="shared" si="39"/>
        <v>0.30410821643286612</v>
      </c>
      <c r="CN37" s="1162">
        <f t="shared" si="40"/>
        <v>-3.2139577594126889E-3</v>
      </c>
      <c r="CO37" s="1232"/>
      <c r="CP37" s="1242">
        <f t="shared" si="41"/>
        <v>0.1915944131299756</v>
      </c>
      <c r="CQ37" s="1162">
        <f t="shared" si="42"/>
        <v>-0.46563192904656325</v>
      </c>
      <c r="CR37" s="1162">
        <f t="shared" si="43"/>
        <v>-0.61160199769496737</v>
      </c>
      <c r="CS37" s="1162">
        <f t="shared" si="44"/>
        <v>0.1239060340856748</v>
      </c>
      <c r="CT37" s="1232"/>
      <c r="CU37" s="1242">
        <f t="shared" si="45"/>
        <v>2.6017097269327145</v>
      </c>
      <c r="CV37" s="1162">
        <f t="shared" si="46"/>
        <v>-0.28907330567081602</v>
      </c>
      <c r="CW37" s="1162">
        <f t="shared" si="47"/>
        <v>2.447082096933729</v>
      </c>
      <c r="CX37" s="1162">
        <f t="shared" si="48"/>
        <v>-5.0819672131146354E-2</v>
      </c>
      <c r="CY37" s="1232"/>
      <c r="CZ37" s="1242">
        <f t="shared" si="49"/>
        <v>-0.3553770086526572</v>
      </c>
      <c r="DA37" s="1162">
        <f t="shared" si="50"/>
        <v>2.8482490272373546</v>
      </c>
      <c r="DB37" s="1162">
        <f t="shared" si="51"/>
        <v>0.99053084648493561</v>
      </c>
      <c r="DC37" s="1162">
        <f t="shared" si="52"/>
        <v>0.56908462867011966</v>
      </c>
      <c r="DD37" s="1232"/>
      <c r="DE37" s="1242">
        <f t="shared" si="53"/>
        <v>3.7478427612655771</v>
      </c>
      <c r="DF37" s="1162">
        <f t="shared" si="54"/>
        <v>0.41415571284125363</v>
      </c>
      <c r="DG37" s="1162">
        <f t="shared" si="55"/>
        <v>0.18408533948392658</v>
      </c>
      <c r="DH37" s="1162">
        <f t="shared" si="56"/>
        <v>2.0861309851403402</v>
      </c>
      <c r="DI37" s="1232"/>
      <c r="DJ37" s="1242">
        <f t="shared" si="57"/>
        <v>-0.20496768982229407</v>
      </c>
      <c r="DK37" s="1162">
        <f t="shared" si="58"/>
        <v>0.32596882596882604</v>
      </c>
      <c r="DL37" s="1162">
        <f t="shared" si="59"/>
        <v>-0.39651813976138295</v>
      </c>
      <c r="DM37" s="1162">
        <f t="shared" si="60"/>
        <v>4.0124832813197564E-3</v>
      </c>
      <c r="DN37" s="1232"/>
      <c r="DO37" s="1242">
        <f t="shared" si="61"/>
        <v>-0.60858521717043434</v>
      </c>
      <c r="DP37" s="1162">
        <f t="shared" si="62"/>
        <v>-0.25613372876786167</v>
      </c>
      <c r="DQ37" s="1162">
        <f t="shared" si="63"/>
        <v>-0.12749646963889449</v>
      </c>
      <c r="DR37" s="1162">
        <f t="shared" si="64"/>
        <v>-3.2859680284192061E-2</v>
      </c>
      <c r="DS37" s="1232"/>
      <c r="DT37" s="1242">
        <f t="shared" si="65"/>
        <v>0.32316677482154454</v>
      </c>
      <c r="DU37" s="1162">
        <f t="shared" si="66"/>
        <v>2.5733961580282294E-2</v>
      </c>
      <c r="DV37" s="1162">
        <f t="shared" si="67"/>
        <v>-4.9479768786127254E-2</v>
      </c>
      <c r="DW37" s="1162">
        <f t="shared" si="68"/>
        <v>-0.78484848484848491</v>
      </c>
      <c r="DX37" s="1232"/>
      <c r="DY37" s="1242">
        <f t="shared" si="69"/>
        <v>-0.54242275625306524</v>
      </c>
      <c r="DZ37" s="1162">
        <f t="shared" si="70"/>
        <v>0.21201413427561833</v>
      </c>
      <c r="EA37" s="1162">
        <f t="shared" si="71"/>
        <v>-0.34930673801994638</v>
      </c>
      <c r="EB37" s="1162">
        <f t="shared" si="72"/>
        <v>0.77635510029876209</v>
      </c>
      <c r="EC37" s="1232"/>
      <c r="ED37" s="1162">
        <f t="shared" si="73"/>
        <v>0.79957127545551976</v>
      </c>
      <c r="EE37" s="1162">
        <f t="shared" si="74"/>
        <v>0.20641399416909612</v>
      </c>
      <c r="EF37" s="1162">
        <f t="shared" si="75"/>
        <v>0.15626168224299075</v>
      </c>
      <c r="EG37" s="1162">
        <f t="shared" si="76"/>
        <v>-8.7383469485824108</v>
      </c>
      <c r="EH37" s="860"/>
      <c r="EI37" s="1242">
        <f t="shared" si="77"/>
        <v>4.1691483025612097E-3</v>
      </c>
      <c r="EJ37" s="1162">
        <f t="shared" si="78"/>
        <v>-0.90019333011116487</v>
      </c>
      <c r="EK37" s="1162">
        <f t="shared" si="79"/>
        <v>-5.7225994180407302E-2</v>
      </c>
      <c r="EL37" s="1162">
        <f t="shared" si="80"/>
        <v>-1.1349085602508771</v>
      </c>
      <c r="EM37" s="1232"/>
      <c r="EN37" s="1242">
        <f t="shared" si="81"/>
        <v>0.25741399762752049</v>
      </c>
      <c r="EO37" s="1162">
        <f t="shared" si="82"/>
        <v>4.539951573849879</v>
      </c>
      <c r="EP37" s="1162">
        <f t="shared" si="83"/>
        <v>1.6001371742112478</v>
      </c>
      <c r="EQ37" s="1162">
        <f t="shared" si="84"/>
        <v>-1.3967779056386651</v>
      </c>
      <c r="ER37" s="1232"/>
      <c r="ES37" s="1162">
        <f t="shared" si="92"/>
        <v>-11.677358490566037</v>
      </c>
      <c r="ET37" s="1162">
        <f t="shared" si="92"/>
        <v>1.4484265734265738</v>
      </c>
      <c r="EU37" s="1162">
        <f t="shared" si="92"/>
        <v>-0.49393299920865197</v>
      </c>
      <c r="EV37" s="1162">
        <f t="shared" si="92"/>
        <v>-36.113109048723899</v>
      </c>
      <c r="EW37" s="1232"/>
      <c r="EX37" s="1242">
        <f t="shared" si="88"/>
        <v>-1.1067768156918183</v>
      </c>
      <c r="EY37" s="1162">
        <f t="shared" si="88"/>
        <v>-0.43573723670117825</v>
      </c>
      <c r="EZ37" s="1162">
        <f t="shared" si="88"/>
        <v>-0.7748240813135262</v>
      </c>
      <c r="FA37" s="1162">
        <f t="shared" si="88"/>
        <v>-0.91023374907078547</v>
      </c>
      <c r="FB37" s="1754"/>
      <c r="FC37" s="1242">
        <f>CD37/BY37-1</f>
        <v>-0.49151841125362017</v>
      </c>
      <c r="FD37" s="1162">
        <f t="shared" si="89"/>
        <v>-5.0933248971844258E-2</v>
      </c>
      <c r="FE37" s="1162">
        <f t="shared" si="90"/>
        <v>0.15740740740740744</v>
      </c>
      <c r="FF37" s="1162">
        <f t="shared" si="91"/>
        <v>-0.12200956937799035</v>
      </c>
      <c r="FG37" s="1756"/>
      <c r="FH37" s="860"/>
      <c r="FI37" s="860"/>
      <c r="FJ37" s="860"/>
      <c r="FY37" s="860"/>
      <c r="FZ37" s="860"/>
      <c r="GA37" s="860"/>
      <c r="GB37" s="860"/>
      <c r="GC37" s="860"/>
      <c r="GD37" s="860"/>
      <c r="GE37" s="860"/>
      <c r="GF37" s="860"/>
      <c r="GG37" s="860"/>
      <c r="GH37" s="860"/>
      <c r="GI37" s="860"/>
      <c r="GJ37" s="860"/>
      <c r="GK37" s="860"/>
      <c r="GL37" s="860"/>
      <c r="GM37" s="860"/>
      <c r="GN37" s="860"/>
      <c r="GO37" s="860"/>
      <c r="GP37" s="860"/>
      <c r="GQ37" s="860"/>
      <c r="GR37" s="1376">
        <v>-250</v>
      </c>
      <c r="GS37" s="1241">
        <v>-0.14266117969821679</v>
      </c>
      <c r="GT37" s="1376">
        <v>-430.80000000000007</v>
      </c>
      <c r="GU37" s="1241">
        <v>-7.4742268041236959E-2</v>
      </c>
      <c r="GV37" s="1376">
        <v>-250</v>
      </c>
      <c r="GW37" s="1241">
        <v>0.179245283018868</v>
      </c>
      <c r="GX37" s="1218"/>
      <c r="GY37" s="1376">
        <v>-700</v>
      </c>
      <c r="GZ37" s="1241">
        <v>2.0594405594405596</v>
      </c>
      <c r="HA37" s="1218"/>
      <c r="HB37" s="1376">
        <v>-125</v>
      </c>
      <c r="HC37" s="1241">
        <v>-0.83513584806119756</v>
      </c>
      <c r="HD37" s="2000"/>
      <c r="HE37" s="1376">
        <v>357.30000000000018</v>
      </c>
      <c r="HF37" s="1241">
        <v>1.0725058004640382</v>
      </c>
      <c r="HG37" s="2000"/>
      <c r="HH37" s="1218">
        <v>-200</v>
      </c>
      <c r="HI37" s="1376">
        <v>-250</v>
      </c>
      <c r="HJ37" s="1241">
        <v>-0.55373081042484829</v>
      </c>
      <c r="HK37" s="2000"/>
      <c r="HL37" s="1376">
        <v>-250</v>
      </c>
      <c r="HM37" s="1241">
        <v>-0.34844930935626794</v>
      </c>
      <c r="HN37" s="2000"/>
      <c r="HO37" s="1376">
        <v>-155.79999999999998</v>
      </c>
      <c r="HP37" s="1241">
        <v>-0.97426282316015533</v>
      </c>
      <c r="HQ37" s="2000"/>
      <c r="HR37" s="1376">
        <f>CH37/4</f>
        <v>-250</v>
      </c>
    </row>
    <row r="38" spans="1:226" ht="14.25" customHeight="1">
      <c r="A38" s="1270" t="s">
        <v>699</v>
      </c>
      <c r="B38" s="1684"/>
      <c r="C38" s="1363"/>
      <c r="D38" s="1363"/>
      <c r="E38" s="1363"/>
      <c r="F38" s="1685"/>
      <c r="G38" s="1357">
        <f t="shared" ref="G38:AL38" si="97">G37+G36</f>
        <v>4310.0999999999995</v>
      </c>
      <c r="H38" s="1272">
        <f t="shared" si="97"/>
        <v>5897.9</v>
      </c>
      <c r="I38" s="1272">
        <f t="shared" si="97"/>
        <v>6308.1999999999989</v>
      </c>
      <c r="J38" s="1272">
        <f t="shared" si="97"/>
        <v>7118.9999999999991</v>
      </c>
      <c r="K38" s="1256">
        <f t="shared" si="97"/>
        <v>23635.200000000001</v>
      </c>
      <c r="L38" s="1357">
        <f t="shared" si="97"/>
        <v>5314.3</v>
      </c>
      <c r="M38" s="1272">
        <f t="shared" si="97"/>
        <v>6707</v>
      </c>
      <c r="N38" s="1272">
        <f t="shared" si="97"/>
        <v>6969.1999999999989</v>
      </c>
      <c r="O38" s="1272">
        <f t="shared" si="97"/>
        <v>7623.3000000000011</v>
      </c>
      <c r="P38" s="1256">
        <f t="shared" si="97"/>
        <v>26613.8</v>
      </c>
      <c r="Q38" s="1357">
        <f t="shared" si="97"/>
        <v>5369.5768906249996</v>
      </c>
      <c r="R38" s="1272">
        <f t="shared" si="97"/>
        <v>7383.5999999999995</v>
      </c>
      <c r="S38" s="1272">
        <f t="shared" si="97"/>
        <v>7564.5999999999995</v>
      </c>
      <c r="T38" s="1272">
        <f t="shared" si="97"/>
        <v>7887.7999999999993</v>
      </c>
      <c r="U38" s="1256">
        <f t="shared" si="97"/>
        <v>28205.576890624998</v>
      </c>
      <c r="V38" s="1357">
        <f t="shared" si="97"/>
        <v>5610.4</v>
      </c>
      <c r="W38" s="1272">
        <f t="shared" si="97"/>
        <v>7573.0000000000009</v>
      </c>
      <c r="X38" s="1272">
        <f t="shared" si="97"/>
        <v>7605.7000000000007</v>
      </c>
      <c r="Y38" s="1272">
        <f t="shared" si="97"/>
        <v>9218.7999999999956</v>
      </c>
      <c r="Z38" s="1256">
        <f t="shared" si="97"/>
        <v>30007.9</v>
      </c>
      <c r="AA38" s="1357">
        <f t="shared" si="97"/>
        <v>7122.6</v>
      </c>
      <c r="AB38" s="1272">
        <f t="shared" si="97"/>
        <v>7833.5999999999985</v>
      </c>
      <c r="AC38" s="1272">
        <f t="shared" si="97"/>
        <v>8394.7000000000007</v>
      </c>
      <c r="AD38" s="1272">
        <f t="shared" si="97"/>
        <v>9024.4</v>
      </c>
      <c r="AE38" s="1256">
        <f t="shared" si="97"/>
        <v>32375.299999999992</v>
      </c>
      <c r="AF38" s="1357">
        <f t="shared" si="97"/>
        <v>7318.9</v>
      </c>
      <c r="AG38" s="1378">
        <f t="shared" si="97"/>
        <v>8848.380000000001</v>
      </c>
      <c r="AH38" s="1272">
        <f t="shared" si="97"/>
        <v>8639.6</v>
      </c>
      <c r="AI38" s="1272">
        <f t="shared" si="97"/>
        <v>9190.5999999999985</v>
      </c>
      <c r="AJ38" s="1256">
        <f t="shared" si="97"/>
        <v>33577.899999999994</v>
      </c>
      <c r="AK38" s="1357">
        <f t="shared" si="97"/>
        <v>7584.7000000000007</v>
      </c>
      <c r="AL38" s="1272">
        <f t="shared" si="97"/>
        <v>8494.6</v>
      </c>
      <c r="AM38" s="1272">
        <f t="shared" ref="AM38:BJ38" si="98">AM37+AM36</f>
        <v>8293.3999999999978</v>
      </c>
      <c r="AN38" s="1272">
        <f t="shared" si="98"/>
        <v>8406.7999999999993</v>
      </c>
      <c r="AO38" s="1256">
        <f t="shared" si="98"/>
        <v>32780</v>
      </c>
      <c r="AP38" s="1357">
        <f t="shared" si="98"/>
        <v>8424.9999999999982</v>
      </c>
      <c r="AQ38" s="1272">
        <f t="shared" si="98"/>
        <v>9956.6000000000022</v>
      </c>
      <c r="AR38" s="1272">
        <f t="shared" si="98"/>
        <v>9379.6</v>
      </c>
      <c r="AS38" s="1272">
        <f t="shared" si="98"/>
        <v>8811.7999999999993</v>
      </c>
      <c r="AT38" s="1256">
        <f t="shared" si="98"/>
        <v>36572.5</v>
      </c>
      <c r="AU38" s="1357">
        <f t="shared" si="98"/>
        <v>8686.4000000000015</v>
      </c>
      <c r="AV38" s="1272">
        <f t="shared" si="98"/>
        <v>9205.8999999999978</v>
      </c>
      <c r="AW38" s="1272">
        <f t="shared" si="98"/>
        <v>9917.0000000000018</v>
      </c>
      <c r="AX38" s="1272">
        <f t="shared" si="98"/>
        <v>10545.8</v>
      </c>
      <c r="AY38" s="1256">
        <f t="shared" si="98"/>
        <v>38218.1</v>
      </c>
      <c r="AZ38" s="1357">
        <f t="shared" si="98"/>
        <v>8192.1000000000022</v>
      </c>
      <c r="BA38" s="1272">
        <f t="shared" si="98"/>
        <v>7927.3000000000011</v>
      </c>
      <c r="BB38" s="1272">
        <f t="shared" si="98"/>
        <v>9888.9999999999982</v>
      </c>
      <c r="BC38" s="1272">
        <f t="shared" si="98"/>
        <v>11500.099999999997</v>
      </c>
      <c r="BD38" s="1256">
        <f t="shared" si="98"/>
        <v>38810.299999999996</v>
      </c>
      <c r="BE38" s="1357">
        <f t="shared" si="98"/>
        <v>8710.4000000000015</v>
      </c>
      <c r="BF38" s="1272">
        <f t="shared" si="98"/>
        <v>9209.8000000000011</v>
      </c>
      <c r="BG38" s="1272">
        <f t="shared" si="98"/>
        <v>10179</v>
      </c>
      <c r="BH38" s="1272">
        <f t="shared" si="98"/>
        <v>15502.5</v>
      </c>
      <c r="BI38" s="1272">
        <f t="shared" si="98"/>
        <v>43601.599999999999</v>
      </c>
      <c r="BJ38" s="1357">
        <f t="shared" si="98"/>
        <v>6714.8</v>
      </c>
      <c r="BK38" s="1272">
        <f t="shared" ref="BK38:BW38" si="99">BK37+BK36</f>
        <v>6719.2000000000007</v>
      </c>
      <c r="BL38" s="1272">
        <f t="shared" si="99"/>
        <v>6531.9999999999991</v>
      </c>
      <c r="BM38" s="1272">
        <f t="shared" si="99"/>
        <v>5569.9</v>
      </c>
      <c r="BN38" s="1272">
        <f t="shared" si="99"/>
        <v>25536.03</v>
      </c>
      <c r="BO38" s="1357">
        <f t="shared" si="99"/>
        <v>6515.4</v>
      </c>
      <c r="BP38" s="1272">
        <f t="shared" si="99"/>
        <v>6346.8999999999987</v>
      </c>
      <c r="BQ38" s="1272">
        <f t="shared" si="99"/>
        <v>5467</v>
      </c>
      <c r="BR38" s="1272">
        <f t="shared" si="99"/>
        <v>5888.8000000000011</v>
      </c>
      <c r="BS38" s="1272">
        <f t="shared" si="99"/>
        <v>24124.600000000002</v>
      </c>
      <c r="BT38" s="1357">
        <f t="shared" si="99"/>
        <v>7961.1999999999989</v>
      </c>
      <c r="BU38" s="1272">
        <f t="shared" si="99"/>
        <v>5298.5000000000009</v>
      </c>
      <c r="BV38" s="1272">
        <f t="shared" si="99"/>
        <v>5272.2000000000007</v>
      </c>
      <c r="BW38" s="1272">
        <f t="shared" si="99"/>
        <v>-863.80000000000018</v>
      </c>
      <c r="BX38" s="1256">
        <f t="shared" ref="BX38:CG38" si="100">BX37+BX36</f>
        <v>17668.115999999998</v>
      </c>
      <c r="BY38" s="1357">
        <f t="shared" si="100"/>
        <v>5341.8</v>
      </c>
      <c r="BZ38" s="1272">
        <f t="shared" si="100"/>
        <v>5356.0999999999995</v>
      </c>
      <c r="CA38" s="1272">
        <f t="shared" si="100"/>
        <v>5533.3000000000011</v>
      </c>
      <c r="CB38" s="1272">
        <f t="shared" si="100"/>
        <v>5154.2</v>
      </c>
      <c r="CC38" s="1787">
        <f t="shared" si="100"/>
        <v>21385.4</v>
      </c>
      <c r="CD38" s="1357">
        <f>CD37+CD36</f>
        <v>5803.8</v>
      </c>
      <c r="CE38" s="1272">
        <f t="shared" si="100"/>
        <v>5365</v>
      </c>
      <c r="CF38" s="1272">
        <f t="shared" si="100"/>
        <v>5495</v>
      </c>
      <c r="CG38" s="1272">
        <f t="shared" si="100"/>
        <v>5019.2374365263286</v>
      </c>
      <c r="CH38" s="1787">
        <f>CH37+CH36</f>
        <v>21683.037436526331</v>
      </c>
      <c r="CI38" s="1248"/>
      <c r="CJ38" s="1264"/>
      <c r="CK38" s="1267">
        <f t="shared" si="37"/>
        <v>0.23298763369759423</v>
      </c>
      <c r="CL38" s="1266">
        <f t="shared" si="38"/>
        <v>0.13718442157378052</v>
      </c>
      <c r="CM38" s="1266">
        <f t="shared" si="39"/>
        <v>0.10478424907263562</v>
      </c>
      <c r="CN38" s="1266">
        <f t="shared" si="40"/>
        <v>7.0838600927096707E-2</v>
      </c>
      <c r="CO38" s="1219"/>
      <c r="CP38" s="1267">
        <f t="shared" si="41"/>
        <v>1.0401537479065803E-2</v>
      </c>
      <c r="CQ38" s="1266">
        <f t="shared" si="42"/>
        <v>0.10087967794841202</v>
      </c>
      <c r="CR38" s="1266">
        <f t="shared" si="43"/>
        <v>8.5433048269528911E-2</v>
      </c>
      <c r="CS38" s="1266">
        <f t="shared" si="44"/>
        <v>3.4696260149803537E-2</v>
      </c>
      <c r="CT38" s="1219"/>
      <c r="CU38" s="1267">
        <f t="shared" si="45"/>
        <v>4.484955039855465E-2</v>
      </c>
      <c r="CV38" s="1266">
        <f t="shared" si="46"/>
        <v>2.5651443740181135E-2</v>
      </c>
      <c r="CW38" s="1266">
        <f t="shared" si="47"/>
        <v>5.4332020199350239E-3</v>
      </c>
      <c r="CX38" s="1266">
        <f t="shared" si="48"/>
        <v>0.16874160095337065</v>
      </c>
      <c r="CY38" s="1219"/>
      <c r="CZ38" s="1267">
        <f t="shared" si="49"/>
        <v>0.26953514900898345</v>
      </c>
      <c r="DA38" s="1266">
        <f t="shared" si="50"/>
        <v>3.4411725868215726E-2</v>
      </c>
      <c r="DB38" s="1266">
        <f t="shared" si="51"/>
        <v>0.10373798598419604</v>
      </c>
      <c r="DC38" s="1266">
        <f t="shared" si="52"/>
        <v>-2.1087343255086988E-2</v>
      </c>
      <c r="DD38" s="1219"/>
      <c r="DE38" s="1267">
        <f t="shared" si="53"/>
        <v>2.7560160615505369E-2</v>
      </c>
      <c r="DF38" s="1266">
        <f t="shared" si="54"/>
        <v>0.129541973039216</v>
      </c>
      <c r="DG38" s="1266">
        <f t="shared" si="55"/>
        <v>2.9173168785066705E-2</v>
      </c>
      <c r="DH38" s="1266">
        <f t="shared" si="56"/>
        <v>1.841673684677092E-2</v>
      </c>
      <c r="DI38" s="1219"/>
      <c r="DJ38" s="1267">
        <f t="shared" si="57"/>
        <v>3.6316932872426433E-2</v>
      </c>
      <c r="DK38" s="1266">
        <f t="shared" si="58"/>
        <v>-3.9982460066136483E-2</v>
      </c>
      <c r="DL38" s="1266">
        <f t="shared" si="59"/>
        <v>-4.0071299597203902E-2</v>
      </c>
      <c r="DM38" s="1266">
        <f t="shared" si="60"/>
        <v>-8.528278893652208E-2</v>
      </c>
      <c r="DN38" s="1219"/>
      <c r="DO38" s="1267">
        <f t="shared" si="61"/>
        <v>0.11078882487112174</v>
      </c>
      <c r="DP38" s="1266">
        <f t="shared" si="62"/>
        <v>0.17210934005132694</v>
      </c>
      <c r="DQ38" s="1266">
        <f t="shared" si="63"/>
        <v>0.13097161598379459</v>
      </c>
      <c r="DR38" s="1266">
        <f t="shared" si="64"/>
        <v>4.817528667269344E-2</v>
      </c>
      <c r="DS38" s="1219"/>
      <c r="DT38" s="1267">
        <f t="shared" si="65"/>
        <v>3.1026706231454426E-2</v>
      </c>
      <c r="DU38" s="1266">
        <f t="shared" si="66"/>
        <v>-7.5397223951951919E-2</v>
      </c>
      <c r="DV38" s="1266">
        <f t="shared" si="67"/>
        <v>5.7294554138769493E-2</v>
      </c>
      <c r="DW38" s="1266">
        <f t="shared" si="68"/>
        <v>0.19678158832474635</v>
      </c>
      <c r="DX38" s="1219"/>
      <c r="DY38" s="1267">
        <f t="shared" si="69"/>
        <v>-5.6905046969976003E-2</v>
      </c>
      <c r="DZ38" s="1266">
        <f t="shared" si="70"/>
        <v>-0.13888919062774929</v>
      </c>
      <c r="EA38" s="1266">
        <f t="shared" si="71"/>
        <v>-2.8234345064035438E-3</v>
      </c>
      <c r="EB38" s="1266">
        <f t="shared" si="72"/>
        <v>9.0491001156858486E-2</v>
      </c>
      <c r="EC38" s="1219"/>
      <c r="ED38" s="1266">
        <f t="shared" si="73"/>
        <v>6.3268270650992831E-2</v>
      </c>
      <c r="EE38" s="1266">
        <f t="shared" si="74"/>
        <v>0.1617827002888752</v>
      </c>
      <c r="EF38" s="1266">
        <f t="shared" si="75"/>
        <v>2.9325513196481134E-2</v>
      </c>
      <c r="EG38" s="1266">
        <f t="shared" si="76"/>
        <v>0.34803175624559834</v>
      </c>
      <c r="EH38" s="1264"/>
      <c r="EI38" s="1267">
        <f t="shared" si="77"/>
        <v>-0.22910543717854526</v>
      </c>
      <c r="EJ38" s="1266">
        <f t="shared" si="78"/>
        <v>-0.27042932528393671</v>
      </c>
      <c r="EK38" s="1266">
        <f t="shared" si="79"/>
        <v>-0.35828666863149627</v>
      </c>
      <c r="EL38" s="1266">
        <f t="shared" si="80"/>
        <v>-0.64070956297371395</v>
      </c>
      <c r="EM38" s="1219"/>
      <c r="EN38" s="1267">
        <f t="shared" si="81"/>
        <v>-2.969559778399955E-2</v>
      </c>
      <c r="EO38" s="1266">
        <f t="shared" si="82"/>
        <v>-5.5408381950232455E-2</v>
      </c>
      <c r="EP38" s="1266">
        <f t="shared" si="83"/>
        <v>-0.1630434782608694</v>
      </c>
      <c r="EQ38" s="1266">
        <f t="shared" si="84"/>
        <v>5.725416973374764E-2</v>
      </c>
      <c r="ER38" s="1219"/>
      <c r="ES38" s="1266">
        <f>BT38/(BO38-BO33)-1</f>
        <v>0.30265892170498221</v>
      </c>
      <c r="ET38" s="1266">
        <f t="shared" ref="ET38:EV39" si="101">BU38/BP38-1</f>
        <v>-0.16518300272573982</v>
      </c>
      <c r="EU38" s="1266">
        <f t="shared" si="101"/>
        <v>-3.5631973660142591E-2</v>
      </c>
      <c r="EV38" s="1266">
        <f t="shared" si="101"/>
        <v>-1.1466852329846489</v>
      </c>
      <c r="EW38" s="1219"/>
      <c r="EX38" s="1267">
        <f>BY38/(BT38)-1</f>
        <v>-0.32902075064060687</v>
      </c>
      <c r="EY38" s="1266">
        <f>BZ38/(BU38)-1</f>
        <v>1.08710012267621E-2</v>
      </c>
      <c r="EZ38" s="1266">
        <f>CA38/(BV38-BV33)-1</f>
        <v>4.9523917909032322E-2</v>
      </c>
      <c r="FA38" s="1266"/>
      <c r="FB38" s="1754"/>
      <c r="FC38" s="1267">
        <f>CD38/(BY38)-1</f>
        <v>8.6487700775019549E-2</v>
      </c>
      <c r="FD38" s="1266">
        <f>CE38/(BZ38)-1</f>
        <v>1.6616568025242806E-3</v>
      </c>
      <c r="FE38" s="1266">
        <f>CF38/(CA38-CA33)-1</f>
        <v>-6.9217284441474014E-3</v>
      </c>
      <c r="FF38" s="1266"/>
      <c r="FG38" s="2043"/>
      <c r="FH38" s="860"/>
      <c r="FI38" s="860"/>
      <c r="FJ38" s="860"/>
      <c r="FY38" s="860"/>
      <c r="FZ38" s="860"/>
      <c r="GA38" s="860"/>
      <c r="GB38" s="860"/>
      <c r="GC38" s="860"/>
      <c r="GD38" s="860"/>
      <c r="GE38" s="860"/>
      <c r="GF38" s="860"/>
      <c r="GG38" s="860"/>
      <c r="GH38" s="860"/>
      <c r="GI38" s="860"/>
      <c r="GJ38" s="860"/>
      <c r="GK38" s="860"/>
      <c r="GL38" s="860"/>
      <c r="GM38" s="860"/>
      <c r="GN38" s="860"/>
      <c r="GO38" s="860"/>
      <c r="GP38" s="860"/>
      <c r="GQ38" s="860"/>
      <c r="GR38" s="2006">
        <v>6230</v>
      </c>
      <c r="GS38" s="1265">
        <v>-4.6233925290875555E-2</v>
      </c>
      <c r="GT38" s="2006">
        <v>5091.6779190799243</v>
      </c>
      <c r="GU38" s="1265">
        <v>-8.0725442500194089E-2</v>
      </c>
      <c r="GV38" s="2004">
        <v>5955.5520000000006</v>
      </c>
      <c r="GW38" s="1265">
        <v>-8.5926880928262173E-2</v>
      </c>
      <c r="GX38" s="1218"/>
      <c r="GY38" s="2004">
        <v>5030.4778461433871</v>
      </c>
      <c r="GZ38" s="1265">
        <v>-0.2074118315802379</v>
      </c>
      <c r="HA38" s="1218"/>
      <c r="HB38" s="2004">
        <v>5695</v>
      </c>
      <c r="HC38" s="1265">
        <v>4.1704774099140307E-2</v>
      </c>
      <c r="HD38" s="2000"/>
      <c r="HE38" s="2004">
        <v>5173.1245881798959</v>
      </c>
      <c r="HF38" s="1265">
        <v>-0.12153162135241558</v>
      </c>
      <c r="HG38" s="2000"/>
      <c r="HH38" s="2004">
        <f>HH37+HH36</f>
        <v>5240</v>
      </c>
      <c r="HI38" s="2004">
        <v>5302.5950000000003</v>
      </c>
      <c r="HJ38" s="1265">
        <v>7.7286024346490123E-4</v>
      </c>
      <c r="HK38" s="2000"/>
      <c r="HL38" s="2004">
        <v>5195.5870000000004</v>
      </c>
      <c r="HM38" s="1265">
        <v>-1.4531504874625401E-2</v>
      </c>
      <c r="HN38" s="2000"/>
      <c r="HO38" s="2004">
        <v>5238.2205509775804</v>
      </c>
      <c r="HP38" s="1265">
        <v>-7.0641590078462366</v>
      </c>
      <c r="HQ38" s="2000"/>
      <c r="HR38" s="2005">
        <f>HR37+HR36</f>
        <v>5301.0734958815829</v>
      </c>
    </row>
    <row r="39" spans="1:226" ht="14.25" customHeight="1">
      <c r="A39" s="1132" t="s">
        <v>700</v>
      </c>
      <c r="B39" s="1686"/>
      <c r="C39" s="1687"/>
      <c r="D39" s="1687"/>
      <c r="E39" s="1687"/>
      <c r="F39" s="1688"/>
      <c r="G39" s="1250">
        <v>-1758.4</v>
      </c>
      <c r="H39" s="1251">
        <v>-1799.7999999999997</v>
      </c>
      <c r="I39" s="1251">
        <v>-1829.8000000000002</v>
      </c>
      <c r="J39" s="1251">
        <v>-1973.5000000000005</v>
      </c>
      <c r="K39" s="1252">
        <f>+SUM(G39:J39)</f>
        <v>-7361.5</v>
      </c>
      <c r="L39" s="1250">
        <v>-2030.3</v>
      </c>
      <c r="M39" s="1251">
        <v>-2039.1</v>
      </c>
      <c r="N39" s="1251">
        <v>-2105</v>
      </c>
      <c r="O39" s="1235">
        <v>-2299.6</v>
      </c>
      <c r="P39" s="1252">
        <f>+SUM(L39:O39)</f>
        <v>-8474</v>
      </c>
      <c r="Q39" s="1250">
        <v>-2358.9</v>
      </c>
      <c r="R39" s="1251">
        <v>-2428.9</v>
      </c>
      <c r="S39" s="1251">
        <v>-2490.3000000000002</v>
      </c>
      <c r="T39" s="1251">
        <f>-9846.4-Q39-R39-S39</f>
        <v>-2568.3000000000002</v>
      </c>
      <c r="U39" s="1252">
        <f>+SUM(Q39:T39)</f>
        <v>-9846.4000000000015</v>
      </c>
      <c r="V39" s="1250">
        <v>-2626.7</v>
      </c>
      <c r="W39" s="1251">
        <v>-2705.6</v>
      </c>
      <c r="X39" s="1251">
        <v>-2849</v>
      </c>
      <c r="Y39" s="1251">
        <f>-11563.1-V39-W39-X39</f>
        <v>-3381.8000000000011</v>
      </c>
      <c r="Z39" s="1252">
        <f>+SUM(V39:Y39)</f>
        <v>-11563.1</v>
      </c>
      <c r="AA39" s="1250">
        <v>-3343.1</v>
      </c>
      <c r="AB39" s="1251">
        <v>-3612.7</v>
      </c>
      <c r="AC39" s="1251">
        <v>-3783.9</v>
      </c>
      <c r="AD39" s="1251">
        <f>-14660.9-AA39-AB39-AC39</f>
        <v>-3921.1999999999994</v>
      </c>
      <c r="AE39" s="1252">
        <f>-Master!N142-Master!N143</f>
        <v>-14660.9</v>
      </c>
      <c r="AF39" s="1250">
        <v>-4009.8</v>
      </c>
      <c r="AG39" s="1251">
        <v>-4274.8999999999996</v>
      </c>
      <c r="AH39" s="1251">
        <v>-4225.6000000000004</v>
      </c>
      <c r="AI39" s="1251">
        <v>-4469.5</v>
      </c>
      <c r="AJ39" s="1252">
        <f>-Master!O142-Master!O143</f>
        <v>-16979.8</v>
      </c>
      <c r="AK39" s="1250">
        <v>-4554.5</v>
      </c>
      <c r="AL39" s="1251">
        <v>-4589.3999999999996</v>
      </c>
      <c r="AM39" s="1251">
        <v>-4615.3</v>
      </c>
      <c r="AN39" s="1251">
        <f>-18536.3-AK39-AL39-AM39</f>
        <v>-4777.0999999999995</v>
      </c>
      <c r="AO39" s="1252">
        <f>-Master!P142-Master!P143</f>
        <v>-18536</v>
      </c>
      <c r="AP39" s="1250">
        <v>-4800.8</v>
      </c>
      <c r="AQ39" s="1251">
        <v>-4848.1000000000004</v>
      </c>
      <c r="AR39" s="1251">
        <v>-5037.8</v>
      </c>
      <c r="AS39" s="1251">
        <f>-19834.2-AP39-AQ39-AR39</f>
        <v>-5147.5000000000009</v>
      </c>
      <c r="AT39" s="1252">
        <f>-Master!Q142-Master!Q143</f>
        <v>-19834</v>
      </c>
      <c r="AU39" s="1250">
        <v>-5216</v>
      </c>
      <c r="AV39" s="1251">
        <v>-5079.2</v>
      </c>
      <c r="AW39" s="1251">
        <v>-5321.3</v>
      </c>
      <c r="AX39" s="1251">
        <v>-5392.4</v>
      </c>
      <c r="AY39" s="1252">
        <f>-Master!R142-Master!R143</f>
        <v>-21008</v>
      </c>
      <c r="AZ39" s="1647">
        <v>-5151.5</v>
      </c>
      <c r="BA39" s="1268">
        <v>-5234.1000000000004</v>
      </c>
      <c r="BB39" s="1268">
        <f>-5235.9-17.5</f>
        <v>-5253.4</v>
      </c>
      <c r="BC39" s="1268">
        <v>-5639.3</v>
      </c>
      <c r="BD39" s="1252">
        <f>-Master!S142-Master!S143</f>
        <v>-21261</v>
      </c>
      <c r="BE39" s="1250">
        <v>-5169.8</v>
      </c>
      <c r="BF39" s="1251">
        <v>-5224.1000000000004</v>
      </c>
      <c r="BG39" s="1251">
        <v>-5347.8</v>
      </c>
      <c r="BH39" s="1251">
        <v>-5676.6</v>
      </c>
      <c r="BI39" s="1252">
        <f>-Master!T142-Master!T143</f>
        <v>-21418.3</v>
      </c>
      <c r="BJ39" s="1324">
        <v>-5077.3999999999996</v>
      </c>
      <c r="BK39" s="1246">
        <v>-5167.5</v>
      </c>
      <c r="BL39" s="1246">
        <v>-5169.8</v>
      </c>
      <c r="BM39" s="1246">
        <v>-5702.7</v>
      </c>
      <c r="BN39" s="1268">
        <f>-Master!U142-Master!U143</f>
        <v>-21117.4</v>
      </c>
      <c r="BO39" s="1324">
        <v>-5311.7</v>
      </c>
      <c r="BP39" s="1246">
        <v>-5354.7</v>
      </c>
      <c r="BQ39" s="1246">
        <v>-5544.1</v>
      </c>
      <c r="BR39" s="1246">
        <v>-5344</v>
      </c>
      <c r="BS39" s="1268">
        <f>-Master!V142-Master!V143</f>
        <v>-21554.400000000001</v>
      </c>
      <c r="BT39" s="1324">
        <v>-5035</v>
      </c>
      <c r="BU39" s="1246">
        <v>-5209</v>
      </c>
      <c r="BV39" s="1246">
        <v>-4907.5</v>
      </c>
      <c r="BW39" s="1246">
        <v>-5359.4</v>
      </c>
      <c r="BX39" s="1362">
        <f>-Master!W142-Master!W143</f>
        <v>-20510.900000000001</v>
      </c>
      <c r="BY39" s="1324">
        <v>-4451.8</v>
      </c>
      <c r="BZ39" s="1246">
        <v>-4402.7</v>
      </c>
      <c r="CA39" s="1246">
        <v>-4604.5</v>
      </c>
      <c r="CB39" s="1246">
        <v>-3701.5</v>
      </c>
      <c r="CC39" s="1758">
        <f>-Master!X142-Master!X143</f>
        <v>-17160.5</v>
      </c>
      <c r="CD39" s="1324">
        <v>-4261.3999999999996</v>
      </c>
      <c r="CE39" s="1991">
        <v>-4250</v>
      </c>
      <c r="CF39" s="1991">
        <v>-4250</v>
      </c>
      <c r="CG39" s="1991">
        <f>CH39-CD39-CE39-CF39</f>
        <v>-4262.0358597338545</v>
      </c>
      <c r="CH39" s="1758">
        <f>-Master!Y142-Master!Y143</f>
        <v>-17023.435859733854</v>
      </c>
      <c r="CI39" s="1268"/>
      <c r="CJ39" s="860"/>
      <c r="CK39" s="1242">
        <f t="shared" si="37"/>
        <v>0.15462920837124661</v>
      </c>
      <c r="CL39" s="1162">
        <f t="shared" si="38"/>
        <v>0.13295921769085473</v>
      </c>
      <c r="CM39" s="1162">
        <f t="shared" si="39"/>
        <v>0.15039895070499498</v>
      </c>
      <c r="CN39" s="1162">
        <f t="shared" si="40"/>
        <v>0.16523942234608535</v>
      </c>
      <c r="CO39" s="1232"/>
      <c r="CP39" s="1242">
        <f t="shared" si="41"/>
        <v>0.16184800275821321</v>
      </c>
      <c r="CQ39" s="1162">
        <f t="shared" si="42"/>
        <v>0.19116276788779363</v>
      </c>
      <c r="CR39" s="1162">
        <f t="shared" si="43"/>
        <v>0.183040380047506</v>
      </c>
      <c r="CS39" s="1162">
        <f t="shared" si="44"/>
        <v>0.11684640807096902</v>
      </c>
      <c r="CT39" s="1232"/>
      <c r="CU39" s="1242">
        <f t="shared" si="45"/>
        <v>0.11352749162745335</v>
      </c>
      <c r="CV39" s="1162">
        <f t="shared" si="46"/>
        <v>0.11391988142780685</v>
      </c>
      <c r="CW39" s="1162">
        <f t="shared" si="47"/>
        <v>0.14403887081877675</v>
      </c>
      <c r="CX39" s="1162">
        <f t="shared" si="48"/>
        <v>0.31674648600241428</v>
      </c>
      <c r="CY39" s="1232"/>
      <c r="CZ39" s="1242">
        <f t="shared" si="49"/>
        <v>0.27273765561350749</v>
      </c>
      <c r="DA39" s="1162">
        <f t="shared" si="50"/>
        <v>0.33526759314015364</v>
      </c>
      <c r="DB39" s="1162">
        <f t="shared" si="51"/>
        <v>0.32815022815022821</v>
      </c>
      <c r="DC39" s="1162">
        <f t="shared" si="52"/>
        <v>0.15950085753149157</v>
      </c>
      <c r="DD39" s="1232"/>
      <c r="DE39" s="1242">
        <f t="shared" si="53"/>
        <v>0.19942568274954398</v>
      </c>
      <c r="DF39" s="1162">
        <f t="shared" si="54"/>
        <v>0.1832978105018408</v>
      </c>
      <c r="DG39" s="1162">
        <f t="shared" si="55"/>
        <v>0.11673141467797787</v>
      </c>
      <c r="DH39" s="1162">
        <f t="shared" si="56"/>
        <v>0.13982964398653497</v>
      </c>
      <c r="DI39" s="1232"/>
      <c r="DJ39" s="1242">
        <f t="shared" si="57"/>
        <v>0.13584218664272529</v>
      </c>
      <c r="DK39" s="1162">
        <f t="shared" si="58"/>
        <v>7.356897237362281E-2</v>
      </c>
      <c r="DL39" s="1162">
        <f t="shared" si="59"/>
        <v>9.222358954941301E-2</v>
      </c>
      <c r="DM39" s="1162">
        <f t="shared" si="60"/>
        <v>6.8822015885445786E-2</v>
      </c>
      <c r="DN39" s="1232"/>
      <c r="DO39" s="1242">
        <f t="shared" si="61"/>
        <v>5.4078384015808556E-2</v>
      </c>
      <c r="DP39" s="1162">
        <f t="shared" si="62"/>
        <v>5.6369024273325685E-2</v>
      </c>
      <c r="DQ39" s="1162">
        <f t="shared" si="63"/>
        <v>9.1543344961324324E-2</v>
      </c>
      <c r="DR39" s="1162">
        <f t="shared" si="64"/>
        <v>7.7536580770760866E-2</v>
      </c>
      <c r="DS39" s="1232"/>
      <c r="DT39" s="1242">
        <f t="shared" si="65"/>
        <v>8.6485585735710746E-2</v>
      </c>
      <c r="DU39" s="1162">
        <f t="shared" si="66"/>
        <v>4.7668158660093551E-2</v>
      </c>
      <c r="DV39" s="1162">
        <f t="shared" si="67"/>
        <v>5.6274564293937734E-2</v>
      </c>
      <c r="DW39" s="1162">
        <f t="shared" si="68"/>
        <v>4.7576493443418855E-2</v>
      </c>
      <c r="DX39" s="1232"/>
      <c r="DY39" s="1242">
        <f t="shared" si="69"/>
        <v>-1.2365797546012303E-2</v>
      </c>
      <c r="DZ39" s="1162">
        <f t="shared" si="70"/>
        <v>3.0496928650181276E-2</v>
      </c>
      <c r="EA39" s="1162">
        <f t="shared" si="71"/>
        <v>-1.2760039839888826E-2</v>
      </c>
      <c r="EB39" s="1162">
        <f t="shared" si="72"/>
        <v>4.5786662710481485E-2</v>
      </c>
      <c r="EC39" s="1232"/>
      <c r="ED39" s="1162">
        <f t="shared" si="73"/>
        <v>3.5523633893042028E-3</v>
      </c>
      <c r="EE39" s="1162">
        <f t="shared" si="74"/>
        <v>-1.9105481362603483E-3</v>
      </c>
      <c r="EF39" s="1162">
        <f t="shared" si="75"/>
        <v>1.796931511021449E-2</v>
      </c>
      <c r="EG39" s="1162">
        <f t="shared" si="76"/>
        <v>6.6142961005799528E-3</v>
      </c>
      <c r="EH39" s="860"/>
      <c r="EI39" s="1242">
        <f t="shared" si="77"/>
        <v>-1.7873031838755993E-2</v>
      </c>
      <c r="EJ39" s="1162">
        <f t="shared" si="78"/>
        <v>-1.0834402097969043E-2</v>
      </c>
      <c r="EK39" s="1162">
        <f t="shared" si="79"/>
        <v>-3.3284715209992877E-2</v>
      </c>
      <c r="EL39" s="1162">
        <f t="shared" si="80"/>
        <v>4.5978226403127209E-3</v>
      </c>
      <c r="EM39" s="1232"/>
      <c r="EN39" s="1242">
        <f t="shared" si="81"/>
        <v>4.6145665104187161E-2</v>
      </c>
      <c r="EO39" s="1162">
        <f t="shared" si="82"/>
        <v>3.6226415094339659E-2</v>
      </c>
      <c r="EP39" s="1162">
        <f t="shared" si="83"/>
        <v>7.2401253433401758E-2</v>
      </c>
      <c r="EQ39" s="1162">
        <f t="shared" si="84"/>
        <v>-6.2900029810440627E-2</v>
      </c>
      <c r="ER39" s="1232"/>
      <c r="ES39" s="1162">
        <f>BT39/BO39-1</f>
        <v>-5.2092550407590754E-2</v>
      </c>
      <c r="ET39" s="1162">
        <f t="shared" si="101"/>
        <v>-2.7209740975218E-2</v>
      </c>
      <c r="EU39" s="1162">
        <f t="shared" si="101"/>
        <v>-0.11482476867300384</v>
      </c>
      <c r="EV39" s="1162">
        <f t="shared" si="101"/>
        <v>2.8817365269460105E-3</v>
      </c>
      <c r="EW39" s="1232"/>
      <c r="EX39" s="1242">
        <f t="shared" ref="EX39:FA40" si="102">BY39/BT39-1</f>
        <v>-0.11582919563058591</v>
      </c>
      <c r="EY39" s="1162">
        <f t="shared" si="102"/>
        <v>-0.15478978690727585</v>
      </c>
      <c r="EZ39" s="1162">
        <f t="shared" si="102"/>
        <v>-6.174223127865508E-2</v>
      </c>
      <c r="FA39" s="1162">
        <f t="shared" si="102"/>
        <v>-0.30934432958913305</v>
      </c>
      <c r="FB39" s="1754"/>
      <c r="FC39" s="1242">
        <f>CD39/BY39-1</f>
        <v>-4.2769216945954591E-2</v>
      </c>
      <c r="FD39" s="1162">
        <f t="shared" ref="FD39:FD40" si="103">CE39/BZ39-1</f>
        <v>-3.4683262543439231E-2</v>
      </c>
      <c r="FE39" s="1162">
        <f t="shared" ref="FE39:FE40" si="104">CF39/CA39-1</f>
        <v>-7.6989901183624698E-2</v>
      </c>
      <c r="FF39" s="1162">
        <f t="shared" ref="FF39:FF40" si="105">CG39/CB39-1</f>
        <v>0.15143478582570702</v>
      </c>
      <c r="FG39" s="1756"/>
      <c r="FH39" s="860"/>
      <c r="FI39" s="860"/>
      <c r="FJ39" s="860"/>
      <c r="FY39" s="860"/>
      <c r="FZ39" s="860"/>
      <c r="GA39" s="860"/>
      <c r="GB39" s="860"/>
      <c r="GC39" s="860"/>
      <c r="GD39" s="860"/>
      <c r="GE39" s="860"/>
      <c r="GF39" s="860"/>
      <c r="GG39" s="860"/>
      <c r="GH39" s="860"/>
      <c r="GI39" s="860"/>
      <c r="GJ39" s="860"/>
      <c r="GK39" s="860"/>
      <c r="GL39" s="860"/>
      <c r="GM39" s="860"/>
      <c r="GN39" s="860"/>
      <c r="GO39" s="860"/>
      <c r="GP39" s="860"/>
      <c r="GQ39" s="860"/>
      <c r="GR39" s="1376">
        <v>-5200</v>
      </c>
      <c r="GS39" s="1241">
        <v>5.841618631281742E-3</v>
      </c>
      <c r="GT39" s="1376">
        <v>-5575.3308029687232</v>
      </c>
      <c r="GU39" s="1241">
        <v>-2.2334893476998019E-2</v>
      </c>
      <c r="GV39" s="1376">
        <v>-5250</v>
      </c>
      <c r="GW39" s="1241">
        <v>-1.1615866859950641E-2</v>
      </c>
      <c r="GX39" s="1218"/>
      <c r="GY39" s="1376">
        <v>-5250</v>
      </c>
      <c r="GZ39" s="1241">
        <v>-1.9552916129755182E-2</v>
      </c>
      <c r="HA39" s="1218"/>
      <c r="HB39" s="1376">
        <v>-5200</v>
      </c>
      <c r="HC39" s="1241">
        <v>-6.2065980050864944E-2</v>
      </c>
      <c r="HD39" s="2000"/>
      <c r="HE39" s="1376">
        <v>-4892.7719562919337</v>
      </c>
      <c r="HF39" s="1241">
        <v>-8.4436385424413563E-2</v>
      </c>
      <c r="HG39" s="2000"/>
      <c r="HH39" s="1376">
        <v>-5000</v>
      </c>
      <c r="HI39" s="1376">
        <v>-4700</v>
      </c>
      <c r="HJ39" s="1241">
        <v>-9.771549241697064E-2</v>
      </c>
      <c r="HK39" s="2000"/>
      <c r="HL39" s="1376">
        <v>-4500</v>
      </c>
      <c r="HM39" s="1241">
        <v>-8.3036169128884341E-2</v>
      </c>
      <c r="HN39" s="2000"/>
      <c r="HO39" s="1376">
        <v>-4690.4301600352119</v>
      </c>
      <c r="HP39" s="1241">
        <v>-0.12482177855073107</v>
      </c>
      <c r="HQ39" s="2000"/>
      <c r="HR39" s="1376">
        <v>-4000</v>
      </c>
    </row>
    <row r="40" spans="1:226" ht="14.25" customHeight="1">
      <c r="A40" s="1270" t="s">
        <v>701</v>
      </c>
      <c r="B40" s="1684"/>
      <c r="C40" s="1363"/>
      <c r="D40" s="1363"/>
      <c r="E40" s="1363"/>
      <c r="F40" s="1685"/>
      <c r="G40" s="1357">
        <f t="shared" ref="G40:P40" si="106">+G34+G35+G39+G37</f>
        <v>2551.6999999999994</v>
      </c>
      <c r="H40" s="1272">
        <f t="shared" si="106"/>
        <v>4098.1000000000004</v>
      </c>
      <c r="I40" s="1272">
        <f t="shared" si="106"/>
        <v>4478.3999999999987</v>
      </c>
      <c r="J40" s="1272">
        <f t="shared" si="106"/>
        <v>5145.4999999999991</v>
      </c>
      <c r="K40" s="1256">
        <f t="shared" si="106"/>
        <v>16273.7</v>
      </c>
      <c r="L40" s="1357">
        <f t="shared" si="106"/>
        <v>3284</v>
      </c>
      <c r="M40" s="1272">
        <f t="shared" si="106"/>
        <v>4667.9000000000005</v>
      </c>
      <c r="N40" s="1272">
        <f t="shared" si="106"/>
        <v>4864.1999999999989</v>
      </c>
      <c r="O40" s="1272">
        <f t="shared" si="106"/>
        <v>5323.7000000000007</v>
      </c>
      <c r="P40" s="1256">
        <f t="shared" si="106"/>
        <v>18139.8</v>
      </c>
      <c r="Q40" s="1671">
        <f>+Q34+Q35+Q39+Q37+30*Q199</f>
        <v>3389.9</v>
      </c>
      <c r="R40" s="1272">
        <f t="shared" ref="R40:X40" si="107">+R34+R35+R39+R37</f>
        <v>4954.7</v>
      </c>
      <c r="S40" s="1272">
        <f t="shared" si="107"/>
        <v>5074.2999999999993</v>
      </c>
      <c r="T40" s="1272">
        <f t="shared" si="107"/>
        <v>5319.4999999999991</v>
      </c>
      <c r="U40" s="1256">
        <f t="shared" si="107"/>
        <v>18359.176890624996</v>
      </c>
      <c r="V40" s="1357">
        <f t="shared" si="107"/>
        <v>2983.7</v>
      </c>
      <c r="W40" s="1272">
        <f t="shared" si="107"/>
        <v>4867.4000000000015</v>
      </c>
      <c r="X40" s="1272">
        <f t="shared" si="107"/>
        <v>4756.7000000000007</v>
      </c>
      <c r="Y40" s="1272">
        <f>+Y34+Y35+Y39+Y37-290</f>
        <v>5546.9999999999945</v>
      </c>
      <c r="Z40" s="1256">
        <f>+Z34+Z35+Z39+Z37</f>
        <v>18444.8</v>
      </c>
      <c r="AA40" s="1357">
        <f>+AA34+AA35+AA39+AA37+1030.7</f>
        <v>4810.2000000000007</v>
      </c>
      <c r="AB40" s="1272">
        <f t="shared" ref="AB40:AP40" si="108">+AB34+AB35+AB39+AB37</f>
        <v>4220.8999999999987</v>
      </c>
      <c r="AC40" s="1272">
        <f t="shared" si="108"/>
        <v>4610.800000000002</v>
      </c>
      <c r="AD40" s="1272">
        <f t="shared" si="108"/>
        <v>5103.2000000000007</v>
      </c>
      <c r="AE40" s="1256">
        <f t="shared" si="108"/>
        <v>17714.399999999991</v>
      </c>
      <c r="AF40" s="1357">
        <f t="shared" si="108"/>
        <v>3309.0999999999995</v>
      </c>
      <c r="AG40" s="1272">
        <f t="shared" si="108"/>
        <v>4573.4800000000005</v>
      </c>
      <c r="AH40" s="1272">
        <f t="shared" si="108"/>
        <v>4414</v>
      </c>
      <c r="AI40" s="1272">
        <f t="shared" si="108"/>
        <v>4721.0999999999985</v>
      </c>
      <c r="AJ40" s="1256">
        <f t="shared" si="108"/>
        <v>16598.099999999995</v>
      </c>
      <c r="AK40" s="1357">
        <f t="shared" si="108"/>
        <v>3030.2000000000007</v>
      </c>
      <c r="AL40" s="1272">
        <f t="shared" si="108"/>
        <v>3905.2000000000003</v>
      </c>
      <c r="AM40" s="1272">
        <f t="shared" si="108"/>
        <v>3678.0999999999985</v>
      </c>
      <c r="AN40" s="1272">
        <f t="shared" si="108"/>
        <v>3629.7</v>
      </c>
      <c r="AO40" s="1256">
        <f t="shared" si="108"/>
        <v>14244</v>
      </c>
      <c r="AP40" s="1357">
        <f t="shared" si="108"/>
        <v>3624.1999999999985</v>
      </c>
      <c r="AQ40" s="1378">
        <f>+AQ34+AQ35+AQ39+AQ37+3547.4</f>
        <v>8655.9000000000015</v>
      </c>
      <c r="AR40" s="1272">
        <f>+AR34+AR35+AR39+AR37</f>
        <v>4341.8</v>
      </c>
      <c r="AS40" s="1272">
        <f>+AS34+AS35+AS39+AS37</f>
        <v>3664.2999999999984</v>
      </c>
      <c r="AT40" s="1658">
        <f>+AT34+AT35+AT39+AT37+3547.4</f>
        <v>20285.900000000001</v>
      </c>
      <c r="AU40" s="1357">
        <f t="shared" ref="AU40:BR40" si="109">+AU34+AU35+AU39+AU37</f>
        <v>3470.400000000001</v>
      </c>
      <c r="AV40" s="1272">
        <f t="shared" si="109"/>
        <v>4126.699999999998</v>
      </c>
      <c r="AW40" s="1272">
        <f t="shared" si="109"/>
        <v>4595.7000000000016</v>
      </c>
      <c r="AX40" s="1272">
        <f t="shared" si="109"/>
        <v>5153.3999999999987</v>
      </c>
      <c r="AY40" s="1256">
        <f t="shared" si="109"/>
        <v>17210.099999999999</v>
      </c>
      <c r="AZ40" s="1357">
        <f t="shared" si="109"/>
        <v>3040.6000000000013</v>
      </c>
      <c r="BA40" s="1272">
        <f t="shared" si="109"/>
        <v>2693.2000000000007</v>
      </c>
      <c r="BB40" s="1272">
        <f t="shared" si="109"/>
        <v>4635.5999999999985</v>
      </c>
      <c r="BC40" s="1272">
        <f t="shared" si="109"/>
        <v>5860.7999999999975</v>
      </c>
      <c r="BD40" s="1256">
        <f t="shared" si="109"/>
        <v>17549.299999999992</v>
      </c>
      <c r="BE40" s="1357">
        <f t="shared" si="109"/>
        <v>3540.6000000000008</v>
      </c>
      <c r="BF40" s="1272">
        <f t="shared" si="109"/>
        <v>3985.7</v>
      </c>
      <c r="BG40" s="1272">
        <f t="shared" si="109"/>
        <v>4831.1999999999989</v>
      </c>
      <c r="BH40" s="1272">
        <f t="shared" si="109"/>
        <v>9825.9000000000015</v>
      </c>
      <c r="BI40" s="1272">
        <f t="shared" si="109"/>
        <v>22183.3</v>
      </c>
      <c r="BJ40" s="1357">
        <f t="shared" si="109"/>
        <v>1637.400000000001</v>
      </c>
      <c r="BK40" s="1272">
        <f t="shared" si="109"/>
        <v>1551.700000000001</v>
      </c>
      <c r="BL40" s="1272">
        <f t="shared" si="109"/>
        <v>1362.1999999999994</v>
      </c>
      <c r="BM40" s="1272">
        <f t="shared" si="109"/>
        <v>-132.80000000000018</v>
      </c>
      <c r="BN40" s="1272">
        <f t="shared" si="109"/>
        <v>4418.6299999999974</v>
      </c>
      <c r="BO40" s="1357">
        <f t="shared" si="109"/>
        <v>1203.6999999999998</v>
      </c>
      <c r="BP40" s="1272">
        <f t="shared" si="109"/>
        <v>992.19999999999914</v>
      </c>
      <c r="BQ40" s="1272">
        <f t="shared" si="109"/>
        <v>-77.100000000000477</v>
      </c>
      <c r="BR40" s="1272">
        <f t="shared" si="109"/>
        <v>544.80000000000143</v>
      </c>
      <c r="BS40" s="1272">
        <f t="shared" ref="BS40:CG40" si="110">+BS34+BS35+BS39+BS37</f>
        <v>2570.1999999999998</v>
      </c>
      <c r="BT40" s="1357">
        <f t="shared" si="110"/>
        <v>2926.1999999999994</v>
      </c>
      <c r="BU40" s="1272">
        <f t="shared" si="110"/>
        <v>89.500000000000682</v>
      </c>
      <c r="BV40" s="1272">
        <f t="shared" si="110"/>
        <v>364.7000000000005</v>
      </c>
      <c r="BW40" s="1272">
        <f t="shared" si="110"/>
        <v>-6223.2</v>
      </c>
      <c r="BX40" s="1256">
        <f t="shared" si="110"/>
        <v>-2842.7840000000042</v>
      </c>
      <c r="BY40" s="1357">
        <f t="shared" si="110"/>
        <v>889.99999999999977</v>
      </c>
      <c r="BZ40" s="1272">
        <f t="shared" si="110"/>
        <v>953.40000000000009</v>
      </c>
      <c r="CA40" s="1272">
        <f t="shared" si="110"/>
        <v>928.80000000000075</v>
      </c>
      <c r="CB40" s="1272">
        <f t="shared" si="110"/>
        <v>1452.6999999999994</v>
      </c>
      <c r="CC40" s="1787">
        <f t="shared" si="110"/>
        <v>4224.8999999999996</v>
      </c>
      <c r="CD40" s="1357">
        <f t="shared" si="110"/>
        <v>1542.4</v>
      </c>
      <c r="CE40" s="1272">
        <f t="shared" si="110"/>
        <v>1115</v>
      </c>
      <c r="CF40" s="1272">
        <f t="shared" si="110"/>
        <v>1245</v>
      </c>
      <c r="CG40" s="1272">
        <f t="shared" si="110"/>
        <v>757.20157679247438</v>
      </c>
      <c r="CH40" s="1787">
        <f>+CH34+CH35+CH39+CH37</f>
        <v>4659.6015767924764</v>
      </c>
      <c r="CI40" s="1248"/>
      <c r="CJ40" s="1264"/>
      <c r="CK40" s="1267">
        <f t="shared" si="37"/>
        <v>0.28698514715679768</v>
      </c>
      <c r="CL40" s="1266">
        <f t="shared" si="38"/>
        <v>0.13904004294673133</v>
      </c>
      <c r="CM40" s="1266">
        <f t="shared" si="39"/>
        <v>8.6146838156484495E-2</v>
      </c>
      <c r="CN40" s="1266">
        <f t="shared" si="40"/>
        <v>3.4632202895734432E-2</v>
      </c>
      <c r="CO40" s="1219"/>
      <c r="CP40" s="1267">
        <f t="shared" si="41"/>
        <v>3.2247259439707632E-2</v>
      </c>
      <c r="CQ40" s="1266">
        <f t="shared" si="42"/>
        <v>6.1440904903703908E-2</v>
      </c>
      <c r="CR40" s="1266">
        <f t="shared" si="43"/>
        <v>4.3193125282677602E-2</v>
      </c>
      <c r="CS40" s="1266">
        <f t="shared" si="44"/>
        <v>-7.8892499577387643E-4</v>
      </c>
      <c r="CT40" s="1219"/>
      <c r="CU40" s="1267">
        <f t="shared" si="45"/>
        <v>-0.1198265435558572</v>
      </c>
      <c r="CV40" s="1266">
        <f t="shared" si="46"/>
        <v>-1.7619633882979491E-2</v>
      </c>
      <c r="CW40" s="1266">
        <f t="shared" si="47"/>
        <v>-6.2589913879746661E-2</v>
      </c>
      <c r="CX40" s="1266">
        <f t="shared" si="48"/>
        <v>4.2767177366292985E-2</v>
      </c>
      <c r="CY40" s="1219"/>
      <c r="CZ40" s="1267">
        <f t="shared" si="49"/>
        <v>0.61215939940342556</v>
      </c>
      <c r="DA40" s="1266">
        <f t="shared" si="50"/>
        <v>-0.13282245141143167</v>
      </c>
      <c r="DB40" s="1266">
        <f t="shared" si="51"/>
        <v>-3.0672525069901146E-2</v>
      </c>
      <c r="DC40" s="1266">
        <f t="shared" si="52"/>
        <v>-8.0007211105100784E-2</v>
      </c>
      <c r="DD40" s="1219"/>
      <c r="DE40" s="1267">
        <f t="shared" si="53"/>
        <v>-0.31206602636065051</v>
      </c>
      <c r="DF40" s="1266">
        <f t="shared" si="54"/>
        <v>8.3531948162714587E-2</v>
      </c>
      <c r="DG40" s="1266">
        <f t="shared" si="55"/>
        <v>-4.2682397848530007E-2</v>
      </c>
      <c r="DH40" s="1266">
        <f t="shared" si="56"/>
        <v>-7.4874588493494709E-2</v>
      </c>
      <c r="DI40" s="1219"/>
      <c r="DJ40" s="1267">
        <f t="shared" si="57"/>
        <v>-8.4282735486990057E-2</v>
      </c>
      <c r="DK40" s="1266">
        <f t="shared" si="58"/>
        <v>-0.14612067834559239</v>
      </c>
      <c r="DL40" s="1266">
        <f t="shared" si="59"/>
        <v>-0.16671952877208918</v>
      </c>
      <c r="DM40" s="1266">
        <f t="shared" si="60"/>
        <v>-0.23117493804409972</v>
      </c>
      <c r="DN40" s="1219"/>
      <c r="DO40" s="1267">
        <f t="shared" si="61"/>
        <v>0.19602666490660603</v>
      </c>
      <c r="DP40" s="1266">
        <f t="shared" si="62"/>
        <v>1.2165061968657178</v>
      </c>
      <c r="DQ40" s="1266">
        <f t="shared" si="63"/>
        <v>0.18044642614393358</v>
      </c>
      <c r="DR40" s="1266">
        <f t="shared" si="64"/>
        <v>9.5324682480641965E-3</v>
      </c>
      <c r="DS40" s="1219"/>
      <c r="DT40" s="1267">
        <f t="shared" si="65"/>
        <v>-4.2436951603111672E-2</v>
      </c>
      <c r="DU40" s="1266">
        <f t="shared" si="66"/>
        <v>-0.52325003754664479</v>
      </c>
      <c r="DV40" s="1266">
        <f t="shared" si="67"/>
        <v>5.8478050578101515E-2</v>
      </c>
      <c r="DW40" s="1266">
        <f t="shared" si="68"/>
        <v>0.40638048194743903</v>
      </c>
      <c r="DX40" s="1219"/>
      <c r="DY40" s="1267">
        <f t="shared" si="69"/>
        <v>-0.12384739511295517</v>
      </c>
      <c r="DZ40" s="1266">
        <f t="shared" si="70"/>
        <v>-0.34737199214868975</v>
      </c>
      <c r="EA40" s="1266">
        <f t="shared" si="71"/>
        <v>8.6820288530575773E-3</v>
      </c>
      <c r="EB40" s="1266">
        <f t="shared" si="72"/>
        <v>0.13726859937128855</v>
      </c>
      <c r="EC40" s="1219"/>
      <c r="ED40" s="1266">
        <f t="shared" si="73"/>
        <v>0.16444122870486066</v>
      </c>
      <c r="EE40" s="1266">
        <f t="shared" si="74"/>
        <v>0.47991237189959857</v>
      </c>
      <c r="EF40" s="1266">
        <f t="shared" si="75"/>
        <v>4.2195185089308973E-2</v>
      </c>
      <c r="EG40" s="1266">
        <f t="shared" si="76"/>
        <v>0.67654586404586503</v>
      </c>
      <c r="EH40" s="1264"/>
      <c r="EI40" s="1267">
        <f t="shared" si="77"/>
        <v>-0.53753601084561919</v>
      </c>
      <c r="EJ40" s="1266">
        <f t="shared" si="78"/>
        <v>-0.61068319241287572</v>
      </c>
      <c r="EK40" s="1266">
        <f t="shared" si="79"/>
        <v>-0.71804106640172227</v>
      </c>
      <c r="EL40" s="1266">
        <f t="shared" si="80"/>
        <v>-1.0135153013973275</v>
      </c>
      <c r="EM40" s="1219"/>
      <c r="EN40" s="1267">
        <f t="shared" si="81"/>
        <v>-0.2648711371686826</v>
      </c>
      <c r="EO40" s="1266">
        <f t="shared" si="82"/>
        <v>-0.36057227556873206</v>
      </c>
      <c r="EP40" s="1266">
        <f t="shared" si="83"/>
        <v>-1.0565996182645725</v>
      </c>
      <c r="EQ40" s="1266">
        <f t="shared" si="84"/>
        <v>-5.1024096385542217</v>
      </c>
      <c r="ER40" s="1219"/>
      <c r="ES40" s="1463">
        <v>1.63</v>
      </c>
      <c r="ET40" s="1463">
        <v>-0.88700000000000001</v>
      </c>
      <c r="EU40" s="1266"/>
      <c r="EV40" s="1266"/>
      <c r="EW40" s="1219"/>
      <c r="EX40" s="1267">
        <f t="shared" si="102"/>
        <v>-0.69585127469072516</v>
      </c>
      <c r="EY40" s="1266">
        <f t="shared" si="102"/>
        <v>9.6525139664803667</v>
      </c>
      <c r="EZ40" s="1266">
        <f t="shared" si="102"/>
        <v>1.5467507540444188</v>
      </c>
      <c r="FA40" s="1266">
        <f t="shared" si="102"/>
        <v>-1.2334329605347729</v>
      </c>
      <c r="FB40" s="1754"/>
      <c r="FC40" s="1267">
        <f>CD40/BY40-1</f>
        <v>0.73303370786516919</v>
      </c>
      <c r="FD40" s="1266">
        <f t="shared" si="103"/>
        <v>0.16949863645898877</v>
      </c>
      <c r="FE40" s="1266">
        <f t="shared" si="104"/>
        <v>0.34043927648578709</v>
      </c>
      <c r="FF40" s="1266">
        <f t="shared" si="105"/>
        <v>-0.47876259599884718</v>
      </c>
      <c r="FG40" s="2043"/>
      <c r="FH40" s="860"/>
      <c r="FI40" s="860"/>
      <c r="FJ40" s="860"/>
      <c r="FY40" s="860"/>
      <c r="FZ40" s="860"/>
      <c r="GA40" s="860"/>
      <c r="GB40" s="860"/>
      <c r="GC40" s="860"/>
      <c r="GD40" s="860"/>
      <c r="GE40" s="860"/>
      <c r="GF40" s="860"/>
      <c r="GG40" s="860"/>
      <c r="GH40" s="860"/>
      <c r="GI40" s="860"/>
      <c r="GJ40" s="860"/>
      <c r="GK40" s="860"/>
      <c r="GL40" s="860"/>
      <c r="GM40" s="860"/>
      <c r="GN40" s="860"/>
      <c r="GO40" s="860"/>
      <c r="GP40" s="860"/>
      <c r="GQ40" s="860"/>
      <c r="GR40" s="1376">
        <v>1030</v>
      </c>
      <c r="GS40" s="1265">
        <v>-0.24387020995448505</v>
      </c>
      <c r="GT40" s="1376">
        <v>-483.65288388879878</v>
      </c>
      <c r="GU40" s="1265">
        <v>1.9509022812007211</v>
      </c>
      <c r="GV40" s="2007">
        <v>705.55200000000059</v>
      </c>
      <c r="GW40" s="1265">
        <v>-0.4138473041455506</v>
      </c>
      <c r="GX40" s="1218"/>
      <c r="GY40" s="2007">
        <v>-219.52215385661293</v>
      </c>
      <c r="GZ40" s="1265">
        <v>-1.2212478873781627</v>
      </c>
      <c r="HA40" s="1218"/>
      <c r="HB40" s="2004">
        <v>495</v>
      </c>
      <c r="HC40" s="1265">
        <v>-7.4202334630349798</v>
      </c>
      <c r="HD40" s="2000"/>
      <c r="HE40" s="2004">
        <v>280.35263188796216</v>
      </c>
      <c r="HF40" s="1265">
        <v>-0.48540265806174476</v>
      </c>
      <c r="HG40" s="2000"/>
      <c r="HH40" s="2004">
        <f>+HH34+HH35+HH39+HH37</f>
        <v>240</v>
      </c>
      <c r="HI40" s="2004">
        <v>602.59500000000025</v>
      </c>
      <c r="HJ40" s="1265">
        <v>5.7329050279329126</v>
      </c>
      <c r="HK40" s="2000"/>
      <c r="HL40" s="2004">
        <v>695.58700000000044</v>
      </c>
      <c r="HM40" s="1265">
        <v>0.90728544008774192</v>
      </c>
      <c r="HN40" s="2000"/>
      <c r="HO40" s="2004">
        <v>547.79039094236873</v>
      </c>
      <c r="HP40" s="1265">
        <v>-1.0880239090728836</v>
      </c>
      <c r="HQ40" s="2000"/>
      <c r="HR40" s="2005">
        <f>+HR34+HR35+HR39+HR37</f>
        <v>1301.0734958815829</v>
      </c>
    </row>
    <row r="41" spans="1:226" ht="14.25" customHeight="1">
      <c r="AP41" s="1233"/>
      <c r="AT41" s="1254"/>
      <c r="AU41" s="1253"/>
      <c r="AV41" s="860"/>
      <c r="AW41" s="1235"/>
      <c r="AX41" s="1235"/>
      <c r="AY41" s="1254"/>
      <c r="AZ41" s="1253"/>
      <c r="BA41" s="1643"/>
      <c r="BB41" s="1644"/>
      <c r="BC41" s="1644"/>
      <c r="BD41" s="1254"/>
      <c r="BE41" s="1253"/>
      <c r="BF41" s="1248"/>
      <c r="BG41" s="1248"/>
      <c r="BH41" s="1248"/>
      <c r="BI41" s="1254"/>
      <c r="BJ41" s="1233"/>
      <c r="BK41" s="860"/>
      <c r="BL41" s="860"/>
      <c r="BM41" s="860"/>
      <c r="BN41" s="860"/>
      <c r="BO41" s="1233"/>
      <c r="BP41" s="1248"/>
      <c r="BQ41" s="1248"/>
      <c r="BR41" s="1248"/>
      <c r="BS41" s="1248"/>
      <c r="BT41" s="1233"/>
      <c r="BU41" s="1248"/>
      <c r="BV41" s="1248"/>
      <c r="BW41" s="1248"/>
      <c r="BX41" s="1254"/>
      <c r="BY41" s="1233"/>
      <c r="BZ41" s="1248"/>
      <c r="CA41" s="1248"/>
      <c r="CB41" s="1248"/>
      <c r="CC41" s="1789"/>
      <c r="CD41" s="1233"/>
      <c r="CE41" s="860"/>
      <c r="CF41" s="860"/>
      <c r="CG41" s="860"/>
      <c r="CH41" s="1789"/>
      <c r="CI41" s="1248"/>
      <c r="CJ41" s="860"/>
      <c r="CK41" s="1267"/>
      <c r="CL41" s="1266"/>
      <c r="CM41" s="1266"/>
      <c r="CN41" s="1266"/>
      <c r="CO41" s="1232"/>
      <c r="CP41" s="1267"/>
      <c r="CQ41" s="1266"/>
      <c r="CR41" s="1266"/>
      <c r="CS41" s="1266"/>
      <c r="CT41" s="1232"/>
      <c r="CU41" s="1267"/>
      <c r="CV41" s="1266"/>
      <c r="CW41" s="1266"/>
      <c r="CX41" s="1266"/>
      <c r="CY41" s="1232"/>
      <c r="CZ41" s="1267"/>
      <c r="DA41" s="1266"/>
      <c r="DB41" s="1266"/>
      <c r="DC41" s="1266"/>
      <c r="DD41" s="1232"/>
      <c r="DE41" s="1267"/>
      <c r="DF41" s="1266"/>
      <c r="DG41" s="1266"/>
      <c r="DH41" s="1266"/>
      <c r="DI41" s="1232"/>
      <c r="DJ41" s="1267"/>
      <c r="DK41" s="1266"/>
      <c r="DL41" s="1266"/>
      <c r="DM41" s="1266"/>
      <c r="DN41" s="1232"/>
      <c r="DO41" s="1242">
        <f>AP49/AK49-1</f>
        <v>0.11078882487112174</v>
      </c>
      <c r="DP41" s="1162">
        <f>AQ49/AL49-1</f>
        <v>0.17210934005132694</v>
      </c>
      <c r="DQ41" s="1162">
        <f>AR49/AM49-1</f>
        <v>0.13097161598379459</v>
      </c>
      <c r="DR41" s="1162">
        <f>AS49/AN49-1</f>
        <v>4.817528667269344E-2</v>
      </c>
      <c r="DS41" s="1232"/>
      <c r="DT41" s="1242">
        <f>AU41/AP49-1</f>
        <v>-1</v>
      </c>
      <c r="DU41" s="1162">
        <f>AV41/AQ49-1</f>
        <v>-1</v>
      </c>
      <c r="DV41" s="1162">
        <f>AW41/AR49-1</f>
        <v>-1</v>
      </c>
      <c r="DW41" s="1162">
        <f>AX41/AS49-1</f>
        <v>-1</v>
      </c>
      <c r="DX41" s="1232"/>
      <c r="DY41" s="1239"/>
      <c r="DZ41" s="1217"/>
      <c r="EA41" s="1217"/>
      <c r="EB41" s="1217"/>
      <c r="EC41" s="1232"/>
      <c r="ED41" s="860"/>
      <c r="EE41" s="860"/>
      <c r="EF41" s="860"/>
      <c r="EG41" s="860"/>
      <c r="EH41" s="860"/>
      <c r="EI41" s="1233"/>
      <c r="EJ41" s="860"/>
      <c r="EK41" s="860"/>
      <c r="EL41" s="860"/>
      <c r="EM41" s="1232"/>
      <c r="EN41" s="1233"/>
      <c r="EO41" s="860"/>
      <c r="EP41" s="860"/>
      <c r="EQ41" s="860"/>
      <c r="ER41" s="1232"/>
      <c r="ES41" s="860"/>
      <c r="ET41" s="860"/>
      <c r="EU41" s="860"/>
      <c r="EV41" s="860"/>
      <c r="EW41" s="1232"/>
      <c r="EX41" s="1233"/>
      <c r="EY41" s="860"/>
      <c r="EZ41" s="860"/>
      <c r="FA41" s="860"/>
      <c r="FB41" s="1754"/>
      <c r="FC41" s="1233"/>
      <c r="FD41" s="860"/>
      <c r="FE41" s="860"/>
      <c r="FF41" s="860"/>
      <c r="FG41" s="1753"/>
      <c r="FH41" s="860"/>
      <c r="FI41" s="860"/>
      <c r="FJ41" s="860"/>
      <c r="FY41" s="860"/>
      <c r="FZ41" s="860"/>
      <c r="GA41" s="860"/>
      <c r="GB41" s="860"/>
      <c r="GC41" s="860"/>
      <c r="GD41" s="860"/>
      <c r="GE41" s="860"/>
      <c r="GF41" s="860"/>
      <c r="GG41" s="860"/>
      <c r="GH41" s="860"/>
      <c r="GI41" s="860"/>
      <c r="GJ41" s="860"/>
      <c r="GK41" s="860"/>
      <c r="GL41" s="860"/>
      <c r="GM41" s="860"/>
      <c r="GN41" s="860"/>
      <c r="GO41" s="860"/>
      <c r="GP41" s="860"/>
      <c r="GQ41" s="860"/>
      <c r="GR41" s="2005"/>
      <c r="GS41" s="1218"/>
      <c r="GT41" s="2005"/>
      <c r="GU41" s="1218"/>
      <c r="GV41" s="1218"/>
      <c r="GW41" s="1218"/>
      <c r="GX41" s="1218"/>
      <c r="GY41" s="2005"/>
      <c r="GZ41" s="1218"/>
      <c r="HA41" s="1218"/>
      <c r="HB41" s="2005"/>
      <c r="HC41" s="1218"/>
      <c r="HD41" s="2000"/>
      <c r="HE41" s="2005"/>
      <c r="HF41" s="1218"/>
      <c r="HG41" s="2000"/>
      <c r="HH41" s="2005"/>
      <c r="HI41" s="2005"/>
      <c r="HJ41" s="1218"/>
      <c r="HK41" s="2000"/>
      <c r="HL41" s="2005"/>
      <c r="HM41" s="1218"/>
      <c r="HN41" s="2000"/>
      <c r="HO41" s="2005"/>
      <c r="HP41" s="1218"/>
      <c r="HQ41" s="2000"/>
      <c r="HR41" s="1218"/>
    </row>
    <row r="42" spans="1:226">
      <c r="A42" s="860" t="s">
        <v>8106</v>
      </c>
      <c r="B42" s="1233"/>
      <c r="C42" s="860"/>
      <c r="D42" s="860"/>
      <c r="E42" s="860"/>
      <c r="F42" s="1232"/>
      <c r="G42" s="1233"/>
      <c r="H42" s="860"/>
      <c r="I42" s="860"/>
      <c r="J42" s="860"/>
      <c r="K42" s="1232"/>
      <c r="L42" s="1233"/>
      <c r="M42" s="860"/>
      <c r="N42" s="860"/>
      <c r="O42" s="860"/>
      <c r="P42" s="1232"/>
      <c r="Q42" s="1233"/>
      <c r="R42" s="860"/>
      <c r="S42" s="860"/>
      <c r="T42" s="860"/>
      <c r="U42" s="1232"/>
      <c r="V42" s="1233"/>
      <c r="W42" s="860"/>
      <c r="X42" s="860"/>
      <c r="Y42" s="860"/>
      <c r="Z42" s="1232"/>
      <c r="AA42" s="1233"/>
      <c r="AB42" s="860"/>
      <c r="AC42" s="860"/>
      <c r="AD42" s="860"/>
      <c r="AE42" s="1232"/>
      <c r="AF42" s="1233"/>
      <c r="AG42" s="860"/>
      <c r="AH42" s="860"/>
      <c r="AI42" s="860"/>
      <c r="AJ42" s="1232"/>
      <c r="AK42" s="1233"/>
      <c r="AL42" s="860"/>
      <c r="AM42" s="860"/>
      <c r="AN42" s="860"/>
      <c r="AO42" s="1232"/>
      <c r="AP42" s="1233"/>
      <c r="AQ42" s="860"/>
      <c r="AR42" s="860"/>
      <c r="AS42" s="860"/>
      <c r="AT42" s="1232"/>
      <c r="AU42" s="1233"/>
      <c r="AV42" s="860"/>
      <c r="AW42" s="860"/>
      <c r="AX42" s="860"/>
      <c r="AY42" s="1232"/>
      <c r="AZ42" s="1233"/>
      <c r="BA42" s="860"/>
      <c r="BB42" s="860"/>
      <c r="BC42" s="860"/>
      <c r="BD42" s="1232"/>
      <c r="BE42" s="1233"/>
      <c r="BF42" s="860"/>
      <c r="BG42" s="860"/>
      <c r="BH42" s="860"/>
      <c r="BI42" s="860"/>
      <c r="BJ42" s="1233"/>
      <c r="BK42" s="860"/>
      <c r="BL42" s="860"/>
      <c r="BM42" s="860"/>
      <c r="BN42" s="860"/>
      <c r="BO42" s="1233"/>
      <c r="BP42" s="860"/>
      <c r="BQ42" s="860"/>
      <c r="BR42" s="860"/>
      <c r="BS42" s="860"/>
      <c r="BT42" s="1233"/>
      <c r="BU42" s="860"/>
      <c r="BV42" s="860"/>
      <c r="BW42" s="860"/>
      <c r="BX42" s="1232"/>
      <c r="BY42" s="1233"/>
      <c r="BZ42" s="1958">
        <f>BZ38/BY38-1</f>
        <v>2.6770002620837285E-3</v>
      </c>
      <c r="CA42" s="1958">
        <f>CA38/BZ38-1</f>
        <v>3.3083773641269243E-2</v>
      </c>
      <c r="CB42" s="1958">
        <f>CB38/CA38-1</f>
        <v>-6.8512460918439433E-2</v>
      </c>
      <c r="CC42" s="1754"/>
      <c r="CD42" s="1958">
        <f>CD38/CB38-1</f>
        <v>0.12603313802335969</v>
      </c>
      <c r="CE42" s="1958">
        <f>CE38/CD38-1</f>
        <v>-7.5605637685654203E-2</v>
      </c>
      <c r="CF42" s="1958">
        <f>CF38/CE38-1</f>
        <v>2.4231127679403608E-2</v>
      </c>
      <c r="CG42" s="1958">
        <f>CG38/CF38-1</f>
        <v>-8.6580994262724587E-2</v>
      </c>
      <c r="CH42" s="1754"/>
      <c r="CI42" s="860"/>
      <c r="CJ42" s="860"/>
      <c r="CK42" s="1233"/>
      <c r="CL42" s="860"/>
      <c r="CM42" s="860"/>
      <c r="CN42" s="860"/>
      <c r="CO42" s="1232"/>
      <c r="CP42" s="1233"/>
      <c r="CQ42" s="860"/>
      <c r="CR42" s="860"/>
      <c r="CS42" s="860"/>
      <c r="CT42" s="1232"/>
      <c r="CU42" s="1233"/>
      <c r="CV42" s="860"/>
      <c r="CW42" s="860"/>
      <c r="CX42" s="860"/>
      <c r="CY42" s="1232"/>
      <c r="CZ42" s="1233"/>
      <c r="DA42" s="860"/>
      <c r="DB42" s="860"/>
      <c r="DC42" s="860"/>
      <c r="DD42" s="1232"/>
      <c r="DE42" s="1233"/>
      <c r="DF42" s="860"/>
      <c r="DG42" s="860"/>
      <c r="DH42" s="860"/>
      <c r="DI42" s="1232"/>
      <c r="DJ42" s="1233"/>
      <c r="DK42" s="860"/>
      <c r="DL42" s="860"/>
      <c r="DM42" s="860"/>
      <c r="DN42" s="1232"/>
      <c r="DO42" s="1233"/>
      <c r="DP42" s="860"/>
      <c r="DQ42" s="860"/>
      <c r="DR42" s="860"/>
      <c r="DS42" s="1232"/>
      <c r="DT42" s="1233"/>
      <c r="DU42" s="860"/>
      <c r="DV42" s="860"/>
      <c r="DW42" s="860"/>
      <c r="DX42" s="1232"/>
      <c r="DY42" s="1233"/>
      <c r="DZ42" s="860"/>
      <c r="EA42" s="860"/>
      <c r="EB42" s="860"/>
      <c r="EC42" s="1232"/>
      <c r="ED42" s="860"/>
      <c r="EE42" s="860"/>
      <c r="EF42" s="860"/>
      <c r="EG42" s="860"/>
      <c r="EH42" s="860"/>
      <c r="EI42" s="1233"/>
      <c r="EJ42" s="860"/>
      <c r="EK42" s="860"/>
      <c r="EL42" s="860"/>
      <c r="EM42" s="1232"/>
      <c r="EN42" s="1233"/>
      <c r="EO42" s="860"/>
      <c r="EP42" s="860"/>
      <c r="EQ42" s="860"/>
      <c r="ER42" s="1232"/>
      <c r="ES42" s="860"/>
      <c r="ET42" s="860"/>
      <c r="EU42" s="860"/>
      <c r="EV42" s="860"/>
      <c r="EW42" s="1232"/>
      <c r="EX42" s="1233"/>
      <c r="EY42" s="860"/>
      <c r="EZ42" s="860"/>
      <c r="FA42" s="860"/>
      <c r="FB42" s="1754"/>
      <c r="FC42" s="1233"/>
      <c r="FD42" s="860"/>
      <c r="FE42" s="860"/>
      <c r="FF42" s="860"/>
      <c r="FG42" s="1753"/>
      <c r="FH42" s="860"/>
      <c r="FI42" s="860"/>
      <c r="FJ42" s="860"/>
      <c r="FY42" s="860"/>
      <c r="FZ42" s="860"/>
      <c r="GA42" s="860"/>
      <c r="GB42" s="860"/>
      <c r="GC42" s="860"/>
      <c r="GD42" s="860"/>
      <c r="GE42" s="860"/>
      <c r="GF42" s="860"/>
      <c r="GG42" s="860"/>
      <c r="GH42" s="860"/>
      <c r="GI42" s="860"/>
      <c r="GJ42" s="860"/>
      <c r="GK42" s="860"/>
      <c r="GL42" s="860"/>
      <c r="GM42" s="860"/>
      <c r="GN42" s="860"/>
      <c r="GO42" s="860"/>
      <c r="GP42" s="860"/>
      <c r="GQ42" s="860"/>
      <c r="GR42" s="1218"/>
      <c r="GS42" s="1218"/>
      <c r="GT42" s="1218"/>
      <c r="GU42" s="1218"/>
      <c r="GV42" s="1218"/>
      <c r="GW42" s="1218"/>
      <c r="GX42" s="1218"/>
      <c r="GY42" s="1218"/>
      <c r="GZ42" s="1218"/>
      <c r="HA42" s="1218"/>
      <c r="HB42" s="1218"/>
      <c r="HC42" s="1218"/>
      <c r="HD42" s="2000"/>
      <c r="HE42" s="1218"/>
      <c r="HF42" s="1218"/>
      <c r="HG42" s="2000"/>
      <c r="HH42" s="1631"/>
      <c r="HI42" s="1218"/>
      <c r="HJ42" s="1218"/>
      <c r="HK42" s="2000"/>
      <c r="HL42" s="1218"/>
      <c r="HM42" s="1218"/>
      <c r="HN42" s="2000"/>
      <c r="HO42" s="1218"/>
      <c r="HP42" s="1218"/>
      <c r="HQ42" s="2000"/>
      <c r="HR42" s="2019">
        <v>0.12603313802335969</v>
      </c>
    </row>
    <row r="43" spans="1:226">
      <c r="A43" s="860"/>
      <c r="B43" s="1233"/>
      <c r="C43" s="860"/>
      <c r="D43" s="860"/>
      <c r="E43" s="860"/>
      <c r="F43" s="1232"/>
      <c r="G43" s="1233"/>
      <c r="H43" s="860"/>
      <c r="I43" s="860"/>
      <c r="J43" s="860"/>
      <c r="K43" s="1232"/>
      <c r="L43" s="1233"/>
      <c r="M43" s="860"/>
      <c r="N43" s="860"/>
      <c r="O43" s="860"/>
      <c r="P43" s="1232"/>
      <c r="Q43" s="1233"/>
      <c r="R43" s="860"/>
      <c r="S43" s="860"/>
      <c r="T43" s="860"/>
      <c r="U43" s="1232"/>
      <c r="V43" s="1233"/>
      <c r="W43" s="860"/>
      <c r="X43" s="860"/>
      <c r="Y43" s="860"/>
      <c r="Z43" s="1232"/>
      <c r="AA43" s="1233"/>
      <c r="AB43" s="860"/>
      <c r="AC43" s="860"/>
      <c r="AD43" s="860"/>
      <c r="AE43" s="1232"/>
      <c r="AF43" s="1233"/>
      <c r="AG43" s="860"/>
      <c r="AH43" s="860"/>
      <c r="AI43" s="860"/>
      <c r="AJ43" s="1232"/>
      <c r="AK43" s="1233"/>
      <c r="AL43" s="860"/>
      <c r="AM43" s="860"/>
      <c r="AN43" s="860"/>
      <c r="AO43" s="1232"/>
      <c r="AP43" s="1233"/>
      <c r="AQ43" s="860"/>
      <c r="AR43" s="860"/>
      <c r="AS43" s="860"/>
      <c r="AT43" s="1232"/>
      <c r="AU43" s="1233"/>
      <c r="AV43" s="860"/>
      <c r="AW43" s="860"/>
      <c r="AX43" s="860"/>
      <c r="AY43" s="1232"/>
      <c r="AZ43" s="1233"/>
      <c r="BA43" s="860"/>
      <c r="BB43" s="860"/>
      <c r="BC43" s="860"/>
      <c r="BD43" s="1232"/>
      <c r="BE43" s="1522">
        <f>BE36-BE29</f>
        <v>6501.8000000000011</v>
      </c>
      <c r="BF43" s="1268">
        <f>BF36-BF29</f>
        <v>7054.4000000000005</v>
      </c>
      <c r="BG43" s="1268">
        <f>BG36-BG29</f>
        <v>7098.6999999999989</v>
      </c>
      <c r="BH43" s="1268">
        <f>BH36-BH29</f>
        <v>6838.1000000000013</v>
      </c>
      <c r="BI43" s="860"/>
      <c r="BJ43" s="1522">
        <f>BJ36</f>
        <v>6883.4000000000005</v>
      </c>
      <c r="BK43" s="1268">
        <f>BK36</f>
        <v>6760.5000000000009</v>
      </c>
      <c r="BL43" s="1268">
        <f>BL36</f>
        <v>6823.5999999999995</v>
      </c>
      <c r="BM43" s="1268">
        <f>BM36</f>
        <v>6004.4</v>
      </c>
      <c r="BN43" s="860"/>
      <c r="BO43" s="1522">
        <f>BO36-BO33</f>
        <v>6323.5</v>
      </c>
      <c r="BP43" s="1268">
        <f>BP36-BP33</f>
        <v>6051.4999999999991</v>
      </c>
      <c r="BQ43" s="1268">
        <f>BQ36-BQ33</f>
        <v>5664.2</v>
      </c>
      <c r="BR43" s="1268">
        <f>BR36-BR33</f>
        <v>5253.3000000000011</v>
      </c>
      <c r="BS43" s="1162"/>
      <c r="BT43" s="1522">
        <f t="shared" ref="BT43:CB43" si="111">BT36</f>
        <v>5697.5999999999995</v>
      </c>
      <c r="BU43" s="1268">
        <f t="shared" si="111"/>
        <v>5858.7000000000007</v>
      </c>
      <c r="BV43" s="1268">
        <f t="shared" si="111"/>
        <v>5655.9000000000005</v>
      </c>
      <c r="BW43" s="1268">
        <f t="shared" si="111"/>
        <v>5189.7</v>
      </c>
      <c r="BX43" s="1268">
        <f t="shared" si="111"/>
        <v>22401.915999999997</v>
      </c>
      <c r="BY43" s="1522">
        <f t="shared" si="111"/>
        <v>5583.5</v>
      </c>
      <c r="BZ43" s="1268">
        <f t="shared" si="111"/>
        <v>5672.2</v>
      </c>
      <c r="CA43" s="1268">
        <f t="shared" si="111"/>
        <v>5619.7000000000007</v>
      </c>
      <c r="CB43" s="1268">
        <f t="shared" si="111"/>
        <v>5697.5999999999995</v>
      </c>
      <c r="CC43" s="1757"/>
      <c r="CD43" s="1522">
        <f>CD36</f>
        <v>5926.7</v>
      </c>
      <c r="CE43" s="860"/>
      <c r="CF43" s="860"/>
      <c r="CG43" s="860"/>
      <c r="CH43" s="1754"/>
      <c r="CI43" s="860"/>
      <c r="CJ43" s="860"/>
      <c r="CK43" s="1233"/>
      <c r="CL43" s="860"/>
      <c r="CM43" s="860"/>
      <c r="CN43" s="860"/>
      <c r="CO43" s="1232"/>
      <c r="CP43" s="1233"/>
      <c r="CQ43" s="860"/>
      <c r="CR43" s="860"/>
      <c r="CS43" s="860"/>
      <c r="CT43" s="1232"/>
      <c r="CU43" s="1233"/>
      <c r="CV43" s="860"/>
      <c r="CW43" s="860"/>
      <c r="CX43" s="860"/>
      <c r="CY43" s="1232"/>
      <c r="CZ43" s="1233"/>
      <c r="DA43" s="860"/>
      <c r="DB43" s="860"/>
      <c r="DC43" s="860"/>
      <c r="DD43" s="1232"/>
      <c r="DE43" s="1233"/>
      <c r="DF43" s="860"/>
      <c r="DG43" s="860"/>
      <c r="DH43" s="860"/>
      <c r="DI43" s="1232"/>
      <c r="DJ43" s="1233"/>
      <c r="DK43" s="860"/>
      <c r="DL43" s="860"/>
      <c r="DM43" s="860"/>
      <c r="DN43" s="1232"/>
      <c r="DO43" s="1233"/>
      <c r="DP43" s="860"/>
      <c r="DQ43" s="860"/>
      <c r="DR43" s="860"/>
      <c r="DS43" s="1232"/>
      <c r="DT43" s="1233"/>
      <c r="DU43" s="860"/>
      <c r="DV43" s="860"/>
      <c r="DW43" s="860"/>
      <c r="DX43" s="1232"/>
      <c r="DY43" s="1233"/>
      <c r="DZ43" s="860"/>
      <c r="EA43" s="860"/>
      <c r="EB43" s="860"/>
      <c r="EC43" s="1232"/>
      <c r="ED43" s="860"/>
      <c r="EE43" s="860"/>
      <c r="EF43" s="860"/>
      <c r="EG43" s="860"/>
      <c r="EH43" s="860"/>
      <c r="EI43" s="1233"/>
      <c r="EJ43" s="860"/>
      <c r="EK43" s="860"/>
      <c r="EL43" s="860"/>
      <c r="EM43" s="1232"/>
      <c r="EN43" s="1233"/>
      <c r="EO43" s="860"/>
      <c r="EP43" s="860"/>
      <c r="EQ43" s="860"/>
      <c r="ER43" s="1232"/>
      <c r="ES43" s="860"/>
      <c r="ET43" s="860"/>
      <c r="EU43" s="860"/>
      <c r="EV43" s="860"/>
      <c r="EW43" s="1232"/>
      <c r="EX43" s="1233"/>
      <c r="EY43" s="860"/>
      <c r="EZ43" s="860"/>
      <c r="FA43" s="860"/>
      <c r="FB43" s="1754"/>
      <c r="FC43" s="1233"/>
      <c r="FD43" s="860"/>
      <c r="FE43" s="860"/>
      <c r="FF43" s="860"/>
      <c r="FG43" s="1753"/>
      <c r="FH43" s="860"/>
      <c r="FI43" s="860"/>
      <c r="FJ43" s="860"/>
      <c r="FY43" s="860"/>
      <c r="FZ43" s="860"/>
      <c r="GA43" s="860"/>
      <c r="GB43" s="860"/>
      <c r="GC43" s="860"/>
      <c r="GD43" s="860"/>
      <c r="GE43" s="860"/>
      <c r="GF43" s="860"/>
      <c r="GG43" s="860"/>
      <c r="GH43" s="860"/>
      <c r="GI43" s="860"/>
      <c r="GJ43" s="860"/>
      <c r="GK43" s="860"/>
      <c r="GL43" s="860"/>
      <c r="GM43" s="860"/>
      <c r="GN43" s="860"/>
      <c r="GO43" s="860"/>
      <c r="GP43" s="860"/>
      <c r="GQ43" s="860"/>
      <c r="GR43" s="1218"/>
      <c r="GS43" s="1218"/>
      <c r="GT43" s="1218"/>
      <c r="GU43" s="1218"/>
      <c r="GV43" s="1218"/>
      <c r="GW43" s="1218"/>
      <c r="GX43" s="1218"/>
      <c r="GY43" s="1218"/>
      <c r="GZ43" s="1218"/>
      <c r="HA43" s="1218"/>
      <c r="HB43" s="1218"/>
      <c r="HC43" s="1218"/>
      <c r="HD43" s="2000"/>
      <c r="HE43" s="1218"/>
      <c r="HF43" s="1218"/>
      <c r="HG43" s="2000"/>
      <c r="HH43" s="1631"/>
      <c r="HI43" s="1218"/>
      <c r="HJ43" s="1218"/>
      <c r="HK43" s="2000"/>
      <c r="HL43" s="1218"/>
      <c r="HM43" s="1218"/>
      <c r="HN43" s="2000"/>
      <c r="HO43" s="1218"/>
      <c r="HP43" s="1218"/>
      <c r="HQ43" s="2000"/>
      <c r="HR43" s="2019"/>
    </row>
    <row r="44" spans="1:226">
      <c r="A44" s="860"/>
      <c r="B44" s="1233"/>
      <c r="C44" s="860"/>
      <c r="D44" s="860"/>
      <c r="E44" s="860"/>
      <c r="F44" s="1232"/>
      <c r="G44" s="1233"/>
      <c r="H44" s="860"/>
      <c r="I44" s="860"/>
      <c r="J44" s="860"/>
      <c r="K44" s="1232"/>
      <c r="L44" s="1233"/>
      <c r="M44" s="860"/>
      <c r="N44" s="860"/>
      <c r="O44" s="860"/>
      <c r="P44" s="1232"/>
      <c r="Q44" s="1233"/>
      <c r="R44" s="860"/>
      <c r="S44" s="860"/>
      <c r="T44" s="860"/>
      <c r="U44" s="1232"/>
      <c r="V44" s="1233"/>
      <c r="W44" s="860"/>
      <c r="X44" s="860"/>
      <c r="Y44" s="860"/>
      <c r="Z44" s="1232"/>
      <c r="AA44" s="1233"/>
      <c r="AB44" s="860"/>
      <c r="AC44" s="860"/>
      <c r="AD44" s="860"/>
      <c r="AE44" s="1232"/>
      <c r="AF44" s="1233"/>
      <c r="AG44" s="860"/>
      <c r="AH44" s="860"/>
      <c r="AI44" s="860"/>
      <c r="AJ44" s="1232"/>
      <c r="AK44" s="1233"/>
      <c r="AL44" s="860"/>
      <c r="AM44" s="860"/>
      <c r="AN44" s="860"/>
      <c r="AO44" s="1232"/>
      <c r="AP44" s="1233"/>
      <c r="AQ44" s="860"/>
      <c r="AR44" s="860"/>
      <c r="AS44" s="860"/>
      <c r="AT44" s="1232"/>
      <c r="AU44" s="1233"/>
      <c r="AV44" s="860"/>
      <c r="AW44" s="860"/>
      <c r="AX44" s="860"/>
      <c r="AY44" s="1232"/>
      <c r="AZ44" s="1233"/>
      <c r="BA44" s="860"/>
      <c r="BB44" s="860"/>
      <c r="BC44" s="860"/>
      <c r="BD44" s="1232"/>
      <c r="BE44" s="1233"/>
      <c r="BF44" s="860"/>
      <c r="BG44" s="860"/>
      <c r="BH44" s="860"/>
      <c r="BI44" s="860"/>
      <c r="BJ44" s="1242">
        <f>BJ43/BE43-1</f>
        <v>5.8691439293733882E-2</v>
      </c>
      <c r="BK44" s="1162">
        <f>BK43/BF43-1</f>
        <v>-4.1661941483329468E-2</v>
      </c>
      <c r="BL44" s="1162">
        <f>BL43/BG43-1</f>
        <v>-3.8753574598165752E-2</v>
      </c>
      <c r="BM44" s="1162">
        <f>BM43/BH43-1</f>
        <v>-0.12191983153215091</v>
      </c>
      <c r="BN44" s="860"/>
      <c r="BO44" s="1242"/>
      <c r="BP44" s="1162"/>
      <c r="BQ44" s="1162"/>
      <c r="BR44" s="1162"/>
      <c r="BS44" s="1162"/>
      <c r="BT44" s="1242">
        <f t="shared" ref="BT44:CB44" si="112">BT43/BO43-1</f>
        <v>-9.897999525579193E-2</v>
      </c>
      <c r="BU44" s="1162">
        <f t="shared" si="112"/>
        <v>-3.1859869453854106E-2</v>
      </c>
      <c r="BV44" s="1162">
        <f t="shared" si="112"/>
        <v>-1.4653437378622236E-3</v>
      </c>
      <c r="BW44" s="1162">
        <f t="shared" si="112"/>
        <v>-1.2106675803780775E-2</v>
      </c>
      <c r="BX44" s="1217" t="e">
        <f t="shared" si="112"/>
        <v>#DIV/0!</v>
      </c>
      <c r="BY44" s="1239">
        <f t="shared" si="112"/>
        <v>-2.0025975849480404E-2</v>
      </c>
      <c r="BZ44" s="1217">
        <f t="shared" si="112"/>
        <v>-3.1833000494990493E-2</v>
      </c>
      <c r="CA44" s="1217">
        <f t="shared" si="112"/>
        <v>-6.4003960466061383E-3</v>
      </c>
      <c r="CB44" s="1217">
        <f t="shared" si="112"/>
        <v>9.786692872420355E-2</v>
      </c>
      <c r="CC44" s="1757"/>
      <c r="CD44" s="1239">
        <f>CD43/BY43-1</f>
        <v>6.1466821885913792E-2</v>
      </c>
      <c r="CE44" s="860"/>
      <c r="CF44" s="860"/>
      <c r="CG44" s="860"/>
      <c r="CH44" s="1754"/>
      <c r="CI44" s="860"/>
      <c r="CJ44" s="860"/>
      <c r="CK44" s="1233"/>
      <c r="CL44" s="860"/>
      <c r="CM44" s="860"/>
      <c r="CN44" s="860"/>
      <c r="CO44" s="1232"/>
      <c r="CP44" s="1233"/>
      <c r="CQ44" s="860"/>
      <c r="CR44" s="860"/>
      <c r="CS44" s="860"/>
      <c r="CT44" s="1232"/>
      <c r="CU44" s="1233"/>
      <c r="CV44" s="860"/>
      <c r="CW44" s="860"/>
      <c r="CX44" s="860"/>
      <c r="CY44" s="1232"/>
      <c r="CZ44" s="1233"/>
      <c r="DA44" s="860"/>
      <c r="DB44" s="860"/>
      <c r="DC44" s="860"/>
      <c r="DD44" s="1232"/>
      <c r="DE44" s="1233"/>
      <c r="DF44" s="860"/>
      <c r="DG44" s="860"/>
      <c r="DH44" s="860"/>
      <c r="DI44" s="1232"/>
      <c r="DJ44" s="1233"/>
      <c r="DK44" s="860"/>
      <c r="DL44" s="860"/>
      <c r="DM44" s="860"/>
      <c r="DN44" s="1232"/>
      <c r="DO44" s="1233"/>
      <c r="DP44" s="860"/>
      <c r="DQ44" s="860"/>
      <c r="DR44" s="860"/>
      <c r="DS44" s="1232"/>
      <c r="DT44" s="1233"/>
      <c r="DU44" s="860"/>
      <c r="DV44" s="860"/>
      <c r="DW44" s="860"/>
      <c r="DX44" s="1232"/>
      <c r="DY44" s="1233"/>
      <c r="DZ44" s="860"/>
      <c r="EA44" s="860"/>
      <c r="EB44" s="860"/>
      <c r="EC44" s="1232"/>
      <c r="ED44" s="860"/>
      <c r="EE44" s="860"/>
      <c r="EF44" s="860"/>
      <c r="EG44" s="860"/>
      <c r="EH44" s="860"/>
      <c r="EI44" s="1233"/>
      <c r="EJ44" s="860"/>
      <c r="EK44" s="860"/>
      <c r="EL44" s="860"/>
      <c r="EM44" s="1232"/>
      <c r="EN44" s="1233"/>
      <c r="EO44" s="860"/>
      <c r="EP44" s="860"/>
      <c r="EQ44" s="860"/>
      <c r="ER44" s="1232"/>
      <c r="ES44" s="860"/>
      <c r="ET44" s="860"/>
      <c r="EU44" s="860"/>
      <c r="EV44" s="860"/>
      <c r="EW44" s="1232"/>
      <c r="EX44" s="1233"/>
      <c r="EY44" s="860"/>
      <c r="EZ44" s="860"/>
      <c r="FA44" s="860"/>
      <c r="FB44" s="1754"/>
      <c r="FC44" s="1233"/>
      <c r="FD44" s="860"/>
      <c r="FE44" s="860"/>
      <c r="FF44" s="860"/>
      <c r="FG44" s="1753"/>
      <c r="FH44" s="860"/>
      <c r="FI44" s="860"/>
      <c r="FJ44" s="860"/>
      <c r="FY44" s="860"/>
      <c r="FZ44" s="860"/>
      <c r="GA44" s="860"/>
      <c r="GB44" s="860"/>
      <c r="GC44" s="860"/>
      <c r="GD44" s="860"/>
      <c r="GE44" s="860"/>
      <c r="GF44" s="860"/>
      <c r="GG44" s="860"/>
      <c r="GH44" s="860"/>
      <c r="GI44" s="860"/>
      <c r="GJ44" s="860"/>
      <c r="GK44" s="860"/>
      <c r="GL44" s="860"/>
      <c r="GM44" s="860"/>
      <c r="GN44" s="860"/>
      <c r="GO44" s="860"/>
      <c r="GP44" s="860"/>
      <c r="GQ44" s="860"/>
      <c r="GR44" s="1218"/>
      <c r="GS44" s="1218"/>
      <c r="GT44" s="1218"/>
      <c r="GU44" s="1218"/>
      <c r="GV44" s="1218"/>
      <c r="GW44" s="1218"/>
      <c r="GX44" s="1218"/>
      <c r="GY44" s="1218"/>
      <c r="GZ44" s="1218"/>
      <c r="HA44" s="1218"/>
      <c r="HB44" s="1218"/>
      <c r="HC44" s="1218"/>
      <c r="HD44" s="2000"/>
      <c r="HE44" s="1218"/>
      <c r="HF44" s="1218"/>
      <c r="HG44" s="2000"/>
      <c r="HH44" s="1631"/>
      <c r="HI44" s="1218"/>
      <c r="HJ44" s="1218"/>
      <c r="HK44" s="2000"/>
      <c r="HL44" s="1218"/>
      <c r="HM44" s="1218"/>
      <c r="HN44" s="2000"/>
      <c r="HO44" s="1218"/>
      <c r="HP44" s="1218"/>
      <c r="HQ44" s="2000"/>
      <c r="HR44" s="2019"/>
    </row>
    <row r="45" spans="1:226">
      <c r="A45" s="860"/>
      <c r="B45" s="1233"/>
      <c r="C45" s="860"/>
      <c r="D45" s="860"/>
      <c r="E45" s="860"/>
      <c r="F45" s="1232"/>
      <c r="G45" s="1233"/>
      <c r="H45" s="860"/>
      <c r="I45" s="860"/>
      <c r="J45" s="860"/>
      <c r="K45" s="1232"/>
      <c r="L45" s="1233"/>
      <c r="M45" s="860"/>
      <c r="N45" s="860"/>
      <c r="O45" s="860"/>
      <c r="P45" s="1232"/>
      <c r="Q45" s="1233"/>
      <c r="R45" s="860"/>
      <c r="S45" s="860"/>
      <c r="T45" s="860"/>
      <c r="U45" s="1232"/>
      <c r="V45" s="1233"/>
      <c r="W45" s="860"/>
      <c r="X45" s="860"/>
      <c r="Y45" s="860"/>
      <c r="Z45" s="1232"/>
      <c r="AA45" s="1233"/>
      <c r="AB45" s="860"/>
      <c r="AC45" s="860"/>
      <c r="AD45" s="860"/>
      <c r="AE45" s="1232"/>
      <c r="AF45" s="1233"/>
      <c r="AG45" s="860"/>
      <c r="AH45" s="860"/>
      <c r="AI45" s="860"/>
      <c r="AJ45" s="1232"/>
      <c r="AK45" s="1233"/>
      <c r="AL45" s="860"/>
      <c r="AM45" s="860"/>
      <c r="AN45" s="860"/>
      <c r="AO45" s="1232"/>
      <c r="AP45" s="1233"/>
      <c r="AQ45" s="860"/>
      <c r="AR45" s="860"/>
      <c r="AS45" s="860"/>
      <c r="AT45" s="1232"/>
      <c r="AU45" s="1233"/>
      <c r="AV45" s="860"/>
      <c r="AW45" s="860"/>
      <c r="AX45" s="860"/>
      <c r="AY45" s="1232"/>
      <c r="AZ45" s="1233"/>
      <c r="BA45" s="860"/>
      <c r="BB45" s="860"/>
      <c r="BC45" s="860"/>
      <c r="BD45" s="1232"/>
      <c r="BE45" s="1233"/>
      <c r="BF45" s="860"/>
      <c r="BG45" s="860"/>
      <c r="BH45" s="860"/>
      <c r="BI45" s="860"/>
      <c r="BJ45" s="1242">
        <f>BJ36/BE36-1</f>
        <v>-0.22469391662818339</v>
      </c>
      <c r="BK45" s="1162">
        <f>BK36/BF36-1</f>
        <v>-0.29750820898624208</v>
      </c>
      <c r="BL45" s="1162">
        <f>BL36/BG36-1</f>
        <v>-0.34940838839468746</v>
      </c>
      <c r="BM45" s="1162">
        <f>BM36/BH36-1</f>
        <v>-0.51111400609031254</v>
      </c>
      <c r="BN45" s="860"/>
      <c r="BO45" s="1242">
        <f>BO36/BJ36-1</f>
        <v>-2.266321875817201E-2</v>
      </c>
      <c r="BP45" s="1162">
        <f>BP36/BK36-1</f>
        <v>-2.7335256268027797E-2</v>
      </c>
      <c r="BQ45" s="1162"/>
      <c r="BR45" s="1162">
        <f>BR36/BM36-1</f>
        <v>-4.7964825794417076E-2</v>
      </c>
      <c r="BS45" s="1162"/>
      <c r="BT45" s="1242">
        <f t="shared" ref="BT45:CB45" si="113">BT36/BO36-1</f>
        <v>-0.1530754823557392</v>
      </c>
      <c r="BU45" s="1162">
        <f t="shared" si="113"/>
        <v>-0.10903782106847915</v>
      </c>
      <c r="BV45" s="1162">
        <f t="shared" si="113"/>
        <v>-9.1450877080254345E-2</v>
      </c>
      <c r="BW45" s="1162">
        <f t="shared" si="113"/>
        <v>-9.213840878874846E-2</v>
      </c>
      <c r="BX45" s="1162">
        <f t="shared" si="113"/>
        <v>-0.10931733422393997</v>
      </c>
      <c r="BY45" s="1242">
        <f t="shared" si="113"/>
        <v>-2.0025975849480404E-2</v>
      </c>
      <c r="BZ45" s="1162">
        <f t="shared" si="113"/>
        <v>-3.1833000494990493E-2</v>
      </c>
      <c r="CA45" s="1162">
        <f t="shared" si="113"/>
        <v>-6.4003960466061383E-3</v>
      </c>
      <c r="CB45" s="1162">
        <f t="shared" si="113"/>
        <v>9.786692872420355E-2</v>
      </c>
      <c r="CC45" s="1758"/>
      <c r="CD45" s="1242">
        <f>CD36/BY36-1</f>
        <v>6.1466821885913792E-2</v>
      </c>
      <c r="CE45" s="860"/>
      <c r="CF45" s="860"/>
      <c r="CG45" s="860"/>
      <c r="CH45" s="1754"/>
      <c r="CI45" s="860"/>
      <c r="CJ45" s="860"/>
      <c r="CK45" s="1233"/>
      <c r="CL45" s="860"/>
      <c r="CM45" s="860"/>
      <c r="CN45" s="860"/>
      <c r="CO45" s="1232"/>
      <c r="CP45" s="1233"/>
      <c r="CQ45" s="860"/>
      <c r="CR45" s="860"/>
      <c r="CS45" s="860"/>
      <c r="CT45" s="1232"/>
      <c r="CU45" s="1233"/>
      <c r="CV45" s="860"/>
      <c r="CW45" s="860"/>
      <c r="CX45" s="860"/>
      <c r="CY45" s="1232"/>
      <c r="CZ45" s="1233"/>
      <c r="DA45" s="860"/>
      <c r="DB45" s="860"/>
      <c r="DC45" s="860"/>
      <c r="DD45" s="1232"/>
      <c r="DE45" s="1233"/>
      <c r="DF45" s="860"/>
      <c r="DG45" s="860"/>
      <c r="DH45" s="860"/>
      <c r="DI45" s="1232"/>
      <c r="DJ45" s="1233"/>
      <c r="DK45" s="860"/>
      <c r="DL45" s="860"/>
      <c r="DM45" s="860"/>
      <c r="DN45" s="1232"/>
      <c r="DO45" s="1233"/>
      <c r="DP45" s="860"/>
      <c r="DQ45" s="860"/>
      <c r="DR45" s="860"/>
      <c r="DS45" s="1232"/>
      <c r="DT45" s="1233"/>
      <c r="DU45" s="860"/>
      <c r="DV45" s="860"/>
      <c r="DW45" s="860"/>
      <c r="DX45" s="1232"/>
      <c r="DY45" s="1233"/>
      <c r="DZ45" s="860"/>
      <c r="EA45" s="860"/>
      <c r="EB45" s="860"/>
      <c r="EC45" s="1232"/>
      <c r="ED45" s="860"/>
      <c r="EE45" s="860"/>
      <c r="EF45" s="860"/>
      <c r="EG45" s="860"/>
      <c r="EH45" s="860"/>
      <c r="EI45" s="1233"/>
      <c r="EJ45" s="860"/>
      <c r="EK45" s="860"/>
      <c r="EL45" s="860"/>
      <c r="EM45" s="1232"/>
      <c r="EN45" s="1233"/>
      <c r="EO45" s="860"/>
      <c r="EP45" s="860"/>
      <c r="EQ45" s="860"/>
      <c r="ER45" s="1232"/>
      <c r="ES45" s="860"/>
      <c r="ET45" s="860"/>
      <c r="EU45" s="860"/>
      <c r="EV45" s="860"/>
      <c r="EW45" s="1232"/>
      <c r="EX45" s="1233"/>
      <c r="EY45" s="860"/>
      <c r="EZ45" s="860"/>
      <c r="FA45" s="860"/>
      <c r="FB45" s="1754"/>
      <c r="FC45" s="1233"/>
      <c r="FD45" s="860"/>
      <c r="FE45" s="860"/>
      <c r="FF45" s="860"/>
      <c r="FG45" s="1753"/>
      <c r="FH45" s="860"/>
      <c r="FI45" s="860"/>
      <c r="FJ45" s="860"/>
      <c r="FY45" s="860"/>
      <c r="FZ45" s="860"/>
      <c r="GA45" s="860"/>
      <c r="GB45" s="860"/>
      <c r="GC45" s="860"/>
      <c r="GD45" s="860"/>
      <c r="GE45" s="860"/>
      <c r="GF45" s="860"/>
      <c r="GG45" s="860"/>
      <c r="GH45" s="860"/>
      <c r="GI45" s="860"/>
      <c r="GJ45" s="860"/>
      <c r="GK45" s="860"/>
      <c r="GL45" s="860"/>
      <c r="GM45" s="860"/>
      <c r="GN45" s="860"/>
      <c r="GO45" s="860"/>
      <c r="GP45" s="860"/>
      <c r="GQ45" s="860"/>
      <c r="GR45" s="1218"/>
      <c r="GS45" s="1218"/>
      <c r="GT45" s="1218"/>
      <c r="GU45" s="1218"/>
      <c r="GV45" s="1218"/>
      <c r="GW45" s="1218"/>
      <c r="GX45" s="1218"/>
      <c r="GY45" s="1218"/>
      <c r="GZ45" s="1218"/>
      <c r="HA45" s="1218"/>
      <c r="HB45" s="1218"/>
      <c r="HC45" s="1218"/>
      <c r="HD45" s="2000"/>
      <c r="HE45" s="1218"/>
      <c r="HF45" s="1218"/>
      <c r="HG45" s="2000"/>
      <c r="HH45" s="1631"/>
      <c r="HI45" s="1218"/>
      <c r="HJ45" s="1218"/>
      <c r="HK45" s="2000"/>
      <c r="HL45" s="1218"/>
      <c r="HM45" s="1218"/>
      <c r="HN45" s="2000"/>
      <c r="HO45" s="1218"/>
      <c r="HP45" s="1218"/>
      <c r="HQ45" s="2000"/>
      <c r="HR45" s="2019"/>
    </row>
    <row r="46" spans="1:226">
      <c r="A46" s="860"/>
      <c r="B46" s="1233"/>
      <c r="C46" s="860"/>
      <c r="D46" s="860"/>
      <c r="E46" s="860"/>
      <c r="F46" s="1232"/>
      <c r="G46" s="1233"/>
      <c r="H46" s="860"/>
      <c r="I46" s="860"/>
      <c r="J46" s="860"/>
      <c r="K46" s="1232"/>
      <c r="L46" s="1233"/>
      <c r="M46" s="860"/>
      <c r="N46" s="860"/>
      <c r="O46" s="860"/>
      <c r="P46" s="1232"/>
      <c r="Q46" s="1233"/>
      <c r="R46" s="860"/>
      <c r="S46" s="860"/>
      <c r="T46" s="860"/>
      <c r="U46" s="1232"/>
      <c r="V46" s="1233"/>
      <c r="W46" s="860"/>
      <c r="X46" s="860"/>
      <c r="Y46" s="860"/>
      <c r="Z46" s="1232"/>
      <c r="AA46" s="1233"/>
      <c r="AB46" s="860"/>
      <c r="AC46" s="860"/>
      <c r="AD46" s="860"/>
      <c r="AE46" s="1232"/>
      <c r="AF46" s="1233"/>
      <c r="AG46" s="860"/>
      <c r="AH46" s="860"/>
      <c r="AI46" s="860"/>
      <c r="AJ46" s="1232"/>
      <c r="AK46" s="1233"/>
      <c r="AL46" s="860"/>
      <c r="AM46" s="860"/>
      <c r="AN46" s="860"/>
      <c r="AO46" s="1232"/>
      <c r="AP46" s="1233"/>
      <c r="AQ46" s="860"/>
      <c r="AR46" s="860"/>
      <c r="AS46" s="860"/>
      <c r="AT46" s="1232"/>
      <c r="AU46" s="1233"/>
      <c r="AV46" s="860"/>
      <c r="AW46" s="860"/>
      <c r="AX46" s="860"/>
      <c r="AY46" s="1232"/>
      <c r="AZ46" s="1233"/>
      <c r="BA46" s="860"/>
      <c r="BB46" s="860"/>
      <c r="BC46" s="860"/>
      <c r="BD46" s="1232"/>
      <c r="BE46" s="1233"/>
      <c r="BF46" s="860"/>
      <c r="BG46" s="860"/>
      <c r="BH46" s="860"/>
      <c r="BI46" s="860"/>
      <c r="BJ46" s="1233"/>
      <c r="BK46" s="860"/>
      <c r="BL46" s="860"/>
      <c r="BM46" s="860"/>
      <c r="BN46" s="860"/>
      <c r="BO46" s="1233"/>
      <c r="BP46" s="860"/>
      <c r="BQ46" s="860"/>
      <c r="BR46" s="860"/>
      <c r="BS46" s="860"/>
      <c r="BT46" s="1233"/>
      <c r="BU46" s="860"/>
      <c r="BV46" s="860"/>
      <c r="BW46" s="860"/>
      <c r="BX46" s="1232"/>
      <c r="BY46" s="1233"/>
      <c r="BZ46" s="1958"/>
      <c r="CA46" s="1958"/>
      <c r="CB46" s="1958"/>
      <c r="CC46" s="1754"/>
      <c r="CD46" s="1958"/>
      <c r="CE46" s="860"/>
      <c r="CF46" s="860"/>
      <c r="CG46" s="860"/>
      <c r="CH46" s="1754"/>
      <c r="CI46" s="860"/>
      <c r="CJ46" s="860"/>
      <c r="CK46" s="1233"/>
      <c r="CL46" s="860"/>
      <c r="CM46" s="860"/>
      <c r="CN46" s="860"/>
      <c r="CO46" s="1232"/>
      <c r="CP46" s="1233"/>
      <c r="CQ46" s="860"/>
      <c r="CR46" s="860"/>
      <c r="CS46" s="860"/>
      <c r="CT46" s="1232"/>
      <c r="CU46" s="1233"/>
      <c r="CV46" s="860"/>
      <c r="CW46" s="860"/>
      <c r="CX46" s="860"/>
      <c r="CY46" s="1232"/>
      <c r="CZ46" s="1233"/>
      <c r="DA46" s="860"/>
      <c r="DB46" s="860"/>
      <c r="DC46" s="860"/>
      <c r="DD46" s="1232"/>
      <c r="DE46" s="1233"/>
      <c r="DF46" s="860"/>
      <c r="DG46" s="860"/>
      <c r="DH46" s="860"/>
      <c r="DI46" s="1232"/>
      <c r="DJ46" s="1233"/>
      <c r="DK46" s="860"/>
      <c r="DL46" s="860"/>
      <c r="DM46" s="860"/>
      <c r="DN46" s="1232"/>
      <c r="DO46" s="1233"/>
      <c r="DP46" s="860"/>
      <c r="DQ46" s="860"/>
      <c r="DR46" s="860"/>
      <c r="DS46" s="1232"/>
      <c r="DT46" s="1233"/>
      <c r="DU46" s="860"/>
      <c r="DV46" s="860"/>
      <c r="DW46" s="860"/>
      <c r="DX46" s="1232"/>
      <c r="DY46" s="1233"/>
      <c r="DZ46" s="860"/>
      <c r="EA46" s="860"/>
      <c r="EB46" s="860"/>
      <c r="EC46" s="1232"/>
      <c r="ED46" s="860"/>
      <c r="EE46" s="860"/>
      <c r="EF46" s="860"/>
      <c r="EG46" s="860"/>
      <c r="EH46" s="860"/>
      <c r="EI46" s="1233"/>
      <c r="EJ46" s="860"/>
      <c r="EK46" s="860"/>
      <c r="EL46" s="860"/>
      <c r="EM46" s="1232"/>
      <c r="EN46" s="1233"/>
      <c r="EO46" s="860"/>
      <c r="EP46" s="860"/>
      <c r="EQ46" s="860"/>
      <c r="ER46" s="1232"/>
      <c r="ES46" s="860"/>
      <c r="ET46" s="860"/>
      <c r="EU46" s="860"/>
      <c r="EV46" s="860"/>
      <c r="EW46" s="1232"/>
      <c r="EX46" s="1233"/>
      <c r="EY46" s="860"/>
      <c r="EZ46" s="860"/>
      <c r="FA46" s="860"/>
      <c r="FB46" s="1754"/>
      <c r="FC46" s="1233"/>
      <c r="FD46" s="860"/>
      <c r="FE46" s="860"/>
      <c r="FF46" s="860"/>
      <c r="FG46" s="1753"/>
      <c r="FH46" s="860"/>
      <c r="FI46" s="860"/>
      <c r="FJ46" s="860"/>
      <c r="FY46" s="860"/>
      <c r="FZ46" s="860"/>
      <c r="GA46" s="860"/>
      <c r="GB46" s="860"/>
      <c r="GC46" s="860"/>
      <c r="GD46" s="860"/>
      <c r="GE46" s="860"/>
      <c r="GF46" s="860"/>
      <c r="GG46" s="860"/>
      <c r="GH46" s="860"/>
      <c r="GI46" s="860"/>
      <c r="GJ46" s="860"/>
      <c r="GK46" s="860"/>
      <c r="GL46" s="860"/>
      <c r="GM46" s="860"/>
      <c r="GN46" s="860"/>
      <c r="GO46" s="860"/>
      <c r="GP46" s="860"/>
      <c r="GQ46" s="860"/>
      <c r="GR46" s="1218"/>
      <c r="GS46" s="1218"/>
      <c r="GT46" s="1218"/>
      <c r="GU46" s="1218"/>
      <c r="GV46" s="1218"/>
      <c r="GW46" s="1218"/>
      <c r="GX46" s="1218"/>
      <c r="GY46" s="1218"/>
      <c r="GZ46" s="1218"/>
      <c r="HA46" s="1218"/>
      <c r="HB46" s="1218"/>
      <c r="HC46" s="1218"/>
      <c r="HD46" s="2000"/>
      <c r="HE46" s="1218"/>
      <c r="HF46" s="1218"/>
      <c r="HG46" s="2000"/>
      <c r="HH46" s="1631"/>
      <c r="HI46" s="1218"/>
      <c r="HJ46" s="1218"/>
      <c r="HK46" s="2000"/>
      <c r="HL46" s="1218"/>
      <c r="HM46" s="1218"/>
      <c r="HN46" s="2000"/>
      <c r="HO46" s="1218"/>
      <c r="HP46" s="1218"/>
      <c r="HQ46" s="2000"/>
      <c r="HR46" s="2019"/>
    </row>
    <row r="47" spans="1:226">
      <c r="A47" s="860"/>
      <c r="B47" s="1233"/>
      <c r="C47" s="860"/>
      <c r="D47" s="860"/>
      <c r="E47" s="860"/>
      <c r="F47" s="1232"/>
      <c r="G47" s="1233"/>
      <c r="H47" s="860"/>
      <c r="I47" s="860"/>
      <c r="J47" s="860"/>
      <c r="K47" s="1232"/>
      <c r="L47" s="1233"/>
      <c r="M47" s="860"/>
      <c r="N47" s="860"/>
      <c r="O47" s="860"/>
      <c r="P47" s="1232"/>
      <c r="Q47" s="1233"/>
      <c r="R47" s="860"/>
      <c r="S47" s="860"/>
      <c r="T47" s="860"/>
      <c r="U47" s="1232"/>
      <c r="V47" s="1233"/>
      <c r="W47" s="860"/>
      <c r="X47" s="860"/>
      <c r="Y47" s="860"/>
      <c r="Z47" s="1232"/>
      <c r="AA47" s="1233"/>
      <c r="AB47" s="860"/>
      <c r="AC47" s="860"/>
      <c r="AD47" s="860"/>
      <c r="AE47" s="1232"/>
      <c r="AF47" s="1233"/>
      <c r="AG47" s="860"/>
      <c r="AH47" s="860"/>
      <c r="AI47" s="860"/>
      <c r="AJ47" s="1232"/>
      <c r="AK47" s="1233"/>
      <c r="AL47" s="860"/>
      <c r="AM47" s="860"/>
      <c r="AN47" s="860"/>
      <c r="AO47" s="1232"/>
      <c r="AP47" s="1233"/>
      <c r="AQ47" s="860"/>
      <c r="AR47" s="860"/>
      <c r="AS47" s="860"/>
      <c r="AT47" s="1232"/>
      <c r="AU47" s="1233"/>
      <c r="AV47" s="860"/>
      <c r="AW47" s="860"/>
      <c r="AX47" s="860"/>
      <c r="AY47" s="1232"/>
      <c r="AZ47" s="1233"/>
      <c r="BA47" s="860"/>
      <c r="BB47" s="860"/>
      <c r="BC47" s="860"/>
      <c r="BD47" s="1232"/>
      <c r="BE47" s="1233"/>
      <c r="BF47" s="860"/>
      <c r="BG47" s="860"/>
      <c r="BH47" s="860"/>
      <c r="BI47" s="860"/>
      <c r="BJ47" s="1233"/>
      <c r="BK47" s="860"/>
      <c r="BL47" s="860"/>
      <c r="BM47" s="860"/>
      <c r="BN47" s="860"/>
      <c r="BO47" s="1233"/>
      <c r="BP47" s="860"/>
      <c r="BQ47" s="860"/>
      <c r="BR47" s="860"/>
      <c r="BS47" s="860"/>
      <c r="BT47" s="1233"/>
      <c r="BU47" s="860"/>
      <c r="BV47" s="860"/>
      <c r="BW47" s="860"/>
      <c r="BX47" s="1232"/>
      <c r="BY47" s="1233"/>
      <c r="BZ47" s="1958"/>
      <c r="CA47" s="1958"/>
      <c r="CB47" s="1958"/>
      <c r="CC47" s="1754"/>
      <c r="CD47" s="1958"/>
      <c r="CE47" s="860"/>
      <c r="CF47" s="860"/>
      <c r="CG47" s="860"/>
      <c r="CH47" s="1754"/>
      <c r="CI47" s="860"/>
      <c r="CJ47" s="860"/>
      <c r="CK47" s="1233"/>
      <c r="CL47" s="860"/>
      <c r="CM47" s="860"/>
      <c r="CN47" s="860"/>
      <c r="CO47" s="1232"/>
      <c r="CP47" s="1233"/>
      <c r="CQ47" s="860"/>
      <c r="CR47" s="860"/>
      <c r="CS47" s="860"/>
      <c r="CT47" s="1232"/>
      <c r="CU47" s="1233"/>
      <c r="CV47" s="860"/>
      <c r="CW47" s="860"/>
      <c r="CX47" s="860"/>
      <c r="CY47" s="1232"/>
      <c r="CZ47" s="1233"/>
      <c r="DA47" s="860"/>
      <c r="DB47" s="860"/>
      <c r="DC47" s="860"/>
      <c r="DD47" s="1232"/>
      <c r="DE47" s="1233"/>
      <c r="DF47" s="860"/>
      <c r="DG47" s="860"/>
      <c r="DH47" s="860"/>
      <c r="DI47" s="1232"/>
      <c r="DJ47" s="1233"/>
      <c r="DK47" s="860"/>
      <c r="DL47" s="860"/>
      <c r="DM47" s="860"/>
      <c r="DN47" s="1232"/>
      <c r="DO47" s="1233"/>
      <c r="DP47" s="860"/>
      <c r="DQ47" s="860"/>
      <c r="DR47" s="860"/>
      <c r="DS47" s="1232"/>
      <c r="DT47" s="1233"/>
      <c r="DU47" s="860"/>
      <c r="DV47" s="860"/>
      <c r="DW47" s="860"/>
      <c r="DX47" s="1232"/>
      <c r="DY47" s="1233"/>
      <c r="DZ47" s="860"/>
      <c r="EA47" s="860"/>
      <c r="EB47" s="860"/>
      <c r="EC47" s="1232"/>
      <c r="ED47" s="860"/>
      <c r="EE47" s="860"/>
      <c r="EF47" s="860"/>
      <c r="EG47" s="860"/>
      <c r="EH47" s="860"/>
      <c r="EI47" s="1233"/>
      <c r="EJ47" s="860"/>
      <c r="EK47" s="860"/>
      <c r="EL47" s="860"/>
      <c r="EM47" s="1232"/>
      <c r="EN47" s="1233"/>
      <c r="EO47" s="860"/>
      <c r="EP47" s="860"/>
      <c r="EQ47" s="860"/>
      <c r="ER47" s="1232"/>
      <c r="ES47" s="860"/>
      <c r="ET47" s="860"/>
      <c r="EU47" s="860"/>
      <c r="EV47" s="860"/>
      <c r="EW47" s="1232"/>
      <c r="EX47" s="1233"/>
      <c r="EY47" s="860"/>
      <c r="EZ47" s="860"/>
      <c r="FA47" s="860"/>
      <c r="FB47" s="1754"/>
      <c r="FC47" s="1233"/>
      <c r="FD47" s="860"/>
      <c r="FE47" s="860"/>
      <c r="FF47" s="860"/>
      <c r="FG47" s="1753"/>
      <c r="FH47" s="860"/>
      <c r="FI47" s="860"/>
      <c r="FJ47" s="860"/>
      <c r="FY47" s="860"/>
      <c r="FZ47" s="860"/>
      <c r="GA47" s="860"/>
      <c r="GB47" s="860"/>
      <c r="GC47" s="860"/>
      <c r="GD47" s="860"/>
      <c r="GE47" s="860"/>
      <c r="GF47" s="860"/>
      <c r="GG47" s="860"/>
      <c r="GH47" s="860"/>
      <c r="GI47" s="860"/>
      <c r="GJ47" s="860"/>
      <c r="GK47" s="860"/>
      <c r="GL47" s="860"/>
      <c r="GM47" s="860"/>
      <c r="GN47" s="860"/>
      <c r="GO47" s="860"/>
      <c r="GP47" s="860"/>
      <c r="GQ47" s="860"/>
      <c r="GR47" s="1218"/>
      <c r="GS47" s="1218"/>
      <c r="GT47" s="1218"/>
      <c r="GU47" s="1218"/>
      <c r="GV47" s="1218"/>
      <c r="GW47" s="1218"/>
      <c r="GX47" s="1218"/>
      <c r="GY47" s="1218"/>
      <c r="GZ47" s="1218"/>
      <c r="HA47" s="1218"/>
      <c r="HB47" s="1218"/>
      <c r="HC47" s="1218"/>
      <c r="HD47" s="2000"/>
      <c r="HE47" s="1218"/>
      <c r="HF47" s="1218"/>
      <c r="HG47" s="2000"/>
      <c r="HH47" s="1631"/>
      <c r="HI47" s="1218"/>
      <c r="HJ47" s="1218"/>
      <c r="HK47" s="2000"/>
      <c r="HL47" s="1218"/>
      <c r="HM47" s="1218"/>
      <c r="HN47" s="2000"/>
      <c r="HO47" s="1218"/>
      <c r="HP47" s="1218"/>
      <c r="HQ47" s="2000"/>
      <c r="HR47" s="2019"/>
    </row>
    <row r="48" spans="1:226">
      <c r="A48" s="860"/>
      <c r="B48" s="1233"/>
      <c r="C48" s="860"/>
      <c r="D48" s="860"/>
      <c r="E48" s="860"/>
      <c r="F48" s="1232"/>
      <c r="G48" s="1233"/>
      <c r="H48" s="860"/>
      <c r="I48" s="860"/>
      <c r="J48" s="860"/>
      <c r="K48" s="1232"/>
      <c r="L48" s="1233"/>
      <c r="M48" s="860"/>
      <c r="N48" s="860"/>
      <c r="O48" s="860"/>
      <c r="P48" s="1232"/>
      <c r="Q48" s="1233"/>
      <c r="R48" s="860"/>
      <c r="S48" s="860"/>
      <c r="T48" s="860"/>
      <c r="U48" s="1232"/>
      <c r="V48" s="1233"/>
      <c r="W48" s="860"/>
      <c r="X48" s="860"/>
      <c r="Y48" s="860"/>
      <c r="Z48" s="1232"/>
      <c r="AA48" s="1233"/>
      <c r="AB48" s="860"/>
      <c r="AC48" s="860"/>
      <c r="AD48" s="860"/>
      <c r="AE48" s="1232"/>
      <c r="AF48" s="1233"/>
      <c r="AG48" s="860"/>
      <c r="AH48" s="860"/>
      <c r="AI48" s="860"/>
      <c r="AJ48" s="1232"/>
      <c r="AK48" s="1233"/>
      <c r="AL48" s="860"/>
      <c r="AM48" s="860"/>
      <c r="AN48" s="860"/>
      <c r="AO48" s="1232"/>
      <c r="AP48" s="1233"/>
      <c r="AQ48" s="860"/>
      <c r="AR48" s="860"/>
      <c r="AS48" s="860"/>
      <c r="AT48" s="1232"/>
      <c r="AU48" s="1233"/>
      <c r="AV48" s="860"/>
      <c r="AW48" s="860"/>
      <c r="AX48" s="860"/>
      <c r="AY48" s="1232"/>
      <c r="AZ48" s="1233"/>
      <c r="BA48" s="860"/>
      <c r="BB48" s="860"/>
      <c r="BC48" s="860"/>
      <c r="BD48" s="1232"/>
      <c r="BE48" s="1233"/>
      <c r="BF48" s="860"/>
      <c r="BG48" s="860"/>
      <c r="BH48" s="860"/>
      <c r="BI48" s="860"/>
      <c r="BJ48" s="1233"/>
      <c r="BK48" s="860"/>
      <c r="BL48" s="860"/>
      <c r="BM48" s="860"/>
      <c r="BN48" s="860"/>
      <c r="BO48" s="1233"/>
      <c r="BP48" s="860"/>
      <c r="BQ48" s="860"/>
      <c r="BR48" s="860"/>
      <c r="BS48" s="860"/>
      <c r="BT48" s="1233"/>
      <c r="BU48" s="860"/>
      <c r="BV48" s="860"/>
      <c r="BW48" s="860"/>
      <c r="BX48" s="1232"/>
      <c r="BY48" s="1233"/>
      <c r="BZ48" s="1958"/>
      <c r="CA48" s="1958"/>
      <c r="CB48" s="1958"/>
      <c r="CC48" s="1754"/>
      <c r="CD48" s="1958"/>
      <c r="CE48" s="860"/>
      <c r="CF48" s="860"/>
      <c r="CG48" s="860"/>
      <c r="CH48" s="1754"/>
      <c r="CI48" s="860"/>
      <c r="CJ48" s="860"/>
      <c r="CK48" s="1233"/>
      <c r="CL48" s="860"/>
      <c r="CM48" s="860"/>
      <c r="CN48" s="860"/>
      <c r="CO48" s="1232"/>
      <c r="CP48" s="1233"/>
      <c r="CQ48" s="860"/>
      <c r="CR48" s="860"/>
      <c r="CS48" s="860"/>
      <c r="CT48" s="1232"/>
      <c r="CU48" s="1233"/>
      <c r="CV48" s="860"/>
      <c r="CW48" s="860"/>
      <c r="CX48" s="860"/>
      <c r="CY48" s="1232"/>
      <c r="CZ48" s="1233"/>
      <c r="DA48" s="860"/>
      <c r="DB48" s="860"/>
      <c r="DC48" s="860"/>
      <c r="DD48" s="1232"/>
      <c r="DE48" s="1233"/>
      <c r="DF48" s="860"/>
      <c r="DG48" s="860"/>
      <c r="DH48" s="860"/>
      <c r="DI48" s="1232"/>
      <c r="DJ48" s="1233"/>
      <c r="DK48" s="860"/>
      <c r="DL48" s="860"/>
      <c r="DM48" s="860"/>
      <c r="DN48" s="1232"/>
      <c r="DO48" s="1233"/>
      <c r="DP48" s="860"/>
      <c r="DQ48" s="860"/>
      <c r="DR48" s="860"/>
      <c r="DS48" s="1232"/>
      <c r="DT48" s="1233"/>
      <c r="DU48" s="860"/>
      <c r="DV48" s="860"/>
      <c r="DW48" s="860"/>
      <c r="DX48" s="1232"/>
      <c r="DY48" s="1233"/>
      <c r="DZ48" s="860"/>
      <c r="EA48" s="860"/>
      <c r="EB48" s="860"/>
      <c r="EC48" s="1232"/>
      <c r="ED48" s="860"/>
      <c r="EE48" s="860"/>
      <c r="EF48" s="860"/>
      <c r="EG48" s="860"/>
      <c r="EH48" s="860"/>
      <c r="EI48" s="1233"/>
      <c r="EJ48" s="860"/>
      <c r="EK48" s="860"/>
      <c r="EL48" s="860"/>
      <c r="EM48" s="1232"/>
      <c r="EN48" s="1233"/>
      <c r="EO48" s="860"/>
      <c r="EP48" s="860"/>
      <c r="EQ48" s="860"/>
      <c r="ER48" s="1232"/>
      <c r="ES48" s="860"/>
      <c r="ET48" s="860"/>
      <c r="EU48" s="860"/>
      <c r="EV48" s="860"/>
      <c r="EW48" s="1232"/>
      <c r="EX48" s="1233"/>
      <c r="EY48" s="860"/>
      <c r="EZ48" s="860"/>
      <c r="FA48" s="860"/>
      <c r="FB48" s="1754"/>
      <c r="FC48" s="1233"/>
      <c r="FD48" s="860"/>
      <c r="FE48" s="860"/>
      <c r="FF48" s="860"/>
      <c r="FG48" s="1753"/>
      <c r="FH48" s="860"/>
      <c r="FI48" s="860"/>
      <c r="FJ48" s="860"/>
      <c r="FY48" s="860"/>
      <c r="FZ48" s="860"/>
      <c r="GA48" s="860"/>
      <c r="GB48" s="860"/>
      <c r="GC48" s="860"/>
      <c r="GD48" s="860"/>
      <c r="GE48" s="860"/>
      <c r="GF48" s="860"/>
      <c r="GG48" s="860"/>
      <c r="GH48" s="860"/>
      <c r="GI48" s="860"/>
      <c r="GJ48" s="860"/>
      <c r="GK48" s="860"/>
      <c r="GL48" s="860"/>
      <c r="GM48" s="860"/>
      <c r="GN48" s="860"/>
      <c r="GO48" s="860"/>
      <c r="GP48" s="860"/>
      <c r="GQ48" s="860"/>
      <c r="GR48" s="1218"/>
      <c r="GS48" s="1218"/>
      <c r="GT48" s="1218"/>
      <c r="GU48" s="1218"/>
      <c r="GV48" s="1218"/>
      <c r="GW48" s="1218"/>
      <c r="GX48" s="1218"/>
      <c r="GY48" s="1218"/>
      <c r="GZ48" s="1218"/>
      <c r="HA48" s="1218"/>
      <c r="HB48" s="1218"/>
      <c r="HC48" s="1218"/>
      <c r="HD48" s="2000"/>
      <c r="HE48" s="1218"/>
      <c r="HF48" s="1218"/>
      <c r="HG48" s="2000"/>
      <c r="HH48" s="1631"/>
      <c r="HI48" s="1218"/>
      <c r="HJ48" s="1218"/>
      <c r="HK48" s="2000"/>
      <c r="HL48" s="1218"/>
      <c r="HM48" s="1218"/>
      <c r="HN48" s="2000"/>
      <c r="HO48" s="1218"/>
      <c r="HP48" s="1218"/>
      <c r="HQ48" s="2000"/>
      <c r="HR48" s="2019"/>
    </row>
    <row r="49" spans="1:226">
      <c r="A49" s="1132" t="s">
        <v>702</v>
      </c>
      <c r="B49" s="1682"/>
      <c r="C49" s="1675"/>
      <c r="D49" s="1675"/>
      <c r="E49" s="1675"/>
      <c r="F49" s="1683"/>
      <c r="G49" s="1237"/>
      <c r="H49" s="1235"/>
      <c r="I49" s="1235"/>
      <c r="J49" s="1235"/>
      <c r="K49" s="1238"/>
      <c r="L49" s="1237"/>
      <c r="M49" s="1235"/>
      <c r="N49" s="1235"/>
      <c r="O49" s="1235"/>
      <c r="P49" s="1238"/>
      <c r="Q49" s="1237"/>
      <c r="R49" s="1235"/>
      <c r="S49" s="1235"/>
      <c r="T49" s="1235"/>
      <c r="U49" s="1238"/>
      <c r="V49" s="1237"/>
      <c r="W49" s="1235"/>
      <c r="X49" s="1235"/>
      <c r="Y49" s="1235"/>
      <c r="Z49" s="1238"/>
      <c r="AA49" s="1237"/>
      <c r="AB49" s="1235"/>
      <c r="AC49" s="1235"/>
      <c r="AD49" s="1235"/>
      <c r="AE49" s="1238"/>
      <c r="AF49" s="1237"/>
      <c r="AG49" s="1235"/>
      <c r="AH49" s="1235"/>
      <c r="AI49" s="1235"/>
      <c r="AJ49" s="1238"/>
      <c r="AK49" s="1237">
        <f>AK38-(AK29-AK57)</f>
        <v>7584.7000000000007</v>
      </c>
      <c r="AL49" s="1235">
        <f>AL38-(AL29-AL57)</f>
        <v>8494.6</v>
      </c>
      <c r="AM49" s="1235">
        <f>AM38-(AM29-AM57)</f>
        <v>8293.3999999999978</v>
      </c>
      <c r="AN49" s="1235">
        <f>AN38-(AN29-AN57)</f>
        <v>8406.7999999999993</v>
      </c>
      <c r="AO49" s="1238"/>
      <c r="AP49" s="1237">
        <f>AP38-(AP29-AP57)</f>
        <v>8424.9999999999982</v>
      </c>
      <c r="AQ49" s="1235">
        <f>AQ38-(AQ29-AQ57)</f>
        <v>9956.6000000000022</v>
      </c>
      <c r="AR49" s="1235">
        <f>AR38-(AR29-AR57)</f>
        <v>9379.6</v>
      </c>
      <c r="AS49" s="1235">
        <f>AS38-(AS29-AS57)</f>
        <v>8811.7999999999993</v>
      </c>
      <c r="AT49" s="1232"/>
      <c r="AU49" s="1233"/>
      <c r="AV49" s="860"/>
      <c r="AW49" s="860"/>
      <c r="AX49" s="860"/>
      <c r="AY49" s="1232"/>
      <c r="AZ49" s="1233"/>
      <c r="BA49" s="860"/>
      <c r="BB49" s="860"/>
      <c r="BC49" s="860"/>
      <c r="BD49" s="1232"/>
      <c r="BE49" s="1233"/>
      <c r="BF49" s="860"/>
      <c r="BG49" s="860"/>
      <c r="BH49" s="860"/>
      <c r="BI49" s="860"/>
      <c r="BJ49" s="1233"/>
      <c r="BK49" s="860"/>
      <c r="BL49" s="860"/>
      <c r="BM49" s="860"/>
      <c r="BN49" s="860"/>
      <c r="BO49" s="1233"/>
      <c r="BP49" s="860"/>
      <c r="BQ49" s="860"/>
      <c r="BR49" s="860"/>
      <c r="BS49" s="860"/>
      <c r="BT49" s="1233"/>
      <c r="BU49" s="860"/>
      <c r="BV49" s="860"/>
      <c r="BW49" s="860"/>
      <c r="BX49" s="1232"/>
      <c r="BY49" s="1233"/>
      <c r="BZ49" s="1958"/>
      <c r="CA49" s="1958"/>
      <c r="CB49" s="1958"/>
      <c r="CC49" s="1754"/>
      <c r="CD49" s="1958"/>
      <c r="CE49" s="860"/>
      <c r="CF49" s="860"/>
      <c r="CG49" s="860"/>
      <c r="CH49" s="1754"/>
      <c r="CI49" s="860"/>
      <c r="CJ49" s="860"/>
      <c r="CK49" s="1233"/>
      <c r="CL49" s="860"/>
      <c r="CM49" s="860"/>
      <c r="CN49" s="860"/>
      <c r="CO49" s="1232"/>
      <c r="CP49" s="1233"/>
      <c r="CQ49" s="860"/>
      <c r="CR49" s="860"/>
      <c r="CS49" s="860"/>
      <c r="CT49" s="1232"/>
      <c r="CU49" s="1233"/>
      <c r="CV49" s="860"/>
      <c r="CW49" s="860"/>
      <c r="CX49" s="860"/>
      <c r="CY49" s="1232"/>
      <c r="CZ49" s="1233"/>
      <c r="DA49" s="860"/>
      <c r="DB49" s="860"/>
      <c r="DC49" s="860"/>
      <c r="DD49" s="1232"/>
      <c r="DE49" s="1233"/>
      <c r="DF49" s="860"/>
      <c r="DG49" s="860"/>
      <c r="DH49" s="860"/>
      <c r="DI49" s="1232"/>
      <c r="DJ49" s="1233"/>
      <c r="DK49" s="860"/>
      <c r="DL49" s="860"/>
      <c r="DM49" s="860"/>
      <c r="DN49" s="1232"/>
      <c r="DO49" s="1233"/>
      <c r="DP49" s="860"/>
      <c r="DQ49" s="860"/>
      <c r="DR49" s="860"/>
      <c r="DS49" s="1232"/>
      <c r="DT49" s="1233"/>
      <c r="DU49" s="860"/>
      <c r="DV49" s="860"/>
      <c r="DW49" s="860"/>
      <c r="DX49" s="1232"/>
      <c r="DY49" s="1233"/>
      <c r="DZ49" s="860"/>
      <c r="EA49" s="860"/>
      <c r="EB49" s="860"/>
      <c r="EC49" s="1232"/>
      <c r="ED49" s="860"/>
      <c r="EE49" s="860"/>
      <c r="EF49" s="860"/>
      <c r="EG49" s="860"/>
      <c r="EH49" s="860"/>
      <c r="EI49" s="1233"/>
      <c r="EJ49" s="860"/>
      <c r="EK49" s="860"/>
      <c r="EL49" s="860"/>
      <c r="EM49" s="1232"/>
      <c r="EN49" s="1233"/>
      <c r="EO49" s="860"/>
      <c r="EP49" s="860"/>
      <c r="EQ49" s="860"/>
      <c r="ER49" s="1232"/>
      <c r="ES49" s="860"/>
      <c r="ET49" s="860"/>
      <c r="EU49" s="860"/>
      <c r="EV49" s="860"/>
      <c r="EW49" s="1232"/>
      <c r="EX49" s="1233"/>
      <c r="EY49" s="860"/>
      <c r="EZ49" s="860"/>
      <c r="FA49" s="860"/>
      <c r="FB49" s="1754"/>
      <c r="FC49" s="1233"/>
      <c r="FD49" s="860"/>
      <c r="FE49" s="860"/>
      <c r="FF49" s="860"/>
      <c r="FG49" s="1753"/>
      <c r="FH49" s="860"/>
      <c r="FI49" s="860"/>
      <c r="FJ49" s="860"/>
      <c r="FY49" s="860"/>
      <c r="FZ49" s="860"/>
      <c r="GA49" s="860"/>
      <c r="GB49" s="860"/>
      <c r="GC49" s="860"/>
      <c r="GD49" s="860"/>
      <c r="GE49" s="860"/>
      <c r="GF49" s="860"/>
      <c r="GG49" s="860"/>
      <c r="GH49" s="860"/>
      <c r="GI49" s="860"/>
      <c r="GJ49" s="860"/>
      <c r="GK49" s="860"/>
      <c r="GL49" s="860"/>
      <c r="GM49" s="860"/>
      <c r="GN49" s="860"/>
      <c r="GO49" s="860"/>
      <c r="GP49" s="860"/>
      <c r="GQ49" s="860"/>
      <c r="GR49" s="1218"/>
      <c r="GS49" s="1218"/>
      <c r="GT49" s="1218"/>
      <c r="GU49" s="1218"/>
      <c r="GV49" s="1218"/>
      <c r="GW49" s="1218"/>
      <c r="GX49" s="1218"/>
      <c r="GY49" s="1218"/>
      <c r="GZ49" s="1218"/>
      <c r="HA49" s="1218"/>
      <c r="HB49" s="1218"/>
      <c r="HC49" s="1218"/>
      <c r="HD49" s="2000"/>
      <c r="HE49" s="1218"/>
      <c r="HF49" s="1218"/>
      <c r="HG49" s="2000"/>
      <c r="HH49" s="1631"/>
      <c r="HI49" s="1218"/>
      <c r="HJ49" s="1218"/>
      <c r="HK49" s="2000"/>
      <c r="HL49" s="1218"/>
      <c r="HM49" s="1218"/>
      <c r="HN49" s="2000"/>
      <c r="HO49" s="1218"/>
      <c r="HP49" s="1218"/>
      <c r="HQ49" s="2000"/>
      <c r="HR49" s="2019"/>
    </row>
    <row r="50" spans="1:226">
      <c r="A50" s="860"/>
      <c r="B50" s="1233"/>
      <c r="C50" s="860"/>
      <c r="D50" s="860"/>
      <c r="E50" s="860"/>
      <c r="F50" s="1232"/>
      <c r="G50" s="1233"/>
      <c r="H50" s="860"/>
      <c r="I50" s="860"/>
      <c r="J50" s="860"/>
      <c r="K50" s="1232"/>
      <c r="L50" s="1233"/>
      <c r="M50" s="860"/>
      <c r="N50" s="860"/>
      <c r="O50" s="860"/>
      <c r="P50" s="1232"/>
      <c r="Q50" s="1233"/>
      <c r="R50" s="860"/>
      <c r="S50" s="860"/>
      <c r="T50" s="860"/>
      <c r="U50" s="1232"/>
      <c r="V50" s="1233"/>
      <c r="W50" s="860"/>
      <c r="X50" s="860"/>
      <c r="Y50" s="860"/>
      <c r="Z50" s="1232"/>
      <c r="AA50" s="1233"/>
      <c r="AB50" s="860"/>
      <c r="AC50" s="860"/>
      <c r="AD50" s="860"/>
      <c r="AE50" s="1232"/>
      <c r="AF50" s="1233"/>
      <c r="AG50" s="860"/>
      <c r="AH50" s="860"/>
      <c r="AI50" s="860"/>
      <c r="AJ50" s="1232"/>
      <c r="AK50" s="1233"/>
      <c r="AL50" s="860"/>
      <c r="AM50" s="860"/>
      <c r="AN50" s="860"/>
      <c r="AO50" s="1232"/>
      <c r="AP50" s="1233"/>
      <c r="AQ50" s="860"/>
      <c r="AR50" s="860"/>
      <c r="AS50" s="860"/>
      <c r="AT50" s="1232"/>
      <c r="AU50" s="1233"/>
      <c r="AV50" s="860"/>
      <c r="AW50" s="860"/>
      <c r="AX50" s="860"/>
      <c r="AY50" s="1232"/>
      <c r="AZ50" s="1233"/>
      <c r="BA50" s="860"/>
      <c r="BB50" s="860"/>
      <c r="BC50" s="860"/>
      <c r="BD50" s="1232"/>
      <c r="BE50" s="1233"/>
      <c r="BF50" s="860"/>
      <c r="BG50" s="860"/>
      <c r="BH50" s="860"/>
      <c r="BI50" s="860"/>
      <c r="BJ50" s="1233"/>
      <c r="BK50" s="860"/>
      <c r="BL50" s="860"/>
      <c r="BM50" s="860"/>
      <c r="BN50" s="860"/>
      <c r="BO50" s="1233"/>
      <c r="BP50" s="860"/>
      <c r="BQ50" s="860"/>
      <c r="BR50" s="860"/>
      <c r="BS50" s="860"/>
      <c r="BT50" s="1233"/>
      <c r="BU50" s="860"/>
      <c r="BV50" s="860"/>
      <c r="BW50" s="860"/>
      <c r="BX50" s="1232"/>
      <c r="BY50" s="1233"/>
      <c r="BZ50" s="1958"/>
      <c r="CA50" s="1958"/>
      <c r="CB50" s="1958"/>
      <c r="CC50" s="1754"/>
      <c r="CD50" s="1958"/>
      <c r="CE50" s="860"/>
      <c r="CF50" s="860"/>
      <c r="CG50" s="860"/>
      <c r="CH50" s="1754"/>
      <c r="CI50" s="860"/>
      <c r="CJ50" s="860"/>
      <c r="CK50" s="1233"/>
      <c r="CL50" s="860"/>
      <c r="CM50" s="860"/>
      <c r="CN50" s="860"/>
      <c r="CO50" s="1232"/>
      <c r="CP50" s="1233"/>
      <c r="CQ50" s="860"/>
      <c r="CR50" s="860"/>
      <c r="CS50" s="860"/>
      <c r="CT50" s="1232"/>
      <c r="CU50" s="1233"/>
      <c r="CV50" s="860"/>
      <c r="CW50" s="860"/>
      <c r="CX50" s="860"/>
      <c r="CY50" s="1232"/>
      <c r="CZ50" s="1233"/>
      <c r="DA50" s="860"/>
      <c r="DB50" s="860"/>
      <c r="DC50" s="860"/>
      <c r="DD50" s="1232"/>
      <c r="DE50" s="1233"/>
      <c r="DF50" s="860"/>
      <c r="DG50" s="860"/>
      <c r="DH50" s="860"/>
      <c r="DI50" s="1232"/>
      <c r="DJ50" s="1233"/>
      <c r="DK50" s="860"/>
      <c r="DL50" s="860"/>
      <c r="DM50" s="860"/>
      <c r="DN50" s="1232"/>
      <c r="DO50" s="1233"/>
      <c r="DP50" s="860"/>
      <c r="DQ50" s="860"/>
      <c r="DR50" s="860"/>
      <c r="DS50" s="1232"/>
      <c r="DT50" s="1233"/>
      <c r="DU50" s="860"/>
      <c r="DV50" s="860"/>
      <c r="DW50" s="860"/>
      <c r="DX50" s="1232"/>
      <c r="DY50" s="1233"/>
      <c r="DZ50" s="860"/>
      <c r="EA50" s="860"/>
      <c r="EB50" s="860"/>
      <c r="EC50" s="1232"/>
      <c r="ED50" s="860"/>
      <c r="EE50" s="860"/>
      <c r="EF50" s="860"/>
      <c r="EG50" s="860"/>
      <c r="EH50" s="860"/>
      <c r="EI50" s="1233"/>
      <c r="EJ50" s="860"/>
      <c r="EK50" s="860"/>
      <c r="EL50" s="860"/>
      <c r="EM50" s="1232"/>
      <c r="EN50" s="1233"/>
      <c r="EO50" s="860"/>
      <c r="EP50" s="860"/>
      <c r="EQ50" s="860"/>
      <c r="ER50" s="1232"/>
      <c r="ES50" s="860"/>
      <c r="ET50" s="860"/>
      <c r="EU50" s="860"/>
      <c r="EV50" s="860"/>
      <c r="EW50" s="1232"/>
      <c r="EX50" s="1233"/>
      <c r="EY50" s="860"/>
      <c r="EZ50" s="860"/>
      <c r="FA50" s="860"/>
      <c r="FB50" s="1754"/>
      <c r="FC50" s="1233"/>
      <c r="FD50" s="860"/>
      <c r="FE50" s="860"/>
      <c r="FF50" s="860"/>
      <c r="FG50" s="1753"/>
      <c r="FH50" s="860"/>
      <c r="FI50" s="860"/>
      <c r="FJ50" s="860"/>
      <c r="FY50" s="860"/>
      <c r="FZ50" s="860"/>
      <c r="GA50" s="860"/>
      <c r="GB50" s="860"/>
      <c r="GC50" s="860"/>
      <c r="GD50" s="860"/>
      <c r="GE50" s="860"/>
      <c r="GF50" s="860"/>
      <c r="GG50" s="860"/>
      <c r="GH50" s="860"/>
      <c r="GI50" s="860"/>
      <c r="GJ50" s="860"/>
      <c r="GK50" s="860"/>
      <c r="GL50" s="860"/>
      <c r="GM50" s="860"/>
      <c r="GN50" s="860"/>
      <c r="GO50" s="860"/>
      <c r="GP50" s="860"/>
      <c r="GQ50" s="860"/>
      <c r="GR50" s="1218"/>
      <c r="GS50" s="1218"/>
      <c r="GT50" s="1218"/>
      <c r="GU50" s="1218"/>
      <c r="GV50" s="1218"/>
      <c r="GW50" s="1218"/>
      <c r="GX50" s="1218"/>
      <c r="GY50" s="1218"/>
      <c r="GZ50" s="1218"/>
      <c r="HA50" s="1218"/>
      <c r="HB50" s="1218"/>
      <c r="HC50" s="1218"/>
      <c r="HD50" s="2000"/>
      <c r="HE50" s="1218"/>
      <c r="HF50" s="1218"/>
      <c r="HG50" s="2000"/>
      <c r="HH50" s="1631"/>
      <c r="HI50" s="1218"/>
      <c r="HJ50" s="1218"/>
      <c r="HK50" s="2000"/>
      <c r="HL50" s="1218"/>
      <c r="HM50" s="1218"/>
      <c r="HN50" s="2000"/>
      <c r="HO50" s="1218"/>
      <c r="HP50" s="1218"/>
      <c r="HQ50" s="2000"/>
      <c r="HR50" s="2019"/>
    </row>
    <row r="51" spans="1:226" ht="14.25" customHeight="1">
      <c r="A51" s="1509" t="s">
        <v>238</v>
      </c>
      <c r="B51" s="1682"/>
      <c r="C51" s="1675"/>
      <c r="D51" s="1675"/>
      <c r="E51" s="1675"/>
      <c r="F51" s="1683"/>
      <c r="G51" s="1237"/>
      <c r="H51" s="1235"/>
      <c r="I51" s="1235"/>
      <c r="J51" s="1235"/>
      <c r="K51" s="1238"/>
      <c r="L51" s="1237"/>
      <c r="M51" s="1235"/>
      <c r="N51" s="1235"/>
      <c r="O51" s="1235"/>
      <c r="P51" s="1238"/>
      <c r="Q51" s="1237"/>
      <c r="R51" s="1235"/>
      <c r="S51" s="1235"/>
      <c r="T51" s="1235"/>
      <c r="U51" s="1238"/>
      <c r="V51" s="1237"/>
      <c r="W51" s="1235"/>
      <c r="X51" s="1235"/>
      <c r="Y51" s="1235"/>
      <c r="Z51" s="1238"/>
      <c r="AA51" s="1237"/>
      <c r="AB51" s="1235"/>
      <c r="AC51" s="1235"/>
      <c r="AD51" s="1235"/>
      <c r="AE51" s="1238"/>
      <c r="AF51" s="1237"/>
      <c r="AG51" s="1235"/>
      <c r="AH51" s="1235"/>
      <c r="AI51" s="1235"/>
      <c r="AJ51" s="1238"/>
      <c r="AK51" s="1237"/>
      <c r="AL51" s="1235"/>
      <c r="AM51" s="1235"/>
      <c r="AN51" s="1243"/>
      <c r="AO51" s="1238"/>
      <c r="AP51" s="1652"/>
      <c r="AQ51" s="1243"/>
      <c r="AR51" s="1243"/>
      <c r="AS51" s="1656"/>
      <c r="AT51" s="1238"/>
      <c r="AU51" s="1237"/>
      <c r="AV51" s="1653"/>
      <c r="AW51" s="1243"/>
      <c r="AX51" s="1243"/>
      <c r="AY51" s="1238"/>
      <c r="AZ51" s="1237"/>
      <c r="BA51" s="1235"/>
      <c r="BB51" s="1243"/>
      <c r="BC51" s="1235"/>
      <c r="BD51" s="1238"/>
      <c r="BE51" s="1237"/>
      <c r="BF51" s="1243"/>
      <c r="BG51" s="1243"/>
      <c r="BH51" s="860"/>
      <c r="BI51" s="1235"/>
      <c r="BJ51" s="1253">
        <f t="shared" ref="BJ51:BQ51" si="114">BJ40</f>
        <v>1637.400000000001</v>
      </c>
      <c r="BK51" s="1248">
        <f t="shared" si="114"/>
        <v>1551.700000000001</v>
      </c>
      <c r="BL51" s="1248">
        <f t="shared" si="114"/>
        <v>1362.1999999999994</v>
      </c>
      <c r="BM51" s="1248">
        <f>BM40</f>
        <v>-132.80000000000018</v>
      </c>
      <c r="BN51" s="1235"/>
      <c r="BO51" s="1253">
        <f t="shared" si="114"/>
        <v>1203.6999999999998</v>
      </c>
      <c r="BP51" s="1248">
        <f t="shared" si="114"/>
        <v>992.19999999999914</v>
      </c>
      <c r="BQ51" s="1248">
        <f t="shared" si="114"/>
        <v>-77.100000000000477</v>
      </c>
      <c r="BR51" s="1248">
        <f>BR40</f>
        <v>544.80000000000143</v>
      </c>
      <c r="BS51" s="1235"/>
      <c r="BT51" s="1253">
        <f>BT40</f>
        <v>2926.1999999999994</v>
      </c>
      <c r="BU51" s="1248">
        <f>BU40</f>
        <v>89.500000000000682</v>
      </c>
      <c r="BV51" s="1248">
        <f>BV40</f>
        <v>364.7000000000005</v>
      </c>
      <c r="BW51" s="1248">
        <f>BW40</f>
        <v>-6223.2</v>
      </c>
      <c r="BX51" s="1238"/>
      <c r="BY51" s="1253">
        <f>BY40</f>
        <v>889.99999999999977</v>
      </c>
      <c r="BZ51" s="1248">
        <f>BZ40</f>
        <v>953.40000000000009</v>
      </c>
      <c r="CA51" s="1248">
        <f>CA40</f>
        <v>928.80000000000075</v>
      </c>
      <c r="CB51" s="1248">
        <f>CB40</f>
        <v>1452.6999999999994</v>
      </c>
      <c r="CC51" s="1758"/>
      <c r="CD51" s="1253">
        <f>CD40</f>
        <v>1542.4</v>
      </c>
      <c r="CE51" s="1248">
        <f>CE40</f>
        <v>1115</v>
      </c>
      <c r="CF51" s="1248">
        <f t="shared" ref="CF51:CG51" si="115">CF40</f>
        <v>1245</v>
      </c>
      <c r="CG51" s="1248">
        <f t="shared" si="115"/>
        <v>757.20157679247438</v>
      </c>
      <c r="CH51" s="1758">
        <f>Master!Y145</f>
        <v>4659.6015767924764</v>
      </c>
      <c r="CI51" s="1235"/>
      <c r="CJ51" s="860"/>
      <c r="CK51" s="1267"/>
      <c r="CL51" s="1266"/>
      <c r="CM51" s="1266"/>
      <c r="CN51" s="1266"/>
      <c r="CO51" s="1232"/>
      <c r="CP51" s="1267"/>
      <c r="CQ51" s="1266"/>
      <c r="CR51" s="1266"/>
      <c r="CS51" s="1266"/>
      <c r="CT51" s="1232"/>
      <c r="CU51" s="1267"/>
      <c r="CV51" s="1266"/>
      <c r="CW51" s="1266"/>
      <c r="CX51" s="1266"/>
      <c r="CY51" s="1232"/>
      <c r="CZ51" s="1267"/>
      <c r="DA51" s="1266"/>
      <c r="DB51" s="1266"/>
      <c r="DC51" s="1266"/>
      <c r="DD51" s="1232"/>
      <c r="DE51" s="1267"/>
      <c r="DF51" s="1266"/>
      <c r="DG51" s="1266"/>
      <c r="DH51" s="1266"/>
      <c r="DI51" s="1232"/>
      <c r="DJ51" s="1267"/>
      <c r="DK51" s="1266"/>
      <c r="DL51" s="1266"/>
      <c r="DM51" s="1266"/>
      <c r="DN51" s="1232"/>
      <c r="DO51" s="1267"/>
      <c r="DP51" s="1266"/>
      <c r="DQ51" s="1266"/>
      <c r="DR51" s="1266"/>
      <c r="DS51" s="1232"/>
      <c r="DT51" s="1267"/>
      <c r="DU51" s="1266"/>
      <c r="DV51" s="1266"/>
      <c r="DW51" s="1266"/>
      <c r="DX51" s="1232"/>
      <c r="DY51" s="1233"/>
      <c r="DZ51" s="860"/>
      <c r="EA51" s="860"/>
      <c r="EB51" s="860"/>
      <c r="EC51" s="1232"/>
      <c r="ED51" s="860"/>
      <c r="EE51" s="860"/>
      <c r="EF51" s="860"/>
      <c r="EG51" s="860"/>
      <c r="EH51" s="860"/>
      <c r="EI51" s="1233"/>
      <c r="EJ51" s="860"/>
      <c r="EK51" s="860"/>
      <c r="EL51" s="860"/>
      <c r="EM51" s="1232"/>
      <c r="EN51" s="1233"/>
      <c r="EO51" s="860"/>
      <c r="EP51" s="860"/>
      <c r="EQ51" s="860"/>
      <c r="ER51" s="1232"/>
      <c r="ES51" s="860"/>
      <c r="ET51" s="860"/>
      <c r="EU51" s="860"/>
      <c r="EV51" s="860"/>
      <c r="EW51" s="1232"/>
      <c r="EX51" s="1233"/>
      <c r="EY51" s="860"/>
      <c r="EZ51" s="860"/>
      <c r="FA51" s="860"/>
      <c r="FB51" s="1754"/>
      <c r="FC51" s="1233"/>
      <c r="FD51" s="860"/>
      <c r="FE51" s="860"/>
      <c r="FF51" s="860"/>
      <c r="FG51" s="1753"/>
      <c r="FH51" s="860"/>
      <c r="FI51" s="860"/>
      <c r="FJ51" s="860"/>
      <c r="FY51" s="860"/>
      <c r="FZ51" s="860"/>
      <c r="GA51" s="860"/>
      <c r="GB51" s="860"/>
      <c r="GC51" s="860"/>
      <c r="GD51" s="860"/>
      <c r="GE51" s="860"/>
      <c r="GF51" s="860"/>
      <c r="GG51" s="860"/>
      <c r="GH51" s="860"/>
      <c r="GI51" s="860"/>
      <c r="GJ51" s="860"/>
      <c r="GK51" s="860"/>
      <c r="GL51" s="860"/>
      <c r="GM51" s="860"/>
      <c r="GN51" s="860"/>
      <c r="GO51" s="860"/>
      <c r="GP51" s="860"/>
      <c r="GQ51" s="860"/>
      <c r="GR51" s="1376"/>
      <c r="GS51" s="1218"/>
      <c r="GT51" s="2008"/>
      <c r="GU51" s="1218"/>
      <c r="GV51" s="2004">
        <v>705.55200000000059</v>
      </c>
      <c r="GW51" s="1218"/>
      <c r="GX51" s="1218"/>
      <c r="GY51" s="2004">
        <v>-219.52215385661293</v>
      </c>
      <c r="GZ51" s="1218"/>
      <c r="HA51" s="1218"/>
      <c r="HB51" s="2005">
        <v>495</v>
      </c>
      <c r="HC51" s="1218"/>
      <c r="HD51" s="2000"/>
      <c r="HE51" s="2005">
        <v>280.35263188796216</v>
      </c>
      <c r="HF51" s="1218"/>
      <c r="HG51" s="2000"/>
      <c r="HH51" s="2005">
        <f>HH40</f>
        <v>240</v>
      </c>
      <c r="HI51" s="2005">
        <v>602.59500000000025</v>
      </c>
      <c r="HJ51" s="1218"/>
      <c r="HK51" s="2000"/>
      <c r="HL51" s="2005">
        <v>695.58700000000044</v>
      </c>
      <c r="HM51" s="1218"/>
      <c r="HN51" s="2000"/>
      <c r="HO51" s="2005">
        <v>547.79039094236873</v>
      </c>
      <c r="HP51" s="1218"/>
      <c r="HQ51" s="2000"/>
      <c r="HR51" s="2005">
        <f>HR40</f>
        <v>1301.0734958815829</v>
      </c>
    </row>
    <row r="52" spans="1:226" ht="14.25" customHeight="1">
      <c r="A52" s="1132" t="s">
        <v>703</v>
      </c>
      <c r="B52" s="1682"/>
      <c r="C52" s="1675"/>
      <c r="D52" s="1675"/>
      <c r="E52" s="1675"/>
      <c r="F52" s="1683"/>
      <c r="G52" s="1237"/>
      <c r="H52" s="1235"/>
      <c r="I52" s="1235"/>
      <c r="J52" s="1235"/>
      <c r="K52" s="1238"/>
      <c r="L52" s="1237"/>
      <c r="M52" s="1235"/>
      <c r="N52" s="1235"/>
      <c r="O52" s="1235"/>
      <c r="P52" s="1238"/>
      <c r="Q52" s="1237"/>
      <c r="R52" s="1235"/>
      <c r="S52" s="1235"/>
      <c r="T52" s="1235"/>
      <c r="U52" s="1238"/>
      <c r="V52" s="1237"/>
      <c r="W52" s="1235"/>
      <c r="X52" s="1235"/>
      <c r="Y52" s="1235"/>
      <c r="Z52" s="1238"/>
      <c r="AA52" s="1237"/>
      <c r="AB52" s="1235"/>
      <c r="AC52" s="1235"/>
      <c r="AD52" s="1235"/>
      <c r="AE52" s="1238"/>
      <c r="AF52" s="1237"/>
      <c r="AG52" s="1235"/>
      <c r="AH52" s="1235"/>
      <c r="AI52" s="1235"/>
      <c r="AJ52" s="1238"/>
      <c r="AK52" s="1237"/>
      <c r="AL52" s="1235"/>
      <c r="AM52" s="1235"/>
      <c r="AN52" s="1243"/>
      <c r="AO52" s="1238"/>
      <c r="AP52" s="1652"/>
      <c r="AQ52" s="1243"/>
      <c r="AR52" s="1243"/>
      <c r="AS52" s="1656"/>
      <c r="AT52" s="1238"/>
      <c r="AU52" s="1237"/>
      <c r="AV52" s="1653"/>
      <c r="AW52" s="1243"/>
      <c r="AX52" s="1243"/>
      <c r="AY52" s="1238"/>
      <c r="AZ52" s="1237"/>
      <c r="BA52" s="1235"/>
      <c r="BB52" s="1243"/>
      <c r="BC52" s="1235"/>
      <c r="BD52" s="1238"/>
      <c r="BE52" s="1237"/>
      <c r="BF52" s="1243"/>
      <c r="BG52" s="1243"/>
      <c r="BH52" s="860"/>
      <c r="BI52" s="1238"/>
      <c r="BJ52" s="1324">
        <v>-0.3</v>
      </c>
      <c r="BK52" s="1246">
        <v>-0.4</v>
      </c>
      <c r="BL52" s="1246">
        <v>-0.3</v>
      </c>
      <c r="BM52" s="1246">
        <v>-119.3</v>
      </c>
      <c r="BN52" s="1254"/>
      <c r="BO52" s="1324">
        <v>-29.8</v>
      </c>
      <c r="BP52" s="1246">
        <v>-47.6</v>
      </c>
      <c r="BQ52" s="1246">
        <v>-40.9</v>
      </c>
      <c r="BR52" s="1246">
        <v>-41.5</v>
      </c>
      <c r="BS52" s="1238"/>
      <c r="BT52" s="1324">
        <v>-29.9</v>
      </c>
      <c r="BU52" s="1246">
        <v>-30.6</v>
      </c>
      <c r="BV52" s="1246">
        <v>-64.400000000000006</v>
      </c>
      <c r="BW52" s="1246">
        <v>-30.1</v>
      </c>
      <c r="BX52" s="1238"/>
      <c r="BY52" s="1324">
        <v>-43</v>
      </c>
      <c r="BZ52" s="1246">
        <v>-41.9</v>
      </c>
      <c r="CA52" s="1246">
        <v>-42.7</v>
      </c>
      <c r="CB52" s="1246">
        <v>-46.2</v>
      </c>
      <c r="CC52" s="1758"/>
      <c r="CD52" s="1324">
        <v>-43.5</v>
      </c>
      <c r="CE52" s="1246"/>
      <c r="CF52" s="1246"/>
      <c r="CG52" s="1246"/>
      <c r="CH52" s="1758"/>
      <c r="CI52" s="1235"/>
      <c r="CJ52" s="860"/>
      <c r="CK52" s="1267"/>
      <c r="CL52" s="1266"/>
      <c r="CM52" s="1266"/>
      <c r="CN52" s="1266"/>
      <c r="CO52" s="1232"/>
      <c r="CP52" s="1267"/>
      <c r="CQ52" s="1266"/>
      <c r="CR52" s="1266"/>
      <c r="CS52" s="1266"/>
      <c r="CT52" s="1232"/>
      <c r="CU52" s="1267"/>
      <c r="CV52" s="1266"/>
      <c r="CW52" s="1266"/>
      <c r="CX52" s="1266"/>
      <c r="CY52" s="1232"/>
      <c r="CZ52" s="1267"/>
      <c r="DA52" s="1266"/>
      <c r="DB52" s="1266"/>
      <c r="DC52" s="1266"/>
      <c r="DD52" s="1232"/>
      <c r="DE52" s="1267"/>
      <c r="DF52" s="1266"/>
      <c r="DG52" s="1266"/>
      <c r="DH52" s="1266"/>
      <c r="DI52" s="1232"/>
      <c r="DJ52" s="1267"/>
      <c r="DK52" s="1266"/>
      <c r="DL52" s="1266"/>
      <c r="DM52" s="1266"/>
      <c r="DN52" s="1232"/>
      <c r="DO52" s="1267"/>
      <c r="DP52" s="1266"/>
      <c r="DQ52" s="1266"/>
      <c r="DR52" s="1266"/>
      <c r="DS52" s="1232"/>
      <c r="DT52" s="1267"/>
      <c r="DU52" s="1266"/>
      <c r="DV52" s="1266"/>
      <c r="DW52" s="1266"/>
      <c r="DX52" s="1232"/>
      <c r="DY52" s="1233"/>
      <c r="DZ52" s="860"/>
      <c r="EA52" s="860"/>
      <c r="EB52" s="860"/>
      <c r="EC52" s="1232"/>
      <c r="ED52" s="860"/>
      <c r="EE52" s="860"/>
      <c r="EF52" s="860"/>
      <c r="EG52" s="860"/>
      <c r="EH52" s="860"/>
      <c r="EI52" s="1233"/>
      <c r="EJ52" s="860"/>
      <c r="EK52" s="860"/>
      <c r="EL52" s="860"/>
      <c r="EM52" s="1232"/>
      <c r="EN52" s="1233"/>
      <c r="EO52" s="860"/>
      <c r="EP52" s="860"/>
      <c r="EQ52" s="860"/>
      <c r="ER52" s="1232"/>
      <c r="ES52" s="860"/>
      <c r="ET52" s="860"/>
      <c r="EU52" s="860"/>
      <c r="EV52" s="860"/>
      <c r="EW52" s="1232"/>
      <c r="EX52" s="1233"/>
      <c r="EY52" s="860"/>
      <c r="EZ52" s="860"/>
      <c r="FA52" s="860"/>
      <c r="FB52" s="1754"/>
      <c r="FC52" s="1233"/>
      <c r="FD52" s="860"/>
      <c r="FE52" s="860"/>
      <c r="FF52" s="860"/>
      <c r="FG52" s="1753"/>
      <c r="FH52" s="860"/>
      <c r="FI52" s="860"/>
      <c r="FJ52" s="860"/>
      <c r="FY52" s="860"/>
      <c r="FZ52" s="860"/>
      <c r="GA52" s="860"/>
      <c r="GB52" s="860"/>
      <c r="GC52" s="860"/>
      <c r="GD52" s="860"/>
      <c r="GE52" s="860"/>
      <c r="GF52" s="860"/>
      <c r="GG52" s="860"/>
      <c r="GH52" s="860"/>
      <c r="GI52" s="860"/>
      <c r="GJ52" s="860"/>
      <c r="GK52" s="860"/>
      <c r="GL52" s="860"/>
      <c r="GM52" s="860"/>
      <c r="GN52" s="860"/>
      <c r="GO52" s="860"/>
      <c r="GP52" s="860"/>
      <c r="GQ52" s="860"/>
      <c r="GR52" s="1376"/>
      <c r="GS52" s="1218"/>
      <c r="GT52" s="2003"/>
      <c r="GU52" s="1218"/>
      <c r="GV52" s="1376">
        <v>-17.467350336462591</v>
      </c>
      <c r="GW52" s="1218"/>
      <c r="GX52" s="1218"/>
      <c r="GY52" s="1376">
        <v>-30</v>
      </c>
      <c r="GZ52" s="1218"/>
      <c r="HA52" s="1218"/>
      <c r="HB52" s="1376">
        <v>-30</v>
      </c>
      <c r="HC52" s="1218"/>
      <c r="HD52" s="2000"/>
      <c r="HE52" s="1376">
        <v>-49.505647089620894</v>
      </c>
      <c r="HF52" s="1218"/>
      <c r="HG52" s="2000"/>
      <c r="HH52" s="1376"/>
      <c r="HI52" s="1376"/>
      <c r="HJ52" s="1218"/>
      <c r="HK52" s="2000"/>
      <c r="HL52" s="1376"/>
      <c r="HM52" s="1218"/>
      <c r="HN52" s="2000"/>
      <c r="HO52" s="1376"/>
      <c r="HP52" s="1218"/>
      <c r="HQ52" s="2000"/>
      <c r="HR52" s="1376">
        <v>-45</v>
      </c>
    </row>
    <row r="53" spans="1:226">
      <c r="A53" s="1132"/>
      <c r="B53" s="1682"/>
      <c r="C53" s="1675"/>
      <c r="D53" s="1675"/>
      <c r="E53" s="1675"/>
      <c r="F53" s="1683"/>
      <c r="G53" s="1237"/>
      <c r="H53" s="1235"/>
      <c r="I53" s="1235"/>
      <c r="J53" s="1235"/>
      <c r="K53" s="1238"/>
      <c r="L53" s="1237"/>
      <c r="M53" s="1235"/>
      <c r="N53" s="1235"/>
      <c r="O53" s="1235"/>
      <c r="P53" s="1238"/>
      <c r="Q53" s="1237"/>
      <c r="R53" s="1235"/>
      <c r="S53" s="1235"/>
      <c r="T53" s="1235"/>
      <c r="U53" s="1238"/>
      <c r="V53" s="1237"/>
      <c r="W53" s="1235"/>
      <c r="X53" s="1235"/>
      <c r="Y53" s="1235"/>
      <c r="Z53" s="1238"/>
      <c r="AA53" s="1237"/>
      <c r="AB53" s="1235"/>
      <c r="AC53" s="1235"/>
      <c r="AD53" s="1235"/>
      <c r="AE53" s="1238"/>
      <c r="AF53" s="1237"/>
      <c r="AG53" s="1235"/>
      <c r="AH53" s="1235"/>
      <c r="AI53" s="1235"/>
      <c r="AJ53" s="1238"/>
      <c r="AK53" s="1237"/>
      <c r="AL53" s="1235"/>
      <c r="AM53" s="1235"/>
      <c r="AN53" s="1243"/>
      <c r="AO53" s="1238"/>
      <c r="AP53" s="1652"/>
      <c r="AQ53" s="1243"/>
      <c r="AR53" s="1243"/>
      <c r="AS53" s="1656"/>
      <c r="AT53" s="1238"/>
      <c r="AU53" s="1237"/>
      <c r="AV53" s="1653"/>
      <c r="AW53" s="1243"/>
      <c r="AX53" s="1243"/>
      <c r="AY53" s="1238"/>
      <c r="AZ53" s="1237"/>
      <c r="BA53" s="1235"/>
      <c r="BB53" s="1243"/>
      <c r="BC53" s="1235"/>
      <c r="BD53" s="1238"/>
      <c r="BE53" s="1237"/>
      <c r="BF53" s="1243"/>
      <c r="BG53" s="1243"/>
      <c r="BH53" s="1235">
        <f>BH37-4547</f>
        <v>-1326.3000000000002</v>
      </c>
      <c r="BI53" s="1238"/>
      <c r="BJ53" s="1253"/>
      <c r="BK53" s="1235"/>
      <c r="BL53" s="1235"/>
      <c r="BM53" s="1235"/>
      <c r="BN53" s="1238"/>
      <c r="BO53" s="1253"/>
      <c r="BP53" s="1235"/>
      <c r="BQ53" s="1235"/>
      <c r="BR53" s="1235"/>
      <c r="BS53" s="1238"/>
      <c r="BT53" s="1237"/>
      <c r="BU53" s="1235"/>
      <c r="BV53" s="1235"/>
      <c r="BW53" s="1235"/>
      <c r="BX53" s="1238"/>
      <c r="BY53" s="1237"/>
      <c r="BZ53" s="1235"/>
      <c r="CA53" s="1235"/>
      <c r="CB53" s="1235"/>
      <c r="CC53" s="1758"/>
      <c r="CD53" s="1237"/>
      <c r="CE53" s="1235"/>
      <c r="CF53" s="1235"/>
      <c r="CG53" s="1235"/>
      <c r="CH53" s="1758"/>
      <c r="CI53" s="1235"/>
      <c r="CJ53" s="860"/>
      <c r="CK53" s="1267"/>
      <c r="CL53" s="1266"/>
      <c r="CM53" s="1266"/>
      <c r="CN53" s="1266"/>
      <c r="CO53" s="1232"/>
      <c r="CP53" s="1267"/>
      <c r="CQ53" s="1266"/>
      <c r="CR53" s="1266"/>
      <c r="CS53" s="1266"/>
      <c r="CT53" s="1232"/>
      <c r="CU53" s="1267"/>
      <c r="CV53" s="1266"/>
      <c r="CW53" s="1266"/>
      <c r="CX53" s="1266"/>
      <c r="CY53" s="1232"/>
      <c r="CZ53" s="1267"/>
      <c r="DA53" s="1266"/>
      <c r="DB53" s="1266"/>
      <c r="DC53" s="1266"/>
      <c r="DD53" s="1232"/>
      <c r="DE53" s="1267"/>
      <c r="DF53" s="1266"/>
      <c r="DG53" s="1266"/>
      <c r="DH53" s="1266"/>
      <c r="DI53" s="1232"/>
      <c r="DJ53" s="1267"/>
      <c r="DK53" s="1266"/>
      <c r="DL53" s="1266"/>
      <c r="DM53" s="1266"/>
      <c r="DN53" s="1232"/>
      <c r="DO53" s="1267"/>
      <c r="DP53" s="1266"/>
      <c r="DQ53" s="1266"/>
      <c r="DR53" s="1266"/>
      <c r="DS53" s="1232"/>
      <c r="DT53" s="1267"/>
      <c r="DU53" s="1266"/>
      <c r="DV53" s="1266"/>
      <c r="DW53" s="1266"/>
      <c r="DX53" s="1232"/>
      <c r="DY53" s="1233"/>
      <c r="DZ53" s="860"/>
      <c r="EA53" s="860"/>
      <c r="EB53" s="860"/>
      <c r="EC53" s="1232"/>
      <c r="ED53" s="860"/>
      <c r="EE53" s="860"/>
      <c r="EF53" s="860"/>
      <c r="EG53" s="860"/>
      <c r="EH53" s="860"/>
      <c r="EI53" s="1233"/>
      <c r="EJ53" s="860"/>
      <c r="EK53" s="860"/>
      <c r="EL53" s="860"/>
      <c r="EM53" s="1232"/>
      <c r="EN53" s="1233"/>
      <c r="EO53" s="860"/>
      <c r="EP53" s="860"/>
      <c r="EQ53" s="860"/>
      <c r="ER53" s="1232"/>
      <c r="ES53" s="860"/>
      <c r="ET53" s="860"/>
      <c r="EU53" s="860"/>
      <c r="EV53" s="860"/>
      <c r="EW53" s="1232"/>
      <c r="EX53" s="1233"/>
      <c r="EY53" s="860"/>
      <c r="EZ53" s="860"/>
      <c r="FA53" s="860"/>
      <c r="FB53" s="1754"/>
      <c r="FC53" s="1233"/>
      <c r="FD53" s="860"/>
      <c r="FE53" s="860"/>
      <c r="FF53" s="860"/>
      <c r="FG53" s="860"/>
      <c r="FH53" s="860"/>
      <c r="FI53" s="860"/>
      <c r="FJ53" s="860"/>
      <c r="FY53" s="860"/>
      <c r="FZ53" s="860"/>
      <c r="GA53" s="860"/>
      <c r="GB53" s="860"/>
      <c r="GC53" s="860"/>
      <c r="GD53" s="860"/>
      <c r="GE53" s="860"/>
      <c r="GF53" s="860"/>
      <c r="GG53" s="860"/>
      <c r="GH53" s="860"/>
      <c r="GI53" s="860"/>
      <c r="GJ53" s="860"/>
      <c r="GK53" s="860"/>
      <c r="GL53" s="860"/>
      <c r="GM53" s="860"/>
      <c r="GN53" s="860"/>
      <c r="GO53" s="860"/>
      <c r="GP53" s="860"/>
      <c r="GQ53" s="860"/>
      <c r="GR53" s="1376"/>
      <c r="GS53" s="1218"/>
      <c r="GT53" s="2003"/>
      <c r="GU53" s="1218"/>
      <c r="GV53" s="2005"/>
      <c r="GW53" s="1218"/>
      <c r="GX53" s="1218"/>
      <c r="GY53" s="1376"/>
      <c r="GZ53" s="1218"/>
      <c r="HA53" s="1218"/>
      <c r="HB53" s="1376"/>
      <c r="HC53" s="1218"/>
      <c r="HD53" s="2000"/>
      <c r="HE53" s="2003"/>
      <c r="HF53" s="1218"/>
      <c r="HG53" s="2000"/>
      <c r="HH53" s="1376"/>
      <c r="HI53" s="1376"/>
      <c r="HJ53" s="1218"/>
      <c r="HK53" s="2000"/>
      <c r="HL53" s="1376"/>
      <c r="HM53" s="1218"/>
      <c r="HN53" s="2000"/>
      <c r="HO53" s="1376"/>
      <c r="HP53" s="1218"/>
      <c r="HQ53" s="2000"/>
      <c r="HR53" s="1376"/>
    </row>
    <row r="54" spans="1:226">
      <c r="A54" s="1132" t="s">
        <v>704</v>
      </c>
      <c r="B54" s="1682"/>
      <c r="C54" s="1675"/>
      <c r="D54" s="1675"/>
      <c r="E54" s="1675"/>
      <c r="F54" s="1683"/>
      <c r="G54" s="1237"/>
      <c r="H54" s="1235"/>
      <c r="I54" s="1235"/>
      <c r="J54" s="1235"/>
      <c r="K54" s="1238"/>
      <c r="L54" s="1237"/>
      <c r="M54" s="1235"/>
      <c r="N54" s="1235"/>
      <c r="O54" s="1235"/>
      <c r="P54" s="1238"/>
      <c r="Q54" s="1237"/>
      <c r="R54" s="1235"/>
      <c r="S54" s="1235"/>
      <c r="T54" s="1235"/>
      <c r="U54" s="1238"/>
      <c r="V54" s="1237"/>
      <c r="W54" s="1235"/>
      <c r="X54" s="1235"/>
      <c r="Y54" s="1235"/>
      <c r="Z54" s="1238"/>
      <c r="AA54" s="1237"/>
      <c r="AB54" s="1235"/>
      <c r="AC54" s="1235"/>
      <c r="AD54" s="1235"/>
      <c r="AE54" s="1238"/>
      <c r="AF54" s="1237"/>
      <c r="AG54" s="1235"/>
      <c r="AH54" s="1235"/>
      <c r="AI54" s="1235"/>
      <c r="AJ54" s="1238"/>
      <c r="AK54" s="1237"/>
      <c r="AL54" s="1235"/>
      <c r="AM54" s="1235"/>
      <c r="AN54" s="1243"/>
      <c r="AO54" s="1238"/>
      <c r="AP54" s="1237">
        <v>0</v>
      </c>
      <c r="AQ54" s="1235">
        <v>0</v>
      </c>
      <c r="AR54" s="1235">
        <v>0</v>
      </c>
      <c r="AS54" s="1235">
        <v>0</v>
      </c>
      <c r="AT54" s="1238"/>
      <c r="AU54" s="1237"/>
      <c r="AV54" s="1235"/>
      <c r="AW54" s="1235"/>
      <c r="AX54" s="1235"/>
      <c r="AY54" s="1238"/>
      <c r="AZ54" s="1237"/>
      <c r="BA54" s="1235"/>
      <c r="BB54" s="1235"/>
      <c r="BC54" s="1235"/>
      <c r="BD54" s="1238"/>
      <c r="BE54" s="1237"/>
      <c r="BF54" s="1235"/>
      <c r="BG54" s="1235"/>
      <c r="BH54" s="1235">
        <f>BH53-300</f>
        <v>-1626.3000000000002</v>
      </c>
      <c r="BI54" s="1238"/>
      <c r="BJ54" s="1358">
        <f t="shared" ref="BJ54:CD54" si="116">BJ31/BJ16</f>
        <v>0.35282521750668161</v>
      </c>
      <c r="BK54" s="1359">
        <f t="shared" si="116"/>
        <v>0.33118032723098767</v>
      </c>
      <c r="BL54" s="1359">
        <f t="shared" si="116"/>
        <v>0.34111418601852961</v>
      </c>
      <c r="BM54" s="1359">
        <f t="shared" si="116"/>
        <v>0.23327796459101402</v>
      </c>
      <c r="BN54" s="1360">
        <f t="shared" si="116"/>
        <v>0.31546929544225377</v>
      </c>
      <c r="BO54" s="1358">
        <f t="shared" si="116"/>
        <v>0.34543541738234285</v>
      </c>
      <c r="BP54" s="1359">
        <f t="shared" si="116"/>
        <v>0.32551972131700191</v>
      </c>
      <c r="BQ54" s="1359">
        <f t="shared" si="116"/>
        <v>0.35684029232416326</v>
      </c>
      <c r="BR54" s="1359">
        <f t="shared" si="116"/>
        <v>0.27283814807729101</v>
      </c>
      <c r="BS54" s="1360">
        <f t="shared" si="116"/>
        <v>0.3259217978754862</v>
      </c>
      <c r="BT54" s="1358">
        <f t="shared" si="116"/>
        <v>0.29767851895386421</v>
      </c>
      <c r="BU54" s="1359">
        <f t="shared" si="116"/>
        <v>0</v>
      </c>
      <c r="BV54" s="1359">
        <f t="shared" si="116"/>
        <v>0</v>
      </c>
      <c r="BW54" s="1359">
        <f t="shared" si="116"/>
        <v>0</v>
      </c>
      <c r="BX54" s="1360">
        <f t="shared" si="116"/>
        <v>0</v>
      </c>
      <c r="BY54" s="1358">
        <f t="shared" si="116"/>
        <v>0</v>
      </c>
      <c r="BZ54" s="1359">
        <f t="shared" si="116"/>
        <v>0</v>
      </c>
      <c r="CA54" s="1359">
        <f t="shared" si="116"/>
        <v>0</v>
      </c>
      <c r="CB54" s="1359">
        <f t="shared" si="116"/>
        <v>0</v>
      </c>
      <c r="CC54" s="1798">
        <f t="shared" si="116"/>
        <v>0</v>
      </c>
      <c r="CD54" s="1358">
        <f t="shared" si="116"/>
        <v>0</v>
      </c>
      <c r="CE54" s="1359"/>
      <c r="CF54" s="1359"/>
      <c r="CG54" s="1359"/>
      <c r="CH54" s="1798">
        <f>CH31/CH16</f>
        <v>0</v>
      </c>
      <c r="CI54" s="1359"/>
      <c r="CJ54" s="860"/>
      <c r="CK54" s="1267"/>
      <c r="CL54" s="1266"/>
      <c r="CM54" s="1266"/>
      <c r="CN54" s="1266"/>
      <c r="CO54" s="1232"/>
      <c r="CP54" s="1267"/>
      <c r="CQ54" s="1266"/>
      <c r="CR54" s="1266"/>
      <c r="CS54" s="1266"/>
      <c r="CT54" s="1232"/>
      <c r="CU54" s="1267"/>
      <c r="CV54" s="1266"/>
      <c r="CW54" s="1266"/>
      <c r="CX54" s="1266"/>
      <c r="CY54" s="1232"/>
      <c r="CZ54" s="1267"/>
      <c r="DA54" s="1266"/>
      <c r="DB54" s="1266"/>
      <c r="DC54" s="1266"/>
      <c r="DD54" s="1232"/>
      <c r="DE54" s="1267"/>
      <c r="DF54" s="1266"/>
      <c r="DG54" s="1266"/>
      <c r="DH54" s="1266"/>
      <c r="DI54" s="1232"/>
      <c r="DJ54" s="1267"/>
      <c r="DK54" s="1266"/>
      <c r="DL54" s="1266"/>
      <c r="DM54" s="1266"/>
      <c r="DN54" s="1232"/>
      <c r="DO54" s="1267"/>
      <c r="DP54" s="1266"/>
      <c r="DQ54" s="1266"/>
      <c r="DR54" s="1266"/>
      <c r="DS54" s="1232"/>
      <c r="DT54" s="1239">
        <f>(AU32-631/4)/AP32-1</f>
        <v>0.12945782968157382</v>
      </c>
      <c r="DU54" s="1217">
        <f>(AV32-631/4)/AQ32-1</f>
        <v>0.15883095263666624</v>
      </c>
      <c r="DV54" s="1217">
        <f>(AW32-631/4)/AR32-1</f>
        <v>0.10657709532949444</v>
      </c>
      <c r="DW54" s="1217">
        <f>(AX32-631/4)/AS32-1</f>
        <v>9.5251766233117596E-2</v>
      </c>
      <c r="DX54" s="1232"/>
      <c r="DY54" s="1233"/>
      <c r="DZ54" s="860"/>
      <c r="EA54" s="860"/>
      <c r="EB54" s="860"/>
      <c r="EC54" s="1232"/>
      <c r="ED54" s="860"/>
      <c r="EE54" s="860"/>
      <c r="EF54" s="860"/>
      <c r="EG54" s="860"/>
      <c r="EH54" s="860"/>
      <c r="EI54" s="1233"/>
      <c r="EJ54" s="860"/>
      <c r="EK54" s="860"/>
      <c r="EL54" s="860"/>
      <c r="EM54" s="1232"/>
      <c r="EN54" s="1233"/>
      <c r="EO54" s="860"/>
      <c r="EP54" s="860"/>
      <c r="EQ54" s="860"/>
      <c r="ER54" s="1232"/>
      <c r="ES54" s="860"/>
      <c r="ET54" s="860"/>
      <c r="EU54" s="860"/>
      <c r="EV54" s="860"/>
      <c r="EW54" s="1232"/>
      <c r="EX54" s="1233"/>
      <c r="EY54" s="860"/>
      <c r="EZ54" s="860"/>
      <c r="FA54" s="860"/>
      <c r="FB54" s="1754"/>
      <c r="FC54" s="1233"/>
      <c r="FD54" s="860"/>
      <c r="FE54" s="860"/>
      <c r="FF54" s="860"/>
      <c r="FG54" s="860"/>
      <c r="FH54" s="860"/>
      <c r="FI54" s="860"/>
      <c r="FJ54" s="860"/>
      <c r="FY54" s="860"/>
      <c r="FZ54" s="860"/>
      <c r="GA54" s="860"/>
      <c r="GB54" s="860"/>
      <c r="GC54" s="860"/>
      <c r="GD54" s="860"/>
      <c r="GE54" s="860"/>
      <c r="GF54" s="860"/>
      <c r="GG54" s="860"/>
      <c r="GH54" s="860"/>
      <c r="GI54" s="860"/>
      <c r="GJ54" s="860"/>
      <c r="GK54" s="860"/>
      <c r="GL54" s="860"/>
      <c r="GM54" s="860"/>
      <c r="GN54" s="860"/>
      <c r="GO54" s="860"/>
      <c r="GP54" s="860"/>
      <c r="GQ54" s="860"/>
      <c r="GR54" s="2009">
        <v>0.34411085450346418</v>
      </c>
      <c r="GS54" s="1218"/>
      <c r="GT54" s="2009">
        <v>0.23638774159989528</v>
      </c>
      <c r="GU54" s="1218"/>
      <c r="GV54" s="2010">
        <v>0.35395800000000005</v>
      </c>
      <c r="GW54" s="1218"/>
      <c r="GX54" s="1218"/>
      <c r="GY54" s="2010">
        <v>0.32289171974522296</v>
      </c>
      <c r="GZ54" s="1218"/>
      <c r="HA54" s="1218"/>
      <c r="HB54" s="2010">
        <v>0</v>
      </c>
      <c r="HC54" s="1218"/>
      <c r="HD54" s="2000"/>
      <c r="HE54" s="2010">
        <v>0</v>
      </c>
      <c r="HF54" s="1218"/>
      <c r="HG54" s="2000"/>
      <c r="HH54" s="1376"/>
      <c r="HI54" s="2010">
        <v>0</v>
      </c>
      <c r="HJ54" s="1218"/>
      <c r="HK54" s="2000"/>
      <c r="HL54" s="2010">
        <v>0</v>
      </c>
      <c r="HM54" s="1218"/>
      <c r="HN54" s="2000"/>
      <c r="HO54" s="2010">
        <v>0</v>
      </c>
      <c r="HP54" s="1218"/>
      <c r="HQ54" s="2000"/>
      <c r="HR54" s="2010">
        <v>0</v>
      </c>
    </row>
    <row r="55" spans="1:226">
      <c r="A55" s="1132" t="s">
        <v>705</v>
      </c>
      <c r="B55" s="1682"/>
      <c r="C55" s="1675"/>
      <c r="D55" s="1675"/>
      <c r="E55" s="1675"/>
      <c r="F55" s="1683"/>
      <c r="G55" s="1237"/>
      <c r="H55" s="1235"/>
      <c r="I55" s="1235"/>
      <c r="J55" s="1235"/>
      <c r="K55" s="1238"/>
      <c r="L55" s="1237"/>
      <c r="M55" s="1235"/>
      <c r="N55" s="1235"/>
      <c r="O55" s="1235"/>
      <c r="P55" s="1238"/>
      <c r="Q55" s="1237"/>
      <c r="R55" s="1235"/>
      <c r="S55" s="1235"/>
      <c r="T55" s="1235"/>
      <c r="U55" s="1238"/>
      <c r="V55" s="1237"/>
      <c r="W55" s="1235"/>
      <c r="X55" s="1235"/>
      <c r="Y55" s="1235"/>
      <c r="Z55" s="1238"/>
      <c r="AA55" s="1237"/>
      <c r="AB55" s="1235"/>
      <c r="AC55" s="1235"/>
      <c r="AD55" s="1235"/>
      <c r="AE55" s="1238"/>
      <c r="AF55" s="1237"/>
      <c r="AG55" s="1235"/>
      <c r="AH55" s="1235"/>
      <c r="AI55" s="1235"/>
      <c r="AJ55" s="1238"/>
      <c r="AK55" s="1237"/>
      <c r="AL55" s="1235"/>
      <c r="AM55" s="1235"/>
      <c r="AN55" s="1243"/>
      <c r="AO55" s="1238"/>
      <c r="AP55" s="1237">
        <f>AP54/AP199</f>
        <v>0</v>
      </c>
      <c r="AQ55" s="1235">
        <f>AQ54/AQ199</f>
        <v>0</v>
      </c>
      <c r="AR55" s="1235">
        <f>AR54/AR199</f>
        <v>0</v>
      </c>
      <c r="AS55" s="1235"/>
      <c r="AT55" s="1238"/>
      <c r="AU55" s="1652"/>
      <c r="AV55" s="1243"/>
      <c r="AW55" s="1243"/>
      <c r="AX55" s="1243"/>
      <c r="AY55" s="1238"/>
      <c r="AZ55" s="1237"/>
      <c r="BA55" s="1235"/>
      <c r="BB55" s="1235"/>
      <c r="BC55" s="1235"/>
      <c r="BD55" s="1238"/>
      <c r="BE55" s="1237"/>
      <c r="BF55" s="1235"/>
      <c r="BG55" s="1235"/>
      <c r="BH55" s="1235">
        <f>BH54/20</f>
        <v>-81.315000000000012</v>
      </c>
      <c r="BI55" s="1238"/>
      <c r="BJ55" s="1237"/>
      <c r="BK55" s="1235"/>
      <c r="BL55" s="1235"/>
      <c r="BM55" s="1235"/>
      <c r="BN55" s="1238"/>
      <c r="BO55" s="1237"/>
      <c r="BP55" s="1235"/>
      <c r="BQ55" s="1235"/>
      <c r="BR55" s="1235"/>
      <c r="BS55" s="1238"/>
      <c r="BT55" s="1237"/>
      <c r="BU55" s="1235"/>
      <c r="BV55" s="1235"/>
      <c r="BW55" s="1235"/>
      <c r="BX55" s="1238"/>
      <c r="BY55" s="1237"/>
      <c r="BZ55" s="1235"/>
      <c r="CA55" s="1235"/>
      <c r="CB55" s="1235"/>
      <c r="CC55" s="1758"/>
      <c r="CD55" s="1237"/>
      <c r="CE55" s="1235"/>
      <c r="CF55" s="1235"/>
      <c r="CG55" s="1235"/>
      <c r="CH55" s="1758"/>
      <c r="CI55" s="1235"/>
      <c r="CJ55" s="860"/>
      <c r="CK55" s="1267"/>
      <c r="CL55" s="1266"/>
      <c r="CM55" s="1266"/>
      <c r="CN55" s="1266"/>
      <c r="CO55" s="1232"/>
      <c r="CP55" s="1267"/>
      <c r="CQ55" s="1266"/>
      <c r="CR55" s="1266"/>
      <c r="CS55" s="1266"/>
      <c r="CT55" s="1232"/>
      <c r="CU55" s="1267"/>
      <c r="CV55" s="1266"/>
      <c r="CW55" s="1266"/>
      <c r="CX55" s="1266"/>
      <c r="CY55" s="1232"/>
      <c r="CZ55" s="1267"/>
      <c r="DA55" s="1266"/>
      <c r="DB55" s="1266"/>
      <c r="DC55" s="1266"/>
      <c r="DD55" s="1232"/>
      <c r="DE55" s="1267"/>
      <c r="DF55" s="1266"/>
      <c r="DG55" s="1266"/>
      <c r="DH55" s="1266"/>
      <c r="DI55" s="1232"/>
      <c r="DJ55" s="1267"/>
      <c r="DK55" s="1266"/>
      <c r="DL55" s="1266"/>
      <c r="DM55" s="1266"/>
      <c r="DN55" s="1232"/>
      <c r="DO55" s="1267"/>
      <c r="DP55" s="1266"/>
      <c r="DQ55" s="1266"/>
      <c r="DR55" s="1266"/>
      <c r="DS55" s="1232"/>
      <c r="DT55" s="1267"/>
      <c r="DU55" s="1266"/>
      <c r="DV55" s="1266"/>
      <c r="DW55" s="1266"/>
      <c r="DX55" s="1232"/>
      <c r="DY55" s="1233"/>
      <c r="DZ55" s="860"/>
      <c r="EA55" s="860"/>
      <c r="EB55" s="860"/>
      <c r="EC55" s="1232"/>
      <c r="ED55" s="860"/>
      <c r="EE55" s="860"/>
      <c r="EF55" s="860"/>
      <c r="EG55" s="860"/>
      <c r="EH55" s="860"/>
      <c r="EI55" s="1233"/>
      <c r="EJ55" s="860"/>
      <c r="EK55" s="860"/>
      <c r="EL55" s="860"/>
      <c r="EM55" s="1232"/>
      <c r="EN55" s="1233"/>
      <c r="EO55" s="860"/>
      <c r="EP55" s="860"/>
      <c r="EQ55" s="860"/>
      <c r="ER55" s="1232"/>
      <c r="ES55" s="860"/>
      <c r="ET55" s="860"/>
      <c r="EU55" s="860"/>
      <c r="EV55" s="860"/>
      <c r="EW55" s="1232"/>
      <c r="EX55" s="1233"/>
      <c r="EY55" s="860"/>
      <c r="EZ55" s="860"/>
      <c r="FA55" s="860"/>
      <c r="FB55" s="1754"/>
      <c r="FC55" s="1233"/>
      <c r="FD55" s="860"/>
      <c r="FE55" s="860"/>
      <c r="FF55" s="860"/>
      <c r="FG55" s="860"/>
      <c r="FH55" s="860"/>
      <c r="FI55" s="860"/>
      <c r="FJ55" s="860"/>
      <c r="FY55" s="860"/>
      <c r="FZ55" s="860"/>
      <c r="GA55" s="860"/>
      <c r="GB55" s="860"/>
      <c r="GC55" s="860"/>
      <c r="GD55" s="860"/>
      <c r="GE55" s="860"/>
      <c r="GF55" s="860"/>
      <c r="GG55" s="860"/>
      <c r="GH55" s="860"/>
      <c r="GI55" s="860"/>
      <c r="GJ55" s="860"/>
      <c r="GK55" s="860"/>
      <c r="GL55" s="860"/>
      <c r="GM55" s="860"/>
      <c r="GN55" s="860"/>
      <c r="GO55" s="860"/>
      <c r="GP55" s="860"/>
      <c r="GQ55" s="860"/>
      <c r="GR55" s="1376"/>
      <c r="GS55" s="1218"/>
      <c r="GT55" s="1376"/>
      <c r="GU55" s="1218"/>
      <c r="GV55" s="1376"/>
      <c r="GW55" s="1218"/>
      <c r="GX55" s="1218"/>
      <c r="GY55" s="1376"/>
      <c r="GZ55" s="1218"/>
      <c r="HA55" s="1218"/>
      <c r="HB55" s="1376"/>
      <c r="HC55" s="1218"/>
      <c r="HD55" s="2000"/>
      <c r="HE55" s="1376"/>
      <c r="HF55" s="1218"/>
      <c r="HG55" s="2000"/>
      <c r="HH55" s="1376"/>
      <c r="HI55" s="1376"/>
      <c r="HJ55" s="1218"/>
      <c r="HK55" s="2000"/>
      <c r="HL55" s="1376"/>
      <c r="HM55" s="1218"/>
      <c r="HN55" s="2000"/>
      <c r="HO55" s="1376"/>
      <c r="HP55" s="1218"/>
      <c r="HQ55" s="2000"/>
      <c r="HR55" s="1376"/>
    </row>
    <row r="56" spans="1:226">
      <c r="A56" s="1132" t="s">
        <v>548</v>
      </c>
      <c r="B56" s="1682"/>
      <c r="C56" s="1675"/>
      <c r="D56" s="1675"/>
      <c r="E56" s="1675"/>
      <c r="F56" s="1683"/>
      <c r="G56" s="1237"/>
      <c r="H56" s="1235"/>
      <c r="I56" s="1235"/>
      <c r="J56" s="1235"/>
      <c r="K56" s="1238"/>
      <c r="L56" s="1237"/>
      <c r="M56" s="1235"/>
      <c r="N56" s="1235"/>
      <c r="O56" s="1235"/>
      <c r="P56" s="1238"/>
      <c r="Q56" s="1237"/>
      <c r="R56" s="1235"/>
      <c r="S56" s="1235"/>
      <c r="T56" s="1235"/>
      <c r="U56" s="1238"/>
      <c r="V56" s="1237"/>
      <c r="W56" s="1235"/>
      <c r="X56" s="1235"/>
      <c r="Y56" s="1235"/>
      <c r="Z56" s="1238"/>
      <c r="AA56" s="1237"/>
      <c r="AB56" s="1235"/>
      <c r="AC56" s="1235"/>
      <c r="AD56" s="1235"/>
      <c r="AE56" s="1238"/>
      <c r="AF56" s="1237"/>
      <c r="AG56" s="1235"/>
      <c r="AH56" s="1235"/>
      <c r="AI56" s="1235"/>
      <c r="AJ56" s="1238"/>
      <c r="AK56" s="1237"/>
      <c r="AL56" s="1235"/>
      <c r="AM56" s="1235"/>
      <c r="AN56" s="1243"/>
      <c r="AO56" s="1238"/>
      <c r="AP56" s="1652"/>
      <c r="AQ56" s="1243">
        <f>AQ54/AQ11</f>
        <v>0</v>
      </c>
      <c r="AR56" s="1243">
        <f>AR54/AR11</f>
        <v>0</v>
      </c>
      <c r="AS56" s="1243"/>
      <c r="AT56" s="1238"/>
      <c r="AU56" s="1237"/>
      <c r="AV56" s="1235"/>
      <c r="AW56" s="1235"/>
      <c r="AX56" s="1235"/>
      <c r="AY56" s="1238"/>
      <c r="AZ56" s="1237"/>
      <c r="BA56" s="1235"/>
      <c r="BB56" s="1235"/>
      <c r="BC56" s="1235"/>
      <c r="BD56" s="1238"/>
      <c r="BE56" s="1237"/>
      <c r="BF56" s="1235"/>
      <c r="BG56" s="1235"/>
      <c r="BH56" s="1235"/>
      <c r="BI56" s="1238"/>
      <c r="BJ56" s="1237"/>
      <c r="BK56" s="1235"/>
      <c r="BL56" s="1235"/>
      <c r="BM56" s="1235"/>
      <c r="BN56" s="1238"/>
      <c r="BO56" s="1237"/>
      <c r="BP56" s="1235"/>
      <c r="BQ56" s="1235"/>
      <c r="BR56" s="1235"/>
      <c r="BS56" s="1238"/>
      <c r="BT56" s="1237"/>
      <c r="BU56" s="1235"/>
      <c r="BV56" s="1235"/>
      <c r="BW56" s="1235"/>
      <c r="BX56" s="1238"/>
      <c r="BY56" s="1237"/>
      <c r="BZ56" s="1235"/>
      <c r="CA56" s="1235"/>
      <c r="CB56" s="1235"/>
      <c r="CC56" s="1758"/>
      <c r="CD56" s="1237"/>
      <c r="CE56" s="1235"/>
      <c r="CF56" s="1235"/>
      <c r="CG56" s="1235"/>
      <c r="CH56" s="1758"/>
      <c r="CI56" s="1235"/>
      <c r="CJ56" s="860"/>
      <c r="CK56" s="1267"/>
      <c r="CL56" s="1266"/>
      <c r="CM56" s="1266"/>
      <c r="CN56" s="1266"/>
      <c r="CO56" s="1232"/>
      <c r="CP56" s="1267"/>
      <c r="CQ56" s="1266"/>
      <c r="CR56" s="1266"/>
      <c r="CS56" s="1266"/>
      <c r="CT56" s="1232"/>
      <c r="CU56" s="1267"/>
      <c r="CV56" s="1266"/>
      <c r="CW56" s="1266"/>
      <c r="CX56" s="1266"/>
      <c r="CY56" s="1232"/>
      <c r="CZ56" s="1267"/>
      <c r="DA56" s="1266"/>
      <c r="DB56" s="1266"/>
      <c r="DC56" s="1266"/>
      <c r="DD56" s="1232"/>
      <c r="DE56" s="1267"/>
      <c r="DF56" s="1266"/>
      <c r="DG56" s="1266"/>
      <c r="DH56" s="1266"/>
      <c r="DI56" s="1232"/>
      <c r="DJ56" s="1267"/>
      <c r="DK56" s="1266"/>
      <c r="DL56" s="1266"/>
      <c r="DM56" s="1266"/>
      <c r="DN56" s="1232"/>
      <c r="DO56" s="1267"/>
      <c r="DP56" s="1266"/>
      <c r="DQ56" s="1266"/>
      <c r="DR56" s="1266"/>
      <c r="DS56" s="1232"/>
      <c r="DT56" s="1267"/>
      <c r="DU56" s="1266"/>
      <c r="DV56" s="1266"/>
      <c r="DW56" s="1266"/>
      <c r="DX56" s="1232"/>
      <c r="DY56" s="1233"/>
      <c r="DZ56" s="860"/>
      <c r="EA56" s="860"/>
      <c r="EB56" s="860"/>
      <c r="EC56" s="1232"/>
      <c r="ED56" s="860"/>
      <c r="EE56" s="860"/>
      <c r="EF56" s="860"/>
      <c r="EG56" s="860"/>
      <c r="EH56" s="860"/>
      <c r="EI56" s="1233"/>
      <c r="EJ56" s="860"/>
      <c r="EK56" s="860"/>
      <c r="EL56" s="860"/>
      <c r="EM56" s="1232"/>
      <c r="EN56" s="1233"/>
      <c r="EO56" s="860"/>
      <c r="EP56" s="860"/>
      <c r="EQ56" s="860"/>
      <c r="ER56" s="1232"/>
      <c r="ES56" s="860"/>
      <c r="ET56" s="860"/>
      <c r="EU56" s="860"/>
      <c r="EV56" s="860"/>
      <c r="EW56" s="1232"/>
      <c r="EX56" s="1233"/>
      <c r="EY56" s="860"/>
      <c r="EZ56" s="860"/>
      <c r="FA56" s="860"/>
      <c r="FB56" s="1754"/>
      <c r="FC56" s="1233"/>
      <c r="FD56" s="860"/>
      <c r="FE56" s="860"/>
      <c r="FF56" s="860"/>
      <c r="FG56" s="860"/>
      <c r="FH56" s="860"/>
      <c r="FI56" s="860"/>
      <c r="FJ56" s="860"/>
      <c r="FY56" s="860"/>
      <c r="FZ56" s="860"/>
      <c r="GA56" s="860"/>
      <c r="GB56" s="860"/>
      <c r="GC56" s="860"/>
      <c r="GD56" s="860"/>
      <c r="GE56" s="860"/>
      <c r="GF56" s="860"/>
      <c r="GG56" s="860"/>
      <c r="GH56" s="860"/>
      <c r="GI56" s="860"/>
      <c r="GJ56" s="860"/>
      <c r="GK56" s="860"/>
      <c r="GL56" s="860"/>
      <c r="GM56" s="860"/>
      <c r="GN56" s="860"/>
      <c r="GO56" s="860"/>
      <c r="GP56" s="860"/>
      <c r="GQ56" s="860"/>
      <c r="GR56" s="1376"/>
      <c r="GS56" s="1218"/>
      <c r="GT56" s="1376"/>
      <c r="GU56" s="1218"/>
      <c r="GV56" s="1376"/>
      <c r="GW56" s="1218"/>
      <c r="GX56" s="1218"/>
      <c r="GY56" s="1376"/>
      <c r="GZ56" s="1218"/>
      <c r="HA56" s="1218"/>
      <c r="HB56" s="1376"/>
      <c r="HC56" s="1218"/>
      <c r="HD56" s="2000"/>
      <c r="HE56" s="1376"/>
      <c r="HF56" s="1218"/>
      <c r="HG56" s="2000"/>
      <c r="HH56" s="1376"/>
      <c r="HI56" s="1376"/>
      <c r="HJ56" s="1218"/>
      <c r="HK56" s="2000"/>
      <c r="HL56" s="1376"/>
      <c r="HM56" s="1218"/>
      <c r="HN56" s="2000"/>
      <c r="HO56" s="1376"/>
      <c r="HP56" s="1218"/>
      <c r="HQ56" s="2000"/>
      <c r="HR56" s="1376"/>
    </row>
    <row r="57" spans="1:226">
      <c r="A57" s="1132" t="s">
        <v>706</v>
      </c>
      <c r="B57" s="1682"/>
      <c r="C57" s="1675"/>
      <c r="D57" s="1675"/>
      <c r="E57" s="1675"/>
      <c r="F57" s="1683"/>
      <c r="G57" s="1237"/>
      <c r="H57" s="1235"/>
      <c r="I57" s="1235"/>
      <c r="J57" s="1235"/>
      <c r="K57" s="1238"/>
      <c r="L57" s="1237"/>
      <c r="M57" s="1235"/>
      <c r="N57" s="1235"/>
      <c r="O57" s="1235"/>
      <c r="P57" s="1238"/>
      <c r="Q57" s="1237"/>
      <c r="R57" s="1235"/>
      <c r="S57" s="1235"/>
      <c r="T57" s="1235"/>
      <c r="U57" s="1238"/>
      <c r="V57" s="1237"/>
      <c r="W57" s="1235"/>
      <c r="X57" s="1235"/>
      <c r="Y57" s="1235"/>
      <c r="Z57" s="1238"/>
      <c r="AA57" s="1237"/>
      <c r="AB57" s="1235"/>
      <c r="AC57" s="1235"/>
      <c r="AD57" s="1235"/>
      <c r="AE57" s="1238"/>
      <c r="AF57" s="1237"/>
      <c r="AG57" s="1235"/>
      <c r="AH57" s="1235"/>
      <c r="AI57" s="1235"/>
      <c r="AJ57" s="1238"/>
      <c r="AK57" s="1237">
        <f>AK29</f>
        <v>2618.6</v>
      </c>
      <c r="AL57" s="1235">
        <f>AL29</f>
        <v>3185.1</v>
      </c>
      <c r="AM57" s="1235">
        <f>AM29</f>
        <v>3102.1</v>
      </c>
      <c r="AN57" s="1235">
        <f>AN29</f>
        <v>3919.5</v>
      </c>
      <c r="AO57" s="1238"/>
      <c r="AP57" s="1237">
        <f>AP29-AP54</f>
        <v>2820.1</v>
      </c>
      <c r="AQ57" s="1235">
        <f>AQ29-AQ54</f>
        <v>4294.3</v>
      </c>
      <c r="AR57" s="1235">
        <f>AR29-AR54</f>
        <v>3704</v>
      </c>
      <c r="AS57" s="1235">
        <f>AS29-AS54</f>
        <v>4036.7</v>
      </c>
      <c r="AT57" s="1238"/>
      <c r="AU57" s="1237"/>
      <c r="AV57" s="1235"/>
      <c r="AW57" s="1235"/>
      <c r="AX57" s="1235"/>
      <c r="AY57" s="1238"/>
      <c r="AZ57" s="1237"/>
      <c r="BA57" s="1235"/>
      <c r="BB57" s="1235"/>
      <c r="BC57" s="1235"/>
      <c r="BD57" s="1238"/>
      <c r="BE57" s="1237"/>
      <c r="BF57" s="1235"/>
      <c r="BG57" s="1235"/>
      <c r="BH57" s="1235"/>
      <c r="BI57" s="1238"/>
      <c r="BJ57" s="1237"/>
      <c r="BK57" s="1235"/>
      <c r="BL57" s="1235"/>
      <c r="BM57" s="1235"/>
      <c r="BN57" s="1238"/>
      <c r="BO57" s="1237"/>
      <c r="BP57" s="1235"/>
      <c r="BQ57" s="1235"/>
      <c r="BR57" s="1235"/>
      <c r="BS57" s="1238"/>
      <c r="BT57" s="1237"/>
      <c r="BU57" s="1235"/>
      <c r="BV57" s="1235"/>
      <c r="BW57" s="1235"/>
      <c r="BX57" s="1238"/>
      <c r="BY57" s="1237"/>
      <c r="BZ57" s="1235"/>
      <c r="CA57" s="1235"/>
      <c r="CB57" s="1235"/>
      <c r="CC57" s="1758"/>
      <c r="CD57" s="1237"/>
      <c r="CE57" s="1235"/>
      <c r="CF57" s="1235"/>
      <c r="CG57" s="1235"/>
      <c r="CH57" s="1758"/>
      <c r="CI57" s="1235"/>
      <c r="CJ57" s="860"/>
      <c r="CK57" s="1267"/>
      <c r="CL57" s="1266"/>
      <c r="CM57" s="1266"/>
      <c r="CN57" s="1266"/>
      <c r="CO57" s="1232"/>
      <c r="CP57" s="1267"/>
      <c r="CQ57" s="1266"/>
      <c r="CR57" s="1266"/>
      <c r="CS57" s="1266"/>
      <c r="CT57" s="1232"/>
      <c r="CU57" s="1267"/>
      <c r="CV57" s="1266"/>
      <c r="CW57" s="1266"/>
      <c r="CX57" s="1266"/>
      <c r="CY57" s="1232"/>
      <c r="CZ57" s="1267"/>
      <c r="DA57" s="1266"/>
      <c r="DB57" s="1266"/>
      <c r="DC57" s="1266"/>
      <c r="DD57" s="1232"/>
      <c r="DE57" s="1267"/>
      <c r="DF57" s="1266"/>
      <c r="DG57" s="1266"/>
      <c r="DH57" s="1266"/>
      <c r="DI57" s="1232"/>
      <c r="DJ57" s="1267"/>
      <c r="DK57" s="1266"/>
      <c r="DL57" s="1266"/>
      <c r="DM57" s="1266"/>
      <c r="DN57" s="1232"/>
      <c r="DO57" s="1267"/>
      <c r="DP57" s="1266"/>
      <c r="DQ57" s="1266"/>
      <c r="DR57" s="1266"/>
      <c r="DS57" s="1232"/>
      <c r="DT57" s="1267"/>
      <c r="DU57" s="1266"/>
      <c r="DV57" s="1266"/>
      <c r="DW57" s="1266"/>
      <c r="DX57" s="1232"/>
      <c r="DY57" s="1233"/>
      <c r="DZ57" s="860"/>
      <c r="EA57" s="860"/>
      <c r="EB57" s="860"/>
      <c r="EC57" s="1232"/>
      <c r="ED57" s="860"/>
      <c r="EE57" s="860"/>
      <c r="EF57" s="860"/>
      <c r="EG57" s="860"/>
      <c r="EH57" s="860"/>
      <c r="EI57" s="1233"/>
      <c r="EJ57" s="860"/>
      <c r="EK57" s="860"/>
      <c r="EL57" s="860"/>
      <c r="EM57" s="1232"/>
      <c r="EN57" s="1233"/>
      <c r="EO57" s="860"/>
      <c r="EP57" s="860"/>
      <c r="EQ57" s="860"/>
      <c r="ER57" s="1232"/>
      <c r="ES57" s="860"/>
      <c r="ET57" s="860"/>
      <c r="EU57" s="860"/>
      <c r="EV57" s="860"/>
      <c r="EW57" s="1232"/>
      <c r="EX57" s="1233"/>
      <c r="EY57" s="860"/>
      <c r="EZ57" s="860"/>
      <c r="FA57" s="860"/>
      <c r="FB57" s="1754"/>
      <c r="FC57" s="1233"/>
      <c r="FD57" s="860"/>
      <c r="FE57" s="860"/>
      <c r="FF57" s="860"/>
      <c r="FG57" s="860"/>
      <c r="FH57" s="860"/>
      <c r="FI57" s="860"/>
      <c r="FJ57" s="860"/>
      <c r="FY57" s="860"/>
      <c r="FZ57" s="860"/>
      <c r="GA57" s="860"/>
      <c r="GB57" s="860"/>
      <c r="GC57" s="860"/>
      <c r="GD57" s="860"/>
      <c r="GE57" s="860"/>
      <c r="GF57" s="860"/>
      <c r="GG57" s="860"/>
      <c r="GH57" s="860"/>
      <c r="GI57" s="860"/>
      <c r="GJ57" s="860"/>
      <c r="GK57" s="860"/>
      <c r="GL57" s="860"/>
      <c r="GM57" s="860"/>
      <c r="GN57" s="860"/>
      <c r="GO57" s="860"/>
      <c r="GP57" s="860"/>
      <c r="GQ57" s="860"/>
      <c r="GR57" s="1376"/>
      <c r="GS57" s="1218"/>
      <c r="GT57" s="1376"/>
      <c r="GU57" s="1218"/>
      <c r="GV57" s="1376"/>
      <c r="GW57" s="1218"/>
      <c r="GX57" s="1218"/>
      <c r="GY57" s="1376"/>
      <c r="GZ57" s="1218"/>
      <c r="HA57" s="1218"/>
      <c r="HB57" s="1376"/>
      <c r="HC57" s="1218"/>
      <c r="HD57" s="2000"/>
      <c r="HE57" s="1376"/>
      <c r="HF57" s="1218"/>
      <c r="HG57" s="2000"/>
      <c r="HH57" s="1376"/>
      <c r="HI57" s="1376"/>
      <c r="HJ57" s="1218"/>
      <c r="HK57" s="2000"/>
      <c r="HL57" s="1376"/>
      <c r="HM57" s="1218"/>
      <c r="HN57" s="2000"/>
      <c r="HO57" s="1376"/>
      <c r="HP57" s="1218"/>
      <c r="HQ57" s="2000"/>
      <c r="HR57" s="1376"/>
    </row>
    <row r="58" spans="1:226">
      <c r="A58" s="1132"/>
      <c r="B58" s="1682"/>
      <c r="C58" s="1675"/>
      <c r="D58" s="1675"/>
      <c r="E58" s="1675"/>
      <c r="F58" s="1683"/>
      <c r="G58" s="1237"/>
      <c r="H58" s="1235"/>
      <c r="I58" s="1235"/>
      <c r="J58" s="1235"/>
      <c r="K58" s="1238"/>
      <c r="L58" s="1237"/>
      <c r="M58" s="1235"/>
      <c r="N58" s="1235"/>
      <c r="O58" s="1235"/>
      <c r="P58" s="1238"/>
      <c r="Q58" s="1237"/>
      <c r="R58" s="1235"/>
      <c r="S58" s="1235"/>
      <c r="T58" s="1235"/>
      <c r="U58" s="1238"/>
      <c r="V58" s="1237"/>
      <c r="W58" s="1235"/>
      <c r="X58" s="1235"/>
      <c r="Y58" s="1235"/>
      <c r="Z58" s="1238"/>
      <c r="AA58" s="1237"/>
      <c r="AB58" s="1235"/>
      <c r="AC58" s="1235"/>
      <c r="AD58" s="1235"/>
      <c r="AE58" s="1238"/>
      <c r="AF58" s="1237"/>
      <c r="AG58" s="1235"/>
      <c r="AH58" s="1235"/>
      <c r="AI58" s="1235"/>
      <c r="AJ58" s="1238"/>
      <c r="AK58" s="1237"/>
      <c r="AL58" s="1235"/>
      <c r="AM58" s="1235"/>
      <c r="AN58" s="1243"/>
      <c r="AO58" s="1238"/>
      <c r="AP58" s="1652"/>
      <c r="AQ58" s="1235">
        <f>(AQ7-AQ11)-AQ57</f>
        <v>4953.6000000000013</v>
      </c>
      <c r="AR58" s="1235">
        <f>(AR7-AR11)-AR57</f>
        <v>4996</v>
      </c>
      <c r="AS58" s="1235"/>
      <c r="AT58" s="1238"/>
      <c r="AU58" s="1652"/>
      <c r="AV58" s="1243"/>
      <c r="AW58" s="1243"/>
      <c r="AX58" s="1243"/>
      <c r="AY58" s="1238"/>
      <c r="AZ58" s="1237"/>
      <c r="BA58" s="1243"/>
      <c r="BB58" s="1243"/>
      <c r="BC58" s="1235"/>
      <c r="BD58" s="1238"/>
      <c r="BE58" s="1237"/>
      <c r="BF58" s="1235"/>
      <c r="BG58" s="1235"/>
      <c r="BH58" s="1235"/>
      <c r="BI58" s="1238"/>
      <c r="BJ58" s="1237"/>
      <c r="BK58" s="1235"/>
      <c r="BL58" s="1235"/>
      <c r="BM58" s="1235"/>
      <c r="BN58" s="1238"/>
      <c r="BO58" s="1237"/>
      <c r="BP58" s="1235"/>
      <c r="BQ58" s="1235"/>
      <c r="BR58" s="1235"/>
      <c r="BS58" s="1238"/>
      <c r="BT58" s="1237"/>
      <c r="BU58" s="1235"/>
      <c r="BV58" s="1235"/>
      <c r="BW58" s="1235"/>
      <c r="BX58" s="1238"/>
      <c r="BY58" s="1237"/>
      <c r="BZ58" s="1235"/>
      <c r="CA58" s="1235"/>
      <c r="CB58" s="1235"/>
      <c r="CC58" s="1758"/>
      <c r="CD58" s="1237"/>
      <c r="CE58" s="1235"/>
      <c r="CF58" s="1235"/>
      <c r="CG58" s="1235"/>
      <c r="CH58" s="1758"/>
      <c r="CI58" s="1235"/>
      <c r="CJ58" s="860"/>
      <c r="CK58" s="1267"/>
      <c r="CL58" s="1266"/>
      <c r="CM58" s="1266"/>
      <c r="CN58" s="1266"/>
      <c r="CO58" s="1232"/>
      <c r="CP58" s="1267"/>
      <c r="CQ58" s="1266"/>
      <c r="CR58" s="1266"/>
      <c r="CS58" s="1266"/>
      <c r="CT58" s="1232"/>
      <c r="CU58" s="1267"/>
      <c r="CV58" s="1266"/>
      <c r="CW58" s="1266"/>
      <c r="CX58" s="1266"/>
      <c r="CY58" s="1232"/>
      <c r="CZ58" s="1267"/>
      <c r="DA58" s="1266"/>
      <c r="DB58" s="1266"/>
      <c r="DC58" s="1266"/>
      <c r="DD58" s="1232"/>
      <c r="DE58" s="1267"/>
      <c r="DF58" s="1266"/>
      <c r="DG58" s="1266"/>
      <c r="DH58" s="1266"/>
      <c r="DI58" s="1232"/>
      <c r="DJ58" s="1267"/>
      <c r="DK58" s="1266"/>
      <c r="DL58" s="1266"/>
      <c r="DM58" s="1266"/>
      <c r="DN58" s="1232"/>
      <c r="DO58" s="1267"/>
      <c r="DP58" s="1266"/>
      <c r="DQ58" s="1266"/>
      <c r="DR58" s="1266"/>
      <c r="DS58" s="1232"/>
      <c r="DT58" s="1267"/>
      <c r="DU58" s="1266"/>
      <c r="DV58" s="1266"/>
      <c r="DW58" s="1266"/>
      <c r="DX58" s="1232"/>
      <c r="DY58" s="1233"/>
      <c r="DZ58" s="860"/>
      <c r="EA58" s="860"/>
      <c r="EB58" s="860"/>
      <c r="EC58" s="1232"/>
      <c r="ED58" s="860"/>
      <c r="EE58" s="860"/>
      <c r="EF58" s="860"/>
      <c r="EG58" s="860"/>
      <c r="EH58" s="860"/>
      <c r="EI58" s="1233"/>
      <c r="EJ58" s="860"/>
      <c r="EK58" s="860"/>
      <c r="EL58" s="860"/>
      <c r="EM58" s="1232"/>
      <c r="EN58" s="1233"/>
      <c r="EO58" s="860"/>
      <c r="EP58" s="860"/>
      <c r="EQ58" s="860"/>
      <c r="ER58" s="1232"/>
      <c r="ES58" s="860"/>
      <c r="ET58" s="860"/>
      <c r="EU58" s="860"/>
      <c r="EV58" s="860"/>
      <c r="EW58" s="1232"/>
      <c r="EX58" s="1233"/>
      <c r="EY58" s="860"/>
      <c r="EZ58" s="860"/>
      <c r="FA58" s="860"/>
      <c r="FB58" s="1754"/>
      <c r="FC58" s="1233"/>
      <c r="FD58" s="860"/>
      <c r="FE58" s="860"/>
      <c r="FF58" s="860"/>
      <c r="FG58" s="860"/>
      <c r="FH58" s="860"/>
      <c r="FI58" s="860"/>
      <c r="FJ58" s="860"/>
      <c r="FY58" s="860"/>
      <c r="FZ58" s="860"/>
      <c r="GA58" s="860"/>
      <c r="GB58" s="860"/>
      <c r="GC58" s="860"/>
      <c r="GD58" s="860"/>
      <c r="GE58" s="860"/>
      <c r="GF58" s="860"/>
      <c r="GG58" s="860"/>
      <c r="GH58" s="860"/>
      <c r="GI58" s="860"/>
      <c r="GJ58" s="860"/>
      <c r="GK58" s="860"/>
      <c r="GL58" s="860"/>
      <c r="GM58" s="860"/>
      <c r="GN58" s="860"/>
      <c r="GO58" s="860"/>
      <c r="GP58" s="860"/>
      <c r="GQ58" s="860"/>
      <c r="GR58" s="1376"/>
      <c r="GS58" s="1218"/>
      <c r="GT58" s="1376"/>
      <c r="GU58" s="1218"/>
      <c r="GV58" s="1376"/>
      <c r="GW58" s="1218"/>
      <c r="GX58" s="1218"/>
      <c r="GY58" s="1376"/>
      <c r="GZ58" s="1218"/>
      <c r="HA58" s="1218"/>
      <c r="HB58" s="1376"/>
      <c r="HC58" s="1218"/>
      <c r="HD58" s="2000"/>
      <c r="HE58" s="1376"/>
      <c r="HF58" s="1218"/>
      <c r="HG58" s="2000"/>
      <c r="HH58" s="1376"/>
      <c r="HI58" s="1376"/>
      <c r="HJ58" s="1218"/>
      <c r="HK58" s="2000"/>
      <c r="HL58" s="1376"/>
      <c r="HM58" s="1218"/>
      <c r="HN58" s="2000"/>
      <c r="HO58" s="1376"/>
      <c r="HP58" s="1218"/>
      <c r="HQ58" s="2000"/>
      <c r="HR58" s="1376"/>
    </row>
    <row r="59" spans="1:226">
      <c r="A59" s="860" t="s">
        <v>707</v>
      </c>
      <c r="B59" s="1233"/>
      <c r="C59" s="860"/>
      <c r="D59" s="860"/>
      <c r="E59" s="860"/>
      <c r="F59" s="1232"/>
      <c r="G59" s="1239"/>
      <c r="H59" s="1217"/>
      <c r="I59" s="1217"/>
      <c r="J59" s="1217"/>
      <c r="K59" s="1276"/>
      <c r="L59" s="1239"/>
      <c r="M59" s="1217"/>
      <c r="N59" s="1162"/>
      <c r="O59" s="1273"/>
      <c r="P59" s="1276"/>
      <c r="Q59" s="1239"/>
      <c r="R59" s="1217"/>
      <c r="S59" s="1217"/>
      <c r="T59" s="1273"/>
      <c r="U59" s="1261"/>
      <c r="V59" s="1237">
        <f>V7-V29</f>
        <v>4241.7000000000007</v>
      </c>
      <c r="W59" s="1235">
        <f>W7-W29</f>
        <v>4766.1723500000007</v>
      </c>
      <c r="X59" s="1235">
        <f>X7-X29</f>
        <v>4330.8276499999993</v>
      </c>
      <c r="Y59" s="1235">
        <f>Y7-Y29</f>
        <v>5995.1</v>
      </c>
      <c r="Z59" s="1261"/>
      <c r="AA59" s="1237">
        <f>AA7-AA29</f>
        <v>4412</v>
      </c>
      <c r="AB59" s="1235">
        <f>AB7-AB29</f>
        <v>4544.5</v>
      </c>
      <c r="AC59" s="1235">
        <f>AC7-AC29</f>
        <v>4604.3</v>
      </c>
      <c r="AD59" s="1235">
        <f>AD7-AD29</f>
        <v>6207.5999999999995</v>
      </c>
      <c r="AE59" s="1261"/>
      <c r="AF59" s="1237">
        <f>AF7-AF29</f>
        <v>4871.4000000000005</v>
      </c>
      <c r="AG59" s="1235">
        <f>AG7-AG29</f>
        <v>5110.3999999999996</v>
      </c>
      <c r="AH59" s="1235">
        <f>AH7-AH29</f>
        <v>5033.5</v>
      </c>
      <c r="AI59" s="1235">
        <f>AI7-AI29</f>
        <v>6923.4000000000005</v>
      </c>
      <c r="AJ59" s="1261"/>
      <c r="AK59" s="1237">
        <f>AK7-AK29</f>
        <v>4672.1000000000004</v>
      </c>
      <c r="AL59" s="1235">
        <f>AL7-AL29</f>
        <v>4890.8000000000011</v>
      </c>
      <c r="AM59" s="1235">
        <f>AM7-AM29</f>
        <v>4922.8999999999996</v>
      </c>
      <c r="AN59" s="1235">
        <f>AN7-AN29</f>
        <v>6686.2999999999993</v>
      </c>
      <c r="AO59" s="1238"/>
      <c r="AP59" s="1237">
        <f>AP7-AP29</f>
        <v>5079.2999999999993</v>
      </c>
      <c r="AQ59" s="1235">
        <f>AQ7-AQ29</f>
        <v>6677.1000000000013</v>
      </c>
      <c r="AR59" s="1235">
        <f>AR7-AR29</f>
        <v>6006.1</v>
      </c>
      <c r="AS59" s="1235">
        <f>AS7-AS29</f>
        <v>6606.1000000000013</v>
      </c>
      <c r="AT59" s="1261"/>
      <c r="AU59" s="1237">
        <f t="shared" ref="AU59:BI59" si="117">AU7-AU29</f>
        <v>4917.5999999999995</v>
      </c>
      <c r="AV59" s="1235">
        <f t="shared" si="117"/>
        <v>5121.7</v>
      </c>
      <c r="AW59" s="1235">
        <f t="shared" si="117"/>
        <v>5546.9999999999991</v>
      </c>
      <c r="AX59" s="1235">
        <f t="shared" si="117"/>
        <v>6621.6</v>
      </c>
      <c r="AY59" s="1238">
        <f t="shared" si="117"/>
        <v>22163.4</v>
      </c>
      <c r="AZ59" s="1237">
        <f t="shared" si="117"/>
        <v>5113.7000000000007</v>
      </c>
      <c r="BA59" s="1235">
        <f t="shared" si="117"/>
        <v>4659.7999999999993</v>
      </c>
      <c r="BB59" s="1235">
        <f t="shared" si="117"/>
        <v>4738.7</v>
      </c>
      <c r="BC59" s="1235">
        <f t="shared" si="117"/>
        <v>5740.0000000000027</v>
      </c>
      <c r="BD59" s="1238">
        <f t="shared" si="117"/>
        <v>20252.2</v>
      </c>
      <c r="BE59" s="1237">
        <f t="shared" si="117"/>
        <v>5039.5</v>
      </c>
      <c r="BF59" s="1235">
        <f t="shared" si="117"/>
        <v>5286.8</v>
      </c>
      <c r="BG59" s="1235">
        <f t="shared" si="117"/>
        <v>5720.2000000000007</v>
      </c>
      <c r="BH59" s="1235">
        <f t="shared" si="117"/>
        <v>6115.6000000000013</v>
      </c>
      <c r="BI59" s="1238">
        <f t="shared" si="117"/>
        <v>22162.9</v>
      </c>
      <c r="BJ59" s="1237"/>
      <c r="BK59" s="1235"/>
      <c r="BL59" s="1235"/>
      <c r="BM59" s="1235"/>
      <c r="BN59" s="1238"/>
      <c r="BO59" s="1237"/>
      <c r="BP59" s="1235"/>
      <c r="BQ59" s="1235"/>
      <c r="BR59" s="1235"/>
      <c r="BS59" s="1238"/>
      <c r="BT59" s="1237"/>
      <c r="BU59" s="1235"/>
      <c r="BV59" s="1235"/>
      <c r="BW59" s="1235"/>
      <c r="BX59" s="1238"/>
      <c r="BY59" s="1237"/>
      <c r="BZ59" s="1235"/>
      <c r="CA59" s="1235"/>
      <c r="CB59" s="1235"/>
      <c r="CC59" s="1758"/>
      <c r="CD59" s="1237"/>
      <c r="CE59" s="1235"/>
      <c r="CF59" s="1235"/>
      <c r="CG59" s="1235"/>
      <c r="CH59" s="1758"/>
      <c r="CI59" s="1235"/>
      <c r="CJ59" s="860"/>
      <c r="CK59" s="1233"/>
      <c r="CL59" s="860"/>
      <c r="CM59" s="860"/>
      <c r="CN59" s="860"/>
      <c r="CO59" s="1232"/>
      <c r="CP59" s="1233"/>
      <c r="CQ59" s="860"/>
      <c r="CR59" s="860"/>
      <c r="CS59" s="860"/>
      <c r="CT59" s="1232"/>
      <c r="CU59" s="1233"/>
      <c r="CV59" s="860"/>
      <c r="CW59" s="860"/>
      <c r="CX59" s="860"/>
      <c r="CY59" s="1232"/>
      <c r="CZ59" s="1233"/>
      <c r="DA59" s="860"/>
      <c r="DB59" s="860"/>
      <c r="DC59" s="860"/>
      <c r="DD59" s="1232"/>
      <c r="DE59" s="1239">
        <f>AF59/AA59-1</f>
        <v>0.10412511332728935</v>
      </c>
      <c r="DF59" s="1217">
        <f>AG59/AB59-1</f>
        <v>0.12452415007151485</v>
      </c>
      <c r="DG59" s="1217">
        <f>AH59/AC59-1</f>
        <v>9.321720999934846E-2</v>
      </c>
      <c r="DH59" s="1217">
        <f>AI59/AD59-1</f>
        <v>0.11531026483665197</v>
      </c>
      <c r="DI59" s="1232"/>
      <c r="DJ59" s="1239">
        <f>AK59/AF59-1</f>
        <v>-4.0912263415034733E-2</v>
      </c>
      <c r="DK59" s="1217">
        <f>AL59/AG59-1</f>
        <v>-4.2971195992485667E-2</v>
      </c>
      <c r="DL59" s="1217">
        <f>AM59/AH59-1</f>
        <v>-2.1972782358200105E-2</v>
      </c>
      <c r="DM59" s="1217">
        <f>AN59/AI59-1</f>
        <v>-3.4246179622728912E-2</v>
      </c>
      <c r="DN59" s="1232"/>
      <c r="DO59" s="1242">
        <f>AP59/AK59-1</f>
        <v>8.7155668757089799E-2</v>
      </c>
      <c r="DP59" s="1162">
        <f>AQ59/AL59-1</f>
        <v>0.36523677108039587</v>
      </c>
      <c r="DQ59" s="1162">
        <f>AR59/AM59-1</f>
        <v>0.22003290743261106</v>
      </c>
      <c r="DR59" s="1162">
        <f>AS59/AN59-1</f>
        <v>-1.1994675680121691E-2</v>
      </c>
      <c r="DS59" s="1232"/>
      <c r="DT59" s="1242">
        <f>AU59/AP59-1</f>
        <v>-3.1835095387159562E-2</v>
      </c>
      <c r="DU59" s="1162">
        <f>AV59/AQ59-1</f>
        <v>-0.23294544038579645</v>
      </c>
      <c r="DV59" s="1162">
        <f>AW59/AR59-1</f>
        <v>-7.6438953730374348E-2</v>
      </c>
      <c r="DW59" s="1162">
        <f>AX59/AS59-1</f>
        <v>2.3463162834349571E-3</v>
      </c>
      <c r="DX59" s="1232"/>
      <c r="DY59" s="1233"/>
      <c r="DZ59" s="860"/>
      <c r="EA59" s="860"/>
      <c r="EB59" s="860"/>
      <c r="EC59" s="1232"/>
      <c r="ED59" s="860"/>
      <c r="EE59" s="860"/>
      <c r="EF59" s="860"/>
      <c r="EG59" s="860"/>
      <c r="EH59" s="860"/>
      <c r="EI59" s="1233"/>
      <c r="EJ59" s="860"/>
      <c r="EK59" s="860"/>
      <c r="EL59" s="860"/>
      <c r="EM59" s="1232"/>
      <c r="EN59" s="1233"/>
      <c r="EO59" s="860"/>
      <c r="EP59" s="860"/>
      <c r="EQ59" s="860"/>
      <c r="ER59" s="1232"/>
      <c r="ES59" s="860"/>
      <c r="ET59" s="860"/>
      <c r="EU59" s="860"/>
      <c r="EV59" s="860"/>
      <c r="EW59" s="1232"/>
      <c r="EX59" s="1233"/>
      <c r="EY59" s="860"/>
      <c r="EZ59" s="860"/>
      <c r="FA59" s="860"/>
      <c r="FB59" s="1754"/>
      <c r="FC59" s="1233"/>
      <c r="FD59" s="860"/>
      <c r="FE59" s="860"/>
      <c r="FF59" s="860"/>
      <c r="FG59" s="860"/>
      <c r="FH59" s="860"/>
      <c r="FI59" s="860"/>
      <c r="FJ59" s="860"/>
      <c r="FY59" s="860"/>
      <c r="FZ59" s="860"/>
      <c r="GA59" s="860"/>
      <c r="GB59" s="860"/>
      <c r="GC59" s="860"/>
      <c r="GD59" s="860"/>
      <c r="GE59" s="860"/>
      <c r="GF59" s="860"/>
      <c r="GG59" s="860"/>
      <c r="GH59" s="860"/>
      <c r="GI59" s="860"/>
      <c r="GJ59" s="860"/>
      <c r="GK59" s="860"/>
      <c r="GL59" s="860"/>
      <c r="GM59" s="860"/>
      <c r="GN59" s="860"/>
      <c r="GO59" s="860"/>
      <c r="GP59" s="860"/>
      <c r="GQ59" s="860"/>
      <c r="GR59" s="1376"/>
      <c r="GS59" s="1218"/>
      <c r="GT59" s="1376"/>
      <c r="GU59" s="1218"/>
      <c r="GV59" s="1376"/>
      <c r="GW59" s="1218"/>
      <c r="GX59" s="1218"/>
      <c r="GY59" s="1376"/>
      <c r="GZ59" s="1218"/>
      <c r="HA59" s="1218"/>
      <c r="HB59" s="1376"/>
      <c r="HC59" s="1218"/>
      <c r="HD59" s="2000"/>
      <c r="HE59" s="1376"/>
      <c r="HF59" s="1218"/>
      <c r="HG59" s="2000"/>
      <c r="HH59" s="1376"/>
      <c r="HI59" s="1376"/>
      <c r="HJ59" s="1218"/>
      <c r="HK59" s="2000"/>
      <c r="HL59" s="1376"/>
      <c r="HM59" s="1218"/>
      <c r="HN59" s="2000"/>
      <c r="HO59" s="1376"/>
      <c r="HP59" s="1218"/>
      <c r="HQ59" s="2000"/>
      <c r="HR59" s="1376"/>
    </row>
    <row r="60" spans="1:226">
      <c r="A60" s="860"/>
      <c r="B60" s="1233"/>
      <c r="C60" s="860"/>
      <c r="D60" s="860"/>
      <c r="E60" s="860"/>
      <c r="F60" s="1232"/>
      <c r="G60" s="1239"/>
      <c r="H60" s="1217"/>
      <c r="I60" s="1217"/>
      <c r="J60" s="1217"/>
      <c r="K60" s="1276"/>
      <c r="L60" s="1239"/>
      <c r="M60" s="1217"/>
      <c r="N60" s="1162"/>
      <c r="O60" s="1273"/>
      <c r="P60" s="1276"/>
      <c r="Q60" s="1239"/>
      <c r="R60" s="1217"/>
      <c r="S60" s="1217"/>
      <c r="T60" s="1273"/>
      <c r="U60" s="1261"/>
      <c r="V60" s="1237"/>
      <c r="W60" s="1235"/>
      <c r="X60" s="1235"/>
      <c r="Y60" s="1235"/>
      <c r="Z60" s="1261"/>
      <c r="AA60" s="1237"/>
      <c r="AB60" s="1235"/>
      <c r="AC60" s="1235"/>
      <c r="AD60" s="1235"/>
      <c r="AE60" s="1261"/>
      <c r="AF60" s="1237"/>
      <c r="AG60" s="1235"/>
      <c r="AH60" s="1235"/>
      <c r="AI60" s="1235"/>
      <c r="AJ60" s="1261"/>
      <c r="AK60" s="1237"/>
      <c r="AL60" s="1235"/>
      <c r="AM60" s="1235"/>
      <c r="AN60" s="1235"/>
      <c r="AO60" s="1238"/>
      <c r="AP60" s="1237"/>
      <c r="AQ60" s="1235"/>
      <c r="AR60" s="1235"/>
      <c r="AS60" s="1235"/>
      <c r="AT60" s="1261"/>
      <c r="AU60" s="1237"/>
      <c r="AV60" s="1235"/>
      <c r="AW60" s="1235"/>
      <c r="AX60" s="1235"/>
      <c r="AY60" s="1261"/>
      <c r="AZ60" s="1237">
        <f>AZ59-AU59</f>
        <v>196.10000000000127</v>
      </c>
      <c r="BA60" s="1235">
        <f>BA59-AV59</f>
        <v>-461.90000000000055</v>
      </c>
      <c r="BB60" s="1235">
        <f>BB59-AW59</f>
        <v>-808.29999999999927</v>
      </c>
      <c r="BC60" s="1235">
        <f>BC59-AX59</f>
        <v>-881.59999999999764</v>
      </c>
      <c r="BD60" s="1261"/>
      <c r="BE60" s="1237">
        <f>BE59-AZ59</f>
        <v>-74.200000000000728</v>
      </c>
      <c r="BF60" s="1235">
        <f>BF59-BA59</f>
        <v>627.00000000000091</v>
      </c>
      <c r="BG60" s="1235">
        <f>BG59-BB59</f>
        <v>981.50000000000091</v>
      </c>
      <c r="BH60" s="1235">
        <f>BH59-BB59</f>
        <v>1376.9000000000015</v>
      </c>
      <c r="BI60" s="1261"/>
      <c r="BJ60" s="1242"/>
      <c r="BK60" s="1162"/>
      <c r="BL60" s="1162"/>
      <c r="BM60" s="1162"/>
      <c r="BN60" s="1261"/>
      <c r="BO60" s="1242"/>
      <c r="BP60" s="1162"/>
      <c r="BQ60" s="1162"/>
      <c r="BR60" s="1235"/>
      <c r="BS60" s="1261"/>
      <c r="BT60" s="1242"/>
      <c r="BU60" s="1162"/>
      <c r="BV60" s="1162"/>
      <c r="BW60" s="1235"/>
      <c r="BX60" s="1261"/>
      <c r="BY60" s="1242"/>
      <c r="BZ60" s="1162"/>
      <c r="CA60" s="1162"/>
      <c r="CB60" s="1162"/>
      <c r="CC60" s="1757"/>
      <c r="CD60" s="1242"/>
      <c r="CE60" s="1162"/>
      <c r="CF60" s="1162"/>
      <c r="CG60" s="1162"/>
      <c r="CH60" s="1757"/>
      <c r="CI60" s="1162"/>
      <c r="CJ60" s="860"/>
      <c r="CK60" s="1233"/>
      <c r="CL60" s="860"/>
      <c r="CM60" s="860"/>
      <c r="CN60" s="860"/>
      <c r="CO60" s="1232"/>
      <c r="CP60" s="1233"/>
      <c r="CQ60" s="860"/>
      <c r="CR60" s="860"/>
      <c r="CS60" s="860"/>
      <c r="CT60" s="1232"/>
      <c r="CU60" s="1233"/>
      <c r="CV60" s="860"/>
      <c r="CW60" s="860"/>
      <c r="CX60" s="860"/>
      <c r="CY60" s="1232"/>
      <c r="CZ60" s="1233"/>
      <c r="DA60" s="860"/>
      <c r="DB60" s="860"/>
      <c r="DC60" s="860"/>
      <c r="DD60" s="1232"/>
      <c r="DE60" s="1239"/>
      <c r="DF60" s="1217"/>
      <c r="DG60" s="1217"/>
      <c r="DH60" s="1217"/>
      <c r="DI60" s="1232"/>
      <c r="DJ60" s="1239"/>
      <c r="DK60" s="1217"/>
      <c r="DL60" s="1217"/>
      <c r="DM60" s="1217"/>
      <c r="DN60" s="1232"/>
      <c r="DO60" s="1242"/>
      <c r="DP60" s="1162"/>
      <c r="DQ60" s="1162"/>
      <c r="DR60" s="1162"/>
      <c r="DS60" s="1232"/>
      <c r="DT60" s="1242"/>
      <c r="DU60" s="1162"/>
      <c r="DV60" s="1162"/>
      <c r="DW60" s="1162"/>
      <c r="DX60" s="1232"/>
      <c r="DY60" s="1233"/>
      <c r="DZ60" s="860"/>
      <c r="EA60" s="860"/>
      <c r="EB60" s="860"/>
      <c r="EC60" s="1232"/>
      <c r="ED60" s="860"/>
      <c r="EE60" s="860"/>
      <c r="EF60" s="860"/>
      <c r="EG60" s="860"/>
      <c r="EH60" s="860"/>
      <c r="EI60" s="1233"/>
      <c r="EJ60" s="860"/>
      <c r="EK60" s="860"/>
      <c r="EL60" s="860"/>
      <c r="EM60" s="1232"/>
      <c r="EN60" s="1233"/>
      <c r="EO60" s="860"/>
      <c r="EP60" s="860"/>
      <c r="EQ60" s="860"/>
      <c r="ER60" s="1232"/>
      <c r="ES60" s="860"/>
      <c r="ET60" s="860"/>
      <c r="EU60" s="860"/>
      <c r="EV60" s="860"/>
      <c r="EW60" s="1232"/>
      <c r="EX60" s="1233"/>
      <c r="EY60" s="860"/>
      <c r="EZ60" s="860"/>
      <c r="FA60" s="860"/>
      <c r="FB60" s="1754"/>
      <c r="FC60" s="1233"/>
      <c r="FD60" s="860"/>
      <c r="FE60" s="860"/>
      <c r="FF60" s="860"/>
      <c r="FG60" s="860"/>
      <c r="FH60" s="860"/>
      <c r="FI60" s="860"/>
      <c r="FJ60" s="860"/>
      <c r="FY60" s="860"/>
      <c r="FZ60" s="860"/>
      <c r="GA60" s="860"/>
      <c r="GB60" s="860"/>
      <c r="GC60" s="860"/>
      <c r="GD60" s="860"/>
      <c r="GE60" s="860"/>
      <c r="GF60" s="860"/>
      <c r="GG60" s="860"/>
      <c r="GH60" s="860"/>
      <c r="GI60" s="860"/>
      <c r="GJ60" s="860"/>
      <c r="GK60" s="860"/>
      <c r="GL60" s="860"/>
      <c r="GM60" s="860"/>
      <c r="GN60" s="860"/>
      <c r="GO60" s="860"/>
      <c r="GP60" s="860"/>
      <c r="GQ60" s="860"/>
      <c r="GR60" s="1241"/>
      <c r="GS60" s="1218"/>
      <c r="GT60" s="1376"/>
      <c r="GU60" s="1218"/>
      <c r="GV60" s="1241"/>
      <c r="GW60" s="1218"/>
      <c r="GX60" s="1218"/>
      <c r="GY60" s="1241"/>
      <c r="GZ60" s="1218"/>
      <c r="HA60" s="1218"/>
      <c r="HB60" s="1241"/>
      <c r="HC60" s="1218"/>
      <c r="HD60" s="2000"/>
      <c r="HE60" s="1376"/>
      <c r="HF60" s="1218"/>
      <c r="HG60" s="2000"/>
      <c r="HH60" s="1241"/>
      <c r="HI60" s="1241"/>
      <c r="HJ60" s="1218"/>
      <c r="HK60" s="2000"/>
      <c r="HL60" s="1241"/>
      <c r="HM60" s="1218"/>
      <c r="HN60" s="2000"/>
      <c r="HO60" s="1376"/>
      <c r="HP60" s="1218"/>
      <c r="HQ60" s="2000"/>
      <c r="HR60" s="1241"/>
    </row>
    <row r="61" spans="1:226">
      <c r="A61" s="860" t="s">
        <v>708</v>
      </c>
      <c r="B61" s="1233"/>
      <c r="C61" s="860"/>
      <c r="D61" s="860"/>
      <c r="E61" s="860"/>
      <c r="F61" s="1232"/>
      <c r="G61" s="1239"/>
      <c r="H61" s="1217"/>
      <c r="I61" s="1217"/>
      <c r="J61" s="1217"/>
      <c r="K61" s="1276"/>
      <c r="L61" s="1239"/>
      <c r="M61" s="1217"/>
      <c r="N61" s="1162"/>
      <c r="O61" s="1273"/>
      <c r="P61" s="1276"/>
      <c r="Q61" s="1239"/>
      <c r="R61" s="1217"/>
      <c r="S61" s="1217"/>
      <c r="T61" s="1273"/>
      <c r="U61" s="1261"/>
      <c r="V61" s="1237">
        <f>V59/V199</f>
        <v>320.61224489795921</v>
      </c>
      <c r="W61" s="1235">
        <f>W59/W199</f>
        <v>366.62864230769236</v>
      </c>
      <c r="X61" s="1235">
        <f>X59/X199</f>
        <v>330.11495790504711</v>
      </c>
      <c r="Y61" s="1235">
        <f>Y59/Y199</f>
        <v>431.30215827338134</v>
      </c>
      <c r="Z61" s="1261"/>
      <c r="AA61" s="1237">
        <f>AA59/AA199</f>
        <v>296.10738255033556</v>
      </c>
      <c r="AB61" s="1235">
        <f>AB59/AB199</f>
        <v>296.63838120104435</v>
      </c>
      <c r="AC61" s="1235">
        <f>AC59/AC199</f>
        <v>280.06690997566909</v>
      </c>
      <c r="AD61" s="1235">
        <f>AD59/AD199</f>
        <v>376.44633110976349</v>
      </c>
      <c r="AE61" s="1261"/>
      <c r="AF61" s="1237">
        <f>AF59/AF199</f>
        <v>270.15691046720758</v>
      </c>
      <c r="AG61" s="1235">
        <f>AG59/AG199</f>
        <v>287.10112359550561</v>
      </c>
      <c r="AH61" s="1235">
        <f>AH59/AH199</f>
        <v>268.31023454157781</v>
      </c>
      <c r="AI61" s="1235">
        <f>AI59/AI199</f>
        <v>348.78589420654913</v>
      </c>
      <c r="AJ61" s="1261"/>
      <c r="AK61" s="1237">
        <f>AK59/AK199</f>
        <v>230.15270935960592</v>
      </c>
      <c r="AL61" s="1235">
        <f>AL59/AL199</f>
        <v>263.65498652291109</v>
      </c>
      <c r="AM61" s="1235">
        <f>AM59/AM199</f>
        <v>276.27418781103535</v>
      </c>
      <c r="AN61" s="1235">
        <f>AN59/AN199</f>
        <v>352.0958399157451</v>
      </c>
      <c r="AO61" s="1261"/>
      <c r="AP61" s="1237">
        <f>AP59/AK199</f>
        <v>250.21182266009848</v>
      </c>
      <c r="AQ61" s="1235">
        <f>AQ59/AL199</f>
        <v>359.95148247978443</v>
      </c>
      <c r="AR61" s="1235">
        <f>AR59/AR199</f>
        <v>317.11193241816261</v>
      </c>
      <c r="AS61" s="1235">
        <f>AS59/AS199</f>
        <v>331.96482412060311</v>
      </c>
      <c r="AT61" s="1261"/>
      <c r="AU61" s="1237">
        <f>AU59/AU199</f>
        <v>256.11843446396017</v>
      </c>
      <c r="AV61" s="1235">
        <f>AV59/AV199</f>
        <v>268.0115122972266</v>
      </c>
      <c r="AW61" s="1235">
        <f>AW59/AW199</f>
        <v>285.92783505154637</v>
      </c>
      <c r="AX61" s="1235">
        <f>AX59/AX199</f>
        <v>343.97922077922078</v>
      </c>
      <c r="AY61" s="1261"/>
      <c r="AZ61" s="1237">
        <f>AZ59/AZ199</f>
        <v>255.68334789221373</v>
      </c>
      <c r="BA61" s="1235">
        <f>BA59/BA199</f>
        <v>199.84960160657204</v>
      </c>
      <c r="BB61" s="1235">
        <f>BB59/BB199</f>
        <v>214.58926690704001</v>
      </c>
      <c r="BC61" s="1235">
        <f>BC59/BC199</f>
        <v>279.52387972415954</v>
      </c>
      <c r="BD61" s="1261"/>
      <c r="BE61" s="1242"/>
      <c r="BF61" s="1162"/>
      <c r="BG61" s="1162"/>
      <c r="BH61" s="1162"/>
      <c r="BI61" s="1261"/>
      <c r="BJ61" s="1242"/>
      <c r="BK61" s="1162"/>
      <c r="BL61" s="1162"/>
      <c r="BM61" s="1162"/>
      <c r="BN61" s="1261"/>
      <c r="BO61" s="1242"/>
      <c r="BP61" s="1162"/>
      <c r="BQ61" s="1162"/>
      <c r="BR61" s="1162"/>
      <c r="BS61" s="1261"/>
      <c r="BT61" s="1242"/>
      <c r="BU61" s="1162"/>
      <c r="BV61" s="1162"/>
      <c r="BW61" s="1162"/>
      <c r="BX61" s="1261"/>
      <c r="BY61" s="1242"/>
      <c r="BZ61" s="1162"/>
      <c r="CA61" s="1162"/>
      <c r="CB61" s="1162"/>
      <c r="CC61" s="1757"/>
      <c r="CD61" s="1242"/>
      <c r="CE61" s="1162"/>
      <c r="CF61" s="1162"/>
      <c r="CG61" s="1162"/>
      <c r="CH61" s="1757"/>
      <c r="CI61" s="1162"/>
      <c r="CJ61" s="860"/>
      <c r="CK61" s="1233"/>
      <c r="CL61" s="860"/>
      <c r="CM61" s="860"/>
      <c r="CN61" s="860"/>
      <c r="CO61" s="1232"/>
      <c r="CP61" s="1233"/>
      <c r="CQ61" s="860"/>
      <c r="CR61" s="860"/>
      <c r="CS61" s="860"/>
      <c r="CT61" s="1232"/>
      <c r="CU61" s="1233"/>
      <c r="CV61" s="860"/>
      <c r="CW61" s="860"/>
      <c r="CX61" s="860"/>
      <c r="CY61" s="1232"/>
      <c r="CZ61" s="1233"/>
      <c r="DA61" s="860"/>
      <c r="DB61" s="860"/>
      <c r="DC61" s="860"/>
      <c r="DD61" s="1232"/>
      <c r="DE61" s="1239"/>
      <c r="DF61" s="1217"/>
      <c r="DG61" s="1217"/>
      <c r="DH61" s="1217"/>
      <c r="DI61" s="1232"/>
      <c r="DJ61" s="1239"/>
      <c r="DK61" s="1217"/>
      <c r="DL61" s="1217"/>
      <c r="DM61" s="1217"/>
      <c r="DN61" s="1232"/>
      <c r="DO61" s="1233"/>
      <c r="DP61" s="860"/>
      <c r="DQ61" s="860"/>
      <c r="DR61" s="860"/>
      <c r="DS61" s="1232"/>
      <c r="DT61" s="1233"/>
      <c r="DU61" s="860"/>
      <c r="DV61" s="860"/>
      <c r="DW61" s="860"/>
      <c r="DX61" s="1232"/>
      <c r="DY61" s="1233"/>
      <c r="DZ61" s="860"/>
      <c r="EA61" s="860"/>
      <c r="EB61" s="860"/>
      <c r="EC61" s="1232"/>
      <c r="ED61" s="860"/>
      <c r="EE61" s="860"/>
      <c r="EF61" s="860"/>
      <c r="EG61" s="860"/>
      <c r="EH61" s="860"/>
      <c r="EI61" s="1233"/>
      <c r="EJ61" s="860"/>
      <c r="EK61" s="860"/>
      <c r="EL61" s="860"/>
      <c r="EM61" s="1232"/>
      <c r="EN61" s="1233"/>
      <c r="EO61" s="860"/>
      <c r="EP61" s="860"/>
      <c r="EQ61" s="860"/>
      <c r="ER61" s="1232"/>
      <c r="ES61" s="860"/>
      <c r="ET61" s="860"/>
      <c r="EU61" s="860"/>
      <c r="EV61" s="860"/>
      <c r="EW61" s="1232"/>
      <c r="EX61" s="1233"/>
      <c r="EY61" s="860"/>
      <c r="EZ61" s="860"/>
      <c r="FA61" s="860"/>
      <c r="FB61" s="1754"/>
      <c r="FC61" s="1233"/>
      <c r="FD61" s="860"/>
      <c r="FE61" s="860"/>
      <c r="FF61" s="860"/>
      <c r="FG61" s="860"/>
      <c r="FH61" s="860"/>
      <c r="FI61" s="860"/>
      <c r="FJ61" s="860"/>
      <c r="FY61" s="860"/>
      <c r="FZ61" s="860"/>
      <c r="GA61" s="860"/>
      <c r="GB61" s="860"/>
      <c r="GC61" s="860"/>
      <c r="GD61" s="860"/>
      <c r="GE61" s="860"/>
      <c r="GF61" s="860"/>
      <c r="GG61" s="860"/>
      <c r="GH61" s="860"/>
      <c r="GI61" s="860"/>
      <c r="GJ61" s="860"/>
      <c r="GK61" s="860"/>
      <c r="GL61" s="860"/>
      <c r="GM61" s="860"/>
      <c r="GN61" s="860"/>
      <c r="GO61" s="860"/>
      <c r="GP61" s="860"/>
      <c r="GQ61" s="860"/>
      <c r="GR61" s="1241"/>
      <c r="GS61" s="1218"/>
      <c r="GT61" s="1241"/>
      <c r="GU61" s="1218"/>
      <c r="GV61" s="1241"/>
      <c r="GW61" s="1218"/>
      <c r="GX61" s="1218"/>
      <c r="GY61" s="1241"/>
      <c r="GZ61" s="1218"/>
      <c r="HA61" s="1218"/>
      <c r="HB61" s="1241"/>
      <c r="HC61" s="1218"/>
      <c r="HD61" s="2000"/>
      <c r="HE61" s="1241"/>
      <c r="HF61" s="1218"/>
      <c r="HG61" s="2000"/>
      <c r="HH61" s="1241"/>
      <c r="HI61" s="1241"/>
      <c r="HJ61" s="1218"/>
      <c r="HK61" s="2000"/>
      <c r="HL61" s="1241"/>
      <c r="HM61" s="1218"/>
      <c r="HN61" s="2000"/>
      <c r="HO61" s="1241"/>
      <c r="HP61" s="1218"/>
      <c r="HQ61" s="2000"/>
      <c r="HR61" s="1241"/>
    </row>
    <row r="62" spans="1:226">
      <c r="A62" s="860" t="s">
        <v>709</v>
      </c>
      <c r="B62" s="1233"/>
      <c r="C62" s="860"/>
      <c r="D62" s="860"/>
      <c r="E62" s="860"/>
      <c r="F62" s="1232"/>
      <c r="G62" s="1239"/>
      <c r="H62" s="1217"/>
      <c r="I62" s="1217"/>
      <c r="J62" s="1217"/>
      <c r="K62" s="1276"/>
      <c r="L62" s="1239"/>
      <c r="M62" s="1217"/>
      <c r="N62" s="1162"/>
      <c r="O62" s="1273"/>
      <c r="P62" s="1276"/>
      <c r="Q62" s="1239"/>
      <c r="R62" s="1217"/>
      <c r="S62" s="1217"/>
      <c r="T62" s="1273"/>
      <c r="U62" s="1261"/>
      <c r="V62" s="1237"/>
      <c r="W62" s="1235"/>
      <c r="X62" s="1235"/>
      <c r="Y62" s="1235"/>
      <c r="Z62" s="1261"/>
      <c r="AA62" s="1237"/>
      <c r="AB62" s="1235"/>
      <c r="AC62" s="1235"/>
      <c r="AD62" s="1235"/>
      <c r="AE62" s="1261"/>
      <c r="AF62" s="1237"/>
      <c r="AG62" s="1235"/>
      <c r="AH62" s="1235"/>
      <c r="AI62" s="1235"/>
      <c r="AJ62" s="1261"/>
      <c r="AK62" s="1237"/>
      <c r="AL62" s="1235"/>
      <c r="AM62" s="1235"/>
      <c r="AN62" s="1235"/>
      <c r="AO62" s="1261"/>
      <c r="AP62" s="1237">
        <f>AP61-(AP11/AP199-AP55)</f>
        <v>250.21182266009848</v>
      </c>
      <c r="AQ62" s="1235">
        <f>AQ61-(AQ11/AQ199-AQ55)</f>
        <v>271.2027698124312</v>
      </c>
      <c r="AR62" s="1235">
        <f>AR61-(AR11/AR199-AR55)</f>
        <v>263.7803590285111</v>
      </c>
      <c r="AS62" s="1235">
        <f>AS61-(AS11/AS199-AS55)</f>
        <v>331.96482412060311</v>
      </c>
      <c r="AT62" s="1261"/>
      <c r="AU62" s="1237">
        <f>AU61</f>
        <v>256.11843446396017</v>
      </c>
      <c r="AV62" s="1235">
        <f>AV61</f>
        <v>268.0115122972266</v>
      </c>
      <c r="AW62" s="1235">
        <f>AW61</f>
        <v>285.92783505154637</v>
      </c>
      <c r="AX62" s="1235">
        <f>AX61</f>
        <v>343.97922077922078</v>
      </c>
      <c r="AY62" s="1261"/>
      <c r="AZ62" s="1237">
        <f>AZ61</f>
        <v>255.68334789221373</v>
      </c>
      <c r="BA62" s="1235">
        <f>BA61</f>
        <v>199.84960160657204</v>
      </c>
      <c r="BB62" s="1235">
        <f>BB61</f>
        <v>214.58926690704001</v>
      </c>
      <c r="BC62" s="1235">
        <f>BC61</f>
        <v>279.52387972415954</v>
      </c>
      <c r="BD62" s="1261"/>
      <c r="BE62" s="1242"/>
      <c r="BF62" s="1162"/>
      <c r="BG62" s="1162"/>
      <c r="BH62" s="1162"/>
      <c r="BI62" s="1261"/>
      <c r="BJ62" s="1242"/>
      <c r="BK62" s="1162"/>
      <c r="BL62" s="1162"/>
      <c r="BM62" s="1162"/>
      <c r="BN62" s="1261"/>
      <c r="BO62" s="1242"/>
      <c r="BP62" s="1162"/>
      <c r="BQ62" s="1162"/>
      <c r="BR62" s="1162"/>
      <c r="BS62" s="1261"/>
      <c r="BT62" s="1242"/>
      <c r="BU62" s="1162"/>
      <c r="BV62" s="1162"/>
      <c r="BW62" s="1162"/>
      <c r="BX62" s="1261"/>
      <c r="BY62" s="1242"/>
      <c r="BZ62" s="1162"/>
      <c r="CA62" s="1162"/>
      <c r="CB62" s="1162"/>
      <c r="CC62" s="1757"/>
      <c r="CD62" s="1242"/>
      <c r="CE62" s="1162"/>
      <c r="CF62" s="1162"/>
      <c r="CG62" s="1162"/>
      <c r="CH62" s="1757"/>
      <c r="CI62" s="1162"/>
      <c r="CJ62" s="860"/>
      <c r="CK62" s="1233"/>
      <c r="CL62" s="860"/>
      <c r="CM62" s="860"/>
      <c r="CN62" s="860"/>
      <c r="CO62" s="1232"/>
      <c r="CP62" s="1233"/>
      <c r="CQ62" s="860"/>
      <c r="CR62" s="860"/>
      <c r="CS62" s="860"/>
      <c r="CT62" s="1232"/>
      <c r="CU62" s="1233"/>
      <c r="CV62" s="860"/>
      <c r="CW62" s="860"/>
      <c r="CX62" s="860"/>
      <c r="CY62" s="1232"/>
      <c r="CZ62" s="1233"/>
      <c r="DA62" s="860"/>
      <c r="DB62" s="860"/>
      <c r="DC62" s="860"/>
      <c r="DD62" s="1232"/>
      <c r="DE62" s="1239"/>
      <c r="DF62" s="1217"/>
      <c r="DG62" s="1217"/>
      <c r="DH62" s="1217"/>
      <c r="DI62" s="1232"/>
      <c r="DJ62" s="1239"/>
      <c r="DK62" s="1217"/>
      <c r="DL62" s="1217"/>
      <c r="DM62" s="1217"/>
      <c r="DN62" s="1232"/>
      <c r="DO62" s="1233"/>
      <c r="DP62" s="860"/>
      <c r="DQ62" s="860"/>
      <c r="DR62" s="860"/>
      <c r="DS62" s="1232"/>
      <c r="DT62" s="1233"/>
      <c r="DU62" s="860"/>
      <c r="DV62" s="860"/>
      <c r="DW62" s="860"/>
      <c r="DX62" s="1232"/>
      <c r="DY62" s="1233"/>
      <c r="DZ62" s="860"/>
      <c r="EA62" s="860"/>
      <c r="EB62" s="860"/>
      <c r="EC62" s="1232"/>
      <c r="ED62" s="860"/>
      <c r="EE62" s="860"/>
      <c r="EF62" s="860"/>
      <c r="EG62" s="860"/>
      <c r="EH62" s="860"/>
      <c r="EI62" s="1233"/>
      <c r="EJ62" s="860"/>
      <c r="EK62" s="860"/>
      <c r="EL62" s="860"/>
      <c r="EM62" s="1232"/>
      <c r="EN62" s="1233"/>
      <c r="EO62" s="860"/>
      <c r="EP62" s="860"/>
      <c r="EQ62" s="860"/>
      <c r="ER62" s="1232"/>
      <c r="ES62" s="860"/>
      <c r="ET62" s="860"/>
      <c r="EU62" s="860"/>
      <c r="EV62" s="860"/>
      <c r="EW62" s="1232"/>
      <c r="EX62" s="1233"/>
      <c r="EY62" s="860"/>
      <c r="EZ62" s="860"/>
      <c r="FA62" s="860"/>
      <c r="FB62" s="1754"/>
      <c r="FC62" s="1233"/>
      <c r="FD62" s="860"/>
      <c r="FE62" s="860"/>
      <c r="FF62" s="860"/>
      <c r="FG62" s="860"/>
      <c r="FH62" s="860"/>
      <c r="FI62" s="860"/>
      <c r="FJ62" s="860"/>
      <c r="FY62" s="860"/>
      <c r="FZ62" s="860"/>
      <c r="GA62" s="860"/>
      <c r="GB62" s="860"/>
      <c r="GC62" s="860"/>
      <c r="GD62" s="860"/>
      <c r="GE62" s="860"/>
      <c r="GF62" s="860"/>
      <c r="GG62" s="860"/>
      <c r="GH62" s="860"/>
      <c r="GI62" s="860"/>
      <c r="GJ62" s="860"/>
      <c r="GK62" s="860"/>
      <c r="GL62" s="860"/>
      <c r="GM62" s="860"/>
      <c r="GN62" s="860"/>
      <c r="GO62" s="860"/>
      <c r="GP62" s="860"/>
      <c r="GQ62" s="860"/>
      <c r="GR62" s="1241"/>
      <c r="GS62" s="1218"/>
      <c r="GT62" s="1241"/>
      <c r="GU62" s="1218"/>
      <c r="GV62" s="1241"/>
      <c r="GW62" s="1218"/>
      <c r="GX62" s="1218"/>
      <c r="GY62" s="1241"/>
      <c r="GZ62" s="1218"/>
      <c r="HA62" s="1218"/>
      <c r="HB62" s="1241"/>
      <c r="HC62" s="1218"/>
      <c r="HD62" s="2000"/>
      <c r="HE62" s="1241"/>
      <c r="HF62" s="1218"/>
      <c r="HG62" s="2000"/>
      <c r="HH62" s="1241"/>
      <c r="HI62" s="1241"/>
      <c r="HJ62" s="1218"/>
      <c r="HK62" s="2000"/>
      <c r="HL62" s="1241"/>
      <c r="HM62" s="1218"/>
      <c r="HN62" s="2000"/>
      <c r="HO62" s="1241"/>
      <c r="HP62" s="1218"/>
      <c r="HQ62" s="2000"/>
      <c r="HR62" s="1241"/>
    </row>
    <row r="63" spans="1:226">
      <c r="A63" s="860"/>
      <c r="B63" s="1233"/>
      <c r="C63" s="860"/>
      <c r="D63" s="860"/>
      <c r="E63" s="860"/>
      <c r="F63" s="1232"/>
      <c r="G63" s="1239"/>
      <c r="H63" s="1217"/>
      <c r="I63" s="1217"/>
      <c r="J63" s="1217"/>
      <c r="K63" s="1276"/>
      <c r="L63" s="1239"/>
      <c r="M63" s="1217"/>
      <c r="N63" s="1162"/>
      <c r="O63" s="1273"/>
      <c r="P63" s="1276"/>
      <c r="Q63" s="1239"/>
      <c r="R63" s="1217"/>
      <c r="S63" s="1217"/>
      <c r="T63" s="1273"/>
      <c r="U63" s="1261"/>
      <c r="V63" s="1237"/>
      <c r="W63" s="1235"/>
      <c r="X63" s="1235"/>
      <c r="Y63" s="1235"/>
      <c r="Z63" s="1261"/>
      <c r="AA63" s="1237"/>
      <c r="AB63" s="1235"/>
      <c r="AC63" s="1235"/>
      <c r="AD63" s="1235"/>
      <c r="AE63" s="1261"/>
      <c r="AF63" s="1237"/>
      <c r="AG63" s="1235"/>
      <c r="AH63" s="1235"/>
      <c r="AI63" s="1235"/>
      <c r="AJ63" s="1261"/>
      <c r="AK63" s="1242"/>
      <c r="AL63" s="1162"/>
      <c r="AM63" s="1162"/>
      <c r="AN63" s="1162"/>
      <c r="AO63" s="1261"/>
      <c r="AP63" s="1237">
        <f>AP62-AK61</f>
        <v>20.059113300492555</v>
      </c>
      <c r="AQ63" s="1235">
        <f>AQ62-AL61</f>
        <v>7.5477832895201118</v>
      </c>
      <c r="AR63" s="1235">
        <f>AR62-AM61</f>
        <v>-12.493828782524247</v>
      </c>
      <c r="AS63" s="1235">
        <f>AS62-AN61</f>
        <v>-20.131015795141991</v>
      </c>
      <c r="AT63" s="1261"/>
      <c r="AU63" s="1237">
        <f>AU62-AP62</f>
        <v>5.9066118038616935</v>
      </c>
      <c r="AV63" s="1235">
        <f>AV62-AQ62</f>
        <v>-3.1912575152045974</v>
      </c>
      <c r="AW63" s="1235">
        <f>AW62-AR62</f>
        <v>22.147476023035267</v>
      </c>
      <c r="AX63" s="1235">
        <f>AX62-AS62</f>
        <v>12.01439665861767</v>
      </c>
      <c r="AY63" s="1261"/>
      <c r="AZ63" s="1237">
        <f>AZ62-AU62</f>
        <v>-0.43508657174643872</v>
      </c>
      <c r="BA63" s="1235">
        <f>BA62-AV62</f>
        <v>-68.161910690654565</v>
      </c>
      <c r="BB63" s="1235">
        <f>BB62-AW62</f>
        <v>-71.338568144506354</v>
      </c>
      <c r="BC63" s="1235">
        <f>BC62-AX62</f>
        <v>-64.45534105506124</v>
      </c>
      <c r="BD63" s="1261"/>
      <c r="BE63" s="1242"/>
      <c r="BF63" s="1162"/>
      <c r="BG63" s="1162"/>
      <c r="BH63" s="1162"/>
      <c r="BI63" s="1261"/>
      <c r="BJ63" s="1242"/>
      <c r="BK63" s="1162"/>
      <c r="BL63" s="1162"/>
      <c r="BM63" s="1162"/>
      <c r="BN63" s="1261"/>
      <c r="BO63" s="1242"/>
      <c r="BP63" s="1162"/>
      <c r="BQ63" s="1162"/>
      <c r="BR63" s="1162"/>
      <c r="BS63" s="1261"/>
      <c r="BT63" s="1242"/>
      <c r="BU63" s="1162"/>
      <c r="BV63" s="1162"/>
      <c r="BW63" s="1162"/>
      <c r="BX63" s="1261"/>
      <c r="BY63" s="1242"/>
      <c r="BZ63" s="1162"/>
      <c r="CA63" s="1162"/>
      <c r="CB63" s="1162"/>
      <c r="CC63" s="1757"/>
      <c r="CD63" s="1242"/>
      <c r="CE63" s="1162"/>
      <c r="CF63" s="1162"/>
      <c r="CG63" s="1162"/>
      <c r="CH63" s="1757"/>
      <c r="CI63" s="1162"/>
      <c r="CJ63" s="860"/>
      <c r="CK63" s="1233"/>
      <c r="CL63" s="860"/>
      <c r="CM63" s="860"/>
      <c r="CN63" s="860"/>
      <c r="CO63" s="1232"/>
      <c r="CP63" s="1233"/>
      <c r="CQ63" s="860"/>
      <c r="CR63" s="860"/>
      <c r="CS63" s="860"/>
      <c r="CT63" s="1232"/>
      <c r="CU63" s="1233"/>
      <c r="CV63" s="860"/>
      <c r="CW63" s="860"/>
      <c r="CX63" s="860"/>
      <c r="CY63" s="1232"/>
      <c r="CZ63" s="1233"/>
      <c r="DA63" s="860"/>
      <c r="DB63" s="860"/>
      <c r="DC63" s="860"/>
      <c r="DD63" s="1232"/>
      <c r="DE63" s="1233"/>
      <c r="DF63" s="860"/>
      <c r="DG63" s="860"/>
      <c r="DH63" s="860"/>
      <c r="DI63" s="1232"/>
      <c r="DJ63" s="1233"/>
      <c r="DK63" s="860"/>
      <c r="DL63" s="860"/>
      <c r="DM63" s="860"/>
      <c r="DN63" s="1232"/>
      <c r="DO63" s="1233"/>
      <c r="DP63" s="860"/>
      <c r="DQ63" s="860"/>
      <c r="DR63" s="860"/>
      <c r="DS63" s="1232"/>
      <c r="DT63" s="1233"/>
      <c r="DU63" s="860"/>
      <c r="DV63" s="860"/>
      <c r="DW63" s="860"/>
      <c r="DX63" s="1232"/>
      <c r="DY63" s="1233"/>
      <c r="DZ63" s="860"/>
      <c r="EA63" s="860"/>
      <c r="EB63" s="860"/>
      <c r="EC63" s="1232"/>
      <c r="ED63" s="860"/>
      <c r="EE63" s="860"/>
      <c r="EF63" s="860"/>
      <c r="EG63" s="860"/>
      <c r="EH63" s="860"/>
      <c r="EI63" s="1233"/>
      <c r="EJ63" s="860"/>
      <c r="EK63" s="860"/>
      <c r="EL63" s="860"/>
      <c r="EM63" s="1232"/>
      <c r="EN63" s="1233"/>
      <c r="EO63" s="860"/>
      <c r="EP63" s="860"/>
      <c r="EQ63" s="860"/>
      <c r="ER63" s="1232"/>
      <c r="ES63" s="860"/>
      <c r="ET63" s="860"/>
      <c r="EU63" s="860"/>
      <c r="EV63" s="860"/>
      <c r="EW63" s="1232"/>
      <c r="EX63" s="1233"/>
      <c r="EY63" s="860"/>
      <c r="EZ63" s="860"/>
      <c r="FA63" s="860"/>
      <c r="FB63" s="1754"/>
      <c r="FC63" s="1233"/>
      <c r="FD63" s="860"/>
      <c r="FE63" s="860"/>
      <c r="FF63" s="860"/>
      <c r="FG63" s="860"/>
      <c r="FH63" s="860"/>
      <c r="FI63" s="860"/>
      <c r="FJ63" s="860"/>
      <c r="FY63" s="860"/>
      <c r="FZ63" s="860"/>
      <c r="GA63" s="860"/>
      <c r="GB63" s="860"/>
      <c r="GC63" s="860"/>
      <c r="GD63" s="860"/>
      <c r="GE63" s="860"/>
      <c r="GF63" s="860"/>
      <c r="GG63" s="860"/>
      <c r="GH63" s="860"/>
      <c r="GI63" s="860"/>
      <c r="GJ63" s="860"/>
      <c r="GK63" s="860"/>
      <c r="GL63" s="860"/>
      <c r="GM63" s="860"/>
      <c r="GN63" s="860"/>
      <c r="GO63" s="860"/>
      <c r="GP63" s="860"/>
      <c r="GQ63" s="860"/>
      <c r="GR63" s="1241"/>
      <c r="GS63" s="1218"/>
      <c r="GT63" s="1241"/>
      <c r="GU63" s="1218"/>
      <c r="GV63" s="1241"/>
      <c r="GW63" s="1218"/>
      <c r="GX63" s="1218"/>
      <c r="GY63" s="1241"/>
      <c r="GZ63" s="1218"/>
      <c r="HA63" s="1218"/>
      <c r="HB63" s="1241"/>
      <c r="HC63" s="1218"/>
      <c r="HD63" s="2000"/>
      <c r="HE63" s="1241"/>
      <c r="HF63" s="1218"/>
      <c r="HG63" s="2000"/>
      <c r="HH63" s="1241"/>
      <c r="HI63" s="1241"/>
      <c r="HJ63" s="1218"/>
      <c r="HK63" s="2000"/>
      <c r="HL63" s="1241"/>
      <c r="HM63" s="1218"/>
      <c r="HN63" s="2000"/>
      <c r="HO63" s="1241"/>
      <c r="HP63" s="1218"/>
      <c r="HQ63" s="2000"/>
      <c r="HR63" s="1241"/>
    </row>
    <row r="64" spans="1:226">
      <c r="A64" s="1264" t="s">
        <v>548</v>
      </c>
      <c r="B64" s="1233"/>
      <c r="C64" s="860"/>
      <c r="D64" s="860"/>
      <c r="E64" s="860"/>
      <c r="F64" s="1232"/>
      <c r="G64" s="1233"/>
      <c r="H64" s="860"/>
      <c r="I64" s="860"/>
      <c r="J64" s="860"/>
      <c r="K64" s="1232"/>
      <c r="L64" s="1233"/>
      <c r="M64" s="860"/>
      <c r="N64" s="860"/>
      <c r="O64" s="860"/>
      <c r="P64" s="1232"/>
      <c r="Q64" s="1233"/>
      <c r="R64" s="1217"/>
      <c r="S64" s="1217"/>
      <c r="T64" s="1217"/>
      <c r="U64" s="1276"/>
      <c r="V64" s="1237"/>
      <c r="W64" s="1235"/>
      <c r="X64" s="1653"/>
      <c r="Y64" s="1653"/>
      <c r="Z64" s="1261"/>
      <c r="AA64" s="1326"/>
      <c r="AB64" s="1274"/>
      <c r="AC64" s="1274"/>
      <c r="AD64" s="1274"/>
      <c r="AE64" s="1232"/>
      <c r="AF64" s="1326"/>
      <c r="AG64" s="1274"/>
      <c r="AH64" s="1274"/>
      <c r="AI64" s="1274"/>
      <c r="AJ64" s="1261"/>
      <c r="AK64" s="1242"/>
      <c r="AL64" s="1162"/>
      <c r="AM64" s="1162"/>
      <c r="AN64" s="1162"/>
      <c r="AO64" s="1261"/>
      <c r="AP64" s="1239">
        <f>(AP29-AP54)/(AP7-AP11)</f>
        <v>0.35700179760488138</v>
      </c>
      <c r="AQ64" s="1217">
        <f>(AQ29-AQ54)/(AQ7-AQ11)</f>
        <v>0.46435406957255154</v>
      </c>
      <c r="AR64" s="1217">
        <f>(AR29-AR54)/(AR7-AR11)</f>
        <v>0.42574712643678159</v>
      </c>
      <c r="AS64" s="1217">
        <f>(AS29-AS54)/(AS7-AS11)</f>
        <v>0.37928928477468332</v>
      </c>
      <c r="AT64" s="1261"/>
      <c r="AU64" s="1242"/>
      <c r="AV64" s="1162"/>
      <c r="AW64" s="1162"/>
      <c r="AX64" s="1162"/>
      <c r="AY64" s="1261"/>
      <c r="AZ64" s="1242"/>
      <c r="BA64" s="1162"/>
      <c r="BB64" s="1162"/>
      <c r="BC64" s="1162"/>
      <c r="BD64" s="1261"/>
      <c r="BE64" s="1242"/>
      <c r="BF64" s="1162"/>
      <c r="BG64" s="1162"/>
      <c r="BH64" s="1162"/>
      <c r="BI64" s="1261"/>
      <c r="BJ64" s="1242"/>
      <c r="BK64" s="1162"/>
      <c r="BL64" s="1162"/>
      <c r="BM64" s="1162"/>
      <c r="BN64" s="1261"/>
      <c r="BO64" s="1242"/>
      <c r="BP64" s="1162"/>
      <c r="BQ64" s="1162"/>
      <c r="BR64" s="1162"/>
      <c r="BS64" s="1261"/>
      <c r="BT64" s="1242"/>
      <c r="BU64" s="1162"/>
      <c r="BV64" s="1162"/>
      <c r="BW64" s="1162"/>
      <c r="BX64" s="1261"/>
      <c r="BY64" s="1242"/>
      <c r="BZ64" s="1162"/>
      <c r="CA64" s="1162"/>
      <c r="CB64" s="1162"/>
      <c r="CC64" s="1757"/>
      <c r="CD64" s="1242"/>
      <c r="CE64" s="1162"/>
      <c r="CF64" s="1162"/>
      <c r="CG64" s="1162"/>
      <c r="CH64" s="1757"/>
      <c r="CI64" s="1162"/>
      <c r="CJ64" s="860"/>
      <c r="CK64" s="1233"/>
      <c r="CL64" s="860"/>
      <c r="CM64" s="860"/>
      <c r="CN64" s="860"/>
      <c r="CO64" s="1232"/>
      <c r="CP64" s="1233"/>
      <c r="CQ64" s="860"/>
      <c r="CR64" s="860"/>
      <c r="CS64" s="860"/>
      <c r="CT64" s="1232"/>
      <c r="CU64" s="1233"/>
      <c r="CV64" s="860"/>
      <c r="CW64" s="860"/>
      <c r="CX64" s="860"/>
      <c r="CY64" s="1232"/>
      <c r="CZ64" s="1233"/>
      <c r="DA64" s="860"/>
      <c r="DB64" s="860"/>
      <c r="DC64" s="860"/>
      <c r="DD64" s="1232"/>
      <c r="DE64" s="1233"/>
      <c r="DF64" s="860"/>
      <c r="DG64" s="860"/>
      <c r="DH64" s="860"/>
      <c r="DI64" s="1232"/>
      <c r="DJ64" s="1233"/>
      <c r="DK64" s="860"/>
      <c r="DL64" s="860"/>
      <c r="DM64" s="860"/>
      <c r="DN64" s="1232"/>
      <c r="DO64" s="1233"/>
      <c r="DP64" s="860"/>
      <c r="DQ64" s="860"/>
      <c r="DR64" s="860"/>
      <c r="DS64" s="1232"/>
      <c r="DT64" s="1233"/>
      <c r="DU64" s="860"/>
      <c r="DV64" s="860"/>
      <c r="DW64" s="860"/>
      <c r="DX64" s="1232"/>
      <c r="DY64" s="1233"/>
      <c r="DZ64" s="860"/>
      <c r="EA64" s="860"/>
      <c r="EB64" s="860"/>
      <c r="EC64" s="1232"/>
      <c r="ED64" s="860"/>
      <c r="EE64" s="860"/>
      <c r="EF64" s="860"/>
      <c r="EG64" s="860"/>
      <c r="EH64" s="860"/>
      <c r="EI64" s="1233"/>
      <c r="EJ64" s="860"/>
      <c r="EK64" s="860"/>
      <c r="EL64" s="860"/>
      <c r="EM64" s="1232"/>
      <c r="EN64" s="1233"/>
      <c r="EO64" s="860"/>
      <c r="EP64" s="860"/>
      <c r="EQ64" s="860"/>
      <c r="ER64" s="1232"/>
      <c r="ES64" s="860"/>
      <c r="ET64" s="860"/>
      <c r="EU64" s="860"/>
      <c r="EV64" s="860"/>
      <c r="EW64" s="1232"/>
      <c r="EX64" s="1233"/>
      <c r="EY64" s="860"/>
      <c r="EZ64" s="860"/>
      <c r="FA64" s="860"/>
      <c r="FB64" s="1754"/>
      <c r="FC64" s="1233"/>
      <c r="FD64" s="860"/>
      <c r="FE64" s="860"/>
      <c r="FF64" s="860"/>
      <c r="FG64" s="860"/>
      <c r="FH64" s="860"/>
      <c r="FI64" s="860"/>
      <c r="FJ64" s="860"/>
      <c r="FY64" s="860"/>
      <c r="FZ64" s="860"/>
      <c r="GA64" s="860"/>
      <c r="GB64" s="860"/>
      <c r="GC64" s="860"/>
      <c r="GD64" s="860"/>
      <c r="GE64" s="860"/>
      <c r="GF64" s="860"/>
      <c r="GG64" s="860"/>
      <c r="GH64" s="860"/>
      <c r="GI64" s="860"/>
      <c r="GJ64" s="860"/>
      <c r="GK64" s="860"/>
      <c r="GL64" s="860"/>
      <c r="GM64" s="860"/>
      <c r="GN64" s="860"/>
      <c r="GO64" s="860"/>
      <c r="GP64" s="860"/>
      <c r="GQ64" s="860"/>
      <c r="GR64" s="1241"/>
      <c r="GS64" s="1218"/>
      <c r="GT64" s="1241"/>
      <c r="GU64" s="1218"/>
      <c r="GV64" s="1241"/>
      <c r="GW64" s="1218"/>
      <c r="GX64" s="1218"/>
      <c r="GY64" s="1241"/>
      <c r="GZ64" s="1218"/>
      <c r="HA64" s="1218"/>
      <c r="HB64" s="1241"/>
      <c r="HC64" s="1218"/>
      <c r="HD64" s="2000"/>
      <c r="HE64" s="1241"/>
      <c r="HF64" s="1218"/>
      <c r="HG64" s="2000"/>
      <c r="HH64" s="1241"/>
      <c r="HI64" s="1241"/>
      <c r="HJ64" s="1218"/>
      <c r="HK64" s="2000"/>
      <c r="HL64" s="1241"/>
      <c r="HM64" s="1218"/>
      <c r="HN64" s="2000"/>
      <c r="HO64" s="1241"/>
      <c r="HP64" s="1218"/>
      <c r="HQ64" s="2000"/>
      <c r="HR64" s="1241"/>
    </row>
    <row r="65" spans="1:226" hidden="1">
      <c r="A65" s="1275" t="str">
        <f t="shared" ref="A65:A70" si="118">A29</f>
        <v>Content</v>
      </c>
      <c r="B65" s="1239"/>
      <c r="C65" s="1217"/>
      <c r="D65" s="1217"/>
      <c r="E65" s="1217"/>
      <c r="F65" s="1276"/>
      <c r="G65" s="1239">
        <f t="shared" ref="G65:AS65" si="119">G29/G7</f>
        <v>0.37981216536469764</v>
      </c>
      <c r="H65" s="1217">
        <f t="shared" si="119"/>
        <v>0.48560635305796063</v>
      </c>
      <c r="I65" s="1217">
        <f t="shared" si="119"/>
        <v>0.50048141247671085</v>
      </c>
      <c r="J65" s="1217">
        <f t="shared" si="119"/>
        <v>0.49210358778469176</v>
      </c>
      <c r="K65" s="1276">
        <f t="shared" si="119"/>
        <v>0.47190538884688582</v>
      </c>
      <c r="L65" s="1239">
        <f t="shared" si="119"/>
        <v>0.401477566034528</v>
      </c>
      <c r="M65" s="1217">
        <f t="shared" si="119"/>
        <v>0.48163254900961072</v>
      </c>
      <c r="N65" s="1217">
        <f t="shared" si="119"/>
        <v>0.50626362308079242</v>
      </c>
      <c r="O65" s="1217">
        <f t="shared" si="119"/>
        <v>0.47049037548807576</v>
      </c>
      <c r="P65" s="1276">
        <f t="shared" si="119"/>
        <v>0.46865344848558571</v>
      </c>
      <c r="Q65" s="1239">
        <f t="shared" si="119"/>
        <v>0.37470069313169502</v>
      </c>
      <c r="R65" s="1217">
        <f t="shared" si="119"/>
        <v>0.49344188698933472</v>
      </c>
      <c r="S65" s="1217">
        <f t="shared" si="119"/>
        <v>0.50205822151466917</v>
      </c>
      <c r="T65" s="1217">
        <f t="shared" si="119"/>
        <v>0.45085658439368365</v>
      </c>
      <c r="U65" s="1276">
        <f t="shared" si="119"/>
        <v>0.46025339660856573</v>
      </c>
      <c r="V65" s="1239">
        <f t="shared" si="119"/>
        <v>0.3613628835556626</v>
      </c>
      <c r="W65" s="1217">
        <f t="shared" si="119"/>
        <v>0.45365069218813564</v>
      </c>
      <c r="X65" s="1217">
        <f t="shared" si="119"/>
        <v>0.48275208435706907</v>
      </c>
      <c r="Y65" s="1217">
        <f t="shared" si="119"/>
        <v>0.4613470143219105</v>
      </c>
      <c r="Z65" s="1276">
        <f t="shared" si="119"/>
        <v>0.44551610211052511</v>
      </c>
      <c r="AA65" s="1239">
        <f t="shared" si="119"/>
        <v>0.37159948725252812</v>
      </c>
      <c r="AB65" s="1217">
        <f t="shared" si="119"/>
        <v>0.42641676132777989</v>
      </c>
      <c r="AC65" s="1217">
        <f t="shared" si="119"/>
        <v>0.46623000231857176</v>
      </c>
      <c r="AD65" s="1217">
        <f t="shared" si="119"/>
        <v>0.42322487131362319</v>
      </c>
      <c r="AE65" s="1276">
        <f t="shared" si="119"/>
        <v>0.42420906077605547</v>
      </c>
      <c r="AF65" s="1239">
        <f t="shared" si="119"/>
        <v>0.35275829081632648</v>
      </c>
      <c r="AG65" s="1217">
        <f t="shared" si="119"/>
        <v>0.41881041737745933</v>
      </c>
      <c r="AH65" s="1217">
        <f t="shared" si="119"/>
        <v>0.41984301702377791</v>
      </c>
      <c r="AI65" s="1217">
        <f t="shared" si="119"/>
        <v>0.40781100314766661</v>
      </c>
      <c r="AJ65" s="1276">
        <f t="shared" si="119"/>
        <v>0.4019985444316333</v>
      </c>
      <c r="AK65" s="1239">
        <f t="shared" si="119"/>
        <v>0.35916990138121169</v>
      </c>
      <c r="AL65" s="1217">
        <f t="shared" si="119"/>
        <v>0.39439567107071655</v>
      </c>
      <c r="AM65" s="1217">
        <f t="shared" si="119"/>
        <v>0.38655451713395639</v>
      </c>
      <c r="AN65" s="1217">
        <f t="shared" si="119"/>
        <v>0.3695619378076147</v>
      </c>
      <c r="AO65" s="1276">
        <f t="shared" si="119"/>
        <v>0.37723916816189662</v>
      </c>
      <c r="AP65" s="1239">
        <f t="shared" si="119"/>
        <v>0.35700179760488138</v>
      </c>
      <c r="AQ65" s="1217">
        <f t="shared" si="119"/>
        <v>0.39140857137648793</v>
      </c>
      <c r="AR65" s="1217">
        <f t="shared" si="119"/>
        <v>0.38145848137506305</v>
      </c>
      <c r="AS65" s="1217">
        <f t="shared" si="119"/>
        <v>0.37928928477468332</v>
      </c>
      <c r="AT65" s="1276"/>
      <c r="AU65" s="1239">
        <f t="shared" ref="AU65:BI65" si="120">AU29/AU7</f>
        <v>0.3155645868418489</v>
      </c>
      <c r="AV65" s="1217">
        <f t="shared" si="120"/>
        <v>0.36376397515527953</v>
      </c>
      <c r="AW65" s="1217">
        <f t="shared" si="120"/>
        <v>0.35941704294804433</v>
      </c>
      <c r="AX65" s="1217">
        <f t="shared" si="120"/>
        <v>0.4070173553274945</v>
      </c>
      <c r="AY65" s="1276">
        <f t="shared" si="120"/>
        <v>0.36303649332957805</v>
      </c>
      <c r="AZ65" s="1239">
        <f t="shared" si="120"/>
        <v>0.23989238361377013</v>
      </c>
      <c r="BA65" s="1217">
        <f t="shared" si="120"/>
        <v>0.30869655520280098</v>
      </c>
      <c r="BB65" s="1217">
        <f t="shared" si="120"/>
        <v>0.41012522717653793</v>
      </c>
      <c r="BC65" s="1217">
        <f t="shared" si="120"/>
        <v>0.48341343125078728</v>
      </c>
      <c r="BD65" s="1276">
        <f t="shared" si="120"/>
        <v>0.37901450341888204</v>
      </c>
      <c r="BE65" s="1239">
        <f t="shared" si="120"/>
        <v>0.32045577130528585</v>
      </c>
      <c r="BF65" s="1217">
        <f t="shared" si="120"/>
        <v>0.3270366598778004</v>
      </c>
      <c r="BG65" s="1217">
        <f t="shared" si="120"/>
        <v>0.37208281191683673</v>
      </c>
      <c r="BH65" s="1217">
        <f t="shared" si="120"/>
        <v>0.47093682143382376</v>
      </c>
      <c r="BI65" s="1276">
        <f t="shared" si="120"/>
        <v>0.3833687145086932</v>
      </c>
      <c r="BJ65" s="1239"/>
      <c r="BK65" s="1217"/>
      <c r="BL65" s="1217"/>
      <c r="BM65" s="1217"/>
      <c r="BN65" s="1276"/>
      <c r="BO65" s="1239"/>
      <c r="BP65" s="1217"/>
      <c r="BQ65" s="1217"/>
      <c r="BR65" s="1217"/>
      <c r="BS65" s="1276"/>
      <c r="BT65" s="1239"/>
      <c r="BU65" s="1217"/>
      <c r="BV65" s="1217"/>
      <c r="BW65" s="1217"/>
      <c r="BX65" s="1276"/>
      <c r="BY65" s="1239"/>
      <c r="BZ65" s="1217"/>
      <c r="CA65" s="1217"/>
      <c r="CB65" s="1217"/>
      <c r="CC65" s="1760"/>
      <c r="CD65" s="1239"/>
      <c r="CE65" s="1217"/>
      <c r="CF65" s="1217"/>
      <c r="CG65" s="1217"/>
      <c r="CH65" s="1760"/>
      <c r="CI65" s="1217"/>
      <c r="CJ65" s="860"/>
      <c r="CK65" s="1233"/>
      <c r="CL65" s="860"/>
      <c r="CM65" s="860"/>
      <c r="CN65" s="860"/>
      <c r="CO65" s="1232"/>
      <c r="CP65" s="1233"/>
      <c r="CQ65" s="860"/>
      <c r="CR65" s="860"/>
      <c r="CS65" s="860"/>
      <c r="CT65" s="1232"/>
      <c r="CU65" s="1233"/>
      <c r="CV65" s="860"/>
      <c r="CW65" s="860"/>
      <c r="CX65" s="860"/>
      <c r="CY65" s="1232"/>
      <c r="CZ65" s="1233"/>
      <c r="DA65" s="860"/>
      <c r="DB65" s="860"/>
      <c r="DC65" s="860"/>
      <c r="DD65" s="1232"/>
      <c r="DE65" s="1233"/>
      <c r="DF65" s="860">
        <v>100</v>
      </c>
      <c r="DG65" s="860">
        <f>(1+DH65)*DF65</f>
        <v>92.2</v>
      </c>
      <c r="DH65" s="1797">
        <v>-7.8E-2</v>
      </c>
      <c r="DI65" s="1232"/>
      <c r="DJ65" s="1233"/>
      <c r="DK65" s="860"/>
      <c r="DL65" s="860"/>
      <c r="DM65" s="860"/>
      <c r="DN65" s="1232"/>
      <c r="DO65" s="1233"/>
      <c r="DP65" s="860"/>
      <c r="DQ65" s="860"/>
      <c r="DR65" s="860"/>
      <c r="DS65" s="1232"/>
      <c r="DT65" s="1233"/>
      <c r="DU65" s="860"/>
      <c r="DV65" s="860"/>
      <c r="DW65" s="860"/>
      <c r="DX65" s="1232"/>
      <c r="DY65" s="1233"/>
      <c r="DZ65" s="860"/>
      <c r="EA65" s="860"/>
      <c r="EB65" s="860"/>
      <c r="EC65" s="1232"/>
      <c r="ED65" s="860"/>
      <c r="EE65" s="860"/>
      <c r="EF65" s="860"/>
      <c r="EG65" s="860"/>
      <c r="EH65" s="860"/>
      <c r="EI65" s="1233"/>
      <c r="EJ65" s="860"/>
      <c r="EK65" s="860"/>
      <c r="EL65" s="860"/>
      <c r="EM65" s="1232"/>
      <c r="EN65" s="1233"/>
      <c r="EO65" s="860"/>
      <c r="EP65" s="860"/>
      <c r="EQ65" s="860"/>
      <c r="ER65" s="1232"/>
      <c r="ES65" s="860"/>
      <c r="ET65" s="860"/>
      <c r="EU65" s="860"/>
      <c r="EV65" s="860"/>
      <c r="EW65" s="1232"/>
      <c r="EX65" s="1233"/>
      <c r="EY65" s="860"/>
      <c r="EZ65" s="860"/>
      <c r="FA65" s="860"/>
      <c r="FB65" s="1754"/>
      <c r="FC65" s="1233"/>
      <c r="FD65" s="860"/>
      <c r="FE65" s="860"/>
      <c r="FF65" s="860"/>
      <c r="FG65" s="860"/>
      <c r="FH65" s="860"/>
      <c r="FI65" s="860"/>
      <c r="FJ65" s="860"/>
      <c r="FY65" s="860"/>
      <c r="FZ65" s="860"/>
      <c r="GA65" s="860"/>
      <c r="GB65" s="860"/>
      <c r="GC65" s="860"/>
      <c r="GD65" s="860"/>
      <c r="GE65" s="860"/>
      <c r="GF65" s="860"/>
      <c r="GG65" s="860"/>
      <c r="GH65" s="860"/>
      <c r="GI65" s="860"/>
      <c r="GJ65" s="860"/>
      <c r="GK65" s="860"/>
      <c r="GL65" s="860"/>
      <c r="GM65" s="860"/>
      <c r="GN65" s="860"/>
      <c r="GO65" s="860"/>
      <c r="GP65" s="860"/>
      <c r="GQ65" s="860"/>
      <c r="GR65" s="1247"/>
      <c r="GS65" s="1218"/>
      <c r="GT65" s="1247"/>
      <c r="GU65" s="1218"/>
      <c r="GV65" s="1247"/>
      <c r="GW65" s="1218"/>
      <c r="GX65" s="1218"/>
      <c r="GY65" s="1247"/>
      <c r="GZ65" s="1218"/>
      <c r="HA65" s="1218"/>
      <c r="HB65" s="1247"/>
      <c r="HC65" s="1218"/>
      <c r="HD65" s="2000"/>
      <c r="HE65" s="1247"/>
      <c r="HF65" s="1218"/>
      <c r="HG65" s="2000"/>
      <c r="HH65" s="1247"/>
      <c r="HI65" s="1247"/>
      <c r="HJ65" s="1218"/>
      <c r="HK65" s="2000"/>
      <c r="HL65" s="1247"/>
      <c r="HM65" s="1218"/>
      <c r="HN65" s="2000"/>
      <c r="HO65" s="1247"/>
      <c r="HP65" s="1218"/>
      <c r="HQ65" s="2000"/>
      <c r="HR65" s="1247"/>
    </row>
    <row r="66" spans="1:226" hidden="1">
      <c r="A66" s="1275" t="str">
        <f t="shared" si="118"/>
        <v>Publishing</v>
      </c>
      <c r="B66" s="1239"/>
      <c r="C66" s="1217"/>
      <c r="D66" s="1217"/>
      <c r="E66" s="1217"/>
      <c r="F66" s="1276"/>
      <c r="G66" s="1239">
        <f t="shared" ref="G66:U66" si="121">G30/G12</f>
        <v>3.313104805642119E-2</v>
      </c>
      <c r="H66" s="1217">
        <f t="shared" si="121"/>
        <v>0.19112842422719276</v>
      </c>
      <c r="I66" s="1217">
        <f t="shared" si="121"/>
        <v>0.15082007645825626</v>
      </c>
      <c r="J66" s="1217">
        <f t="shared" si="121"/>
        <v>0.16413778962476933</v>
      </c>
      <c r="K66" s="1276">
        <f t="shared" si="121"/>
        <v>0.14245880067673411</v>
      </c>
      <c r="L66" s="1239">
        <f t="shared" si="121"/>
        <v>4.8016101207590568E-2</v>
      </c>
      <c r="M66" s="1217">
        <f t="shared" si="121"/>
        <v>0.16711532249380853</v>
      </c>
      <c r="N66" s="1217">
        <f t="shared" si="121"/>
        <v>0.14910056742726066</v>
      </c>
      <c r="O66" s="1217">
        <f t="shared" si="121"/>
        <v>0.13555933220033989</v>
      </c>
      <c r="P66" s="1276">
        <f t="shared" si="121"/>
        <v>0.12965912711054475</v>
      </c>
      <c r="Q66" s="1239">
        <f t="shared" si="121"/>
        <v>2.2505626406601649E-3</v>
      </c>
      <c r="R66" s="1217">
        <f t="shared" si="121"/>
        <v>0.14081316322880646</v>
      </c>
      <c r="S66" s="1217">
        <f t="shared" si="121"/>
        <v>8.2633053221288527E-2</v>
      </c>
      <c r="T66" s="1217">
        <f t="shared" si="121"/>
        <v>0.15565376738169662</v>
      </c>
      <c r="U66" s="1276">
        <f t="shared" si="121"/>
        <v>0.1021968119814809</v>
      </c>
      <c r="V66" s="1239"/>
      <c r="W66" s="1217"/>
      <c r="X66" s="1217"/>
      <c r="Y66" s="1217"/>
      <c r="Z66" s="1276"/>
      <c r="AA66" s="1239"/>
      <c r="AB66" s="1217"/>
      <c r="AC66" s="1217"/>
      <c r="AD66" s="1217"/>
      <c r="AE66" s="1276"/>
      <c r="AF66" s="1239"/>
      <c r="AG66" s="1217"/>
      <c r="AH66" s="1217"/>
      <c r="AI66" s="1217"/>
      <c r="AJ66" s="1276"/>
      <c r="AK66" s="1239"/>
      <c r="AL66" s="1217"/>
      <c r="AM66" s="1217"/>
      <c r="AN66" s="1217"/>
      <c r="AO66" s="1276"/>
      <c r="AP66" s="1239"/>
      <c r="AQ66" s="1217"/>
      <c r="AR66" s="1217"/>
      <c r="AS66" s="1217"/>
      <c r="AT66" s="1276"/>
      <c r="AU66" s="1239"/>
      <c r="AV66" s="1217"/>
      <c r="AW66" s="1217"/>
      <c r="AX66" s="1217"/>
      <c r="AY66" s="1276"/>
      <c r="AZ66" s="1239"/>
      <c r="BA66" s="1217"/>
      <c r="BB66" s="1217"/>
      <c r="BC66" s="1217"/>
      <c r="BD66" s="1276"/>
      <c r="BE66" s="1239"/>
      <c r="BF66" s="1217"/>
      <c r="BG66" s="1217"/>
      <c r="BH66" s="1217"/>
      <c r="BI66" s="1276"/>
      <c r="BJ66" s="1239"/>
      <c r="BK66" s="1217"/>
      <c r="BL66" s="1217"/>
      <c r="BM66" s="1217"/>
      <c r="BN66" s="1276"/>
      <c r="BO66" s="1239"/>
      <c r="BP66" s="1217"/>
      <c r="BQ66" s="1217"/>
      <c r="BR66" s="1217"/>
      <c r="BS66" s="1276"/>
      <c r="BT66" s="1239"/>
      <c r="BU66" s="1217"/>
      <c r="BV66" s="1217"/>
      <c r="BW66" s="1217"/>
      <c r="BX66" s="1276"/>
      <c r="BY66" s="1239"/>
      <c r="BZ66" s="1217"/>
      <c r="CA66" s="1217"/>
      <c r="CB66" s="1217"/>
      <c r="CC66" s="1760"/>
      <c r="CD66" s="1239"/>
      <c r="CE66" s="1217"/>
      <c r="CF66" s="1217"/>
      <c r="CG66" s="1217"/>
      <c r="CH66" s="1760"/>
      <c r="CI66" s="1217"/>
      <c r="CJ66" s="860"/>
      <c r="CK66" s="1233"/>
      <c r="CL66" s="860"/>
      <c r="CM66" s="860"/>
      <c r="CN66" s="860"/>
      <c r="CO66" s="1232"/>
      <c r="CP66" s="1233"/>
      <c r="CQ66" s="860"/>
      <c r="CR66" s="860"/>
      <c r="CS66" s="860"/>
      <c r="CT66" s="1232"/>
      <c r="CU66" s="1233"/>
      <c r="CV66" s="860"/>
      <c r="CW66" s="860"/>
      <c r="CX66" s="860"/>
      <c r="CY66" s="1232"/>
      <c r="CZ66" s="1233"/>
      <c r="DA66" s="860"/>
      <c r="DB66" s="860"/>
      <c r="DC66" s="860"/>
      <c r="DD66" s="1232"/>
      <c r="DE66" s="1233"/>
      <c r="DF66" s="860">
        <v>75</v>
      </c>
      <c r="DG66" s="860">
        <f>(1+DH66)*DF66</f>
        <v>81.674999999999997</v>
      </c>
      <c r="DH66" s="1797">
        <v>8.8999999999999996E-2</v>
      </c>
      <c r="DI66" s="1232"/>
      <c r="DJ66" s="1233"/>
      <c r="DK66" s="860"/>
      <c r="DL66" s="860"/>
      <c r="DM66" s="860"/>
      <c r="DN66" s="1232"/>
      <c r="DO66" s="1233"/>
      <c r="DP66" s="860"/>
      <c r="DQ66" s="860"/>
      <c r="DR66" s="860"/>
      <c r="DS66" s="1232"/>
      <c r="DT66" s="1233"/>
      <c r="DU66" s="860"/>
      <c r="DV66" s="860"/>
      <c r="DW66" s="860"/>
      <c r="DX66" s="1232"/>
      <c r="DY66" s="1233"/>
      <c r="DZ66" s="860"/>
      <c r="EA66" s="860"/>
      <c r="EB66" s="860"/>
      <c r="EC66" s="1232"/>
      <c r="ED66" s="860"/>
      <c r="EE66" s="860"/>
      <c r="EF66" s="860"/>
      <c r="EG66" s="860"/>
      <c r="EH66" s="860"/>
      <c r="EI66" s="1233"/>
      <c r="EJ66" s="860"/>
      <c r="EK66" s="860"/>
      <c r="EL66" s="860"/>
      <c r="EM66" s="1232"/>
      <c r="EN66" s="1233"/>
      <c r="EO66" s="860"/>
      <c r="EP66" s="860"/>
      <c r="EQ66" s="860"/>
      <c r="ER66" s="1232"/>
      <c r="ES66" s="860"/>
      <c r="ET66" s="860"/>
      <c r="EU66" s="860"/>
      <c r="EV66" s="860"/>
      <c r="EW66" s="1232"/>
      <c r="EX66" s="1233"/>
      <c r="EY66" s="860"/>
      <c r="EZ66" s="860"/>
      <c r="FA66" s="860"/>
      <c r="FB66" s="1754"/>
      <c r="FC66" s="1233"/>
      <c r="FD66" s="860"/>
      <c r="FE66" s="860"/>
      <c r="FF66" s="860"/>
      <c r="FG66" s="860"/>
      <c r="FH66" s="860"/>
      <c r="FI66" s="860"/>
      <c r="FJ66" s="860"/>
      <c r="FY66" s="860"/>
      <c r="FZ66" s="860"/>
      <c r="GA66" s="860"/>
      <c r="GB66" s="860"/>
      <c r="GC66" s="860"/>
      <c r="GD66" s="860"/>
      <c r="GE66" s="860"/>
      <c r="GF66" s="860"/>
      <c r="GG66" s="860"/>
      <c r="GH66" s="860"/>
      <c r="GI66" s="860"/>
      <c r="GJ66" s="860"/>
      <c r="GK66" s="860"/>
      <c r="GL66" s="860"/>
      <c r="GM66" s="860"/>
      <c r="GN66" s="860"/>
      <c r="GO66" s="860"/>
      <c r="GP66" s="860"/>
      <c r="GQ66" s="860"/>
      <c r="GR66" s="1247"/>
      <c r="GS66" s="1218"/>
      <c r="GT66" s="1247"/>
      <c r="GU66" s="1218"/>
      <c r="GV66" s="1247"/>
      <c r="GW66" s="1218"/>
      <c r="GX66" s="1218"/>
      <c r="GY66" s="1247"/>
      <c r="GZ66" s="1218"/>
      <c r="HA66" s="1218"/>
      <c r="HB66" s="1247"/>
      <c r="HC66" s="1218"/>
      <c r="HD66" s="2000"/>
      <c r="HE66" s="1247"/>
      <c r="HF66" s="1218"/>
      <c r="HG66" s="2000"/>
      <c r="HH66" s="1247"/>
      <c r="HI66" s="1247"/>
      <c r="HJ66" s="1218"/>
      <c r="HK66" s="2000"/>
      <c r="HL66" s="1247"/>
      <c r="HM66" s="1218"/>
      <c r="HN66" s="2000"/>
      <c r="HO66" s="1247"/>
      <c r="HP66" s="1218"/>
      <c r="HQ66" s="2000"/>
      <c r="HR66" s="1247"/>
    </row>
    <row r="67" spans="1:226" hidden="1">
      <c r="A67" s="1275" t="str">
        <f t="shared" si="118"/>
        <v>Satellite (Sky)</v>
      </c>
      <c r="B67" s="1239"/>
      <c r="C67" s="1217"/>
      <c r="D67" s="1217"/>
      <c r="E67" s="1217"/>
      <c r="F67" s="1276"/>
      <c r="G67" s="1239">
        <f t="shared" ref="G67:AL67" si="122">G31/G16</f>
        <v>0.47066591832018218</v>
      </c>
      <c r="H67" s="1217">
        <f t="shared" si="122"/>
        <v>0.4792787599282603</v>
      </c>
      <c r="I67" s="1217">
        <f t="shared" si="122"/>
        <v>0.46540217773094489</v>
      </c>
      <c r="J67" s="1217">
        <f t="shared" si="122"/>
        <v>0.44121143858331774</v>
      </c>
      <c r="K67" s="1276">
        <f t="shared" si="122"/>
        <v>0.46395602282197573</v>
      </c>
      <c r="L67" s="1239">
        <f t="shared" si="122"/>
        <v>0.46410960522042105</v>
      </c>
      <c r="M67" s="1217">
        <f t="shared" si="122"/>
        <v>0.47051191651389085</v>
      </c>
      <c r="N67" s="1217">
        <f t="shared" si="122"/>
        <v>0.46031106454992343</v>
      </c>
      <c r="O67" s="1217">
        <f t="shared" si="122"/>
        <v>0.42104710667891354</v>
      </c>
      <c r="P67" s="1276">
        <f t="shared" si="122"/>
        <v>0.45335766726118876</v>
      </c>
      <c r="Q67" s="1239">
        <f t="shared" si="122"/>
        <v>0.46213546566321728</v>
      </c>
      <c r="R67" s="1217">
        <f t="shared" si="122"/>
        <v>0.47014421755105101</v>
      </c>
      <c r="S67" s="1217">
        <f t="shared" si="122"/>
        <v>0.46547508435620322</v>
      </c>
      <c r="T67" s="1217">
        <f t="shared" si="122"/>
        <v>0.42750191350937616</v>
      </c>
      <c r="U67" s="1276">
        <f t="shared" si="122"/>
        <v>0.45597982395656689</v>
      </c>
      <c r="V67" s="1239">
        <f t="shared" si="122"/>
        <v>0.4638264431320252</v>
      </c>
      <c r="W67" s="1217">
        <f t="shared" si="122"/>
        <v>0.48048741086058477</v>
      </c>
      <c r="X67" s="1217">
        <f t="shared" si="122"/>
        <v>0.47732755539671196</v>
      </c>
      <c r="Y67" s="1217">
        <f t="shared" si="122"/>
        <v>0.45545061700895434</v>
      </c>
      <c r="Z67" s="1276">
        <f t="shared" si="122"/>
        <v>0.46925736491699283</v>
      </c>
      <c r="AA67" s="1239">
        <f t="shared" si="122"/>
        <v>0.46500205552069585</v>
      </c>
      <c r="AB67" s="1217">
        <f t="shared" si="122"/>
        <v>0.48129960842417191</v>
      </c>
      <c r="AC67" s="1217">
        <f t="shared" si="122"/>
        <v>0.47640449438202248</v>
      </c>
      <c r="AD67" s="1217">
        <f t="shared" si="122"/>
        <v>0.44237176545697576</v>
      </c>
      <c r="AE67" s="1276">
        <f t="shared" si="122"/>
        <v>0.46600877762484738</v>
      </c>
      <c r="AF67" s="1239">
        <f t="shared" si="122"/>
        <v>0.45038881411694331</v>
      </c>
      <c r="AG67" s="1217">
        <f t="shared" si="122"/>
        <v>0.45356317307864602</v>
      </c>
      <c r="AH67" s="1217">
        <f t="shared" si="122"/>
        <v>0.46026008936031093</v>
      </c>
      <c r="AI67" s="1217">
        <f t="shared" si="122"/>
        <v>0.44028264700005448</v>
      </c>
      <c r="AJ67" s="1276">
        <f t="shared" si="122"/>
        <v>0.45113758591143599</v>
      </c>
      <c r="AK67" s="1239">
        <f t="shared" si="122"/>
        <v>0.44513229614121214</v>
      </c>
      <c r="AL67" s="1217">
        <f t="shared" si="122"/>
        <v>0.47074567078466478</v>
      </c>
      <c r="AM67" s="1217">
        <f t="shared" ref="AM67:BT67" si="123">AM31/AM16</f>
        <v>0.48857709542349226</v>
      </c>
      <c r="AN67" s="1217">
        <f t="shared" si="123"/>
        <v>0.41734305415888517</v>
      </c>
      <c r="AO67" s="1276">
        <f t="shared" si="123"/>
        <v>0.45533180159481013</v>
      </c>
      <c r="AP67" s="1239">
        <f t="shared" si="123"/>
        <v>0.44607431222827082</v>
      </c>
      <c r="AQ67" s="1217">
        <f t="shared" si="123"/>
        <v>0.4490174595320563</v>
      </c>
      <c r="AR67" s="1217">
        <f t="shared" si="123"/>
        <v>0.4752649196456642</v>
      </c>
      <c r="AS67" s="1217">
        <f t="shared" si="123"/>
        <v>0.40546330031673961</v>
      </c>
      <c r="AT67" s="1276">
        <f t="shared" si="123"/>
        <v>0.44391418961912554</v>
      </c>
      <c r="AU67" s="1239">
        <f t="shared" si="123"/>
        <v>0.43678052105422599</v>
      </c>
      <c r="AV67" s="1217">
        <f t="shared" si="123"/>
        <v>0.43110637422636072</v>
      </c>
      <c r="AW67" s="1217">
        <f t="shared" si="123"/>
        <v>0.44956259483356126</v>
      </c>
      <c r="AX67" s="1217">
        <f t="shared" si="123"/>
        <v>0.39205443289769665</v>
      </c>
      <c r="AY67" s="1276">
        <f t="shared" si="123"/>
        <v>0.42727315313627207</v>
      </c>
      <c r="AZ67" s="1239">
        <f t="shared" si="123"/>
        <v>0.41329805931215657</v>
      </c>
      <c r="BA67" s="1217">
        <f t="shared" si="123"/>
        <v>0.42094764901082565</v>
      </c>
      <c r="BB67" s="1217">
        <f t="shared" si="123"/>
        <v>0.43528823308740777</v>
      </c>
      <c r="BC67" s="1217">
        <f t="shared" si="123"/>
        <v>0.38165859564164639</v>
      </c>
      <c r="BD67" s="1276">
        <f t="shared" si="123"/>
        <v>0.41273656295319111</v>
      </c>
      <c r="BE67" s="1239">
        <f t="shared" si="123"/>
        <v>0.38303584127435641</v>
      </c>
      <c r="BF67" s="1217">
        <f t="shared" si="123"/>
        <v>0.40263190966050871</v>
      </c>
      <c r="BG67" s="1217">
        <f t="shared" si="123"/>
        <v>0.41427629409825256</v>
      </c>
      <c r="BH67" s="1217">
        <f t="shared" si="123"/>
        <v>0.34350278279321705</v>
      </c>
      <c r="BI67" s="1276">
        <f t="shared" si="123"/>
        <v>0.38608773028974064</v>
      </c>
      <c r="BJ67" s="1239">
        <f t="shared" si="123"/>
        <v>0.35282521750668161</v>
      </c>
      <c r="BK67" s="1217">
        <f t="shared" si="123"/>
        <v>0.33118032723098767</v>
      </c>
      <c r="BL67" s="1217">
        <f t="shared" si="123"/>
        <v>0.34111418601852961</v>
      </c>
      <c r="BM67" s="1217">
        <f t="shared" si="123"/>
        <v>0.23327796459101402</v>
      </c>
      <c r="BN67" s="1276">
        <f t="shared" si="123"/>
        <v>0.31546929544225377</v>
      </c>
      <c r="BO67" s="1239">
        <f t="shared" si="123"/>
        <v>0.34543541738234285</v>
      </c>
      <c r="BP67" s="1217">
        <f t="shared" si="123"/>
        <v>0.32551972131700191</v>
      </c>
      <c r="BQ67" s="1217">
        <f t="shared" si="123"/>
        <v>0.35684029232416326</v>
      </c>
      <c r="BR67" s="1217">
        <f t="shared" si="123"/>
        <v>0.27283814807729101</v>
      </c>
      <c r="BS67" s="1276">
        <f t="shared" si="123"/>
        <v>0.3259217978754862</v>
      </c>
      <c r="BT67" s="1239">
        <f t="shared" si="123"/>
        <v>0.29767851895386421</v>
      </c>
      <c r="BU67" s="1217"/>
      <c r="BV67" s="1217"/>
      <c r="BW67" s="1217"/>
      <c r="BX67" s="1276"/>
      <c r="BY67" s="1239">
        <f>BY31/BY16</f>
        <v>0</v>
      </c>
      <c r="BZ67" s="1217"/>
      <c r="CA67" s="1217"/>
      <c r="CB67" s="1217"/>
      <c r="CC67" s="1760"/>
      <c r="CD67" s="1239">
        <f>CD31/CD16</f>
        <v>0</v>
      </c>
      <c r="CE67" s="1217"/>
      <c r="CF67" s="1217"/>
      <c r="CG67" s="1217"/>
      <c r="CH67" s="1760"/>
      <c r="CI67" s="1217"/>
      <c r="CJ67" s="860"/>
      <c r="CK67" s="1233"/>
      <c r="CL67" s="860"/>
      <c r="CM67" s="860"/>
      <c r="CN67" s="860"/>
      <c r="CO67" s="1232"/>
      <c r="CP67" s="1233"/>
      <c r="CQ67" s="860"/>
      <c r="CR67" s="860"/>
      <c r="CS67" s="860"/>
      <c r="CT67" s="1232"/>
      <c r="CU67" s="1233"/>
      <c r="CV67" s="860"/>
      <c r="CW67" s="860"/>
      <c r="CX67" s="860"/>
      <c r="CY67" s="1232"/>
      <c r="CZ67" s="1233"/>
      <c r="DA67" s="860"/>
      <c r="DB67" s="860"/>
      <c r="DC67" s="860"/>
      <c r="DD67" s="1232"/>
      <c r="DE67" s="1233"/>
      <c r="DF67" s="860">
        <v>25</v>
      </c>
      <c r="DG67" s="860">
        <f>DG65-DG66</f>
        <v>10.525000000000006</v>
      </c>
      <c r="DH67" s="1797">
        <f>DG67/DF67-1</f>
        <v>-0.57899999999999974</v>
      </c>
      <c r="DI67" s="1232"/>
      <c r="DJ67" s="1233"/>
      <c r="DK67" s="860"/>
      <c r="DL67" s="860"/>
      <c r="DM67" s="860"/>
      <c r="DN67" s="1232"/>
      <c r="DO67" s="1233"/>
      <c r="DP67" s="860"/>
      <c r="DQ67" s="860"/>
      <c r="DR67" s="860"/>
      <c r="DS67" s="1232"/>
      <c r="DT67" s="1233"/>
      <c r="DU67" s="860"/>
      <c r="DV67" s="860"/>
      <c r="DW67" s="860"/>
      <c r="DX67" s="1232"/>
      <c r="DY67" s="1233"/>
      <c r="DZ67" s="860"/>
      <c r="EA67" s="860"/>
      <c r="EB67" s="860"/>
      <c r="EC67" s="1232"/>
      <c r="ED67" s="860"/>
      <c r="EE67" s="860"/>
      <c r="EF67" s="860"/>
      <c r="EG67" s="860"/>
      <c r="EH67" s="860"/>
      <c r="EI67" s="1233"/>
      <c r="EJ67" s="860"/>
      <c r="EK67" s="860"/>
      <c r="EL67" s="860"/>
      <c r="EM67" s="1232"/>
      <c r="EN67" s="1233"/>
      <c r="EO67" s="860"/>
      <c r="EP67" s="860"/>
      <c r="EQ67" s="860"/>
      <c r="ER67" s="1232"/>
      <c r="ES67" s="860"/>
      <c r="ET67" s="860"/>
      <c r="EU67" s="860"/>
      <c r="EV67" s="860"/>
      <c r="EW67" s="1232"/>
      <c r="EX67" s="1233"/>
      <c r="EY67" s="860"/>
      <c r="EZ67" s="860"/>
      <c r="FA67" s="860"/>
      <c r="FB67" s="1754"/>
      <c r="FC67" s="1233"/>
      <c r="FD67" s="860"/>
      <c r="FE67" s="860"/>
      <c r="FF67" s="860"/>
      <c r="FG67" s="860"/>
      <c r="FH67" s="860"/>
      <c r="FI67" s="860"/>
      <c r="FJ67" s="860"/>
      <c r="FY67" s="860"/>
      <c r="FZ67" s="860"/>
      <c r="GA67" s="860"/>
      <c r="GB67" s="860"/>
      <c r="GC67" s="860"/>
      <c r="GD67" s="860"/>
      <c r="GE67" s="860"/>
      <c r="GF67" s="860"/>
      <c r="GG67" s="860"/>
      <c r="GH67" s="860"/>
      <c r="GI67" s="860"/>
      <c r="GJ67" s="860"/>
      <c r="GK67" s="860"/>
      <c r="GL67" s="860"/>
      <c r="GM67" s="860"/>
      <c r="GN67" s="860"/>
      <c r="GO67" s="860"/>
      <c r="GP67" s="860"/>
      <c r="GQ67" s="860"/>
      <c r="GR67" s="1247">
        <v>0.34411085450346418</v>
      </c>
      <c r="GS67" s="1218"/>
      <c r="GT67" s="1247">
        <v>0.23638774159989528</v>
      </c>
      <c r="GU67" s="1218"/>
      <c r="GV67" s="1247">
        <v>0.35395800000000005</v>
      </c>
      <c r="GW67" s="1218"/>
      <c r="GX67" s="1218"/>
      <c r="GY67" s="1247">
        <v>0.32289171974522296</v>
      </c>
      <c r="GZ67" s="1218"/>
      <c r="HA67" s="1218"/>
      <c r="HB67" s="1247"/>
      <c r="HC67" s="1218"/>
      <c r="HD67" s="2000"/>
      <c r="HE67" s="1247"/>
      <c r="HF67" s="1218"/>
      <c r="HG67" s="2000"/>
      <c r="HH67" s="1247"/>
      <c r="HI67" s="1247"/>
      <c r="HJ67" s="1218"/>
      <c r="HK67" s="2000"/>
      <c r="HL67" s="1247"/>
      <c r="HM67" s="1218"/>
      <c r="HN67" s="2000"/>
      <c r="HO67" s="1247"/>
      <c r="HP67" s="1218"/>
      <c r="HQ67" s="2000"/>
      <c r="HR67" s="1247">
        <v>0</v>
      </c>
    </row>
    <row r="68" spans="1:226" hidden="1">
      <c r="A68" s="1275" t="str">
        <f t="shared" si="118"/>
        <v>Cable and Telecom</v>
      </c>
      <c r="B68" s="1239"/>
      <c r="C68" s="1217"/>
      <c r="D68" s="1217"/>
      <c r="E68" s="1217"/>
      <c r="F68" s="1276"/>
      <c r="G68" s="1239">
        <f t="shared" ref="G68:AL68" si="124">G32/G14</f>
        <v>0.33046412979533701</v>
      </c>
      <c r="H68" s="1217">
        <f t="shared" si="124"/>
        <v>0.33264320220841959</v>
      </c>
      <c r="I68" s="1217">
        <f t="shared" si="124"/>
        <v>0.35395310474843872</v>
      </c>
      <c r="J68" s="1217">
        <f t="shared" si="124"/>
        <v>0.3809200152248382</v>
      </c>
      <c r="K68" s="1276">
        <f t="shared" si="124"/>
        <v>0.35045543218387426</v>
      </c>
      <c r="L68" s="1239">
        <f t="shared" si="124"/>
        <v>0.35281482856460983</v>
      </c>
      <c r="M68" s="1217">
        <f t="shared" si="124"/>
        <v>0.38042720252085649</v>
      </c>
      <c r="N68" s="1217">
        <f t="shared" si="124"/>
        <v>0.36762967151596154</v>
      </c>
      <c r="O68" s="1217">
        <f t="shared" si="124"/>
        <v>0.39115679960366606</v>
      </c>
      <c r="P68" s="1276">
        <f t="shared" si="124"/>
        <v>0.37332374248574213</v>
      </c>
      <c r="Q68" s="1239">
        <f t="shared" si="124"/>
        <v>0.35646925688419462</v>
      </c>
      <c r="R68" s="1217">
        <f t="shared" si="124"/>
        <v>0.37689809951294051</v>
      </c>
      <c r="S68" s="1217">
        <f t="shared" si="124"/>
        <v>0.33811864213052917</v>
      </c>
      <c r="T68" s="1217">
        <f t="shared" si="124"/>
        <v>0.36017741444536255</v>
      </c>
      <c r="U68" s="1276">
        <f t="shared" si="124"/>
        <v>0.35777300627815251</v>
      </c>
      <c r="V68" s="1239">
        <f t="shared" si="124"/>
        <v>0.35369299656566533</v>
      </c>
      <c r="W68" s="1217">
        <f t="shared" si="124"/>
        <v>0.37017299165226808</v>
      </c>
      <c r="X68" s="1217">
        <f t="shared" si="124"/>
        <v>0.37352736046445867</v>
      </c>
      <c r="Y68" s="1217">
        <f t="shared" si="124"/>
        <v>0.40076752625325157</v>
      </c>
      <c r="Z68" s="1276">
        <f t="shared" si="124"/>
        <v>0.37650211107502435</v>
      </c>
      <c r="AA68" s="1239">
        <f t="shared" si="124"/>
        <v>0.3958299203216919</v>
      </c>
      <c r="AB68" s="1217">
        <f t="shared" si="124"/>
        <v>0.40004631170673111</v>
      </c>
      <c r="AC68" s="1217">
        <f t="shared" si="124"/>
        <v>0.4075952837948999</v>
      </c>
      <c r="AD68" s="1217">
        <f t="shared" si="124"/>
        <v>0.39769619952180291</v>
      </c>
      <c r="AE68" s="1276">
        <f t="shared" si="124"/>
        <v>0.40036084989276299</v>
      </c>
      <c r="AF68" s="1239">
        <f t="shared" si="124"/>
        <v>0.41364107543530459</v>
      </c>
      <c r="AG68" s="1217">
        <f t="shared" si="124"/>
        <v>0.42221965880980755</v>
      </c>
      <c r="AH68" s="1217">
        <f t="shared" si="124"/>
        <v>0.42220914263292131</v>
      </c>
      <c r="AI68" s="1217">
        <f t="shared" si="124"/>
        <v>0.40251647981523353</v>
      </c>
      <c r="AJ68" s="1276">
        <f t="shared" si="124"/>
        <v>0.4150340528540431</v>
      </c>
      <c r="AK68" s="1239">
        <f t="shared" si="124"/>
        <v>0.41961142744216495</v>
      </c>
      <c r="AL68" s="1217">
        <f t="shared" si="124"/>
        <v>0.42832257020916548</v>
      </c>
      <c r="AM68" s="1217">
        <f t="shared" ref="AM68:BT68" si="125">AM32/AM14</f>
        <v>0.42337038149594475</v>
      </c>
      <c r="AN68" s="1217">
        <f t="shared" si="125"/>
        <v>0.42729462695946652</v>
      </c>
      <c r="AO68" s="1276">
        <f t="shared" si="125"/>
        <v>0.42468530622125394</v>
      </c>
      <c r="AP68" s="1239">
        <f t="shared" si="125"/>
        <v>0.42272512312998139</v>
      </c>
      <c r="AQ68" s="1217">
        <f t="shared" si="125"/>
        <v>0.42199485593210734</v>
      </c>
      <c r="AR68" s="1217">
        <f t="shared" si="125"/>
        <v>0.4238115380860964</v>
      </c>
      <c r="AS68" s="1217">
        <f t="shared" si="125"/>
        <v>0.42086848713449682</v>
      </c>
      <c r="AT68" s="1276">
        <f t="shared" si="125"/>
        <v>0.42234979162641789</v>
      </c>
      <c r="AU68" s="1239">
        <f t="shared" si="125"/>
        <v>0.43413382366312731</v>
      </c>
      <c r="AV68" s="1217">
        <f t="shared" si="125"/>
        <v>0.43792397975664904</v>
      </c>
      <c r="AW68" s="1217">
        <f t="shared" si="125"/>
        <v>0.42391767009392645</v>
      </c>
      <c r="AX68" s="1217">
        <f t="shared" si="125"/>
        <v>0.41257795408538411</v>
      </c>
      <c r="AY68" s="1276">
        <f t="shared" si="125"/>
        <v>0.42679008201045515</v>
      </c>
      <c r="AZ68" s="1239">
        <f t="shared" si="125"/>
        <v>0.41481981024878284</v>
      </c>
      <c r="BA68" s="1217">
        <f t="shared" si="125"/>
        <v>0.41175898415393325</v>
      </c>
      <c r="BB68" s="1217">
        <f t="shared" si="125"/>
        <v>0.42047177832905269</v>
      </c>
      <c r="BC68" s="1217">
        <f t="shared" si="125"/>
        <v>0.4189857682843301</v>
      </c>
      <c r="BD68" s="1276">
        <f t="shared" si="125"/>
        <v>0.41656398579587411</v>
      </c>
      <c r="BE68" s="1239">
        <f t="shared" si="125"/>
        <v>0.41404530467177669</v>
      </c>
      <c r="BF68" s="1217">
        <f t="shared" si="125"/>
        <v>0.41898410896708288</v>
      </c>
      <c r="BG68" s="1217">
        <f t="shared" si="125"/>
        <v>0.41971226360366631</v>
      </c>
      <c r="BH68" s="1217">
        <f t="shared" si="125"/>
        <v>0.43637871862851935</v>
      </c>
      <c r="BI68" s="1276">
        <f t="shared" si="125"/>
        <v>0.4224202378547674</v>
      </c>
      <c r="BJ68" s="1239">
        <f t="shared" si="125"/>
        <v>0.42181371510864502</v>
      </c>
      <c r="BK68" s="1217">
        <f t="shared" si="125"/>
        <v>0.42142978723404256</v>
      </c>
      <c r="BL68" s="1217">
        <f t="shared" si="125"/>
        <v>0.39635307406809744</v>
      </c>
      <c r="BM68" s="1217">
        <f t="shared" si="125"/>
        <v>0.40593582758980368</v>
      </c>
      <c r="BN68" s="1276">
        <f t="shared" si="125"/>
        <v>0.41111464560293148</v>
      </c>
      <c r="BO68" s="1239">
        <f t="shared" si="125"/>
        <v>0.40890230724178606</v>
      </c>
      <c r="BP68" s="1217">
        <f t="shared" si="125"/>
        <v>0.39388195094170764</v>
      </c>
      <c r="BQ68" s="1217">
        <f t="shared" si="125"/>
        <v>0.35568287522946357</v>
      </c>
      <c r="BR68" s="1217">
        <f t="shared" si="125"/>
        <v>0.38412143394006737</v>
      </c>
      <c r="BS68" s="1276">
        <f t="shared" si="125"/>
        <v>0.38374058706008912</v>
      </c>
      <c r="BT68" s="1239">
        <f t="shared" si="125"/>
        <v>0.39196553780009574</v>
      </c>
      <c r="BU68" s="1217"/>
      <c r="BV68" s="1217"/>
      <c r="BW68" s="1217"/>
      <c r="BX68" s="1276"/>
      <c r="BY68" s="1239">
        <f>BY32/BY14</f>
        <v>0</v>
      </c>
      <c r="BZ68" s="1217"/>
      <c r="CA68" s="1217"/>
      <c r="CB68" s="1217"/>
      <c r="CC68" s="1760"/>
      <c r="CD68" s="1239">
        <f>CD32/CD14</f>
        <v>0</v>
      </c>
      <c r="CE68" s="1217"/>
      <c r="CF68" s="1217"/>
      <c r="CG68" s="1217"/>
      <c r="CH68" s="1760"/>
      <c r="CI68" s="1217"/>
      <c r="CJ68" s="860"/>
      <c r="CK68" s="1233"/>
      <c r="CL68" s="860"/>
      <c r="CM68" s="860"/>
      <c r="CN68" s="860"/>
      <c r="CO68" s="1232"/>
      <c r="CP68" s="1233"/>
      <c r="CQ68" s="860"/>
      <c r="CR68" s="860"/>
      <c r="CS68" s="860"/>
      <c r="CT68" s="1232"/>
      <c r="CU68" s="1233"/>
      <c r="CV68" s="860"/>
      <c r="CW68" s="860"/>
      <c r="CX68" s="860"/>
      <c r="CY68" s="1232"/>
      <c r="CZ68" s="1233"/>
      <c r="DA68" s="860"/>
      <c r="DB68" s="860"/>
      <c r="DC68" s="860"/>
      <c r="DD68" s="1232"/>
      <c r="DE68" s="1233"/>
      <c r="DF68" s="860"/>
      <c r="DG68" s="860"/>
      <c r="DH68" s="860"/>
      <c r="DI68" s="1232"/>
      <c r="DJ68" s="1233"/>
      <c r="DK68" s="860"/>
      <c r="DL68" s="860"/>
      <c r="DM68" s="860"/>
      <c r="DN68" s="1232"/>
      <c r="DO68" s="1233"/>
      <c r="DP68" s="860"/>
      <c r="DQ68" s="860"/>
      <c r="DR68" s="860"/>
      <c r="DS68" s="1232"/>
      <c r="DT68" s="1233"/>
      <c r="DU68" s="860"/>
      <c r="DV68" s="860"/>
      <c r="DW68" s="860"/>
      <c r="DX68" s="1232"/>
      <c r="DY68" s="1233"/>
      <c r="DZ68" s="860"/>
      <c r="EA68" s="860"/>
      <c r="EB68" s="860"/>
      <c r="EC68" s="1232"/>
      <c r="ED68" s="860"/>
      <c r="EE68" s="860"/>
      <c r="EF68" s="860"/>
      <c r="EG68" s="860"/>
      <c r="EH68" s="860"/>
      <c r="EI68" s="1233"/>
      <c r="EJ68" s="860"/>
      <c r="EK68" s="860"/>
      <c r="EL68" s="860"/>
      <c r="EM68" s="1232"/>
      <c r="EN68" s="1233"/>
      <c r="EO68" s="860"/>
      <c r="EP68" s="860"/>
      <c r="EQ68" s="860"/>
      <c r="ER68" s="1232"/>
      <c r="ES68" s="860"/>
      <c r="ET68" s="860"/>
      <c r="EU68" s="860"/>
      <c r="EV68" s="860"/>
      <c r="EW68" s="1232"/>
      <c r="EX68" s="1233"/>
      <c r="EY68" s="860"/>
      <c r="EZ68" s="860"/>
      <c r="FA68" s="860"/>
      <c r="FB68" s="1754"/>
      <c r="FC68" s="1233"/>
      <c r="FD68" s="860"/>
      <c r="FE68" s="860"/>
      <c r="FF68" s="860"/>
      <c r="FG68" s="860"/>
      <c r="FH68" s="860"/>
      <c r="FI68" s="860"/>
      <c r="FJ68" s="860"/>
      <c r="FY68" s="860"/>
      <c r="FZ68" s="860"/>
      <c r="GA68" s="860"/>
      <c r="GB68" s="860"/>
      <c r="GC68" s="860"/>
      <c r="GD68" s="860"/>
      <c r="GE68" s="860"/>
      <c r="GF68" s="860"/>
      <c r="GG68" s="860"/>
      <c r="GH68" s="860"/>
      <c r="GI68" s="860"/>
      <c r="GJ68" s="860"/>
      <c r="GK68" s="860"/>
      <c r="GL68" s="860"/>
      <c r="GM68" s="860"/>
      <c r="GN68" s="860"/>
      <c r="GO68" s="860"/>
      <c r="GP68" s="860"/>
      <c r="GQ68" s="860"/>
      <c r="GR68" s="1247">
        <v>0.37848334155372598</v>
      </c>
      <c r="GS68" s="1218"/>
      <c r="GT68" s="1247">
        <v>0.36792171436632198</v>
      </c>
      <c r="GU68" s="1218"/>
      <c r="GV68" s="1247">
        <v>0.39508196721311473</v>
      </c>
      <c r="GW68" s="1218"/>
      <c r="GX68" s="1218"/>
      <c r="GY68" s="1247">
        <v>0.38589211618257263</v>
      </c>
      <c r="GZ68" s="1218"/>
      <c r="HA68" s="1218"/>
      <c r="HB68" s="1247"/>
      <c r="HC68" s="1218"/>
      <c r="HD68" s="2000"/>
      <c r="HE68" s="1247"/>
      <c r="HF68" s="1218"/>
      <c r="HG68" s="2000"/>
      <c r="HH68" s="1247"/>
      <c r="HI68" s="1247"/>
      <c r="HJ68" s="1218"/>
      <c r="HK68" s="2000"/>
      <c r="HL68" s="1247"/>
      <c r="HM68" s="1218"/>
      <c r="HN68" s="2000"/>
      <c r="HO68" s="1247"/>
      <c r="HP68" s="1218"/>
      <c r="HQ68" s="2000"/>
      <c r="HR68" s="1247">
        <v>0</v>
      </c>
    </row>
    <row r="69" spans="1:226" hidden="1">
      <c r="A69" s="1275" t="str">
        <f t="shared" si="118"/>
        <v>Other Businesses</v>
      </c>
      <c r="B69" s="1239"/>
      <c r="C69" s="1217"/>
      <c r="D69" s="1217"/>
      <c r="E69" s="1217"/>
      <c r="F69" s="1276"/>
      <c r="G69" s="1239">
        <f t="shared" ref="G69:Y69" si="126">G33/G18</f>
        <v>-5.3768179814896427E-2</v>
      </c>
      <c r="H69" s="1217">
        <f t="shared" si="126"/>
        <v>1.1757092007334701E-2</v>
      </c>
      <c r="I69" s="1217">
        <f t="shared" si="126"/>
        <v>-6.5481758652946647E-3</v>
      </c>
      <c r="J69" s="1217">
        <f t="shared" si="126"/>
        <v>-8.5667055620381155E-2</v>
      </c>
      <c r="K69" s="1276">
        <f t="shared" si="126"/>
        <v>-3.4586426853497852E-2</v>
      </c>
      <c r="L69" s="1239">
        <f t="shared" si="126"/>
        <v>9.471799462846911E-2</v>
      </c>
      <c r="M69" s="1217">
        <f t="shared" si="126"/>
        <v>4.5609624708206141E-2</v>
      </c>
      <c r="N69" s="1217">
        <f t="shared" si="126"/>
        <v>1.2933376806868818E-2</v>
      </c>
      <c r="O69" s="1217">
        <f t="shared" si="126"/>
        <v>1.4427157001414427E-2</v>
      </c>
      <c r="P69" s="1276">
        <f t="shared" si="126"/>
        <v>4.3643443985373044E-2</v>
      </c>
      <c r="Q69" s="1239">
        <f t="shared" si="126"/>
        <v>0.10993869962817808</v>
      </c>
      <c r="R69" s="1217">
        <f t="shared" si="126"/>
        <v>7.9113082039911312E-2</v>
      </c>
      <c r="S69" s="1217">
        <f t="shared" si="126"/>
        <v>9.0381426202321716E-2</v>
      </c>
      <c r="T69" s="1217">
        <f t="shared" si="126"/>
        <v>0.11930783242258651</v>
      </c>
      <c r="U69" s="1276">
        <f t="shared" si="126"/>
        <v>0.1015859938208033</v>
      </c>
      <c r="V69" s="1239">
        <f t="shared" si="126"/>
        <v>5.8573426573426575E-2</v>
      </c>
      <c r="W69" s="1217">
        <f t="shared" si="126"/>
        <v>0.10175150238841234</v>
      </c>
      <c r="X69" s="1217">
        <f t="shared" si="126"/>
        <v>7.8281524320974905E-2</v>
      </c>
      <c r="Y69" s="1217">
        <f t="shared" si="126"/>
        <v>7.7688299384178108E-2</v>
      </c>
      <c r="Z69" s="1261"/>
      <c r="AA69" s="1239">
        <f t="shared" ref="AA69:AD70" si="127">AA33/AA18</f>
        <v>0.11551292743953294</v>
      </c>
      <c r="AB69" s="1217">
        <f t="shared" si="127"/>
        <v>6.8020036910097545E-2</v>
      </c>
      <c r="AC69" s="1217">
        <f t="shared" si="127"/>
        <v>0.12842210054753608</v>
      </c>
      <c r="AD69" s="1217">
        <f t="shared" si="127"/>
        <v>6.2858633281168516E-2</v>
      </c>
      <c r="AE69" s="1261"/>
      <c r="AF69" s="1239">
        <f t="shared" ref="AF69:AI70" si="128">AF33/AF18</f>
        <v>7.9713818939778039E-2</v>
      </c>
      <c r="AG69" s="1217">
        <f t="shared" si="128"/>
        <v>8.4119919792634612E-2</v>
      </c>
      <c r="AH69" s="1217">
        <f t="shared" si="128"/>
        <v>0.16134249898908212</v>
      </c>
      <c r="AI69" s="1217">
        <f t="shared" si="128"/>
        <v>0.13226733740567734</v>
      </c>
      <c r="AJ69" s="1261"/>
      <c r="AK69" s="1239">
        <f t="shared" ref="AK69:AN70" si="129">AK33/AK18</f>
        <v>3.8810941758352681E-2</v>
      </c>
      <c r="AL69" s="1217">
        <f t="shared" si="129"/>
        <v>6.201585710380024E-2</v>
      </c>
      <c r="AM69" s="1217">
        <f t="shared" si="129"/>
        <v>2.7043482672890556E-2</v>
      </c>
      <c r="AN69" s="1217">
        <f t="shared" si="129"/>
        <v>0.10034990130988695</v>
      </c>
      <c r="AO69" s="1261"/>
      <c r="AP69" s="1239">
        <f t="shared" ref="AP69:AS70" si="130">AP33/AP18</f>
        <v>0.1146536212325686</v>
      </c>
      <c r="AQ69" s="1217">
        <f t="shared" si="130"/>
        <v>8.354233330450575E-2</v>
      </c>
      <c r="AR69" s="1217">
        <f t="shared" si="130"/>
        <v>6.5091189314153614E-2</v>
      </c>
      <c r="AS69" s="1217">
        <f t="shared" si="130"/>
        <v>8.8722093918398762E-2</v>
      </c>
      <c r="AT69" s="1261"/>
      <c r="AU69" s="1239">
        <f t="shared" ref="AU69:AX70" si="131">AU33/AU18</f>
        <v>0.23673848604167588</v>
      </c>
      <c r="AV69" s="1217">
        <f t="shared" si="131"/>
        <v>0.11328024659645518</v>
      </c>
      <c r="AW69" s="1217">
        <f t="shared" si="131"/>
        <v>0.29262086513994912</v>
      </c>
      <c r="AX69" s="1217">
        <f t="shared" si="131"/>
        <v>4.028129686126479E-2</v>
      </c>
      <c r="AY69" s="1261"/>
      <c r="AZ69" s="1239">
        <f t="shared" ref="AZ69:BC70" si="132">AZ33/AZ18</f>
        <v>0.19485294117647059</v>
      </c>
      <c r="BA69" s="1217">
        <f t="shared" si="132"/>
        <v>-0.74484217950978659</v>
      </c>
      <c r="BB69" s="1217">
        <f t="shared" si="132"/>
        <v>4.2172523961661341E-3</v>
      </c>
      <c r="BC69" s="1217">
        <f t="shared" si="132"/>
        <v>0.1609937402190923</v>
      </c>
      <c r="BD69" s="1261"/>
      <c r="BE69" s="1239">
        <f t="shared" ref="BE69:BS69" si="133">BE33/BE18</f>
        <v>1.2716763005780346E-2</v>
      </c>
      <c r="BF69" s="1217">
        <f t="shared" si="133"/>
        <v>0.22414358301917717</v>
      </c>
      <c r="BG69" s="1217">
        <f t="shared" si="133"/>
        <v>0.17968916329572068</v>
      </c>
      <c r="BH69" s="1217">
        <f t="shared" si="133"/>
        <v>0.25445380472310453</v>
      </c>
      <c r="BI69" s="1276">
        <f t="shared" si="133"/>
        <v>0.1804100137201487</v>
      </c>
      <c r="BJ69" s="1239">
        <f t="shared" si="133"/>
        <v>0.22659683342363493</v>
      </c>
      <c r="BK69" s="1217">
        <f t="shared" si="133"/>
        <v>0.22470878521833937</v>
      </c>
      <c r="BL69" s="1217">
        <f t="shared" si="133"/>
        <v>0.21922698815129094</v>
      </c>
      <c r="BM69" s="1217">
        <f t="shared" si="133"/>
        <v>0.24931328971682565</v>
      </c>
      <c r="BN69" s="1276">
        <f t="shared" si="133"/>
        <v>0.23041914209407532</v>
      </c>
      <c r="BO69" s="1239">
        <f t="shared" si="133"/>
        <v>0.21828892612008863</v>
      </c>
      <c r="BP69" s="1217">
        <f t="shared" si="133"/>
        <v>0.2733625365039633</v>
      </c>
      <c r="BQ69" s="1217">
        <f t="shared" si="133"/>
        <v>0.28409378639793387</v>
      </c>
      <c r="BR69" s="1217">
        <f t="shared" si="133"/>
        <v>0.21764263558605132</v>
      </c>
      <c r="BS69" s="1276">
        <f t="shared" si="133"/>
        <v>0.24806240947322949</v>
      </c>
      <c r="BT69" s="1239"/>
      <c r="BU69" s="1217"/>
      <c r="BV69" s="1217"/>
      <c r="BW69" s="1217"/>
      <c r="BX69" s="1276"/>
      <c r="BY69" s="1239"/>
      <c r="BZ69" s="1217"/>
      <c r="CA69" s="1217"/>
      <c r="CB69" s="1217"/>
      <c r="CC69" s="1760"/>
      <c r="CD69" s="1239"/>
      <c r="CE69" s="1217"/>
      <c r="CF69" s="1217"/>
      <c r="CG69" s="1217"/>
      <c r="CH69" s="1760"/>
      <c r="CI69" s="1217"/>
      <c r="CJ69" s="860"/>
      <c r="CK69" s="1233"/>
      <c r="CL69" s="860"/>
      <c r="CM69" s="860"/>
      <c r="CN69" s="860"/>
      <c r="CO69" s="1232"/>
      <c r="CP69" s="1233"/>
      <c r="CQ69" s="860"/>
      <c r="CR69" s="860"/>
      <c r="CS69" s="860"/>
      <c r="CT69" s="1232"/>
      <c r="CU69" s="1233"/>
      <c r="CV69" s="860"/>
      <c r="CW69" s="860"/>
      <c r="CX69" s="860"/>
      <c r="CY69" s="1232"/>
      <c r="CZ69" s="1233"/>
      <c r="DA69" s="860"/>
      <c r="DB69" s="860"/>
      <c r="DC69" s="860"/>
      <c r="DD69" s="1232"/>
      <c r="DE69" s="1233"/>
      <c r="DF69" s="860"/>
      <c r="DG69" s="860"/>
      <c r="DH69" s="860"/>
      <c r="DI69" s="1232"/>
      <c r="DJ69" s="1233"/>
      <c r="DK69" s="860"/>
      <c r="DL69" s="860"/>
      <c r="DM69" s="860"/>
      <c r="DN69" s="1232"/>
      <c r="DO69" s="1233"/>
      <c r="DP69" s="860"/>
      <c r="DQ69" s="860"/>
      <c r="DR69" s="860"/>
      <c r="DS69" s="1232"/>
      <c r="DT69" s="1233"/>
      <c r="DU69" s="860"/>
      <c r="DV69" s="860"/>
      <c r="DW69" s="860"/>
      <c r="DX69" s="1232"/>
      <c r="DY69" s="1233"/>
      <c r="DZ69" s="860"/>
      <c r="EA69" s="860"/>
      <c r="EB69" s="860"/>
      <c r="EC69" s="1232"/>
      <c r="ED69" s="860"/>
      <c r="EE69" s="860"/>
      <c r="EF69" s="860"/>
      <c r="EG69" s="860"/>
      <c r="EH69" s="860"/>
      <c r="EI69" s="1233"/>
      <c r="EJ69" s="860"/>
      <c r="EK69" s="860"/>
      <c r="EL69" s="860"/>
      <c r="EM69" s="1232"/>
      <c r="EN69" s="1233"/>
      <c r="EO69" s="860"/>
      <c r="EP69" s="860"/>
      <c r="EQ69" s="860"/>
      <c r="ER69" s="1232"/>
      <c r="ES69" s="860"/>
      <c r="ET69" s="860"/>
      <c r="EU69" s="860"/>
      <c r="EV69" s="860"/>
      <c r="EW69" s="1232"/>
      <c r="EX69" s="1233"/>
      <c r="EY69" s="860"/>
      <c r="EZ69" s="860"/>
      <c r="FA69" s="860"/>
      <c r="FB69" s="1754"/>
      <c r="FC69" s="1233"/>
      <c r="FD69" s="860"/>
      <c r="FE69" s="860"/>
      <c r="FF69" s="860"/>
      <c r="FG69" s="860"/>
      <c r="FH69" s="860"/>
      <c r="FI69" s="860"/>
      <c r="FJ69" s="860"/>
      <c r="FY69" s="860"/>
      <c r="FZ69" s="860"/>
      <c r="GA69" s="860"/>
      <c r="GB69" s="860"/>
      <c r="GC69" s="860"/>
      <c r="GD69" s="860"/>
      <c r="GE69" s="860"/>
      <c r="GF69" s="860"/>
      <c r="GG69" s="860"/>
      <c r="GH69" s="860"/>
      <c r="GI69" s="860"/>
      <c r="GJ69" s="860"/>
      <c r="GK69" s="860"/>
      <c r="GL69" s="860"/>
      <c r="GM69" s="860"/>
      <c r="GN69" s="860"/>
      <c r="GO69" s="860"/>
      <c r="GP69" s="860"/>
      <c r="GQ69" s="860"/>
      <c r="GR69" s="1247">
        <v>0.23132530120481928</v>
      </c>
      <c r="GS69" s="1218"/>
      <c r="GT69" s="1247">
        <v>0.21870551390338802</v>
      </c>
      <c r="GU69" s="1218"/>
      <c r="GV69" s="1247">
        <v>0.44444444444444442</v>
      </c>
      <c r="GW69" s="1218"/>
      <c r="GX69" s="1218"/>
      <c r="GY69" s="1247"/>
      <c r="GZ69" s="1218"/>
      <c r="HA69" s="1218"/>
      <c r="HB69" s="1247"/>
      <c r="HC69" s="1218"/>
      <c r="HD69" s="2000"/>
      <c r="HE69" s="1247"/>
      <c r="HF69" s="1218"/>
      <c r="HG69" s="2000"/>
      <c r="HH69" s="1241"/>
      <c r="HI69" s="1247"/>
      <c r="HJ69" s="1218"/>
      <c r="HK69" s="2000"/>
      <c r="HL69" s="1247"/>
      <c r="HM69" s="1218"/>
      <c r="HN69" s="2000"/>
      <c r="HO69" s="1247"/>
      <c r="HP69" s="1218"/>
      <c r="HQ69" s="2000"/>
      <c r="HR69" s="1247"/>
    </row>
    <row r="70" spans="1:226">
      <c r="A70" s="1507" t="str">
        <f t="shared" si="118"/>
        <v>Operating Segment Income</v>
      </c>
      <c r="B70" s="1355"/>
      <c r="C70" s="1257"/>
      <c r="D70" s="1257"/>
      <c r="E70" s="1257"/>
      <c r="F70" s="1620"/>
      <c r="G70" s="1355">
        <f t="shared" ref="G70:Y70" si="134">G34/G19</f>
        <v>0.3435096938926992</v>
      </c>
      <c r="H70" s="1257">
        <f t="shared" si="134"/>
        <v>0.40763518067292231</v>
      </c>
      <c r="I70" s="1257">
        <f t="shared" si="134"/>
        <v>0.41588532718079618</v>
      </c>
      <c r="J70" s="1257">
        <f t="shared" si="134"/>
        <v>0.41229964333290348</v>
      </c>
      <c r="K70" s="1620">
        <f t="shared" si="134"/>
        <v>0.39756523319731985</v>
      </c>
      <c r="L70" s="1355">
        <f t="shared" si="134"/>
        <v>0.36521485703183187</v>
      </c>
      <c r="M70" s="1257">
        <f t="shared" si="134"/>
        <v>0.41176878492467539</v>
      </c>
      <c r="N70" s="1257">
        <f t="shared" si="134"/>
        <v>0.42382068147813573</v>
      </c>
      <c r="O70" s="1257">
        <f t="shared" si="134"/>
        <v>0.40454116361106979</v>
      </c>
      <c r="P70" s="1620">
        <f t="shared" si="134"/>
        <v>0.40254816594672177</v>
      </c>
      <c r="Q70" s="1355">
        <f t="shared" si="134"/>
        <v>0.35891582189225252</v>
      </c>
      <c r="R70" s="1257">
        <f t="shared" si="134"/>
        <v>0.42037375252755854</v>
      </c>
      <c r="S70" s="1257">
        <f t="shared" si="134"/>
        <v>0.41616699165146287</v>
      </c>
      <c r="T70" s="1257">
        <f t="shared" si="134"/>
        <v>0.38961164112942076</v>
      </c>
      <c r="U70" s="1620">
        <f t="shared" si="134"/>
        <v>0.39744499267278838</v>
      </c>
      <c r="V70" s="1355">
        <f t="shared" si="134"/>
        <v>0.3528739168035474</v>
      </c>
      <c r="W70" s="1257">
        <f t="shared" si="134"/>
        <v>0.40468770205150395</v>
      </c>
      <c r="X70" s="1257">
        <f t="shared" si="134"/>
        <v>0.41371581534085433</v>
      </c>
      <c r="Y70" s="1257">
        <f t="shared" si="134"/>
        <v>0.40492284722848854</v>
      </c>
      <c r="Z70" s="1620">
        <f>Z34/Z19</f>
        <v>0.39603106443539288</v>
      </c>
      <c r="AA70" s="1355">
        <f t="shared" si="127"/>
        <v>0.37668429047722385</v>
      </c>
      <c r="AB70" s="1257">
        <f t="shared" si="127"/>
        <v>0.39832756121321722</v>
      </c>
      <c r="AC70" s="1257">
        <f t="shared" si="127"/>
        <v>0.41993953732912725</v>
      </c>
      <c r="AD70" s="1257">
        <f t="shared" si="127"/>
        <v>0.38710645963798584</v>
      </c>
      <c r="AE70" s="1620">
        <f>AE34/AE19</f>
        <v>0.39574073683988792</v>
      </c>
      <c r="AF70" s="1355">
        <f t="shared" si="128"/>
        <v>0.37527949641256814</v>
      </c>
      <c r="AG70" s="1257">
        <f t="shared" si="128"/>
        <v>0.39966144381825314</v>
      </c>
      <c r="AH70" s="1257">
        <f t="shared" si="128"/>
        <v>0.40626475808946866</v>
      </c>
      <c r="AI70" s="1257">
        <f t="shared" si="128"/>
        <v>0.38546964743306528</v>
      </c>
      <c r="AJ70" s="1620">
        <f>AJ34/AJ19</f>
        <v>0.39178723635551066</v>
      </c>
      <c r="AK70" s="1355">
        <f t="shared" si="129"/>
        <v>0.37361299052774022</v>
      </c>
      <c r="AL70" s="1257">
        <f t="shared" si="129"/>
        <v>0.3933091431410784</v>
      </c>
      <c r="AM70" s="1257">
        <f t="shared" si="129"/>
        <v>0.3930086350552946</v>
      </c>
      <c r="AN70" s="1257">
        <f t="shared" si="129"/>
        <v>0.37556442083662084</v>
      </c>
      <c r="AO70" s="1620">
        <f>AO34/AO19</f>
        <v>0.3837099715216456</v>
      </c>
      <c r="AP70" s="1355">
        <f t="shared" si="130"/>
        <v>0.38329758161676114</v>
      </c>
      <c r="AQ70" s="1257">
        <f t="shared" si="130"/>
        <v>0.38723013486504498</v>
      </c>
      <c r="AR70" s="1257">
        <f t="shared" si="130"/>
        <v>0.39218453952624815</v>
      </c>
      <c r="AS70" s="1257">
        <f t="shared" si="130"/>
        <v>0.37162832560842507</v>
      </c>
      <c r="AT70" s="1620">
        <f>AT34/AT19</f>
        <v>0.3833229679048642</v>
      </c>
      <c r="AU70" s="1355">
        <f t="shared" si="131"/>
        <v>0.38198733801964685</v>
      </c>
      <c r="AV70" s="1257">
        <f t="shared" si="131"/>
        <v>0.38841875877826149</v>
      </c>
      <c r="AW70" s="1257">
        <f t="shared" si="131"/>
        <v>0.39570926522269773</v>
      </c>
      <c r="AX70" s="1257">
        <f t="shared" si="131"/>
        <v>0.38232013479930965</v>
      </c>
      <c r="AY70" s="1620">
        <f>AY34/AY19</f>
        <v>0.38677122644623113</v>
      </c>
      <c r="AZ70" s="1355">
        <f t="shared" si="132"/>
        <v>0.35030730121955145</v>
      </c>
      <c r="BA70" s="1257">
        <f t="shared" si="132"/>
        <v>0.35788937143614913</v>
      </c>
      <c r="BB70" s="1257">
        <f t="shared" si="132"/>
        <v>0.40785076118148683</v>
      </c>
      <c r="BC70" s="1257">
        <f t="shared" si="132"/>
        <v>0.42718325145471192</v>
      </c>
      <c r="BD70" s="1620">
        <f>BD34/BD19</f>
        <v>0.38807442801472919</v>
      </c>
      <c r="BE70" s="1355">
        <f t="shared" ref="BE70:BS70" si="135">BE34/BE19</f>
        <v>0.36533456959421556</v>
      </c>
      <c r="BF70" s="1257">
        <f t="shared" si="135"/>
        <v>0.37950795969640866</v>
      </c>
      <c r="BG70" s="1257">
        <f t="shared" si="135"/>
        <v>0.39112280664220589</v>
      </c>
      <c r="BH70" s="1257">
        <f t="shared" si="135"/>
        <v>0.42454687703742344</v>
      </c>
      <c r="BI70" s="1257">
        <f t="shared" si="135"/>
        <v>0.39160590352058439</v>
      </c>
      <c r="BJ70" s="1355">
        <f t="shared" si="135"/>
        <v>0.3850906820764835</v>
      </c>
      <c r="BK70" s="1257">
        <f t="shared" si="135"/>
        <v>0.37813425786784599</v>
      </c>
      <c r="BL70" s="1257">
        <f t="shared" si="135"/>
        <v>0.36436548906711952</v>
      </c>
      <c r="BM70" s="1257">
        <f t="shared" si="135"/>
        <v>0.34584222407768189</v>
      </c>
      <c r="BN70" s="1257">
        <f t="shared" si="135"/>
        <v>0.3681203475902094</v>
      </c>
      <c r="BO70" s="1355">
        <f t="shared" si="135"/>
        <v>0.37410496709714119</v>
      </c>
      <c r="BP70" s="1257">
        <f t="shared" si="135"/>
        <v>0.36519353006120497</v>
      </c>
      <c r="BQ70" s="1257">
        <f t="shared" si="135"/>
        <v>0.34827788394718551</v>
      </c>
      <c r="BR70" s="1257">
        <f t="shared" si="135"/>
        <v>0.33993897508328941</v>
      </c>
      <c r="BS70" s="1257">
        <f t="shared" si="135"/>
        <v>0.35566798593557897</v>
      </c>
      <c r="BT70" s="1355">
        <f t="shared" ref="BT70:CG70" si="136">BT34/BT19</f>
        <v>0.36788954684441882</v>
      </c>
      <c r="BU70" s="1257">
        <f t="shared" si="136"/>
        <v>0.37747016767006497</v>
      </c>
      <c r="BV70" s="1257">
        <f t="shared" si="136"/>
        <v>0.37108363353130175</v>
      </c>
      <c r="BW70" s="1257">
        <f t="shared" si="136"/>
        <v>0.36016957317660664</v>
      </c>
      <c r="BX70" s="1620">
        <f t="shared" si="136"/>
        <v>0.37095577764357807</v>
      </c>
      <c r="BY70" s="1355">
        <f t="shared" si="136"/>
        <v>0.38081022599775605</v>
      </c>
      <c r="BZ70" s="1257">
        <f t="shared" si="136"/>
        <v>0.38393284563260627</v>
      </c>
      <c r="CA70" s="1257">
        <f t="shared" si="136"/>
        <v>0.38538979553045322</v>
      </c>
      <c r="CB70" s="1257">
        <f t="shared" si="136"/>
        <v>0.40887532478244726</v>
      </c>
      <c r="CC70" s="1761">
        <f t="shared" si="136"/>
        <v>0.39042602444455377</v>
      </c>
      <c r="CD70" s="1355">
        <f t="shared" si="136"/>
        <v>0.41351937984496123</v>
      </c>
      <c r="CE70" s="1257">
        <f t="shared" si="136"/>
        <v>0.4</v>
      </c>
      <c r="CF70" s="1257">
        <f t="shared" si="136"/>
        <v>0.4</v>
      </c>
      <c r="CG70" s="1257">
        <f t="shared" si="136"/>
        <v>0.40635194477050535</v>
      </c>
      <c r="CH70" s="1761">
        <f>CH34/CH19</f>
        <v>0.40500000000000003</v>
      </c>
      <c r="CI70" s="1257"/>
      <c r="CJ70" s="860"/>
      <c r="CK70" s="1233"/>
      <c r="CL70" s="860"/>
      <c r="CM70" s="860"/>
      <c r="CN70" s="860"/>
      <c r="CO70" s="1232"/>
      <c r="CP70" s="1233"/>
      <c r="CQ70" s="860"/>
      <c r="CR70" s="860"/>
      <c r="CS70" s="860"/>
      <c r="CT70" s="1232"/>
      <c r="CU70" s="1233"/>
      <c r="CV70" s="860"/>
      <c r="CW70" s="860"/>
      <c r="CX70" s="860"/>
      <c r="CY70" s="1232"/>
      <c r="CZ70" s="1233"/>
      <c r="DA70" s="860"/>
      <c r="DB70" s="860"/>
      <c r="DC70" s="860"/>
      <c r="DD70" s="1232"/>
      <c r="DE70" s="1233"/>
      <c r="DF70" s="860"/>
      <c r="DG70" s="860"/>
      <c r="DH70" s="860"/>
      <c r="DI70" s="1232"/>
      <c r="DJ70" s="1233"/>
      <c r="DK70" s="860"/>
      <c r="DL70" s="860"/>
      <c r="DM70" s="860"/>
      <c r="DN70" s="1232"/>
      <c r="DO70" s="1233"/>
      <c r="DP70" s="860"/>
      <c r="DQ70" s="860"/>
      <c r="DR70" s="860"/>
      <c r="DS70" s="1232"/>
      <c r="DT70" s="1233"/>
      <c r="DU70" s="860"/>
      <c r="DV70" s="860"/>
      <c r="DW70" s="860"/>
      <c r="DX70" s="1232"/>
      <c r="DY70" s="1233"/>
      <c r="DZ70" s="860"/>
      <c r="EA70" s="860"/>
      <c r="EB70" s="860"/>
      <c r="EC70" s="1232"/>
      <c r="ED70" s="860"/>
      <c r="EE70" s="860"/>
      <c r="EF70" s="860"/>
      <c r="EG70" s="860"/>
      <c r="EH70" s="860"/>
      <c r="EI70" s="1233"/>
      <c r="EJ70" s="860"/>
      <c r="EK70" s="860"/>
      <c r="EL70" s="860"/>
      <c r="EM70" s="1232"/>
      <c r="EN70" s="1233"/>
      <c r="EO70" s="860"/>
      <c r="EP70" s="860"/>
      <c r="EQ70" s="860"/>
      <c r="ER70" s="1232"/>
      <c r="ES70" s="1239">
        <f t="shared" ref="ES70:EV72" si="137">BT70-BO70</f>
        <v>-6.2154202527223701E-3</v>
      </c>
      <c r="ET70" s="1217">
        <f t="shared" si="137"/>
        <v>1.2276637608859997E-2</v>
      </c>
      <c r="EU70" s="1217">
        <f t="shared" si="137"/>
        <v>2.2805749584116242E-2</v>
      </c>
      <c r="EV70" s="1217">
        <f t="shared" si="137"/>
        <v>2.0230598093317231E-2</v>
      </c>
      <c r="EW70" s="1232"/>
      <c r="EX70" s="1239">
        <f t="shared" ref="EX70:FA72" si="138">BY70-BT70</f>
        <v>1.2920679153337222E-2</v>
      </c>
      <c r="EY70" s="1217">
        <f t="shared" si="138"/>
        <v>6.4626779625412967E-3</v>
      </c>
      <c r="EZ70" s="1217">
        <f t="shared" si="138"/>
        <v>1.4306161999151468E-2</v>
      </c>
      <c r="FA70" s="1217">
        <f t="shared" si="138"/>
        <v>4.8705751605840619E-2</v>
      </c>
      <c r="FB70" s="1754"/>
      <c r="FC70" s="1239">
        <f>CD70-BY70</f>
        <v>3.2709153847205186E-2</v>
      </c>
      <c r="FD70" s="1217"/>
      <c r="FE70" s="1217"/>
      <c r="FF70" s="1217"/>
      <c r="FG70" s="1217"/>
      <c r="FH70" s="860"/>
      <c r="FI70" s="860"/>
      <c r="FJ70" s="860"/>
      <c r="FY70" s="860"/>
      <c r="FZ70" s="860"/>
      <c r="GA70" s="860"/>
      <c r="GB70" s="860"/>
      <c r="GC70" s="860"/>
      <c r="GD70" s="860"/>
      <c r="GE70" s="860"/>
      <c r="GF70" s="860"/>
      <c r="GG70" s="860"/>
      <c r="GH70" s="860"/>
      <c r="GI70" s="860"/>
      <c r="GJ70" s="860"/>
      <c r="GK70" s="860"/>
      <c r="GL70" s="860"/>
      <c r="GM70" s="860"/>
      <c r="GN70" s="860"/>
      <c r="GO70" s="860"/>
      <c r="GP70" s="860"/>
      <c r="GQ70" s="860"/>
      <c r="GR70" s="1277">
        <v>0.35452218902679972</v>
      </c>
      <c r="GS70" s="1218"/>
      <c r="GT70" s="1277">
        <v>0.32160646561560419</v>
      </c>
      <c r="GU70" s="1218"/>
      <c r="GV70" s="1277">
        <v>0.38653645645645646</v>
      </c>
      <c r="GW70" s="1218"/>
      <c r="GX70" s="1218"/>
      <c r="GY70" s="1277">
        <v>0.37041314553990612</v>
      </c>
      <c r="GZ70" s="1218"/>
      <c r="HA70" s="1218"/>
      <c r="HB70" s="1249">
        <v>0.37223974763406942</v>
      </c>
      <c r="HC70" s="1218"/>
      <c r="HD70" s="2000"/>
      <c r="HE70" s="1249">
        <v>0.36767574758950805</v>
      </c>
      <c r="HF70" s="1218"/>
      <c r="HG70" s="2000"/>
      <c r="HH70" s="1249">
        <f>HH34/HH19</f>
        <v>0.37093563370935634</v>
      </c>
      <c r="HI70" s="1249">
        <v>0.38070622056437736</v>
      </c>
      <c r="HJ70" s="1218"/>
      <c r="HK70" s="2000"/>
      <c r="HL70" s="1249">
        <v>0.37853836177474404</v>
      </c>
      <c r="HM70" s="1218"/>
      <c r="HN70" s="2000"/>
      <c r="HO70" s="1249">
        <v>0.37526147531409787</v>
      </c>
      <c r="HP70" s="1218"/>
      <c r="HQ70" s="2000"/>
      <c r="HR70" s="2020">
        <f>HR34/HR19</f>
        <v>0.39</v>
      </c>
    </row>
    <row r="71" spans="1:226">
      <c r="A71" s="1275" t="s">
        <v>697</v>
      </c>
      <c r="B71" s="1239"/>
      <c r="C71" s="1217"/>
      <c r="D71" s="1217"/>
      <c r="E71" s="1217"/>
      <c r="F71" s="1276"/>
      <c r="G71" s="1239">
        <f t="shared" ref="G71:T71" si="139">G36/G21</f>
        <v>0.32882814630746388</v>
      </c>
      <c r="H71" s="1217">
        <f t="shared" si="139"/>
        <v>0.39957820133944211</v>
      </c>
      <c r="I71" s="1217">
        <f t="shared" si="139"/>
        <v>0.40766749146490422</v>
      </c>
      <c r="J71" s="1217">
        <f t="shared" si="139"/>
        <v>0.40107802566050926</v>
      </c>
      <c r="K71" s="1276">
        <f t="shared" si="139"/>
        <v>0.38715754655928669</v>
      </c>
      <c r="L71" s="1239">
        <f t="shared" si="139"/>
        <v>0.35311349511104073</v>
      </c>
      <c r="M71" s="1217">
        <f t="shared" si="139"/>
        <v>0.40287214875351807</v>
      </c>
      <c r="N71" s="1217">
        <f t="shared" si="139"/>
        <v>0.41650583321330842</v>
      </c>
      <c r="O71" s="1217">
        <f t="shared" si="139"/>
        <v>0.39612984716432997</v>
      </c>
      <c r="P71" s="1276">
        <f t="shared" si="139"/>
        <v>0.39347730710170531</v>
      </c>
      <c r="Q71" s="1239">
        <f t="shared" si="139"/>
        <v>0.34888591053777851</v>
      </c>
      <c r="R71" s="1217">
        <f t="shared" si="139"/>
        <v>0.41272855094686378</v>
      </c>
      <c r="S71" s="1217">
        <f t="shared" si="139"/>
        <v>0.40855189174496753</v>
      </c>
      <c r="T71" s="1217">
        <f t="shared" si="139"/>
        <v>0.37917206777890711</v>
      </c>
      <c r="U71" s="1276"/>
      <c r="V71" s="1239">
        <f t="shared" ref="V71:BA71" si="140">V36/V21</f>
        <v>0.34106594185771683</v>
      </c>
      <c r="W71" s="1217">
        <f t="shared" si="140"/>
        <v>0.39174879033289928</v>
      </c>
      <c r="X71" s="1217">
        <f t="shared" si="140"/>
        <v>0.40354674577424848</v>
      </c>
      <c r="Y71" s="1217">
        <f t="shared" si="140"/>
        <v>0.39341914642066173</v>
      </c>
      <c r="Z71" s="1276">
        <f t="shared" si="140"/>
        <v>0.38444601989056199</v>
      </c>
      <c r="AA71" s="1239">
        <f t="shared" si="140"/>
        <v>0.36390323977562261</v>
      </c>
      <c r="AB71" s="1217">
        <f t="shared" si="140"/>
        <v>0.38270822512472774</v>
      </c>
      <c r="AC71" s="1217">
        <f t="shared" si="140"/>
        <v>0.40834812302024132</v>
      </c>
      <c r="AD71" s="1217">
        <f t="shared" si="140"/>
        <v>0.37626151293376414</v>
      </c>
      <c r="AE71" s="1276">
        <f t="shared" si="140"/>
        <v>0.38312107191448658</v>
      </c>
      <c r="AF71" s="1239">
        <f t="shared" si="140"/>
        <v>0.35941769007865326</v>
      </c>
      <c r="AG71" s="1217">
        <f t="shared" si="140"/>
        <v>0.38804174548855402</v>
      </c>
      <c r="AH71" s="1217">
        <f t="shared" si="140"/>
        <v>0.3988264108152314</v>
      </c>
      <c r="AI71" s="1217">
        <f t="shared" si="140"/>
        <v>0.37771876488040723</v>
      </c>
      <c r="AJ71" s="1276">
        <f t="shared" si="140"/>
        <v>0.38132533749327502</v>
      </c>
      <c r="AK71" s="1239">
        <f t="shared" si="140"/>
        <v>0.35975848961315959</v>
      </c>
      <c r="AL71" s="1217">
        <f t="shared" si="140"/>
        <v>0.38276386118522743</v>
      </c>
      <c r="AM71" s="1217">
        <f t="shared" si="140"/>
        <v>0.38494150830183543</v>
      </c>
      <c r="AN71" s="1217">
        <f t="shared" si="140"/>
        <v>0.365199402367544</v>
      </c>
      <c r="AO71" s="1276">
        <f t="shared" si="140"/>
        <v>0.37301511535401749</v>
      </c>
      <c r="AP71" s="1239">
        <f t="shared" si="140"/>
        <v>0.37607837980010517</v>
      </c>
      <c r="AQ71" s="1217">
        <f t="shared" si="140"/>
        <v>0.38321386573189831</v>
      </c>
      <c r="AR71" s="1217">
        <f t="shared" si="140"/>
        <v>0.39196347250850871</v>
      </c>
      <c r="AS71" s="1217">
        <f t="shared" si="140"/>
        <v>0.37032687121520985</v>
      </c>
      <c r="AT71" s="1276">
        <f t="shared" si="140"/>
        <v>0.38025861218043627</v>
      </c>
      <c r="AU71" s="1239">
        <f t="shared" si="140"/>
        <v>0.38000530023252643</v>
      </c>
      <c r="AV71" s="1217">
        <f t="shared" si="140"/>
        <v>0.39036762164919603</v>
      </c>
      <c r="AW71" s="1217">
        <f t="shared" si="140"/>
        <v>0.40052508298948297</v>
      </c>
      <c r="AX71" s="1217">
        <f t="shared" si="140"/>
        <v>0.38499807145612192</v>
      </c>
      <c r="AY71" s="1276">
        <f t="shared" si="140"/>
        <v>0.38874085201677888</v>
      </c>
      <c r="AZ71" s="1239">
        <f t="shared" si="140"/>
        <v>0.35668652706984433</v>
      </c>
      <c r="BA71" s="1217">
        <f t="shared" si="140"/>
        <v>0.3703439999283521</v>
      </c>
      <c r="BB71" s="1217">
        <f t="shared" ref="BB71:CD71" si="141">BB36/BB21</f>
        <v>0.42419496303721338</v>
      </c>
      <c r="BC71" s="1217">
        <f t="shared" si="141"/>
        <v>0.43120162402162454</v>
      </c>
      <c r="BD71" s="1276">
        <f t="shared" si="141"/>
        <v>0.39766497869532402</v>
      </c>
      <c r="BE71" s="1239">
        <f t="shared" si="141"/>
        <v>0.3725869536023636</v>
      </c>
      <c r="BF71" s="1217">
        <f t="shared" si="141"/>
        <v>0.38879462193565073</v>
      </c>
      <c r="BG71" s="1217">
        <f t="shared" si="141"/>
        <v>0.40142146900439757</v>
      </c>
      <c r="BH71" s="1217">
        <f t="shared" si="141"/>
        <v>0.42627673383821912</v>
      </c>
      <c r="BI71" s="1217">
        <f t="shared" si="141"/>
        <v>0.39867931199032475</v>
      </c>
      <c r="BJ71" s="1239">
        <f t="shared" si="141"/>
        <v>0.36989231132987987</v>
      </c>
      <c r="BK71" s="1217">
        <f t="shared" si="141"/>
        <v>0.36477189953327765</v>
      </c>
      <c r="BL71" s="1217">
        <f t="shared" si="141"/>
        <v>0.35444142595199379</v>
      </c>
      <c r="BM71" s="1217">
        <f t="shared" si="141"/>
        <v>0.31383576464931034</v>
      </c>
      <c r="BN71" s="1217">
        <f t="shared" si="141"/>
        <v>0.35049942669205281</v>
      </c>
      <c r="BO71" s="1239">
        <f t="shared" si="141"/>
        <v>0.36325838571027447</v>
      </c>
      <c r="BP71" s="1217">
        <f t="shared" si="141"/>
        <v>0.3550555609550653</v>
      </c>
      <c r="BQ71" s="1217">
        <f t="shared" si="141"/>
        <v>0.33988326954470754</v>
      </c>
      <c r="BR71" s="1217">
        <f t="shared" si="141"/>
        <v>0.31046468684147649</v>
      </c>
      <c r="BS71" s="1217">
        <f t="shared" si="141"/>
        <v>0.34095317882168258</v>
      </c>
      <c r="BT71" s="1239">
        <f t="shared" si="141"/>
        <v>0.35718494928344841</v>
      </c>
      <c r="BU71" s="1217">
        <f t="shared" si="141"/>
        <v>0.37268372740978234</v>
      </c>
      <c r="BV71" s="1217">
        <f t="shared" si="141"/>
        <v>0.36815554456218924</v>
      </c>
      <c r="BW71" s="1217">
        <f t="shared" si="141"/>
        <v>0.34083565386434089</v>
      </c>
      <c r="BX71" s="1276">
        <f t="shared" si="141"/>
        <v>0.35884597571999494</v>
      </c>
      <c r="BY71" s="1239">
        <f t="shared" si="141"/>
        <v>0.37288961906288398</v>
      </c>
      <c r="BZ71" s="1217">
        <f t="shared" si="141"/>
        <v>0.38509375806210705</v>
      </c>
      <c r="CA71" s="1217">
        <f t="shared" si="141"/>
        <v>0.38420045122034596</v>
      </c>
      <c r="CB71" s="1217">
        <f t="shared" si="141"/>
        <v>0.39163607869014716</v>
      </c>
      <c r="CC71" s="1760">
        <f t="shared" si="141"/>
        <v>0.38281317570604129</v>
      </c>
      <c r="CD71" s="1239">
        <f t="shared" si="141"/>
        <v>0.40838587424633938</v>
      </c>
      <c r="CE71" s="1217">
        <f t="shared" ref="CE71:CG71" si="142">CE36/CE21</f>
        <v>0.39477351916376308</v>
      </c>
      <c r="CF71" s="1217">
        <f t="shared" si="142"/>
        <v>0.39470899470899473</v>
      </c>
      <c r="CG71" s="1217">
        <f t="shared" si="142"/>
        <v>0.39134929054611645</v>
      </c>
      <c r="CH71" s="1760">
        <f>CH36/CH21</f>
        <v>0.3973757859445432</v>
      </c>
      <c r="CI71" s="1217"/>
      <c r="CJ71" s="860"/>
      <c r="CK71" s="1233"/>
      <c r="CL71" s="860"/>
      <c r="CM71" s="860"/>
      <c r="CN71" s="860"/>
      <c r="CO71" s="1232"/>
      <c r="CP71" s="1233"/>
      <c r="CQ71" s="860"/>
      <c r="CR71" s="860"/>
      <c r="CS71" s="860"/>
      <c r="CT71" s="1232"/>
      <c r="CU71" s="1233"/>
      <c r="CV71" s="860"/>
      <c r="CW71" s="860"/>
      <c r="CX71" s="860"/>
      <c r="CY71" s="1232"/>
      <c r="CZ71" s="1233"/>
      <c r="DA71" s="860"/>
      <c r="DB71" s="860"/>
      <c r="DC71" s="860"/>
      <c r="DD71" s="1232"/>
      <c r="DE71" s="1233"/>
      <c r="DF71" s="860"/>
      <c r="DG71" s="860"/>
      <c r="DH71" s="860"/>
      <c r="DI71" s="1232"/>
      <c r="DJ71" s="1233"/>
      <c r="DK71" s="860"/>
      <c r="DL71" s="860"/>
      <c r="DM71" s="860"/>
      <c r="DN71" s="1232"/>
      <c r="DO71" s="1233"/>
      <c r="DP71" s="860"/>
      <c r="DQ71" s="860"/>
      <c r="DR71" s="860"/>
      <c r="DS71" s="1232"/>
      <c r="DT71" s="1233"/>
      <c r="DU71" s="860"/>
      <c r="DV71" s="860"/>
      <c r="DW71" s="860"/>
      <c r="DX71" s="1232"/>
      <c r="DY71" s="1233"/>
      <c r="DZ71" s="860"/>
      <c r="EA71" s="860"/>
      <c r="EB71" s="860"/>
      <c r="EC71" s="1232"/>
      <c r="ED71" s="860"/>
      <c r="EE71" s="860"/>
      <c r="EF71" s="860"/>
      <c r="EG71" s="860"/>
      <c r="EH71" s="860"/>
      <c r="EI71" s="1233"/>
      <c r="EJ71" s="860"/>
      <c r="EK71" s="860"/>
      <c r="EL71" s="860"/>
      <c r="EM71" s="1232"/>
      <c r="EN71" s="1233"/>
      <c r="EO71" s="860"/>
      <c r="EP71" s="860"/>
      <c r="EQ71" s="860"/>
      <c r="ER71" s="1232"/>
      <c r="ES71" s="1239">
        <f t="shared" si="137"/>
        <v>-6.0734364268260621E-3</v>
      </c>
      <c r="ET71" s="1217">
        <f t="shared" si="137"/>
        <v>1.7628166454717042E-2</v>
      </c>
      <c r="EU71" s="1217">
        <f t="shared" si="137"/>
        <v>2.8272275017481696E-2</v>
      </c>
      <c r="EV71" s="1217">
        <f t="shared" si="137"/>
        <v>3.0370967022864404E-2</v>
      </c>
      <c r="EW71" s="1232"/>
      <c r="EX71" s="1239">
        <f t="shared" si="138"/>
        <v>1.5704669779435576E-2</v>
      </c>
      <c r="EY71" s="1217">
        <f t="shared" si="138"/>
        <v>1.2410030652324711E-2</v>
      </c>
      <c r="EZ71" s="1217">
        <f t="shared" si="138"/>
        <v>1.6044906658156721E-2</v>
      </c>
      <c r="FA71" s="1217">
        <f t="shared" si="138"/>
        <v>5.0800424825806267E-2</v>
      </c>
      <c r="FB71" s="1754"/>
      <c r="FC71" s="1239">
        <f>CD71-BY71</f>
        <v>3.5496255183455394E-2</v>
      </c>
      <c r="FD71" s="1217"/>
      <c r="FE71" s="1217"/>
      <c r="FF71" s="1217"/>
      <c r="FG71" s="1217"/>
      <c r="FH71" s="860"/>
      <c r="FI71" s="860"/>
      <c r="FJ71" s="860"/>
      <c r="FY71" s="860"/>
      <c r="FZ71" s="860"/>
      <c r="GA71" s="860"/>
      <c r="GB71" s="860"/>
      <c r="GC71" s="860"/>
      <c r="GD71" s="860"/>
      <c r="GE71" s="860"/>
      <c r="GF71" s="860"/>
      <c r="GG71" s="860"/>
      <c r="GH71" s="860"/>
      <c r="GI71" s="860"/>
      <c r="GJ71" s="860"/>
      <c r="GK71" s="860"/>
      <c r="GL71" s="860"/>
      <c r="GM71" s="860"/>
      <c r="GN71" s="860"/>
      <c r="GO71" s="860"/>
      <c r="GP71" s="860"/>
      <c r="GQ71" s="860"/>
      <c r="GR71" s="1278">
        <v>0.34367377721347397</v>
      </c>
      <c r="GS71" s="1218"/>
      <c r="GT71" s="1278">
        <v>0.29256098918644696</v>
      </c>
      <c r="GU71" s="1218"/>
      <c r="GV71" s="1278">
        <v>0.37493969408791933</v>
      </c>
      <c r="GW71" s="1218"/>
      <c r="GX71" s="1218"/>
      <c r="GY71" s="1278">
        <v>0.35963511803597514</v>
      </c>
      <c r="GZ71" s="1218"/>
      <c r="HA71" s="1218"/>
      <c r="HB71" s="1247">
        <v>0.36819214505562747</v>
      </c>
      <c r="HC71" s="1218"/>
      <c r="HD71" s="2000"/>
      <c r="HE71" s="1247">
        <v>0.32419245565148147</v>
      </c>
      <c r="HF71" s="1218"/>
      <c r="HG71" s="2000"/>
      <c r="HH71" s="1247">
        <f>HH36/HH21</f>
        <v>0.36352677100686892</v>
      </c>
      <c r="HI71" s="1247">
        <v>0.37650695134196244</v>
      </c>
      <c r="HJ71" s="1218"/>
      <c r="HK71" s="2000"/>
      <c r="HL71" s="1247">
        <v>0.37426714776632303</v>
      </c>
      <c r="HM71" s="1218"/>
      <c r="HN71" s="2000"/>
      <c r="HO71" s="1247">
        <v>0.36678903874219154</v>
      </c>
      <c r="HP71" s="1218"/>
      <c r="HQ71" s="2000"/>
      <c r="HR71" s="1247">
        <v>0.40838587424633938</v>
      </c>
    </row>
    <row r="72" spans="1:226">
      <c r="A72" s="1507" t="s">
        <v>699</v>
      </c>
      <c r="B72" s="1355"/>
      <c r="C72" s="1257"/>
      <c r="D72" s="1257"/>
      <c r="E72" s="1257"/>
      <c r="F72" s="1620"/>
      <c r="G72" s="1355">
        <f t="shared" ref="G72:T72" si="143">G38/G21</f>
        <v>0.32653262220067275</v>
      </c>
      <c r="H72" s="1257">
        <f t="shared" si="143"/>
        <v>0.38992575550222464</v>
      </c>
      <c r="I72" s="1257">
        <f t="shared" si="143"/>
        <v>0.39516396780154717</v>
      </c>
      <c r="J72" s="1257">
        <f t="shared" si="143"/>
        <v>0.38917163677313887</v>
      </c>
      <c r="K72" s="1620">
        <f t="shared" si="143"/>
        <v>0.37767071738453056</v>
      </c>
      <c r="L72" s="1355">
        <f t="shared" si="143"/>
        <v>0.35062612987081537</v>
      </c>
      <c r="M72" s="1257">
        <f t="shared" si="143"/>
        <v>0.39490573369917215</v>
      </c>
      <c r="N72" s="1257">
        <f t="shared" si="143"/>
        <v>0.40150943396226418</v>
      </c>
      <c r="O72" s="1257">
        <f t="shared" si="143"/>
        <v>0.3851610458507011</v>
      </c>
      <c r="P72" s="1620">
        <f t="shared" si="143"/>
        <v>0.38409072541073513</v>
      </c>
      <c r="Q72" s="1355">
        <f t="shared" si="143"/>
        <v>0.34599126838827532</v>
      </c>
      <c r="R72" s="1257">
        <f t="shared" si="143"/>
        <v>0.40872631456581543</v>
      </c>
      <c r="S72" s="1257">
        <f t="shared" si="143"/>
        <v>0.40316365632544732</v>
      </c>
      <c r="T72" s="1257">
        <f t="shared" si="143"/>
        <v>0.36779476084341273</v>
      </c>
      <c r="U72" s="1620"/>
      <c r="V72" s="1355">
        <f t="shared" ref="V72:BA72" si="144">V38/V21</f>
        <v>0.33150555424249584</v>
      </c>
      <c r="W72" s="1257">
        <f t="shared" si="144"/>
        <v>0.38910781034455777</v>
      </c>
      <c r="X72" s="1257">
        <f t="shared" si="144"/>
        <v>0.38586601849780011</v>
      </c>
      <c r="Y72" s="1257">
        <f t="shared" si="144"/>
        <v>0.38377766306429317</v>
      </c>
      <c r="Z72" s="1620">
        <f t="shared" si="144"/>
        <v>0.37454442425210693</v>
      </c>
      <c r="AA72" s="1355">
        <f t="shared" si="144"/>
        <v>0.35865131877095985</v>
      </c>
      <c r="AB72" s="1257">
        <f t="shared" si="144"/>
        <v>0.37328275921222537</v>
      </c>
      <c r="AC72" s="1257">
        <f t="shared" si="144"/>
        <v>0.37717970031226838</v>
      </c>
      <c r="AD72" s="1257">
        <f t="shared" si="144"/>
        <v>0.36169649942685839</v>
      </c>
      <c r="AE72" s="1620">
        <f t="shared" si="144"/>
        <v>0.36768470377664048</v>
      </c>
      <c r="AF72" s="1355">
        <f t="shared" si="144"/>
        <v>0.33664044892139278</v>
      </c>
      <c r="AG72" s="1257">
        <f t="shared" si="144"/>
        <v>0.37615065785278556</v>
      </c>
      <c r="AH72" s="1257">
        <f t="shared" si="144"/>
        <v>0.36420047129048444</v>
      </c>
      <c r="AI72" s="1257">
        <f t="shared" si="144"/>
        <v>0.33663968352807583</v>
      </c>
      <c r="AJ72" s="1620">
        <f t="shared" si="144"/>
        <v>0.34874028129459489</v>
      </c>
      <c r="AK72" s="1355">
        <f t="shared" si="144"/>
        <v>0.3420059430673984</v>
      </c>
      <c r="AL72" s="1257">
        <f t="shared" si="144"/>
        <v>0.36675042526919327</v>
      </c>
      <c r="AM72" s="1257">
        <f t="shared" si="144"/>
        <v>0.36323103673304907</v>
      </c>
      <c r="AN72" s="1257">
        <f t="shared" si="144"/>
        <v>0.3220625981687929</v>
      </c>
      <c r="AO72" s="1620">
        <f t="shared" si="144"/>
        <v>0.3477061787324317</v>
      </c>
      <c r="AP72" s="1355">
        <f t="shared" si="144"/>
        <v>0.36932316324741354</v>
      </c>
      <c r="AQ72" s="1257">
        <f t="shared" si="144"/>
        <v>0.37288122898081788</v>
      </c>
      <c r="AR72" s="1257">
        <f t="shared" si="144"/>
        <v>0.37468641643896905</v>
      </c>
      <c r="AS72" s="1257">
        <f t="shared" si="144"/>
        <v>0.32959420690996544</v>
      </c>
      <c r="AT72" s="1620">
        <f t="shared" si="144"/>
        <v>0.36099595301549697</v>
      </c>
      <c r="AU72" s="1355">
        <f t="shared" si="144"/>
        <v>0.371289837231569</v>
      </c>
      <c r="AV72" s="1257">
        <f t="shared" si="144"/>
        <v>0.37872517237407216</v>
      </c>
      <c r="AW72" s="1257">
        <f t="shared" si="144"/>
        <v>0.38458257065740092</v>
      </c>
      <c r="AX72" s="1257">
        <f t="shared" si="144"/>
        <v>0.37663033385237343</v>
      </c>
      <c r="AY72" s="1620">
        <f t="shared" si="144"/>
        <v>0.37971060281806568</v>
      </c>
      <c r="AZ72" s="1355">
        <f t="shared" si="144"/>
        <v>0.35266996142719387</v>
      </c>
      <c r="BA72" s="1257">
        <f t="shared" si="144"/>
        <v>0.35498446134142964</v>
      </c>
      <c r="BB72" s="1257">
        <f t="shared" ref="BB72:CD72" si="145">BB38/BB21</f>
        <v>0.41302259533057678</v>
      </c>
      <c r="BC72" s="1257">
        <f t="shared" si="145"/>
        <v>0.41614106697641751</v>
      </c>
      <c r="BD72" s="1620">
        <f t="shared" si="145"/>
        <v>0.39953653708166598</v>
      </c>
      <c r="BE72" s="1355">
        <f t="shared" si="145"/>
        <v>0.36554085812126508</v>
      </c>
      <c r="BF72" s="1257">
        <f t="shared" si="145"/>
        <v>0.37207705111423545</v>
      </c>
      <c r="BG72" s="1257">
        <f t="shared" si="145"/>
        <v>0.3895835486204402</v>
      </c>
      <c r="BH72" s="1257">
        <f t="shared" si="145"/>
        <v>0.53806079453557221</v>
      </c>
      <c r="BI72" s="1257">
        <f t="shared" si="145"/>
        <v>0.4211827846888288</v>
      </c>
      <c r="BJ72" s="1355">
        <f t="shared" si="145"/>
        <v>0.36083227650839367</v>
      </c>
      <c r="BK72" s="1257">
        <f t="shared" si="145"/>
        <v>0.36254350230663396</v>
      </c>
      <c r="BL72" s="1257">
        <f t="shared" si="145"/>
        <v>0.33929471163585545</v>
      </c>
      <c r="BM72" s="1257">
        <f t="shared" si="145"/>
        <v>0.29112547890217066</v>
      </c>
      <c r="BN72" s="1257">
        <f t="shared" si="145"/>
        <v>0.33810644196878975</v>
      </c>
      <c r="BO72" s="1355">
        <f t="shared" si="145"/>
        <v>0.35181105423443265</v>
      </c>
      <c r="BP72" s="1257">
        <f t="shared" si="145"/>
        <v>0.34270148270537032</v>
      </c>
      <c r="BQ72" s="1257">
        <f t="shared" si="145"/>
        <v>0.29848709031049864</v>
      </c>
      <c r="BR72" s="1257">
        <f t="shared" si="145"/>
        <v>0.31982794203906073</v>
      </c>
      <c r="BS72" s="1257">
        <f t="shared" si="145"/>
        <v>0.32703384534465535</v>
      </c>
      <c r="BT72" s="1355">
        <f t="shared" si="145"/>
        <v>0.499090988878719</v>
      </c>
      <c r="BU72" s="1257">
        <f t="shared" si="145"/>
        <v>0.33704827516014335</v>
      </c>
      <c r="BV72" s="1257">
        <f t="shared" si="145"/>
        <v>0.34317962871351582</v>
      </c>
      <c r="BW72" s="1257">
        <f t="shared" si="145"/>
        <v>-5.6730415593968381E-2</v>
      </c>
      <c r="BX72" s="1620">
        <f t="shared" si="145"/>
        <v>0.2830174135620388</v>
      </c>
      <c r="BY72" s="1355">
        <f t="shared" si="145"/>
        <v>0.35674787626222149</v>
      </c>
      <c r="BZ72" s="1257">
        <f t="shared" si="145"/>
        <v>0.36363327766236231</v>
      </c>
      <c r="CA72" s="1257">
        <f t="shared" si="145"/>
        <v>0.37829356669173453</v>
      </c>
      <c r="CB72" s="1257">
        <f t="shared" si="145"/>
        <v>0.35428437882349706</v>
      </c>
      <c r="CC72" s="1761">
        <f t="shared" si="145"/>
        <v>0.36267278995897645</v>
      </c>
      <c r="CD72" s="1355">
        <f t="shared" si="145"/>
        <v>0.39991731266149871</v>
      </c>
      <c r="CE72" s="1257">
        <f t="shared" ref="CE72:CG72" si="146">CE38/CE21</f>
        <v>0.37386759581881535</v>
      </c>
      <c r="CF72" s="1257">
        <f t="shared" si="146"/>
        <v>0.38765432098765434</v>
      </c>
      <c r="CG72" s="1257">
        <f t="shared" si="146"/>
        <v>0.35737889686563779</v>
      </c>
      <c r="CH72" s="1761">
        <f>CH38/CH21</f>
        <v>0.37985715392462455</v>
      </c>
      <c r="CI72" s="1257"/>
      <c r="CJ72" s="860"/>
      <c r="CK72" s="1233"/>
      <c r="CL72" s="860"/>
      <c r="CM72" s="860"/>
      <c r="CN72" s="860"/>
      <c r="CO72" s="1232"/>
      <c r="CP72" s="1233"/>
      <c r="CQ72" s="860"/>
      <c r="CR72" s="860"/>
      <c r="CS72" s="860"/>
      <c r="CT72" s="1232"/>
      <c r="CU72" s="1233"/>
      <c r="CV72" s="860"/>
      <c r="CW72" s="860"/>
      <c r="CX72" s="860"/>
      <c r="CY72" s="1232"/>
      <c r="CZ72" s="1233"/>
      <c r="DA72" s="860"/>
      <c r="DB72" s="860"/>
      <c r="DC72" s="860"/>
      <c r="DD72" s="1232"/>
      <c r="DE72" s="1233"/>
      <c r="DF72" s="860"/>
      <c r="DG72" s="860"/>
      <c r="DH72" s="860"/>
      <c r="DI72" s="1232"/>
      <c r="DJ72" s="1233"/>
      <c r="DK72" s="860"/>
      <c r="DL72" s="860"/>
      <c r="DM72" s="860"/>
      <c r="DN72" s="1232"/>
      <c r="DO72" s="1233"/>
      <c r="DP72" s="860"/>
      <c r="DQ72" s="860"/>
      <c r="DR72" s="860"/>
      <c r="DS72" s="1232"/>
      <c r="DT72" s="1233"/>
      <c r="DU72" s="860"/>
      <c r="DV72" s="860"/>
      <c r="DW72" s="860"/>
      <c r="DX72" s="1232"/>
      <c r="DY72" s="1233"/>
      <c r="DZ72" s="860"/>
      <c r="EA72" s="860"/>
      <c r="EB72" s="860"/>
      <c r="EC72" s="1232"/>
      <c r="ED72" s="860"/>
      <c r="EE72" s="860"/>
      <c r="EF72" s="860"/>
      <c r="EG72" s="860"/>
      <c r="EH72" s="860"/>
      <c r="EI72" s="1233"/>
      <c r="EJ72" s="860"/>
      <c r="EK72" s="860"/>
      <c r="EL72" s="860"/>
      <c r="EM72" s="1232"/>
      <c r="EN72" s="1233"/>
      <c r="EO72" s="860"/>
      <c r="EP72" s="860"/>
      <c r="EQ72" s="860"/>
      <c r="ER72" s="1232"/>
      <c r="ES72" s="1239">
        <f t="shared" si="137"/>
        <v>0.14727993464428635</v>
      </c>
      <c r="ET72" s="1217">
        <f t="shared" si="137"/>
        <v>-5.6532075452269681E-3</v>
      </c>
      <c r="EU72" s="1217">
        <f t="shared" si="137"/>
        <v>4.4692538403017179E-2</v>
      </c>
      <c r="EV72" s="1217">
        <f t="shared" si="137"/>
        <v>-0.37655835763302914</v>
      </c>
      <c r="EW72" s="1232"/>
      <c r="EX72" s="1239">
        <f t="shared" si="138"/>
        <v>-0.14234311261649751</v>
      </c>
      <c r="EY72" s="1217">
        <f t="shared" si="138"/>
        <v>2.6585002502218957E-2</v>
      </c>
      <c r="EZ72" s="1217">
        <f t="shared" si="138"/>
        <v>3.5113937978218712E-2</v>
      </c>
      <c r="FA72" s="1217">
        <f t="shared" si="138"/>
        <v>0.41101479441746547</v>
      </c>
      <c r="FB72" s="1754"/>
      <c r="FC72" s="1239">
        <f>CD72-BY72</f>
        <v>4.3169436399277228E-2</v>
      </c>
      <c r="FD72" s="1217"/>
      <c r="FE72" s="1217"/>
      <c r="FF72" s="1217"/>
      <c r="FG72" s="1217"/>
      <c r="FH72" s="860"/>
      <c r="FI72" s="860"/>
      <c r="FJ72" s="860"/>
      <c r="FY72" s="860"/>
      <c r="FZ72" s="860"/>
      <c r="GA72" s="860"/>
      <c r="GB72" s="860"/>
      <c r="GC72" s="860"/>
      <c r="GD72" s="860"/>
      <c r="GE72" s="860"/>
      <c r="GF72" s="860"/>
      <c r="GG72" s="860"/>
      <c r="GH72" s="860"/>
      <c r="GI72" s="860"/>
      <c r="GJ72" s="860"/>
      <c r="GK72" s="860"/>
      <c r="GL72" s="860"/>
      <c r="GM72" s="860"/>
      <c r="GN72" s="860"/>
      <c r="GO72" s="860"/>
      <c r="GP72" s="860"/>
      <c r="GQ72" s="860"/>
      <c r="GR72" s="1277">
        <v>0.3304147580308554</v>
      </c>
      <c r="GS72" s="1218"/>
      <c r="GT72" s="1277">
        <v>0.269738756850112</v>
      </c>
      <c r="GU72" s="1218"/>
      <c r="GV72" s="1277">
        <v>0.35983468432859739</v>
      </c>
      <c r="GW72" s="1218"/>
      <c r="GX72" s="1218"/>
      <c r="GY72" s="1277">
        <v>0.31570429945779904</v>
      </c>
      <c r="GZ72" s="1218"/>
      <c r="HA72" s="1218"/>
      <c r="HB72" s="1249">
        <v>0.36028423816010285</v>
      </c>
      <c r="HC72" s="1218"/>
      <c r="HD72" s="2000"/>
      <c r="HE72" s="1249">
        <v>0.34824523462698254</v>
      </c>
      <c r="HF72" s="1218"/>
      <c r="HG72" s="2000"/>
      <c r="HH72" s="1249">
        <f>HH38/HH21</f>
        <v>0.3501618161904399</v>
      </c>
      <c r="HI72" s="1249">
        <v>0.35955510489260128</v>
      </c>
      <c r="HJ72" s="1218"/>
      <c r="HK72" s="2000"/>
      <c r="HL72" s="1249">
        <v>0.35708501718213059</v>
      </c>
      <c r="HM72" s="1218"/>
      <c r="HN72" s="2000"/>
      <c r="HO72" s="1249">
        <v>0.35619476463886485</v>
      </c>
      <c r="HP72" s="1218"/>
      <c r="HQ72" s="2000"/>
      <c r="HR72" s="1249">
        <v>0.39991731266149871</v>
      </c>
    </row>
    <row r="73" spans="1:226">
      <c r="A73" s="860"/>
      <c r="B73" s="1233"/>
      <c r="C73" s="860"/>
      <c r="D73" s="860"/>
      <c r="E73" s="860"/>
      <c r="F73" s="1232"/>
      <c r="G73" s="1233"/>
      <c r="H73" s="860"/>
      <c r="I73" s="860"/>
      <c r="J73" s="860"/>
      <c r="K73" s="1232"/>
      <c r="L73" s="1233"/>
      <c r="M73" s="860"/>
      <c r="N73" s="860"/>
      <c r="O73" s="860"/>
      <c r="P73" s="1232"/>
      <c r="Q73" s="1233"/>
      <c r="R73" s="860"/>
      <c r="S73" s="860"/>
      <c r="T73" s="860"/>
      <c r="U73" s="1232"/>
      <c r="V73" s="1233"/>
      <c r="W73" s="860"/>
      <c r="X73" s="860"/>
      <c r="Y73" s="860"/>
      <c r="Z73" s="1261"/>
      <c r="AA73" s="1242"/>
      <c r="AB73" s="1162"/>
      <c r="AC73" s="1162"/>
      <c r="AD73" s="1162"/>
      <c r="AE73" s="1261"/>
      <c r="AF73" s="1242"/>
      <c r="AG73" s="1162"/>
      <c r="AH73" s="1162"/>
      <c r="AI73" s="1162"/>
      <c r="AJ73" s="1261"/>
      <c r="AK73" s="1242"/>
      <c r="AL73" s="1162"/>
      <c r="AM73" s="1162"/>
      <c r="AN73" s="1162"/>
      <c r="AO73" s="1261"/>
      <c r="AP73" s="1242"/>
      <c r="AQ73" s="1162"/>
      <c r="AR73" s="1162"/>
      <c r="AS73" s="1162"/>
      <c r="AT73" s="1261"/>
      <c r="AU73" s="1242"/>
      <c r="AV73" s="1162"/>
      <c r="AW73" s="1162"/>
      <c r="AX73" s="1162"/>
      <c r="AY73" s="1261"/>
      <c r="AZ73" s="1242"/>
      <c r="BA73" s="1162"/>
      <c r="BB73" s="1162"/>
      <c r="BC73" s="1162"/>
      <c r="BD73" s="1261"/>
      <c r="BE73" s="1242"/>
      <c r="BF73" s="1162"/>
      <c r="BG73" s="1162"/>
      <c r="BH73" s="1162"/>
      <c r="BI73" s="1261"/>
      <c r="BJ73" s="1242"/>
      <c r="BK73" s="1162"/>
      <c r="BL73" s="1162"/>
      <c r="BM73" s="1162"/>
      <c r="BN73" s="1261"/>
      <c r="BO73" s="1242"/>
      <c r="BP73" s="1162"/>
      <c r="BQ73" s="1162"/>
      <c r="BR73" s="1162"/>
      <c r="BS73" s="1261"/>
      <c r="BT73" s="1242"/>
      <c r="BU73" s="1162"/>
      <c r="BV73" s="1162"/>
      <c r="BW73" s="1162"/>
      <c r="BX73" s="1261"/>
      <c r="BY73" s="1242"/>
      <c r="BZ73" s="1162"/>
      <c r="CA73" s="1162"/>
      <c r="CB73" s="1162"/>
      <c r="CC73" s="1757"/>
      <c r="CD73" s="1242"/>
      <c r="CE73" s="1162"/>
      <c r="CF73" s="1162"/>
      <c r="CG73" s="1162"/>
      <c r="CH73" s="1757"/>
      <c r="CI73" s="1162"/>
      <c r="CJ73" s="860"/>
      <c r="CK73" s="1233"/>
      <c r="CL73" s="860"/>
      <c r="CM73" s="860"/>
      <c r="CN73" s="860"/>
      <c r="CO73" s="1232"/>
      <c r="CP73" s="1233"/>
      <c r="CQ73" s="860"/>
      <c r="CR73" s="860"/>
      <c r="CS73" s="860"/>
      <c r="CT73" s="1232"/>
      <c r="CU73" s="1233"/>
      <c r="CV73" s="860"/>
      <c r="CW73" s="860"/>
      <c r="CX73" s="860"/>
      <c r="CY73" s="1232"/>
      <c r="CZ73" s="1233"/>
      <c r="DA73" s="860"/>
      <c r="DB73" s="860"/>
      <c r="DC73" s="860"/>
      <c r="DD73" s="1232"/>
      <c r="DE73" s="1233"/>
      <c r="DF73" s="860"/>
      <c r="DG73" s="860"/>
      <c r="DH73" s="860"/>
      <c r="DI73" s="1232"/>
      <c r="DJ73" s="1233"/>
      <c r="DK73" s="860"/>
      <c r="DL73" s="860"/>
      <c r="DM73" s="860"/>
      <c r="DN73" s="1232"/>
      <c r="DO73" s="1233"/>
      <c r="DP73" s="860"/>
      <c r="DQ73" s="860"/>
      <c r="DR73" s="860"/>
      <c r="DS73" s="1232"/>
      <c r="DT73" s="1233"/>
      <c r="DU73" s="860"/>
      <c r="DV73" s="860"/>
      <c r="DW73" s="860"/>
      <c r="DX73" s="1232"/>
      <c r="DY73" s="1233"/>
      <c r="DZ73" s="860"/>
      <c r="EA73" s="860"/>
      <c r="EB73" s="860"/>
      <c r="EC73" s="1232"/>
      <c r="ED73" s="860"/>
      <c r="EE73" s="860"/>
      <c r="EF73" s="860"/>
      <c r="EG73" s="860"/>
      <c r="EH73" s="860"/>
      <c r="EI73" s="1233"/>
      <c r="EJ73" s="860"/>
      <c r="EK73" s="860"/>
      <c r="EL73" s="860"/>
      <c r="EM73" s="1232"/>
      <c r="EN73" s="1233"/>
      <c r="EO73" s="860"/>
      <c r="EP73" s="860"/>
      <c r="EQ73" s="860"/>
      <c r="ER73" s="1232"/>
      <c r="ES73" s="860"/>
      <c r="ET73" s="860"/>
      <c r="EU73" s="860"/>
      <c r="EV73" s="860"/>
      <c r="EW73" s="1232"/>
      <c r="EX73" s="1233"/>
      <c r="EY73" s="860"/>
      <c r="EZ73" s="860"/>
      <c r="FA73" s="860"/>
      <c r="FB73" s="1754"/>
      <c r="FC73" s="1233"/>
      <c r="FD73" s="860"/>
      <c r="FE73" s="860"/>
      <c r="FF73" s="860"/>
      <c r="FG73" s="860"/>
      <c r="FH73" s="860"/>
      <c r="FI73" s="860"/>
      <c r="FJ73" s="860"/>
      <c r="FY73" s="860"/>
      <c r="FZ73" s="860"/>
      <c r="GA73" s="860"/>
      <c r="GB73" s="860"/>
      <c r="GC73" s="860"/>
      <c r="GD73" s="860"/>
      <c r="GE73" s="860"/>
      <c r="GF73" s="860"/>
      <c r="GG73" s="860"/>
      <c r="GH73" s="860"/>
      <c r="GI73" s="860"/>
      <c r="GJ73" s="860"/>
      <c r="GK73" s="860"/>
      <c r="GL73" s="860"/>
      <c r="GM73" s="860"/>
      <c r="GN73" s="860"/>
      <c r="GO73" s="860"/>
      <c r="GP73" s="860"/>
      <c r="GQ73" s="860"/>
      <c r="GR73" s="1241"/>
      <c r="GS73" s="1218"/>
      <c r="GT73" s="1241"/>
      <c r="GU73" s="1218"/>
      <c r="GV73" s="1241"/>
      <c r="GW73" s="1218"/>
      <c r="GX73" s="1218"/>
      <c r="GY73" s="1241"/>
      <c r="GZ73" s="1218"/>
      <c r="HA73" s="1218"/>
      <c r="HB73" s="1241"/>
      <c r="HC73" s="1218"/>
      <c r="HD73" s="2000"/>
      <c r="HE73" s="1241"/>
      <c r="HF73" s="1218"/>
      <c r="HG73" s="2000"/>
      <c r="HH73" s="1241"/>
      <c r="HI73" s="1241"/>
      <c r="HJ73" s="1218"/>
      <c r="HK73" s="2000"/>
      <c r="HL73" s="1241"/>
      <c r="HM73" s="1218"/>
      <c r="HN73" s="2000"/>
      <c r="HO73" s="1241"/>
      <c r="HP73" s="1218"/>
      <c r="HQ73" s="2000"/>
      <c r="HR73" s="1241"/>
    </row>
    <row r="74" spans="1:226" hidden="1">
      <c r="A74" s="860" t="s">
        <v>710</v>
      </c>
      <c r="B74" s="1233"/>
      <c r="C74" s="860"/>
      <c r="D74" s="860"/>
      <c r="E74" s="860"/>
      <c r="F74" s="1232"/>
      <c r="G74" s="1233"/>
      <c r="H74" s="860"/>
      <c r="I74" s="860"/>
      <c r="J74" s="860"/>
      <c r="K74" s="1232"/>
      <c r="L74" s="1233"/>
      <c r="M74" s="860"/>
      <c r="N74" s="860"/>
      <c r="O74" s="860"/>
      <c r="P74" s="1232"/>
      <c r="Q74" s="1233"/>
      <c r="R74" s="1217"/>
      <c r="S74" s="1217"/>
      <c r="T74" s="1217"/>
      <c r="U74" s="1276"/>
      <c r="V74" s="1237"/>
      <c r="W74" s="1235"/>
      <c r="X74" s="1653"/>
      <c r="Y74" s="1653"/>
      <c r="Z74" s="1261"/>
      <c r="AA74" s="1237"/>
      <c r="AB74" s="1235"/>
      <c r="AC74" s="1235"/>
      <c r="AD74" s="1235"/>
      <c r="AE74" s="1261"/>
      <c r="AF74" s="1237"/>
      <c r="AG74" s="1235"/>
      <c r="AH74" s="1243"/>
      <c r="AI74" s="1243"/>
      <c r="AJ74" s="1261"/>
      <c r="AK74" s="1242"/>
      <c r="AL74" s="1162"/>
      <c r="AM74" s="1162"/>
      <c r="AN74" s="1162"/>
      <c r="AO74" s="1261"/>
      <c r="AP74" s="1239">
        <f>AP57/(AP7-AP11)</f>
        <v>0.35700179760488138</v>
      </c>
      <c r="AQ74" s="1217">
        <f>AQ57/(AQ7-AQ11)</f>
        <v>0.46435406957255154</v>
      </c>
      <c r="AR74" s="1217">
        <f>AR57/(AR7-AR11)</f>
        <v>0.42574712643678159</v>
      </c>
      <c r="AS74" s="1217">
        <f>AS57/(AS7-AS11)</f>
        <v>0.37928928477468332</v>
      </c>
      <c r="AT74" s="1261"/>
      <c r="AU74" s="1242"/>
      <c r="AV74" s="1162"/>
      <c r="AW74" s="1162"/>
      <c r="AX74" s="1162"/>
      <c r="AY74" s="1261"/>
      <c r="AZ74" s="1242"/>
      <c r="BA74" s="1162"/>
      <c r="BB74" s="1162"/>
      <c r="BC74" s="1162"/>
      <c r="BD74" s="1261"/>
      <c r="BE74" s="1242"/>
      <c r="BF74" s="1162"/>
      <c r="BG74" s="1162"/>
      <c r="BH74" s="1162"/>
      <c r="BI74" s="1261"/>
      <c r="BJ74" s="1242"/>
      <c r="BK74" s="1162"/>
      <c r="BL74" s="1162"/>
      <c r="BM74" s="1162"/>
      <c r="BN74" s="1261"/>
      <c r="BO74" s="1242"/>
      <c r="BP74" s="1162"/>
      <c r="BQ74" s="1162"/>
      <c r="BR74" s="1162"/>
      <c r="BS74" s="1261"/>
      <c r="BT74" s="1242"/>
      <c r="BU74" s="1162"/>
      <c r="BV74" s="1162"/>
      <c r="BW74" s="1162"/>
      <c r="BX74" s="1261"/>
      <c r="BY74" s="1242"/>
      <c r="BZ74" s="1162"/>
      <c r="CA74" s="1162"/>
      <c r="CB74" s="1162"/>
      <c r="CC74" s="1757"/>
      <c r="CD74" s="1242"/>
      <c r="CE74" s="1162"/>
      <c r="CF74" s="1162"/>
      <c r="CG74" s="1162"/>
      <c r="CH74" s="1757"/>
      <c r="CI74" s="1162"/>
      <c r="CJ74" s="860"/>
      <c r="CK74" s="1233"/>
      <c r="CL74" s="860"/>
      <c r="CM74" s="860"/>
      <c r="CN74" s="860"/>
      <c r="CO74" s="1232"/>
      <c r="CP74" s="1233"/>
      <c r="CQ74" s="860"/>
      <c r="CR74" s="860"/>
      <c r="CS74" s="860"/>
      <c r="CT74" s="1232"/>
      <c r="CU74" s="1233"/>
      <c r="CV74" s="860"/>
      <c r="CW74" s="860"/>
      <c r="CX74" s="860"/>
      <c r="CY74" s="1232"/>
      <c r="CZ74" s="1233"/>
      <c r="DA74" s="860"/>
      <c r="DB74" s="860"/>
      <c r="DC74" s="860"/>
      <c r="DD74" s="1232"/>
      <c r="DE74" s="1233"/>
      <c r="DF74" s="860"/>
      <c r="DG74" s="860"/>
      <c r="DH74" s="860"/>
      <c r="DI74" s="1232"/>
      <c r="DJ74" s="1233"/>
      <c r="DK74" s="860"/>
      <c r="DL74" s="860"/>
      <c r="DM74" s="860"/>
      <c r="DN74" s="1232"/>
      <c r="DO74" s="1233"/>
      <c r="DP74" s="860"/>
      <c r="DQ74" s="860"/>
      <c r="DR74" s="860"/>
      <c r="DS74" s="1232"/>
      <c r="DT74" s="1233"/>
      <c r="DU74" s="860"/>
      <c r="DV74" s="860"/>
      <c r="DW74" s="860"/>
      <c r="DX74" s="1232"/>
      <c r="DY74" s="1233"/>
      <c r="DZ74" s="860"/>
      <c r="EA74" s="860"/>
      <c r="EB74" s="860"/>
      <c r="EC74" s="1232"/>
      <c r="ED74" s="860"/>
      <c r="EE74" s="860"/>
      <c r="EF74" s="860"/>
      <c r="EG74" s="860"/>
      <c r="EH74" s="860"/>
      <c r="EI74" s="1233"/>
      <c r="EJ74" s="860"/>
      <c r="EK74" s="860"/>
      <c r="EL74" s="860"/>
      <c r="EM74" s="1232"/>
      <c r="EN74" s="1233"/>
      <c r="EO74" s="860"/>
      <c r="EP74" s="860"/>
      <c r="EQ74" s="860"/>
      <c r="ER74" s="1232"/>
      <c r="ES74" s="860"/>
      <c r="ET74" s="860"/>
      <c r="EU74" s="860"/>
      <c r="EV74" s="860"/>
      <c r="EW74" s="1232"/>
      <c r="EX74" s="1233"/>
      <c r="EY74" s="860"/>
      <c r="EZ74" s="860"/>
      <c r="FA74" s="860"/>
      <c r="FB74" s="1754"/>
      <c r="FC74" s="1233"/>
      <c r="FD74" s="860"/>
      <c r="FE74" s="860"/>
      <c r="FF74" s="860"/>
      <c r="FG74" s="860"/>
      <c r="FH74" s="860"/>
      <c r="FI74" s="860"/>
      <c r="FJ74" s="860"/>
      <c r="FY74" s="860"/>
      <c r="FZ74" s="860"/>
      <c r="GA74" s="860"/>
      <c r="GB74" s="860"/>
      <c r="GC74" s="860"/>
      <c r="GD74" s="860"/>
      <c r="GE74" s="860"/>
      <c r="GF74" s="860"/>
      <c r="GG74" s="860"/>
      <c r="GH74" s="860"/>
      <c r="GI74" s="860"/>
      <c r="GJ74" s="860"/>
      <c r="GK74" s="860"/>
      <c r="GL74" s="860"/>
      <c r="GM74" s="860"/>
      <c r="GN74" s="860"/>
      <c r="GO74" s="860"/>
      <c r="GP74" s="860"/>
      <c r="GQ74" s="860"/>
      <c r="GR74" s="1241"/>
      <c r="GS74" s="1218"/>
      <c r="GT74" s="1241"/>
      <c r="GU74" s="1218"/>
      <c r="GV74" s="1241"/>
      <c r="GW74" s="1218"/>
      <c r="GX74" s="1218"/>
      <c r="GY74" s="1241"/>
      <c r="GZ74" s="1218"/>
      <c r="HA74" s="1218"/>
      <c r="HB74" s="1241"/>
      <c r="HC74" s="1218"/>
      <c r="HD74" s="2000"/>
      <c r="HE74" s="1241"/>
      <c r="HF74" s="1218"/>
      <c r="HG74" s="2000"/>
      <c r="HH74" s="1241"/>
      <c r="HI74" s="1241"/>
      <c r="HJ74" s="1218"/>
      <c r="HK74" s="2000"/>
      <c r="HL74" s="1241"/>
      <c r="HM74" s="1218"/>
      <c r="HN74" s="2000"/>
      <c r="HO74" s="1241"/>
      <c r="HP74" s="1218"/>
      <c r="HQ74" s="2000"/>
      <c r="HR74" s="1241"/>
    </row>
    <row r="75" spans="1:226" hidden="1">
      <c r="A75" s="860" t="s">
        <v>711</v>
      </c>
      <c r="B75" s="1233"/>
      <c r="C75" s="860"/>
      <c r="D75" s="860"/>
      <c r="E75" s="860"/>
      <c r="F75" s="1232"/>
      <c r="G75" s="1233"/>
      <c r="H75" s="860"/>
      <c r="I75" s="860"/>
      <c r="J75" s="860"/>
      <c r="K75" s="1232"/>
      <c r="L75" s="1233"/>
      <c r="M75" s="860"/>
      <c r="N75" s="860"/>
      <c r="O75" s="860"/>
      <c r="P75" s="1232"/>
      <c r="Q75" s="1233"/>
      <c r="R75" s="1217"/>
      <c r="S75" s="1217"/>
      <c r="T75" s="1217"/>
      <c r="U75" s="1276"/>
      <c r="V75" s="1237"/>
      <c r="W75" s="1235"/>
      <c r="X75" s="1653"/>
      <c r="Y75" s="1653"/>
      <c r="Z75" s="1261"/>
      <c r="AA75" s="1237"/>
      <c r="AB75" s="1235"/>
      <c r="AC75" s="1235"/>
      <c r="AD75" s="1235"/>
      <c r="AE75" s="1261"/>
      <c r="AF75" s="1237"/>
      <c r="AG75" s="1235"/>
      <c r="AH75" s="1243"/>
      <c r="AI75" s="1243"/>
      <c r="AJ75" s="1261"/>
      <c r="AK75" s="1242"/>
      <c r="AL75" s="1162"/>
      <c r="AM75" s="1162"/>
      <c r="AN75" s="1162"/>
      <c r="AO75" s="1261"/>
      <c r="AP75" s="1239">
        <f>((AP57-(0.36*AK206*AP199))/(AP7-AP11-(0.36*AK210*AP199)))</f>
        <v>0.33386062373747249</v>
      </c>
      <c r="AQ75" s="1217">
        <f>((AQ57-(0.36*AK206*AQ199))/(AQ7-AQ11-(0.36*AK210*AQ199)))</f>
        <v>0.45025005270497132</v>
      </c>
      <c r="AR75" s="1217">
        <f>((AR57-(0.36*AL206*AR199))/(AR7-AR11-(0.36*AL210*AR199)))</f>
        <v>0.41246096408282185</v>
      </c>
      <c r="AS75" s="1217">
        <f>((AS57-(0.36*AM206*AS199))/(AS7-AS11-(0.36*AM210*AS199)))</f>
        <v>0.36391253997819212</v>
      </c>
      <c r="AT75" s="1261"/>
      <c r="AU75" s="1242"/>
      <c r="AV75" s="1162"/>
      <c r="AW75" s="1162"/>
      <c r="AX75" s="1162"/>
      <c r="AY75" s="1261"/>
      <c r="AZ75" s="1242"/>
      <c r="BA75" s="1162"/>
      <c r="BB75" s="1162"/>
      <c r="BC75" s="1162"/>
      <c r="BD75" s="1261"/>
      <c r="BE75" s="1242"/>
      <c r="BF75" s="1162"/>
      <c r="BG75" s="1162"/>
      <c r="BH75" s="1162"/>
      <c r="BI75" s="1261"/>
      <c r="BJ75" s="1242"/>
      <c r="BK75" s="1162"/>
      <c r="BL75" s="1162"/>
      <c r="BM75" s="1162"/>
      <c r="BN75" s="1261"/>
      <c r="BO75" s="1242"/>
      <c r="BP75" s="1162"/>
      <c r="BQ75" s="1162"/>
      <c r="BR75" s="1162"/>
      <c r="BS75" s="1261"/>
      <c r="BT75" s="1242"/>
      <c r="BU75" s="1162"/>
      <c r="BV75" s="1162"/>
      <c r="BW75" s="1162"/>
      <c r="BX75" s="1261"/>
      <c r="BY75" s="1242"/>
      <c r="BZ75" s="1162"/>
      <c r="CA75" s="1162"/>
      <c r="CB75" s="1162"/>
      <c r="CC75" s="1757"/>
      <c r="CD75" s="1242"/>
      <c r="CE75" s="1162"/>
      <c r="CF75" s="1162"/>
      <c r="CG75" s="1162"/>
      <c r="CH75" s="1757"/>
      <c r="CI75" s="1162"/>
      <c r="CJ75" s="860"/>
      <c r="CK75" s="1233"/>
      <c r="CL75" s="860"/>
      <c r="CM75" s="860"/>
      <c r="CN75" s="860"/>
      <c r="CO75" s="1232"/>
      <c r="CP75" s="1233"/>
      <c r="CQ75" s="860"/>
      <c r="CR75" s="860"/>
      <c r="CS75" s="860"/>
      <c r="CT75" s="1232"/>
      <c r="CU75" s="1233"/>
      <c r="CV75" s="860"/>
      <c r="CW75" s="860"/>
      <c r="CX75" s="860"/>
      <c r="CY75" s="1232"/>
      <c r="CZ75" s="1233"/>
      <c r="DA75" s="860"/>
      <c r="DB75" s="860"/>
      <c r="DC75" s="860"/>
      <c r="DD75" s="1232"/>
      <c r="DE75" s="1233"/>
      <c r="DF75" s="860"/>
      <c r="DG75" s="860"/>
      <c r="DH75" s="860"/>
      <c r="DI75" s="1232"/>
      <c r="DJ75" s="1233"/>
      <c r="DK75" s="860"/>
      <c r="DL75" s="860"/>
      <c r="DM75" s="860"/>
      <c r="DN75" s="1232"/>
      <c r="DO75" s="1233"/>
      <c r="DP75" s="860"/>
      <c r="DQ75" s="860"/>
      <c r="DR75" s="860"/>
      <c r="DS75" s="1232"/>
      <c r="DT75" s="1233"/>
      <c r="DU75" s="860"/>
      <c r="DV75" s="860"/>
      <c r="DW75" s="860"/>
      <c r="DX75" s="1232"/>
      <c r="DY75" s="1233"/>
      <c r="DZ75" s="860"/>
      <c r="EA75" s="860"/>
      <c r="EB75" s="860"/>
      <c r="EC75" s="1232"/>
      <c r="ED75" s="860"/>
      <c r="EE75" s="860"/>
      <c r="EF75" s="860"/>
      <c r="EG75" s="860"/>
      <c r="EH75" s="860"/>
      <c r="EI75" s="1233"/>
      <c r="EJ75" s="860"/>
      <c r="EK75" s="860"/>
      <c r="EL75" s="860"/>
      <c r="EM75" s="1232"/>
      <c r="EN75" s="1233"/>
      <c r="EO75" s="860"/>
      <c r="EP75" s="860"/>
      <c r="EQ75" s="860"/>
      <c r="ER75" s="1232"/>
      <c r="ES75" s="860"/>
      <c r="ET75" s="860"/>
      <c r="EU75" s="860"/>
      <c r="EV75" s="860"/>
      <c r="EW75" s="1232"/>
      <c r="EX75" s="1233"/>
      <c r="EY75" s="860"/>
      <c r="EZ75" s="860"/>
      <c r="FA75" s="860"/>
      <c r="FB75" s="1754"/>
      <c r="FC75" s="1233"/>
      <c r="FD75" s="860"/>
      <c r="FE75" s="860"/>
      <c r="FF75" s="860"/>
      <c r="FG75" s="860"/>
      <c r="FH75" s="860"/>
      <c r="FI75" s="860"/>
      <c r="FJ75" s="860"/>
      <c r="FY75" s="860"/>
      <c r="FZ75" s="860"/>
      <c r="GA75" s="860"/>
      <c r="GB75" s="860"/>
      <c r="GC75" s="860"/>
      <c r="GD75" s="860"/>
      <c r="GE75" s="860"/>
      <c r="GF75" s="860"/>
      <c r="GG75" s="860"/>
      <c r="GH75" s="860"/>
      <c r="GI75" s="860"/>
      <c r="GJ75" s="860"/>
      <c r="GK75" s="860"/>
      <c r="GL75" s="860"/>
      <c r="GM75" s="860"/>
      <c r="GN75" s="860"/>
      <c r="GO75" s="860"/>
      <c r="GP75" s="860"/>
      <c r="GQ75" s="860"/>
      <c r="GR75" s="1241"/>
      <c r="GS75" s="1218"/>
      <c r="GT75" s="1241"/>
      <c r="GU75" s="1218"/>
      <c r="GV75" s="1241"/>
      <c r="GW75" s="1218"/>
      <c r="GX75" s="1218"/>
      <c r="GY75" s="1241"/>
      <c r="GZ75" s="1218"/>
      <c r="HA75" s="1218"/>
      <c r="HB75" s="1241"/>
      <c r="HC75" s="1218"/>
      <c r="HD75" s="2000"/>
      <c r="HE75" s="1241"/>
      <c r="HF75" s="1218"/>
      <c r="HG75" s="2000"/>
      <c r="HH75" s="1241"/>
      <c r="HI75" s="1241"/>
      <c r="HJ75" s="1218"/>
      <c r="HK75" s="2000"/>
      <c r="HL75" s="1241"/>
      <c r="HM75" s="1218"/>
      <c r="HN75" s="2000"/>
      <c r="HO75" s="1241"/>
      <c r="HP75" s="1218"/>
      <c r="HQ75" s="2000"/>
      <c r="HR75" s="1241"/>
    </row>
    <row r="76" spans="1:226" hidden="1">
      <c r="A76" s="860"/>
      <c r="B76" s="1233"/>
      <c r="C76" s="860"/>
      <c r="D76" s="860"/>
      <c r="E76" s="860"/>
      <c r="F76" s="1232"/>
      <c r="G76" s="1233"/>
      <c r="H76" s="860"/>
      <c r="I76" s="860"/>
      <c r="J76" s="860"/>
      <c r="K76" s="1232"/>
      <c r="L76" s="1233"/>
      <c r="M76" s="860"/>
      <c r="N76" s="860"/>
      <c r="O76" s="860"/>
      <c r="P76" s="1232"/>
      <c r="Q76" s="1233"/>
      <c r="R76" s="1217"/>
      <c r="S76" s="1217"/>
      <c r="T76" s="1217"/>
      <c r="U76" s="1276"/>
      <c r="V76" s="1237"/>
      <c r="W76" s="1235"/>
      <c r="X76" s="1653"/>
      <c r="Y76" s="1653"/>
      <c r="Z76" s="1261"/>
      <c r="AA76" s="1237"/>
      <c r="AB76" s="1235"/>
      <c r="AC76" s="1235"/>
      <c r="AD76" s="1235"/>
      <c r="AE76" s="1261"/>
      <c r="AF76" s="1237"/>
      <c r="AG76" s="1235"/>
      <c r="AH76" s="1243"/>
      <c r="AI76" s="1243"/>
      <c r="AJ76" s="1261"/>
      <c r="AK76" s="1242"/>
      <c r="AL76" s="1162"/>
      <c r="AM76" s="1162"/>
      <c r="AN76" s="1162"/>
      <c r="AO76" s="1261"/>
      <c r="AP76" s="1239">
        <f>AP75-AK65</f>
        <v>-2.5309277643739192E-2</v>
      </c>
      <c r="AQ76" s="1217">
        <f>AQ75-AL65</f>
        <v>5.5854381634254768E-2</v>
      </c>
      <c r="AR76" s="1217">
        <f>AR75-AM65</f>
        <v>2.5906446948865458E-2</v>
      </c>
      <c r="AS76" s="1217">
        <f>AS75-AN65</f>
        <v>-5.6493978294225866E-3</v>
      </c>
      <c r="AT76" s="1261"/>
      <c r="AU76" s="1242"/>
      <c r="AV76" s="1162"/>
      <c r="AW76" s="1162"/>
      <c r="AX76" s="1162"/>
      <c r="AY76" s="1261"/>
      <c r="AZ76" s="1242"/>
      <c r="BA76" s="1162"/>
      <c r="BB76" s="1162"/>
      <c r="BC76" s="1162"/>
      <c r="BD76" s="1261"/>
      <c r="BE76" s="1242"/>
      <c r="BF76" s="1162"/>
      <c r="BG76" s="1162"/>
      <c r="BH76" s="1162"/>
      <c r="BI76" s="1261"/>
      <c r="BJ76" s="1242"/>
      <c r="BK76" s="1162"/>
      <c r="BL76" s="1162"/>
      <c r="BM76" s="1162"/>
      <c r="BN76" s="1261"/>
      <c r="BO76" s="1242"/>
      <c r="BP76" s="1162"/>
      <c r="BQ76" s="1162"/>
      <c r="BR76" s="1162"/>
      <c r="BS76" s="1261"/>
      <c r="BT76" s="1242"/>
      <c r="BU76" s="1162"/>
      <c r="BV76" s="1162"/>
      <c r="BW76" s="1162"/>
      <c r="BX76" s="1261"/>
      <c r="BY76" s="1242"/>
      <c r="BZ76" s="1162"/>
      <c r="CA76" s="1162"/>
      <c r="CB76" s="1162"/>
      <c r="CC76" s="1757"/>
      <c r="CD76" s="1242"/>
      <c r="CE76" s="1162"/>
      <c r="CF76" s="1162"/>
      <c r="CG76" s="1162"/>
      <c r="CH76" s="1757"/>
      <c r="CI76" s="1162"/>
      <c r="CJ76" s="860"/>
      <c r="CK76" s="1233"/>
      <c r="CL76" s="860"/>
      <c r="CM76" s="860"/>
      <c r="CN76" s="860"/>
      <c r="CO76" s="1232"/>
      <c r="CP76" s="1233"/>
      <c r="CQ76" s="860"/>
      <c r="CR76" s="860"/>
      <c r="CS76" s="860"/>
      <c r="CT76" s="1232"/>
      <c r="CU76" s="1233"/>
      <c r="CV76" s="860"/>
      <c r="CW76" s="860"/>
      <c r="CX76" s="860"/>
      <c r="CY76" s="1232"/>
      <c r="CZ76" s="1233"/>
      <c r="DA76" s="860"/>
      <c r="DB76" s="860"/>
      <c r="DC76" s="860"/>
      <c r="DD76" s="1232"/>
      <c r="DE76" s="1233"/>
      <c r="DF76" s="860"/>
      <c r="DG76" s="860"/>
      <c r="DH76" s="860"/>
      <c r="DI76" s="1232"/>
      <c r="DJ76" s="1233"/>
      <c r="DK76" s="860"/>
      <c r="DL76" s="860"/>
      <c r="DM76" s="860"/>
      <c r="DN76" s="1232"/>
      <c r="DO76" s="1233"/>
      <c r="DP76" s="860"/>
      <c r="DQ76" s="860"/>
      <c r="DR76" s="860"/>
      <c r="DS76" s="1232"/>
      <c r="DT76" s="1233"/>
      <c r="DU76" s="860"/>
      <c r="DV76" s="860"/>
      <c r="DW76" s="860"/>
      <c r="DX76" s="1232"/>
      <c r="DY76" s="1233"/>
      <c r="DZ76" s="860"/>
      <c r="EA76" s="860"/>
      <c r="EB76" s="860"/>
      <c r="EC76" s="1232"/>
      <c r="ED76" s="860"/>
      <c r="EE76" s="860"/>
      <c r="EF76" s="860"/>
      <c r="EG76" s="860"/>
      <c r="EH76" s="860"/>
      <c r="EI76" s="1233"/>
      <c r="EJ76" s="860"/>
      <c r="EK76" s="860"/>
      <c r="EL76" s="860"/>
      <c r="EM76" s="1232"/>
      <c r="EN76" s="1233"/>
      <c r="EO76" s="860"/>
      <c r="EP76" s="860"/>
      <c r="EQ76" s="860"/>
      <c r="ER76" s="1232"/>
      <c r="ES76" s="860"/>
      <c r="ET76" s="860"/>
      <c r="EU76" s="860"/>
      <c r="EV76" s="860"/>
      <c r="EW76" s="1232"/>
      <c r="EX76" s="1233"/>
      <c r="EY76" s="860"/>
      <c r="EZ76" s="860"/>
      <c r="FA76" s="860"/>
      <c r="FB76" s="1754"/>
      <c r="FC76" s="1233"/>
      <c r="FD76" s="860"/>
      <c r="FE76" s="860"/>
      <c r="FF76" s="860"/>
      <c r="FG76" s="860"/>
      <c r="FH76" s="860"/>
      <c r="FI76" s="860"/>
      <c r="FJ76" s="860"/>
      <c r="FY76" s="860"/>
      <c r="FZ76" s="860"/>
      <c r="GA76" s="860"/>
      <c r="GB76" s="860"/>
      <c r="GC76" s="860"/>
      <c r="GD76" s="860"/>
      <c r="GE76" s="860"/>
      <c r="GF76" s="860"/>
      <c r="GG76" s="860"/>
      <c r="GH76" s="860"/>
      <c r="GI76" s="860"/>
      <c r="GJ76" s="860"/>
      <c r="GK76" s="860"/>
      <c r="GL76" s="860"/>
      <c r="GM76" s="860"/>
      <c r="GN76" s="860"/>
      <c r="GO76" s="860"/>
      <c r="GP76" s="860"/>
      <c r="GQ76" s="860"/>
      <c r="GR76" s="1241"/>
      <c r="GS76" s="1218"/>
      <c r="GT76" s="1241"/>
      <c r="GU76" s="1218"/>
      <c r="GV76" s="1241"/>
      <c r="GW76" s="1218"/>
      <c r="GX76" s="1218"/>
      <c r="GY76" s="1241"/>
      <c r="GZ76" s="1218"/>
      <c r="HA76" s="1218"/>
      <c r="HB76" s="1241"/>
      <c r="HC76" s="1218"/>
      <c r="HD76" s="2000"/>
      <c r="HE76" s="1241"/>
      <c r="HF76" s="1218"/>
      <c r="HG76" s="2000"/>
      <c r="HH76" s="1241"/>
      <c r="HI76" s="1241"/>
      <c r="HJ76" s="1218"/>
      <c r="HK76" s="2000"/>
      <c r="HL76" s="1241"/>
      <c r="HM76" s="1218"/>
      <c r="HN76" s="2000"/>
      <c r="HO76" s="1241"/>
      <c r="HP76" s="1218"/>
      <c r="HQ76" s="2000"/>
      <c r="HR76" s="1241"/>
    </row>
    <row r="77" spans="1:226">
      <c r="A77" s="860"/>
      <c r="B77" s="1233"/>
      <c r="C77" s="860"/>
      <c r="D77" s="860"/>
      <c r="E77" s="860"/>
      <c r="F77" s="1232"/>
      <c r="G77" s="1233"/>
      <c r="H77" s="860"/>
      <c r="I77" s="860"/>
      <c r="J77" s="860"/>
      <c r="K77" s="1232"/>
      <c r="L77" s="1233"/>
      <c r="M77" s="860"/>
      <c r="N77" s="860"/>
      <c r="O77" s="860"/>
      <c r="P77" s="1232"/>
      <c r="Q77" s="1233"/>
      <c r="R77" s="1217"/>
      <c r="S77" s="1217"/>
      <c r="T77" s="1217"/>
      <c r="U77" s="1276"/>
      <c r="V77" s="1237"/>
      <c r="W77" s="1235"/>
      <c r="X77" s="1653"/>
      <c r="Y77" s="1653"/>
      <c r="Z77" s="1261"/>
      <c r="AA77" s="1237"/>
      <c r="AB77" s="1235"/>
      <c r="AC77" s="1235"/>
      <c r="AD77" s="1235"/>
      <c r="AE77" s="1261"/>
      <c r="AF77" s="1237"/>
      <c r="AG77" s="1235"/>
      <c r="AH77" s="1243"/>
      <c r="AI77" s="1243"/>
      <c r="AJ77" s="1261"/>
      <c r="AK77" s="1242"/>
      <c r="AL77" s="1162"/>
      <c r="AM77" s="1162"/>
      <c r="AN77" s="1162"/>
      <c r="AO77" s="1261"/>
      <c r="AP77" s="1242"/>
      <c r="AQ77" s="1162"/>
      <c r="AR77" s="1162"/>
      <c r="AS77" s="1162"/>
      <c r="AT77" s="1261"/>
      <c r="AU77" s="1242"/>
      <c r="AV77" s="1162"/>
      <c r="AW77" s="1162"/>
      <c r="AX77" s="1162"/>
      <c r="AY77" s="1261"/>
      <c r="AZ77" s="1242"/>
      <c r="BA77" s="1162"/>
      <c r="BB77" s="1162"/>
      <c r="BC77" s="1162"/>
      <c r="BD77" s="1261"/>
      <c r="BE77" s="1242"/>
      <c r="BF77" s="1162"/>
      <c r="BG77" s="1162"/>
      <c r="BH77" s="1162"/>
      <c r="BI77" s="1261"/>
      <c r="BJ77" s="1242"/>
      <c r="BK77" s="1162"/>
      <c r="BL77" s="1162"/>
      <c r="BM77" s="1162"/>
      <c r="BN77" s="1261"/>
      <c r="BO77" s="1242"/>
      <c r="BP77" s="1162"/>
      <c r="BQ77" s="1162"/>
      <c r="BR77" s="1162"/>
      <c r="BS77" s="1261"/>
      <c r="BT77" s="1242"/>
      <c r="BU77" s="1162"/>
      <c r="BV77" s="1162"/>
      <c r="BW77" s="1162"/>
      <c r="BX77" s="1261"/>
      <c r="BY77" s="1242"/>
      <c r="BZ77" s="1162"/>
      <c r="CA77" s="1162"/>
      <c r="CB77" s="1162"/>
      <c r="CC77" s="1757"/>
      <c r="CD77" s="1242"/>
      <c r="CE77" s="1162"/>
      <c r="CF77" s="1162"/>
      <c r="CG77" s="1162"/>
      <c r="CH77" s="1757"/>
      <c r="CI77" s="1162"/>
      <c r="CJ77" s="860"/>
      <c r="CK77" s="1233"/>
      <c r="CL77" s="860"/>
      <c r="CM77" s="860"/>
      <c r="CN77" s="860"/>
      <c r="CO77" s="1232"/>
      <c r="CP77" s="1233"/>
      <c r="CQ77" s="860"/>
      <c r="CR77" s="860"/>
      <c r="CS77" s="860"/>
      <c r="CT77" s="1232"/>
      <c r="CU77" s="1233"/>
      <c r="CV77" s="860"/>
      <c r="CW77" s="860"/>
      <c r="CX77" s="860"/>
      <c r="CY77" s="1232"/>
      <c r="CZ77" s="1233"/>
      <c r="DA77" s="860"/>
      <c r="DB77" s="860"/>
      <c r="DC77" s="860"/>
      <c r="DD77" s="1232"/>
      <c r="DE77" s="1233"/>
      <c r="DF77" s="860"/>
      <c r="DG77" s="860"/>
      <c r="DH77" s="860"/>
      <c r="DI77" s="1232"/>
      <c r="DJ77" s="1233"/>
      <c r="DK77" s="860"/>
      <c r="DL77" s="860"/>
      <c r="DM77" s="860"/>
      <c r="DN77" s="1232"/>
      <c r="DO77" s="1233"/>
      <c r="DP77" s="860"/>
      <c r="DQ77" s="860"/>
      <c r="DR77" s="860"/>
      <c r="DS77" s="1232"/>
      <c r="DT77" s="1233"/>
      <c r="DU77" s="860"/>
      <c r="DV77" s="860"/>
      <c r="DW77" s="860"/>
      <c r="DX77" s="1232"/>
      <c r="DY77" s="1233"/>
      <c r="DZ77" s="860"/>
      <c r="EA77" s="860"/>
      <c r="EB77" s="860"/>
      <c r="EC77" s="1232"/>
      <c r="ED77" s="860"/>
      <c r="EE77" s="860"/>
      <c r="EF77" s="860"/>
      <c r="EG77" s="860"/>
      <c r="EH77" s="860"/>
      <c r="EI77" s="1233"/>
      <c r="EJ77" s="860"/>
      <c r="EK77" s="860"/>
      <c r="EL77" s="860"/>
      <c r="EM77" s="1232"/>
      <c r="EN77" s="1233"/>
      <c r="EO77" s="860"/>
      <c r="EP77" s="860"/>
      <c r="EQ77" s="860"/>
      <c r="ER77" s="1232"/>
      <c r="ES77" s="860"/>
      <c r="ET77" s="860"/>
      <c r="EU77" s="860"/>
      <c r="EV77" s="860"/>
      <c r="EW77" s="1232"/>
      <c r="EX77" s="1233"/>
      <c r="EY77" s="860"/>
      <c r="EZ77" s="860"/>
      <c r="FA77" s="860"/>
      <c r="FB77" s="1754"/>
      <c r="FC77" s="1233"/>
      <c r="FD77" s="860"/>
      <c r="FE77" s="860"/>
      <c r="FF77" s="860"/>
      <c r="FG77" s="860"/>
      <c r="FH77" s="860"/>
      <c r="FI77" s="860"/>
      <c r="FJ77" s="860"/>
      <c r="FY77" s="860"/>
      <c r="FZ77" s="860"/>
      <c r="GA77" s="860"/>
      <c r="GB77" s="860"/>
      <c r="GC77" s="860"/>
      <c r="GD77" s="860"/>
      <c r="GE77" s="860"/>
      <c r="GF77" s="860"/>
      <c r="GG77" s="860"/>
      <c r="GH77" s="860"/>
      <c r="GI77" s="860"/>
      <c r="GJ77" s="860"/>
      <c r="GK77" s="860"/>
      <c r="GL77" s="860"/>
      <c r="GM77" s="860"/>
      <c r="GN77" s="860"/>
      <c r="GO77" s="860"/>
      <c r="GP77" s="860"/>
      <c r="GQ77" s="860"/>
      <c r="GR77" s="1241"/>
      <c r="GS77" s="1218"/>
      <c r="GT77" s="1241"/>
      <c r="GU77" s="1218"/>
      <c r="GV77" s="1241"/>
      <c r="GW77" s="1218"/>
      <c r="GX77" s="1218"/>
      <c r="GY77" s="1241"/>
      <c r="GZ77" s="1218"/>
      <c r="HA77" s="1218"/>
      <c r="HB77" s="1241"/>
      <c r="HC77" s="1218"/>
      <c r="HD77" s="2000"/>
      <c r="HE77" s="1241"/>
      <c r="HF77" s="1218"/>
      <c r="HG77" s="2000"/>
      <c r="HH77" s="1241"/>
      <c r="HI77" s="1241"/>
      <c r="HJ77" s="1218"/>
      <c r="HK77" s="2000"/>
      <c r="HL77" s="1241"/>
      <c r="HM77" s="1218"/>
      <c r="HN77" s="2000"/>
      <c r="HO77" s="1241"/>
      <c r="HP77" s="1218"/>
      <c r="HQ77" s="2000"/>
      <c r="HR77" s="1241"/>
    </row>
    <row r="78" spans="1:226">
      <c r="A78" s="860" t="s">
        <v>318</v>
      </c>
      <c r="B78" s="1233"/>
      <c r="C78" s="860"/>
      <c r="D78" s="860"/>
      <c r="E78" s="860"/>
      <c r="F78" s="1232"/>
      <c r="G78" s="1233">
        <f>-1904-H78</f>
        <v>-901</v>
      </c>
      <c r="H78" s="860">
        <v>-1003</v>
      </c>
      <c r="I78" s="1274">
        <v>-1123.0999999999999</v>
      </c>
      <c r="J78" s="860">
        <v>-1147.3</v>
      </c>
      <c r="K78" s="1232"/>
      <c r="L78" s="1326">
        <f>-2162-M78</f>
        <v>-1084.5</v>
      </c>
      <c r="M78" s="1274">
        <v>-1077.5</v>
      </c>
      <c r="N78" s="1274">
        <v>-1064.9000000000001</v>
      </c>
      <c r="O78" s="1274">
        <v>-1142.4000000000001</v>
      </c>
      <c r="P78" s="1327">
        <f>-Master!K292</f>
        <v>-4369</v>
      </c>
      <c r="Q78" s="1326">
        <v>-1104.5</v>
      </c>
      <c r="R78" s="1274">
        <v>-1165.4000000000001</v>
      </c>
      <c r="S78" s="1274">
        <v>-1233.9000000000001</v>
      </c>
      <c r="T78" s="1274">
        <f>-4803.2-Q78-R78-S78</f>
        <v>-1299.3999999999996</v>
      </c>
      <c r="U78" s="1327"/>
      <c r="V78" s="1326">
        <v>-1239.4000000000001</v>
      </c>
      <c r="W78" s="1274">
        <v>-1396.1</v>
      </c>
      <c r="X78" s="1274">
        <v>-1421.4</v>
      </c>
      <c r="Y78" s="1274">
        <f>-5551.5-V78-W78-X78</f>
        <v>-1494.6000000000004</v>
      </c>
      <c r="Z78" s="1327"/>
      <c r="AA78" s="1326">
        <v>-1477.7</v>
      </c>
      <c r="AB78" s="1274">
        <v>-1530.4</v>
      </c>
      <c r="AC78" s="1274">
        <v>-1557.4</v>
      </c>
      <c r="AD78" s="1274">
        <f>-6239.4-AA78-AB78-AC78</f>
        <v>-1673.8999999999996</v>
      </c>
      <c r="AE78" s="1327">
        <f>-Master!N292</f>
        <v>-6239</v>
      </c>
      <c r="AF78" s="1326">
        <v>-1983.3</v>
      </c>
      <c r="AG78" s="1274">
        <v>-2000.7</v>
      </c>
      <c r="AH78" s="1274">
        <v>-2263.6</v>
      </c>
      <c r="AI78" s="1274">
        <f>-8497.9-AF78-AG78-AH78</f>
        <v>-2250.2999999999997</v>
      </c>
      <c r="AJ78" s="1327">
        <f>-Master!O292</f>
        <v>-8497.9</v>
      </c>
      <c r="AK78" s="1326">
        <v>-2262.9</v>
      </c>
      <c r="AL78" s="1274">
        <v>-2233.4</v>
      </c>
      <c r="AM78" s="1274">
        <v>-2194.1</v>
      </c>
      <c r="AN78" s="1274">
        <f>-9245.7-AK78-AL78-AM78</f>
        <v>-2555.3000000000015</v>
      </c>
      <c r="AO78" s="1327">
        <f>-Master!P292</f>
        <v>-9246</v>
      </c>
      <c r="AP78" s="1326">
        <v>-2289.1999999999998</v>
      </c>
      <c r="AQ78" s="1274">
        <v>-2352.6999999999998</v>
      </c>
      <c r="AR78" s="1274">
        <v>-2395.1</v>
      </c>
      <c r="AS78" s="1274">
        <v>-2973.4</v>
      </c>
      <c r="AT78" s="1327">
        <f>-Master!Q292</f>
        <v>-9707</v>
      </c>
      <c r="AU78" s="1326">
        <v>-2406.8000000000002</v>
      </c>
      <c r="AV78" s="1274">
        <v>-2576.3000000000002</v>
      </c>
      <c r="AW78" s="1274">
        <v>-2861.5</v>
      </c>
      <c r="AX78" s="1274">
        <v>-3117.1</v>
      </c>
      <c r="AY78" s="1327"/>
      <c r="AZ78" s="1326">
        <v>-2528.9</v>
      </c>
      <c r="BA78" s="1274">
        <v>-2885.1</v>
      </c>
      <c r="BB78" s="1274">
        <v>-2788.9</v>
      </c>
      <c r="BC78" s="1274">
        <f>-Master!S292-AZ78-BA78-BB78</f>
        <v>-2299.1</v>
      </c>
      <c r="BD78" s="1327"/>
      <c r="BE78" s="1326">
        <v>-2302.4</v>
      </c>
      <c r="BF78" s="1274">
        <v>-2206.1</v>
      </c>
      <c r="BG78" s="1274">
        <v>-2274.1</v>
      </c>
      <c r="BH78" s="1274">
        <v>-2379.7999999999988</v>
      </c>
      <c r="BI78" s="1327">
        <f>-Master!T284</f>
        <v>-11918</v>
      </c>
      <c r="BJ78" s="1350">
        <v>-2805.9</v>
      </c>
      <c r="BK78" s="1298">
        <v>-2214.9</v>
      </c>
      <c r="BL78" s="1298">
        <v>-2300</v>
      </c>
      <c r="BM78" s="1298">
        <f>-9455.6-BJ78-BK78-BL78</f>
        <v>-2134.8000000000011</v>
      </c>
      <c r="BN78" s="1341">
        <f>-Master!U284</f>
        <v>-9206.2000000000007</v>
      </c>
      <c r="BO78" s="1350">
        <v>-2111.1999999999998</v>
      </c>
      <c r="BP78" s="1298">
        <v>-2023.1</v>
      </c>
      <c r="BQ78" s="1298">
        <v>-1529.3</v>
      </c>
      <c r="BR78" s="1298">
        <f>-7654.3-BO78-BP78-BQ78</f>
        <v>-1990.7000000000005</v>
      </c>
      <c r="BS78" s="1341">
        <f>-Master!V292</f>
        <v>-7654.3</v>
      </c>
      <c r="BT78" s="1350">
        <v>-1911.2</v>
      </c>
      <c r="BU78" s="1298">
        <v>-1821.7</v>
      </c>
      <c r="BV78" s="1298">
        <v>-2064.9</v>
      </c>
      <c r="BW78" s="1298">
        <f>-7969.5-BT78-BU78-BV78</f>
        <v>-2171.7000000000003</v>
      </c>
      <c r="BX78" s="1341">
        <f>SUM(BT78:BW78)</f>
        <v>-7969.5</v>
      </c>
      <c r="BY78" s="1350">
        <v>-1850</v>
      </c>
      <c r="BZ78" s="1298">
        <v>-2192.3000000000002</v>
      </c>
      <c r="CA78" s="1298">
        <v>-1756.7</v>
      </c>
      <c r="CB78" s="1298">
        <f>-7508.6-BY78-BZ78-CA78</f>
        <v>-1709.6000000000001</v>
      </c>
      <c r="CC78" s="1762">
        <f>-Master!X292</f>
        <v>-7508.6</v>
      </c>
      <c r="CD78" s="1350">
        <v>-1653.8</v>
      </c>
      <c r="CE78" s="1991">
        <v>-1900</v>
      </c>
      <c r="CF78" s="1991">
        <v>-1750</v>
      </c>
      <c r="CG78" s="1991">
        <f>CH78-CD78-CE78-CF78</f>
        <v>-1739.9141846133689</v>
      </c>
      <c r="CH78" s="1762">
        <f>-Master!Y292</f>
        <v>-7043.7141846133691</v>
      </c>
      <c r="CI78" s="1291"/>
      <c r="CJ78" s="860"/>
      <c r="CK78" s="1233"/>
      <c r="CL78" s="860"/>
      <c r="CM78" s="860"/>
      <c r="CN78" s="860"/>
      <c r="CO78" s="1232"/>
      <c r="CP78" s="1233"/>
      <c r="CQ78" s="860"/>
      <c r="CR78" s="860"/>
      <c r="CS78" s="860"/>
      <c r="CT78" s="1232"/>
      <c r="CU78" s="1233"/>
      <c r="CV78" s="860"/>
      <c r="CW78" s="860"/>
      <c r="CX78" s="860"/>
      <c r="CY78" s="1232"/>
      <c r="CZ78" s="1233"/>
      <c r="DA78" s="860"/>
      <c r="DB78" s="860"/>
      <c r="DC78" s="860"/>
      <c r="DD78" s="1232"/>
      <c r="DE78" s="1233"/>
      <c r="DF78" s="860"/>
      <c r="DG78" s="860"/>
      <c r="DH78" s="860"/>
      <c r="DI78" s="1232"/>
      <c r="DJ78" s="1233"/>
      <c r="DK78" s="860"/>
      <c r="DL78" s="860"/>
      <c r="DM78" s="860"/>
      <c r="DN78" s="1232"/>
      <c r="DO78" s="1233"/>
      <c r="DP78" s="860"/>
      <c r="DQ78" s="860"/>
      <c r="DR78" s="860"/>
      <c r="DS78" s="1232"/>
      <c r="DT78" s="1233"/>
      <c r="DU78" s="860"/>
      <c r="DV78" s="860"/>
      <c r="DW78" s="860"/>
      <c r="DX78" s="1232"/>
      <c r="DY78" s="1233"/>
      <c r="DZ78" s="860"/>
      <c r="EA78" s="860"/>
      <c r="EB78" s="860"/>
      <c r="EC78" s="1232"/>
      <c r="ED78" s="860"/>
      <c r="EE78" s="860"/>
      <c r="EF78" s="860"/>
      <c r="EG78" s="860"/>
      <c r="EH78" s="860"/>
      <c r="EI78" s="1233"/>
      <c r="EJ78" s="860"/>
      <c r="EK78" s="860"/>
      <c r="EL78" s="860"/>
      <c r="EM78" s="1232"/>
      <c r="EN78" s="1233"/>
      <c r="EO78" s="860"/>
      <c r="EP78" s="860"/>
      <c r="EQ78" s="860"/>
      <c r="ER78" s="1232"/>
      <c r="ES78" s="860"/>
      <c r="ET78" s="860"/>
      <c r="EU78" s="860"/>
      <c r="EV78" s="860"/>
      <c r="EW78" s="1232"/>
      <c r="EX78" s="1233"/>
      <c r="EY78" s="860"/>
      <c r="EZ78" s="860"/>
      <c r="FA78" s="860"/>
      <c r="FB78" s="1754"/>
      <c r="FC78" s="1233"/>
      <c r="FD78" s="860"/>
      <c r="FE78" s="860"/>
      <c r="FF78" s="860"/>
      <c r="FG78" s="860"/>
      <c r="FH78" s="860"/>
      <c r="FI78" s="860"/>
      <c r="FJ78" s="860"/>
      <c r="FY78" s="860"/>
      <c r="FZ78" s="860"/>
      <c r="GA78" s="860"/>
      <c r="GB78" s="860"/>
      <c r="GC78" s="860"/>
      <c r="GD78" s="860"/>
      <c r="GE78" s="860"/>
      <c r="GF78" s="860"/>
      <c r="GG78" s="860"/>
      <c r="GH78" s="860"/>
      <c r="GI78" s="860"/>
      <c r="GJ78" s="860"/>
      <c r="GK78" s="860"/>
      <c r="GL78" s="860"/>
      <c r="GM78" s="860"/>
      <c r="GN78" s="860"/>
      <c r="GO78" s="860"/>
      <c r="GP78" s="860"/>
      <c r="GQ78" s="860"/>
      <c r="GR78" s="1376">
        <v>-2000</v>
      </c>
      <c r="GS78" s="1218"/>
      <c r="GT78" s="1279">
        <v>-1970.6309610907394</v>
      </c>
      <c r="GU78" s="1218"/>
      <c r="GV78" s="1299">
        <v>-1750</v>
      </c>
      <c r="GW78" s="1218"/>
      <c r="GX78" s="1218"/>
      <c r="GY78" s="1299">
        <v>-1700</v>
      </c>
      <c r="GZ78" s="1218"/>
      <c r="HA78" s="1218"/>
      <c r="HB78" s="1299">
        <v>-1900</v>
      </c>
      <c r="HC78" s="1218"/>
      <c r="HD78" s="2000"/>
      <c r="HE78" s="1633">
        <v>-2046.9143197842909</v>
      </c>
      <c r="HF78" s="1218"/>
      <c r="HG78" s="2000"/>
      <c r="HH78" s="2000">
        <v>-2000</v>
      </c>
      <c r="HI78" s="1376">
        <v>-1850</v>
      </c>
      <c r="HJ78" s="1218"/>
      <c r="HK78" s="2000"/>
      <c r="HL78" s="1376">
        <v>-2000</v>
      </c>
      <c r="HM78" s="1218"/>
      <c r="HN78" s="2000"/>
      <c r="HO78" s="1376">
        <v>-1825.4156198852968</v>
      </c>
      <c r="HP78" s="1218"/>
      <c r="HQ78" s="2000"/>
      <c r="HR78" s="1299">
        <v>-1653.8</v>
      </c>
    </row>
    <row r="79" spans="1:226">
      <c r="A79" s="860" t="s">
        <v>315</v>
      </c>
      <c r="B79" s="1233"/>
      <c r="C79" s="860"/>
      <c r="D79" s="860"/>
      <c r="E79" s="860"/>
      <c r="F79" s="1232"/>
      <c r="G79" s="1233">
        <f>456-H79</f>
        <v>297</v>
      </c>
      <c r="H79" s="860">
        <v>159</v>
      </c>
      <c r="I79" s="1274">
        <v>269.10000000000002</v>
      </c>
      <c r="J79" s="860">
        <v>421.5</v>
      </c>
      <c r="K79" s="1232"/>
      <c r="L79" s="1326">
        <f>508-M79</f>
        <v>283.5</v>
      </c>
      <c r="M79" s="1274">
        <v>224.5</v>
      </c>
      <c r="N79" s="1274">
        <v>212.6</v>
      </c>
      <c r="O79" s="1274">
        <v>323.3</v>
      </c>
      <c r="P79" s="1327">
        <f>Master!K287</f>
        <v>1044</v>
      </c>
      <c r="Q79" s="1326">
        <v>301.89999999999998</v>
      </c>
      <c r="R79" s="1274">
        <v>228</v>
      </c>
      <c r="S79" s="1274">
        <v>261.8</v>
      </c>
      <c r="T79" s="1274">
        <f>1130-Q79-R79-S79</f>
        <v>338.3</v>
      </c>
      <c r="U79" s="1327"/>
      <c r="V79" s="1326">
        <v>271.39999999999998</v>
      </c>
      <c r="W79" s="1274">
        <v>290.60000000000002</v>
      </c>
      <c r="X79" s="1274">
        <v>330</v>
      </c>
      <c r="Y79" s="1274">
        <f>1327.7-V79-W79-X79</f>
        <v>435.70000000000016</v>
      </c>
      <c r="Z79" s="1327"/>
      <c r="AA79" s="1326">
        <v>315.5</v>
      </c>
      <c r="AB79" s="1274">
        <v>320.2</v>
      </c>
      <c r="AC79" s="1274">
        <v>130.5</v>
      </c>
      <c r="AD79" s="1274">
        <f>1027.8-AA79-AB79-AC79</f>
        <v>261.59999999999997</v>
      </c>
      <c r="AE79" s="1327">
        <f>Master!N287</f>
        <v>1028</v>
      </c>
      <c r="AF79" s="1326">
        <v>308.10000000000002</v>
      </c>
      <c r="AG79" s="1274">
        <v>579.4</v>
      </c>
      <c r="AH79" s="1274">
        <v>407.4</v>
      </c>
      <c r="AI79" s="1274">
        <f>1499.5-AF79-AG79-AH79</f>
        <v>204.60000000000014</v>
      </c>
      <c r="AJ79" s="1327">
        <f>Master!O287</f>
        <v>1499.5</v>
      </c>
      <c r="AK79" s="1326">
        <v>480.6</v>
      </c>
      <c r="AL79" s="1274">
        <v>424.9</v>
      </c>
      <c r="AM79" s="1274">
        <v>540.20000000000005</v>
      </c>
      <c r="AN79" s="1274">
        <f>2268.7-AK79-AL79-AM79</f>
        <v>822.99999999999977</v>
      </c>
      <c r="AO79" s="1327">
        <f>Master!P287</f>
        <v>2269</v>
      </c>
      <c r="AP79" s="1326">
        <v>304</v>
      </c>
      <c r="AQ79" s="1274">
        <v>438.8</v>
      </c>
      <c r="AR79" s="1274">
        <v>419.3</v>
      </c>
      <c r="AS79" s="1274">
        <v>658.9</v>
      </c>
      <c r="AT79" s="1327">
        <f>Master!Q287</f>
        <v>1567</v>
      </c>
      <c r="AU79" s="1326">
        <v>296.5</v>
      </c>
      <c r="AV79" s="1274">
        <v>349</v>
      </c>
      <c r="AW79" s="1274">
        <v>565.4</v>
      </c>
      <c r="AX79" s="1274">
        <v>1719</v>
      </c>
      <c r="AY79" s="1327"/>
      <c r="AZ79" s="1326">
        <v>223.9</v>
      </c>
      <c r="BA79" s="1274">
        <v>451.8</v>
      </c>
      <c r="BB79" s="1274">
        <v>275.3</v>
      </c>
      <c r="BC79" s="1274">
        <f>Master!S287-AZ79-BA79-BB79</f>
        <v>180.79999999999995</v>
      </c>
      <c r="BD79" s="1327"/>
      <c r="BE79" s="1326">
        <v>121.3</v>
      </c>
      <c r="BF79" s="1274">
        <v>265.8</v>
      </c>
      <c r="BG79" s="1274">
        <v>186</v>
      </c>
      <c r="BH79" s="1274">
        <v>47.100000000000037</v>
      </c>
      <c r="BI79" s="1327"/>
      <c r="BJ79" s="1350">
        <v>338.9</v>
      </c>
      <c r="BK79" s="1298">
        <v>529.29999999999995</v>
      </c>
      <c r="BL79" s="1298">
        <v>688.5</v>
      </c>
      <c r="BM79" s="1298">
        <f>2151.1-BJ79-BK79-BL79</f>
        <v>594.39999999999986</v>
      </c>
      <c r="BN79" s="1341">
        <f>-Master!U287</f>
        <v>-2151.1</v>
      </c>
      <c r="BO79" s="1350">
        <v>883.4</v>
      </c>
      <c r="BP79" s="1298">
        <v>889.3</v>
      </c>
      <c r="BQ79" s="1298">
        <v>778.5</v>
      </c>
      <c r="BR79" s="1298">
        <f>3307.4-BO79-BP79-BQ79</f>
        <v>756.2</v>
      </c>
      <c r="BS79" s="1341">
        <f>Master!V287</f>
        <v>3180.192</v>
      </c>
      <c r="BT79" s="1350">
        <v>686.3</v>
      </c>
      <c r="BU79" s="1298">
        <v>912.5</v>
      </c>
      <c r="BV79" s="1298">
        <v>879</v>
      </c>
      <c r="BW79" s="1298">
        <f>3343.9-BT79-BU79-BV79</f>
        <v>866.10000000000036</v>
      </c>
      <c r="BX79" s="1341">
        <f>Master!W287</f>
        <v>3343.8560000000002</v>
      </c>
      <c r="BY79" s="1350">
        <v>641.4</v>
      </c>
      <c r="BZ79" s="1298">
        <v>1224.4000000000001</v>
      </c>
      <c r="CA79" s="1298">
        <v>536.5</v>
      </c>
      <c r="CB79" s="1298">
        <f>2639.8-BY79-BZ79-CA79</f>
        <v>237.5</v>
      </c>
      <c r="CC79" s="1762">
        <f>Master!X287</f>
        <v>2666.8339999999998</v>
      </c>
      <c r="CD79" s="1350">
        <v>303.10000000000002</v>
      </c>
      <c r="CE79" s="2039">
        <v>700</v>
      </c>
      <c r="CF79" s="2039">
        <v>700</v>
      </c>
      <c r="CG79" s="1991">
        <f t="shared" ref="CG79:CG80" ca="1" si="147">CH79-CD79-CE79-CF79</f>
        <v>702.66725367447407</v>
      </c>
      <c r="CH79" s="1762">
        <f ca="1">Master!Y287</f>
        <v>2405.767253674474</v>
      </c>
      <c r="CI79" s="2046"/>
      <c r="CJ79" s="860"/>
      <c r="CK79" s="1233"/>
      <c r="CL79" s="860"/>
      <c r="CM79" s="860"/>
      <c r="CN79" s="860"/>
      <c r="CO79" s="1232"/>
      <c r="CP79" s="1233"/>
      <c r="CQ79" s="860"/>
      <c r="CR79" s="860"/>
      <c r="CS79" s="860"/>
      <c r="CT79" s="1232"/>
      <c r="CU79" s="1233"/>
      <c r="CV79" s="860"/>
      <c r="CW79" s="860"/>
      <c r="CX79" s="860"/>
      <c r="CY79" s="1232"/>
      <c r="CZ79" s="1233"/>
      <c r="DA79" s="860"/>
      <c r="DB79" s="860"/>
      <c r="DC79" s="860"/>
      <c r="DD79" s="1232"/>
      <c r="DE79" s="1233"/>
      <c r="DF79" s="860"/>
      <c r="DG79" s="860"/>
      <c r="DH79" s="860"/>
      <c r="DI79" s="1232"/>
      <c r="DJ79" s="1233"/>
      <c r="DK79" s="860"/>
      <c r="DL79" s="860"/>
      <c r="DM79" s="860"/>
      <c r="DN79" s="1232"/>
      <c r="DO79" s="1233"/>
      <c r="DP79" s="860"/>
      <c r="DQ79" s="860"/>
      <c r="DR79" s="860"/>
      <c r="DS79" s="1232"/>
      <c r="DT79" s="1233"/>
      <c r="DU79" s="860"/>
      <c r="DV79" s="860"/>
      <c r="DW79" s="860"/>
      <c r="DX79" s="1232"/>
      <c r="DY79" s="1233"/>
      <c r="DZ79" s="860"/>
      <c r="EA79" s="860"/>
      <c r="EB79" s="860"/>
      <c r="EC79" s="1232"/>
      <c r="ED79" s="860"/>
      <c r="EE79" s="860"/>
      <c r="EF79" s="860"/>
      <c r="EG79" s="860"/>
      <c r="EH79" s="860"/>
      <c r="EI79" s="1233"/>
      <c r="EJ79" s="860"/>
      <c r="EK79" s="860"/>
      <c r="EL79" s="860"/>
      <c r="EM79" s="1232"/>
      <c r="EN79" s="1233"/>
      <c r="EO79" s="860"/>
      <c r="EP79" s="860"/>
      <c r="EQ79" s="860"/>
      <c r="ER79" s="1232"/>
      <c r="ES79" s="860"/>
      <c r="ET79" s="860"/>
      <c r="EU79" s="860"/>
      <c r="EV79" s="860"/>
      <c r="EW79" s="1232"/>
      <c r="EX79" s="1233"/>
      <c r="EY79" s="860"/>
      <c r="EZ79" s="860"/>
      <c r="FA79" s="860"/>
      <c r="FB79" s="1754"/>
      <c r="FC79" s="1233"/>
      <c r="FD79" s="860"/>
      <c r="FE79" s="860"/>
      <c r="FF79" s="860"/>
      <c r="FG79" s="860"/>
      <c r="FH79" s="860"/>
      <c r="FI79" s="860"/>
      <c r="FJ79" s="860"/>
      <c r="FY79" s="860"/>
      <c r="FZ79" s="860"/>
      <c r="GA79" s="860"/>
      <c r="GB79" s="860"/>
      <c r="GC79" s="860"/>
      <c r="GD79" s="860"/>
      <c r="GE79" s="860"/>
      <c r="GF79" s="860"/>
      <c r="GG79" s="860"/>
      <c r="GH79" s="860"/>
      <c r="GI79" s="860"/>
      <c r="GJ79" s="860"/>
      <c r="GK79" s="860"/>
      <c r="GL79" s="860"/>
      <c r="GM79" s="860"/>
      <c r="GN79" s="860"/>
      <c r="GO79" s="860"/>
      <c r="GP79" s="860"/>
      <c r="GQ79" s="860"/>
      <c r="GR79" s="1376">
        <v>900</v>
      </c>
      <c r="GS79" s="1218"/>
      <c r="GT79" s="1279">
        <v>797.85078004251795</v>
      </c>
      <c r="GU79" s="1218"/>
      <c r="GV79" s="1299">
        <v>600</v>
      </c>
      <c r="GW79" s="1218"/>
      <c r="GX79" s="1218"/>
      <c r="GY79" s="1299">
        <v>600</v>
      </c>
      <c r="GZ79" s="1218"/>
      <c r="HA79" s="1218"/>
      <c r="HB79" s="1299">
        <v>730</v>
      </c>
      <c r="HC79" s="1218"/>
      <c r="HD79" s="2000"/>
      <c r="HE79" s="1633">
        <v>762.84557612227854</v>
      </c>
      <c r="HF79" s="1218"/>
      <c r="HG79" s="2000"/>
      <c r="HH79" s="2000">
        <v>850</v>
      </c>
      <c r="HI79" s="1376">
        <v>800</v>
      </c>
      <c r="HJ79" s="1218"/>
      <c r="HK79" s="2000"/>
      <c r="HL79" s="1376">
        <v>800</v>
      </c>
      <c r="HM79" s="1218"/>
      <c r="HN79" s="2000"/>
      <c r="HO79" s="1376">
        <v>593.82874292461975</v>
      </c>
      <c r="HP79" s="1218"/>
      <c r="HQ79" s="2000"/>
      <c r="HR79" s="1299">
        <v>303.10000000000002</v>
      </c>
    </row>
    <row r="80" spans="1:226">
      <c r="A80" s="860" t="s">
        <v>712</v>
      </c>
      <c r="B80" s="1233"/>
      <c r="C80" s="860"/>
      <c r="D80" s="860"/>
      <c r="E80" s="860"/>
      <c r="F80" s="1232"/>
      <c r="G80" s="1233">
        <f>15-842-H80</f>
        <v>-340</v>
      </c>
      <c r="H80" s="860">
        <f>-24-463</f>
        <v>-487</v>
      </c>
      <c r="I80" s="1274">
        <f>404.8+127.3</f>
        <v>532.1</v>
      </c>
      <c r="J80" s="860">
        <f>-324.2+70.3</f>
        <v>-253.89999999999998</v>
      </c>
      <c r="K80" s="1232"/>
      <c r="L80" s="1326">
        <f>4-1063-M80</f>
        <v>224</v>
      </c>
      <c r="M80" s="1274">
        <f>-338-945</f>
        <v>-1283</v>
      </c>
      <c r="N80" s="1274">
        <f>-9.6-221.8</f>
        <v>-231.4</v>
      </c>
      <c r="O80" s="1274">
        <f>113.8+687.6</f>
        <v>801.4</v>
      </c>
      <c r="P80" s="1327">
        <f>Master!K283</f>
        <v>-25.5</v>
      </c>
      <c r="Q80" s="1326">
        <f>47.3-84.2</f>
        <v>-36.900000000000006</v>
      </c>
      <c r="R80" s="1274">
        <f>-230.3-4.9</f>
        <v>-235.20000000000002</v>
      </c>
      <c r="S80" s="1274">
        <f>-121.4-68.5</f>
        <v>-189.9</v>
      </c>
      <c r="T80" s="1274">
        <f>4841.7-283.8-Q80-R80-S80</f>
        <v>5019.8999999999987</v>
      </c>
      <c r="U80" s="1327"/>
      <c r="V80" s="1326">
        <f>-108.8-41</f>
        <v>-149.80000000000001</v>
      </c>
      <c r="W80" s="1274">
        <f>-24-107.7</f>
        <v>-131.69999999999999</v>
      </c>
      <c r="X80" s="1274">
        <f>-233.2+887.4</f>
        <v>654.20000000000005</v>
      </c>
      <c r="Y80" s="1274">
        <f>(-1391.2+1286.1)-V80-W80-X80</f>
        <v>-477.80000000000018</v>
      </c>
      <c r="Z80" s="1327"/>
      <c r="AA80" s="1326">
        <f>168.1-866.9</f>
        <v>-698.8</v>
      </c>
      <c r="AB80" s="1274">
        <f>-683.9+133.4</f>
        <v>-550.5</v>
      </c>
      <c r="AC80" s="1274">
        <f>-416.8+7289.6</f>
        <v>6872.8</v>
      </c>
      <c r="AD80" s="1274">
        <f>-2426+7514.9-AA80-AB80-AC80</f>
        <v>-534.60000000000036</v>
      </c>
      <c r="AE80" s="1327">
        <f>Master!N283</f>
        <v>6913</v>
      </c>
      <c r="AF80" s="1326">
        <f>-230.5-102.9</f>
        <v>-333.4</v>
      </c>
      <c r="AG80" s="1274">
        <f>-415.4-36.4</f>
        <v>-451.79999999999995</v>
      </c>
      <c r="AH80" s="1274">
        <f>-652.8-24.3</f>
        <v>-677.09999999999991</v>
      </c>
      <c r="AI80" s="1274">
        <f>-2490.3-43.4-AF80-AG80-AH80</f>
        <v>-1071.4000000000003</v>
      </c>
      <c r="AJ80" s="1327">
        <f>Master!O283</f>
        <v>-2533.7000000000003</v>
      </c>
      <c r="AK80" s="1326">
        <f>1244.7-23.5</f>
        <v>1221.2</v>
      </c>
      <c r="AL80" s="1274">
        <f>738.9-24.8</f>
        <v>714.1</v>
      </c>
      <c r="AM80" s="1274">
        <f>-119.7+57.5</f>
        <v>-62.2</v>
      </c>
      <c r="AN80" s="1274">
        <f>768.9+903.2-AK80-AL80-AM80</f>
        <v>-201.00000000000017</v>
      </c>
      <c r="AO80" s="1327">
        <f>Master!P283</f>
        <v>1672</v>
      </c>
      <c r="AP80" s="1326">
        <f>-1209.3+993.8</f>
        <v>-215.5</v>
      </c>
      <c r="AQ80" s="1274">
        <f>-487.7+626.4</f>
        <v>138.69999999999999</v>
      </c>
      <c r="AR80" s="1274">
        <f>17-530.5</f>
        <v>-513.5</v>
      </c>
      <c r="AS80" s="1274">
        <v>0</v>
      </c>
      <c r="AT80" s="1327">
        <f>Master!Q283</f>
        <v>-639.6</v>
      </c>
      <c r="AU80" s="1326">
        <v>139</v>
      </c>
      <c r="AV80" s="1274">
        <f>325-366.2</f>
        <v>-41.199999999999989</v>
      </c>
      <c r="AW80" s="1274">
        <f>-929.5+355.4</f>
        <v>-574.1</v>
      </c>
      <c r="AX80" s="1274">
        <v>0</v>
      </c>
      <c r="AY80" s="1327"/>
      <c r="AZ80" s="1326">
        <f>-8601.4+2198.1</f>
        <v>-6403.2999999999993</v>
      </c>
      <c r="BA80" s="1274">
        <f>2351.2-6.8</f>
        <v>2344.3999999999996</v>
      </c>
      <c r="BB80" s="1274">
        <f>3077.8-254.6</f>
        <v>2823.2000000000003</v>
      </c>
      <c r="BC80" s="1274">
        <f>Master!S283-AZ80-BA80-BB80</f>
        <v>1235.6999999999994</v>
      </c>
      <c r="BD80" s="1327"/>
      <c r="BE80" s="1326">
        <f>-1723.1-117.1</f>
        <v>-1840.1999999999998</v>
      </c>
      <c r="BF80" s="1274">
        <f>1891-604</f>
        <v>1287</v>
      </c>
      <c r="BG80" s="1274">
        <f>-2560-244.3</f>
        <v>-2804.3</v>
      </c>
      <c r="BH80" s="1274">
        <f>-1944.2-1183.2-BG80-BF80-BE80</f>
        <v>230.09999999999991</v>
      </c>
      <c r="BI80" s="1327">
        <f>Master!T283</f>
        <v>0</v>
      </c>
      <c r="BJ80" s="1350">
        <f>-2307.4-115.3</f>
        <v>-2422.7000000000003</v>
      </c>
      <c r="BK80" s="1298">
        <f>552.2+64.5</f>
        <v>616.70000000000005</v>
      </c>
      <c r="BL80" s="1298">
        <f>594.9-6.5</f>
        <v>588.4</v>
      </c>
      <c r="BM80" s="1298">
        <f>-1780.1-110.7-BJ80-BK80-BL80</f>
        <v>-673.1999999999997</v>
      </c>
      <c r="BN80" s="1341">
        <f>Master!U283</f>
        <v>0</v>
      </c>
      <c r="BO80" s="1350">
        <f>-664.2-306.6</f>
        <v>-970.80000000000007</v>
      </c>
      <c r="BP80" s="1298">
        <f>429-46.7</f>
        <v>382.3</v>
      </c>
      <c r="BQ80" s="1298">
        <f>64.2+98.7</f>
        <v>162.9</v>
      </c>
      <c r="BR80" s="1298">
        <f>-142.5-134.9-BO80-BP80-BQ80</f>
        <v>148.20000000000007</v>
      </c>
      <c r="BS80" s="1341">
        <f>-Master!V293</f>
        <v>-277.39999999999998</v>
      </c>
      <c r="BT80" s="1350">
        <f>55+36.5</f>
        <v>91.5</v>
      </c>
      <c r="BU80" s="1298">
        <f>-51+370.2</f>
        <v>319.2</v>
      </c>
      <c r="BV80" s="1298">
        <f>-294.8+221.4</f>
        <v>-73.400000000000006</v>
      </c>
      <c r="BW80" s="1298">
        <f>-863.4+773.7-BT80-BU80-BV80</f>
        <v>-426.99999999999989</v>
      </c>
      <c r="BX80" s="1341">
        <f>SUM(BT80:BW80)</f>
        <v>-89.699999999999932</v>
      </c>
      <c r="BY80" s="1350">
        <f>48.4+731.5</f>
        <v>779.9</v>
      </c>
      <c r="BZ80" s="1298">
        <f>-422.5-282</f>
        <v>-704.5</v>
      </c>
      <c r="CA80" s="1298">
        <f>622.6-77.8</f>
        <v>544.80000000000007</v>
      </c>
      <c r="CB80" s="1298">
        <f>284.6+302.3-BY80-BZ80-CA80</f>
        <v>-33.299999999999955</v>
      </c>
      <c r="CC80" s="1762">
        <f>Master!X288-Master!X293</f>
        <v>701.48</v>
      </c>
      <c r="CD80" s="1350">
        <f>69.7-356.6</f>
        <v>-286.90000000000003</v>
      </c>
      <c r="CE80" s="2039">
        <v>0</v>
      </c>
      <c r="CF80" s="2039">
        <v>0</v>
      </c>
      <c r="CG80" s="1991">
        <f t="shared" si="147"/>
        <v>5.6843418860808015E-14</v>
      </c>
      <c r="CH80" s="1762">
        <f>Master!Y288-Master!Y293</f>
        <v>-286.89999999999998</v>
      </c>
      <c r="CI80" s="1291"/>
      <c r="CJ80" s="860"/>
      <c r="CK80" s="1233"/>
      <c r="CL80" s="860"/>
      <c r="CM80" s="860"/>
      <c r="CN80" s="860"/>
      <c r="CO80" s="1232"/>
      <c r="CP80" s="1233"/>
      <c r="CQ80" s="860"/>
      <c r="CR80" s="860"/>
      <c r="CS80" s="860"/>
      <c r="CT80" s="1232"/>
      <c r="CU80" s="1233"/>
      <c r="CV80" s="860"/>
      <c r="CW80" s="860"/>
      <c r="CX80" s="860"/>
      <c r="CY80" s="1232"/>
      <c r="CZ80" s="1233"/>
      <c r="DA80" s="860"/>
      <c r="DB80" s="860"/>
      <c r="DC80" s="860"/>
      <c r="DD80" s="1232"/>
      <c r="DE80" s="1233"/>
      <c r="DF80" s="860"/>
      <c r="DG80" s="860"/>
      <c r="DH80" s="860"/>
      <c r="DI80" s="1232"/>
      <c r="DJ80" s="1233"/>
      <c r="DK80" s="860"/>
      <c r="DL80" s="860"/>
      <c r="DM80" s="860"/>
      <c r="DN80" s="1232"/>
      <c r="DO80" s="1233"/>
      <c r="DP80" s="860"/>
      <c r="DQ80" s="860"/>
      <c r="DR80" s="860"/>
      <c r="DS80" s="1232"/>
      <c r="DT80" s="1233"/>
      <c r="DU80" s="860"/>
      <c r="DV80" s="860"/>
      <c r="DW80" s="860"/>
      <c r="DX80" s="1232"/>
      <c r="DY80" s="1233"/>
      <c r="DZ80" s="860"/>
      <c r="EA80" s="860"/>
      <c r="EB80" s="860"/>
      <c r="EC80" s="1232"/>
      <c r="ED80" s="860"/>
      <c r="EE80" s="860"/>
      <c r="EF80" s="860"/>
      <c r="EG80" s="860"/>
      <c r="EH80" s="860"/>
      <c r="EI80" s="1233"/>
      <c r="EJ80" s="860"/>
      <c r="EK80" s="860"/>
      <c r="EL80" s="860"/>
      <c r="EM80" s="1232"/>
      <c r="EN80" s="1233"/>
      <c r="EO80" s="860"/>
      <c r="EP80" s="860"/>
      <c r="EQ80" s="860"/>
      <c r="ER80" s="1232"/>
      <c r="ES80" s="860"/>
      <c r="ET80" s="860"/>
      <c r="EU80" s="860"/>
      <c r="EV80" s="860"/>
      <c r="EW80" s="1232"/>
      <c r="EX80" s="1233"/>
      <c r="EY80" s="860"/>
      <c r="EZ80" s="860"/>
      <c r="FA80" s="860"/>
      <c r="FB80" s="1754"/>
      <c r="FC80" s="1233"/>
      <c r="FD80" s="860"/>
      <c r="FE80" s="860"/>
      <c r="FF80" s="860"/>
      <c r="FG80" s="860"/>
      <c r="FH80" s="860"/>
      <c r="FI80" s="860"/>
      <c r="FJ80" s="860"/>
      <c r="FY80" s="860"/>
      <c r="FZ80" s="860"/>
      <c r="GA80" s="860"/>
      <c r="GB80" s="860"/>
      <c r="GC80" s="860"/>
      <c r="GD80" s="860"/>
      <c r="GE80" s="860"/>
      <c r="GF80" s="860"/>
      <c r="GG80" s="860"/>
      <c r="GH80" s="860"/>
      <c r="GI80" s="860"/>
      <c r="GJ80" s="860"/>
      <c r="GK80" s="860"/>
      <c r="GL80" s="860"/>
      <c r="GM80" s="860"/>
      <c r="GN80" s="860"/>
      <c r="GO80" s="860"/>
      <c r="GP80" s="860"/>
      <c r="GQ80" s="860"/>
      <c r="GR80" s="2011">
        <v>200</v>
      </c>
      <c r="GS80" s="1218"/>
      <c r="GT80" s="1279">
        <v>25.600000000000051</v>
      </c>
      <c r="GU80" s="1218"/>
      <c r="GV80" s="1299">
        <v>0</v>
      </c>
      <c r="GW80" s="1218"/>
      <c r="GX80" s="1218"/>
      <c r="GY80" s="1299">
        <v>0</v>
      </c>
      <c r="GZ80" s="1218"/>
      <c r="HA80" s="1218"/>
      <c r="HB80" s="1299">
        <v>0</v>
      </c>
      <c r="HC80" s="1218"/>
      <c r="HD80" s="2000"/>
      <c r="HE80" s="1633">
        <v>73.700000000000017</v>
      </c>
      <c r="HF80" s="1218"/>
      <c r="HG80" s="2000"/>
      <c r="HH80" s="2000"/>
      <c r="HI80" s="1376">
        <v>0</v>
      </c>
      <c r="HJ80" s="1218"/>
      <c r="HK80" s="2000"/>
      <c r="HL80" s="1376">
        <v>0</v>
      </c>
      <c r="HM80" s="1218"/>
      <c r="HN80" s="2000"/>
      <c r="HO80" s="1376">
        <v>-545.20000000000005</v>
      </c>
      <c r="HP80" s="1218"/>
      <c r="HQ80" s="2000"/>
      <c r="HR80" s="1299">
        <v>-286.90000000000003</v>
      </c>
    </row>
    <row r="81" spans="1:226">
      <c r="A81" s="1271" t="s">
        <v>713</v>
      </c>
      <c r="B81" s="1668"/>
      <c r="C81" s="1271"/>
      <c r="D81" s="1271"/>
      <c r="E81" s="1271"/>
      <c r="F81" s="1418"/>
      <c r="G81" s="1668">
        <f>SUM(G78:G80)</f>
        <v>-944</v>
      </c>
      <c r="H81" s="1271">
        <f>SUM(H78:H80)</f>
        <v>-1331</v>
      </c>
      <c r="I81" s="1281">
        <f>SUM(I78:I80)</f>
        <v>-321.89999999999986</v>
      </c>
      <c r="J81" s="1281">
        <f>SUM(J78:J80)</f>
        <v>-979.69999999999993</v>
      </c>
      <c r="K81" s="1418"/>
      <c r="L81" s="1668">
        <f t="shared" ref="L81:T81" si="148">SUM(L78:L80)</f>
        <v>-577</v>
      </c>
      <c r="M81" s="1271">
        <f t="shared" si="148"/>
        <v>-2136</v>
      </c>
      <c r="N81" s="1281">
        <f t="shared" si="148"/>
        <v>-1083.7</v>
      </c>
      <c r="O81" s="1281">
        <f t="shared" si="148"/>
        <v>-17.700000000000159</v>
      </c>
      <c r="P81" s="1329">
        <f t="shared" si="148"/>
        <v>-3350.5</v>
      </c>
      <c r="Q81" s="1328">
        <f t="shared" si="148"/>
        <v>-839.5</v>
      </c>
      <c r="R81" s="1281">
        <f t="shared" si="148"/>
        <v>-1172.6000000000001</v>
      </c>
      <c r="S81" s="1281">
        <f t="shared" si="148"/>
        <v>-1162.0000000000002</v>
      </c>
      <c r="T81" s="1281">
        <f t="shared" si="148"/>
        <v>4058.7999999999993</v>
      </c>
      <c r="U81" s="1329"/>
      <c r="V81" s="1328">
        <f>SUM(V78:V80)</f>
        <v>-1117.8000000000002</v>
      </c>
      <c r="W81" s="1281">
        <f>SUM(W78:W80)</f>
        <v>-1237.2</v>
      </c>
      <c r="X81" s="1281">
        <f>SUM(X78:X80)</f>
        <v>-437.20000000000005</v>
      </c>
      <c r="Y81" s="1281">
        <f>SUM(Y78:Y80)</f>
        <v>-1536.7000000000003</v>
      </c>
      <c r="Z81" s="1329">
        <f>-Master!M148</f>
        <v>-4329</v>
      </c>
      <c r="AA81" s="1328">
        <v>-1861</v>
      </c>
      <c r="AB81" s="1281">
        <f>SUM(AB78:AB80)</f>
        <v>-1760.7</v>
      </c>
      <c r="AC81" s="1281">
        <f>SUM(AC78:AC80)</f>
        <v>5445.9</v>
      </c>
      <c r="AD81" s="1281">
        <f>SUM(AD78:AD80)</f>
        <v>-1946.9</v>
      </c>
      <c r="AE81" s="1329">
        <f>-Master!N148</f>
        <v>1702</v>
      </c>
      <c r="AF81" s="1328">
        <f>SUM(AF78:AF80)</f>
        <v>-2008.6</v>
      </c>
      <c r="AG81" s="1281">
        <f>SUM(AG78:AG80)</f>
        <v>-1873.1000000000001</v>
      </c>
      <c r="AH81" s="1281">
        <f>SUM(AH78:AH80)</f>
        <v>-2533.2999999999997</v>
      </c>
      <c r="AI81" s="1281">
        <f>SUM(AI78:AI80)</f>
        <v>-3117.1</v>
      </c>
      <c r="AJ81" s="1329">
        <f>-Master!O148</f>
        <v>-9532.1</v>
      </c>
      <c r="AK81" s="1328">
        <f>SUM(AK78:AK80)</f>
        <v>-561.10000000000014</v>
      </c>
      <c r="AL81" s="1281">
        <f>SUM(AL78:AL80)</f>
        <v>-1094.4000000000001</v>
      </c>
      <c r="AM81" s="1281">
        <f>SUM(AM78:AM80)</f>
        <v>-1716.1</v>
      </c>
      <c r="AN81" s="1281">
        <f>SUM(AN78:AN80)</f>
        <v>-1933.300000000002</v>
      </c>
      <c r="AO81" s="1329">
        <f>-Master!P148</f>
        <v>-5305</v>
      </c>
      <c r="AP81" s="1328">
        <f>SUM(AP78:AP80)</f>
        <v>-2200.6999999999998</v>
      </c>
      <c r="AQ81" s="1281">
        <f>SUM(AQ78:AQ80)</f>
        <v>-1775.1999999999998</v>
      </c>
      <c r="AR81" s="1281">
        <f>SUM(AR78:AR80)</f>
        <v>-2489.3000000000002</v>
      </c>
      <c r="AS81" s="1281">
        <v>-2314.5</v>
      </c>
      <c r="AT81" s="1329">
        <f>-Master!Q148</f>
        <v>-8779.6</v>
      </c>
      <c r="AU81" s="1328">
        <v>-2274.1</v>
      </c>
      <c r="AV81" s="1281">
        <f>SUM(AV78:AV80)</f>
        <v>-2268.5</v>
      </c>
      <c r="AW81" s="1281">
        <f>SUM(AW78:AW80)</f>
        <v>-2870.2</v>
      </c>
      <c r="AX81" s="1281">
        <f>SUM(AX78:AX80)</f>
        <v>-1398.1</v>
      </c>
      <c r="AY81" s="1329"/>
      <c r="AZ81" s="1328">
        <f>SUM(AZ78:AZ80)</f>
        <v>-8708.2999999999993</v>
      </c>
      <c r="BA81" s="1281">
        <f>SUM(BA78:BA80)</f>
        <v>-88.900000000000091</v>
      </c>
      <c r="BB81" s="1281">
        <f>SUM(BB78:BB80)</f>
        <v>309.60000000000036</v>
      </c>
      <c r="BC81" s="1281">
        <f>SUM(BC78:BC80)</f>
        <v>-882.60000000000082</v>
      </c>
      <c r="BD81" s="1329"/>
      <c r="BE81" s="1328">
        <f>SUM(BE78:BE80)</f>
        <v>-4021.2999999999997</v>
      </c>
      <c r="BF81" s="1281">
        <f>SUM(BF78:BF80)</f>
        <v>-653.29999999999995</v>
      </c>
      <c r="BG81" s="1281">
        <f>SUM(BG78:BG80)</f>
        <v>-4892.3999999999996</v>
      </c>
      <c r="BH81" s="1281">
        <f>SUM(BH78:BH80)</f>
        <v>-2102.599999999999</v>
      </c>
      <c r="BI81" s="1329">
        <f>-Master!T148</f>
        <v>-11918</v>
      </c>
      <c r="BJ81" s="1337">
        <f>SUM(BJ78:BJ80)</f>
        <v>-4889.7000000000007</v>
      </c>
      <c r="BK81" s="1302">
        <f>SUM(BK78:BK80)</f>
        <v>-1068.9000000000001</v>
      </c>
      <c r="BL81" s="1302">
        <f>SUM(BL78:BL80)</f>
        <v>-1023.1</v>
      </c>
      <c r="BM81" s="1302">
        <f>SUM(BM78:BM80)</f>
        <v>-2213.6000000000008</v>
      </c>
      <c r="BN81" s="1351">
        <f>-Master!U148</f>
        <v>-9206.2000000000007</v>
      </c>
      <c r="BO81" s="1337">
        <f>SUM(BO78:BO80)</f>
        <v>-2198.6</v>
      </c>
      <c r="BP81" s="1302">
        <f>SUM(BP78:BP80)</f>
        <v>-751.5</v>
      </c>
      <c r="BQ81" s="1302">
        <f>SUM(BQ78:BQ80)</f>
        <v>-587.9</v>
      </c>
      <c r="BR81" s="1302">
        <f>SUM(BR78:BR80)</f>
        <v>-1086.3000000000004</v>
      </c>
      <c r="BS81" s="1351">
        <f>-Master!V148</f>
        <v>-4751.5079999999998</v>
      </c>
      <c r="BT81" s="1337">
        <f>SUM(BT78:BT80)</f>
        <v>-1133.4000000000001</v>
      </c>
      <c r="BU81" s="1302">
        <f>SUM(BU78:BU80)</f>
        <v>-590</v>
      </c>
      <c r="BV81" s="1302">
        <f>SUM(BV78:BV80)</f>
        <v>-1259.3000000000002</v>
      </c>
      <c r="BW81" s="1302">
        <f>SUM(BW78:BW80)</f>
        <v>-1732.6</v>
      </c>
      <c r="BX81" s="1351">
        <f>SUM(BT81:BW81)</f>
        <v>-4715.3</v>
      </c>
      <c r="BY81" s="1337">
        <f>SUM(BY78:BY80)</f>
        <v>-428.69999999999993</v>
      </c>
      <c r="BZ81" s="1302">
        <f>SUM(BZ78:BZ80)</f>
        <v>-1672.4</v>
      </c>
      <c r="CA81" s="1302">
        <f>SUM(CA78:CA80)</f>
        <v>-675.4</v>
      </c>
      <c r="CB81" s="1302">
        <f>SUM(CB78:CB80)</f>
        <v>-1505.4</v>
      </c>
      <c r="CC81" s="1763">
        <f>-Master!X148</f>
        <v>-4140.2860000000001</v>
      </c>
      <c r="CD81" s="1337">
        <f>SUM(CD78:CD80)</f>
        <v>-1637.6</v>
      </c>
      <c r="CE81" s="1302">
        <f>SUM(CE78:CE80)</f>
        <v>-1200</v>
      </c>
      <c r="CF81" s="1302">
        <f>SUM(CF78:CF80)</f>
        <v>-1050</v>
      </c>
      <c r="CG81" s="1302">
        <f ca="1">SUM(CG78:CG80)</f>
        <v>-1037.2469309388948</v>
      </c>
      <c r="CH81" s="1763">
        <f>-Master!Y148</f>
        <v>-4812.8646437269408</v>
      </c>
      <c r="CI81" s="1291"/>
      <c r="CJ81" s="860"/>
      <c r="CK81" s="1233"/>
      <c r="CL81" s="860"/>
      <c r="CM81" s="860"/>
      <c r="CN81" s="860"/>
      <c r="CO81" s="1232"/>
      <c r="CP81" s="1233"/>
      <c r="CQ81" s="860"/>
      <c r="CR81" s="860"/>
      <c r="CS81" s="860"/>
      <c r="CT81" s="1232"/>
      <c r="CU81" s="1233"/>
      <c r="CV81" s="860"/>
      <c r="CW81" s="860"/>
      <c r="CX81" s="860"/>
      <c r="CY81" s="1232"/>
      <c r="CZ81" s="1233"/>
      <c r="DA81" s="860"/>
      <c r="DB81" s="860"/>
      <c r="DC81" s="860"/>
      <c r="DD81" s="1232"/>
      <c r="DE81" s="1233"/>
      <c r="DF81" s="860"/>
      <c r="DG81" s="860"/>
      <c r="DH81" s="860"/>
      <c r="DI81" s="1232"/>
      <c r="DJ81" s="1233"/>
      <c r="DK81" s="860"/>
      <c r="DL81" s="860"/>
      <c r="DM81" s="860"/>
      <c r="DN81" s="1232"/>
      <c r="DO81" s="1233"/>
      <c r="DP81" s="860"/>
      <c r="DQ81" s="860"/>
      <c r="DR81" s="860"/>
      <c r="DS81" s="1232"/>
      <c r="DT81" s="1233"/>
      <c r="DU81" s="860"/>
      <c r="DV81" s="860"/>
      <c r="DW81" s="860"/>
      <c r="DX81" s="1232"/>
      <c r="DY81" s="1233"/>
      <c r="DZ81" s="860"/>
      <c r="EA81" s="860"/>
      <c r="EB81" s="860"/>
      <c r="EC81" s="1232"/>
      <c r="ED81" s="860"/>
      <c r="EE81" s="860"/>
      <c r="EF81" s="860"/>
      <c r="EG81" s="860"/>
      <c r="EH81" s="860"/>
      <c r="EI81" s="1233"/>
      <c r="EJ81" s="860"/>
      <c r="EK81" s="860"/>
      <c r="EL81" s="860"/>
      <c r="EM81" s="1232"/>
      <c r="EN81" s="1233"/>
      <c r="EO81" s="860"/>
      <c r="EP81" s="860"/>
      <c r="EQ81" s="860"/>
      <c r="ER81" s="1232"/>
      <c r="ES81" s="860"/>
      <c r="ET81" s="860"/>
      <c r="EU81" s="860"/>
      <c r="EV81" s="860"/>
      <c r="EW81" s="1232"/>
      <c r="EX81" s="1233"/>
      <c r="EY81" s="860"/>
      <c r="EZ81" s="860"/>
      <c r="FA81" s="860"/>
      <c r="FB81" s="1754"/>
      <c r="FC81" s="1233"/>
      <c r="FD81" s="860"/>
      <c r="FE81" s="860"/>
      <c r="FF81" s="860"/>
      <c r="FG81" s="860"/>
      <c r="FH81" s="860"/>
      <c r="FI81" s="860"/>
      <c r="FJ81" s="860"/>
      <c r="FY81" s="860"/>
      <c r="FZ81" s="860"/>
      <c r="GA81" s="860"/>
      <c r="GB81" s="860"/>
      <c r="GC81" s="860"/>
      <c r="GD81" s="860"/>
      <c r="GE81" s="860"/>
      <c r="GF81" s="860"/>
      <c r="GG81" s="860"/>
      <c r="GH81" s="860"/>
      <c r="GI81" s="860"/>
      <c r="GJ81" s="860"/>
      <c r="GK81" s="860"/>
      <c r="GL81" s="860"/>
      <c r="GM81" s="860"/>
      <c r="GN81" s="860"/>
      <c r="GO81" s="860"/>
      <c r="GP81" s="860"/>
      <c r="GQ81" s="860"/>
      <c r="GR81" s="1279">
        <v>-900</v>
      </c>
      <c r="GS81" s="1218"/>
      <c r="GT81" s="1279">
        <v>-1147.1801810482211</v>
      </c>
      <c r="GU81" s="1218"/>
      <c r="GV81" s="1634">
        <v>-1150</v>
      </c>
      <c r="GW81" s="1218"/>
      <c r="GX81" s="1218"/>
      <c r="GY81" s="1634">
        <v>-1100</v>
      </c>
      <c r="GZ81" s="1218"/>
      <c r="HA81" s="1218"/>
      <c r="HB81" s="1634">
        <v>-1170</v>
      </c>
      <c r="HC81" s="1218"/>
      <c r="HD81" s="2000"/>
      <c r="HE81" s="1634">
        <v>-1210.3687436620123</v>
      </c>
      <c r="HF81" s="1218"/>
      <c r="HG81" s="2000"/>
      <c r="HH81" s="1634">
        <f>SUM(HH78:HH80)</f>
        <v>-1150</v>
      </c>
      <c r="HI81" s="1634">
        <v>-1050</v>
      </c>
      <c r="HJ81" s="1218"/>
      <c r="HK81" s="2000"/>
      <c r="HL81" s="1634">
        <v>-1200</v>
      </c>
      <c r="HM81" s="1218"/>
      <c r="HN81" s="2000"/>
      <c r="HO81" s="1634">
        <v>-1776.7868769606771</v>
      </c>
      <c r="HP81" s="1218"/>
      <c r="HQ81" s="2000"/>
      <c r="HR81" s="1299">
        <v>-1637.6</v>
      </c>
    </row>
    <row r="82" spans="1:226">
      <c r="A82" s="860"/>
      <c r="B82" s="1233"/>
      <c r="C82" s="860"/>
      <c r="D82" s="860"/>
      <c r="E82" s="860"/>
      <c r="F82" s="1232"/>
      <c r="G82" s="1233"/>
      <c r="H82" s="860"/>
      <c r="I82" s="860"/>
      <c r="J82" s="860"/>
      <c r="K82" s="1232"/>
      <c r="L82" s="1233"/>
      <c r="M82" s="860"/>
      <c r="N82" s="860"/>
      <c r="O82" s="860"/>
      <c r="P82" s="1232"/>
      <c r="Q82" s="1233"/>
      <c r="R82" s="860"/>
      <c r="S82" s="860"/>
      <c r="T82" s="860"/>
      <c r="U82" s="1232"/>
      <c r="V82" s="1233"/>
      <c r="W82" s="860"/>
      <c r="X82" s="860"/>
      <c r="Y82" s="860"/>
      <c r="Z82" s="1232"/>
      <c r="AA82" s="1233"/>
      <c r="AB82" s="860"/>
      <c r="AC82" s="860"/>
      <c r="AD82" s="860"/>
      <c r="AE82" s="1261"/>
      <c r="AF82" s="1242"/>
      <c r="AG82" s="1162"/>
      <c r="AH82" s="1162"/>
      <c r="AI82" s="1162"/>
      <c r="AJ82" s="1261"/>
      <c r="AK82" s="1242"/>
      <c r="AL82" s="1162"/>
      <c r="AM82" s="1162"/>
      <c r="AN82" s="1162"/>
      <c r="AO82" s="1261"/>
      <c r="AP82" s="1242"/>
      <c r="AQ82" s="1162"/>
      <c r="AR82" s="1162"/>
      <c r="AS82" s="1162"/>
      <c r="AT82" s="1261"/>
      <c r="AU82" s="1242"/>
      <c r="AV82" s="1162"/>
      <c r="AW82" s="1162"/>
      <c r="AX82" s="1162"/>
      <c r="AY82" s="1261"/>
      <c r="AZ82" s="1242"/>
      <c r="BA82" s="1162"/>
      <c r="BB82" s="1162"/>
      <c r="BC82" s="1162"/>
      <c r="BD82" s="1261"/>
      <c r="BE82" s="1242"/>
      <c r="BF82" s="1162"/>
      <c r="BG82" s="1162"/>
      <c r="BH82" s="1162"/>
      <c r="BI82" s="1261"/>
      <c r="BJ82" s="1242"/>
      <c r="BK82" s="1162"/>
      <c r="BL82" s="1162"/>
      <c r="BM82" s="1162"/>
      <c r="BN82" s="1261"/>
      <c r="BO82" s="1242"/>
      <c r="BP82" s="1162"/>
      <c r="BQ82" s="1162"/>
      <c r="BR82" s="1162"/>
      <c r="BS82" s="1261"/>
      <c r="BT82" s="1242"/>
      <c r="BU82" s="1162"/>
      <c r="BV82" s="1162"/>
      <c r="BW82" s="1162"/>
      <c r="BX82" s="1261"/>
      <c r="BY82" s="1242"/>
      <c r="BZ82" s="1162"/>
      <c r="CA82" s="1162"/>
      <c r="CB82" s="1162"/>
      <c r="CC82" s="1757"/>
      <c r="CD82" s="1242"/>
      <c r="CE82" s="1162"/>
      <c r="CF82" s="1162"/>
      <c r="CG82" s="1162"/>
      <c r="CH82" s="1757"/>
      <c r="CI82" s="1162"/>
      <c r="CJ82" s="860"/>
      <c r="CK82" s="1233"/>
      <c r="CL82" s="860"/>
      <c r="CM82" s="860"/>
      <c r="CN82" s="860"/>
      <c r="CO82" s="1232"/>
      <c r="CP82" s="1233"/>
      <c r="CQ82" s="860"/>
      <c r="CR82" s="860"/>
      <c r="CS82" s="860"/>
      <c r="CT82" s="1232"/>
      <c r="CU82" s="1233"/>
      <c r="CV82" s="860"/>
      <c r="CW82" s="860"/>
      <c r="CX82" s="860"/>
      <c r="CY82" s="1232"/>
      <c r="CZ82" s="1233"/>
      <c r="DA82" s="860"/>
      <c r="DB82" s="860"/>
      <c r="DC82" s="860"/>
      <c r="DD82" s="1232"/>
      <c r="DE82" s="1233"/>
      <c r="DF82" s="860"/>
      <c r="DG82" s="860"/>
      <c r="DH82" s="860"/>
      <c r="DI82" s="1232"/>
      <c r="DJ82" s="1233"/>
      <c r="DK82" s="860"/>
      <c r="DL82" s="860"/>
      <c r="DM82" s="860"/>
      <c r="DN82" s="1232"/>
      <c r="DO82" s="1233"/>
      <c r="DP82" s="860"/>
      <c r="DQ82" s="860"/>
      <c r="DR82" s="860"/>
      <c r="DS82" s="1232"/>
      <c r="DT82" s="1233"/>
      <c r="DU82" s="860"/>
      <c r="DV82" s="860"/>
      <c r="DW82" s="860"/>
      <c r="DX82" s="1232"/>
      <c r="DY82" s="1233"/>
      <c r="DZ82" s="860"/>
      <c r="EA82" s="860"/>
      <c r="EB82" s="860"/>
      <c r="EC82" s="1232"/>
      <c r="ED82" s="860"/>
      <c r="EE82" s="860"/>
      <c r="EF82" s="860"/>
      <c r="EG82" s="860"/>
      <c r="EH82" s="860"/>
      <c r="EI82" s="1233"/>
      <c r="EJ82" s="860"/>
      <c r="EK82" s="860"/>
      <c r="EL82" s="860"/>
      <c r="EM82" s="1232"/>
      <c r="EN82" s="1233"/>
      <c r="EO82" s="860"/>
      <c r="EP82" s="860"/>
      <c r="EQ82" s="860"/>
      <c r="ER82" s="1232"/>
      <c r="ES82" s="860"/>
      <c r="ET82" s="860"/>
      <c r="EU82" s="860"/>
      <c r="EV82" s="860"/>
      <c r="EW82" s="1232"/>
      <c r="EX82" s="1233"/>
      <c r="EY82" s="860"/>
      <c r="EZ82" s="860"/>
      <c r="FA82" s="860"/>
      <c r="FB82" s="1754"/>
      <c r="FC82" s="1233"/>
      <c r="FD82" s="860"/>
      <c r="FE82" s="860"/>
      <c r="FF82" s="860"/>
      <c r="FG82" s="860"/>
      <c r="FH82" s="860"/>
      <c r="FI82" s="860"/>
      <c r="FJ82" s="860"/>
      <c r="FY82" s="860"/>
      <c r="FZ82" s="860"/>
      <c r="GA82" s="860"/>
      <c r="GB82" s="860"/>
      <c r="GC82" s="860"/>
      <c r="GD82" s="860"/>
      <c r="GE82" s="860"/>
      <c r="GF82" s="860"/>
      <c r="GG82" s="860"/>
      <c r="GH82" s="860"/>
      <c r="GI82" s="860"/>
      <c r="GJ82" s="860"/>
      <c r="GK82" s="860"/>
      <c r="GL82" s="860"/>
      <c r="GM82" s="860"/>
      <c r="GN82" s="860"/>
      <c r="GO82" s="860"/>
      <c r="GP82" s="860"/>
      <c r="GQ82" s="860"/>
      <c r="GR82" s="1241"/>
      <c r="GS82" s="1218"/>
      <c r="GT82" s="1241"/>
      <c r="GU82" s="1218"/>
      <c r="GV82" s="1241"/>
      <c r="GW82" s="1218"/>
      <c r="GX82" s="1218"/>
      <c r="GY82" s="1241"/>
      <c r="GZ82" s="1218"/>
      <c r="HA82" s="1218"/>
      <c r="HB82" s="1241"/>
      <c r="HC82" s="1218"/>
      <c r="HD82" s="2000"/>
      <c r="HE82" s="1241"/>
      <c r="HF82" s="1218"/>
      <c r="HG82" s="2000"/>
      <c r="HH82" s="2000"/>
      <c r="HI82" s="1241"/>
      <c r="HJ82" s="1218"/>
      <c r="HK82" s="2000"/>
      <c r="HL82" s="1241"/>
      <c r="HM82" s="1218"/>
      <c r="HN82" s="2000"/>
      <c r="HO82" s="1241"/>
      <c r="HP82" s="1218"/>
      <c r="HQ82" s="2000"/>
      <c r="HR82" s="1241"/>
    </row>
    <row r="83" spans="1:226">
      <c r="A83" s="860" t="s">
        <v>177</v>
      </c>
      <c r="B83" s="1233"/>
      <c r="C83" s="860"/>
      <c r="D83" s="860"/>
      <c r="E83" s="860"/>
      <c r="F83" s="1232"/>
      <c r="G83" s="1326">
        <f>-231-H83</f>
        <v>-97.9</v>
      </c>
      <c r="H83" s="1274">
        <v>-133.1</v>
      </c>
      <c r="I83" s="1274">
        <v>-86.7</v>
      </c>
      <c r="J83" s="1274">
        <f>K83-G83-H83-I83</f>
        <v>-131.30000000000001</v>
      </c>
      <c r="K83" s="1327">
        <f>Master!J432</f>
        <v>-449</v>
      </c>
      <c r="L83" s="1326">
        <f>-24.7-M83</f>
        <v>9.0999999999999979</v>
      </c>
      <c r="M83" s="1274">
        <v>-33.799999999999997</v>
      </c>
      <c r="N83" s="1274">
        <v>-209.1</v>
      </c>
      <c r="O83" s="1274">
        <v>-432.8</v>
      </c>
      <c r="P83" s="1327">
        <f>Master!K152</f>
        <v>-666.6</v>
      </c>
      <c r="Q83" s="1326">
        <v>-261.5</v>
      </c>
      <c r="R83" s="1274">
        <v>-461.8</v>
      </c>
      <c r="S83" s="1274">
        <v>-199.8</v>
      </c>
      <c r="T83" s="1274">
        <f>-5659.9-Q83-R83-S83</f>
        <v>-4736.7999999999993</v>
      </c>
      <c r="U83" s="1327"/>
      <c r="V83" s="1326">
        <v>-198.6</v>
      </c>
      <c r="W83" s="1274">
        <v>129.80000000000001</v>
      </c>
      <c r="X83" s="1274">
        <f>116.4-320*13.12</f>
        <v>-4081.9999999999995</v>
      </c>
      <c r="Y83" s="1274">
        <v>-34.299999999999997</v>
      </c>
      <c r="Z83" s="1327">
        <f>Master!M152</f>
        <v>-4185.3999999999996</v>
      </c>
      <c r="AA83" s="1326">
        <v>-299.60000000000002</v>
      </c>
      <c r="AB83" s="1274">
        <v>50.4</v>
      </c>
      <c r="AC83" s="1274">
        <v>-19.100000000000001</v>
      </c>
      <c r="AD83" s="1274">
        <v>303.7</v>
      </c>
      <c r="AE83" s="1327">
        <f>-Master!N152</f>
        <v>-35.4</v>
      </c>
      <c r="AF83" s="1326">
        <v>186.3</v>
      </c>
      <c r="AG83" s="1274">
        <v>340.4</v>
      </c>
      <c r="AH83" s="1274">
        <v>386.4</v>
      </c>
      <c r="AI83" s="1274">
        <v>226.5</v>
      </c>
      <c r="AJ83" s="1327">
        <f>Master!O152</f>
        <v>1139.4000000000001</v>
      </c>
      <c r="AK83" s="1326">
        <v>263.7</v>
      </c>
      <c r="AL83" s="1274">
        <v>87</v>
      </c>
      <c r="AM83" s="1274">
        <v>670</v>
      </c>
      <c r="AN83" s="1274">
        <v>892.6</v>
      </c>
      <c r="AO83" s="1327">
        <f>Master!P152</f>
        <v>1913</v>
      </c>
      <c r="AP83" s="1326">
        <v>107.1</v>
      </c>
      <c r="AQ83" s="1274">
        <v>477.2</v>
      </c>
      <c r="AR83" s="1274">
        <v>326.60000000000002</v>
      </c>
      <c r="AS83" s="1274">
        <v>-378</v>
      </c>
      <c r="AT83" s="1327">
        <f>Master!Q152</f>
        <v>532.9</v>
      </c>
      <c r="AU83" s="1326">
        <v>165.8</v>
      </c>
      <c r="AV83" s="1274">
        <v>163.80000000000001</v>
      </c>
      <c r="AW83" s="1274">
        <v>159.9</v>
      </c>
      <c r="AX83" s="1274">
        <v>91.5</v>
      </c>
      <c r="AY83" s="1327"/>
      <c r="AZ83" s="1326">
        <v>-5348.6</v>
      </c>
      <c r="BA83" s="1274">
        <v>137.6</v>
      </c>
      <c r="BB83" s="1274">
        <v>-119.9</v>
      </c>
      <c r="BC83" s="1274">
        <f>Master!S152-AZ83-BA83-BB83</f>
        <v>-438.49999999999932</v>
      </c>
      <c r="BD83" s="1327"/>
      <c r="BE83" s="1326">
        <v>51.8</v>
      </c>
      <c r="BF83" s="1274">
        <v>889.2</v>
      </c>
      <c r="BG83" s="1274">
        <v>1240.3</v>
      </c>
      <c r="BH83" s="1274">
        <f>3558.7-BG83-BF83-BE83</f>
        <v>1377.3999999999996</v>
      </c>
      <c r="BI83" s="1327">
        <f>Master!T152</f>
        <v>3558.8</v>
      </c>
      <c r="BJ83" s="1350">
        <v>465.4</v>
      </c>
      <c r="BK83" s="1298">
        <v>4218.6000000000004</v>
      </c>
      <c r="BL83" s="1298">
        <v>575.70000000000005</v>
      </c>
      <c r="BM83" s="1298">
        <f>-13713</f>
        <v>-13713</v>
      </c>
      <c r="BN83" s="1341">
        <f>Master!U152</f>
        <v>-8453.2999999999993</v>
      </c>
      <c r="BO83" s="1350">
        <v>96.8</v>
      </c>
      <c r="BP83" s="1298">
        <v>24.9</v>
      </c>
      <c r="BQ83" s="1298">
        <v>588.79999999999995</v>
      </c>
      <c r="BR83" s="1298">
        <v>-6920.5</v>
      </c>
      <c r="BS83" s="1341">
        <f>Master!V152</f>
        <v>-6210.1</v>
      </c>
      <c r="BT83" s="1350">
        <v>-356.6</v>
      </c>
      <c r="BU83" s="1298">
        <v>338.3</v>
      </c>
      <c r="BV83" s="1298">
        <v>1736.1</v>
      </c>
      <c r="BW83" s="1298">
        <v>-3139</v>
      </c>
      <c r="BX83" s="1341">
        <f>SUM(BT83:BW83)</f>
        <v>-1421.2</v>
      </c>
      <c r="BY83" s="1350">
        <v>91.2</v>
      </c>
      <c r="BZ83" s="1298">
        <v>1211.5</v>
      </c>
      <c r="CA83" s="1298">
        <v>843</v>
      </c>
      <c r="CB83" s="1298">
        <f>-2724</f>
        <v>-2724</v>
      </c>
      <c r="CC83" s="1762">
        <f>Master!X152</f>
        <v>-1088.1210000000001</v>
      </c>
      <c r="CD83" s="1350">
        <v>1339.1</v>
      </c>
      <c r="CE83" s="2163">
        <v>1000</v>
      </c>
      <c r="CF83" s="2163">
        <v>500</v>
      </c>
      <c r="CG83" s="2163">
        <f>CH83-CD83-CE83-CF83</f>
        <v>-2654.6696781098012</v>
      </c>
      <c r="CH83" s="1762">
        <f>Master!Y152</f>
        <v>184.43032189019857</v>
      </c>
      <c r="CI83" s="1291"/>
      <c r="CJ83" s="860"/>
      <c r="CK83" s="1233"/>
      <c r="CL83" s="860"/>
      <c r="CM83" s="860"/>
      <c r="CN83" s="860"/>
      <c r="CO83" s="1232"/>
      <c r="CP83" s="1233"/>
      <c r="CQ83" s="860"/>
      <c r="CR83" s="860"/>
      <c r="CS83" s="860"/>
      <c r="CT83" s="1232"/>
      <c r="CU83" s="1233"/>
      <c r="CV83" s="860"/>
      <c r="CW83" s="860"/>
      <c r="CX83" s="860"/>
      <c r="CY83" s="1232"/>
      <c r="CZ83" s="1233"/>
      <c r="DA83" s="860"/>
      <c r="DB83" s="860"/>
      <c r="DC83" s="860"/>
      <c r="DD83" s="1232"/>
      <c r="DE83" s="1233"/>
      <c r="DF83" s="860"/>
      <c r="DG83" s="860"/>
      <c r="DH83" s="860"/>
      <c r="DI83" s="1232"/>
      <c r="DJ83" s="1233"/>
      <c r="DK83" s="860"/>
      <c r="DL83" s="860"/>
      <c r="DM83" s="860"/>
      <c r="DN83" s="1232"/>
      <c r="DO83" s="1233"/>
      <c r="DP83" s="860"/>
      <c r="DQ83" s="860"/>
      <c r="DR83" s="860"/>
      <c r="DS83" s="1232"/>
      <c r="DT83" s="1233"/>
      <c r="DU83" s="860"/>
      <c r="DV83" s="860"/>
      <c r="DW83" s="860"/>
      <c r="DX83" s="1232"/>
      <c r="DY83" s="1233"/>
      <c r="DZ83" s="860"/>
      <c r="EA83" s="860"/>
      <c r="EB83" s="860"/>
      <c r="EC83" s="1232"/>
      <c r="ED83" s="860"/>
      <c r="EE83" s="860"/>
      <c r="EF83" s="860"/>
      <c r="EG83" s="860"/>
      <c r="EH83" s="860"/>
      <c r="EI83" s="1233"/>
      <c r="EJ83" s="860"/>
      <c r="EK83" s="860"/>
      <c r="EL83" s="860"/>
      <c r="EM83" s="1232"/>
      <c r="EN83" s="1233"/>
      <c r="EO83" s="860"/>
      <c r="EP83" s="860"/>
      <c r="EQ83" s="860"/>
      <c r="ER83" s="1232"/>
      <c r="ES83" s="860"/>
      <c r="ET83" s="860"/>
      <c r="EU83" s="860"/>
      <c r="EV83" s="860"/>
      <c r="EW83" s="1232"/>
      <c r="EX83" s="1233"/>
      <c r="EY83" s="860"/>
      <c r="EZ83" s="860"/>
      <c r="FA83" s="860"/>
      <c r="FB83" s="1754"/>
      <c r="FC83" s="1233"/>
      <c r="FD83" s="860"/>
      <c r="FE83" s="860"/>
      <c r="FF83" s="860"/>
      <c r="FG83" s="860"/>
      <c r="FH83" s="860"/>
      <c r="FI83" s="860"/>
      <c r="FJ83" s="860"/>
      <c r="FY83" s="860"/>
      <c r="FZ83" s="860"/>
      <c r="GA83" s="860"/>
      <c r="GB83" s="860"/>
      <c r="GC83" s="860"/>
      <c r="GD83" s="860"/>
      <c r="GE83" s="860"/>
      <c r="GF83" s="860"/>
      <c r="GG83" s="860"/>
      <c r="GH83" s="860"/>
      <c r="GI83" s="860"/>
      <c r="GJ83" s="860"/>
      <c r="GK83" s="860"/>
      <c r="GL83" s="860"/>
      <c r="GM83" s="860"/>
      <c r="GN83" s="860"/>
      <c r="GO83" s="860"/>
      <c r="GP83" s="860"/>
      <c r="GQ83" s="860"/>
      <c r="GR83" s="1376">
        <v>50</v>
      </c>
      <c r="GS83" s="1218"/>
      <c r="GT83" s="1279">
        <v>935.52734378151513</v>
      </c>
      <c r="GU83" s="1218"/>
      <c r="GV83" s="1299">
        <v>500</v>
      </c>
      <c r="GW83" s="1218"/>
      <c r="GX83" s="1218"/>
      <c r="GY83" s="1299">
        <v>-100</v>
      </c>
      <c r="GZ83" s="1218"/>
      <c r="HA83" s="1218"/>
      <c r="HB83" s="1299">
        <v>580</v>
      </c>
      <c r="HC83" s="1218"/>
      <c r="HD83" s="2000"/>
      <c r="HE83" s="1633">
        <v>769.91909324975995</v>
      </c>
      <c r="HF83" s="1218"/>
      <c r="HG83" s="2000"/>
      <c r="HH83" s="2000">
        <v>150</v>
      </c>
      <c r="HI83" s="1299">
        <v>300</v>
      </c>
      <c r="HJ83" s="1218"/>
      <c r="HK83" s="2000"/>
      <c r="HL83" s="1299">
        <v>1700</v>
      </c>
      <c r="HM83" s="1218"/>
      <c r="HN83" s="2000"/>
      <c r="HO83" s="1376">
        <v>361.80627470781792</v>
      </c>
      <c r="HP83" s="1218"/>
      <c r="HQ83" s="2000"/>
      <c r="HR83" s="1299">
        <f>CH83/4</f>
        <v>46.107580472549643</v>
      </c>
    </row>
    <row r="84" spans="1:226">
      <c r="A84" s="1282" t="s">
        <v>242</v>
      </c>
      <c r="B84" s="1670"/>
      <c r="C84" s="1282"/>
      <c r="D84" s="1282"/>
      <c r="E84" s="1282"/>
      <c r="F84" s="1377"/>
      <c r="G84" s="1330">
        <f t="shared" ref="G84:T84" si="149">G40+G81+G83</f>
        <v>1509.7999999999993</v>
      </c>
      <c r="H84" s="1283">
        <f t="shared" si="149"/>
        <v>2634.0000000000005</v>
      </c>
      <c r="I84" s="1283">
        <f t="shared" si="149"/>
        <v>4069.7999999999993</v>
      </c>
      <c r="J84" s="1283">
        <f t="shared" si="149"/>
        <v>4034.4999999999991</v>
      </c>
      <c r="K84" s="1331">
        <f t="shared" si="149"/>
        <v>15824.7</v>
      </c>
      <c r="L84" s="1330">
        <f t="shared" si="149"/>
        <v>2716.1</v>
      </c>
      <c r="M84" s="1283">
        <f t="shared" si="149"/>
        <v>2498.1000000000004</v>
      </c>
      <c r="N84" s="1283">
        <f t="shared" si="149"/>
        <v>3571.3999999999992</v>
      </c>
      <c r="O84" s="1283">
        <f t="shared" si="149"/>
        <v>4873.2000000000007</v>
      </c>
      <c r="P84" s="1331">
        <f t="shared" si="149"/>
        <v>14122.699999999999</v>
      </c>
      <c r="Q84" s="1330">
        <f t="shared" si="149"/>
        <v>2288.9</v>
      </c>
      <c r="R84" s="1283">
        <f t="shared" si="149"/>
        <v>3320.2999999999993</v>
      </c>
      <c r="S84" s="1283">
        <f t="shared" si="149"/>
        <v>3712.4999999999991</v>
      </c>
      <c r="T84" s="1283">
        <f t="shared" si="149"/>
        <v>4641.5</v>
      </c>
      <c r="U84" s="1331"/>
      <c r="V84" s="1330">
        <f t="shared" ref="V84:AD84" si="150">V40+V81+V83</f>
        <v>1667.2999999999997</v>
      </c>
      <c r="W84" s="1283">
        <f t="shared" si="150"/>
        <v>3760.0000000000018</v>
      </c>
      <c r="X84" s="1283">
        <f t="shared" si="150"/>
        <v>237.50000000000136</v>
      </c>
      <c r="Y84" s="1283">
        <f t="shared" si="150"/>
        <v>3975.9999999999941</v>
      </c>
      <c r="Z84" s="1331">
        <f t="shared" si="150"/>
        <v>9930.4</v>
      </c>
      <c r="AA84" s="1330">
        <f t="shared" si="150"/>
        <v>2649.6000000000008</v>
      </c>
      <c r="AB84" s="1283">
        <f t="shared" si="150"/>
        <v>2510.599999999999</v>
      </c>
      <c r="AC84" s="1283">
        <f t="shared" si="150"/>
        <v>10037.6</v>
      </c>
      <c r="AD84" s="1283">
        <f t="shared" si="150"/>
        <v>3460.0000000000005</v>
      </c>
      <c r="AE84" s="1331">
        <f>Master!N154</f>
        <v>20482.799999999996</v>
      </c>
      <c r="AF84" s="1330">
        <f>AF40+AF81+AF83</f>
        <v>1486.7999999999995</v>
      </c>
      <c r="AG84" s="1283">
        <f>AG40+AG81+AG83</f>
        <v>3040.78</v>
      </c>
      <c r="AH84" s="1283">
        <f>AH40+AH81+AH83</f>
        <v>2267.1000000000004</v>
      </c>
      <c r="AI84" s="1283">
        <f>AI40+AI81+AI83</f>
        <v>1830.4999999999986</v>
      </c>
      <c r="AJ84" s="1331">
        <f>Master!O154</f>
        <v>8205.3999999999942</v>
      </c>
      <c r="AK84" s="1330">
        <f>AK40+AK81+AK83</f>
        <v>2732.8</v>
      </c>
      <c r="AL84" s="1283">
        <f>AL40+AL81+AL83</f>
        <v>2897.8</v>
      </c>
      <c r="AM84" s="1283">
        <f>AM40+AM81+AM83</f>
        <v>2631.9999999999986</v>
      </c>
      <c r="AN84" s="1283">
        <f>AN40+AN81+AN83</f>
        <v>2588.9999999999977</v>
      </c>
      <c r="AO84" s="1331">
        <f>Master!P154</f>
        <v>10852.000000000002</v>
      </c>
      <c r="AP84" s="1330">
        <f>AP40+AP81+AP83</f>
        <v>1530.5999999999985</v>
      </c>
      <c r="AQ84" s="1283">
        <f>AQ40+AQ81+AQ83</f>
        <v>7357.9000000000015</v>
      </c>
      <c r="AR84" s="1283">
        <f>AR40+AR81+AR83</f>
        <v>2179.1</v>
      </c>
      <c r="AS84" s="1283">
        <f>AS40+AS81+AS83</f>
        <v>971.79999999999836</v>
      </c>
      <c r="AT84" s="1331">
        <f>Master!Q154</f>
        <v>8491.7999999999993</v>
      </c>
      <c r="AU84" s="1330">
        <f>AU40+AU81+AU83</f>
        <v>1362.100000000001</v>
      </c>
      <c r="AV84" s="1283">
        <f>AV40+AV81+AV83</f>
        <v>2021.999999999998</v>
      </c>
      <c r="AW84" s="1283">
        <f>AW40+AW81+AW83</f>
        <v>1885.4000000000019</v>
      </c>
      <c r="AX84" s="1283">
        <f>AX40+AX81+AX83</f>
        <v>3846.7999999999988</v>
      </c>
      <c r="AY84" s="1331"/>
      <c r="AZ84" s="1330">
        <f>AZ40+AZ81+AZ83</f>
        <v>-11016.3</v>
      </c>
      <c r="BA84" s="1283">
        <f>BA40+BA81+BA83</f>
        <v>2741.9000000000005</v>
      </c>
      <c r="BB84" s="1283">
        <f>BB40+BB81+BB83</f>
        <v>4825.2999999999993</v>
      </c>
      <c r="BC84" s="1283">
        <f>BC40+BC81+BC83</f>
        <v>4539.699999999998</v>
      </c>
      <c r="BD84" s="1331"/>
      <c r="BE84" s="1330">
        <f t="shared" ref="BE84:BN84" si="151">BE40+BE81+BE83</f>
        <v>-428.8999999999989</v>
      </c>
      <c r="BF84" s="1283">
        <f t="shared" si="151"/>
        <v>4221.5999999999995</v>
      </c>
      <c r="BG84" s="1283">
        <f t="shared" si="151"/>
        <v>1179.0999999999992</v>
      </c>
      <c r="BH84" s="1283">
        <f t="shared" si="151"/>
        <v>9100.7000000000025</v>
      </c>
      <c r="BI84" s="1331">
        <f t="shared" si="151"/>
        <v>13824.099999999999</v>
      </c>
      <c r="BJ84" s="1383">
        <f t="shared" si="151"/>
        <v>-2786.8999999999996</v>
      </c>
      <c r="BK84" s="1384">
        <f t="shared" si="151"/>
        <v>4701.4000000000015</v>
      </c>
      <c r="BL84" s="1384">
        <f t="shared" si="151"/>
        <v>914.79999999999939</v>
      </c>
      <c r="BM84" s="1384">
        <f t="shared" si="151"/>
        <v>-16059.400000000001</v>
      </c>
      <c r="BN84" s="1385">
        <f t="shared" si="151"/>
        <v>-13240.870000000003</v>
      </c>
      <c r="BO84" s="1383">
        <f>BO51+BO81+BO83</f>
        <v>-898.10000000000014</v>
      </c>
      <c r="BP84" s="1384">
        <f>BP40+BP81+BP83</f>
        <v>265.59999999999911</v>
      </c>
      <c r="BQ84" s="1384">
        <f>BQ40+BQ81+BQ83</f>
        <v>-76.2000000000005</v>
      </c>
      <c r="BR84" s="1384">
        <f>BR40+BR81+BR83</f>
        <v>-7461.9999999999991</v>
      </c>
      <c r="BS84" s="1385">
        <f>BS40+BS81+BS83</f>
        <v>-8391.4079999999994</v>
      </c>
      <c r="BT84" s="1383">
        <f>BT51+BT81+BT83</f>
        <v>1436.1999999999994</v>
      </c>
      <c r="BU84" s="1384">
        <f>BU40+BU81+BU83</f>
        <v>-162.19999999999931</v>
      </c>
      <c r="BV84" s="1384">
        <f>BV40+BV81+BV83</f>
        <v>841.50000000000023</v>
      </c>
      <c r="BW84" s="1384">
        <f>BW40+BW81+BW83</f>
        <v>-11094.8</v>
      </c>
      <c r="BX84" s="1385">
        <f>BX40+BX81+BX83</f>
        <v>-8979.2840000000051</v>
      </c>
      <c r="BY84" s="1383">
        <f>BY51+BY81+BY83</f>
        <v>552.49999999999989</v>
      </c>
      <c r="BZ84" s="1384">
        <f>BZ40+BZ81+BZ83</f>
        <v>492.5</v>
      </c>
      <c r="CA84" s="1384">
        <f>CA40+CA81+CA83</f>
        <v>1096.4000000000008</v>
      </c>
      <c r="CB84" s="1384">
        <f>CB40+CB81+CB83</f>
        <v>-2776.7000000000007</v>
      </c>
      <c r="CC84" s="1765">
        <f>CC40+CC81+CC83</f>
        <v>-1003.5070000000005</v>
      </c>
      <c r="CD84" s="1383">
        <f>CD51+CD81+CD83</f>
        <v>1243.9000000000001</v>
      </c>
      <c r="CE84" s="1384">
        <f>CE40+CE81+CE83</f>
        <v>915</v>
      </c>
      <c r="CF84" s="1384">
        <f>CF40+CF81+CF83</f>
        <v>695</v>
      </c>
      <c r="CG84" s="1384">
        <f ca="1">CG40+CG81+CG83</f>
        <v>-2934.7150322562215</v>
      </c>
      <c r="CH84" s="1765">
        <f>CH40+CH81+CH83</f>
        <v>31.167254955734165</v>
      </c>
      <c r="CI84" s="1390"/>
      <c r="CJ84" s="860"/>
      <c r="CK84" s="1233"/>
      <c r="CL84" s="860"/>
      <c r="CM84" s="860"/>
      <c r="CN84" s="860"/>
      <c r="CO84" s="1232"/>
      <c r="CP84" s="1233"/>
      <c r="CQ84" s="860"/>
      <c r="CR84" s="860"/>
      <c r="CS84" s="860"/>
      <c r="CT84" s="1232"/>
      <c r="CU84" s="1233"/>
      <c r="CV84" s="860"/>
      <c r="CW84" s="860"/>
      <c r="CX84" s="860"/>
      <c r="CY84" s="1232"/>
      <c r="CZ84" s="1233"/>
      <c r="DA84" s="860"/>
      <c r="DB84" s="860"/>
      <c r="DC84" s="860"/>
      <c r="DD84" s="1232"/>
      <c r="DE84" s="1233"/>
      <c r="DF84" s="860"/>
      <c r="DG84" s="860"/>
      <c r="DH84" s="860"/>
      <c r="DI84" s="1232"/>
      <c r="DJ84" s="1233"/>
      <c r="DK84" s="860"/>
      <c r="DL84" s="860"/>
      <c r="DM84" s="860"/>
      <c r="DN84" s="1232"/>
      <c r="DO84" s="1233"/>
      <c r="DP84" s="860"/>
      <c r="DQ84" s="860"/>
      <c r="DR84" s="860"/>
      <c r="DS84" s="1232"/>
      <c r="DT84" s="1233"/>
      <c r="DU84" s="860"/>
      <c r="DV84" s="860"/>
      <c r="DW84" s="860"/>
      <c r="DX84" s="1232"/>
      <c r="DY84" s="1233"/>
      <c r="DZ84" s="860"/>
      <c r="EA84" s="860"/>
      <c r="EB84" s="860"/>
      <c r="EC84" s="1232"/>
      <c r="ED84" s="860"/>
      <c r="EE84" s="860"/>
      <c r="EF84" s="860"/>
      <c r="EG84" s="860"/>
      <c r="EH84" s="860"/>
      <c r="EI84" s="1233"/>
      <c r="EJ84" s="860"/>
      <c r="EK84" s="860"/>
      <c r="EL84" s="860"/>
      <c r="EM84" s="1232"/>
      <c r="EN84" s="1233"/>
      <c r="EO84" s="860"/>
      <c r="EP84" s="860"/>
      <c r="EQ84" s="860"/>
      <c r="ER84" s="1232"/>
      <c r="ES84" s="860"/>
      <c r="ET84" s="860"/>
      <c r="EU84" s="860"/>
      <c r="EV84" s="860"/>
      <c r="EW84" s="1232"/>
      <c r="EX84" s="1233"/>
      <c r="EY84" s="860"/>
      <c r="EZ84" s="860"/>
      <c r="FA84" s="860"/>
      <c r="FB84" s="1754"/>
      <c r="FC84" s="1233"/>
      <c r="FD84" s="860"/>
      <c r="FE84" s="860"/>
      <c r="FF84" s="860"/>
      <c r="FG84" s="860"/>
      <c r="FH84" s="860"/>
      <c r="FI84" s="860"/>
      <c r="FJ84" s="860"/>
      <c r="FY84" s="860"/>
      <c r="FZ84" s="860"/>
      <c r="GA84" s="860"/>
      <c r="GB84" s="860"/>
      <c r="GC84" s="860"/>
      <c r="GD84" s="860"/>
      <c r="GE84" s="860"/>
      <c r="GF84" s="860"/>
      <c r="GG84" s="860"/>
      <c r="GH84" s="860"/>
      <c r="GI84" s="860"/>
      <c r="GJ84" s="860"/>
      <c r="GK84" s="860"/>
      <c r="GL84" s="860"/>
      <c r="GM84" s="860"/>
      <c r="GN84" s="860"/>
      <c r="GO84" s="860"/>
      <c r="GP84" s="860"/>
      <c r="GQ84" s="860"/>
      <c r="GR84" s="1284">
        <v>180</v>
      </c>
      <c r="GS84" s="1218"/>
      <c r="GT84" s="1284">
        <v>-695.3057211555049</v>
      </c>
      <c r="GU84" s="1218"/>
      <c r="GV84" s="1635">
        <v>55.552000000000589</v>
      </c>
      <c r="GW84" s="1218"/>
      <c r="GX84" s="1218"/>
      <c r="GY84" s="1635">
        <v>-1419.5221538566129</v>
      </c>
      <c r="GZ84" s="1218"/>
      <c r="HA84" s="1218"/>
      <c r="HB84" s="1635">
        <v>-95</v>
      </c>
      <c r="HC84" s="1218"/>
      <c r="HD84" s="2000"/>
      <c r="HE84" s="1635">
        <v>-160.09701852429021</v>
      </c>
      <c r="HF84" s="1218"/>
      <c r="HG84" s="2000"/>
      <c r="HH84" s="1635">
        <f>HH40+HH81+HH83</f>
        <v>-760</v>
      </c>
      <c r="HI84" s="1635">
        <v>-147.40499999999975</v>
      </c>
      <c r="HJ84" s="1218"/>
      <c r="HK84" s="2000"/>
      <c r="HL84" s="1635">
        <v>1195.5870000000004</v>
      </c>
      <c r="HM84" s="1218"/>
      <c r="HN84" s="2000"/>
      <c r="HO84" s="1635">
        <v>-867.19021131049044</v>
      </c>
      <c r="HP84" s="1218"/>
      <c r="HQ84" s="2000"/>
      <c r="HR84" s="2021">
        <f>HR51+HR81+HR83</f>
        <v>-290.41892364586738</v>
      </c>
    </row>
    <row r="85" spans="1:226">
      <c r="A85" s="1264"/>
      <c r="B85" s="1669"/>
      <c r="C85" s="1264"/>
      <c r="D85" s="1264"/>
      <c r="E85" s="1264"/>
      <c r="F85" s="1219"/>
      <c r="G85" s="1386"/>
      <c r="H85" s="1280"/>
      <c r="I85" s="1280"/>
      <c r="J85" s="1280"/>
      <c r="K85" s="1422"/>
      <c r="L85" s="1386"/>
      <c r="M85" s="1280"/>
      <c r="N85" s="1280"/>
      <c r="O85" s="1280"/>
      <c r="P85" s="1422"/>
      <c r="Q85" s="1386"/>
      <c r="R85" s="1280"/>
      <c r="S85" s="1280"/>
      <c r="T85" s="1280"/>
      <c r="U85" s="1422"/>
      <c r="V85" s="1386"/>
      <c r="W85" s="1280"/>
      <c r="X85" s="1280"/>
      <c r="Y85" s="1280"/>
      <c r="Z85" s="1422"/>
      <c r="AA85" s="1386"/>
      <c r="AB85" s="1280"/>
      <c r="AC85" s="1280"/>
      <c r="AD85" s="1280"/>
      <c r="AE85" s="1422"/>
      <c r="AF85" s="1386"/>
      <c r="AG85" s="1280"/>
      <c r="AH85" s="1280"/>
      <c r="AI85" s="1280"/>
      <c r="AJ85" s="1422"/>
      <c r="AK85" s="1386"/>
      <c r="AL85" s="1280"/>
      <c r="AM85" s="1280"/>
      <c r="AN85" s="1280"/>
      <c r="AO85" s="1422"/>
      <c r="AP85" s="1386"/>
      <c r="AQ85" s="1280"/>
      <c r="AR85" s="1280"/>
      <c r="AS85" s="1280"/>
      <c r="AT85" s="1422"/>
      <c r="AU85" s="1386"/>
      <c r="AV85" s="1280"/>
      <c r="AW85" s="1280"/>
      <c r="AX85" s="1280"/>
      <c r="AY85" s="1422"/>
      <c r="AZ85" s="1386"/>
      <c r="BA85" s="1280"/>
      <c r="BB85" s="1280"/>
      <c r="BC85" s="1280"/>
      <c r="BD85" s="1422"/>
      <c r="BE85" s="1386"/>
      <c r="BF85" s="1280"/>
      <c r="BG85" s="1280"/>
      <c r="BH85" s="1280"/>
      <c r="BI85" s="1422"/>
      <c r="BJ85" s="1389"/>
      <c r="BK85" s="1390"/>
      <c r="BL85" s="1390"/>
      <c r="BM85" s="1390"/>
      <c r="BN85" s="1391"/>
      <c r="BO85" s="1389"/>
      <c r="BP85" s="1390"/>
      <c r="BQ85" s="1390"/>
      <c r="BR85" s="1390"/>
      <c r="BS85" s="1391"/>
      <c r="BT85" s="1389"/>
      <c r="BU85" s="1390"/>
      <c r="BV85" s="1390"/>
      <c r="BW85" s="1390"/>
      <c r="BX85" s="1391"/>
      <c r="BY85" s="1389"/>
      <c r="BZ85" s="1390"/>
      <c r="CA85" s="1291">
        <f>CA86-BV86</f>
        <v>-2837.1</v>
      </c>
      <c r="CB85" s="1390"/>
      <c r="CC85" s="1767"/>
      <c r="CD85" s="1389"/>
      <c r="CE85" s="1390"/>
      <c r="CF85" s="1390"/>
      <c r="CG85" s="1390"/>
      <c r="CH85" s="1767"/>
      <c r="CI85" s="1390"/>
      <c r="CJ85" s="860"/>
      <c r="CK85" s="1233"/>
      <c r="CL85" s="860"/>
      <c r="CM85" s="860"/>
      <c r="CN85" s="860"/>
      <c r="CO85" s="1232"/>
      <c r="CP85" s="1233"/>
      <c r="CQ85" s="860"/>
      <c r="CR85" s="860"/>
      <c r="CS85" s="860"/>
      <c r="CT85" s="1232"/>
      <c r="CU85" s="1233"/>
      <c r="CV85" s="860"/>
      <c r="CW85" s="860"/>
      <c r="CX85" s="860"/>
      <c r="CY85" s="1232"/>
      <c r="CZ85" s="1233"/>
      <c r="DA85" s="860"/>
      <c r="DB85" s="860"/>
      <c r="DC85" s="860"/>
      <c r="DD85" s="1232"/>
      <c r="DE85" s="1233"/>
      <c r="DF85" s="860"/>
      <c r="DG85" s="860"/>
      <c r="DH85" s="860"/>
      <c r="DI85" s="1232"/>
      <c r="DJ85" s="1233"/>
      <c r="DK85" s="860"/>
      <c r="DL85" s="860"/>
      <c r="DM85" s="860"/>
      <c r="DN85" s="1232"/>
      <c r="DO85" s="1233"/>
      <c r="DP85" s="860"/>
      <c r="DQ85" s="860"/>
      <c r="DR85" s="860"/>
      <c r="DS85" s="1232"/>
      <c r="DT85" s="1233"/>
      <c r="DU85" s="860"/>
      <c r="DV85" s="860"/>
      <c r="DW85" s="860"/>
      <c r="DX85" s="1232"/>
      <c r="DY85" s="1233"/>
      <c r="DZ85" s="860"/>
      <c r="EA85" s="860"/>
      <c r="EB85" s="860"/>
      <c r="EC85" s="1232"/>
      <c r="ED85" s="860"/>
      <c r="EE85" s="860"/>
      <c r="EF85" s="860"/>
      <c r="EG85" s="860"/>
      <c r="EH85" s="860"/>
      <c r="EI85" s="1233"/>
      <c r="EJ85" s="860"/>
      <c r="EK85" s="860"/>
      <c r="EL85" s="860"/>
      <c r="EM85" s="1232"/>
      <c r="EN85" s="1233"/>
      <c r="EO85" s="860"/>
      <c r="EP85" s="860"/>
      <c r="EQ85" s="860"/>
      <c r="ER85" s="1232"/>
      <c r="ES85" s="860"/>
      <c r="ET85" s="860"/>
      <c r="EU85" s="860"/>
      <c r="EV85" s="860"/>
      <c r="EW85" s="1232"/>
      <c r="EX85" s="1233"/>
      <c r="EY85" s="860"/>
      <c r="EZ85" s="860"/>
      <c r="FA85" s="860"/>
      <c r="FB85" s="1754"/>
      <c r="FC85" s="1233"/>
      <c r="FD85" s="860"/>
      <c r="FE85" s="860"/>
      <c r="FF85" s="860"/>
      <c r="FG85" s="860"/>
      <c r="FH85" s="860"/>
      <c r="FI85" s="860"/>
      <c r="FJ85" s="860"/>
      <c r="FY85" s="860"/>
      <c r="FZ85" s="860"/>
      <c r="GA85" s="860"/>
      <c r="GB85" s="860"/>
      <c r="GC85" s="860"/>
      <c r="GD85" s="860"/>
      <c r="GE85" s="860"/>
      <c r="GF85" s="860"/>
      <c r="GG85" s="860"/>
      <c r="GH85" s="860"/>
      <c r="GI85" s="860"/>
      <c r="GJ85" s="860"/>
      <c r="GK85" s="860"/>
      <c r="GL85" s="860"/>
      <c r="GM85" s="860"/>
      <c r="GN85" s="860"/>
      <c r="GO85" s="860"/>
      <c r="GP85" s="860"/>
      <c r="GQ85" s="860"/>
      <c r="GR85" s="1284"/>
      <c r="GS85" s="1218"/>
      <c r="GT85" s="1284"/>
      <c r="GU85" s="1218"/>
      <c r="GV85" s="1636"/>
      <c r="GW85" s="1218"/>
      <c r="GX85" s="1218"/>
      <c r="GY85" s="1636"/>
      <c r="GZ85" s="1218"/>
      <c r="HA85" s="1218"/>
      <c r="HB85" s="1636"/>
      <c r="HC85" s="1218"/>
      <c r="HD85" s="2000"/>
      <c r="HE85" s="1636"/>
      <c r="HF85" s="1218"/>
      <c r="HG85" s="2000"/>
      <c r="HH85" s="1279"/>
      <c r="HI85" s="1636"/>
      <c r="HJ85" s="1218"/>
      <c r="HK85" s="2000"/>
      <c r="HL85" s="1636"/>
      <c r="HM85" s="1218"/>
      <c r="HN85" s="2000"/>
      <c r="HO85" s="1636"/>
      <c r="HP85" s="1218"/>
      <c r="HQ85" s="2000"/>
      <c r="HR85" s="1636"/>
    </row>
    <row r="86" spans="1:226">
      <c r="A86" s="860" t="s">
        <v>114</v>
      </c>
      <c r="B86" s="1233"/>
      <c r="C86" s="860"/>
      <c r="D86" s="860"/>
      <c r="E86" s="860"/>
      <c r="F86" s="1232"/>
      <c r="G86" s="1326">
        <f>-1000-H86</f>
        <v>-378</v>
      </c>
      <c r="H86" s="1274">
        <v>-622</v>
      </c>
      <c r="I86" s="1274">
        <v>-778.3</v>
      </c>
      <c r="J86" s="1274">
        <v>-1448</v>
      </c>
      <c r="K86" s="1327">
        <v>-3410</v>
      </c>
      <c r="L86" s="1326">
        <f>-1476-M86</f>
        <v>-762.4</v>
      </c>
      <c r="M86" s="1274">
        <v>-713.6</v>
      </c>
      <c r="N86" s="1274">
        <v>-809.4</v>
      </c>
      <c r="O86" s="1274">
        <v>-1768.1</v>
      </c>
      <c r="P86" s="1327">
        <f>Master!K156</f>
        <v>-4053</v>
      </c>
      <c r="Q86" s="1326">
        <v>-756.1</v>
      </c>
      <c r="R86" s="1274">
        <v>-1108.5</v>
      </c>
      <c r="S86" s="1274">
        <v>-1080.9000000000001</v>
      </c>
      <c r="T86" s="1274">
        <v>-783.5</v>
      </c>
      <c r="U86" s="1327"/>
      <c r="V86" s="1326">
        <v>-485.6</v>
      </c>
      <c r="W86" s="1274">
        <v>-1117.5</v>
      </c>
      <c r="X86" s="1274">
        <v>-65.900000000000006</v>
      </c>
      <c r="Y86" s="1274">
        <v>-1314</v>
      </c>
      <c r="Z86" s="1327">
        <f>Master!M156</f>
        <v>-2983</v>
      </c>
      <c r="AA86" s="1326">
        <v>-846.4</v>
      </c>
      <c r="AB86" s="1274">
        <v>-761</v>
      </c>
      <c r="AC86" s="1274">
        <v>-3259.9</v>
      </c>
      <c r="AD86" s="1274">
        <v>-1471.7</v>
      </c>
      <c r="AE86" s="1327">
        <f>Master!N156</f>
        <v>-6332.2</v>
      </c>
      <c r="AF86" s="1326">
        <v>-505.5</v>
      </c>
      <c r="AG86" s="1274">
        <v>-855.4</v>
      </c>
      <c r="AH86" s="1274">
        <v>-886.7</v>
      </c>
      <c r="AI86" s="1274">
        <v>-624.6</v>
      </c>
      <c r="AJ86" s="1327">
        <f>Master!O156</f>
        <v>-2872.2</v>
      </c>
      <c r="AK86" s="1326">
        <v>-864.2</v>
      </c>
      <c r="AL86" s="1274">
        <v>-982.9</v>
      </c>
      <c r="AM86" s="1274">
        <v>-967.6</v>
      </c>
      <c r="AN86" s="1274">
        <v>-1459.4</v>
      </c>
      <c r="AO86" s="1327">
        <f>Master!P156</f>
        <v>-4274</v>
      </c>
      <c r="AP86" s="1326">
        <v>-535.70000000000005</v>
      </c>
      <c r="AQ86" s="1274">
        <v>-2563.5</v>
      </c>
      <c r="AR86" s="1274">
        <v>-699.5</v>
      </c>
      <c r="AS86" s="1274">
        <v>-591.79999999999995</v>
      </c>
      <c r="AT86" s="1327">
        <f>Master!Q156</f>
        <v>-4391</v>
      </c>
      <c r="AU86" s="1326">
        <v>-504</v>
      </c>
      <c r="AV86" s="1274">
        <v>-741.9</v>
      </c>
      <c r="AW86" s="1274">
        <v>-726.8</v>
      </c>
      <c r="AX86" s="1274">
        <v>-803.7</v>
      </c>
      <c r="AY86" s="1327"/>
      <c r="AZ86" s="1326">
        <v>1725.9</v>
      </c>
      <c r="BA86" s="1274">
        <v>-752.5</v>
      </c>
      <c r="BB86" s="1274">
        <v>-2119.1999999999998</v>
      </c>
      <c r="BC86" s="1274">
        <f>Master!S156-AZ86-BA86-BB86</f>
        <v>-3858.8</v>
      </c>
      <c r="BD86" s="1327"/>
      <c r="BE86" s="1326">
        <v>-3143.6</v>
      </c>
      <c r="BF86" s="1274">
        <v>-1800</v>
      </c>
      <c r="BG86" s="1274">
        <v>-111.4</v>
      </c>
      <c r="BH86" s="1274">
        <v>-5685.9</v>
      </c>
      <c r="BI86" s="1327">
        <f>Master!T156</f>
        <v>-7493.9</v>
      </c>
      <c r="BJ86" s="1350">
        <v>878.1</v>
      </c>
      <c r="BK86" s="1298">
        <v>-1510.9</v>
      </c>
      <c r="BL86" s="1298">
        <v>-351.5</v>
      </c>
      <c r="BM86" s="1298">
        <v>1951.7</v>
      </c>
      <c r="BN86" s="1341">
        <f>Master!U156</f>
        <v>967.4</v>
      </c>
      <c r="BO86" s="1350">
        <v>188</v>
      </c>
      <c r="BP86" s="1298">
        <v>-93.1</v>
      </c>
      <c r="BQ86" s="1298">
        <v>-975.4</v>
      </c>
      <c r="BR86" s="1298">
        <v>-1560.4</v>
      </c>
      <c r="BS86" s="1341">
        <f>Master!V156</f>
        <v>-2440.9</v>
      </c>
      <c r="BT86" s="1350">
        <v>-541</v>
      </c>
      <c r="BU86" s="1298">
        <v>84.2</v>
      </c>
      <c r="BV86" s="1298">
        <v>-171</v>
      </c>
      <c r="BW86" s="1298">
        <v>1241.3</v>
      </c>
      <c r="BX86" s="1341">
        <f>SUM(BT86:BW86)</f>
        <v>613.5</v>
      </c>
      <c r="BY86" s="1350">
        <v>-221</v>
      </c>
      <c r="BZ86" s="1298">
        <v>60</v>
      </c>
      <c r="CA86" s="1298">
        <v>-3008.1</v>
      </c>
      <c r="CB86" s="1298">
        <v>-4757.3</v>
      </c>
      <c r="CC86" s="1762">
        <f>Master!X156</f>
        <v>24</v>
      </c>
      <c r="CD86" s="1350">
        <v>-186.6</v>
      </c>
      <c r="CE86" s="2163">
        <v>50</v>
      </c>
      <c r="CF86" s="2163">
        <f>-15%*CF84</f>
        <v>-104.25</v>
      </c>
      <c r="CG86" s="2163">
        <f ca="1">CH86-CD86-CE86-CF86</f>
        <v>-138.37947558088572</v>
      </c>
      <c r="CH86" s="1762">
        <f ca="1">Master!Y156</f>
        <v>-379.22947558088572</v>
      </c>
      <c r="CI86" s="1291"/>
      <c r="CJ86" s="860"/>
      <c r="CK86" s="1233"/>
      <c r="CL86" s="860"/>
      <c r="CM86" s="860"/>
      <c r="CN86" s="860"/>
      <c r="CO86" s="1232"/>
      <c r="CP86" s="1233"/>
      <c r="CQ86" s="860"/>
      <c r="CR86" s="860"/>
      <c r="CS86" s="860"/>
      <c r="CT86" s="1232"/>
      <c r="CU86" s="1233"/>
      <c r="CV86" s="860"/>
      <c r="CW86" s="860"/>
      <c r="CX86" s="860"/>
      <c r="CY86" s="1232"/>
      <c r="CZ86" s="1233"/>
      <c r="DA86" s="860"/>
      <c r="DB86" s="860"/>
      <c r="DC86" s="860"/>
      <c r="DD86" s="1232"/>
      <c r="DE86" s="1233"/>
      <c r="DF86" s="860"/>
      <c r="DG86" s="860"/>
      <c r="DH86" s="860"/>
      <c r="DI86" s="1232"/>
      <c r="DJ86" s="1233"/>
      <c r="DK86" s="860"/>
      <c r="DL86" s="860"/>
      <c r="DM86" s="860"/>
      <c r="DN86" s="1232"/>
      <c r="DO86" s="1233"/>
      <c r="DP86" s="860"/>
      <c r="DQ86" s="860"/>
      <c r="DR86" s="860"/>
      <c r="DS86" s="1232"/>
      <c r="DT86" s="1233"/>
      <c r="DU86" s="860"/>
      <c r="DV86" s="860"/>
      <c r="DW86" s="860"/>
      <c r="DX86" s="1232"/>
      <c r="DY86" s="1233"/>
      <c r="DZ86" s="860"/>
      <c r="EA86" s="860"/>
      <c r="EB86" s="860"/>
      <c r="EC86" s="1232"/>
      <c r="ED86" s="860"/>
      <c r="EE86" s="860"/>
      <c r="EF86" s="860"/>
      <c r="EG86" s="860"/>
      <c r="EH86" s="860"/>
      <c r="EI86" s="1233"/>
      <c r="EJ86" s="860"/>
      <c r="EK86" s="860"/>
      <c r="EL86" s="860"/>
      <c r="EM86" s="1232"/>
      <c r="EN86" s="1233"/>
      <c r="EO86" s="860"/>
      <c r="EP86" s="860"/>
      <c r="EQ86" s="860"/>
      <c r="ER86" s="1232"/>
      <c r="ES86" s="860"/>
      <c r="ET86" s="860"/>
      <c r="EU86" s="860"/>
      <c r="EV86" s="860"/>
      <c r="EW86" s="1232"/>
      <c r="EX86" s="1233"/>
      <c r="EY86" s="860"/>
      <c r="EZ86" s="860"/>
      <c r="FA86" s="860"/>
      <c r="FB86" s="1754"/>
      <c r="FC86" s="1233"/>
      <c r="FD86" s="860"/>
      <c r="FE86" s="860"/>
      <c r="FF86" s="860"/>
      <c r="FG86" s="860"/>
      <c r="FH86" s="860"/>
      <c r="FI86" s="860"/>
      <c r="FJ86" s="860"/>
      <c r="FY86" s="860"/>
      <c r="FZ86" s="860"/>
      <c r="GA86" s="860"/>
      <c r="GB86" s="860"/>
      <c r="GC86" s="860"/>
      <c r="GD86" s="860"/>
      <c r="GE86" s="860"/>
      <c r="GF86" s="860"/>
      <c r="GG86" s="860"/>
      <c r="GH86" s="860"/>
      <c r="GI86" s="860"/>
      <c r="GJ86" s="860"/>
      <c r="GK86" s="860"/>
      <c r="GL86" s="860"/>
      <c r="GM86" s="860"/>
      <c r="GN86" s="860"/>
      <c r="GO86" s="860"/>
      <c r="GP86" s="860"/>
      <c r="GQ86" s="860"/>
      <c r="GR86" s="1279">
        <v>-62.999999999999993</v>
      </c>
      <c r="GS86" s="1218"/>
      <c r="GT86" s="1279">
        <v>823.05826623425514</v>
      </c>
      <c r="GU86" s="1218"/>
      <c r="GV86" s="1299">
        <v>60</v>
      </c>
      <c r="GW86" s="1218"/>
      <c r="GX86" s="1218"/>
      <c r="GY86" s="1299">
        <v>395</v>
      </c>
      <c r="GZ86" s="1218"/>
      <c r="HA86" s="1218"/>
      <c r="HB86" s="1299">
        <v>395</v>
      </c>
      <c r="HC86" s="1218"/>
      <c r="HD86" s="2000"/>
      <c r="HE86" s="1633">
        <v>-295.780183710632</v>
      </c>
      <c r="HF86" s="1218"/>
      <c r="HG86" s="2000"/>
      <c r="HH86" s="1279">
        <v>0</v>
      </c>
      <c r="HI86" s="1376">
        <v>-0.54</v>
      </c>
      <c r="HJ86" s="1218"/>
      <c r="HK86" s="2000"/>
      <c r="HL86" s="1376">
        <v>-334.76436000000018</v>
      </c>
      <c r="HM86" s="1218"/>
      <c r="HN86" s="2000"/>
      <c r="HO86" s="1376">
        <v>3193.1</v>
      </c>
      <c r="HP86" s="1218"/>
      <c r="HQ86" s="2000"/>
      <c r="HR86" s="1299">
        <f ca="1">CH86/4</f>
        <v>-94.80736889522143</v>
      </c>
    </row>
    <row r="87" spans="1:226">
      <c r="A87" s="860" t="s">
        <v>714</v>
      </c>
      <c r="B87" s="1233"/>
      <c r="C87" s="860"/>
      <c r="D87" s="860"/>
      <c r="E87" s="860"/>
      <c r="F87" s="1232"/>
      <c r="G87" s="1326"/>
      <c r="H87" s="1274"/>
      <c r="I87" s="1274"/>
      <c r="J87" s="1274"/>
      <c r="K87" s="1327"/>
      <c r="L87" s="1326"/>
      <c r="M87" s="1274"/>
      <c r="N87" s="1274"/>
      <c r="O87" s="1274"/>
      <c r="P87" s="1327"/>
      <c r="Q87" s="1326"/>
      <c r="R87" s="1274"/>
      <c r="S87" s="1274"/>
      <c r="T87" s="1274"/>
      <c r="U87" s="1327"/>
      <c r="V87" s="1326"/>
      <c r="W87" s="1274"/>
      <c r="X87" s="1274"/>
      <c r="Y87" s="1274"/>
      <c r="Z87" s="1327"/>
      <c r="AA87" s="1326"/>
      <c r="AB87" s="1274"/>
      <c r="AC87" s="1274"/>
      <c r="AD87" s="1274"/>
      <c r="AE87" s="1327"/>
      <c r="AF87" s="1242">
        <f>-AF86/AF84</f>
        <v>0.33999192897497993</v>
      </c>
      <c r="AG87" s="1162">
        <f>-AG86/AG84</f>
        <v>0.28130940087740641</v>
      </c>
      <c r="AH87" s="1162">
        <f>-AH86/AH84</f>
        <v>0.39111640421684085</v>
      </c>
      <c r="AI87" s="1162">
        <f>-AI86/AI84</f>
        <v>0.34121824638077053</v>
      </c>
      <c r="AJ87" s="1327"/>
      <c r="AK87" s="1242">
        <f>-AK86/AK84</f>
        <v>0.31623243559718966</v>
      </c>
      <c r="AL87" s="1162">
        <f>-AL86/AL84</f>
        <v>0.33918834978259366</v>
      </c>
      <c r="AM87" s="1162">
        <f>-AM86/AM84</f>
        <v>0.36762917933130718</v>
      </c>
      <c r="AN87" s="1162">
        <f>-AN86/AN84</f>
        <v>0.56369254538431879</v>
      </c>
      <c r="AO87" s="1327"/>
      <c r="AP87" s="1242">
        <f>-AP86/AP84</f>
        <v>0.34999346661439995</v>
      </c>
      <c r="AQ87" s="1162">
        <f>-AQ86/AQ84</f>
        <v>0.34840103833974362</v>
      </c>
      <c r="AR87" s="1162">
        <f>-AR86/AR84</f>
        <v>0.32100408425496768</v>
      </c>
      <c r="AS87" s="1162">
        <f>-AS86/AS84</f>
        <v>0.60897303972010797</v>
      </c>
      <c r="AT87" s="1327"/>
      <c r="AU87" s="1242">
        <f>-AU86/AU84</f>
        <v>0.37001688569121183</v>
      </c>
      <c r="AV87" s="1162">
        <f>-AV86/AV84</f>
        <v>0.36691394658753745</v>
      </c>
      <c r="AW87" s="1162">
        <f>-AW86/AW84</f>
        <v>0.38548849050599299</v>
      </c>
      <c r="AX87" s="1162">
        <f>-AX86/AX84</f>
        <v>0.20892690028075292</v>
      </c>
      <c r="AY87" s="1327"/>
      <c r="AZ87" s="1242">
        <f>-AZ86/AZ84</f>
        <v>0.15666784673620002</v>
      </c>
      <c r="BA87" s="1162">
        <f>-BA86/BA84</f>
        <v>0.27444472810824605</v>
      </c>
      <c r="BB87" s="1162">
        <f>-BB86/BB84</f>
        <v>0.43918512838579987</v>
      </c>
      <c r="BC87" s="1162">
        <f>-BC86/BC84</f>
        <v>0.85001211533801835</v>
      </c>
      <c r="BD87" s="1327"/>
      <c r="BE87" s="1242">
        <f>-BE86/BE84</f>
        <v>-7.3294474236418932</v>
      </c>
      <c r="BF87" s="1162">
        <f>-BF86/BF84</f>
        <v>0.42637862421830591</v>
      </c>
      <c r="BG87" s="1162">
        <f>-BG86/BG84</f>
        <v>9.4478839793062569E-2</v>
      </c>
      <c r="BH87" s="1162">
        <f>-BH86/BH84</f>
        <v>0.62477611612293538</v>
      </c>
      <c r="BI87" s="1327"/>
      <c r="BJ87" s="1242">
        <f t="shared" ref="BJ87:BW87" si="152">-BJ86/BJ84</f>
        <v>0.31508127309914247</v>
      </c>
      <c r="BK87" s="1162">
        <f t="shared" si="152"/>
        <v>0.32137235717020451</v>
      </c>
      <c r="BL87" s="1162">
        <f t="shared" si="152"/>
        <v>0.3842369916921734</v>
      </c>
      <c r="BM87" s="1162">
        <f t="shared" si="152"/>
        <v>0.12153006961654855</v>
      </c>
      <c r="BN87" s="1261">
        <f t="shared" si="152"/>
        <v>7.3061664377038649E-2</v>
      </c>
      <c r="BO87" s="1242">
        <f t="shared" si="152"/>
        <v>0.20933080948669411</v>
      </c>
      <c r="BP87" s="1162">
        <f t="shared" si="152"/>
        <v>0.35052710843373608</v>
      </c>
      <c r="BQ87" s="1162">
        <f t="shared" si="152"/>
        <v>-12.800524934383118</v>
      </c>
      <c r="BR87" s="1162">
        <f t="shared" si="152"/>
        <v>-0.20911283838113109</v>
      </c>
      <c r="BS87" s="1261">
        <f t="shared" si="152"/>
        <v>-0.29088086290167281</v>
      </c>
      <c r="BT87" s="1242">
        <f t="shared" si="152"/>
        <v>0.37668848349812023</v>
      </c>
      <c r="BU87" s="1162">
        <f t="shared" si="152"/>
        <v>0.51911220715166684</v>
      </c>
      <c r="BV87" s="1162">
        <f t="shared" si="152"/>
        <v>0.20320855614973257</v>
      </c>
      <c r="BW87" s="1162">
        <f t="shared" si="152"/>
        <v>0.11188124166276094</v>
      </c>
      <c r="BX87" s="1261">
        <f t="shared" ref="BX87:CG87" si="153">-BX86/BX84</f>
        <v>6.832393317774553E-2</v>
      </c>
      <c r="BY87" s="1242">
        <f t="shared" si="153"/>
        <v>0.40000000000000008</v>
      </c>
      <c r="BZ87" s="1162">
        <f t="shared" si="153"/>
        <v>-0.12182741116751269</v>
      </c>
      <c r="CA87" s="1162">
        <f t="shared" si="153"/>
        <v>2.7436154688070027</v>
      </c>
      <c r="CB87" s="1162">
        <f>-CB86/CB84</f>
        <v>-1.7132927575899446</v>
      </c>
      <c r="CC87" s="1757">
        <f t="shared" si="153"/>
        <v>2.3916126145607342E-2</v>
      </c>
      <c r="CD87" s="1242">
        <f>-CD86/CD84</f>
        <v>0.1500120588471742</v>
      </c>
      <c r="CE87" s="1162">
        <f t="shared" si="153"/>
        <v>-5.4644808743169397E-2</v>
      </c>
      <c r="CF87" s="1162">
        <f t="shared" si="153"/>
        <v>0.15</v>
      </c>
      <c r="CG87" s="1162">
        <f t="shared" ca="1" si="153"/>
        <v>-4.7152610750931745E-2</v>
      </c>
      <c r="CH87" s="1757">
        <f ca="1">-CH86/CH84</f>
        <v>12.167560990516906</v>
      </c>
      <c r="CI87" s="1162"/>
      <c r="CJ87" s="860"/>
      <c r="CK87" s="1233"/>
      <c r="CL87" s="860"/>
      <c r="CM87" s="860"/>
      <c r="CN87" s="860"/>
      <c r="CO87" s="1232"/>
      <c r="CP87" s="1233"/>
      <c r="CQ87" s="860"/>
      <c r="CR87" s="860"/>
      <c r="CS87" s="860"/>
      <c r="CT87" s="1232"/>
      <c r="CU87" s="1233"/>
      <c r="CV87" s="860"/>
      <c r="CW87" s="860"/>
      <c r="CX87" s="860"/>
      <c r="CY87" s="1232"/>
      <c r="CZ87" s="1233"/>
      <c r="DA87" s="860"/>
      <c r="DB87" s="860"/>
      <c r="DC87" s="860"/>
      <c r="DD87" s="1232"/>
      <c r="DE87" s="1233"/>
      <c r="DF87" s="860"/>
      <c r="DG87" s="860"/>
      <c r="DH87" s="860"/>
      <c r="DI87" s="1232"/>
      <c r="DJ87" s="1233"/>
      <c r="DK87" s="860"/>
      <c r="DL87" s="860"/>
      <c r="DM87" s="860"/>
      <c r="DN87" s="1232"/>
      <c r="DO87" s="1233"/>
      <c r="DP87" s="860"/>
      <c r="DQ87" s="860"/>
      <c r="DR87" s="860"/>
      <c r="DS87" s="1232"/>
      <c r="DT87" s="1233"/>
      <c r="DU87" s="860"/>
      <c r="DV87" s="860"/>
      <c r="DW87" s="860"/>
      <c r="DX87" s="1232"/>
      <c r="DY87" s="1233"/>
      <c r="DZ87" s="860"/>
      <c r="EA87" s="860"/>
      <c r="EB87" s="860"/>
      <c r="EC87" s="1232"/>
      <c r="ED87" s="860"/>
      <c r="EE87" s="860"/>
      <c r="EF87" s="860"/>
      <c r="EG87" s="860"/>
      <c r="EH87" s="860"/>
      <c r="EI87" s="1233"/>
      <c r="EJ87" s="860"/>
      <c r="EK87" s="860"/>
      <c r="EL87" s="860"/>
      <c r="EM87" s="1232"/>
      <c r="EN87" s="1233"/>
      <c r="EO87" s="860"/>
      <c r="EP87" s="860"/>
      <c r="EQ87" s="860"/>
      <c r="ER87" s="1232"/>
      <c r="ES87" s="860"/>
      <c r="ET87" s="860"/>
      <c r="EU87" s="860"/>
      <c r="EV87" s="860"/>
      <c r="EW87" s="1232"/>
      <c r="EX87" s="1233"/>
      <c r="EY87" s="860"/>
      <c r="EZ87" s="860"/>
      <c r="FA87" s="860"/>
      <c r="FB87" s="1754"/>
      <c r="FC87" s="1233"/>
      <c r="FD87" s="860"/>
      <c r="FE87" s="860"/>
      <c r="FF87" s="860"/>
      <c r="FG87" s="860"/>
      <c r="FH87" s="860"/>
      <c r="FI87" s="860"/>
      <c r="FJ87" s="860"/>
      <c r="FY87" s="860"/>
      <c r="FZ87" s="860"/>
      <c r="GA87" s="860"/>
      <c r="GB87" s="860"/>
      <c r="GC87" s="860"/>
      <c r="GD87" s="860"/>
      <c r="GE87" s="860"/>
      <c r="GF87" s="860"/>
      <c r="GG87" s="860"/>
      <c r="GH87" s="860"/>
      <c r="GI87" s="860"/>
      <c r="GJ87" s="860"/>
      <c r="GK87" s="860"/>
      <c r="GL87" s="860"/>
      <c r="GM87" s="860"/>
      <c r="GN87" s="860"/>
      <c r="GO87" s="860"/>
      <c r="GP87" s="860"/>
      <c r="GQ87" s="860"/>
      <c r="GR87" s="1241">
        <v>0.35</v>
      </c>
      <c r="GS87" s="1218"/>
      <c r="GT87" s="1241">
        <v>1.1837357887210285</v>
      </c>
      <c r="GU87" s="1218"/>
      <c r="GV87" s="1241">
        <v>-1.0800691244239518</v>
      </c>
      <c r="GW87" s="1218"/>
      <c r="GX87" s="1218"/>
      <c r="GY87" s="1241">
        <v>0.27826265263056915</v>
      </c>
      <c r="GZ87" s="1218"/>
      <c r="HA87" s="1218"/>
      <c r="HB87" s="1241">
        <v>4.1578947368421053</v>
      </c>
      <c r="HC87" s="1218"/>
      <c r="HD87" s="2000"/>
      <c r="HE87" s="1241">
        <v>-1.8475058838510205</v>
      </c>
      <c r="HF87" s="1218"/>
      <c r="HG87" s="2000"/>
      <c r="HH87" s="1279"/>
      <c r="HI87" s="1241">
        <v>-3.6633764119263319E-3</v>
      </c>
      <c r="HJ87" s="1218"/>
      <c r="HK87" s="2000"/>
      <c r="HL87" s="1241">
        <v>0.28000000000000003</v>
      </c>
      <c r="HM87" s="1218"/>
      <c r="HN87" s="2000"/>
      <c r="HO87" s="1241">
        <v>3.6821218209723727</v>
      </c>
      <c r="HP87" s="1218"/>
      <c r="HQ87" s="2000"/>
      <c r="HR87" s="1241">
        <v>0.1500120588471742</v>
      </c>
    </row>
    <row r="88" spans="1:226">
      <c r="A88" s="860"/>
      <c r="B88" s="1233"/>
      <c r="C88" s="860"/>
      <c r="D88" s="860"/>
      <c r="E88" s="860"/>
      <c r="F88" s="1232"/>
      <c r="G88" s="1326"/>
      <c r="H88" s="1274"/>
      <c r="I88" s="1274"/>
      <c r="J88" s="1274"/>
      <c r="K88" s="1327"/>
      <c r="L88" s="1326"/>
      <c r="M88" s="1274"/>
      <c r="N88" s="1274"/>
      <c r="O88" s="1274"/>
      <c r="P88" s="1327"/>
      <c r="Q88" s="1326"/>
      <c r="R88" s="1274"/>
      <c r="S88" s="1274"/>
      <c r="T88" s="1274"/>
      <c r="U88" s="1327"/>
      <c r="V88" s="1326"/>
      <c r="W88" s="1274"/>
      <c r="X88" s="1274"/>
      <c r="Y88" s="1274"/>
      <c r="Z88" s="1327"/>
      <c r="AA88" s="1326"/>
      <c r="AB88" s="1274"/>
      <c r="AC88" s="1274"/>
      <c r="AD88" s="1274"/>
      <c r="AE88" s="1327"/>
      <c r="AF88" s="1242"/>
      <c r="AG88" s="1162"/>
      <c r="AH88" s="1162"/>
      <c r="AI88" s="1162"/>
      <c r="AJ88" s="1327"/>
      <c r="AK88" s="1242"/>
      <c r="AL88" s="1162"/>
      <c r="AM88" s="1162"/>
      <c r="AN88" s="1162"/>
      <c r="AO88" s="1327"/>
      <c r="AP88" s="1242"/>
      <c r="AQ88" s="1162"/>
      <c r="AR88" s="1162"/>
      <c r="AS88" s="1162"/>
      <c r="AT88" s="1327"/>
      <c r="AU88" s="1242"/>
      <c r="AV88" s="1162"/>
      <c r="AW88" s="1162"/>
      <c r="AX88" s="1162"/>
      <c r="AY88" s="1327"/>
      <c r="AZ88" s="1326"/>
      <c r="BA88" s="1274"/>
      <c r="BB88" s="1274"/>
      <c r="BC88" s="1274"/>
      <c r="BD88" s="1327"/>
      <c r="BE88" s="1326"/>
      <c r="BF88" s="1274"/>
      <c r="BG88" s="1274"/>
      <c r="BH88" s="1274"/>
      <c r="BI88" s="1327"/>
      <c r="BJ88" s="1326"/>
      <c r="BK88" s="1274"/>
      <c r="BL88" s="1274"/>
      <c r="BM88" s="1274"/>
      <c r="BN88" s="1327"/>
      <c r="BO88" s="1326"/>
      <c r="BP88" s="1274"/>
      <c r="BQ88" s="1274"/>
      <c r="BR88" s="1274"/>
      <c r="BS88" s="1327"/>
      <c r="BT88" s="1326"/>
      <c r="BU88" s="1274"/>
      <c r="BV88" s="1274"/>
      <c r="BW88" s="1274"/>
      <c r="BX88" s="1327"/>
      <c r="BY88" s="1326"/>
      <c r="BZ88" s="1274"/>
      <c r="CA88" s="1274"/>
      <c r="CB88" s="1274"/>
      <c r="CC88" s="1769"/>
      <c r="CD88" s="1326"/>
      <c r="CE88" s="1274"/>
      <c r="CF88" s="1274"/>
      <c r="CG88" s="1274"/>
      <c r="CH88" s="1769"/>
      <c r="CI88" s="1274"/>
      <c r="CJ88" s="860"/>
      <c r="CK88" s="1233"/>
      <c r="CL88" s="860"/>
      <c r="CM88" s="860"/>
      <c r="CN88" s="860"/>
      <c r="CO88" s="1232"/>
      <c r="CP88" s="1233"/>
      <c r="CQ88" s="860"/>
      <c r="CR88" s="860"/>
      <c r="CS88" s="860"/>
      <c r="CT88" s="1232"/>
      <c r="CU88" s="1233"/>
      <c r="CV88" s="860"/>
      <c r="CW88" s="860"/>
      <c r="CX88" s="860"/>
      <c r="CY88" s="1232"/>
      <c r="CZ88" s="1233"/>
      <c r="DA88" s="860"/>
      <c r="DB88" s="860"/>
      <c r="DC88" s="860"/>
      <c r="DD88" s="1232"/>
      <c r="DE88" s="1233"/>
      <c r="DF88" s="860"/>
      <c r="DG88" s="860"/>
      <c r="DH88" s="860"/>
      <c r="DI88" s="1232"/>
      <c r="DJ88" s="1233"/>
      <c r="DK88" s="860"/>
      <c r="DL88" s="860"/>
      <c r="DM88" s="860"/>
      <c r="DN88" s="1232"/>
      <c r="DO88" s="1233"/>
      <c r="DP88" s="860"/>
      <c r="DQ88" s="860"/>
      <c r="DR88" s="860"/>
      <c r="DS88" s="1232"/>
      <c r="DT88" s="1233"/>
      <c r="DU88" s="860"/>
      <c r="DV88" s="860"/>
      <c r="DW88" s="860"/>
      <c r="DX88" s="1232"/>
      <c r="DY88" s="1233"/>
      <c r="DZ88" s="860"/>
      <c r="EA88" s="860"/>
      <c r="EB88" s="860"/>
      <c r="EC88" s="1232"/>
      <c r="ED88" s="860"/>
      <c r="EE88" s="860"/>
      <c r="EF88" s="860"/>
      <c r="EG88" s="860"/>
      <c r="EH88" s="860"/>
      <c r="EI88" s="1233"/>
      <c r="EJ88" s="860"/>
      <c r="EK88" s="860"/>
      <c r="EL88" s="860"/>
      <c r="EM88" s="1232"/>
      <c r="EN88" s="1233"/>
      <c r="EO88" s="860"/>
      <c r="EP88" s="860"/>
      <c r="EQ88" s="860"/>
      <c r="ER88" s="1232"/>
      <c r="ES88" s="860"/>
      <c r="ET88" s="860"/>
      <c r="EU88" s="860"/>
      <c r="EV88" s="860"/>
      <c r="EW88" s="1232"/>
      <c r="EX88" s="1233"/>
      <c r="EY88" s="860"/>
      <c r="EZ88" s="860"/>
      <c r="FA88" s="860"/>
      <c r="FB88" s="1754"/>
      <c r="FC88" s="1233"/>
      <c r="FD88" s="860"/>
      <c r="FE88" s="860"/>
      <c r="FF88" s="860"/>
      <c r="FG88" s="860"/>
      <c r="FH88" s="860"/>
      <c r="FI88" s="860"/>
      <c r="FJ88" s="860"/>
      <c r="FY88" s="860"/>
      <c r="FZ88" s="860"/>
      <c r="GA88" s="860"/>
      <c r="GB88" s="860"/>
      <c r="GC88" s="860"/>
      <c r="GD88" s="860"/>
      <c r="GE88" s="860"/>
      <c r="GF88" s="860"/>
      <c r="GG88" s="860"/>
      <c r="GH88" s="860"/>
      <c r="GI88" s="860"/>
      <c r="GJ88" s="860"/>
      <c r="GK88" s="860"/>
      <c r="GL88" s="860"/>
      <c r="GM88" s="860"/>
      <c r="GN88" s="860"/>
      <c r="GO88" s="860"/>
      <c r="GP88" s="860"/>
      <c r="GQ88" s="860"/>
      <c r="GR88" s="1279"/>
      <c r="GS88" s="1218"/>
      <c r="GT88" s="1279"/>
      <c r="GU88" s="1218"/>
      <c r="GV88" s="1279"/>
      <c r="GW88" s="1218"/>
      <c r="GX88" s="1218"/>
      <c r="GY88" s="1279"/>
      <c r="GZ88" s="1218"/>
      <c r="HA88" s="1218"/>
      <c r="HB88" s="1279"/>
      <c r="HC88" s="1218"/>
      <c r="HD88" s="2000"/>
      <c r="HE88" s="1279"/>
      <c r="HF88" s="1218"/>
      <c r="HG88" s="2000"/>
      <c r="HH88" s="1279"/>
      <c r="HI88" s="1279"/>
      <c r="HJ88" s="1218"/>
      <c r="HK88" s="2000"/>
      <c r="HL88" s="1279"/>
      <c r="HM88" s="1218"/>
      <c r="HN88" s="2000"/>
      <c r="HO88" s="1279"/>
      <c r="HP88" s="1218"/>
      <c r="HQ88" s="2000"/>
      <c r="HR88" s="1279"/>
    </row>
    <row r="89" spans="1:226">
      <c r="A89" s="860" t="s">
        <v>715</v>
      </c>
      <c r="B89" s="1233"/>
      <c r="C89" s="860"/>
      <c r="D89" s="860"/>
      <c r="E89" s="860"/>
      <c r="F89" s="1232"/>
      <c r="G89" s="1326"/>
      <c r="H89" s="1274"/>
      <c r="I89" s="1274"/>
      <c r="J89" s="1274"/>
      <c r="K89" s="1327"/>
      <c r="L89" s="1326"/>
      <c r="M89" s="1274"/>
      <c r="N89" s="1274"/>
      <c r="O89" s="1274"/>
      <c r="P89" s="1327"/>
      <c r="Q89" s="1326"/>
      <c r="R89" s="1274"/>
      <c r="S89" s="1274"/>
      <c r="T89" s="1274"/>
      <c r="U89" s="1327"/>
      <c r="V89" s="1326"/>
      <c r="W89" s="1274"/>
      <c r="X89" s="1274"/>
      <c r="Y89" s="1274"/>
      <c r="Z89" s="1327"/>
      <c r="AA89" s="1326"/>
      <c r="AB89" s="1274"/>
      <c r="AC89" s="1274"/>
      <c r="AD89" s="1274"/>
      <c r="AE89" s="1327"/>
      <c r="AF89" s="1242"/>
      <c r="AG89" s="1162"/>
      <c r="AH89" s="1162"/>
      <c r="AI89" s="1162"/>
      <c r="AJ89" s="1327"/>
      <c r="AK89" s="1242"/>
      <c r="AL89" s="1162"/>
      <c r="AM89" s="1162"/>
      <c r="AN89" s="1162"/>
      <c r="AO89" s="1327"/>
      <c r="AP89" s="1242"/>
      <c r="AQ89" s="1162"/>
      <c r="AR89" s="1162"/>
      <c r="AS89" s="1162"/>
      <c r="AT89" s="1327"/>
      <c r="AU89" s="1242"/>
      <c r="AV89" s="1162"/>
      <c r="AW89" s="1162"/>
      <c r="AX89" s="1162"/>
      <c r="AY89" s="1327"/>
      <c r="AZ89" s="1326"/>
      <c r="BA89" s="1274"/>
      <c r="BB89" s="1274"/>
      <c r="BC89" s="1274"/>
      <c r="BD89" s="1327"/>
      <c r="BE89" s="1326"/>
      <c r="BF89" s="1274"/>
      <c r="BG89" s="1274"/>
      <c r="BH89" s="1274"/>
      <c r="BI89" s="1327"/>
      <c r="BJ89" s="1350">
        <v>54765.4</v>
      </c>
      <c r="BK89" s="1298">
        <v>98.9</v>
      </c>
      <c r="BL89" s="1298">
        <v>739.4</v>
      </c>
      <c r="BM89" s="1298">
        <v>318.89999999999998</v>
      </c>
      <c r="BN89" s="1341"/>
      <c r="BO89" s="1336"/>
      <c r="BP89" s="1291"/>
      <c r="BQ89" s="1291"/>
      <c r="BR89" s="1291"/>
      <c r="BS89" s="1341"/>
      <c r="BT89" s="1350">
        <v>56.8</v>
      </c>
      <c r="BU89" s="1298"/>
      <c r="BV89" s="1298"/>
      <c r="BW89" s="1291"/>
      <c r="BX89" s="1341">
        <f>SUM(BT89:BW89)</f>
        <v>56.8</v>
      </c>
      <c r="BY89" s="1350"/>
      <c r="BZ89" s="1298"/>
      <c r="CA89" s="1298"/>
      <c r="CB89" s="1298"/>
      <c r="CC89" s="1762">
        <f>Master!X157</f>
        <v>0</v>
      </c>
      <c r="CD89" s="1350"/>
      <c r="CE89" s="1298"/>
      <c r="CF89" s="1298"/>
      <c r="CG89" s="1298"/>
      <c r="CH89" s="1762">
        <f>Master!Y157</f>
        <v>0</v>
      </c>
      <c r="CI89" s="1291"/>
      <c r="CJ89" s="860"/>
      <c r="CK89" s="1233"/>
      <c r="CL89" s="860"/>
      <c r="CM89" s="860"/>
      <c r="CN89" s="860"/>
      <c r="CO89" s="1232"/>
      <c r="CP89" s="1233"/>
      <c r="CQ89" s="860"/>
      <c r="CR89" s="860"/>
      <c r="CS89" s="860"/>
      <c r="CT89" s="1232"/>
      <c r="CU89" s="1233"/>
      <c r="CV89" s="860"/>
      <c r="CW89" s="860"/>
      <c r="CX89" s="860"/>
      <c r="CY89" s="1232"/>
      <c r="CZ89" s="1233"/>
      <c r="DA89" s="860"/>
      <c r="DB89" s="860"/>
      <c r="DC89" s="860"/>
      <c r="DD89" s="1232"/>
      <c r="DE89" s="1233"/>
      <c r="DF89" s="860"/>
      <c r="DG89" s="860"/>
      <c r="DH89" s="860"/>
      <c r="DI89" s="1232"/>
      <c r="DJ89" s="1233"/>
      <c r="DK89" s="860"/>
      <c r="DL89" s="860"/>
      <c r="DM89" s="860"/>
      <c r="DN89" s="1232"/>
      <c r="DO89" s="1233"/>
      <c r="DP89" s="860"/>
      <c r="DQ89" s="860"/>
      <c r="DR89" s="860"/>
      <c r="DS89" s="1232"/>
      <c r="DT89" s="1233"/>
      <c r="DU89" s="860"/>
      <c r="DV89" s="860"/>
      <c r="DW89" s="860"/>
      <c r="DX89" s="1232"/>
      <c r="DY89" s="1233"/>
      <c r="DZ89" s="860"/>
      <c r="EA89" s="860"/>
      <c r="EB89" s="860"/>
      <c r="EC89" s="1232"/>
      <c r="ED89" s="860"/>
      <c r="EE89" s="860"/>
      <c r="EF89" s="860"/>
      <c r="EG89" s="860"/>
      <c r="EH89" s="860"/>
      <c r="EI89" s="1233"/>
      <c r="EJ89" s="860"/>
      <c r="EK89" s="860"/>
      <c r="EL89" s="860"/>
      <c r="EM89" s="1232"/>
      <c r="EN89" s="1233"/>
      <c r="EO89" s="860"/>
      <c r="EP89" s="860"/>
      <c r="EQ89" s="860"/>
      <c r="ER89" s="1232"/>
      <c r="ES89" s="860"/>
      <c r="ET89" s="860"/>
      <c r="EU89" s="860"/>
      <c r="EV89" s="860"/>
      <c r="EW89" s="1232"/>
      <c r="EX89" s="1233"/>
      <c r="EY89" s="860"/>
      <c r="EZ89" s="860"/>
      <c r="FA89" s="860"/>
      <c r="FB89" s="1754"/>
      <c r="FC89" s="1233"/>
      <c r="FD89" s="860"/>
      <c r="FE89" s="860"/>
      <c r="FF89" s="860"/>
      <c r="FG89" s="860"/>
      <c r="FH89" s="860"/>
      <c r="FI89" s="860"/>
      <c r="FJ89" s="860"/>
      <c r="FY89" s="860"/>
      <c r="FZ89" s="860"/>
      <c r="GA89" s="860"/>
      <c r="GB89" s="860"/>
      <c r="GC89" s="860"/>
      <c r="GD89" s="860"/>
      <c r="GE89" s="860"/>
      <c r="GF89" s="860"/>
      <c r="GG89" s="860"/>
      <c r="GH89" s="860"/>
      <c r="GI89" s="860"/>
      <c r="GJ89" s="860"/>
      <c r="GK89" s="860"/>
      <c r="GL89" s="860"/>
      <c r="GM89" s="860"/>
      <c r="GN89" s="860"/>
      <c r="GO89" s="860"/>
      <c r="GP89" s="860"/>
      <c r="GQ89" s="860"/>
      <c r="GR89" s="1279"/>
      <c r="GS89" s="1218"/>
      <c r="GT89" s="1279"/>
      <c r="GU89" s="1218"/>
      <c r="GV89" s="1299"/>
      <c r="GW89" s="1218"/>
      <c r="GX89" s="1218"/>
      <c r="GY89" s="1299"/>
      <c r="GZ89" s="1218"/>
      <c r="HA89" s="1218"/>
      <c r="HB89" s="1299"/>
      <c r="HC89" s="1218"/>
      <c r="HD89" s="2000"/>
      <c r="HE89" s="1299"/>
      <c r="HF89" s="1218"/>
      <c r="HG89" s="2000"/>
      <c r="HH89" s="1279">
        <v>0</v>
      </c>
      <c r="HI89" s="1299">
        <v>0</v>
      </c>
      <c r="HJ89" s="1218"/>
      <c r="HK89" s="2000"/>
      <c r="HL89" s="1299">
        <v>0</v>
      </c>
      <c r="HM89" s="1218"/>
      <c r="HN89" s="2000"/>
      <c r="HO89" s="1376">
        <v>0</v>
      </c>
      <c r="HP89" s="1218"/>
      <c r="HQ89" s="2000"/>
      <c r="HR89" s="1299"/>
    </row>
    <row r="90" spans="1:226">
      <c r="A90" s="860" t="s">
        <v>716</v>
      </c>
      <c r="B90" s="1233"/>
      <c r="C90" s="860"/>
      <c r="D90" s="860"/>
      <c r="E90" s="860"/>
      <c r="F90" s="1232"/>
      <c r="G90" s="1326">
        <f>-702-H90</f>
        <v>-351</v>
      </c>
      <c r="H90" s="1274">
        <v>-351</v>
      </c>
      <c r="I90" s="1274">
        <v>-205.4</v>
      </c>
      <c r="J90" s="1274">
        <v>-384.5</v>
      </c>
      <c r="K90" s="1327"/>
      <c r="L90" s="1326">
        <f>-837-M90</f>
        <v>-448.5</v>
      </c>
      <c r="M90" s="1274">
        <v>-388.5</v>
      </c>
      <c r="N90" s="1274">
        <v>-364.2</v>
      </c>
      <c r="O90" s="1274">
        <v>-107</v>
      </c>
      <c r="P90" s="1327">
        <f>Master!K160</f>
        <v>-1309</v>
      </c>
      <c r="Q90" s="1326">
        <v>-463</v>
      </c>
      <c r="R90" s="1274">
        <v>-386.3</v>
      </c>
      <c r="S90" s="1274">
        <v>-242.3</v>
      </c>
      <c r="T90" s="1274">
        <v>-1393.7</v>
      </c>
      <c r="U90" s="1327"/>
      <c r="V90" s="1326">
        <v>-329.9</v>
      </c>
      <c r="W90" s="1274">
        <v>-430.9</v>
      </c>
      <c r="X90" s="1274">
        <v>-354.7</v>
      </c>
      <c r="Y90" s="1274">
        <v>-157.4</v>
      </c>
      <c r="Z90" s="1327">
        <f>Master!M160</f>
        <v>-1272.9000000000001</v>
      </c>
      <c r="AA90" s="1326">
        <v>-349.8</v>
      </c>
      <c r="AB90" s="1274">
        <v>-420.7</v>
      </c>
      <c r="AC90" s="1274">
        <v>-239.9</v>
      </c>
      <c r="AD90" s="1274">
        <v>-416</v>
      </c>
      <c r="AE90" s="1327">
        <f>Master!N160</f>
        <v>-1426.3</v>
      </c>
      <c r="AF90" s="1326">
        <v>-380.9</v>
      </c>
      <c r="AG90" s="1274">
        <v>-349.9</v>
      </c>
      <c r="AH90" s="1274">
        <v>-318.39999999999998</v>
      </c>
      <c r="AI90" s="1274">
        <v>-562.79999999999995</v>
      </c>
      <c r="AJ90" s="1327">
        <f>Master!O160</f>
        <v>-1612</v>
      </c>
      <c r="AK90" s="1326">
        <v>-518.20000000000005</v>
      </c>
      <c r="AL90" s="1274">
        <v>-462.4</v>
      </c>
      <c r="AM90" s="1274">
        <v>-505.7</v>
      </c>
      <c r="AN90" s="1274">
        <v>-566.70000000000005</v>
      </c>
      <c r="AO90" s="1327">
        <f>Master!P160</f>
        <v>-2053</v>
      </c>
      <c r="AP90" s="1326">
        <v>-317.3</v>
      </c>
      <c r="AQ90" s="1274">
        <v>-463.4</v>
      </c>
      <c r="AR90" s="1274">
        <v>-501.6</v>
      </c>
      <c r="AS90" s="1274">
        <v>-323.5</v>
      </c>
      <c r="AT90" s="1327">
        <f>Master!Q160</f>
        <v>-1606</v>
      </c>
      <c r="AU90" s="1326">
        <v>-316.39999999999998</v>
      </c>
      <c r="AV90" s="1274">
        <v>-344.3</v>
      </c>
      <c r="AW90" s="1274">
        <v>-403.4</v>
      </c>
      <c r="AX90" s="1274">
        <v>-416.5</v>
      </c>
      <c r="AY90" s="1327"/>
      <c r="AZ90" s="1326">
        <v>-748.2</v>
      </c>
      <c r="BA90" s="1274">
        <v>-249.9</v>
      </c>
      <c r="BB90" s="1274">
        <v>-289.89999999999998</v>
      </c>
      <c r="BC90" s="1274">
        <f>Master!S160-AZ90-BA90-BB90</f>
        <v>-278.29999999999995</v>
      </c>
      <c r="BD90" s="1327"/>
      <c r="BE90" s="1326">
        <v>-258.60000000000002</v>
      </c>
      <c r="BF90" s="1274">
        <v>-239.8</v>
      </c>
      <c r="BG90" s="1274">
        <v>-307.10000000000002</v>
      </c>
      <c r="BH90" s="1274">
        <f>-1191.7-BG90-BF90-BE90</f>
        <v>-386.19999999999993</v>
      </c>
      <c r="BI90" s="1327">
        <f>Master!T160</f>
        <v>-1191.7</v>
      </c>
      <c r="BJ90" s="1350">
        <v>-214.5</v>
      </c>
      <c r="BK90" s="1298">
        <v>-149</v>
      </c>
      <c r="BL90" s="1298">
        <v>-184.3</v>
      </c>
      <c r="BM90" s="1298">
        <v>70.2</v>
      </c>
      <c r="BN90" s="1341">
        <f>Master!U160</f>
        <v>-477.6</v>
      </c>
      <c r="BO90" s="1350">
        <v>-78.8</v>
      </c>
      <c r="BP90" s="1298">
        <v>-39</v>
      </c>
      <c r="BQ90" s="1298">
        <v>133.1</v>
      </c>
      <c r="BR90" s="1298">
        <f>375.7-BO90-BP90-BQ90</f>
        <v>360.4</v>
      </c>
      <c r="BS90" s="1341">
        <f>Master!V160</f>
        <v>375.7</v>
      </c>
      <c r="BT90" s="1350">
        <v>0.1</v>
      </c>
      <c r="BU90" s="1298">
        <v>52.4</v>
      </c>
      <c r="BV90" s="1298">
        <v>-4</v>
      </c>
      <c r="BW90" s="1298">
        <v>14.6</v>
      </c>
      <c r="BX90" s="1341">
        <f>Master!W160</f>
        <v>62.86</v>
      </c>
      <c r="BY90" s="1350">
        <v>-11.7</v>
      </c>
      <c r="BZ90" s="1298">
        <v>-78</v>
      </c>
      <c r="CA90" s="1298">
        <v>-20.8</v>
      </c>
      <c r="CB90" s="1298">
        <v>-147.4</v>
      </c>
      <c r="CC90" s="1762">
        <f>Master!X160</f>
        <v>-233.24199999999999</v>
      </c>
      <c r="CD90" s="1350">
        <v>-25.4</v>
      </c>
      <c r="CE90" s="2163">
        <v>-80</v>
      </c>
      <c r="CF90" s="2163">
        <v>-20</v>
      </c>
      <c r="CG90" s="2163">
        <f>CH90-CD90-CE90-CF90</f>
        <v>-119.50409999999999</v>
      </c>
      <c r="CH90" s="1762">
        <f>Master!Y160</f>
        <v>-244.9041</v>
      </c>
      <c r="CI90" s="1291"/>
      <c r="CJ90" s="860"/>
      <c r="CK90" s="1233"/>
      <c r="CL90" s="860"/>
      <c r="CM90" s="860"/>
      <c r="CN90" s="860"/>
      <c r="CO90" s="1232"/>
      <c r="CP90" s="1233"/>
      <c r="CQ90" s="860"/>
      <c r="CR90" s="860"/>
      <c r="CS90" s="860"/>
      <c r="CT90" s="1232"/>
      <c r="CU90" s="1233"/>
      <c r="CV90" s="860"/>
      <c r="CW90" s="860"/>
      <c r="CX90" s="860"/>
      <c r="CY90" s="1232"/>
      <c r="CZ90" s="1233"/>
      <c r="DA90" s="860"/>
      <c r="DB90" s="860"/>
      <c r="DC90" s="860"/>
      <c r="DD90" s="1232"/>
      <c r="DE90" s="1233"/>
      <c r="DF90" s="860"/>
      <c r="DG90" s="860"/>
      <c r="DH90" s="860"/>
      <c r="DI90" s="1232"/>
      <c r="DJ90" s="1233"/>
      <c r="DK90" s="860"/>
      <c r="DL90" s="860"/>
      <c r="DM90" s="860"/>
      <c r="DN90" s="1232"/>
      <c r="DO90" s="1233"/>
      <c r="DP90" s="860"/>
      <c r="DQ90" s="860"/>
      <c r="DR90" s="860"/>
      <c r="DS90" s="1232"/>
      <c r="DT90" s="1233"/>
      <c r="DU90" s="860"/>
      <c r="DV90" s="860"/>
      <c r="DW90" s="860"/>
      <c r="DX90" s="1232"/>
      <c r="DY90" s="1233"/>
      <c r="DZ90" s="860"/>
      <c r="EA90" s="860"/>
      <c r="EB90" s="860"/>
      <c r="EC90" s="1232"/>
      <c r="ED90" s="860"/>
      <c r="EE90" s="860"/>
      <c r="EF90" s="860"/>
      <c r="EG90" s="860"/>
      <c r="EH90" s="860"/>
      <c r="EI90" s="1233"/>
      <c r="EJ90" s="860"/>
      <c r="EK90" s="860"/>
      <c r="EL90" s="860"/>
      <c r="EM90" s="1232"/>
      <c r="EN90" s="1233"/>
      <c r="EO90" s="860"/>
      <c r="EP90" s="860"/>
      <c r="EQ90" s="860"/>
      <c r="ER90" s="1232"/>
      <c r="ES90" s="860"/>
      <c r="ET90" s="860"/>
      <c r="EU90" s="860"/>
      <c r="EV90" s="860"/>
      <c r="EW90" s="1232"/>
      <c r="EX90" s="1233"/>
      <c r="EY90" s="860"/>
      <c r="EZ90" s="860"/>
      <c r="FA90" s="860"/>
      <c r="FB90" s="1754"/>
      <c r="FC90" s="1233"/>
      <c r="FD90" s="860"/>
      <c r="FE90" s="860"/>
      <c r="FF90" s="860"/>
      <c r="FG90" s="860"/>
      <c r="FH90" s="860"/>
      <c r="FI90" s="860"/>
      <c r="FJ90" s="860"/>
      <c r="FY90" s="860"/>
      <c r="FZ90" s="860"/>
      <c r="GA90" s="860"/>
      <c r="GB90" s="860"/>
      <c r="GC90" s="860"/>
      <c r="GD90" s="860"/>
      <c r="GE90" s="860"/>
      <c r="GF90" s="860"/>
      <c r="GG90" s="860"/>
      <c r="GH90" s="860"/>
      <c r="GI90" s="860"/>
      <c r="GJ90" s="860"/>
      <c r="GK90" s="860"/>
      <c r="GL90" s="860"/>
      <c r="GM90" s="860"/>
      <c r="GN90" s="860"/>
      <c r="GO90" s="860"/>
      <c r="GP90" s="860"/>
      <c r="GQ90" s="860"/>
      <c r="GR90" s="1376">
        <v>-40</v>
      </c>
      <c r="GS90" s="1218"/>
      <c r="GT90" s="1279">
        <v>-297.34395964947453</v>
      </c>
      <c r="GU90" s="1218"/>
      <c r="GV90" s="1299">
        <v>-23</v>
      </c>
      <c r="GW90" s="1218"/>
      <c r="GX90" s="1218"/>
      <c r="GY90" s="1299">
        <v>-31.5</v>
      </c>
      <c r="GZ90" s="1218"/>
      <c r="HA90" s="1218"/>
      <c r="HB90" s="1299">
        <v>-31.5</v>
      </c>
      <c r="HC90" s="1218"/>
      <c r="HD90" s="2000"/>
      <c r="HE90" s="1633">
        <v>-143.43699465047683</v>
      </c>
      <c r="HF90" s="1218"/>
      <c r="HG90" s="2000"/>
      <c r="HH90" s="1279">
        <v>20</v>
      </c>
      <c r="HI90" s="1376">
        <v>-5.91779999999999</v>
      </c>
      <c r="HJ90" s="1218"/>
      <c r="HK90" s="2000"/>
      <c r="HL90" s="1376">
        <v>-34.432905600000012</v>
      </c>
      <c r="HM90" s="1218"/>
      <c r="HN90" s="2000"/>
      <c r="HO90" s="1376">
        <v>45.5</v>
      </c>
      <c r="HP90" s="1218"/>
      <c r="HQ90" s="2000"/>
      <c r="HR90" s="1299">
        <f>CH90/4</f>
        <v>-61.226025</v>
      </c>
    </row>
    <row r="91" spans="1:226">
      <c r="A91" s="1282" t="s">
        <v>717</v>
      </c>
      <c r="B91" s="1670"/>
      <c r="C91" s="1282"/>
      <c r="D91" s="1282"/>
      <c r="E91" s="1282"/>
      <c r="F91" s="1377"/>
      <c r="G91" s="1330">
        <f t="shared" ref="G91:T91" si="154">G84+G86+G90</f>
        <v>780.79999999999927</v>
      </c>
      <c r="H91" s="1283">
        <f t="shared" si="154"/>
        <v>1661.0000000000005</v>
      </c>
      <c r="I91" s="1283">
        <f t="shared" si="154"/>
        <v>3086.099999999999</v>
      </c>
      <c r="J91" s="1283">
        <f t="shared" si="154"/>
        <v>2201.9999999999991</v>
      </c>
      <c r="K91" s="1331">
        <f t="shared" si="154"/>
        <v>12414.7</v>
      </c>
      <c r="L91" s="1330">
        <f t="shared" si="154"/>
        <v>1505.1999999999998</v>
      </c>
      <c r="M91" s="1283">
        <f t="shared" si="154"/>
        <v>1396.0000000000005</v>
      </c>
      <c r="N91" s="1283">
        <f t="shared" si="154"/>
        <v>2397.7999999999993</v>
      </c>
      <c r="O91" s="1283">
        <f t="shared" si="154"/>
        <v>2998.1000000000008</v>
      </c>
      <c r="P91" s="1331">
        <f t="shared" si="154"/>
        <v>8760.6999999999989</v>
      </c>
      <c r="Q91" s="1330">
        <f t="shared" si="154"/>
        <v>1069.8000000000002</v>
      </c>
      <c r="R91" s="1283">
        <f t="shared" si="154"/>
        <v>1825.4999999999993</v>
      </c>
      <c r="S91" s="1283">
        <f t="shared" si="154"/>
        <v>2389.2999999999988</v>
      </c>
      <c r="T91" s="1283">
        <f t="shared" si="154"/>
        <v>2464.3000000000002</v>
      </c>
      <c r="U91" s="1331"/>
      <c r="V91" s="1330">
        <f>V84+V86+V90</f>
        <v>851.79999999999984</v>
      </c>
      <c r="W91" s="1283">
        <f>W84+W86+W90</f>
        <v>2211.6000000000017</v>
      </c>
      <c r="X91" s="1283">
        <f>X84+X86+X90</f>
        <v>-183.09999999999863</v>
      </c>
      <c r="Y91" s="1283">
        <f>Y84+Y86+Y90</f>
        <v>2504.599999999994</v>
      </c>
      <c r="Z91" s="1331"/>
      <c r="AA91" s="1330">
        <f t="shared" ref="AA91:AX91" si="155">AA84+AA86+AA90</f>
        <v>1453.4000000000008</v>
      </c>
      <c r="AB91" s="1283">
        <f t="shared" si="155"/>
        <v>1328.899999999999</v>
      </c>
      <c r="AC91" s="1283">
        <f t="shared" si="155"/>
        <v>6537.8000000000011</v>
      </c>
      <c r="AD91" s="1283">
        <f t="shared" si="155"/>
        <v>1572.3000000000004</v>
      </c>
      <c r="AE91" s="1331">
        <f t="shared" si="155"/>
        <v>12724.299999999996</v>
      </c>
      <c r="AF91" s="1330">
        <f t="shared" si="155"/>
        <v>600.39999999999952</v>
      </c>
      <c r="AG91" s="1283">
        <f t="shared" si="155"/>
        <v>1835.48</v>
      </c>
      <c r="AH91" s="1283">
        <f t="shared" si="155"/>
        <v>1062.0000000000005</v>
      </c>
      <c r="AI91" s="1283">
        <f t="shared" si="155"/>
        <v>643.09999999999877</v>
      </c>
      <c r="AJ91" s="1331">
        <f t="shared" si="155"/>
        <v>3721.1999999999944</v>
      </c>
      <c r="AK91" s="1330">
        <f t="shared" si="155"/>
        <v>1350.4</v>
      </c>
      <c r="AL91" s="1283">
        <f t="shared" si="155"/>
        <v>1452.5</v>
      </c>
      <c r="AM91" s="1283">
        <f t="shared" si="155"/>
        <v>1158.6999999999987</v>
      </c>
      <c r="AN91" s="1283">
        <f t="shared" si="155"/>
        <v>562.89999999999759</v>
      </c>
      <c r="AO91" s="1331">
        <f t="shared" si="155"/>
        <v>4525.0000000000018</v>
      </c>
      <c r="AP91" s="1330">
        <f t="shared" si="155"/>
        <v>677.59999999999854</v>
      </c>
      <c r="AQ91" s="1283">
        <f t="shared" si="155"/>
        <v>4331.0000000000018</v>
      </c>
      <c r="AR91" s="1283">
        <f t="shared" si="155"/>
        <v>977.99999999999989</v>
      </c>
      <c r="AS91" s="1283">
        <f t="shared" si="155"/>
        <v>56.499999999998408</v>
      </c>
      <c r="AT91" s="1331">
        <f t="shared" si="155"/>
        <v>2494.7999999999993</v>
      </c>
      <c r="AU91" s="1330">
        <f t="shared" si="155"/>
        <v>541.70000000000107</v>
      </c>
      <c r="AV91" s="1283">
        <f t="shared" si="155"/>
        <v>935.79999999999814</v>
      </c>
      <c r="AW91" s="1283">
        <f t="shared" si="155"/>
        <v>755.20000000000198</v>
      </c>
      <c r="AX91" s="1283">
        <f t="shared" si="155"/>
        <v>2626.5999999999985</v>
      </c>
      <c r="AY91" s="1331"/>
      <c r="AZ91" s="1330">
        <f>AZ84+AZ86+AZ90</f>
        <v>-10038.6</v>
      </c>
      <c r="BA91" s="1283">
        <f>BA84+BA86+BA90</f>
        <v>1739.5000000000005</v>
      </c>
      <c r="BB91" s="1283">
        <f>BB84+BB86+BB90</f>
        <v>2416.1999999999994</v>
      </c>
      <c r="BC91" s="1283">
        <f>BC84+BC86+BC90</f>
        <v>402.59999999999786</v>
      </c>
      <c r="BD91" s="1331"/>
      <c r="BE91" s="1330">
        <f>BE84+BE86+BE90</f>
        <v>-3831.0999999999985</v>
      </c>
      <c r="BF91" s="1283">
        <f>BF84+BF86+BF90</f>
        <v>2181.7999999999993</v>
      </c>
      <c r="BG91" s="1283">
        <f>BG84+BG86+BG90</f>
        <v>760.59999999999911</v>
      </c>
      <c r="BH91" s="1283">
        <f>BH84+BH86+BH90</f>
        <v>3028.6000000000031</v>
      </c>
      <c r="BI91" s="1331">
        <f>BI84+BI86+BI90</f>
        <v>5138.4999999999991</v>
      </c>
      <c r="BJ91" s="1383">
        <f>BJ84+BJ86+BJ89+BJ90</f>
        <v>52642.1</v>
      </c>
      <c r="BK91" s="1384">
        <f>BK84+BK86+BK89+BK90</f>
        <v>3140.4000000000015</v>
      </c>
      <c r="BL91" s="1384">
        <f>BL84+BL86+BL89+BL90</f>
        <v>1118.3999999999994</v>
      </c>
      <c r="BM91" s="1384">
        <f>BM84+BM86+BM89+BM90</f>
        <v>-13718.6</v>
      </c>
      <c r="BN91" s="1385">
        <f>BN84+BN86+BN90</f>
        <v>-12751.070000000003</v>
      </c>
      <c r="BO91" s="1383">
        <f>BO84+BO86+BO89+BO90</f>
        <v>-788.90000000000009</v>
      </c>
      <c r="BP91" s="1384">
        <f>BP84+BP86+BP89+BP90</f>
        <v>133.49999999999912</v>
      </c>
      <c r="BQ91" s="1384">
        <f>BQ84+BQ86+BQ89+BQ90</f>
        <v>-918.50000000000034</v>
      </c>
      <c r="BR91" s="1384">
        <f>BR84+BR86+BR89+BR90</f>
        <v>-8662</v>
      </c>
      <c r="BS91" s="1385">
        <f>BS84+BS86+BS90</f>
        <v>-10456.607999999998</v>
      </c>
      <c r="BT91" s="1383">
        <f>BT84+BT86+BT89+BT90</f>
        <v>952.09999999999934</v>
      </c>
      <c r="BU91" s="1384">
        <f>BU84+BU86+BU89+BU90</f>
        <v>-25.599999999999305</v>
      </c>
      <c r="BV91" s="1384">
        <f>BV84+BV86+BV89+BV90</f>
        <v>666.50000000000023</v>
      </c>
      <c r="BW91" s="1384">
        <f>BW84+BW86+BW89+BW90</f>
        <v>-9838.9</v>
      </c>
      <c r="BX91" s="1385">
        <f>SUM(BT91:BW91)</f>
        <v>-8245.9</v>
      </c>
      <c r="BY91" s="1383">
        <f>BY84+BY86+BY89+BY90</f>
        <v>319.7999999999999</v>
      </c>
      <c r="BZ91" s="1384">
        <f>BZ84+BZ86+BZ89+BZ90</f>
        <v>474.5</v>
      </c>
      <c r="CA91" s="1384">
        <f>CA84+CA86+CA89+CA90</f>
        <v>-1932.4999999999991</v>
      </c>
      <c r="CB91" s="1384">
        <f>CB84+CB86+CB89+CB90</f>
        <v>-7681.4000000000005</v>
      </c>
      <c r="CC91" s="1765">
        <f>CC84+CC86+CC90</f>
        <v>-1212.7490000000005</v>
      </c>
      <c r="CD91" s="1383">
        <f>CD84+CD86+CD89+CD90</f>
        <v>1031.9000000000001</v>
      </c>
      <c r="CE91" s="1384">
        <f>CE84+CE86+CE89+CE90</f>
        <v>885</v>
      </c>
      <c r="CF91" s="1384">
        <f>CF84+CF86+CF89+CF90</f>
        <v>570.75</v>
      </c>
      <c r="CG91" s="1384">
        <f ca="1">CG84+CG86+CG89+CG90</f>
        <v>-3192.5986078371075</v>
      </c>
      <c r="CH91" s="1765">
        <f ca="1">CH84+CH86+CH90</f>
        <v>-592.96632062515152</v>
      </c>
      <c r="CI91" s="1390"/>
      <c r="CJ91" s="860"/>
      <c r="CK91" s="1233"/>
      <c r="CL91" s="860"/>
      <c r="CM91" s="860"/>
      <c r="CN91" s="860"/>
      <c r="CO91" s="1232"/>
      <c r="CP91" s="1233"/>
      <c r="CQ91" s="860"/>
      <c r="CR91" s="860"/>
      <c r="CS91" s="860"/>
      <c r="CT91" s="1232"/>
      <c r="CU91" s="1233"/>
      <c r="CV91" s="860"/>
      <c r="CW91" s="860"/>
      <c r="CX91" s="860"/>
      <c r="CY91" s="1232"/>
      <c r="CZ91" s="1233"/>
      <c r="DA91" s="860"/>
      <c r="DB91" s="860"/>
      <c r="DC91" s="860"/>
      <c r="DD91" s="1232"/>
      <c r="DE91" s="1233"/>
      <c r="DF91" s="860"/>
      <c r="DG91" s="860"/>
      <c r="DH91" s="860"/>
      <c r="DI91" s="1232"/>
      <c r="DJ91" s="1233"/>
      <c r="DK91" s="860"/>
      <c r="DL91" s="860"/>
      <c r="DM91" s="860"/>
      <c r="DN91" s="1232"/>
      <c r="DO91" s="1233"/>
      <c r="DP91" s="860"/>
      <c r="DQ91" s="860"/>
      <c r="DR91" s="860"/>
      <c r="DS91" s="1232"/>
      <c r="DT91" s="1233"/>
      <c r="DU91" s="860"/>
      <c r="DV91" s="860"/>
      <c r="DW91" s="860"/>
      <c r="DX91" s="1232"/>
      <c r="DY91" s="1233"/>
      <c r="DZ91" s="860"/>
      <c r="EA91" s="860"/>
      <c r="EB91" s="860"/>
      <c r="EC91" s="1232"/>
      <c r="ED91" s="860"/>
      <c r="EE91" s="860"/>
      <c r="EF91" s="860"/>
      <c r="EG91" s="860"/>
      <c r="EH91" s="860"/>
      <c r="EI91" s="1233"/>
      <c r="EJ91" s="860"/>
      <c r="EK91" s="860"/>
      <c r="EL91" s="860"/>
      <c r="EM91" s="1232"/>
      <c r="EN91" s="1233"/>
      <c r="EO91" s="860"/>
      <c r="EP91" s="860"/>
      <c r="EQ91" s="860"/>
      <c r="ER91" s="1232"/>
      <c r="ES91" s="860"/>
      <c r="ET91" s="860"/>
      <c r="EU91" s="860"/>
      <c r="EV91" s="860"/>
      <c r="EW91" s="1232"/>
      <c r="EX91" s="1233"/>
      <c r="EY91" s="860"/>
      <c r="EZ91" s="860"/>
      <c r="FA91" s="860"/>
      <c r="FB91" s="1754"/>
      <c r="FC91" s="1233"/>
      <c r="FD91" s="860"/>
      <c r="FE91" s="860"/>
      <c r="FF91" s="860"/>
      <c r="FG91" s="860"/>
      <c r="FH91" s="860"/>
      <c r="FI91" s="860"/>
      <c r="FJ91" s="860"/>
      <c r="FY91" s="860"/>
      <c r="FZ91" s="860"/>
      <c r="GA91" s="860"/>
      <c r="GB91" s="860"/>
      <c r="GC91" s="860"/>
      <c r="GD91" s="860"/>
      <c r="GE91" s="860"/>
      <c r="GF91" s="860"/>
      <c r="GG91" s="860"/>
      <c r="GH91" s="860"/>
      <c r="GI91" s="860"/>
      <c r="GJ91" s="860"/>
      <c r="GK91" s="860"/>
      <c r="GL91" s="860"/>
      <c r="GM91" s="860"/>
      <c r="GN91" s="860"/>
      <c r="GO91" s="860"/>
      <c r="GP91" s="860"/>
      <c r="GQ91" s="860"/>
      <c r="GR91" s="1284">
        <v>77</v>
      </c>
      <c r="GS91" s="1218"/>
      <c r="GT91" s="1284">
        <v>-169.59141457072428</v>
      </c>
      <c r="GU91" s="1218"/>
      <c r="GV91" s="1635">
        <v>92.552000000000589</v>
      </c>
      <c r="GW91" s="1218"/>
      <c r="GX91" s="1218"/>
      <c r="GY91" s="1635">
        <v>-1056.0221538566129</v>
      </c>
      <c r="GZ91" s="1218"/>
      <c r="HA91" s="1218"/>
      <c r="HB91" s="1635">
        <v>268.5</v>
      </c>
      <c r="HC91" s="1218"/>
      <c r="HD91" s="2000"/>
      <c r="HE91" s="1635">
        <v>-599.31419688539904</v>
      </c>
      <c r="HF91" s="1218"/>
      <c r="HG91" s="2000"/>
      <c r="HH91" s="1635">
        <f>HH84+HH86+HH89+HH90</f>
        <v>-740</v>
      </c>
      <c r="HI91" s="1635">
        <v>-153.86279999999974</v>
      </c>
      <c r="HJ91" s="1218"/>
      <c r="HK91" s="2000"/>
      <c r="HL91" s="1635">
        <v>826.38973440000029</v>
      </c>
      <c r="HM91" s="1218"/>
      <c r="HN91" s="2000"/>
      <c r="HO91" s="1635">
        <v>2371.4097886895097</v>
      </c>
      <c r="HP91" s="1218"/>
      <c r="HQ91" s="2000"/>
      <c r="HR91" s="2021">
        <f ca="1">HR84+HR86+HR89+HR90</f>
        <v>-446.4523175410888</v>
      </c>
    </row>
    <row r="92" spans="1:226">
      <c r="A92" s="860" t="s">
        <v>718</v>
      </c>
      <c r="B92" s="1233"/>
      <c r="C92" s="860"/>
      <c r="D92" s="860"/>
      <c r="E92" s="860"/>
      <c r="F92" s="1232"/>
      <c r="G92" s="1326">
        <f>G91-G80</f>
        <v>1120.7999999999993</v>
      </c>
      <c r="H92" s="1274">
        <f>H91-H80</f>
        <v>2148.0000000000005</v>
      </c>
      <c r="I92" s="1274">
        <f>I91-I80</f>
        <v>2553.9999999999991</v>
      </c>
      <c r="J92" s="1274">
        <f>J91-J80</f>
        <v>2455.8999999999992</v>
      </c>
      <c r="K92" s="1327"/>
      <c r="L92" s="1326">
        <f>L91-L80</f>
        <v>1281.1999999999998</v>
      </c>
      <c r="M92" s="1274">
        <f>M91-M80</f>
        <v>2679.0000000000005</v>
      </c>
      <c r="N92" s="1274">
        <f>N91-N80</f>
        <v>2629.1999999999994</v>
      </c>
      <c r="O92" s="1274">
        <f>O91-O80</f>
        <v>2196.7000000000007</v>
      </c>
      <c r="P92" s="1327">
        <f>P91-P80</f>
        <v>8786.1999999999989</v>
      </c>
      <c r="Q92" s="1650">
        <f>Q91-Q80-30*Q199</f>
        <v>727.47689062500012</v>
      </c>
      <c r="R92" s="1274">
        <f>R91-R80</f>
        <v>2060.6999999999994</v>
      </c>
      <c r="S92" s="1274">
        <f>S91-S80</f>
        <v>2579.1999999999989</v>
      </c>
      <c r="T92" s="966">
        <f>T91-T80+4400</f>
        <v>1844.4000000000015</v>
      </c>
      <c r="U92" s="1327"/>
      <c r="V92" s="1326">
        <f>V91-V80</f>
        <v>1001.5999999999999</v>
      </c>
      <c r="W92" s="1274">
        <f>W91-W80</f>
        <v>2343.3000000000015</v>
      </c>
      <c r="X92" s="966">
        <f>X91-X80+320*13.12-800</f>
        <v>2561.1000000000008</v>
      </c>
      <c r="Y92" s="1274">
        <f>Y91-Y80</f>
        <v>2982.3999999999942</v>
      </c>
      <c r="Z92" s="1327"/>
      <c r="AA92" s="1650">
        <f>AA91-AA80-1030.7</f>
        <v>1121.5000000000007</v>
      </c>
      <c r="AB92" s="1274">
        <f>AB91-AB80</f>
        <v>1879.399999999999</v>
      </c>
      <c r="AC92" s="1274">
        <f>AC91-6402.2*0.72</f>
        <v>1928.2160000000013</v>
      </c>
      <c r="AD92" s="1274">
        <f t="shared" ref="AD92:AX92" si="156">AD91-AD80</f>
        <v>2106.9000000000005</v>
      </c>
      <c r="AE92" s="1327">
        <f t="shared" si="156"/>
        <v>5811.2999999999956</v>
      </c>
      <c r="AF92" s="1326">
        <f t="shared" si="156"/>
        <v>933.7999999999995</v>
      </c>
      <c r="AG92" s="1274">
        <f t="shared" si="156"/>
        <v>2287.2799999999997</v>
      </c>
      <c r="AH92" s="1274">
        <f t="shared" si="156"/>
        <v>1739.1000000000004</v>
      </c>
      <c r="AI92" s="1274">
        <f t="shared" si="156"/>
        <v>1714.4999999999991</v>
      </c>
      <c r="AJ92" s="1327">
        <f t="shared" si="156"/>
        <v>6254.8999999999942</v>
      </c>
      <c r="AK92" s="1326">
        <f t="shared" si="156"/>
        <v>129.20000000000005</v>
      </c>
      <c r="AL92" s="1274">
        <f t="shared" si="156"/>
        <v>738.4</v>
      </c>
      <c r="AM92" s="1274">
        <f t="shared" si="156"/>
        <v>1220.8999999999987</v>
      </c>
      <c r="AN92" s="1274">
        <f t="shared" si="156"/>
        <v>763.89999999999782</v>
      </c>
      <c r="AO92" s="1327">
        <f t="shared" si="156"/>
        <v>2853.0000000000018</v>
      </c>
      <c r="AP92" s="1326">
        <f t="shared" si="156"/>
        <v>893.09999999999854</v>
      </c>
      <c r="AQ92" s="1274">
        <f t="shared" si="156"/>
        <v>4192.300000000002</v>
      </c>
      <c r="AR92" s="1274">
        <f t="shared" si="156"/>
        <v>1491.5</v>
      </c>
      <c r="AS92" s="1274">
        <f t="shared" si="156"/>
        <v>56.499999999998408</v>
      </c>
      <c r="AT92" s="1327">
        <f t="shared" si="156"/>
        <v>3134.3999999999992</v>
      </c>
      <c r="AU92" s="1326">
        <f t="shared" si="156"/>
        <v>402.70000000000107</v>
      </c>
      <c r="AV92" s="1274">
        <f t="shared" si="156"/>
        <v>976.99999999999818</v>
      </c>
      <c r="AW92" s="1274">
        <f t="shared" si="156"/>
        <v>1329.300000000002</v>
      </c>
      <c r="AX92" s="1274">
        <f t="shared" si="156"/>
        <v>2626.5999999999985</v>
      </c>
      <c r="AY92" s="1327"/>
      <c r="AZ92" s="1326">
        <f>AZ91-AZ80</f>
        <v>-3635.3000000000011</v>
      </c>
      <c r="BA92" s="1274">
        <f>BA91-BA80</f>
        <v>-604.89999999999918</v>
      </c>
      <c r="BB92" s="1274">
        <f>BB91-BB80</f>
        <v>-407.00000000000091</v>
      </c>
      <c r="BC92" s="1274">
        <f>BC91-BC80</f>
        <v>-833.1000000000015</v>
      </c>
      <c r="BD92" s="1327"/>
      <c r="BE92" s="1326">
        <f t="shared" ref="BE92:BT92" si="157">BE91-BE80</f>
        <v>-1990.8999999999987</v>
      </c>
      <c r="BF92" s="1274">
        <f t="shared" si="157"/>
        <v>894.79999999999927</v>
      </c>
      <c r="BG92" s="1274">
        <f t="shared" si="157"/>
        <v>3564.8999999999992</v>
      </c>
      <c r="BH92" s="1274">
        <f t="shared" si="157"/>
        <v>2798.5000000000032</v>
      </c>
      <c r="BI92" s="1327">
        <f t="shared" si="157"/>
        <v>5138.4999999999991</v>
      </c>
      <c r="BJ92" s="1336">
        <f t="shared" si="157"/>
        <v>55064.799999999996</v>
      </c>
      <c r="BK92" s="1291">
        <f t="shared" si="157"/>
        <v>2523.7000000000016</v>
      </c>
      <c r="BL92" s="1291">
        <f t="shared" si="157"/>
        <v>529.99999999999943</v>
      </c>
      <c r="BM92" s="1291">
        <f t="shared" si="157"/>
        <v>-13045.400000000001</v>
      </c>
      <c r="BN92" s="1341">
        <f t="shared" si="157"/>
        <v>-12751.070000000003</v>
      </c>
      <c r="BO92" s="1336">
        <f t="shared" si="157"/>
        <v>181.89999999999998</v>
      </c>
      <c r="BP92" s="1291">
        <f t="shared" si="157"/>
        <v>-248.80000000000089</v>
      </c>
      <c r="BQ92" s="1291">
        <f t="shared" si="157"/>
        <v>-1081.4000000000003</v>
      </c>
      <c r="BR92" s="1291">
        <f t="shared" si="157"/>
        <v>-8810.2000000000007</v>
      </c>
      <c r="BS92" s="1341">
        <f t="shared" si="157"/>
        <v>-10179.207999999999</v>
      </c>
      <c r="BT92" s="1336">
        <f t="shared" si="157"/>
        <v>860.59999999999934</v>
      </c>
      <c r="BU92" s="1291">
        <f t="shared" ref="BU92:BY92" si="158">BU91-BU80</f>
        <v>-344.79999999999927</v>
      </c>
      <c r="BV92" s="1291">
        <f t="shared" si="158"/>
        <v>739.9000000000002</v>
      </c>
      <c r="BW92" s="1291">
        <f t="shared" si="158"/>
        <v>-9411.9</v>
      </c>
      <c r="BX92" s="1341">
        <f t="shared" si="158"/>
        <v>-8156.2</v>
      </c>
      <c r="BY92" s="1336">
        <f t="shared" si="158"/>
        <v>-460.10000000000008</v>
      </c>
      <c r="CA92" s="1298">
        <f>CA91-CA80+2658.2</f>
        <v>180.90000000000055</v>
      </c>
      <c r="CB92" s="1291">
        <f>CB91-CB80</f>
        <v>-7648.1</v>
      </c>
      <c r="CC92" s="1762">
        <f>CC91-CC80</f>
        <v>-1914.2290000000005</v>
      </c>
      <c r="CD92" s="1336">
        <f>CD91-CD80</f>
        <v>1318.8000000000002</v>
      </c>
      <c r="CE92" s="1291">
        <f>CE91-CE80</f>
        <v>885</v>
      </c>
      <c r="CF92" s="1291">
        <f t="shared" ref="CF92" si="159">CF91-CF80</f>
        <v>570.75</v>
      </c>
      <c r="CG92" s="1291">
        <f ca="1">CH92-CD92-CE92-CF92</f>
        <v>-3080.6163206251517</v>
      </c>
      <c r="CH92" s="1762">
        <f ca="1">CH91-CH80</f>
        <v>-306.06632062515155</v>
      </c>
      <c r="CI92" s="1291"/>
      <c r="CJ92" s="860"/>
      <c r="CK92" s="1233"/>
      <c r="CL92" s="860"/>
      <c r="CM92" s="860"/>
      <c r="CN92" s="860"/>
      <c r="CO92" s="1232"/>
      <c r="CP92" s="1233"/>
      <c r="CQ92" s="860"/>
      <c r="CR92" s="860"/>
      <c r="CS92" s="860"/>
      <c r="CT92" s="1232"/>
      <c r="CU92" s="1233"/>
      <c r="CV92" s="860"/>
      <c r="CW92" s="860"/>
      <c r="CX92" s="860"/>
      <c r="CY92" s="1232"/>
      <c r="CZ92" s="1233"/>
      <c r="DA92" s="860"/>
      <c r="DB92" s="860"/>
      <c r="DC92" s="860"/>
      <c r="DD92" s="1232"/>
      <c r="DE92" s="1233"/>
      <c r="DF92" s="860"/>
      <c r="DG92" s="860"/>
      <c r="DH92" s="860"/>
      <c r="DI92" s="1232"/>
      <c r="DJ92" s="1233"/>
      <c r="DK92" s="860"/>
      <c r="DL92" s="860"/>
      <c r="DM92" s="860"/>
      <c r="DN92" s="1232"/>
      <c r="DO92" s="1233"/>
      <c r="DP92" s="860"/>
      <c r="DQ92" s="860"/>
      <c r="DR92" s="860"/>
      <c r="DS92" s="1232"/>
      <c r="DT92" s="1233"/>
      <c r="DU92" s="860"/>
      <c r="DV92" s="860"/>
      <c r="DW92" s="860"/>
      <c r="DX92" s="1232"/>
      <c r="DY92" s="1233"/>
      <c r="DZ92" s="860"/>
      <c r="EA92" s="860"/>
      <c r="EB92" s="860"/>
      <c r="EC92" s="1232"/>
      <c r="ED92" s="860"/>
      <c r="EE92" s="860"/>
      <c r="EF92" s="860"/>
      <c r="EG92" s="860"/>
      <c r="EH92" s="860"/>
      <c r="EI92" s="1233"/>
      <c r="EJ92" s="860"/>
      <c r="EK92" s="860"/>
      <c r="EL92" s="860"/>
      <c r="EM92" s="1232"/>
      <c r="EN92" s="1233"/>
      <c r="EO92" s="860"/>
      <c r="EP92" s="860"/>
      <c r="EQ92" s="860"/>
      <c r="ER92" s="1232"/>
      <c r="ES92" s="860"/>
      <c r="ET92" s="860"/>
      <c r="EU92" s="860"/>
      <c r="EV92" s="860"/>
      <c r="EW92" s="1232"/>
      <c r="EX92" s="1233"/>
      <c r="EY92" s="860"/>
      <c r="EZ92" s="860"/>
      <c r="FA92" s="860"/>
      <c r="FB92" s="1754"/>
      <c r="FC92" s="1233"/>
      <c r="FD92" s="860"/>
      <c r="FE92" s="860"/>
      <c r="FF92" s="860"/>
      <c r="FG92" s="860"/>
      <c r="FH92" s="860"/>
      <c r="FI92" s="860"/>
      <c r="FJ92" s="860"/>
      <c r="FY92" s="860"/>
      <c r="FZ92" s="860"/>
      <c r="GA92" s="860"/>
      <c r="GB92" s="860"/>
      <c r="GC92" s="860"/>
      <c r="GD92" s="860"/>
      <c r="GE92" s="860"/>
      <c r="GF92" s="860"/>
      <c r="GG92" s="860"/>
      <c r="GH92" s="860"/>
      <c r="GI92" s="860"/>
      <c r="GJ92" s="860"/>
      <c r="GK92" s="860"/>
      <c r="GL92" s="860"/>
      <c r="GM92" s="860"/>
      <c r="GN92" s="860"/>
      <c r="GO92" s="860"/>
      <c r="GP92" s="860"/>
      <c r="GQ92" s="860"/>
      <c r="GR92" s="2012">
        <v>-123</v>
      </c>
      <c r="GS92" s="1218"/>
      <c r="GT92" s="1279">
        <v>-195.19141457072433</v>
      </c>
      <c r="GU92" s="1218"/>
      <c r="GV92" s="1299">
        <v>92.552000000000589</v>
      </c>
      <c r="GW92" s="1218"/>
      <c r="GX92" s="1218"/>
      <c r="GY92" s="1299">
        <v>-1056.0221538566129</v>
      </c>
      <c r="GZ92" s="1218"/>
      <c r="HA92" s="1218"/>
      <c r="HB92" s="1299">
        <v>268.5</v>
      </c>
      <c r="HC92" s="1218"/>
      <c r="HD92" s="2000"/>
      <c r="HE92" s="1299">
        <v>-673.01419688539909</v>
      </c>
      <c r="HF92" s="1218"/>
      <c r="HG92" s="2000"/>
      <c r="HH92" s="1279"/>
      <c r="HI92" s="1299">
        <v>-153.86279999999974</v>
      </c>
      <c r="HJ92" s="1218"/>
      <c r="HK92" s="2000"/>
      <c r="HL92" s="1299">
        <v>826.38973440000029</v>
      </c>
      <c r="HM92" s="1218"/>
      <c r="HN92" s="2000"/>
      <c r="HO92" s="1299">
        <v>2916.6097886895095</v>
      </c>
      <c r="HP92" s="1218"/>
      <c r="HQ92" s="2000"/>
      <c r="HR92" s="2022">
        <f ca="1">HR91-HR80</f>
        <v>-159.55231754108877</v>
      </c>
    </row>
    <row r="93" spans="1:226">
      <c r="A93" s="860" t="s">
        <v>38</v>
      </c>
      <c r="B93" s="1233"/>
      <c r="C93" s="860"/>
      <c r="D93" s="860"/>
      <c r="E93" s="860"/>
      <c r="F93" s="1232"/>
      <c r="G93" s="1326"/>
      <c r="H93" s="1274"/>
      <c r="I93" s="1274"/>
      <c r="J93" s="1274"/>
      <c r="K93" s="1327"/>
      <c r="L93" s="1326"/>
      <c r="M93" s="1274"/>
      <c r="N93" s="1274"/>
      <c r="O93" s="1274"/>
      <c r="P93" s="1327"/>
      <c r="Q93" s="1650"/>
      <c r="R93" s="1274"/>
      <c r="S93" s="1274"/>
      <c r="T93" s="966"/>
      <c r="U93" s="1327"/>
      <c r="V93" s="1326"/>
      <c r="W93" s="1274"/>
      <c r="X93" s="966"/>
      <c r="Y93" s="1274"/>
      <c r="Z93" s="1327"/>
      <c r="AA93" s="1650"/>
      <c r="AB93" s="1274"/>
      <c r="AC93" s="1274"/>
      <c r="AD93" s="1274"/>
      <c r="AE93" s="1327"/>
      <c r="AF93" s="1326"/>
      <c r="AG93" s="1274"/>
      <c r="AH93" s="1274"/>
      <c r="AI93" s="1274"/>
      <c r="AJ93" s="1327"/>
      <c r="AK93" s="1326"/>
      <c r="AL93" s="1274"/>
      <c r="AM93" s="1274"/>
      <c r="AN93" s="1274"/>
      <c r="AO93" s="1327"/>
      <c r="AP93" s="1326"/>
      <c r="AQ93" s="1274"/>
      <c r="AR93" s="1274"/>
      <c r="AS93" s="1274"/>
      <c r="AT93" s="1327"/>
      <c r="AU93" s="1326"/>
      <c r="AV93" s="1274"/>
      <c r="AW93" s="1274"/>
      <c r="AX93" s="1274"/>
      <c r="AY93" s="1327"/>
      <c r="AZ93" s="1326"/>
      <c r="BA93" s="1274"/>
      <c r="BB93" s="1274"/>
      <c r="BC93" s="1274"/>
      <c r="BD93" s="1327"/>
      <c r="BE93" s="1326"/>
      <c r="BF93" s="1274"/>
      <c r="BG93" s="1274"/>
      <c r="BH93" s="1274"/>
      <c r="BI93" s="1327"/>
      <c r="BJ93" s="1336"/>
      <c r="BK93" s="1291"/>
      <c r="BL93" s="1291"/>
      <c r="BM93" s="1291"/>
      <c r="BN93" s="1341"/>
      <c r="BO93" s="1336">
        <f>BO91-BO90</f>
        <v>-710.10000000000014</v>
      </c>
      <c r="BP93" s="1291">
        <f>BP91-BP90</f>
        <v>172.49999999999912</v>
      </c>
      <c r="BQ93" s="1291">
        <f>BQ91-BQ90</f>
        <v>-1051.6000000000004</v>
      </c>
      <c r="BR93" s="1291">
        <f>BR91-BR90</f>
        <v>-9022.4</v>
      </c>
      <c r="BS93" s="1341"/>
      <c r="BT93" s="1336">
        <f t="shared" ref="BT93:BZ93" si="160">BT91-BT90</f>
        <v>951.99999999999932</v>
      </c>
      <c r="BU93" s="1291">
        <f t="shared" si="160"/>
        <v>-77.999999999999304</v>
      </c>
      <c r="BV93" s="1291">
        <f t="shared" si="160"/>
        <v>670.50000000000023</v>
      </c>
      <c r="BW93" s="1291">
        <f t="shared" si="160"/>
        <v>-9853.5</v>
      </c>
      <c r="BX93" s="1291">
        <f t="shared" si="160"/>
        <v>-8308.76</v>
      </c>
      <c r="BY93" s="1336">
        <f t="shared" si="160"/>
        <v>331.49999999999989</v>
      </c>
      <c r="BZ93" s="1291">
        <f t="shared" si="160"/>
        <v>552.5</v>
      </c>
      <c r="CA93" s="1291">
        <f>CA91-CA90</f>
        <v>-1911.6999999999991</v>
      </c>
      <c r="CB93" s="1291">
        <f>CB91-CB90</f>
        <v>-7534.0000000000009</v>
      </c>
      <c r="CC93" s="1762"/>
      <c r="CD93" s="1336">
        <f>CD91-CD90</f>
        <v>1057.3000000000002</v>
      </c>
      <c r="CE93" s="1291">
        <f t="shared" ref="CE93:CG93" si="161">CE91-CE90</f>
        <v>965</v>
      </c>
      <c r="CF93" s="1291">
        <f t="shared" si="161"/>
        <v>590.75</v>
      </c>
      <c r="CG93" s="1291">
        <f t="shared" ca="1" si="161"/>
        <v>-3073.0945078371074</v>
      </c>
      <c r="CH93" s="1762"/>
      <c r="CI93" s="1291"/>
      <c r="CJ93" s="860"/>
      <c r="CK93" s="1233"/>
      <c r="CL93" s="860"/>
      <c r="CM93" s="860"/>
      <c r="CN93" s="860"/>
      <c r="CO93" s="1232"/>
      <c r="CP93" s="1233"/>
      <c r="CQ93" s="860"/>
      <c r="CR93" s="860"/>
      <c r="CS93" s="860"/>
      <c r="CT93" s="1232"/>
      <c r="CU93" s="1233"/>
      <c r="CV93" s="860"/>
      <c r="CW93" s="860"/>
      <c r="CX93" s="860"/>
      <c r="CY93" s="1232"/>
      <c r="CZ93" s="1233"/>
      <c r="DA93" s="860"/>
      <c r="DB93" s="860"/>
      <c r="DC93" s="860"/>
      <c r="DD93" s="1232"/>
      <c r="DE93" s="1233"/>
      <c r="DF93" s="860"/>
      <c r="DG93" s="860"/>
      <c r="DH93" s="860"/>
      <c r="DI93" s="1232"/>
      <c r="DJ93" s="1233"/>
      <c r="DK93" s="860"/>
      <c r="DL93" s="860"/>
      <c r="DM93" s="860"/>
      <c r="DN93" s="1232"/>
      <c r="DO93" s="1233"/>
      <c r="DP93" s="860"/>
      <c r="DQ93" s="860"/>
      <c r="DR93" s="860"/>
      <c r="DS93" s="1232"/>
      <c r="DT93" s="1233"/>
      <c r="DU93" s="860"/>
      <c r="DV93" s="860"/>
      <c r="DW93" s="860"/>
      <c r="DX93" s="1232"/>
      <c r="DY93" s="1233"/>
      <c r="DZ93" s="860"/>
      <c r="EA93" s="860"/>
      <c r="EB93" s="860"/>
      <c r="EC93" s="1232"/>
      <c r="ED93" s="860"/>
      <c r="EE93" s="860"/>
      <c r="EF93" s="860"/>
      <c r="EG93" s="860"/>
      <c r="EH93" s="860"/>
      <c r="EI93" s="1233"/>
      <c r="EJ93" s="860"/>
      <c r="EK93" s="860"/>
      <c r="EL93" s="860"/>
      <c r="EM93" s="1232"/>
      <c r="EN93" s="1233"/>
      <c r="EO93" s="860"/>
      <c r="EP93" s="860"/>
      <c r="EQ93" s="860"/>
      <c r="ER93" s="1232"/>
      <c r="ES93" s="860"/>
      <c r="ET93" s="860"/>
      <c r="EU93" s="860"/>
      <c r="EV93" s="860"/>
      <c r="EW93" s="1232"/>
      <c r="EX93" s="1233"/>
      <c r="EY93" s="860"/>
      <c r="EZ93" s="860"/>
      <c r="FA93" s="860"/>
      <c r="FB93" s="1754"/>
      <c r="FC93" s="1233"/>
      <c r="FD93" s="860"/>
      <c r="FE93" s="860"/>
      <c r="FF93" s="860"/>
      <c r="FG93" s="860"/>
      <c r="FH93" s="860"/>
      <c r="FI93" s="860"/>
      <c r="FJ93" s="860"/>
      <c r="FY93" s="860"/>
      <c r="FZ93" s="860"/>
      <c r="GA93" s="860"/>
      <c r="GB93" s="860"/>
      <c r="GC93" s="860"/>
      <c r="GD93" s="860"/>
      <c r="GE93" s="860"/>
      <c r="GF93" s="860"/>
      <c r="GG93" s="860"/>
      <c r="GH93" s="860"/>
      <c r="GI93" s="860"/>
      <c r="GJ93" s="860"/>
      <c r="GK93" s="860"/>
      <c r="GL93" s="860"/>
      <c r="GM93" s="860"/>
      <c r="GN93" s="860"/>
      <c r="GO93" s="860"/>
      <c r="GP93" s="860"/>
      <c r="GQ93" s="860"/>
      <c r="GR93" s="1279"/>
      <c r="GS93" s="1218"/>
      <c r="GT93" s="1279"/>
      <c r="GU93" s="1218"/>
      <c r="GV93" s="1299">
        <v>115.55200000000059</v>
      </c>
      <c r="GW93" s="1218"/>
      <c r="GX93" s="1218"/>
      <c r="GY93" s="1299">
        <v>-1024.5221538566129</v>
      </c>
      <c r="GZ93" s="1218"/>
      <c r="HA93" s="1218"/>
      <c r="HB93" s="1299">
        <v>300</v>
      </c>
      <c r="HC93" s="1218"/>
      <c r="HD93" s="2000"/>
      <c r="HE93" s="1299">
        <v>-455.87720223492221</v>
      </c>
      <c r="HF93" s="1218"/>
      <c r="HG93" s="2000"/>
      <c r="HH93" s="1279"/>
      <c r="HI93" s="1299">
        <v>-147.94499999999974</v>
      </c>
      <c r="HJ93" s="1218"/>
      <c r="HK93" s="2000"/>
      <c r="HL93" s="1299">
        <v>860.82264000000032</v>
      </c>
      <c r="HM93" s="1218"/>
      <c r="HN93" s="2000"/>
      <c r="HO93" s="1299">
        <v>2325.9097886895097</v>
      </c>
      <c r="HP93" s="1218"/>
      <c r="HQ93" s="2000"/>
      <c r="HR93" s="1299">
        <v>1057.3000000000002</v>
      </c>
    </row>
    <row r="94" spans="1:226">
      <c r="A94" s="860"/>
      <c r="B94" s="1233"/>
      <c r="C94" s="860"/>
      <c r="D94" s="860"/>
      <c r="E94" s="860"/>
      <c r="F94" s="1232"/>
      <c r="G94" s="1242">
        <f>-G86/G84</f>
        <v>0.25036428666048494</v>
      </c>
      <c r="H94" s="1162">
        <f>-H86/H84</f>
        <v>0.23614274867122242</v>
      </c>
      <c r="I94" s="1162">
        <f>-I86/I84</f>
        <v>0.19123789866823926</v>
      </c>
      <c r="J94" s="1162">
        <f>-J86/J84</f>
        <v>0.35890444912628588</v>
      </c>
      <c r="K94" s="1232"/>
      <c r="L94" s="1242">
        <f>-L86/L84</f>
        <v>0.28069658701815103</v>
      </c>
      <c r="M94" s="1162">
        <f>-M86/M84</f>
        <v>0.28565709939554057</v>
      </c>
      <c r="N94" s="1162">
        <f>-N86/N84</f>
        <v>0.22663381307050462</v>
      </c>
      <c r="O94" s="1162">
        <f>-O86/O84</f>
        <v>0.36282114421735195</v>
      </c>
      <c r="P94" s="1232"/>
      <c r="Q94" s="1242">
        <f>-Q86/Q84</f>
        <v>0.33033334789636942</v>
      </c>
      <c r="R94" s="1162">
        <f>-R86/R84</f>
        <v>0.33385537451435121</v>
      </c>
      <c r="S94" s="1162">
        <f>-S86/S84</f>
        <v>0.29115151515151527</v>
      </c>
      <c r="T94" s="1162">
        <f>-T86/T84</f>
        <v>0.16880318862436713</v>
      </c>
      <c r="U94" s="1261"/>
      <c r="V94" s="1242">
        <f>-V86/V84</f>
        <v>0.29124932525640262</v>
      </c>
      <c r="W94" s="1162">
        <f>-W86/W84</f>
        <v>0.29720744680851047</v>
      </c>
      <c r="X94" s="1162">
        <f>-X86/X84</f>
        <v>0.27747368421052476</v>
      </c>
      <c r="Y94" s="1162">
        <f>-Y86/Y84</f>
        <v>0.33048289738430631</v>
      </c>
      <c r="Z94" s="1261"/>
      <c r="AA94" s="1242">
        <f>-AA86/AA84</f>
        <v>0.31944444444444436</v>
      </c>
      <c r="AB94" s="1162">
        <f>-AB86/AB84</f>
        <v>0.30311479327650775</v>
      </c>
      <c r="AC94" s="1162">
        <f>-AC86/AC84</f>
        <v>0.32476886905236313</v>
      </c>
      <c r="AD94" s="1162">
        <f>-AD86/AD84</f>
        <v>0.42534682080924852</v>
      </c>
      <c r="AE94" s="1261"/>
      <c r="AF94" s="1242"/>
      <c r="AG94" s="1162"/>
      <c r="AH94" s="1162"/>
      <c r="AI94" s="1162"/>
      <c r="AJ94" s="1261"/>
      <c r="AK94" s="1242"/>
      <c r="AL94" s="1162"/>
      <c r="AM94" s="1162"/>
      <c r="AN94" s="1162"/>
      <c r="AO94" s="1261"/>
      <c r="AP94" s="1242"/>
      <c r="AQ94" s="1162"/>
      <c r="AR94" s="1162"/>
      <c r="AS94" s="1162"/>
      <c r="AT94" s="1261"/>
      <c r="AU94" s="1242"/>
      <c r="AV94" s="1162"/>
      <c r="AW94" s="1162"/>
      <c r="AX94" s="1162"/>
      <c r="AY94" s="1261"/>
      <c r="AZ94" s="1242"/>
      <c r="BA94" s="1162"/>
      <c r="BB94" s="1162"/>
      <c r="BC94" s="1162"/>
      <c r="BD94" s="1261"/>
      <c r="BE94" s="1242"/>
      <c r="BF94" s="1162"/>
      <c r="BG94" s="1162"/>
      <c r="BH94" s="1162"/>
      <c r="BI94" s="1261"/>
      <c r="BJ94" s="1242"/>
      <c r="BK94" s="1162"/>
      <c r="BL94" s="1162"/>
      <c r="BM94" s="1162"/>
      <c r="BN94" s="1261"/>
      <c r="BO94" s="1242"/>
      <c r="BP94" s="1162"/>
      <c r="BQ94" s="1162"/>
      <c r="BR94" s="1162"/>
      <c r="BS94" s="1261"/>
      <c r="BT94" s="1242"/>
      <c r="BU94" s="1162"/>
      <c r="BV94" s="1162"/>
      <c r="BW94" s="1162"/>
      <c r="BX94" s="1261"/>
      <c r="BY94" s="1336"/>
      <c r="BZ94" s="1162"/>
      <c r="CA94" s="1162"/>
      <c r="CB94" s="1162"/>
      <c r="CC94" s="1757"/>
      <c r="CD94" s="1336"/>
      <c r="CE94" s="1291"/>
      <c r="CF94" s="1291"/>
      <c r="CG94" s="1291"/>
      <c r="CH94" s="1757"/>
      <c r="CI94" s="1162"/>
      <c r="CJ94" s="860"/>
      <c r="CK94" s="1233"/>
      <c r="CL94" s="860"/>
      <c r="CM94" s="860"/>
      <c r="CN94" s="860"/>
      <c r="CO94" s="1232"/>
      <c r="CP94" s="1233"/>
      <c r="CQ94" s="860"/>
      <c r="CR94" s="860"/>
      <c r="CS94" s="860"/>
      <c r="CT94" s="1232"/>
      <c r="CU94" s="1233"/>
      <c r="CV94" s="860"/>
      <c r="CW94" s="860"/>
      <c r="CX94" s="860"/>
      <c r="CY94" s="1232"/>
      <c r="CZ94" s="1233"/>
      <c r="DA94" s="860"/>
      <c r="DB94" s="860"/>
      <c r="DC94" s="860"/>
      <c r="DD94" s="1232"/>
      <c r="DE94" s="1233"/>
      <c r="DF94" s="860"/>
      <c r="DG94" s="860"/>
      <c r="DH94" s="860"/>
      <c r="DI94" s="1232"/>
      <c r="DJ94" s="1233"/>
      <c r="DK94" s="860"/>
      <c r="DL94" s="860"/>
      <c r="DM94" s="860"/>
      <c r="DN94" s="1232"/>
      <c r="DO94" s="1233"/>
      <c r="DP94" s="860"/>
      <c r="DQ94" s="860"/>
      <c r="DR94" s="860"/>
      <c r="DS94" s="1232"/>
      <c r="DT94" s="1233"/>
      <c r="DU94" s="860"/>
      <c r="DV94" s="860"/>
      <c r="DW94" s="860"/>
      <c r="DX94" s="1232"/>
      <c r="DY94" s="1233"/>
      <c r="DZ94" s="860"/>
      <c r="EA94" s="860"/>
      <c r="EB94" s="860"/>
      <c r="EC94" s="1232"/>
      <c r="ED94" s="860"/>
      <c r="EE94" s="860"/>
      <c r="EF94" s="860"/>
      <c r="EG94" s="860"/>
      <c r="EH94" s="860"/>
      <c r="EI94" s="1233"/>
      <c r="EJ94" s="860"/>
      <c r="EK94" s="860"/>
      <c r="EL94" s="860"/>
      <c r="EM94" s="1232"/>
      <c r="EN94" s="1233"/>
      <c r="EO94" s="860"/>
      <c r="EP94" s="860"/>
      <c r="EQ94" s="860"/>
      <c r="ER94" s="1232"/>
      <c r="ES94" s="860"/>
      <c r="ET94" s="860"/>
      <c r="EU94" s="860"/>
      <c r="EV94" s="860"/>
      <c r="EW94" s="1232"/>
      <c r="EX94" s="1233"/>
      <c r="EY94" s="860"/>
      <c r="EZ94" s="860"/>
      <c r="FA94" s="860"/>
      <c r="FB94" s="1754"/>
      <c r="FC94" s="1233"/>
      <c r="FD94" s="860"/>
      <c r="FE94" s="860"/>
      <c r="FF94" s="860"/>
      <c r="FG94" s="860"/>
      <c r="FH94" s="860"/>
      <c r="FI94" s="860"/>
      <c r="FJ94" s="860"/>
      <c r="FY94" s="860"/>
      <c r="FZ94" s="860"/>
      <c r="GA94" s="860"/>
      <c r="GB94" s="860"/>
      <c r="GC94" s="860"/>
      <c r="GD94" s="860"/>
      <c r="GE94" s="860"/>
      <c r="GF94" s="860"/>
      <c r="GG94" s="860"/>
      <c r="GH94" s="860"/>
      <c r="GI94" s="860"/>
      <c r="GJ94" s="860"/>
      <c r="GK94" s="860"/>
      <c r="GL94" s="860"/>
      <c r="GM94" s="860"/>
      <c r="GN94" s="860"/>
      <c r="GO94" s="860"/>
      <c r="GP94" s="860"/>
      <c r="GQ94" s="860"/>
      <c r="GR94" s="1241"/>
      <c r="GS94" s="1218"/>
      <c r="GT94" s="1241"/>
      <c r="GU94" s="1218"/>
      <c r="GV94" s="1241"/>
      <c r="GW94" s="1218"/>
      <c r="GX94" s="1218"/>
      <c r="GY94" s="1241"/>
      <c r="GZ94" s="1218"/>
      <c r="HA94" s="1218"/>
      <c r="HB94" s="1241"/>
      <c r="HC94" s="1218"/>
      <c r="HD94" s="2000"/>
      <c r="HE94" s="1241"/>
      <c r="HF94" s="1218"/>
      <c r="HG94" s="2000"/>
      <c r="HH94" s="1241"/>
      <c r="HI94" s="1299"/>
      <c r="HJ94" s="1218"/>
      <c r="HK94" s="2000"/>
      <c r="HL94" s="1299"/>
      <c r="HM94" s="1218"/>
      <c r="HN94" s="2000"/>
      <c r="HO94" s="1299"/>
      <c r="HP94" s="1218"/>
      <c r="HQ94" s="2000"/>
      <c r="HR94" s="1299"/>
    </row>
    <row r="95" spans="1:226">
      <c r="A95" s="860"/>
      <c r="B95" s="1233"/>
      <c r="C95" s="860"/>
      <c r="D95" s="860"/>
      <c r="E95" s="860"/>
      <c r="F95" s="1232"/>
      <c r="G95" s="1242"/>
      <c r="H95" s="1162"/>
      <c r="I95" s="1162"/>
      <c r="J95" s="1162"/>
      <c r="K95" s="1232"/>
      <c r="L95" s="1242"/>
      <c r="M95" s="1162"/>
      <c r="N95" s="1162"/>
      <c r="O95" s="1162"/>
      <c r="P95" s="1232"/>
      <c r="Q95" s="1242"/>
      <c r="R95" s="1162"/>
      <c r="S95" s="1162"/>
      <c r="T95" s="1162"/>
      <c r="U95" s="1261"/>
      <c r="V95" s="1242"/>
      <c r="W95" s="1162"/>
      <c r="X95" s="1162"/>
      <c r="Y95" s="860"/>
      <c r="Z95" s="1261"/>
      <c r="AA95" s="1242"/>
      <c r="AB95" s="1162"/>
      <c r="AC95" s="1162"/>
      <c r="AD95" s="1162"/>
      <c r="AE95" s="1261"/>
      <c r="AF95" s="1242"/>
      <c r="AG95" s="1162"/>
      <c r="AH95" s="1162"/>
      <c r="AI95" s="1162"/>
      <c r="AJ95" s="1261"/>
      <c r="AK95" s="1242">
        <f>AK86/AK84</f>
        <v>-0.31623243559718966</v>
      </c>
      <c r="AL95" s="1162">
        <f>AL86/AL84</f>
        <v>-0.33918834978259366</v>
      </c>
      <c r="AM95" s="1162">
        <f>AM86/AM84</f>
        <v>-0.36762917933130718</v>
      </c>
      <c r="AN95" s="1162">
        <f>AN86/AN84</f>
        <v>-0.56369254538431879</v>
      </c>
      <c r="AO95" s="1261"/>
      <c r="AP95" s="1242"/>
      <c r="AQ95" s="1162"/>
      <c r="AR95" s="1162"/>
      <c r="AS95" s="1162"/>
      <c r="AT95" s="1261"/>
      <c r="AU95" s="1242"/>
      <c r="AV95" s="1162"/>
      <c r="AW95" s="1162"/>
      <c r="AX95" s="1162"/>
      <c r="AY95" s="1261"/>
      <c r="AZ95" s="1242"/>
      <c r="BA95" s="1162"/>
      <c r="BB95" s="1162"/>
      <c r="BC95" s="1162"/>
      <c r="BD95" s="1261"/>
      <c r="BE95" s="1242"/>
      <c r="BF95" s="1162"/>
      <c r="BG95" s="1162"/>
      <c r="BH95" s="1162"/>
      <c r="BI95" s="1261"/>
      <c r="BJ95" s="1242"/>
      <c r="BK95" s="1162"/>
      <c r="BL95" s="1162"/>
      <c r="BM95" s="1162"/>
      <c r="BN95" s="1261"/>
      <c r="BO95" s="1242"/>
      <c r="BP95" s="1162"/>
      <c r="BQ95" s="1162"/>
      <c r="BR95" s="1162"/>
      <c r="BS95" s="1261"/>
      <c r="BT95" s="1242"/>
      <c r="BU95" s="1162"/>
      <c r="BV95" s="1162"/>
      <c r="BW95" s="1162"/>
      <c r="BX95" s="1261"/>
      <c r="BY95" s="1242"/>
      <c r="BZ95" s="1162"/>
      <c r="CA95" s="1162"/>
      <c r="CB95" s="1162"/>
      <c r="CC95" s="1757"/>
      <c r="CD95" s="1242"/>
      <c r="CE95" s="1162"/>
      <c r="CF95" s="1162"/>
      <c r="CG95" s="1162"/>
      <c r="CH95" s="1757"/>
      <c r="CI95" s="1162"/>
      <c r="CJ95" s="860"/>
      <c r="CK95" s="1233"/>
      <c r="CL95" s="860"/>
      <c r="CM95" s="860"/>
      <c r="CN95" s="860"/>
      <c r="CO95" s="1232"/>
      <c r="CP95" s="1233"/>
      <c r="CQ95" s="860"/>
      <c r="CR95" s="860"/>
      <c r="CS95" s="860"/>
      <c r="CT95" s="1232"/>
      <c r="CU95" s="1233"/>
      <c r="CV95" s="860"/>
      <c r="CW95" s="860"/>
      <c r="CX95" s="860"/>
      <c r="CY95" s="1232"/>
      <c r="CZ95" s="1233"/>
      <c r="DA95" s="860"/>
      <c r="DB95" s="860"/>
      <c r="DC95" s="860"/>
      <c r="DD95" s="1232"/>
      <c r="DE95" s="1233"/>
      <c r="DF95" s="860"/>
      <c r="DG95" s="860"/>
      <c r="DH95" s="860"/>
      <c r="DI95" s="1232"/>
      <c r="DJ95" s="1233"/>
      <c r="DK95" s="860"/>
      <c r="DL95" s="860"/>
      <c r="DM95" s="860"/>
      <c r="DN95" s="1232"/>
      <c r="DO95" s="1233"/>
      <c r="DP95" s="860"/>
      <c r="DQ95" s="860"/>
      <c r="DR95" s="860"/>
      <c r="DS95" s="1232"/>
      <c r="DT95" s="1233"/>
      <c r="DU95" s="860"/>
      <c r="DV95" s="860"/>
      <c r="DW95" s="860"/>
      <c r="DX95" s="1232"/>
      <c r="DY95" s="1233"/>
      <c r="DZ95" s="860"/>
      <c r="EA95" s="860"/>
      <c r="EB95" s="860"/>
      <c r="EC95" s="1232"/>
      <c r="ED95" s="860"/>
      <c r="EE95" s="860"/>
      <c r="EF95" s="860"/>
      <c r="EG95" s="860"/>
      <c r="EH95" s="860"/>
      <c r="EI95" s="1233"/>
      <c r="EJ95" s="860"/>
      <c r="EK95" s="860"/>
      <c r="EL95" s="860"/>
      <c r="EM95" s="1232"/>
      <c r="EN95" s="1233"/>
      <c r="EO95" s="860"/>
      <c r="EP95" s="860"/>
      <c r="EQ95" s="860"/>
      <c r="ER95" s="1232"/>
      <c r="ES95" s="860"/>
      <c r="ET95" s="860"/>
      <c r="EU95" s="860"/>
      <c r="EV95" s="860"/>
      <c r="EW95" s="1232"/>
      <c r="EX95" s="1233"/>
      <c r="EY95" s="860"/>
      <c r="EZ95" s="860"/>
      <c r="FA95" s="860"/>
      <c r="FB95" s="1754"/>
      <c r="FC95" s="1233"/>
      <c r="FD95" s="860"/>
      <c r="FE95" s="860"/>
      <c r="FF95" s="860"/>
      <c r="FG95" s="860"/>
      <c r="FH95" s="860"/>
      <c r="FI95" s="860"/>
      <c r="FJ95" s="860"/>
      <c r="FY95" s="860"/>
      <c r="FZ95" s="860"/>
      <c r="GA95" s="860"/>
      <c r="GB95" s="860"/>
      <c r="GC95" s="860"/>
      <c r="GD95" s="860"/>
      <c r="GE95" s="860"/>
      <c r="GF95" s="860"/>
      <c r="GG95" s="860"/>
      <c r="GH95" s="860"/>
      <c r="GI95" s="860"/>
      <c r="GJ95" s="860"/>
      <c r="GK95" s="860"/>
      <c r="GL95" s="860"/>
      <c r="GM95" s="860"/>
      <c r="GN95" s="860"/>
      <c r="GO95" s="860"/>
      <c r="GP95" s="860"/>
      <c r="GQ95" s="860"/>
      <c r="GR95" s="1241"/>
      <c r="GS95" s="1218"/>
      <c r="GT95" s="1241"/>
      <c r="GU95" s="1218"/>
      <c r="GV95" s="1241"/>
      <c r="GW95" s="1218"/>
      <c r="GX95" s="1218"/>
      <c r="GY95" s="1241"/>
      <c r="GZ95" s="1218"/>
      <c r="HA95" s="1218"/>
      <c r="HB95" s="1241"/>
      <c r="HC95" s="1218"/>
      <c r="HD95" s="2000"/>
      <c r="HE95" s="1241"/>
      <c r="HF95" s="1218"/>
      <c r="HG95" s="2000"/>
      <c r="HH95" s="1241"/>
      <c r="HI95" s="1241"/>
      <c r="HJ95" s="1218"/>
      <c r="HK95" s="2000"/>
      <c r="HL95" s="1241"/>
      <c r="HM95" s="1218"/>
      <c r="HN95" s="2000"/>
      <c r="HO95" s="1241"/>
      <c r="HP95" s="1218"/>
      <c r="HQ95" s="2000"/>
      <c r="HR95" s="1241"/>
    </row>
    <row r="96" spans="1:226">
      <c r="A96" s="860" t="s">
        <v>719</v>
      </c>
      <c r="B96" s="1233"/>
      <c r="C96" s="860"/>
      <c r="D96" s="860"/>
      <c r="E96" s="860"/>
      <c r="F96" s="1232"/>
      <c r="G96" s="1233"/>
      <c r="H96" s="860"/>
      <c r="I96" s="860"/>
      <c r="J96" s="860"/>
      <c r="K96" s="1232"/>
      <c r="L96" s="1233"/>
      <c r="M96" s="860"/>
      <c r="N96" s="1162"/>
      <c r="O96" s="860"/>
      <c r="P96" s="1232"/>
      <c r="Q96" s="1233"/>
      <c r="R96" s="860"/>
      <c r="S96" s="860"/>
      <c r="T96" s="860"/>
      <c r="U96" s="1232"/>
      <c r="V96" s="1233">
        <v>190.6</v>
      </c>
      <c r="W96" s="860">
        <v>245.6</v>
      </c>
      <c r="X96" s="860">
        <v>332.6</v>
      </c>
      <c r="Y96" s="860">
        <f>Y97+Y103+Y104</f>
        <v>504.3</v>
      </c>
      <c r="Z96" s="1232">
        <f>Z97+Z103+Z104</f>
        <v>1273.0999999999999</v>
      </c>
      <c r="AA96" s="1233">
        <v>307.89999999999998</v>
      </c>
      <c r="AB96" s="860">
        <v>371.6</v>
      </c>
      <c r="AC96" s="860">
        <v>378</v>
      </c>
      <c r="AD96" s="860">
        <f>1605.4-AA96-AB96-AC96</f>
        <v>547.9</v>
      </c>
      <c r="AE96" s="1261"/>
      <c r="AF96" s="1233">
        <v>330.7</v>
      </c>
      <c r="AG96" s="860">
        <v>358.2</v>
      </c>
      <c r="AH96" s="1285">
        <v>382</v>
      </c>
      <c r="AI96" s="1285">
        <f>1490.9-AF96-AG96-AH96</f>
        <v>420</v>
      </c>
      <c r="AJ96" s="1261"/>
      <c r="AK96" s="1332">
        <v>217.9</v>
      </c>
      <c r="AL96" s="1285">
        <v>172.4</v>
      </c>
      <c r="AM96" s="1285">
        <v>217.2</v>
      </c>
      <c r="AN96" s="1285">
        <f>884.7-AK96-AL96-AM96</f>
        <v>277.2000000000001</v>
      </c>
      <c r="AO96" s="1261"/>
      <c r="AP96" s="1332">
        <v>157.69999999999999</v>
      </c>
      <c r="AQ96" s="1285">
        <v>227.3</v>
      </c>
      <c r="AR96" s="1285">
        <v>289.60000000000002</v>
      </c>
      <c r="AS96" s="1285">
        <f>969.9-AP96-AQ96-AR96</f>
        <v>295.30000000000007</v>
      </c>
      <c r="AT96" s="1333">
        <f>Master!Q94</f>
        <v>969.4</v>
      </c>
      <c r="AU96" s="1332">
        <f>AU97+AU103+AU104</f>
        <v>222.89999999999998</v>
      </c>
      <c r="AV96" s="1285">
        <f>AV97+AV103+AV104</f>
        <v>239.60000000000002</v>
      </c>
      <c r="AW96" s="1285">
        <f>AW97+AW103+AW104</f>
        <v>250.9</v>
      </c>
      <c r="AX96" s="1285">
        <f>AX97+AX103+AX104</f>
        <v>278.79999999999995</v>
      </c>
      <c r="AY96" s="1333">
        <f>Master!R94</f>
        <v>990.5</v>
      </c>
      <c r="AZ96" s="1332">
        <f>AZ97+AZ103+AZ104</f>
        <v>227.39999999999998</v>
      </c>
      <c r="BA96" s="1285">
        <f>BA97+BA103+BA104</f>
        <v>196.39999999999998</v>
      </c>
      <c r="BB96" s="1285">
        <f>BB97+BB103+BB104</f>
        <v>251.3</v>
      </c>
      <c r="BC96" s="1285">
        <f>BD96-AZ96-BA96-BB96</f>
        <v>264.3</v>
      </c>
      <c r="BD96" s="1333">
        <f>Master!S94</f>
        <v>939.4</v>
      </c>
      <c r="BE96" s="1332">
        <f>BE97+BE103+BE104</f>
        <v>275.09999999999997</v>
      </c>
      <c r="BF96" s="1285">
        <f>BF97+BF103+BF104</f>
        <v>280.09999999999997</v>
      </c>
      <c r="BG96" s="1285">
        <f>BG97+BG103+BG104</f>
        <v>362.6</v>
      </c>
      <c r="BH96" s="1285">
        <f>BH97+BH103+BH104</f>
        <v>231.3</v>
      </c>
      <c r="BI96" s="1333">
        <f>Master!T94</f>
        <v>1149.0999999999999</v>
      </c>
      <c r="BJ96" s="1336">
        <f>BJ97+BJ103+BJ104</f>
        <v>228.6</v>
      </c>
      <c r="BK96" s="1291">
        <f>BK97+BK103+BK104</f>
        <v>238.9</v>
      </c>
      <c r="BL96" s="1291">
        <f>BL97+BL103+BL104</f>
        <v>207.70000000000002</v>
      </c>
      <c r="BM96" s="1291">
        <f>BM97+BM103+BM104</f>
        <v>181.19999999999993</v>
      </c>
      <c r="BN96" s="1341">
        <f>Master!U94</f>
        <v>856</v>
      </c>
      <c r="BO96" s="1336">
        <f>BO97+BO103+BO104</f>
        <v>211</v>
      </c>
      <c r="BP96" s="1291">
        <f>BP97+BP103+BP104</f>
        <v>204.20000000000002</v>
      </c>
      <c r="BQ96" s="1291">
        <f>BQ97+BQ103+BQ104</f>
        <v>186.6</v>
      </c>
      <c r="BR96" s="1291">
        <f>BR97+BR103+BR104</f>
        <v>226.7</v>
      </c>
      <c r="BS96" s="1341">
        <f>Master!V94</f>
        <v>828.5</v>
      </c>
      <c r="BT96" s="1336">
        <f>BT97+BT103+BT104</f>
        <v>120</v>
      </c>
      <c r="BU96" s="1291">
        <f>BU97+BU103+BU104</f>
        <v>102.1</v>
      </c>
      <c r="BV96" s="1291">
        <f>BV97+BV103+BV104</f>
        <v>128.1</v>
      </c>
      <c r="BW96" s="1291">
        <f>BW97+BW103+BW104</f>
        <v>142.79999999999995</v>
      </c>
      <c r="BX96" s="1341">
        <f>Master!W94</f>
        <v>492.99999999999994</v>
      </c>
      <c r="BY96" s="1350">
        <v>87</v>
      </c>
      <c r="BZ96" s="1298">
        <v>109.1</v>
      </c>
      <c r="CA96" s="1298">
        <v>196.1</v>
      </c>
      <c r="CB96" s="1298">
        <f>645-BY96-BZ96-CA96</f>
        <v>252.79999999999998</v>
      </c>
      <c r="CC96" s="1762">
        <f>Master!X94</f>
        <v>645</v>
      </c>
      <c r="CD96" s="1350">
        <v>141.9</v>
      </c>
      <c r="CE96" s="1291">
        <f>CE107/CE199</f>
        <v>206.17816091954026</v>
      </c>
      <c r="CF96" s="1291">
        <f>CF107/CF199</f>
        <v>204.84104046242774</v>
      </c>
      <c r="CG96" s="1291">
        <f>CH96-CD96-CE96-CF96</f>
        <v>269.32132192753465</v>
      </c>
      <c r="CH96" s="1762">
        <f>Master!Y94</f>
        <v>822.24052330950258</v>
      </c>
      <c r="CI96" s="1291"/>
      <c r="CJ96" s="860"/>
      <c r="CK96" s="1233"/>
      <c r="CL96" s="860"/>
      <c r="CM96" s="860"/>
      <c r="CN96" s="860"/>
      <c r="CO96" s="1232"/>
      <c r="CP96" s="1233"/>
      <c r="CQ96" s="860"/>
      <c r="CR96" s="860"/>
      <c r="CS96" s="860"/>
      <c r="CT96" s="1232"/>
      <c r="CU96" s="1233"/>
      <c r="CV96" s="860"/>
      <c r="CW96" s="860"/>
      <c r="CX96" s="860"/>
      <c r="CY96" s="1232"/>
      <c r="CZ96" s="1233"/>
      <c r="DA96" s="860"/>
      <c r="DB96" s="860"/>
      <c r="DC96" s="860"/>
      <c r="DD96" s="1232"/>
      <c r="DE96" s="1233"/>
      <c r="DF96" s="860"/>
      <c r="DG96" s="860"/>
      <c r="DH96" s="860"/>
      <c r="DI96" s="1232"/>
      <c r="DJ96" s="1233"/>
      <c r="DK96" s="860"/>
      <c r="DL96" s="860"/>
      <c r="DM96" s="860"/>
      <c r="DN96" s="1232"/>
      <c r="DO96" s="1233"/>
      <c r="DP96" s="860"/>
      <c r="DQ96" s="860"/>
      <c r="DR96" s="860"/>
      <c r="DS96" s="1232"/>
      <c r="DT96" s="1233"/>
      <c r="DU96" s="860"/>
      <c r="DV96" s="860"/>
      <c r="DW96" s="860"/>
      <c r="DX96" s="1232"/>
      <c r="DY96" s="1233"/>
      <c r="DZ96" s="860"/>
      <c r="EA96" s="860"/>
      <c r="EB96" s="860"/>
      <c r="EC96" s="1232"/>
      <c r="ED96" s="860"/>
      <c r="EE96" s="860"/>
      <c r="EF96" s="860"/>
      <c r="EG96" s="860"/>
      <c r="EH96" s="860"/>
      <c r="EI96" s="1233"/>
      <c r="EJ96" s="860"/>
      <c r="EK96" s="860">
        <v>4811</v>
      </c>
      <c r="EL96" s="860"/>
      <c r="EM96" s="1232"/>
      <c r="EN96" s="1233"/>
      <c r="EO96" s="860"/>
      <c r="EP96" s="860"/>
      <c r="EQ96" s="860"/>
      <c r="ER96" s="1232"/>
      <c r="ES96" s="860"/>
      <c r="ET96" s="860"/>
      <c r="EU96" s="860"/>
      <c r="EV96" s="860"/>
      <c r="EW96" s="1232"/>
      <c r="EX96" s="1233"/>
      <c r="EY96" s="860"/>
      <c r="EZ96" s="860"/>
      <c r="FA96" s="860"/>
      <c r="FB96" s="1754"/>
      <c r="FC96" s="1233"/>
      <c r="FD96" s="860"/>
      <c r="FE96" s="860"/>
      <c r="FF96" s="860"/>
      <c r="FG96" s="860"/>
      <c r="FH96" s="860"/>
      <c r="FI96" s="860"/>
      <c r="FJ96" s="860"/>
      <c r="FY96" s="860"/>
      <c r="FZ96" s="860"/>
      <c r="GA96" s="860"/>
      <c r="GB96" s="860"/>
      <c r="GC96" s="860"/>
      <c r="GD96" s="860"/>
      <c r="GE96" s="860"/>
      <c r="GF96" s="860"/>
      <c r="GG96" s="860"/>
      <c r="GH96" s="860"/>
      <c r="GI96" s="860"/>
      <c r="GJ96" s="860"/>
      <c r="GK96" s="860"/>
      <c r="GL96" s="860"/>
      <c r="GM96" s="860"/>
      <c r="GN96" s="860"/>
      <c r="GO96" s="860"/>
      <c r="GP96" s="860"/>
      <c r="GQ96" s="860"/>
      <c r="GR96" s="1286">
        <v>209</v>
      </c>
      <c r="GS96" s="1218"/>
      <c r="GT96" s="1286">
        <v>256.34449666268381</v>
      </c>
      <c r="GU96" s="1218"/>
      <c r="GV96" s="1299">
        <v>209.9</v>
      </c>
      <c r="GW96" s="1218"/>
      <c r="GX96" s="1218"/>
      <c r="GY96" s="1299">
        <v>220</v>
      </c>
      <c r="GZ96" s="1218"/>
      <c r="HA96" s="1218"/>
      <c r="HB96" s="1299">
        <v>190</v>
      </c>
      <c r="HC96" s="1218"/>
      <c r="HD96" s="2000"/>
      <c r="HE96" s="1633">
        <v>300.38970208808132</v>
      </c>
      <c r="HF96" s="1218"/>
      <c r="HG96" s="2000"/>
      <c r="HH96" s="1286"/>
      <c r="HI96" s="1299">
        <v>150</v>
      </c>
      <c r="HJ96" s="1218"/>
      <c r="HK96" s="2000"/>
      <c r="HL96" s="1299">
        <v>130</v>
      </c>
      <c r="HM96" s="1218"/>
      <c r="HN96" s="2000"/>
      <c r="HO96" s="1299">
        <v>213.05725633903106</v>
      </c>
      <c r="HP96" s="1218"/>
      <c r="HQ96" s="2000"/>
      <c r="HR96" s="1299">
        <f>HR107/HR199</f>
        <v>206.53071099220128</v>
      </c>
    </row>
    <row r="97" spans="1:226">
      <c r="A97" s="1287" t="s">
        <v>720</v>
      </c>
      <c r="B97" s="1233"/>
      <c r="C97" s="860"/>
      <c r="D97" s="860"/>
      <c r="E97" s="860"/>
      <c r="F97" s="1232"/>
      <c r="G97" s="1233"/>
      <c r="H97" s="860"/>
      <c r="I97" s="860"/>
      <c r="J97" s="860"/>
      <c r="K97" s="1232"/>
      <c r="L97" s="1233"/>
      <c r="M97" s="860"/>
      <c r="N97" s="1162"/>
      <c r="O97" s="860"/>
      <c r="P97" s="1232"/>
      <c r="Q97" s="1233"/>
      <c r="R97" s="860"/>
      <c r="S97" s="860"/>
      <c r="T97" s="1162">
        <f>SUM(V97:Y97)/SUM(V14:Y14)</f>
        <v>3.3571824312706569E-2</v>
      </c>
      <c r="U97" s="1232"/>
      <c r="V97" s="1233">
        <v>93.9</v>
      </c>
      <c r="W97" s="860">
        <v>120.1</v>
      </c>
      <c r="X97" s="860">
        <v>183.4</v>
      </c>
      <c r="Y97" s="860">
        <f>702.9-V97-W97-X97</f>
        <v>305.5</v>
      </c>
      <c r="Z97" s="1232">
        <f>Master!M92</f>
        <v>702.9</v>
      </c>
      <c r="AA97" s="1233">
        <v>219.5</v>
      </c>
      <c r="AB97" s="860">
        <v>259.5</v>
      </c>
      <c r="AC97" s="860">
        <v>235</v>
      </c>
      <c r="AD97" s="860">
        <f>1077.2-AA97-AB97-AC97</f>
        <v>363.20000000000005</v>
      </c>
      <c r="AE97" s="1232">
        <f>SUM(AA97:AD97)</f>
        <v>1077.2</v>
      </c>
      <c r="AF97" s="1233">
        <v>209</v>
      </c>
      <c r="AG97" s="860">
        <v>230.7</v>
      </c>
      <c r="AH97" s="860">
        <v>247.2</v>
      </c>
      <c r="AI97" s="860">
        <f>984.2-AF97-AG97-AH97</f>
        <v>297.3</v>
      </c>
      <c r="AJ97" s="1232">
        <f>SUM(AF97:AI97)</f>
        <v>984.2</v>
      </c>
      <c r="AK97" s="1233">
        <v>151</v>
      </c>
      <c r="AL97" s="860">
        <v>112.4</v>
      </c>
      <c r="AM97" s="860">
        <v>138.30000000000001</v>
      </c>
      <c r="AN97" s="860">
        <f>559.7-AK97-AL97-AM97</f>
        <v>158.00000000000006</v>
      </c>
      <c r="AO97" s="1232">
        <f>SUM(AK97:AN97)</f>
        <v>559.70000000000005</v>
      </c>
      <c r="AP97" s="1332">
        <v>106.1</v>
      </c>
      <c r="AQ97" s="1285">
        <v>145.5</v>
      </c>
      <c r="AR97" s="1285">
        <v>207.6</v>
      </c>
      <c r="AS97" s="1285">
        <f>665.5-AP97-AQ97-AR97</f>
        <v>206.29999999999998</v>
      </c>
      <c r="AT97" s="1333">
        <f>Master!Q92</f>
        <v>665</v>
      </c>
      <c r="AU97" s="1332">
        <v>169.7</v>
      </c>
      <c r="AV97" s="1285">
        <v>187.3</v>
      </c>
      <c r="AW97" s="1285">
        <v>178.1</v>
      </c>
      <c r="AX97" s="1285">
        <f>675.3-AU97-AV97-AW97</f>
        <v>140.19999999999996</v>
      </c>
      <c r="AY97" s="1232">
        <f>SUM(AU97:AX97)</f>
        <v>675.3</v>
      </c>
      <c r="AZ97" s="1332">
        <v>160.9</v>
      </c>
      <c r="BA97" s="1285">
        <v>135.9</v>
      </c>
      <c r="BB97" s="1285">
        <v>172.6</v>
      </c>
      <c r="BC97" s="1285">
        <f>BD97-AZ97-BA97-BB97</f>
        <v>193.10000000000005</v>
      </c>
      <c r="BD97" s="1333">
        <f>Master!S92</f>
        <v>662.5</v>
      </c>
      <c r="BE97" s="1332">
        <v>199.8</v>
      </c>
      <c r="BF97" s="1285">
        <v>206</v>
      </c>
      <c r="BG97" s="1285">
        <v>274</v>
      </c>
      <c r="BH97" s="1285">
        <f>854.5-BG97-BF97-BE97</f>
        <v>174.7</v>
      </c>
      <c r="BI97" s="1333">
        <f>Master!T92</f>
        <v>854.5</v>
      </c>
      <c r="BJ97" s="1350">
        <v>168.3</v>
      </c>
      <c r="BK97" s="1298">
        <v>183.9</v>
      </c>
      <c r="BL97" s="1298">
        <v>162.80000000000001</v>
      </c>
      <c r="BM97" s="1298">
        <f>645.9-BJ97-BK97-BL97</f>
        <v>130.89999999999992</v>
      </c>
      <c r="BN97" s="1341">
        <f>Master!U92</f>
        <v>645.9</v>
      </c>
      <c r="BO97" s="1350">
        <v>167.4</v>
      </c>
      <c r="BP97" s="1298">
        <v>152.30000000000001</v>
      </c>
      <c r="BQ97" s="1298">
        <v>141</v>
      </c>
      <c r="BR97" s="1298">
        <f>633-BO97-BP97-BQ97</f>
        <v>172.3</v>
      </c>
      <c r="BS97" s="1341">
        <f>Master!V92</f>
        <v>633</v>
      </c>
      <c r="BT97" s="1350">
        <v>95.9</v>
      </c>
      <c r="BU97" s="1298">
        <v>76</v>
      </c>
      <c r="BV97" s="1298">
        <v>115.3</v>
      </c>
      <c r="BW97" s="1298">
        <f>399.2-BT97-BU97-BV97</f>
        <v>111.99999999999996</v>
      </c>
      <c r="BX97" s="1341">
        <f>Master!W92</f>
        <v>399.2</v>
      </c>
      <c r="BY97" s="1350"/>
      <c r="BZ97" s="1298"/>
      <c r="CA97" s="1298"/>
      <c r="CB97" s="1298"/>
      <c r="CC97" s="1762">
        <f>Master!X92</f>
        <v>539.65412720258473</v>
      </c>
      <c r="CD97" s="1350"/>
      <c r="CE97" s="1298"/>
      <c r="CF97" s="1298"/>
      <c r="CG97" s="1298"/>
      <c r="CH97" s="1762">
        <f>Master!Y92</f>
        <v>739.71304274514898</v>
      </c>
      <c r="CI97" s="1291"/>
      <c r="CJ97" s="860"/>
      <c r="CK97" s="1233"/>
      <c r="CL97" s="860"/>
      <c r="CM97" s="860"/>
      <c r="CN97" s="860"/>
      <c r="CO97" s="1232"/>
      <c r="CP97" s="1233"/>
      <c r="CQ97" s="860"/>
      <c r="CR97" s="860"/>
      <c r="CS97" s="860"/>
      <c r="CT97" s="1232"/>
      <c r="CU97" s="1233"/>
      <c r="CV97" s="860"/>
      <c r="CW97" s="860"/>
      <c r="CX97" s="860"/>
      <c r="CY97" s="1232"/>
      <c r="CZ97" s="1233"/>
      <c r="DA97" s="860"/>
      <c r="DB97" s="860"/>
      <c r="DC97" s="860"/>
      <c r="DD97" s="1232"/>
      <c r="DE97" s="1233"/>
      <c r="DF97" s="860"/>
      <c r="DG97" s="860"/>
      <c r="DH97" s="860"/>
      <c r="DI97" s="1232"/>
      <c r="DJ97" s="1233"/>
      <c r="DK97" s="860"/>
      <c r="DL97" s="860"/>
      <c r="DM97" s="860"/>
      <c r="DN97" s="1232"/>
      <c r="DO97" s="1233"/>
      <c r="DP97" s="860"/>
      <c r="DQ97" s="860"/>
      <c r="DR97" s="860"/>
      <c r="DS97" s="1232"/>
      <c r="DT97" s="1233"/>
      <c r="DU97" s="860"/>
      <c r="DV97" s="860"/>
      <c r="DW97" s="860"/>
      <c r="DX97" s="1232"/>
      <c r="DY97" s="1233"/>
      <c r="DZ97" s="860"/>
      <c r="EA97" s="860"/>
      <c r="EB97" s="860"/>
      <c r="EC97" s="1232"/>
      <c r="ED97" s="860"/>
      <c r="EE97" s="860"/>
      <c r="EF97" s="860"/>
      <c r="EG97" s="860"/>
      <c r="EH97" s="860"/>
      <c r="EI97" s="1233"/>
      <c r="EJ97" s="860"/>
      <c r="EK97" s="860">
        <v>-1808</v>
      </c>
      <c r="EL97" s="860"/>
      <c r="EM97" s="1232"/>
      <c r="EN97" s="1233"/>
      <c r="EO97" s="860"/>
      <c r="EP97" s="860"/>
      <c r="EQ97" s="860"/>
      <c r="ER97" s="1232"/>
      <c r="ES97" s="860"/>
      <c r="ET97" s="860"/>
      <c r="EU97" s="860"/>
      <c r="EV97" s="860"/>
      <c r="EW97" s="1232"/>
      <c r="EX97" s="1233"/>
      <c r="EY97" s="860"/>
      <c r="EZ97" s="860"/>
      <c r="FA97" s="860"/>
      <c r="FB97" s="1754"/>
      <c r="FC97" s="1233"/>
      <c r="FD97" s="860"/>
      <c r="FE97" s="860"/>
      <c r="FF97" s="860"/>
      <c r="FG97" s="860"/>
      <c r="FH97" s="860"/>
      <c r="FI97" s="860"/>
      <c r="FJ97" s="860"/>
      <c r="FY97" s="860"/>
      <c r="FZ97" s="860"/>
      <c r="GA97" s="860"/>
      <c r="GB97" s="860"/>
      <c r="GC97" s="860"/>
      <c r="GD97" s="860"/>
      <c r="GE97" s="860"/>
      <c r="GF97" s="860"/>
      <c r="GG97" s="860"/>
      <c r="GH97" s="860"/>
      <c r="GI97" s="860"/>
      <c r="GJ97" s="860"/>
      <c r="GK97" s="860"/>
      <c r="GL97" s="860"/>
      <c r="GM97" s="860"/>
      <c r="GN97" s="860"/>
      <c r="GO97" s="860"/>
      <c r="GP97" s="860"/>
      <c r="GQ97" s="860"/>
      <c r="GR97" s="1286">
        <v>150</v>
      </c>
      <c r="GS97" s="1218"/>
      <c r="GT97" s="1286">
        <v>189.65557794117655</v>
      </c>
      <c r="GU97" s="1218"/>
      <c r="GV97" s="1299">
        <v>165</v>
      </c>
      <c r="GW97" s="1218"/>
      <c r="GX97" s="1218"/>
      <c r="GY97" s="1299">
        <v>180</v>
      </c>
      <c r="GZ97" s="1218"/>
      <c r="HA97" s="1218"/>
      <c r="HB97" s="1299">
        <v>160</v>
      </c>
      <c r="HC97" s="1218"/>
      <c r="HD97" s="2000"/>
      <c r="HE97" s="1633">
        <v>244.46056864754092</v>
      </c>
      <c r="HF97" s="1218"/>
      <c r="HG97" s="2000"/>
      <c r="HH97" s="1241"/>
      <c r="HI97" s="1299"/>
      <c r="HJ97" s="1218"/>
      <c r="HK97" s="2000"/>
      <c r="HL97" s="1299"/>
      <c r="HM97" s="1218"/>
      <c r="HN97" s="2000"/>
      <c r="HO97" s="1299"/>
      <c r="HP97" s="1218"/>
      <c r="HQ97" s="2000"/>
      <c r="HR97" s="1299"/>
    </row>
    <row r="98" spans="1:226">
      <c r="A98" s="1287" t="s">
        <v>721</v>
      </c>
      <c r="B98" s="1233"/>
      <c r="C98" s="860"/>
      <c r="D98" s="860"/>
      <c r="E98" s="860"/>
      <c r="F98" s="1232"/>
      <c r="G98" s="1233"/>
      <c r="H98" s="860"/>
      <c r="I98" s="860"/>
      <c r="J98" s="860"/>
      <c r="K98" s="1232"/>
      <c r="L98" s="1233"/>
      <c r="M98" s="860"/>
      <c r="N98" s="1162"/>
      <c r="O98" s="860"/>
      <c r="P98" s="1232"/>
      <c r="Q98" s="1233"/>
      <c r="R98" s="860"/>
      <c r="S98" s="860"/>
      <c r="T98" s="860"/>
      <c r="U98" s="1232"/>
      <c r="V98" s="1233">
        <v>16.600000000000001</v>
      </c>
      <c r="W98" s="860">
        <v>33.6</v>
      </c>
      <c r="X98" s="860">
        <v>41.1</v>
      </c>
      <c r="Y98" s="860">
        <f>199.9-V98-W98-X98</f>
        <v>108.60000000000002</v>
      </c>
      <c r="Z98" s="1261"/>
      <c r="AA98" s="1242"/>
      <c r="AB98" s="1162"/>
      <c r="AC98" s="1162"/>
      <c r="AD98" s="1162"/>
      <c r="AE98" s="1261"/>
      <c r="AF98" s="1242"/>
      <c r="AG98" s="1162"/>
      <c r="AH98" s="1162"/>
      <c r="AI98" s="1162"/>
      <c r="AJ98" s="1261"/>
      <c r="AK98" s="1242"/>
      <c r="AL98" s="1162"/>
      <c r="AM98" s="1162"/>
      <c r="AN98" s="1162"/>
      <c r="AO98" s="1261"/>
      <c r="AP98" s="1242"/>
      <c r="AQ98" s="1162"/>
      <c r="AR98" s="1162"/>
      <c r="AS98" s="1162"/>
      <c r="AT98" s="1261"/>
      <c r="AU98" s="1242"/>
      <c r="AV98" s="1162"/>
      <c r="AW98" s="1162"/>
      <c r="AX98" s="1162"/>
      <c r="AY98" s="1261"/>
      <c r="AZ98" s="1242"/>
      <c r="BA98" s="1162"/>
      <c r="BB98" s="1162"/>
      <c r="BC98" s="1162"/>
      <c r="BD98" s="1261"/>
      <c r="BE98" s="1242"/>
      <c r="BF98" s="1162"/>
      <c r="BG98" s="1162"/>
      <c r="BH98" s="1162"/>
      <c r="BI98" s="1261"/>
      <c r="BJ98" s="1242"/>
      <c r="BK98" s="1162"/>
      <c r="BL98" s="1162"/>
      <c r="BM98" s="1162"/>
      <c r="BN98" s="1261"/>
      <c r="BO98" s="1242"/>
      <c r="BP98" s="1162"/>
      <c r="BQ98" s="1162"/>
      <c r="BR98" s="1162"/>
      <c r="BS98" s="1261"/>
      <c r="BT98" s="1242"/>
      <c r="BU98" s="1162"/>
      <c r="BV98" s="1162"/>
      <c r="BW98" s="1162"/>
      <c r="BX98" s="1261"/>
      <c r="BY98" s="1242"/>
      <c r="BZ98" s="1162"/>
      <c r="CA98" s="1162"/>
      <c r="CB98" s="1162"/>
      <c r="CC98" s="1757"/>
      <c r="CD98" s="1242"/>
      <c r="CE98" s="1162"/>
      <c r="CF98" s="1162"/>
      <c r="CG98" s="1162"/>
      <c r="CH98" s="1757"/>
      <c r="CI98" s="1162"/>
      <c r="CJ98" s="860"/>
      <c r="CK98" s="1233"/>
      <c r="CL98" s="860"/>
      <c r="CM98" s="860"/>
      <c r="CN98" s="860"/>
      <c r="CO98" s="1232"/>
      <c r="CP98" s="1233"/>
      <c r="CQ98" s="860"/>
      <c r="CR98" s="860"/>
      <c r="CS98" s="860"/>
      <c r="CT98" s="1232"/>
      <c r="CU98" s="1233"/>
      <c r="CV98" s="860"/>
      <c r="CW98" s="860"/>
      <c r="CX98" s="860"/>
      <c r="CY98" s="1232"/>
      <c r="CZ98" s="1233"/>
      <c r="DA98" s="860"/>
      <c r="DB98" s="860"/>
      <c r="DC98" s="860"/>
      <c r="DD98" s="1232"/>
      <c r="DE98" s="1233"/>
      <c r="DF98" s="860"/>
      <c r="DG98" s="860"/>
      <c r="DH98" s="860"/>
      <c r="DI98" s="1232"/>
      <c r="DJ98" s="1233"/>
      <c r="DK98" s="860"/>
      <c r="DL98" s="860"/>
      <c r="DM98" s="860"/>
      <c r="DN98" s="1232"/>
      <c r="DO98" s="1233"/>
      <c r="DP98" s="860"/>
      <c r="DQ98" s="860"/>
      <c r="DR98" s="860"/>
      <c r="DS98" s="1232"/>
      <c r="DT98" s="1233"/>
      <c r="DU98" s="860"/>
      <c r="DV98" s="860"/>
      <c r="DW98" s="860"/>
      <c r="DX98" s="1232"/>
      <c r="DY98" s="1233"/>
      <c r="DZ98" s="860"/>
      <c r="EA98" s="860"/>
      <c r="EB98" s="860"/>
      <c r="EC98" s="1232"/>
      <c r="ED98" s="860"/>
      <c r="EE98" s="860"/>
      <c r="EF98" s="860"/>
      <c r="EG98" s="860"/>
      <c r="EH98" s="860"/>
      <c r="EI98" s="1233"/>
      <c r="EJ98" s="860"/>
      <c r="EK98" s="860">
        <v>-6328</v>
      </c>
      <c r="EL98" s="860"/>
      <c r="EM98" s="1232"/>
      <c r="EN98" s="1233"/>
      <c r="EO98" s="860"/>
      <c r="EP98" s="860"/>
      <c r="EQ98" s="860"/>
      <c r="ER98" s="1232"/>
      <c r="ES98" s="860"/>
      <c r="ET98" s="860"/>
      <c r="EU98" s="860"/>
      <c r="EV98" s="860"/>
      <c r="EW98" s="1232"/>
      <c r="EX98" s="1233"/>
      <c r="EY98" s="860"/>
      <c r="EZ98" s="860"/>
      <c r="FA98" s="860"/>
      <c r="FB98" s="1754"/>
      <c r="FC98" s="1233"/>
      <c r="FD98" s="860"/>
      <c r="FE98" s="860"/>
      <c r="FF98" s="860"/>
      <c r="FG98" s="860"/>
      <c r="FH98" s="860"/>
      <c r="FI98" s="860"/>
      <c r="FJ98" s="860"/>
      <c r="FY98" s="860"/>
      <c r="FZ98" s="860"/>
      <c r="GA98" s="860"/>
      <c r="GB98" s="860"/>
      <c r="GC98" s="860"/>
      <c r="GD98" s="860"/>
      <c r="GE98" s="860"/>
      <c r="GF98" s="860"/>
      <c r="GG98" s="860"/>
      <c r="GH98" s="860"/>
      <c r="GI98" s="860"/>
      <c r="GJ98" s="860"/>
      <c r="GK98" s="860"/>
      <c r="GL98" s="860"/>
      <c r="GM98" s="860"/>
      <c r="GN98" s="860"/>
      <c r="GO98" s="860"/>
      <c r="GP98" s="860"/>
      <c r="GQ98" s="860"/>
      <c r="GR98" s="1241"/>
      <c r="GS98" s="1218"/>
      <c r="GT98" s="1241"/>
      <c r="GU98" s="1218"/>
      <c r="GV98" s="1241"/>
      <c r="GW98" s="1218"/>
      <c r="GX98" s="1218"/>
      <c r="GY98" s="1241"/>
      <c r="GZ98" s="1218"/>
      <c r="HA98" s="1218"/>
      <c r="HB98" s="1241"/>
      <c r="HC98" s="1218"/>
      <c r="HD98" s="2000"/>
      <c r="HE98" s="1241"/>
      <c r="HF98" s="1218"/>
      <c r="HG98" s="2000"/>
      <c r="HH98" s="1241"/>
      <c r="HI98" s="1241"/>
      <c r="HJ98" s="1218"/>
      <c r="HK98" s="2000"/>
      <c r="HL98" s="1241"/>
      <c r="HM98" s="1218"/>
      <c r="HN98" s="2000"/>
      <c r="HO98" s="1241"/>
      <c r="HP98" s="1218"/>
      <c r="HQ98" s="2000"/>
      <c r="HR98" s="1241"/>
    </row>
    <row r="99" spans="1:226">
      <c r="A99" s="1287" t="s">
        <v>722</v>
      </c>
      <c r="B99" s="1233"/>
      <c r="C99" s="860"/>
      <c r="D99" s="860"/>
      <c r="E99" s="860"/>
      <c r="F99" s="1232"/>
      <c r="G99" s="1233"/>
      <c r="H99" s="860"/>
      <c r="I99" s="860"/>
      <c r="J99" s="860"/>
      <c r="K99" s="1232"/>
      <c r="L99" s="1233"/>
      <c r="M99" s="860"/>
      <c r="N99" s="1162"/>
      <c r="O99" s="860"/>
      <c r="P99" s="1232"/>
      <c r="Q99" s="1233"/>
      <c r="R99" s="860"/>
      <c r="S99" s="860"/>
      <c r="T99" s="860"/>
      <c r="U99" s="1232"/>
      <c r="V99" s="1233">
        <v>52.8</v>
      </c>
      <c r="W99" s="860">
        <v>40.5</v>
      </c>
      <c r="X99" s="860">
        <v>81.5</v>
      </c>
      <c r="Y99" s="860">
        <f>290-V99-W99-X99</f>
        <v>115.19999999999999</v>
      </c>
      <c r="Z99" s="1261"/>
      <c r="AA99" s="1242"/>
      <c r="AB99" s="1162"/>
      <c r="AC99" s="1162"/>
      <c r="AD99" s="1162"/>
      <c r="AE99" s="1261"/>
      <c r="AF99" s="1242"/>
      <c r="AG99" s="1162"/>
      <c r="AH99" s="1162"/>
      <c r="AI99" s="1162"/>
      <c r="AJ99" s="1261"/>
      <c r="AK99" s="1242"/>
      <c r="AL99" s="1162"/>
      <c r="AM99" s="1162"/>
      <c r="AN99" s="1162"/>
      <c r="AO99" s="1261"/>
      <c r="AP99" s="1242"/>
      <c r="AQ99" s="1162"/>
      <c r="AR99" s="1162"/>
      <c r="AS99" s="1162"/>
      <c r="AT99" s="1261"/>
      <c r="AU99" s="1242"/>
      <c r="AV99" s="1162"/>
      <c r="AW99" s="1162"/>
      <c r="AX99" s="1162"/>
      <c r="AY99" s="1261"/>
      <c r="AZ99" s="1242"/>
      <c r="BA99" s="1162"/>
      <c r="BB99" s="1162"/>
      <c r="BC99" s="1162"/>
      <c r="BD99" s="1261"/>
      <c r="BE99" s="1242"/>
      <c r="BF99" s="1162"/>
      <c r="BG99" s="1162"/>
      <c r="BH99" s="1162"/>
      <c r="BI99" s="1261"/>
      <c r="BJ99" s="1242"/>
      <c r="BK99" s="1162"/>
      <c r="BL99" s="1162"/>
      <c r="BM99" s="1162"/>
      <c r="BN99" s="1261"/>
      <c r="BO99" s="1242"/>
      <c r="BP99" s="1162"/>
      <c r="BQ99" s="1162"/>
      <c r="BR99" s="1162"/>
      <c r="BS99" s="1261"/>
      <c r="BT99" s="1242"/>
      <c r="BU99" s="1162"/>
      <c r="BV99" s="1162"/>
      <c r="BW99" s="1162"/>
      <c r="BX99" s="1261"/>
      <c r="BY99" s="1242"/>
      <c r="BZ99" s="1162"/>
      <c r="CA99" s="1162"/>
      <c r="CB99" s="1162"/>
      <c r="CC99" s="1757"/>
      <c r="CD99" s="1242"/>
      <c r="CE99" s="1162"/>
      <c r="CF99" s="1162"/>
      <c r="CG99" s="1162"/>
      <c r="CH99" s="1757"/>
      <c r="CI99" s="1162"/>
      <c r="CJ99" s="860"/>
      <c r="CK99" s="1233"/>
      <c r="CL99" s="860"/>
      <c r="CM99" s="860"/>
      <c r="CN99" s="860"/>
      <c r="CO99" s="1232"/>
      <c r="CP99" s="1233"/>
      <c r="CQ99" s="860"/>
      <c r="CR99" s="860"/>
      <c r="CS99" s="860"/>
      <c r="CT99" s="1232"/>
      <c r="CU99" s="1233"/>
      <c r="CV99" s="860"/>
      <c r="CW99" s="860"/>
      <c r="CX99" s="860"/>
      <c r="CY99" s="1232"/>
      <c r="CZ99" s="1233"/>
      <c r="DA99" s="860"/>
      <c r="DB99" s="860"/>
      <c r="DC99" s="860"/>
      <c r="DD99" s="1232"/>
      <c r="DE99" s="1233"/>
      <c r="DF99" s="860"/>
      <c r="DG99" s="860"/>
      <c r="DH99" s="860"/>
      <c r="DI99" s="1232"/>
      <c r="DJ99" s="1233"/>
      <c r="DK99" s="860"/>
      <c r="DL99" s="860"/>
      <c r="DM99" s="860"/>
      <c r="DN99" s="1232"/>
      <c r="DO99" s="1233"/>
      <c r="DP99" s="860"/>
      <c r="DQ99" s="860"/>
      <c r="DR99" s="860"/>
      <c r="DS99" s="1232"/>
      <c r="DT99" s="1233"/>
      <c r="DU99" s="860"/>
      <c r="DV99" s="860"/>
      <c r="DW99" s="860"/>
      <c r="DX99" s="1232"/>
      <c r="DY99" s="1233"/>
      <c r="DZ99" s="860"/>
      <c r="EA99" s="860"/>
      <c r="EB99" s="860"/>
      <c r="EC99" s="1232"/>
      <c r="ED99" s="860"/>
      <c r="EE99" s="860"/>
      <c r="EF99" s="860"/>
      <c r="EG99" s="860"/>
      <c r="EH99" s="860"/>
      <c r="EI99" s="1233"/>
      <c r="EJ99" s="860"/>
      <c r="EK99" s="1264">
        <f>SUM(EK96:EK98)</f>
        <v>-3325</v>
      </c>
      <c r="EL99" s="860"/>
      <c r="EM99" s="1232"/>
      <c r="EN99" s="1233"/>
      <c r="EO99" s="860"/>
      <c r="EP99" s="860"/>
      <c r="EQ99" s="860"/>
      <c r="ER99" s="1232"/>
      <c r="ES99" s="860"/>
      <c r="ET99" s="860"/>
      <c r="EU99" s="860"/>
      <c r="EV99" s="860"/>
      <c r="EW99" s="1232"/>
      <c r="EX99" s="1233"/>
      <c r="EY99" s="860"/>
      <c r="EZ99" s="860"/>
      <c r="FA99" s="860"/>
      <c r="FB99" s="1754"/>
      <c r="FC99" s="1233"/>
      <c r="FD99" s="860"/>
      <c r="FE99" s="860"/>
      <c r="FF99" s="860"/>
      <c r="FG99" s="860"/>
      <c r="FH99" s="860"/>
      <c r="FI99" s="860"/>
      <c r="FJ99" s="860"/>
      <c r="FY99" s="860"/>
      <c r="FZ99" s="860"/>
      <c r="GA99" s="860"/>
      <c r="GB99" s="860"/>
      <c r="GC99" s="860"/>
      <c r="GD99" s="860"/>
      <c r="GE99" s="860"/>
      <c r="GF99" s="860"/>
      <c r="GG99" s="860"/>
      <c r="GH99" s="860"/>
      <c r="GI99" s="860"/>
      <c r="GJ99" s="860"/>
      <c r="GK99" s="860"/>
      <c r="GL99" s="860"/>
      <c r="GM99" s="860"/>
      <c r="GN99" s="860"/>
      <c r="GO99" s="860"/>
      <c r="GP99" s="860"/>
      <c r="GQ99" s="860"/>
      <c r="GR99" s="1241"/>
      <c r="GS99" s="1218"/>
      <c r="GT99" s="1241"/>
      <c r="GU99" s="1218"/>
      <c r="GV99" s="1241"/>
      <c r="GW99" s="1218"/>
      <c r="GX99" s="1218"/>
      <c r="GY99" s="1241"/>
      <c r="GZ99" s="1218"/>
      <c r="HA99" s="1218"/>
      <c r="HB99" s="1241"/>
      <c r="HC99" s="1218"/>
      <c r="HD99" s="2000"/>
      <c r="HE99" s="1241"/>
      <c r="HF99" s="1218"/>
      <c r="HG99" s="2000"/>
      <c r="HH99" s="1241"/>
      <c r="HI99" s="1241"/>
      <c r="HJ99" s="1218"/>
      <c r="HK99" s="2000"/>
      <c r="HL99" s="1241"/>
      <c r="HM99" s="1218"/>
      <c r="HN99" s="2000"/>
      <c r="HO99" s="1241"/>
      <c r="HP99" s="1218"/>
      <c r="HQ99" s="2000"/>
      <c r="HR99" s="1241"/>
    </row>
    <row r="100" spans="1:226">
      <c r="A100" s="1287" t="s">
        <v>723</v>
      </c>
      <c r="B100" s="1233"/>
      <c r="C100" s="860"/>
      <c r="D100" s="860"/>
      <c r="E100" s="860"/>
      <c r="F100" s="1232"/>
      <c r="G100" s="1233"/>
      <c r="H100" s="860"/>
      <c r="I100" s="860"/>
      <c r="J100" s="860"/>
      <c r="K100" s="1232"/>
      <c r="L100" s="1233"/>
      <c r="M100" s="860"/>
      <c r="N100" s="1162"/>
      <c r="O100" s="860"/>
      <c r="P100" s="1232"/>
      <c r="Q100" s="1233"/>
      <c r="R100" s="860"/>
      <c r="S100" s="860"/>
      <c r="T100" s="860"/>
      <c r="U100" s="1232"/>
      <c r="V100" s="1233">
        <v>22.6</v>
      </c>
      <c r="W100" s="860">
        <v>28.6</v>
      </c>
      <c r="X100" s="860">
        <v>39.9</v>
      </c>
      <c r="Y100" s="860">
        <f>131.3-V100-W100-X100</f>
        <v>40.200000000000024</v>
      </c>
      <c r="Z100" s="1261"/>
      <c r="AA100" s="1242"/>
      <c r="AB100" s="1162"/>
      <c r="AC100" s="1162"/>
      <c r="AD100" s="1162"/>
      <c r="AE100" s="1261"/>
      <c r="AF100" s="1242"/>
      <c r="AG100" s="1162"/>
      <c r="AH100" s="1162"/>
      <c r="AI100" s="1162"/>
      <c r="AJ100" s="1261"/>
      <c r="AK100" s="1242"/>
      <c r="AL100" s="1162"/>
      <c r="AM100" s="1162"/>
      <c r="AN100" s="1162"/>
      <c r="AO100" s="1261"/>
      <c r="AP100" s="1242"/>
      <c r="AQ100" s="1162"/>
      <c r="AR100" s="1162"/>
      <c r="AS100" s="1162"/>
      <c r="AT100" s="1261"/>
      <c r="AU100" s="1242"/>
      <c r="AV100" s="1162"/>
      <c r="AW100" s="1162"/>
      <c r="AX100" s="1162"/>
      <c r="AY100" s="1261"/>
      <c r="AZ100" s="1242"/>
      <c r="BA100" s="1162"/>
      <c r="BB100" s="1162"/>
      <c r="BC100" s="1162"/>
      <c r="BD100" s="1261"/>
      <c r="BE100" s="1242"/>
      <c r="BF100" s="1162"/>
      <c r="BG100" s="1162"/>
      <c r="BH100" s="1162"/>
      <c r="BI100" s="1261"/>
      <c r="BJ100" s="1242"/>
      <c r="BK100" s="1162"/>
      <c r="BL100" s="1162"/>
      <c r="BM100" s="1162"/>
      <c r="BN100" s="1261"/>
      <c r="BO100" s="1242"/>
      <c r="BP100" s="1162"/>
      <c r="BQ100" s="1162"/>
      <c r="BR100" s="1162"/>
      <c r="BS100" s="1261"/>
      <c r="BT100" s="1242"/>
      <c r="BU100" s="1162"/>
      <c r="BV100" s="1162"/>
      <c r="BW100" s="1162"/>
      <c r="BX100" s="1261"/>
      <c r="BY100" s="1242"/>
      <c r="BZ100" s="1162"/>
      <c r="CA100" s="1162"/>
      <c r="CB100" s="1162"/>
      <c r="CC100" s="1757"/>
      <c r="CD100" s="1242"/>
      <c r="CE100" s="1162"/>
      <c r="CF100" s="1162"/>
      <c r="CG100" s="1162"/>
      <c r="CH100" s="1757"/>
      <c r="CI100" s="1162"/>
      <c r="CJ100" s="860"/>
      <c r="CK100" s="1233"/>
      <c r="CL100" s="860"/>
      <c r="CM100" s="860"/>
      <c r="CN100" s="860"/>
      <c r="CO100" s="1232"/>
      <c r="CP100" s="1233"/>
      <c r="CQ100" s="860"/>
      <c r="CR100" s="860"/>
      <c r="CS100" s="860"/>
      <c r="CT100" s="1232"/>
      <c r="CU100" s="1233"/>
      <c r="CV100" s="860"/>
      <c r="CW100" s="860"/>
      <c r="CX100" s="860"/>
      <c r="CY100" s="1232"/>
      <c r="CZ100" s="1233"/>
      <c r="DA100" s="860"/>
      <c r="DB100" s="860"/>
      <c r="DC100" s="860"/>
      <c r="DD100" s="1232"/>
      <c r="DE100" s="1233"/>
      <c r="DF100" s="860"/>
      <c r="DG100" s="860"/>
      <c r="DH100" s="860"/>
      <c r="DI100" s="1232"/>
      <c r="DJ100" s="1233"/>
      <c r="DK100" s="860"/>
      <c r="DL100" s="860"/>
      <c r="DM100" s="860"/>
      <c r="DN100" s="1232"/>
      <c r="DO100" s="1233"/>
      <c r="DP100" s="860"/>
      <c r="DQ100" s="860"/>
      <c r="DR100" s="860"/>
      <c r="DS100" s="1232"/>
      <c r="DT100" s="1233"/>
      <c r="DU100" s="860"/>
      <c r="DV100" s="860"/>
      <c r="DW100" s="860"/>
      <c r="DX100" s="1232"/>
      <c r="DY100" s="1233"/>
      <c r="DZ100" s="860"/>
      <c r="EA100" s="860"/>
      <c r="EB100" s="860"/>
      <c r="EC100" s="1232"/>
      <c r="ED100" s="860"/>
      <c r="EE100" s="860"/>
      <c r="EF100" s="860"/>
      <c r="EG100" s="860"/>
      <c r="EH100" s="860"/>
      <c r="EI100" s="1233"/>
      <c r="EJ100" s="860"/>
      <c r="EK100" s="860">
        <v>-1850</v>
      </c>
      <c r="EL100" s="860"/>
      <c r="EM100" s="1232"/>
      <c r="EN100" s="1233"/>
      <c r="EO100" s="860"/>
      <c r="EP100" s="860"/>
      <c r="EQ100" s="860"/>
      <c r="ER100" s="1232"/>
      <c r="ES100" s="860"/>
      <c r="ET100" s="860"/>
      <c r="EU100" s="860"/>
      <c r="EV100" s="860"/>
      <c r="EW100" s="1232"/>
      <c r="EX100" s="1233"/>
      <c r="EY100" s="860"/>
      <c r="EZ100" s="860"/>
      <c r="FA100" s="860"/>
      <c r="FB100" s="1754"/>
      <c r="FC100" s="1233"/>
      <c r="FD100" s="860"/>
      <c r="FE100" s="860"/>
      <c r="FF100" s="860"/>
      <c r="FG100" s="860"/>
      <c r="FH100" s="860"/>
      <c r="FI100" s="860"/>
      <c r="FJ100" s="860"/>
      <c r="FY100" s="860"/>
      <c r="FZ100" s="860"/>
      <c r="GA100" s="860"/>
      <c r="GB100" s="860"/>
      <c r="GC100" s="860"/>
      <c r="GD100" s="860"/>
      <c r="GE100" s="860"/>
      <c r="GF100" s="860"/>
      <c r="GG100" s="860"/>
      <c r="GH100" s="860"/>
      <c r="GI100" s="860"/>
      <c r="GJ100" s="860"/>
      <c r="GK100" s="860"/>
      <c r="GL100" s="860"/>
      <c r="GM100" s="860"/>
      <c r="GN100" s="860"/>
      <c r="GO100" s="860"/>
      <c r="GP100" s="860"/>
      <c r="GQ100" s="860"/>
      <c r="GR100" s="1241"/>
      <c r="GS100" s="1218"/>
      <c r="GT100" s="1241"/>
      <c r="GU100" s="1218"/>
      <c r="GV100" s="1241"/>
      <c r="GW100" s="1218"/>
      <c r="GX100" s="1218"/>
      <c r="GY100" s="1241"/>
      <c r="GZ100" s="1218"/>
      <c r="HA100" s="1218"/>
      <c r="HB100" s="1241"/>
      <c r="HC100" s="1218"/>
      <c r="HD100" s="2000"/>
      <c r="HE100" s="1241"/>
      <c r="HF100" s="1218"/>
      <c r="HG100" s="2000"/>
      <c r="HH100" s="1241"/>
      <c r="HI100" s="1241"/>
      <c r="HJ100" s="1218"/>
      <c r="HK100" s="2000"/>
      <c r="HL100" s="1241"/>
      <c r="HM100" s="1218"/>
      <c r="HN100" s="2000"/>
      <c r="HO100" s="1241"/>
      <c r="HP100" s="1218"/>
      <c r="HQ100" s="2000"/>
      <c r="HR100" s="1241"/>
    </row>
    <row r="101" spans="1:226">
      <c r="A101" s="1287" t="s">
        <v>724</v>
      </c>
      <c r="B101" s="1233"/>
      <c r="C101" s="860"/>
      <c r="D101" s="860"/>
      <c r="E101" s="860"/>
      <c r="F101" s="1232"/>
      <c r="G101" s="1233"/>
      <c r="H101" s="860"/>
      <c r="I101" s="860"/>
      <c r="J101" s="860"/>
      <c r="K101" s="1232"/>
      <c r="L101" s="1233"/>
      <c r="M101" s="860"/>
      <c r="N101" s="1162"/>
      <c r="O101" s="860"/>
      <c r="P101" s="1232"/>
      <c r="Q101" s="1233"/>
      <c r="R101" s="860"/>
      <c r="S101" s="860"/>
      <c r="T101" s="860"/>
      <c r="U101" s="1232"/>
      <c r="V101" s="1233">
        <f>V97-V98-V99-V100</f>
        <v>1.9000000000000128</v>
      </c>
      <c r="W101" s="860">
        <f>W97-W98-W99-W100</f>
        <v>17.399999999999999</v>
      </c>
      <c r="X101" s="860">
        <v>16.5</v>
      </c>
      <c r="Y101" s="860">
        <f>58.5-V101-W101-X101</f>
        <v>22.699999999999989</v>
      </c>
      <c r="Z101" s="1261"/>
      <c r="AA101" s="1242"/>
      <c r="AB101" s="1162"/>
      <c r="AC101" s="1162"/>
      <c r="AD101" s="1162"/>
      <c r="AE101" s="1261"/>
      <c r="AF101" s="1242"/>
      <c r="AG101" s="1162"/>
      <c r="AH101" s="1162"/>
      <c r="AI101" s="1162"/>
      <c r="AJ101" s="1261"/>
      <c r="AK101" s="1242"/>
      <c r="AL101" s="1162"/>
      <c r="AM101" s="1162"/>
      <c r="AN101" s="1162"/>
      <c r="AO101" s="1261"/>
      <c r="AP101" s="1242"/>
      <c r="AQ101" s="1162"/>
      <c r="AR101" s="1162"/>
      <c r="AS101" s="1162"/>
      <c r="AT101" s="1261"/>
      <c r="AU101" s="1242"/>
      <c r="AV101" s="1162"/>
      <c r="AW101" s="1162"/>
      <c r="AX101" s="1162"/>
      <c r="AY101" s="1261"/>
      <c r="AZ101" s="1242"/>
      <c r="BA101" s="1162"/>
      <c r="BB101" s="1162"/>
      <c r="BC101" s="1162"/>
      <c r="BD101" s="1261"/>
      <c r="BE101" s="1242"/>
      <c r="BF101" s="1162"/>
      <c r="BG101" s="1162"/>
      <c r="BH101" s="1162"/>
      <c r="BI101" s="1261"/>
      <c r="BJ101" s="1242"/>
      <c r="BK101" s="1162"/>
      <c r="BL101" s="1162"/>
      <c r="BM101" s="1162"/>
      <c r="BN101" s="1261"/>
      <c r="BO101" s="1242"/>
      <c r="BP101" s="1162"/>
      <c r="BQ101" s="1162"/>
      <c r="BR101" s="1162"/>
      <c r="BS101" s="1261"/>
      <c r="BT101" s="1242"/>
      <c r="BU101" s="1162"/>
      <c r="BV101" s="1162"/>
      <c r="BW101" s="1162"/>
      <c r="BX101" s="1261"/>
      <c r="BY101" s="1242"/>
      <c r="BZ101" s="1162"/>
      <c r="CA101" s="1162"/>
      <c r="CB101" s="1162"/>
      <c r="CC101" s="1757"/>
      <c r="CD101" s="1242"/>
      <c r="CE101" s="1162"/>
      <c r="CF101" s="1162"/>
      <c r="CG101" s="1162"/>
      <c r="CH101" s="1757"/>
      <c r="CI101" s="1162"/>
      <c r="CJ101" s="860"/>
      <c r="CK101" s="1233"/>
      <c r="CL101" s="860"/>
      <c r="CM101" s="860"/>
      <c r="CN101" s="860"/>
      <c r="CO101" s="1232"/>
      <c r="CP101" s="1233"/>
      <c r="CQ101" s="860"/>
      <c r="CR101" s="860"/>
      <c r="CS101" s="860"/>
      <c r="CT101" s="1232"/>
      <c r="CU101" s="1233"/>
      <c r="CV101" s="860"/>
      <c r="CW101" s="860"/>
      <c r="CX101" s="860"/>
      <c r="CY101" s="1232"/>
      <c r="CZ101" s="1233"/>
      <c r="DA101" s="860"/>
      <c r="DB101" s="860"/>
      <c r="DC101" s="860"/>
      <c r="DD101" s="1232"/>
      <c r="DE101" s="1233"/>
      <c r="DF101" s="860"/>
      <c r="DG101" s="860"/>
      <c r="DH101" s="860"/>
      <c r="DI101" s="1232"/>
      <c r="DJ101" s="1233"/>
      <c r="DK101" s="860"/>
      <c r="DL101" s="860"/>
      <c r="DM101" s="860"/>
      <c r="DN101" s="1232"/>
      <c r="DO101" s="1233"/>
      <c r="DP101" s="860"/>
      <c r="DQ101" s="860"/>
      <c r="DR101" s="860"/>
      <c r="DS101" s="1232"/>
      <c r="DT101" s="1233"/>
      <c r="DU101" s="860"/>
      <c r="DV101" s="860"/>
      <c r="DW101" s="860"/>
      <c r="DX101" s="1232"/>
      <c r="DY101" s="1233"/>
      <c r="DZ101" s="860"/>
      <c r="EA101" s="860"/>
      <c r="EB101" s="860"/>
      <c r="EC101" s="1232"/>
      <c r="ED101" s="860"/>
      <c r="EE101" s="860"/>
      <c r="EF101" s="860"/>
      <c r="EG101" s="860"/>
      <c r="EH101" s="860"/>
      <c r="EI101" s="1233"/>
      <c r="EJ101" s="860"/>
      <c r="EK101" s="860">
        <v>-138</v>
      </c>
      <c r="EL101" s="860"/>
      <c r="EM101" s="1232"/>
      <c r="EN101" s="1233"/>
      <c r="EO101" s="860"/>
      <c r="EP101" s="860"/>
      <c r="EQ101" s="860"/>
      <c r="ER101" s="1232"/>
      <c r="ES101" s="860"/>
      <c r="ET101" s="860"/>
      <c r="EU101" s="860"/>
      <c r="EV101" s="860"/>
      <c r="EW101" s="1232"/>
      <c r="EX101" s="1233"/>
      <c r="EY101" s="860"/>
      <c r="EZ101" s="860"/>
      <c r="FA101" s="860"/>
      <c r="FB101" s="1754"/>
      <c r="FC101" s="1233"/>
      <c r="FD101" s="860"/>
      <c r="FE101" s="860"/>
      <c r="FF101" s="860"/>
      <c r="FG101" s="860"/>
      <c r="FH101" s="860"/>
      <c r="FI101" s="860"/>
      <c r="FJ101" s="860"/>
      <c r="FY101" s="860"/>
      <c r="FZ101" s="860"/>
      <c r="GA101" s="860"/>
      <c r="GB101" s="860"/>
      <c r="GC101" s="860"/>
      <c r="GD101" s="860"/>
      <c r="GE101" s="860"/>
      <c r="GF101" s="860"/>
      <c r="GG101" s="860"/>
      <c r="GH101" s="860"/>
      <c r="GI101" s="860"/>
      <c r="GJ101" s="860"/>
      <c r="GK101" s="860"/>
      <c r="GL101" s="860"/>
      <c r="GM101" s="860"/>
      <c r="GN101" s="860"/>
      <c r="GO101" s="860"/>
      <c r="GP101" s="860"/>
      <c r="GQ101" s="860"/>
      <c r="GR101" s="1241"/>
      <c r="GS101" s="1218"/>
      <c r="GT101" s="1241"/>
      <c r="GU101" s="1218"/>
      <c r="GV101" s="1241"/>
      <c r="GW101" s="1218"/>
      <c r="GX101" s="1218"/>
      <c r="GY101" s="1241"/>
      <c r="GZ101" s="1218"/>
      <c r="HA101" s="1218"/>
      <c r="HB101" s="1241"/>
      <c r="HC101" s="1218"/>
      <c r="HD101" s="2000"/>
      <c r="HE101" s="1241"/>
      <c r="HF101" s="1218"/>
      <c r="HG101" s="2000"/>
      <c r="HH101" s="1241"/>
      <c r="HI101" s="1241"/>
      <c r="HJ101" s="1218"/>
      <c r="HK101" s="2000"/>
      <c r="HL101" s="1241"/>
      <c r="HM101" s="1218"/>
      <c r="HN101" s="2000"/>
      <c r="HO101" s="1241"/>
      <c r="HP101" s="1218"/>
      <c r="HQ101" s="2000"/>
      <c r="HR101" s="1241"/>
    </row>
    <row r="102" spans="1:226">
      <c r="A102" s="1287" t="s">
        <v>725</v>
      </c>
      <c r="B102" s="1233"/>
      <c r="C102" s="860"/>
      <c r="D102" s="860"/>
      <c r="E102" s="860"/>
      <c r="F102" s="1232"/>
      <c r="G102" s="1233"/>
      <c r="H102" s="860"/>
      <c r="I102" s="860"/>
      <c r="J102" s="860"/>
      <c r="K102" s="1232"/>
      <c r="L102" s="1233"/>
      <c r="M102" s="860"/>
      <c r="N102" s="1162"/>
      <c r="O102" s="860"/>
      <c r="P102" s="1232"/>
      <c r="Q102" s="1233"/>
      <c r="R102" s="860"/>
      <c r="S102" s="860"/>
      <c r="T102" s="860"/>
      <c r="U102" s="1232"/>
      <c r="V102" s="1233"/>
      <c r="W102" s="860"/>
      <c r="X102" s="860">
        <v>4.4000000000000004</v>
      </c>
      <c r="Y102" s="860">
        <f>23.2-V102-W102-X102</f>
        <v>18.799999999999997</v>
      </c>
      <c r="Z102" s="1261"/>
      <c r="AA102" s="1242"/>
      <c r="AB102" s="1162"/>
      <c r="AC102" s="1162"/>
      <c r="AD102" s="1162"/>
      <c r="AE102" s="1261"/>
      <c r="AF102" s="1242"/>
      <c r="AG102" s="1162"/>
      <c r="AH102" s="1162"/>
      <c r="AI102" s="1162"/>
      <c r="AJ102" s="1261"/>
      <c r="AK102" s="1242"/>
      <c r="AL102" s="1162"/>
      <c r="AM102" s="1162"/>
      <c r="AN102" s="1162"/>
      <c r="AO102" s="1261"/>
      <c r="AP102" s="1242"/>
      <c r="AQ102" s="1162"/>
      <c r="AR102" s="1162"/>
      <c r="AS102" s="1162"/>
      <c r="AT102" s="1261"/>
      <c r="AU102" s="1242"/>
      <c r="AV102" s="1162"/>
      <c r="AW102" s="1162"/>
      <c r="AX102" s="1162"/>
      <c r="AY102" s="1261"/>
      <c r="AZ102" s="1242"/>
      <c r="BA102" s="1162"/>
      <c r="BB102" s="1162"/>
      <c r="BC102" s="1162"/>
      <c r="BD102" s="1261"/>
      <c r="BE102" s="1242"/>
      <c r="BF102" s="1162"/>
      <c r="BG102" s="1162"/>
      <c r="BH102" s="1162"/>
      <c r="BI102" s="1261"/>
      <c r="BJ102" s="1242"/>
      <c r="BK102" s="1162"/>
      <c r="BL102" s="1162"/>
      <c r="BM102" s="1162"/>
      <c r="BN102" s="1261"/>
      <c r="BO102" s="1242"/>
      <c r="BP102" s="1162"/>
      <c r="BQ102" s="1162"/>
      <c r="BR102" s="1162"/>
      <c r="BS102" s="1261"/>
      <c r="BT102" s="1242"/>
      <c r="BU102" s="1162"/>
      <c r="BV102" s="1162"/>
      <c r="BW102" s="1162"/>
      <c r="BX102" s="1261"/>
      <c r="BY102" s="1242"/>
      <c r="BZ102" s="1162"/>
      <c r="CA102" s="1162"/>
      <c r="CB102" s="1162"/>
      <c r="CC102" s="1757"/>
      <c r="CD102" s="1242"/>
      <c r="CE102" s="1162"/>
      <c r="CF102" s="1162"/>
      <c r="CG102" s="1162"/>
      <c r="CH102" s="1757"/>
      <c r="CI102" s="1162"/>
      <c r="CJ102" s="860"/>
      <c r="CK102" s="1233"/>
      <c r="CL102" s="860"/>
      <c r="CM102" s="860"/>
      <c r="CN102" s="860"/>
      <c r="CO102" s="1232"/>
      <c r="CP102" s="1233"/>
      <c r="CQ102" s="860"/>
      <c r="CR102" s="860"/>
      <c r="CS102" s="860"/>
      <c r="CT102" s="1232"/>
      <c r="CU102" s="1233"/>
      <c r="CV102" s="860"/>
      <c r="CW102" s="860"/>
      <c r="CX102" s="860"/>
      <c r="CY102" s="1232"/>
      <c r="CZ102" s="1233">
        <v>19</v>
      </c>
      <c r="DA102" s="860">
        <f>CJ102*CZ102</f>
        <v>0</v>
      </c>
      <c r="DB102" s="860">
        <f>DA102/4</f>
        <v>0</v>
      </c>
      <c r="DC102" s="1217">
        <f>DB102/AC7</f>
        <v>0</v>
      </c>
      <c r="DD102" s="1232"/>
      <c r="DE102" s="1233"/>
      <c r="DF102" s="860"/>
      <c r="DG102" s="860"/>
      <c r="DH102" s="860"/>
      <c r="DI102" s="1232"/>
      <c r="DJ102" s="1233"/>
      <c r="DK102" s="860"/>
      <c r="DL102" s="860"/>
      <c r="DM102" s="860"/>
      <c r="DN102" s="1232"/>
      <c r="DO102" s="1233"/>
      <c r="DP102" s="860"/>
      <c r="DQ102" s="860"/>
      <c r="DR102" s="860"/>
      <c r="DS102" s="1232"/>
      <c r="DT102" s="1233"/>
      <c r="DU102" s="860"/>
      <c r="DV102" s="860"/>
      <c r="DW102" s="860"/>
      <c r="DX102" s="1232"/>
      <c r="DY102" s="1233"/>
      <c r="DZ102" s="860"/>
      <c r="EA102" s="860"/>
      <c r="EB102" s="860"/>
      <c r="EC102" s="1232"/>
      <c r="ED102" s="860"/>
      <c r="EE102" s="860"/>
      <c r="EF102" s="860"/>
      <c r="EG102" s="860"/>
      <c r="EH102" s="860"/>
      <c r="EI102" s="1233"/>
      <c r="EJ102" s="860"/>
      <c r="EK102" s="860">
        <v>1007</v>
      </c>
      <c r="EL102" s="860"/>
      <c r="EM102" s="1232"/>
      <c r="EN102" s="1233"/>
      <c r="EO102" s="860"/>
      <c r="EP102" s="860"/>
      <c r="EQ102" s="860"/>
      <c r="ER102" s="1232"/>
      <c r="ES102" s="860"/>
      <c r="ET102" s="860"/>
      <c r="EU102" s="860"/>
      <c r="EV102" s="860"/>
      <c r="EW102" s="1232"/>
      <c r="EX102" s="1233"/>
      <c r="EY102" s="860"/>
      <c r="EZ102" s="860"/>
      <c r="FA102" s="860"/>
      <c r="FB102" s="1754"/>
      <c r="FC102" s="1233"/>
      <c r="FD102" s="860"/>
      <c r="FE102" s="860"/>
      <c r="FF102" s="860"/>
      <c r="FG102" s="860"/>
      <c r="FH102" s="860"/>
      <c r="FI102" s="860"/>
      <c r="FJ102" s="860"/>
      <c r="FY102" s="860"/>
      <c r="FZ102" s="860"/>
      <c r="GA102" s="860"/>
      <c r="GB102" s="860"/>
      <c r="GC102" s="860"/>
      <c r="GD102" s="860"/>
      <c r="GE102" s="860"/>
      <c r="GF102" s="860"/>
      <c r="GG102" s="860"/>
      <c r="GH102" s="860"/>
      <c r="GI102" s="860"/>
      <c r="GJ102" s="860"/>
      <c r="GK102" s="860"/>
      <c r="GL102" s="860"/>
      <c r="GM102" s="860"/>
      <c r="GN102" s="860"/>
      <c r="GO102" s="860"/>
      <c r="GP102" s="860"/>
      <c r="GQ102" s="860"/>
      <c r="GR102" s="1241"/>
      <c r="GS102" s="1218"/>
      <c r="GT102" s="1241"/>
      <c r="GU102" s="1218"/>
      <c r="GV102" s="1241"/>
      <c r="GW102" s="1218"/>
      <c r="GX102" s="1218"/>
      <c r="GY102" s="1241"/>
      <c r="GZ102" s="1218"/>
      <c r="HA102" s="1218"/>
      <c r="HB102" s="1241"/>
      <c r="HC102" s="1218"/>
      <c r="HD102" s="2000"/>
      <c r="HE102" s="1241"/>
      <c r="HF102" s="1218"/>
      <c r="HG102" s="2000"/>
      <c r="HH102" s="1241"/>
      <c r="HI102" s="1241"/>
      <c r="HJ102" s="1218"/>
      <c r="HK102" s="2000"/>
      <c r="HL102" s="1241"/>
      <c r="HM102" s="1218"/>
      <c r="HN102" s="2000"/>
      <c r="HO102" s="1241"/>
      <c r="HP102" s="1218"/>
      <c r="HQ102" s="2000"/>
      <c r="HR102" s="1241"/>
    </row>
    <row r="103" spans="1:226">
      <c r="A103" s="1287" t="s">
        <v>726</v>
      </c>
      <c r="B103" s="1233"/>
      <c r="C103" s="860"/>
      <c r="D103" s="860"/>
      <c r="E103" s="860"/>
      <c r="F103" s="1232"/>
      <c r="G103" s="1233"/>
      <c r="H103" s="860"/>
      <c r="I103" s="860"/>
      <c r="J103" s="860"/>
      <c r="K103" s="1232"/>
      <c r="L103" s="1233"/>
      <c r="M103" s="860"/>
      <c r="N103" s="1162"/>
      <c r="O103" s="860"/>
      <c r="P103" s="1232"/>
      <c r="Q103" s="1233"/>
      <c r="R103" s="860"/>
      <c r="S103" s="860"/>
      <c r="T103" s="860"/>
      <c r="U103" s="1232"/>
      <c r="V103" s="1233">
        <v>73.400000000000006</v>
      </c>
      <c r="W103" s="860">
        <v>89.6</v>
      </c>
      <c r="X103" s="860">
        <v>102.4</v>
      </c>
      <c r="Y103" s="860">
        <f>388.8-V103-W103-X103</f>
        <v>123.39999999999998</v>
      </c>
      <c r="Z103" s="1232">
        <f>Master!M91</f>
        <v>388.8</v>
      </c>
      <c r="AA103" s="1233">
        <v>73.099999999999994</v>
      </c>
      <c r="AB103" s="1285">
        <v>82</v>
      </c>
      <c r="AC103" s="860">
        <v>89.5</v>
      </c>
      <c r="AD103" s="1285">
        <f>361.6-AA103-AB103-AC103</f>
        <v>117</v>
      </c>
      <c r="AE103" s="1261"/>
      <c r="AF103" s="1332">
        <v>87.8</v>
      </c>
      <c r="AG103" s="1285">
        <v>101.2</v>
      </c>
      <c r="AH103" s="1285">
        <v>83.9</v>
      </c>
      <c r="AI103" s="1285">
        <f>346.6-AF103-AG103-AH103</f>
        <v>73.700000000000017</v>
      </c>
      <c r="AJ103" s="1261"/>
      <c r="AK103" s="1233">
        <v>53</v>
      </c>
      <c r="AL103" s="860">
        <v>48.6</v>
      </c>
      <c r="AM103" s="860">
        <v>48.9</v>
      </c>
      <c r="AN103" s="860">
        <f>211.4-AK103-AL103-AM103</f>
        <v>60.900000000000013</v>
      </c>
      <c r="AO103" s="1261"/>
      <c r="AP103" s="1233">
        <v>40</v>
      </c>
      <c r="AQ103" s="860">
        <v>56</v>
      </c>
      <c r="AR103" s="860">
        <v>45.3</v>
      </c>
      <c r="AS103" s="860">
        <f>209.6-AP103-AQ103-AR103</f>
        <v>68.3</v>
      </c>
      <c r="AT103" s="1333">
        <f>Master!Q91</f>
        <v>209.6</v>
      </c>
      <c r="AU103" s="1332">
        <v>47.1</v>
      </c>
      <c r="AV103" s="1285">
        <v>38</v>
      </c>
      <c r="AW103" s="1285">
        <v>50.5</v>
      </c>
      <c r="AX103" s="1285">
        <f>209.1-AU103-AV103-AW103</f>
        <v>73.5</v>
      </c>
      <c r="AY103" s="1333"/>
      <c r="AZ103" s="1332">
        <v>61.8</v>
      </c>
      <c r="BA103" s="1285">
        <v>53.8</v>
      </c>
      <c r="BB103" s="1285">
        <v>64.900000000000006</v>
      </c>
      <c r="BC103" s="1285">
        <f>BD103-AZ103-BA103-BB103</f>
        <v>69.69999999999996</v>
      </c>
      <c r="BD103" s="1333">
        <f>Master!S91</f>
        <v>250.2</v>
      </c>
      <c r="BE103" s="1332">
        <v>73.599999999999994</v>
      </c>
      <c r="BF103" s="1285">
        <v>54.9</v>
      </c>
      <c r="BG103" s="1285">
        <v>63.3</v>
      </c>
      <c r="BH103" s="1285">
        <f>244.1-BG103-BF103-BE103</f>
        <v>52.300000000000011</v>
      </c>
      <c r="BI103" s="1333">
        <f>Master!T91</f>
        <v>244.1</v>
      </c>
      <c r="BJ103" s="1349">
        <v>55.1</v>
      </c>
      <c r="BK103" s="1289">
        <v>54.9</v>
      </c>
      <c r="BL103" s="1289">
        <v>41.6</v>
      </c>
      <c r="BM103" s="1289">
        <f>193.1-BJ103-BK103-BL103</f>
        <v>41.499999999999993</v>
      </c>
      <c r="BN103" s="1333">
        <f>Master!U91</f>
        <v>193.1</v>
      </c>
      <c r="BO103" s="1349">
        <v>42.9</v>
      </c>
      <c r="BP103" s="1289">
        <v>40.6</v>
      </c>
      <c r="BQ103" s="1289">
        <v>28.4</v>
      </c>
      <c r="BR103" s="1289">
        <f>149.2-BO103-BP103-BQ103</f>
        <v>37.29999999999999</v>
      </c>
      <c r="BS103" s="1333">
        <f>Master!V91</f>
        <v>149.19999999999999</v>
      </c>
      <c r="BT103" s="1349">
        <v>24</v>
      </c>
      <c r="BU103" s="1289">
        <v>26.1</v>
      </c>
      <c r="BV103" s="1289">
        <v>11.4</v>
      </c>
      <c r="BW103" s="1289">
        <f>83.3-BT103-BU103-BV103</f>
        <v>21.799999999999997</v>
      </c>
      <c r="BX103" s="1333">
        <f>Master!W91</f>
        <v>83.3</v>
      </c>
      <c r="BY103" s="1349"/>
      <c r="BZ103" s="1289"/>
      <c r="CA103" s="1289"/>
      <c r="CB103" s="1289"/>
      <c r="CC103" s="1771">
        <f>Master!X91</f>
        <v>85.38235012935904</v>
      </c>
      <c r="CD103" s="1349"/>
      <c r="CE103" s="1289"/>
      <c r="CF103" s="1289"/>
      <c r="CG103" s="1289"/>
      <c r="CH103" s="1771">
        <f>Master!Y91</f>
        <v>71.462119205298023</v>
      </c>
      <c r="CI103" s="1285"/>
      <c r="CJ103" s="1274"/>
      <c r="CK103" s="1233"/>
      <c r="CL103" s="860"/>
      <c r="CM103" s="860"/>
      <c r="CN103" s="860"/>
      <c r="CO103" s="1232"/>
      <c r="CP103" s="1233"/>
      <c r="CQ103" s="860"/>
      <c r="CR103" s="860"/>
      <c r="CS103" s="860"/>
      <c r="CT103" s="1232"/>
      <c r="CU103" s="1233"/>
      <c r="CV103" s="860"/>
      <c r="CW103" s="860"/>
      <c r="CX103" s="860"/>
      <c r="CY103" s="1232"/>
      <c r="CZ103" s="1233">
        <f>CZ102</f>
        <v>19</v>
      </c>
      <c r="DA103" s="860">
        <v>800</v>
      </c>
      <c r="DB103" s="1274">
        <f>DA103/12</f>
        <v>66.666666666666671</v>
      </c>
      <c r="DC103" s="1217">
        <f>DB103/AC7</f>
        <v>7.7285725326532197E-3</v>
      </c>
      <c r="DD103" s="1232"/>
      <c r="DE103" s="1233"/>
      <c r="DF103" s="860"/>
      <c r="DG103" s="860"/>
      <c r="DH103" s="860"/>
      <c r="DI103" s="1232"/>
      <c r="DJ103" s="1233"/>
      <c r="DK103" s="860"/>
      <c r="DL103" s="860"/>
      <c r="DM103" s="860"/>
      <c r="DN103" s="1232"/>
      <c r="DO103" s="1233"/>
      <c r="DP103" s="860"/>
      <c r="DQ103" s="860"/>
      <c r="DR103" s="860"/>
      <c r="DS103" s="1232"/>
      <c r="DT103" s="1233"/>
      <c r="DU103" s="860"/>
      <c r="DV103" s="860"/>
      <c r="DW103" s="860"/>
      <c r="DX103" s="1232"/>
      <c r="DY103" s="1233"/>
      <c r="DZ103" s="860"/>
      <c r="EA103" s="860"/>
      <c r="EB103" s="860"/>
      <c r="EC103" s="1232"/>
      <c r="ED103" s="860"/>
      <c r="EE103" s="860"/>
      <c r="EF103" s="860"/>
      <c r="EG103" s="860"/>
      <c r="EH103" s="860"/>
      <c r="EI103" s="1233"/>
      <c r="EJ103" s="860"/>
      <c r="EK103" s="860">
        <f>SUM(EK99:EK102)</f>
        <v>-4306</v>
      </c>
      <c r="EL103" s="860"/>
      <c r="EM103" s="1232"/>
      <c r="EN103" s="1233"/>
      <c r="EO103" s="860"/>
      <c r="EP103" s="860"/>
      <c r="EQ103" s="860"/>
      <c r="ER103" s="1232"/>
      <c r="ES103" s="860"/>
      <c r="ET103" s="860"/>
      <c r="EU103" s="860"/>
      <c r="EV103" s="860"/>
      <c r="EW103" s="1232"/>
      <c r="EX103" s="1233"/>
      <c r="EY103" s="860"/>
      <c r="EZ103" s="860"/>
      <c r="FA103" s="860"/>
      <c r="FB103" s="1754"/>
      <c r="FC103" s="1233"/>
      <c r="FD103" s="860"/>
      <c r="FE103" s="860"/>
      <c r="FF103" s="860"/>
      <c r="FG103" s="860"/>
      <c r="FH103" s="860"/>
      <c r="FI103" s="860"/>
      <c r="FJ103" s="860"/>
      <c r="FY103" s="860"/>
      <c r="FZ103" s="860"/>
      <c r="GA103" s="860"/>
      <c r="GB103" s="860"/>
      <c r="GC103" s="860"/>
      <c r="GD103" s="860"/>
      <c r="GE103" s="860"/>
      <c r="GF103" s="860"/>
      <c r="GG103" s="860"/>
      <c r="GH103" s="860"/>
      <c r="GI103" s="860"/>
      <c r="GJ103" s="860"/>
      <c r="GK103" s="860"/>
      <c r="GL103" s="860"/>
      <c r="GM103" s="860"/>
      <c r="GN103" s="860"/>
      <c r="GO103" s="860"/>
      <c r="GP103" s="860"/>
      <c r="GQ103" s="860"/>
      <c r="GR103" s="1286">
        <v>44</v>
      </c>
      <c r="GS103" s="1218"/>
      <c r="GT103" s="1286">
        <v>55.888918721507402</v>
      </c>
      <c r="GU103" s="1218"/>
      <c r="GV103" s="1286">
        <v>42.9</v>
      </c>
      <c r="GW103" s="1218"/>
      <c r="GX103" s="1218"/>
      <c r="GY103" s="1286">
        <v>40</v>
      </c>
      <c r="GZ103" s="1218"/>
      <c r="HA103" s="1218"/>
      <c r="HB103" s="1286">
        <v>30</v>
      </c>
      <c r="HC103" s="1218"/>
      <c r="HD103" s="2000"/>
      <c r="HE103" s="1637">
        <v>49.232412129065096</v>
      </c>
      <c r="HF103" s="1218"/>
      <c r="HG103" s="2000"/>
      <c r="HH103" s="1286"/>
      <c r="HI103" s="1286"/>
      <c r="HJ103" s="1218"/>
      <c r="HK103" s="2000"/>
      <c r="HL103" s="1286"/>
      <c r="HM103" s="1218"/>
      <c r="HN103" s="2000"/>
      <c r="HO103" s="1286"/>
      <c r="HP103" s="1218"/>
      <c r="HQ103" s="2000"/>
      <c r="HR103" s="1286"/>
    </row>
    <row r="104" spans="1:226">
      <c r="A104" s="1287" t="s">
        <v>727</v>
      </c>
      <c r="B104" s="1233"/>
      <c r="C104" s="860"/>
      <c r="D104" s="860"/>
      <c r="E104" s="860"/>
      <c r="F104" s="1232"/>
      <c r="G104" s="1233"/>
      <c r="H104" s="860"/>
      <c r="I104" s="860"/>
      <c r="J104" s="860"/>
      <c r="K104" s="1232"/>
      <c r="L104" s="1233"/>
      <c r="M104" s="860"/>
      <c r="N104" s="860"/>
      <c r="O104" s="860"/>
      <c r="P104" s="1232"/>
      <c r="Q104" s="1233"/>
      <c r="R104" s="860"/>
      <c r="S104" s="860"/>
      <c r="T104" s="860"/>
      <c r="U104" s="1232"/>
      <c r="V104" s="1233">
        <f>V96-V97-V103</f>
        <v>23.299999999999983</v>
      </c>
      <c r="W104" s="860">
        <f>W96-W97-W103</f>
        <v>35.900000000000006</v>
      </c>
      <c r="X104" s="860">
        <v>46.8</v>
      </c>
      <c r="Y104" s="860">
        <f>181.4-V104-W104-X104</f>
        <v>75.40000000000002</v>
      </c>
      <c r="Z104" s="1232">
        <f>Master!M90</f>
        <v>181.39999999999998</v>
      </c>
      <c r="AA104" s="1233">
        <v>15.3</v>
      </c>
      <c r="AB104" s="860">
        <v>30.1</v>
      </c>
      <c r="AC104" s="860">
        <v>53.3</v>
      </c>
      <c r="AD104" s="860">
        <f>166.6-AA104-AB104-AC104</f>
        <v>67.899999999999991</v>
      </c>
      <c r="AE104" s="1261"/>
      <c r="AF104" s="1233">
        <v>33.9</v>
      </c>
      <c r="AG104" s="860">
        <v>26.3</v>
      </c>
      <c r="AH104" s="860">
        <v>50.9</v>
      </c>
      <c r="AI104" s="860">
        <f>150-AF104-AG104-AH104</f>
        <v>38.9</v>
      </c>
      <c r="AJ104" s="1261"/>
      <c r="AK104" s="1233">
        <v>13.9</v>
      </c>
      <c r="AL104" s="860">
        <v>13.9</v>
      </c>
      <c r="AM104" s="860">
        <v>30</v>
      </c>
      <c r="AN104" s="860">
        <f>113.6-AK104-AL104-AM104</f>
        <v>55.799999999999983</v>
      </c>
      <c r="AO104" s="1261"/>
      <c r="AP104" s="1233">
        <v>12.6</v>
      </c>
      <c r="AQ104" s="860">
        <v>25.8</v>
      </c>
      <c r="AR104" s="860">
        <v>36.700000000000003</v>
      </c>
      <c r="AS104" s="860">
        <f>94.8-AP104-AQ104-AR104</f>
        <v>19.700000000000003</v>
      </c>
      <c r="AT104" s="1333">
        <f>Master!Q90</f>
        <v>94.8</v>
      </c>
      <c r="AU104" s="1332">
        <v>6.1</v>
      </c>
      <c r="AV104" s="1285">
        <v>14.3</v>
      </c>
      <c r="AW104" s="1285">
        <v>22.3</v>
      </c>
      <c r="AX104" s="1285">
        <f>107.8-AU104-AV104-AW104</f>
        <v>65.100000000000009</v>
      </c>
      <c r="AY104" s="1333"/>
      <c r="AZ104" s="1332">
        <v>4.7</v>
      </c>
      <c r="BA104" s="1285">
        <v>6.7</v>
      </c>
      <c r="BB104" s="1285">
        <v>13.8</v>
      </c>
      <c r="BC104" s="1285">
        <f>BD104-AZ104-BA104-BB104</f>
        <v>1.5</v>
      </c>
      <c r="BD104" s="1333">
        <f>Master!S90</f>
        <v>26.7</v>
      </c>
      <c r="BE104" s="1332">
        <v>1.7</v>
      </c>
      <c r="BF104" s="1285">
        <v>19.2</v>
      </c>
      <c r="BG104" s="1285">
        <v>25.3</v>
      </c>
      <c r="BH104" s="1285">
        <f>50.5-BG104-BF104-BE104</f>
        <v>4.3</v>
      </c>
      <c r="BI104" s="1333">
        <f>Master!T90</f>
        <v>50.5</v>
      </c>
      <c r="BJ104" s="1349">
        <f>1.8+3.4</f>
        <v>5.2</v>
      </c>
      <c r="BK104" s="1289">
        <v>0.1</v>
      </c>
      <c r="BL104" s="1289">
        <v>3.3</v>
      </c>
      <c r="BM104" s="1289">
        <f>17.4-BJ104-BK104-BL104</f>
        <v>8.8000000000000007</v>
      </c>
      <c r="BN104" s="1333">
        <f>Master!U90</f>
        <v>17</v>
      </c>
      <c r="BO104" s="1349">
        <v>0.7</v>
      </c>
      <c r="BP104" s="1289">
        <v>11.3</v>
      </c>
      <c r="BQ104" s="1289">
        <v>17.2</v>
      </c>
      <c r="BR104" s="1289">
        <f>46.3-BO104-BP104-BQ104</f>
        <v>17.099999999999998</v>
      </c>
      <c r="BS104" s="1333">
        <f>Master!V90</f>
        <v>37.200000000000003</v>
      </c>
      <c r="BT104" s="1349">
        <v>0.1</v>
      </c>
      <c r="BU104" s="1289">
        <v>0</v>
      </c>
      <c r="BV104" s="1289">
        <v>1.4</v>
      </c>
      <c r="BW104" s="1289">
        <f>9.7+0.8-BT104-BU104-BV104</f>
        <v>9</v>
      </c>
      <c r="BX104" s="1333">
        <f>Master!W90</f>
        <v>0.8</v>
      </c>
      <c r="BY104" s="1349"/>
      <c r="BZ104" s="1289"/>
      <c r="CA104" s="1289"/>
      <c r="CB104" s="1289"/>
      <c r="CC104" s="1771">
        <f>Master!X90</f>
        <v>0.76289734236581552</v>
      </c>
      <c r="CD104" s="1349"/>
      <c r="CE104" s="1289"/>
      <c r="CF104" s="1289"/>
      <c r="CG104" s="1289"/>
      <c r="CH104" s="1771">
        <f>Master!Y90</f>
        <v>0.84307515116613885</v>
      </c>
      <c r="CI104" s="1285"/>
      <c r="CK104" s="1233"/>
      <c r="CL104" s="860"/>
      <c r="CM104" s="860"/>
      <c r="CN104" s="860"/>
      <c r="CO104" s="1232"/>
      <c r="CP104" s="1233"/>
      <c r="CQ104" s="860"/>
      <c r="CR104" s="860"/>
      <c r="CS104" s="860"/>
      <c r="CT104" s="1232"/>
      <c r="CU104" s="1233"/>
      <c r="CV104" s="860"/>
      <c r="CW104" s="860"/>
      <c r="CX104" s="860"/>
      <c r="CY104" s="1232"/>
      <c r="CZ104" s="1233"/>
      <c r="DA104" s="860"/>
      <c r="DB104" s="860"/>
      <c r="DC104" s="860"/>
      <c r="DD104" s="1232"/>
      <c r="DE104" s="1233"/>
      <c r="DF104" s="860"/>
      <c r="DG104" s="860"/>
      <c r="DH104" s="860"/>
      <c r="DI104" s="1232"/>
      <c r="DJ104" s="1233"/>
      <c r="DK104" s="860"/>
      <c r="DL104" s="860"/>
      <c r="DM104" s="860"/>
      <c r="DN104" s="1232"/>
      <c r="DO104" s="1233"/>
      <c r="DP104" s="860"/>
      <c r="DQ104" s="860"/>
      <c r="DR104" s="860"/>
      <c r="DS104" s="1232"/>
      <c r="DT104" s="1233"/>
      <c r="DU104" s="860"/>
      <c r="DV104" s="860"/>
      <c r="DW104" s="860"/>
      <c r="DX104" s="1232"/>
      <c r="DY104" s="1233"/>
      <c r="DZ104" s="860"/>
      <c r="EA104" s="860"/>
      <c r="EB104" s="860"/>
      <c r="EC104" s="1232"/>
      <c r="ED104" s="860"/>
      <c r="EE104" s="860"/>
      <c r="EF104" s="860"/>
      <c r="EG104" s="860"/>
      <c r="EH104" s="860"/>
      <c r="EI104" s="1233"/>
      <c r="EJ104" s="860"/>
      <c r="EK104" s="860"/>
      <c r="EL104" s="860"/>
      <c r="EM104" s="1232"/>
      <c r="EN104" s="1233"/>
      <c r="EO104" s="860"/>
      <c r="EP104" s="860"/>
      <c r="EQ104" s="860"/>
      <c r="ER104" s="1232"/>
      <c r="ES104" s="860"/>
      <c r="ET104" s="860"/>
      <c r="EU104" s="860"/>
      <c r="EV104" s="860"/>
      <c r="EW104" s="1232"/>
      <c r="EX104" s="1233"/>
      <c r="EY104" s="860"/>
      <c r="EZ104" s="860"/>
      <c r="FA104" s="860"/>
      <c r="FB104" s="1754"/>
      <c r="FC104" s="1233"/>
      <c r="FD104" s="860"/>
      <c r="FE104" s="860"/>
      <c r="FF104" s="860"/>
      <c r="FG104" s="860"/>
      <c r="FH104" s="860"/>
      <c r="FI104" s="860"/>
      <c r="FJ104" s="860"/>
      <c r="FY104" s="860"/>
      <c r="FZ104" s="860"/>
      <c r="GA104" s="860"/>
      <c r="GB104" s="860"/>
      <c r="GC104" s="860"/>
      <c r="GD104" s="860"/>
      <c r="GE104" s="860"/>
      <c r="GF104" s="860"/>
      <c r="GG104" s="860"/>
      <c r="GH104" s="860"/>
      <c r="GI104" s="860"/>
      <c r="GJ104" s="860"/>
      <c r="GK104" s="860"/>
      <c r="GL104" s="860"/>
      <c r="GM104" s="860"/>
      <c r="GN104" s="860"/>
      <c r="GO104" s="860"/>
      <c r="GP104" s="860"/>
      <c r="GQ104" s="860"/>
      <c r="GR104" s="1286">
        <v>15</v>
      </c>
      <c r="GS104" s="1218"/>
      <c r="GT104" s="1286">
        <v>10.799999999999997</v>
      </c>
      <c r="GU104" s="1218"/>
      <c r="GV104" s="1286">
        <v>2</v>
      </c>
      <c r="GW104" s="1218"/>
      <c r="GX104" s="1218"/>
      <c r="GY104" s="1286">
        <v>0</v>
      </c>
      <c r="GZ104" s="1218"/>
      <c r="HA104" s="1218"/>
      <c r="HB104" s="1286">
        <v>0</v>
      </c>
      <c r="HC104" s="1218"/>
      <c r="HD104" s="2000"/>
      <c r="HE104" s="1637">
        <v>-1.4</v>
      </c>
      <c r="HF104" s="1218"/>
      <c r="HG104" s="2000"/>
      <c r="HH104" s="1286"/>
      <c r="HI104" s="1286"/>
      <c r="HJ104" s="1218"/>
      <c r="HK104" s="2000"/>
      <c r="HL104" s="1286"/>
      <c r="HM104" s="1218"/>
      <c r="HN104" s="2000"/>
      <c r="HO104" s="1286"/>
      <c r="HP104" s="1218"/>
      <c r="HQ104" s="2000"/>
      <c r="HR104" s="1286"/>
    </row>
    <row r="105" spans="1:226">
      <c r="A105" s="860"/>
      <c r="B105" s="1233"/>
      <c r="C105" s="860"/>
      <c r="D105" s="860"/>
      <c r="E105" s="860"/>
      <c r="F105" s="1232"/>
      <c r="G105" s="1233"/>
      <c r="H105" s="860"/>
      <c r="I105" s="860"/>
      <c r="J105" s="860"/>
      <c r="K105" s="1232"/>
      <c r="L105" s="1233"/>
      <c r="M105" s="860"/>
      <c r="N105" s="860"/>
      <c r="O105" s="860"/>
      <c r="P105" s="1232"/>
      <c r="Q105" s="1233"/>
      <c r="R105" s="860"/>
      <c r="S105" s="860"/>
      <c r="T105" s="860"/>
      <c r="U105" s="1232"/>
      <c r="V105" s="1233"/>
      <c r="W105" s="860"/>
      <c r="X105" s="860"/>
      <c r="Y105" s="860"/>
      <c r="Z105" s="1232"/>
      <c r="AA105" s="1233"/>
      <c r="AB105" s="860"/>
      <c r="AC105" s="860"/>
      <c r="AD105" s="860"/>
      <c r="AE105" s="1232"/>
      <c r="AF105" s="1233"/>
      <c r="AG105" s="860"/>
      <c r="AH105" s="860"/>
      <c r="AI105" s="860"/>
      <c r="AJ105" s="1232"/>
      <c r="AK105" s="1233"/>
      <c r="AL105" s="860"/>
      <c r="AM105" s="860"/>
      <c r="AN105" s="860"/>
      <c r="AO105" s="1232"/>
      <c r="AP105" s="1233"/>
      <c r="AQ105" s="860"/>
      <c r="AR105" s="860"/>
      <c r="AS105" s="860"/>
      <c r="AT105" s="1232"/>
      <c r="AU105" s="1233"/>
      <c r="AV105" s="860"/>
      <c r="AW105" s="860"/>
      <c r="AX105" s="860"/>
      <c r="AY105" s="1232"/>
      <c r="AZ105" s="1233"/>
      <c r="BA105" s="860"/>
      <c r="BB105" s="860"/>
      <c r="BC105" s="860"/>
      <c r="BD105" s="1232"/>
      <c r="BE105" s="1233"/>
      <c r="BF105" s="860"/>
      <c r="BG105" s="860"/>
      <c r="BH105" s="860"/>
      <c r="BI105" s="1232"/>
      <c r="BJ105" s="1233"/>
      <c r="BK105" s="860"/>
      <c r="BL105" s="860"/>
      <c r="BM105" s="860"/>
      <c r="BN105" s="1232"/>
      <c r="BO105" s="1233"/>
      <c r="BP105" s="860"/>
      <c r="BQ105" s="860"/>
      <c r="BR105" s="860"/>
      <c r="BS105" s="1232"/>
      <c r="BT105" s="1233"/>
      <c r="BU105" s="860"/>
      <c r="BV105" s="860"/>
      <c r="BW105" s="860"/>
      <c r="BX105" s="1232"/>
      <c r="BY105" s="1233"/>
      <c r="BZ105" s="860"/>
      <c r="CA105" s="860"/>
      <c r="CB105" s="860"/>
      <c r="CC105" s="1754"/>
      <c r="CD105" s="1233"/>
      <c r="CE105" s="860"/>
      <c r="CF105" s="860"/>
      <c r="CG105" s="860"/>
      <c r="CH105" s="1754"/>
      <c r="CI105" s="860"/>
      <c r="CK105" s="1233"/>
      <c r="CL105" s="860"/>
      <c r="CM105" s="860"/>
      <c r="CN105" s="860"/>
      <c r="CO105" s="1232"/>
      <c r="CP105" s="1233"/>
      <c r="CQ105" s="860"/>
      <c r="CR105" s="860"/>
      <c r="CS105" s="860"/>
      <c r="CT105" s="1232"/>
      <c r="CU105" s="1233"/>
      <c r="CV105" s="860"/>
      <c r="CW105" s="860"/>
      <c r="CX105" s="860"/>
      <c r="CY105" s="1232"/>
      <c r="CZ105" s="1233"/>
      <c r="DA105" s="860"/>
      <c r="DB105" s="860"/>
      <c r="DC105" s="860"/>
      <c r="DD105" s="1232"/>
      <c r="DE105" s="1233"/>
      <c r="DF105" s="860"/>
      <c r="DG105" s="860"/>
      <c r="DH105" s="860"/>
      <c r="DI105" s="1232"/>
      <c r="DJ105" s="1233"/>
      <c r="DK105" s="860"/>
      <c r="DL105" s="860"/>
      <c r="DM105" s="860"/>
      <c r="DN105" s="1232"/>
      <c r="DO105" s="1233"/>
      <c r="DP105" s="860"/>
      <c r="DQ105" s="860"/>
      <c r="DR105" s="860"/>
      <c r="DS105" s="1232"/>
      <c r="DT105" s="1233"/>
      <c r="DU105" s="860"/>
      <c r="DV105" s="860"/>
      <c r="DW105" s="860"/>
      <c r="DX105" s="1232"/>
      <c r="DY105" s="1233"/>
      <c r="DZ105" s="860"/>
      <c r="EA105" s="860"/>
      <c r="EB105" s="860"/>
      <c r="EC105" s="1232"/>
      <c r="ED105" s="860"/>
      <c r="EE105" s="860"/>
      <c r="EF105" s="860"/>
      <c r="EG105" s="860"/>
      <c r="EH105" s="860"/>
      <c r="EI105" s="1233"/>
      <c r="EJ105" s="860"/>
      <c r="EK105" s="860"/>
      <c r="EL105" s="860"/>
      <c r="EM105" s="1232"/>
      <c r="EN105" s="1233"/>
      <c r="EO105" s="860"/>
      <c r="EP105" s="860"/>
      <c r="EQ105" s="860"/>
      <c r="ER105" s="1232"/>
      <c r="ES105" s="860"/>
      <c r="ET105" s="860"/>
      <c r="EU105" s="860"/>
      <c r="EV105" s="860"/>
      <c r="EW105" s="1232"/>
      <c r="EX105" s="1233"/>
      <c r="EY105" s="860"/>
      <c r="EZ105" s="860"/>
      <c r="FA105" s="860"/>
      <c r="FB105" s="1754"/>
      <c r="FC105" s="1233"/>
      <c r="FD105" s="860"/>
      <c r="FE105" s="860"/>
      <c r="FF105" s="860"/>
      <c r="FG105" s="860"/>
      <c r="FH105" s="860"/>
      <c r="FI105" s="860"/>
      <c r="FJ105" s="860"/>
      <c r="FY105" s="860"/>
      <c r="FZ105" s="860"/>
      <c r="GA105" s="860"/>
      <c r="GB105" s="860"/>
      <c r="GC105" s="860"/>
      <c r="GD105" s="860"/>
      <c r="GE105" s="860"/>
      <c r="GF105" s="860"/>
      <c r="GG105" s="860"/>
      <c r="GH105" s="860"/>
      <c r="GI105" s="860"/>
      <c r="GJ105" s="860"/>
      <c r="GK105" s="860"/>
      <c r="GL105" s="860"/>
      <c r="GM105" s="860"/>
      <c r="GN105" s="860"/>
      <c r="GO105" s="860"/>
      <c r="GP105" s="860"/>
      <c r="GQ105" s="860"/>
      <c r="GR105" s="1218"/>
      <c r="GS105" s="1218"/>
      <c r="GT105" s="1218"/>
      <c r="GU105" s="1218"/>
      <c r="GV105" s="1218"/>
      <c r="GW105" s="1218"/>
      <c r="GX105" s="1218"/>
      <c r="GY105" s="1218"/>
      <c r="GZ105" s="1218"/>
      <c r="HA105" s="1218"/>
      <c r="HB105" s="1218"/>
      <c r="HC105" s="1218"/>
      <c r="HD105" s="2000"/>
      <c r="HE105" s="1218"/>
      <c r="HF105" s="1218"/>
      <c r="HG105" s="2000"/>
      <c r="HH105" s="1218"/>
      <c r="HI105" s="1218"/>
      <c r="HJ105" s="1218"/>
      <c r="HK105" s="2000"/>
      <c r="HL105" s="1218"/>
      <c r="HM105" s="1218"/>
      <c r="HN105" s="2000"/>
      <c r="HO105" s="1218"/>
      <c r="HP105" s="1218"/>
      <c r="HQ105" s="2000"/>
      <c r="HR105" s="1218"/>
    </row>
    <row r="106" spans="1:226">
      <c r="A106" s="1290"/>
      <c r="B106" s="1233"/>
      <c r="C106" s="860"/>
      <c r="D106" s="860"/>
      <c r="E106" s="860"/>
      <c r="F106" s="1232"/>
      <c r="G106" s="1233"/>
      <c r="H106" s="860"/>
      <c r="I106" s="860"/>
      <c r="J106" s="860"/>
      <c r="K106" s="1232"/>
      <c r="L106" s="1233"/>
      <c r="M106" s="860"/>
      <c r="N106" s="860"/>
      <c r="O106" s="860"/>
      <c r="P106" s="1232"/>
      <c r="Q106" s="1233"/>
      <c r="R106" s="860"/>
      <c r="S106" s="860"/>
      <c r="T106" s="860"/>
      <c r="U106" s="1232"/>
      <c r="V106" s="1233"/>
      <c r="W106" s="860"/>
      <c r="X106" s="860"/>
      <c r="Y106" s="860"/>
      <c r="Z106" s="1261"/>
      <c r="AA106" s="1242"/>
      <c r="AB106" s="1162"/>
      <c r="AC106" s="1162"/>
      <c r="AD106" s="1162"/>
      <c r="AE106" s="1261"/>
      <c r="AF106" s="1242"/>
      <c r="AG106" s="1162"/>
      <c r="AH106" s="1162"/>
      <c r="AI106" s="1162"/>
      <c r="AJ106" s="1261"/>
      <c r="AK106" s="1242"/>
      <c r="AL106" s="1162"/>
      <c r="AM106" s="1162"/>
      <c r="AN106" s="1162"/>
      <c r="AO106" s="1261"/>
      <c r="AP106" s="1242"/>
      <c r="AQ106" s="1162"/>
      <c r="AR106" s="1162"/>
      <c r="AS106" s="1162"/>
      <c r="AT106" s="1261"/>
      <c r="AU106" s="1242"/>
      <c r="AV106" s="1162"/>
      <c r="AW106" s="1162"/>
      <c r="AX106" s="1162"/>
      <c r="AY106" s="1261"/>
      <c r="AZ106" s="1242"/>
      <c r="BA106" s="1162"/>
      <c r="BB106" s="1162"/>
      <c r="BC106" s="1162"/>
      <c r="BD106" s="1261"/>
      <c r="BE106" s="1242"/>
      <c r="BF106" s="1162"/>
      <c r="BG106" s="1162"/>
      <c r="BH106" s="1162"/>
      <c r="BI106" s="1261"/>
      <c r="BJ106" s="1242"/>
      <c r="BK106" s="1162"/>
      <c r="BL106" s="1162"/>
      <c r="BM106" s="1162"/>
      <c r="BN106" s="1261"/>
      <c r="BO106" s="1242"/>
      <c r="BP106" s="1162"/>
      <c r="BQ106" s="1162"/>
      <c r="BR106" s="1162"/>
      <c r="BS106" s="1261"/>
      <c r="BT106" s="1242"/>
      <c r="BU106" s="1162"/>
      <c r="BV106" s="1162"/>
      <c r="BW106" s="1162"/>
      <c r="BX106" s="1261"/>
      <c r="BY106" s="1242"/>
      <c r="BZ106" s="1162"/>
      <c r="CA106" s="1162"/>
      <c r="CB106" s="1162"/>
      <c r="CC106" s="1757"/>
      <c r="CD106" s="1242"/>
      <c r="CE106" s="1162"/>
      <c r="CF106" s="1162"/>
      <c r="CG106" s="1162"/>
      <c r="CH106" s="1757"/>
      <c r="CI106" s="1162"/>
      <c r="CK106" s="1233"/>
      <c r="CL106" s="860"/>
      <c r="CM106" s="860"/>
      <c r="CN106" s="860"/>
      <c r="CO106" s="1232"/>
      <c r="CP106" s="1233"/>
      <c r="CQ106" s="860"/>
      <c r="CR106" s="860"/>
      <c r="CS106" s="860"/>
      <c r="CT106" s="1232"/>
      <c r="CU106" s="1233"/>
      <c r="CV106" s="860"/>
      <c r="CW106" s="860"/>
      <c r="CX106" s="860"/>
      <c r="CY106" s="1232"/>
      <c r="CZ106" s="1233"/>
      <c r="DA106" s="860"/>
      <c r="DB106" s="860"/>
      <c r="DC106" s="860"/>
      <c r="DD106" s="1232"/>
      <c r="DE106" s="1233"/>
      <c r="DF106" s="860"/>
      <c r="DG106" s="860"/>
      <c r="DH106" s="860"/>
      <c r="DI106" s="1232"/>
      <c r="DJ106" s="1233"/>
      <c r="DK106" s="860"/>
      <c r="DL106" s="860"/>
      <c r="DM106" s="860"/>
      <c r="DN106" s="1232"/>
      <c r="DO106" s="1233"/>
      <c r="DP106" s="860"/>
      <c r="DQ106" s="860"/>
      <c r="DR106" s="860"/>
      <c r="DS106" s="1232"/>
      <c r="DT106" s="1233"/>
      <c r="DU106" s="860"/>
      <c r="DV106" s="860"/>
      <c r="DW106" s="860"/>
      <c r="DX106" s="1232"/>
      <c r="DY106" s="1233"/>
      <c r="DZ106" s="860"/>
      <c r="EA106" s="860"/>
      <c r="EB106" s="860"/>
      <c r="EC106" s="1232"/>
      <c r="ED106" s="860"/>
      <c r="EE106" s="860"/>
      <c r="EF106" s="860"/>
      <c r="EG106" s="860"/>
      <c r="EH106" s="860"/>
      <c r="EI106" s="1233"/>
      <c r="EJ106" s="860"/>
      <c r="EK106" s="860">
        <v>4811</v>
      </c>
      <c r="EL106" s="860"/>
      <c r="EM106" s="1232"/>
      <c r="EN106" s="1233"/>
      <c r="EO106" s="860"/>
      <c r="EP106" s="860"/>
      <c r="EQ106" s="860"/>
      <c r="ER106" s="1232"/>
      <c r="ES106" s="860"/>
      <c r="ET106" s="860"/>
      <c r="EU106" s="860"/>
      <c r="EV106" s="860"/>
      <c r="EW106" s="1232"/>
      <c r="EX106" s="1233"/>
      <c r="EY106" s="860"/>
      <c r="EZ106" s="860"/>
      <c r="FA106" s="860"/>
      <c r="FB106" s="1754"/>
      <c r="FC106" s="1233"/>
      <c r="FD106" s="860"/>
      <c r="FE106" s="860"/>
      <c r="FF106" s="860"/>
      <c r="FG106" s="860"/>
      <c r="FH106" s="860"/>
      <c r="FI106" s="860"/>
      <c r="FJ106" s="860"/>
      <c r="FY106" s="860"/>
      <c r="FZ106" s="860"/>
      <c r="GA106" s="860"/>
      <c r="GB106" s="860"/>
      <c r="GC106" s="860"/>
      <c r="GD106" s="860"/>
      <c r="GE106" s="860"/>
      <c r="GF106" s="860"/>
      <c r="GG106" s="860"/>
      <c r="GH106" s="860"/>
      <c r="GI106" s="860"/>
      <c r="GJ106" s="860"/>
      <c r="GK106" s="860"/>
      <c r="GL106" s="860"/>
      <c r="GM106" s="860"/>
      <c r="GN106" s="860"/>
      <c r="GO106" s="860"/>
      <c r="GP106" s="860"/>
      <c r="GQ106" s="860"/>
      <c r="GR106" s="1241"/>
      <c r="GS106" s="1218"/>
      <c r="GT106" s="1241"/>
      <c r="GU106" s="1218"/>
      <c r="GV106" s="1241"/>
      <c r="GW106" s="1218"/>
      <c r="GX106" s="1218"/>
      <c r="GY106" s="1241"/>
      <c r="GZ106" s="1218"/>
      <c r="HA106" s="1218"/>
      <c r="HB106" s="1241"/>
      <c r="HC106" s="1218"/>
      <c r="HD106" s="2000"/>
      <c r="HE106" s="1241"/>
      <c r="HF106" s="1218"/>
      <c r="HG106" s="2000"/>
      <c r="HH106" s="1241"/>
      <c r="HI106" s="1241"/>
      <c r="HJ106" s="1218"/>
      <c r="HK106" s="2000"/>
      <c r="HL106" s="1241"/>
      <c r="HM106" s="1218"/>
      <c r="HN106" s="2000"/>
      <c r="HO106" s="1241"/>
      <c r="HP106" s="1218"/>
      <c r="HQ106" s="2000"/>
      <c r="HR106" s="1241"/>
    </row>
    <row r="107" spans="1:226">
      <c r="A107" s="860" t="s">
        <v>728</v>
      </c>
      <c r="B107" s="1233"/>
      <c r="C107" s="860"/>
      <c r="D107" s="860"/>
      <c r="E107" s="860"/>
      <c r="F107" s="1232"/>
      <c r="G107" s="1233"/>
      <c r="H107" s="860"/>
      <c r="I107" s="860"/>
      <c r="J107" s="860"/>
      <c r="K107" s="1232"/>
      <c r="L107" s="1233"/>
      <c r="M107" s="860"/>
      <c r="N107" s="860"/>
      <c r="O107" s="860"/>
      <c r="P107" s="1232"/>
      <c r="Q107" s="1233"/>
      <c r="R107" s="860"/>
      <c r="S107" s="860"/>
      <c r="T107" s="860"/>
      <c r="U107" s="1232"/>
      <c r="V107" s="1326">
        <f t="shared" ref="V107:Y115" si="162">V96*V$199</f>
        <v>2521.6379999999999</v>
      </c>
      <c r="W107" s="1274">
        <f t="shared" si="162"/>
        <v>3192.7999999999997</v>
      </c>
      <c r="X107" s="1274">
        <f t="shared" si="162"/>
        <v>4363.4292900000009</v>
      </c>
      <c r="Y107" s="1274">
        <f t="shared" si="162"/>
        <v>7009.77</v>
      </c>
      <c r="Z107" s="1261"/>
      <c r="AA107" s="1326">
        <f t="shared" ref="AA107:AD108" si="163">AA96*AA$199</f>
        <v>4587.71</v>
      </c>
      <c r="AB107" s="1274">
        <f t="shared" si="163"/>
        <v>5692.9120000000003</v>
      </c>
      <c r="AC107" s="1274">
        <f t="shared" si="163"/>
        <v>6214.3200000000006</v>
      </c>
      <c r="AD107" s="1274">
        <f t="shared" si="163"/>
        <v>9034.8709999999992</v>
      </c>
      <c r="AE107" s="1261"/>
      <c r="AF107" s="1326">
        <f t="shared" ref="AF107:AI108" si="164">AF96*AF$199</f>
        <v>5963.0974355384642</v>
      </c>
      <c r="AG107" s="1274">
        <f t="shared" si="164"/>
        <v>6375.96</v>
      </c>
      <c r="AH107" s="1274">
        <f t="shared" si="164"/>
        <v>7166.3200000000006</v>
      </c>
      <c r="AI107" s="1274">
        <f t="shared" si="164"/>
        <v>8337</v>
      </c>
      <c r="AJ107" s="1261"/>
      <c r="AK107" s="1326">
        <f t="shared" ref="AK107:AN108" si="165">AK96*AK$199</f>
        <v>4423.37</v>
      </c>
      <c r="AL107" s="1274">
        <f t="shared" si="165"/>
        <v>3198.0200000000004</v>
      </c>
      <c r="AM107" s="1274">
        <f t="shared" si="165"/>
        <v>3870.2634092307708</v>
      </c>
      <c r="AN107" s="1274">
        <f t="shared" si="165"/>
        <v>5264.0280000000012</v>
      </c>
      <c r="AO107" s="1261"/>
      <c r="AP107" s="1326">
        <f t="shared" ref="AP107:AS108" si="166">AP96*AP$199</f>
        <v>2954.1632878461533</v>
      </c>
      <c r="AQ107" s="1274">
        <f t="shared" si="166"/>
        <v>4414.1660000000002</v>
      </c>
      <c r="AR107" s="1274">
        <f t="shared" si="166"/>
        <v>5485.0240000000013</v>
      </c>
      <c r="AS107" s="1274">
        <f t="shared" si="166"/>
        <v>5876.4700000000012</v>
      </c>
      <c r="AT107" s="1261"/>
      <c r="AU107" s="1326">
        <f t="shared" ref="AU107:AX108" si="167">AU96*AU$199</f>
        <v>4279.7897085937502</v>
      </c>
      <c r="AV107" s="1274">
        <f t="shared" si="167"/>
        <v>4578.7560000000003</v>
      </c>
      <c r="AW107" s="1274">
        <f t="shared" si="167"/>
        <v>4867.46</v>
      </c>
      <c r="AX107" s="1274">
        <f t="shared" si="167"/>
        <v>5366.8999999999987</v>
      </c>
      <c r="AY107" s="1327">
        <f>Master!R87</f>
        <v>19067.125</v>
      </c>
      <c r="AZ107" s="1326">
        <f t="shared" ref="AZ107:BC108" si="168">AZ96*AZ$199</f>
        <v>4548.029387076921</v>
      </c>
      <c r="BA107" s="1274">
        <f t="shared" si="168"/>
        <v>4579.3672473846154</v>
      </c>
      <c r="BB107" s="1274">
        <f t="shared" si="168"/>
        <v>5549.3703257575762</v>
      </c>
      <c r="BC107" s="1274">
        <f t="shared" si="168"/>
        <v>5427.3788754545458</v>
      </c>
      <c r="BD107" s="1327">
        <f>Master!S87</f>
        <v>20178.311999999998</v>
      </c>
      <c r="BE107" s="1326">
        <f t="shared" ref="BE107:BH108" si="169">BE96*BE$199</f>
        <v>5595.6156703125016</v>
      </c>
      <c r="BF107" s="1274">
        <f t="shared" si="169"/>
        <v>5607.7338624615386</v>
      </c>
      <c r="BG107" s="1274">
        <f t="shared" si="169"/>
        <v>7264.0537030303058</v>
      </c>
      <c r="BH107" s="1274">
        <f t="shared" si="169"/>
        <v>4799.0295722727269</v>
      </c>
      <c r="BI107" s="1327">
        <f>Master!T87</f>
        <v>23310.092270413064</v>
      </c>
      <c r="BJ107" s="1336">
        <f t="shared" ref="BJ107:BM108" si="170">BJ96*BJ$199</f>
        <v>4686.8071403076901</v>
      </c>
      <c r="BK107" s="1291">
        <f t="shared" si="170"/>
        <v>4787.639063692307</v>
      </c>
      <c r="BL107" s="1291">
        <f t="shared" si="170"/>
        <v>4202.4803269696977</v>
      </c>
      <c r="BM107" s="1291">
        <f t="shared" si="170"/>
        <v>3550.2878399999986</v>
      </c>
      <c r="BN107" s="1341">
        <f>Master!U87</f>
        <v>17214.16</v>
      </c>
      <c r="BO107" s="1336">
        <f t="shared" ref="BO107:BR108" si="171">BO96*BO$199</f>
        <v>3937.26</v>
      </c>
      <c r="BP107" s="1291">
        <f t="shared" si="171"/>
        <v>3608.2140000000009</v>
      </c>
      <c r="BQ107" s="1291">
        <f t="shared" si="171"/>
        <v>3185.2620000000002</v>
      </c>
      <c r="BR107" s="1291">
        <f t="shared" si="171"/>
        <v>3978.585</v>
      </c>
      <c r="BS107" s="1341">
        <f>Master!V87</f>
        <v>14503.380000000001</v>
      </c>
      <c r="BT107" s="1336">
        <f t="shared" ref="BT107:BW108" si="172">BT96*BT$199</f>
        <v>2036.3999999999999</v>
      </c>
      <c r="BU107" s="1291">
        <f t="shared" si="172"/>
        <v>1761.2249999999999</v>
      </c>
      <c r="BV107" s="1291">
        <f t="shared" si="172"/>
        <v>2423.652</v>
      </c>
      <c r="BW107" s="1291">
        <f t="shared" si="172"/>
        <v>2864.5679999999988</v>
      </c>
      <c r="BX107" s="1341">
        <f>Master!W87</f>
        <v>9097.5</v>
      </c>
      <c r="BY107" s="1336">
        <f t="shared" ref="BY107:CB108" si="173">BY96*BY$199</f>
        <v>1777.41</v>
      </c>
      <c r="BZ107" s="1291">
        <f t="shared" si="173"/>
        <v>2126.3589999999999</v>
      </c>
      <c r="CA107" s="1291">
        <f t="shared" si="173"/>
        <v>3647.46</v>
      </c>
      <c r="CB107" s="1291">
        <f t="shared" si="173"/>
        <v>4626.24</v>
      </c>
      <c r="CC107" s="1762">
        <f>Master!X87</f>
        <v>12186.6</v>
      </c>
      <c r="CD107" s="1336">
        <f>CD96*CD$199</f>
        <v>2492.7573000000002</v>
      </c>
      <c r="CE107" s="2039">
        <f>25%*CE21</f>
        <v>3587.5</v>
      </c>
      <c r="CF107" s="2039">
        <f>25%*CF21</f>
        <v>3543.75</v>
      </c>
      <c r="CG107" s="2039">
        <f>CH107-CD107-CE107-CF107</f>
        <v>4654.1993872695093</v>
      </c>
      <c r="CH107" s="1762">
        <f>Master!Y87</f>
        <v>14278.20668726951</v>
      </c>
      <c r="CI107" s="1291"/>
      <c r="CK107" s="1233"/>
      <c r="CL107" s="860"/>
      <c r="CM107" s="860"/>
      <c r="CN107" s="860"/>
      <c r="CO107" s="1232"/>
      <c r="CP107" s="1233"/>
      <c r="CQ107" s="860"/>
      <c r="CR107" s="860"/>
      <c r="CS107" s="860"/>
      <c r="CT107" s="1232"/>
      <c r="CU107" s="1233"/>
      <c r="CV107" s="860"/>
      <c r="CW107" s="860"/>
      <c r="CX107" s="860"/>
      <c r="CY107" s="1232"/>
      <c r="CZ107" s="1233"/>
      <c r="DA107" s="860"/>
      <c r="DB107" s="860"/>
      <c r="DC107" s="860"/>
      <c r="DD107" s="1232"/>
      <c r="DE107" s="1233"/>
      <c r="DF107" s="860"/>
      <c r="DG107" s="860"/>
      <c r="DH107" s="860"/>
      <c r="DI107" s="1232"/>
      <c r="DJ107" s="1233"/>
      <c r="DK107" s="860"/>
      <c r="DL107" s="860"/>
      <c r="DM107" s="860"/>
      <c r="DN107" s="1232"/>
      <c r="DO107" s="1233"/>
      <c r="DP107" s="860"/>
      <c r="DQ107" s="860"/>
      <c r="DR107" s="860"/>
      <c r="DS107" s="1232"/>
      <c r="DT107" s="1233"/>
      <c r="DU107" s="860"/>
      <c r="DV107" s="860"/>
      <c r="DW107" s="860"/>
      <c r="DX107" s="1232"/>
      <c r="DY107" s="1233"/>
      <c r="DZ107" s="860"/>
      <c r="EA107" s="860"/>
      <c r="EB107" s="860"/>
      <c r="EC107" s="1232"/>
      <c r="ED107" s="860"/>
      <c r="EE107" s="860"/>
      <c r="EF107" s="860"/>
      <c r="EG107" s="860"/>
      <c r="EH107" s="860"/>
      <c r="EI107" s="1233"/>
      <c r="EJ107" s="860"/>
      <c r="EK107" s="860">
        <v>-1850</v>
      </c>
      <c r="EL107" s="860"/>
      <c r="EM107" s="1232"/>
      <c r="EN107" s="1233"/>
      <c r="EO107" s="860"/>
      <c r="EP107" s="860"/>
      <c r="EQ107" s="860"/>
      <c r="ER107" s="1232"/>
      <c r="ES107" s="860"/>
      <c r="ET107" s="860"/>
      <c r="EU107" s="860"/>
      <c r="EV107" s="860"/>
      <c r="EW107" s="1232"/>
      <c r="EX107" s="1233"/>
      <c r="EY107" s="860"/>
      <c r="EZ107" s="860"/>
      <c r="FA107" s="860"/>
      <c r="FB107" s="1754"/>
      <c r="FC107" s="1233"/>
      <c r="FD107" s="860"/>
      <c r="FE107" s="860"/>
      <c r="FF107" s="860"/>
      <c r="FG107" s="860"/>
      <c r="FH107" s="860"/>
      <c r="FI107" s="860"/>
      <c r="FJ107" s="860"/>
      <c r="FY107" s="860"/>
      <c r="FZ107" s="860"/>
      <c r="GA107" s="860"/>
      <c r="GB107" s="860"/>
      <c r="GC107" s="860"/>
      <c r="GD107" s="860"/>
      <c r="GE107" s="860"/>
      <c r="GF107" s="860"/>
      <c r="GG107" s="860"/>
      <c r="GH107" s="860"/>
      <c r="GI107" s="860"/>
      <c r="GJ107" s="860"/>
      <c r="GK107" s="860"/>
      <c r="GL107" s="860"/>
      <c r="GM107" s="860"/>
      <c r="GN107" s="860"/>
      <c r="GO107" s="860"/>
      <c r="GP107" s="860"/>
      <c r="GQ107" s="860"/>
      <c r="GR107" s="1279">
        <v>3561.3599999999997</v>
      </c>
      <c r="GS107" s="1218"/>
      <c r="GT107" s="1279">
        <v>3857.7204432656249</v>
      </c>
      <c r="GU107" s="1218"/>
      <c r="GV107" s="1299">
        <v>3562.0029999999997</v>
      </c>
      <c r="GW107" s="1218"/>
      <c r="GX107" s="1218"/>
      <c r="GY107" s="1299">
        <v>3795</v>
      </c>
      <c r="GZ107" s="1218"/>
      <c r="HA107" s="1218"/>
      <c r="HB107" s="1299">
        <v>3594.8</v>
      </c>
      <c r="HC107" s="1218"/>
      <c r="HD107" s="2000"/>
      <c r="HE107" s="1299">
        <v>6025.8174238869105</v>
      </c>
      <c r="HF107" s="1218"/>
      <c r="HG107" s="2000"/>
      <c r="HH107" s="1279"/>
      <c r="HI107" s="1299">
        <v>2923.4999999999995</v>
      </c>
      <c r="HJ107" s="1218"/>
      <c r="HK107" s="2000"/>
      <c r="HL107" s="1299">
        <v>2418</v>
      </c>
      <c r="HM107" s="1218"/>
      <c r="HN107" s="2000"/>
      <c r="HO107" s="1299">
        <v>3898.9477910042683</v>
      </c>
      <c r="HP107" s="1218"/>
      <c r="HQ107" s="2000"/>
      <c r="HR107" s="1299">
        <f>25%*HR21</f>
        <v>3628.125</v>
      </c>
    </row>
    <row r="108" spans="1:226">
      <c r="A108" s="1290" t="str">
        <f t="shared" ref="A108:A115" si="174">A97</f>
        <v xml:space="preserve"> of which telecoms</v>
      </c>
      <c r="B108" s="1233"/>
      <c r="C108" s="860"/>
      <c r="D108" s="860"/>
      <c r="E108" s="860"/>
      <c r="F108" s="1232"/>
      <c r="G108" s="1233"/>
      <c r="H108" s="860"/>
      <c r="I108" s="860"/>
      <c r="J108" s="860"/>
      <c r="K108" s="1232"/>
      <c r="L108" s="1233"/>
      <c r="M108" s="860"/>
      <c r="N108" s="860"/>
      <c r="O108" s="860"/>
      <c r="P108" s="1232"/>
      <c r="Q108" s="1233"/>
      <c r="R108" s="860"/>
      <c r="S108" s="860"/>
      <c r="T108" s="1162">
        <f>SUM(V108:Y108)/SUM(V14:Y14)</f>
        <v>0.45164105563303586</v>
      </c>
      <c r="U108" s="1232"/>
      <c r="V108" s="1326">
        <f t="shared" si="162"/>
        <v>1242.297</v>
      </c>
      <c r="W108" s="1274">
        <f t="shared" si="162"/>
        <v>1561.3</v>
      </c>
      <c r="X108" s="1274">
        <f t="shared" si="162"/>
        <v>2406.0521100000001</v>
      </c>
      <c r="Y108" s="1274">
        <f t="shared" si="162"/>
        <v>4246.45</v>
      </c>
      <c r="Z108" s="1261"/>
      <c r="AA108" s="1326">
        <f t="shared" si="163"/>
        <v>3270.55</v>
      </c>
      <c r="AB108" s="1274">
        <f t="shared" si="163"/>
        <v>3975.54</v>
      </c>
      <c r="AC108" s="1274">
        <f t="shared" si="163"/>
        <v>3863.4</v>
      </c>
      <c r="AD108" s="1274">
        <f t="shared" si="163"/>
        <v>5989.1680000000006</v>
      </c>
      <c r="AE108" s="1261"/>
      <c r="AF108" s="1326">
        <f t="shared" si="164"/>
        <v>3768.6343030769249</v>
      </c>
      <c r="AG108" s="1274">
        <f t="shared" si="164"/>
        <v>4106.46</v>
      </c>
      <c r="AH108" s="1274">
        <f t="shared" si="164"/>
        <v>4637.4719999999998</v>
      </c>
      <c r="AI108" s="1274">
        <f t="shared" si="164"/>
        <v>5901.4050000000007</v>
      </c>
      <c r="AJ108" s="1261"/>
      <c r="AK108" s="1326">
        <f t="shared" si="165"/>
        <v>3065.3</v>
      </c>
      <c r="AL108" s="1274">
        <f t="shared" si="165"/>
        <v>2085.02</v>
      </c>
      <c r="AM108" s="1274">
        <f t="shared" si="165"/>
        <v>2464.3528061538477</v>
      </c>
      <c r="AN108" s="1274">
        <f t="shared" si="165"/>
        <v>3000.420000000001</v>
      </c>
      <c r="AO108" s="1261"/>
      <c r="AP108" s="1326">
        <f t="shared" si="166"/>
        <v>1987.5505696923074</v>
      </c>
      <c r="AQ108" s="1274">
        <f t="shared" si="166"/>
        <v>2825.61</v>
      </c>
      <c r="AR108" s="1274">
        <f t="shared" si="166"/>
        <v>3931.944</v>
      </c>
      <c r="AS108" s="1274">
        <f t="shared" si="166"/>
        <v>4105.369999999999</v>
      </c>
      <c r="AT108" s="1261"/>
      <c r="AU108" s="1326">
        <f t="shared" si="167"/>
        <v>3258.3235242187502</v>
      </c>
      <c r="AV108" s="1274">
        <f t="shared" si="167"/>
        <v>3579.3029999999999</v>
      </c>
      <c r="AW108" s="1274">
        <f t="shared" si="167"/>
        <v>3455.1399999999994</v>
      </c>
      <c r="AX108" s="1274">
        <f t="shared" si="167"/>
        <v>2698.8499999999995</v>
      </c>
      <c r="AY108" s="1327">
        <f>Master!R84</f>
        <v>12966.800000000001</v>
      </c>
      <c r="AZ108" s="1326">
        <f t="shared" si="168"/>
        <v>3218.0207932307685</v>
      </c>
      <c r="BA108" s="1274">
        <f t="shared" si="168"/>
        <v>3168.7169496923084</v>
      </c>
      <c r="BB108" s="1274">
        <f t="shared" si="168"/>
        <v>3811.4656515151514</v>
      </c>
      <c r="BC108" s="1274">
        <f t="shared" si="168"/>
        <v>3965.2927009090918</v>
      </c>
      <c r="BD108" s="1327">
        <f>Master!S84</f>
        <v>14230.5</v>
      </c>
      <c r="BE108" s="1326">
        <f t="shared" si="169"/>
        <v>4063.9913156250018</v>
      </c>
      <c r="BF108" s="1274">
        <f t="shared" si="169"/>
        <v>4124.2169784615389</v>
      </c>
      <c r="BG108" s="1274">
        <f t="shared" si="169"/>
        <v>5489.1084242424258</v>
      </c>
      <c r="BH108" s="1274">
        <f t="shared" si="169"/>
        <v>3624.6885701515143</v>
      </c>
      <c r="BI108" s="1327">
        <f>Master!T84</f>
        <v>17333.977760915466</v>
      </c>
      <c r="BJ108" s="1336">
        <f t="shared" si="170"/>
        <v>3450.5233670769217</v>
      </c>
      <c r="BK108" s="1291">
        <f t="shared" si="170"/>
        <v>3685.4199406153839</v>
      </c>
      <c r="BL108" s="1291">
        <f t="shared" si="170"/>
        <v>3293.9999866666672</v>
      </c>
      <c r="BM108" s="1291">
        <f t="shared" si="170"/>
        <v>2564.7498799999985</v>
      </c>
      <c r="BN108" s="1341">
        <f>Master!U84</f>
        <v>12989.048999999999</v>
      </c>
      <c r="BO108" s="1336">
        <f t="shared" si="171"/>
        <v>3123.6840000000002</v>
      </c>
      <c r="BP108" s="1291">
        <f t="shared" si="171"/>
        <v>2691.1410000000005</v>
      </c>
      <c r="BQ108" s="1291">
        <f t="shared" si="171"/>
        <v>2406.87</v>
      </c>
      <c r="BR108" s="1291">
        <f t="shared" si="171"/>
        <v>3023.8650000000002</v>
      </c>
      <c r="BS108" s="1341">
        <f>Master!V84</f>
        <v>11204.1</v>
      </c>
      <c r="BT108" s="1336">
        <f t="shared" si="172"/>
        <v>1627.423</v>
      </c>
      <c r="BU108" s="1291">
        <f t="shared" si="172"/>
        <v>1311</v>
      </c>
      <c r="BV108" s="1291">
        <f t="shared" si="172"/>
        <v>2181.4760000000001</v>
      </c>
      <c r="BW108" s="1291">
        <f t="shared" si="172"/>
        <v>2246.7199999999989</v>
      </c>
      <c r="BX108" s="1341">
        <f>Master!W84</f>
        <v>7305.36</v>
      </c>
      <c r="BY108" s="1336">
        <f t="shared" si="173"/>
        <v>0</v>
      </c>
      <c r="BZ108" s="1291">
        <f t="shared" si="173"/>
        <v>0</v>
      </c>
      <c r="CA108" s="1291">
        <f t="shared" si="173"/>
        <v>0</v>
      </c>
      <c r="CB108" s="1291">
        <f t="shared" si="173"/>
        <v>0</v>
      </c>
      <c r="CC108" s="1762">
        <f>Master!X84</f>
        <v>10355.962701017601</v>
      </c>
      <c r="CD108" s="1336"/>
      <c r="CE108" s="1291"/>
      <c r="CF108" s="1291"/>
      <c r="CG108" s="1291"/>
      <c r="CH108" s="1762">
        <f>Master!Y84</f>
        <v>12845.11698726951</v>
      </c>
      <c r="CI108" s="1291"/>
      <c r="CK108" s="1233"/>
      <c r="CL108" s="860"/>
      <c r="CM108" s="860"/>
      <c r="CN108" s="860"/>
      <c r="CO108" s="1232"/>
      <c r="CP108" s="1233"/>
      <c r="CQ108" s="860"/>
      <c r="CR108" s="860"/>
      <c r="CS108" s="860"/>
      <c r="CT108" s="1232"/>
      <c r="CU108" s="1233"/>
      <c r="CV108" s="860"/>
      <c r="CW108" s="860"/>
      <c r="CX108" s="860"/>
      <c r="CY108" s="1232"/>
      <c r="CZ108" s="1233"/>
      <c r="DA108" s="860"/>
      <c r="DB108" s="860"/>
      <c r="DC108" s="860"/>
      <c r="DD108" s="1232"/>
      <c r="DE108" s="1233"/>
      <c r="DF108" s="860"/>
      <c r="DG108" s="860"/>
      <c r="DH108" s="860"/>
      <c r="DI108" s="1232"/>
      <c r="DJ108" s="1233"/>
      <c r="DK108" s="860"/>
      <c r="DL108" s="860"/>
      <c r="DM108" s="860"/>
      <c r="DN108" s="1232"/>
      <c r="DO108" s="1233"/>
      <c r="DP108" s="860"/>
      <c r="DQ108" s="860"/>
      <c r="DR108" s="860"/>
      <c r="DS108" s="1232"/>
      <c r="DT108" s="1233"/>
      <c r="DU108" s="860"/>
      <c r="DV108" s="860"/>
      <c r="DW108" s="860"/>
      <c r="DX108" s="1232"/>
      <c r="DY108" s="1233"/>
      <c r="DZ108" s="860"/>
      <c r="EA108" s="860"/>
      <c r="EB108" s="860"/>
      <c r="EC108" s="1232"/>
      <c r="ED108" s="860"/>
      <c r="EE108" s="860"/>
      <c r="EF108" s="860"/>
      <c r="EG108" s="860"/>
      <c r="EH108" s="860"/>
      <c r="EI108" s="1233"/>
      <c r="EJ108" s="860"/>
      <c r="EK108" s="860">
        <v>-138</v>
      </c>
      <c r="EL108" s="860"/>
      <c r="EM108" s="1232"/>
      <c r="EN108" s="1233"/>
      <c r="EO108" s="860"/>
      <c r="EP108" s="860"/>
      <c r="EQ108" s="860"/>
      <c r="ER108" s="1232"/>
      <c r="ES108" s="860"/>
      <c r="ET108" s="860"/>
      <c r="EU108" s="860"/>
      <c r="EV108" s="860"/>
      <c r="EW108" s="1232"/>
      <c r="EX108" s="1233"/>
      <c r="EY108" s="860"/>
      <c r="EZ108" s="860"/>
      <c r="FA108" s="860"/>
      <c r="FB108" s="1754"/>
      <c r="FC108" s="1233"/>
      <c r="FD108" s="860"/>
      <c r="FE108" s="860"/>
      <c r="FF108" s="860"/>
      <c r="FG108" s="860"/>
      <c r="FH108" s="860"/>
      <c r="FI108" s="860"/>
      <c r="FJ108" s="860"/>
      <c r="FY108" s="860"/>
      <c r="FZ108" s="860"/>
      <c r="GA108" s="860"/>
      <c r="GB108" s="860"/>
      <c r="GC108" s="860"/>
      <c r="GD108" s="860"/>
      <c r="GE108" s="860"/>
      <c r="GF108" s="860"/>
      <c r="GG108" s="860"/>
      <c r="GH108" s="860"/>
      <c r="GI108" s="860"/>
      <c r="GJ108" s="860"/>
      <c r="GK108" s="860"/>
      <c r="GL108" s="860"/>
      <c r="GM108" s="860"/>
      <c r="GN108" s="860"/>
      <c r="GO108" s="860"/>
      <c r="GP108" s="860"/>
      <c r="GQ108" s="860"/>
      <c r="GR108" s="1279">
        <v>2556</v>
      </c>
      <c r="GS108" s="1218"/>
      <c r="GT108" s="1279">
        <v>2834.3498250000002</v>
      </c>
      <c r="GU108" s="1218"/>
      <c r="GV108" s="1299">
        <v>2800.0499999999997</v>
      </c>
      <c r="GW108" s="1218"/>
      <c r="GX108" s="1218"/>
      <c r="GY108" s="1299">
        <v>3105</v>
      </c>
      <c r="GZ108" s="1218"/>
      <c r="HA108" s="1218"/>
      <c r="HB108" s="1299">
        <v>3027.2000000000003</v>
      </c>
      <c r="HC108" s="1218"/>
      <c r="HD108" s="2000"/>
      <c r="HE108" s="1299">
        <v>4903.8790070696705</v>
      </c>
      <c r="HF108" s="1218"/>
      <c r="HG108" s="2000"/>
      <c r="HH108" s="1279"/>
      <c r="HI108" s="1299">
        <v>0</v>
      </c>
      <c r="HJ108" s="1218"/>
      <c r="HK108" s="2000"/>
      <c r="HL108" s="1299">
        <v>0</v>
      </c>
      <c r="HM108" s="1218"/>
      <c r="HN108" s="2000"/>
      <c r="HO108" s="1299">
        <v>0</v>
      </c>
      <c r="HP108" s="1218"/>
      <c r="HQ108" s="2000"/>
      <c r="HR108" s="1299">
        <v>0</v>
      </c>
    </row>
    <row r="109" spans="1:226">
      <c r="A109" s="1290" t="str">
        <f t="shared" si="174"/>
        <v xml:space="preserve"> - of which Cablevision</v>
      </c>
      <c r="B109" s="1233"/>
      <c r="C109" s="860"/>
      <c r="D109" s="860"/>
      <c r="E109" s="860"/>
      <c r="F109" s="1232"/>
      <c r="G109" s="1233"/>
      <c r="H109" s="860"/>
      <c r="I109" s="860"/>
      <c r="J109" s="860"/>
      <c r="K109" s="1232"/>
      <c r="L109" s="1233"/>
      <c r="M109" s="860"/>
      <c r="N109" s="860"/>
      <c r="O109" s="860"/>
      <c r="P109" s="1232"/>
      <c r="Q109" s="1233"/>
      <c r="R109" s="860"/>
      <c r="S109" s="860"/>
      <c r="T109" s="860"/>
      <c r="U109" s="1232"/>
      <c r="V109" s="1326">
        <f t="shared" si="162"/>
        <v>219.61800000000002</v>
      </c>
      <c r="W109" s="1274">
        <f t="shared" si="162"/>
        <v>436.8</v>
      </c>
      <c r="X109" s="1274">
        <f t="shared" si="162"/>
        <v>539.19706500000007</v>
      </c>
      <c r="Y109" s="1274">
        <f t="shared" si="162"/>
        <v>1509.5400000000004</v>
      </c>
      <c r="Z109" s="1261">
        <f>SUM(V109:Y109)/Cable!I226</f>
        <v>0.41248403469516176</v>
      </c>
      <c r="AA109" s="1326">
        <f t="shared" ref="AA109:AA115" si="175">AA98*AA$199</f>
        <v>0</v>
      </c>
      <c r="AB109" s="1274"/>
      <c r="AC109" s="1274"/>
      <c r="AD109" s="1274"/>
      <c r="AE109" s="1261"/>
      <c r="AF109" s="1242"/>
      <c r="AG109" s="1162"/>
      <c r="AH109" s="1162"/>
      <c r="AI109" s="1162"/>
      <c r="AJ109" s="1261"/>
      <c r="AK109" s="1242"/>
      <c r="AL109" s="1162"/>
      <c r="AM109" s="1162"/>
      <c r="AN109" s="1162"/>
      <c r="AO109" s="1261"/>
      <c r="AP109" s="1242"/>
      <c r="AQ109" s="1162"/>
      <c r="AR109" s="1162"/>
      <c r="AS109" s="1162"/>
      <c r="AT109" s="1261"/>
      <c r="AU109" s="1242"/>
      <c r="AV109" s="1162"/>
      <c r="AW109" s="1162"/>
      <c r="AX109" s="1162"/>
      <c r="AY109" s="1261"/>
      <c r="AZ109" s="1242"/>
      <c r="BA109" s="1162"/>
      <c r="BB109" s="1162"/>
      <c r="BC109" s="1162"/>
      <c r="BD109" s="1261"/>
      <c r="BE109" s="1242"/>
      <c r="BF109" s="1162"/>
      <c r="BG109" s="1162"/>
      <c r="BH109" s="1162"/>
      <c r="BI109" s="1261"/>
      <c r="BJ109" s="1336"/>
      <c r="BK109" s="1291"/>
      <c r="BL109" s="1291"/>
      <c r="BM109" s="1291">
        <f>BJ108+BK108+BL108+BM108</f>
        <v>12994.69317435897</v>
      </c>
      <c r="BN109" s="1341"/>
      <c r="BO109" s="1336"/>
      <c r="BP109" s="1291"/>
      <c r="BQ109" s="1291"/>
      <c r="BR109" s="1291"/>
      <c r="BS109" s="1341"/>
      <c r="BT109" s="1336"/>
      <c r="BU109" s="1291"/>
      <c r="BV109" s="1291"/>
      <c r="BW109" s="1291"/>
      <c r="BX109" s="1341"/>
      <c r="BY109" s="1336"/>
      <c r="BZ109" s="1291"/>
      <c r="CA109" s="1291"/>
      <c r="CB109" s="1291"/>
      <c r="CC109" s="1762"/>
      <c r="CD109" s="1336"/>
      <c r="CE109" s="1291"/>
      <c r="CF109" s="1291"/>
      <c r="CG109" s="1291"/>
      <c r="CH109" s="1762"/>
      <c r="CI109" s="1291"/>
      <c r="CJ109" s="860"/>
      <c r="CK109" s="1233"/>
      <c r="CL109" s="860"/>
      <c r="CM109" s="860"/>
      <c r="CN109" s="860"/>
      <c r="CO109" s="1232"/>
      <c r="CP109" s="1233"/>
      <c r="CQ109" s="860"/>
      <c r="CR109" s="860"/>
      <c r="CS109" s="860"/>
      <c r="CT109" s="1232"/>
      <c r="CU109" s="1233"/>
      <c r="CV109" s="860"/>
      <c r="CW109" s="860"/>
      <c r="CX109" s="860"/>
      <c r="CY109" s="1232"/>
      <c r="CZ109" s="1233"/>
      <c r="DA109" s="860"/>
      <c r="DB109" s="860"/>
      <c r="DC109" s="860"/>
      <c r="DD109" s="1232"/>
      <c r="DE109" s="1233"/>
      <c r="DF109" s="860"/>
      <c r="DG109" s="860"/>
      <c r="DH109" s="860"/>
      <c r="DI109" s="1232"/>
      <c r="DJ109" s="1233"/>
      <c r="DK109" s="860"/>
      <c r="DL109" s="860"/>
      <c r="DM109" s="860"/>
      <c r="DN109" s="1232"/>
      <c r="DO109" s="1233"/>
      <c r="DP109" s="860"/>
      <c r="DQ109" s="860"/>
      <c r="DR109" s="860"/>
      <c r="DS109" s="1232"/>
      <c r="DT109" s="1233"/>
      <c r="DU109" s="860"/>
      <c r="DV109" s="860"/>
      <c r="DW109" s="860"/>
      <c r="DX109" s="1232"/>
      <c r="DY109" s="1233"/>
      <c r="DZ109" s="860"/>
      <c r="EA109" s="860"/>
      <c r="EB109" s="860"/>
      <c r="EC109" s="1232"/>
      <c r="ED109" s="860"/>
      <c r="EE109" s="860"/>
      <c r="EF109" s="860"/>
      <c r="EG109" s="860"/>
      <c r="EH109" s="860"/>
      <c r="EI109" s="1233"/>
      <c r="EJ109" s="860"/>
      <c r="EK109" s="860">
        <v>1007</v>
      </c>
      <c r="EL109" s="860"/>
      <c r="EM109" s="1232"/>
      <c r="EN109" s="1233"/>
      <c r="EO109" s="860"/>
      <c r="EP109" s="860"/>
      <c r="EQ109" s="860"/>
      <c r="ER109" s="1232"/>
      <c r="ES109" s="860"/>
      <c r="ET109" s="860"/>
      <c r="EU109" s="860"/>
      <c r="EV109" s="860"/>
      <c r="EW109" s="1232"/>
      <c r="EX109" s="1233"/>
      <c r="EY109" s="860"/>
      <c r="EZ109" s="860"/>
      <c r="FA109" s="860"/>
      <c r="FB109" s="1754"/>
      <c r="FC109" s="1233"/>
      <c r="FD109" s="860"/>
      <c r="FE109" s="860"/>
      <c r="FF109" s="860"/>
      <c r="FG109" s="860"/>
      <c r="FH109" s="860"/>
      <c r="FI109" s="860"/>
      <c r="FJ109" s="860"/>
      <c r="FY109" s="860"/>
      <c r="FZ109" s="860"/>
      <c r="GA109" s="860"/>
      <c r="GB109" s="860"/>
      <c r="GC109" s="860"/>
      <c r="GD109" s="860"/>
      <c r="GE109" s="860"/>
      <c r="GF109" s="860"/>
      <c r="GG109" s="860"/>
      <c r="GH109" s="860"/>
      <c r="GI109" s="860"/>
      <c r="GJ109" s="860"/>
      <c r="GK109" s="860"/>
      <c r="GL109" s="860"/>
      <c r="GM109" s="860"/>
      <c r="GN109" s="860"/>
      <c r="GO109" s="860"/>
      <c r="GP109" s="860"/>
      <c r="GQ109" s="860"/>
      <c r="GR109" s="1241"/>
      <c r="GS109" s="1218"/>
      <c r="GT109" s="1241"/>
      <c r="GU109" s="1218"/>
      <c r="GV109" s="1299"/>
      <c r="GW109" s="1218"/>
      <c r="GX109" s="1218"/>
      <c r="GY109" s="1299"/>
      <c r="GZ109" s="1218"/>
      <c r="HA109" s="1218"/>
      <c r="HB109" s="1299"/>
      <c r="HC109" s="1218"/>
      <c r="HD109" s="2000"/>
      <c r="HE109" s="1299"/>
      <c r="HF109" s="1218"/>
      <c r="HG109" s="2000"/>
      <c r="HH109" s="1241"/>
      <c r="HI109" s="1299"/>
      <c r="HJ109" s="1218"/>
      <c r="HK109" s="2000"/>
      <c r="HL109" s="1299"/>
      <c r="HM109" s="1218"/>
      <c r="HN109" s="2000"/>
      <c r="HO109" s="1299"/>
      <c r="HP109" s="1218"/>
      <c r="HQ109" s="2000"/>
      <c r="HR109" s="1299"/>
    </row>
    <row r="110" spans="1:226">
      <c r="A110" s="1290" t="str">
        <f t="shared" si="174"/>
        <v xml:space="preserve"> - of which Cablemas</v>
      </c>
      <c r="B110" s="1233"/>
      <c r="C110" s="860"/>
      <c r="D110" s="860"/>
      <c r="E110" s="860"/>
      <c r="F110" s="1232"/>
      <c r="G110" s="1233"/>
      <c r="H110" s="860"/>
      <c r="I110" s="860"/>
      <c r="J110" s="860"/>
      <c r="K110" s="1232"/>
      <c r="L110" s="1233"/>
      <c r="M110" s="860"/>
      <c r="N110" s="860"/>
      <c r="O110" s="860"/>
      <c r="P110" s="1232"/>
      <c r="Q110" s="1233"/>
      <c r="R110" s="860"/>
      <c r="S110" s="860"/>
      <c r="T110" s="860"/>
      <c r="U110" s="1232"/>
      <c r="V110" s="1326">
        <f t="shared" si="162"/>
        <v>698.54399999999998</v>
      </c>
      <c r="W110" s="1274">
        <f t="shared" si="162"/>
        <v>526.5</v>
      </c>
      <c r="X110" s="1274">
        <f t="shared" si="162"/>
        <v>1069.2107250000001</v>
      </c>
      <c r="Y110" s="1274">
        <f t="shared" si="162"/>
        <v>1601.28</v>
      </c>
      <c r="Z110" s="1261">
        <f>SUM(V110:Y110)/Cable!I228</f>
        <v>0.57162484619973009</v>
      </c>
      <c r="AA110" s="1326">
        <f t="shared" si="175"/>
        <v>0</v>
      </c>
      <c r="AB110" s="1274"/>
      <c r="AC110" s="1274"/>
      <c r="AD110" s="1274"/>
      <c r="AE110" s="1261"/>
      <c r="AF110" s="1242"/>
      <c r="AG110" s="1162"/>
      <c r="AH110" s="1162"/>
      <c r="AI110" s="1162"/>
      <c r="AJ110" s="1261"/>
      <c r="AK110" s="1242"/>
      <c r="AL110" s="1162"/>
      <c r="AM110" s="1162"/>
      <c r="AN110" s="1162"/>
      <c r="AO110" s="1261"/>
      <c r="AP110" s="1242"/>
      <c r="AQ110" s="1162"/>
      <c r="AR110" s="1162"/>
      <c r="AS110" s="1162"/>
      <c r="AT110" s="1261"/>
      <c r="AU110" s="1242"/>
      <c r="AV110" s="1162"/>
      <c r="AW110" s="1162"/>
      <c r="AX110" s="1162"/>
      <c r="AY110" s="1261"/>
      <c r="AZ110" s="1242"/>
      <c r="BA110" s="1162"/>
      <c r="BB110" s="1162"/>
      <c r="BC110" s="1162"/>
      <c r="BD110" s="1261"/>
      <c r="BE110" s="1242"/>
      <c r="BF110" s="1162"/>
      <c r="BG110" s="1162"/>
      <c r="BH110" s="1162"/>
      <c r="BI110" s="1261"/>
      <c r="BJ110" s="1336"/>
      <c r="BK110" s="1291"/>
      <c r="BL110" s="1291">
        <f>SUM(BJ108:BL108)</f>
        <v>10429.943294358973</v>
      </c>
      <c r="BM110" s="1291">
        <f>SUM(BK108:BM108)</f>
        <v>9544.1698072820509</v>
      </c>
      <c r="BN110" s="1341"/>
      <c r="BO110" s="1336"/>
      <c r="BP110" s="1291"/>
      <c r="BQ110" s="1291"/>
      <c r="BR110" s="1291"/>
      <c r="BS110" s="1341"/>
      <c r="BT110" s="1336"/>
      <c r="BU110" s="1291"/>
      <c r="BV110" s="1291"/>
      <c r="BW110" s="1291"/>
      <c r="BX110" s="1341"/>
      <c r="BY110" s="1336"/>
      <c r="BZ110" s="1291"/>
      <c r="CA110" s="1291"/>
      <c r="CB110" s="1291"/>
      <c r="CC110" s="1762"/>
      <c r="CD110" s="1336"/>
      <c r="CE110" s="1291"/>
      <c r="CF110" s="1291"/>
      <c r="CG110" s="1291"/>
      <c r="CH110" s="1762"/>
      <c r="CI110" s="1291"/>
      <c r="CJ110" s="860"/>
      <c r="CK110" s="1233"/>
      <c r="CL110" s="860"/>
      <c r="CM110" s="860"/>
      <c r="CN110" s="860"/>
      <c r="CO110" s="1232"/>
      <c r="CP110" s="1233"/>
      <c r="CQ110" s="860"/>
      <c r="CR110" s="860"/>
      <c r="CS110" s="860"/>
      <c r="CT110" s="1232"/>
      <c r="CU110" s="1233"/>
      <c r="CV110" s="860"/>
      <c r="CW110" s="860"/>
      <c r="CX110" s="860"/>
      <c r="CY110" s="1232"/>
      <c r="CZ110" s="1233"/>
      <c r="DA110" s="860"/>
      <c r="DB110" s="860"/>
      <c r="DC110" s="860"/>
      <c r="DD110" s="1232"/>
      <c r="DE110" s="1233"/>
      <c r="DF110" s="860"/>
      <c r="DG110" s="860"/>
      <c r="DH110" s="860"/>
      <c r="DI110" s="1232"/>
      <c r="DJ110" s="1233"/>
      <c r="DK110" s="860"/>
      <c r="DL110" s="860"/>
      <c r="DM110" s="860"/>
      <c r="DN110" s="1232"/>
      <c r="DO110" s="1233"/>
      <c r="DP110" s="860"/>
      <c r="DQ110" s="860"/>
      <c r="DR110" s="860"/>
      <c r="DS110" s="1232"/>
      <c r="DT110" s="1233"/>
      <c r="DU110" s="860"/>
      <c r="DV110" s="860"/>
      <c r="DW110" s="860"/>
      <c r="DX110" s="1232"/>
      <c r="DY110" s="1233"/>
      <c r="DZ110" s="860"/>
      <c r="EA110" s="860"/>
      <c r="EB110" s="860"/>
      <c r="EC110" s="1232"/>
      <c r="ED110" s="860"/>
      <c r="EE110" s="860"/>
      <c r="EF110" s="860"/>
      <c r="EG110" s="860"/>
      <c r="EH110" s="860"/>
      <c r="EI110" s="1233"/>
      <c r="EJ110" s="860"/>
      <c r="EK110" s="1264">
        <f>SUM(EK106:EK109)</f>
        <v>3830</v>
      </c>
      <c r="EL110" s="860"/>
      <c r="EM110" s="1232"/>
      <c r="EN110" s="1233"/>
      <c r="EO110" s="860"/>
      <c r="EP110" s="860"/>
      <c r="EQ110" s="860"/>
      <c r="ER110" s="1232"/>
      <c r="ES110" s="860"/>
      <c r="ET110" s="860"/>
      <c r="EU110" s="860"/>
      <c r="EV110" s="860"/>
      <c r="EW110" s="1232"/>
      <c r="EX110" s="1233"/>
      <c r="EY110" s="860"/>
      <c r="EZ110" s="860"/>
      <c r="FA110" s="860"/>
      <c r="FB110" s="1754"/>
      <c r="FC110" s="1233"/>
      <c r="FD110" s="860"/>
      <c r="FE110" s="860"/>
      <c r="FF110" s="860"/>
      <c r="FG110" s="860"/>
      <c r="FH110" s="860"/>
      <c r="FI110" s="860"/>
      <c r="FJ110" s="860"/>
      <c r="FY110" s="860"/>
      <c r="FZ110" s="860"/>
      <c r="GA110" s="860"/>
      <c r="GB110" s="860"/>
      <c r="GC110" s="860"/>
      <c r="GD110" s="860"/>
      <c r="GE110" s="860"/>
      <c r="GF110" s="860"/>
      <c r="GG110" s="860"/>
      <c r="GH110" s="860"/>
      <c r="GI110" s="860"/>
      <c r="GJ110" s="860"/>
      <c r="GK110" s="860"/>
      <c r="GL110" s="860"/>
      <c r="GM110" s="860"/>
      <c r="GN110" s="860"/>
      <c r="GO110" s="860"/>
      <c r="GP110" s="860"/>
      <c r="GQ110" s="860"/>
      <c r="GR110" s="2013"/>
      <c r="GS110" s="1218"/>
      <c r="GT110" s="1241"/>
      <c r="GU110" s="1218"/>
      <c r="GV110" s="1299"/>
      <c r="GW110" s="1218"/>
      <c r="GX110" s="1218"/>
      <c r="GY110" s="1299"/>
      <c r="GZ110" s="1218"/>
      <c r="HA110" s="1218"/>
      <c r="HB110" s="1299"/>
      <c r="HC110" s="1218"/>
      <c r="HD110" s="2000"/>
      <c r="HE110" s="1299"/>
      <c r="HF110" s="1218"/>
      <c r="HG110" s="2000"/>
      <c r="HH110" s="1241"/>
      <c r="HI110" s="1299"/>
      <c r="HJ110" s="1218"/>
      <c r="HK110" s="2000"/>
      <c r="HL110" s="1299"/>
      <c r="HM110" s="1218"/>
      <c r="HN110" s="2000"/>
      <c r="HO110" s="1299"/>
      <c r="HP110" s="1218"/>
      <c r="HQ110" s="2000"/>
      <c r="HR110" s="1299"/>
    </row>
    <row r="111" spans="1:226">
      <c r="A111" s="1290" t="str">
        <f t="shared" si="174"/>
        <v xml:space="preserve"> - of which TVI</v>
      </c>
      <c r="B111" s="1233"/>
      <c r="C111" s="860"/>
      <c r="D111" s="860"/>
      <c r="E111" s="860"/>
      <c r="F111" s="1232"/>
      <c r="G111" s="1233"/>
      <c r="H111" s="860"/>
      <c r="I111" s="860"/>
      <c r="J111" s="860"/>
      <c r="K111" s="1232"/>
      <c r="L111" s="1233"/>
      <c r="M111" s="860"/>
      <c r="N111" s="860"/>
      <c r="O111" s="860"/>
      <c r="P111" s="1232"/>
      <c r="Q111" s="1233"/>
      <c r="R111" s="860"/>
      <c r="S111" s="860"/>
      <c r="T111" s="860"/>
      <c r="U111" s="1232"/>
      <c r="V111" s="1326">
        <f t="shared" si="162"/>
        <v>298.99800000000005</v>
      </c>
      <c r="W111" s="1274">
        <f t="shared" si="162"/>
        <v>371.8</v>
      </c>
      <c r="X111" s="1274">
        <f t="shared" si="162"/>
        <v>523.45408500000008</v>
      </c>
      <c r="Y111" s="1274">
        <f t="shared" si="162"/>
        <v>558.78000000000031</v>
      </c>
      <c r="Z111" s="1261">
        <f>SUM(V111:Y111)/Cable!I230</f>
        <v>0.54755285678053578</v>
      </c>
      <c r="AA111" s="1326">
        <f t="shared" si="175"/>
        <v>0</v>
      </c>
      <c r="AB111" s="1274"/>
      <c r="AC111" s="1274"/>
      <c r="AD111" s="1274"/>
      <c r="AE111" s="1261"/>
      <c r="AF111" s="1242"/>
      <c r="AG111" s="1162"/>
      <c r="AH111" s="1162"/>
      <c r="AI111" s="1162"/>
      <c r="AJ111" s="1261"/>
      <c r="AK111" s="1242"/>
      <c r="AL111" s="1162"/>
      <c r="AM111" s="1162"/>
      <c r="AN111" s="1162"/>
      <c r="AO111" s="1261"/>
      <c r="AP111" s="1242"/>
      <c r="AQ111" s="1162"/>
      <c r="AR111" s="1162"/>
      <c r="AS111" s="1162"/>
      <c r="AT111" s="1261"/>
      <c r="AU111" s="1242"/>
      <c r="AV111" s="1162"/>
      <c r="AW111" s="1162"/>
      <c r="AX111" s="1162"/>
      <c r="AY111" s="1261"/>
      <c r="AZ111" s="1242"/>
      <c r="BA111" s="1162"/>
      <c r="BB111" s="1162"/>
      <c r="BC111" s="1162"/>
      <c r="BD111" s="1261"/>
      <c r="BE111" s="1242"/>
      <c r="BF111" s="1162"/>
      <c r="BG111" s="1162"/>
      <c r="BH111" s="1162"/>
      <c r="BI111" s="1261"/>
      <c r="BJ111" s="1242"/>
      <c r="BK111" s="1162"/>
      <c r="BL111" s="1162">
        <f>BL108/BN108</f>
        <v>0.25359824161620048</v>
      </c>
      <c r="BM111" s="1162">
        <f>BM108/BO108</f>
        <v>0.82106572879971162</v>
      </c>
      <c r="BN111" s="1261"/>
      <c r="BO111" s="1242"/>
      <c r="BP111" s="1162"/>
      <c r="BQ111" s="1162"/>
      <c r="BR111" s="1162"/>
      <c r="BS111" s="1261"/>
      <c r="BT111" s="1242"/>
      <c r="BU111" s="1162"/>
      <c r="BV111" s="1162"/>
      <c r="BW111" s="1162"/>
      <c r="BX111" s="1261"/>
      <c r="BY111" s="1242"/>
      <c r="BZ111" s="1162"/>
      <c r="CA111" s="1162"/>
      <c r="CB111" s="1162"/>
      <c r="CC111" s="1757"/>
      <c r="CD111" s="1242"/>
      <c r="CE111" s="1162"/>
      <c r="CF111" s="1162"/>
      <c r="CG111" s="1162"/>
      <c r="CH111" s="1757"/>
      <c r="CI111" s="1162"/>
      <c r="CJ111" s="860"/>
      <c r="CK111" s="1233"/>
      <c r="CL111" s="860"/>
      <c r="CM111" s="860"/>
      <c r="CN111" s="860"/>
      <c r="CO111" s="1232"/>
      <c r="CP111" s="1233"/>
      <c r="CQ111" s="860"/>
      <c r="CR111" s="860"/>
      <c r="CS111" s="860"/>
      <c r="CT111" s="1232"/>
      <c r="CU111" s="1233"/>
      <c r="CV111" s="860"/>
      <c r="CW111" s="860"/>
      <c r="CX111" s="860"/>
      <c r="CY111" s="1232"/>
      <c r="CZ111" s="1233"/>
      <c r="DA111" s="860"/>
      <c r="DB111" s="860"/>
      <c r="DC111" s="860"/>
      <c r="DD111" s="1232"/>
      <c r="DE111" s="1233"/>
      <c r="DF111" s="860"/>
      <c r="DG111" s="860"/>
      <c r="DH111" s="860"/>
      <c r="DI111" s="1232"/>
      <c r="DJ111" s="1233"/>
      <c r="DK111" s="860"/>
      <c r="DL111" s="860"/>
      <c r="DM111" s="860"/>
      <c r="DN111" s="1232"/>
      <c r="DO111" s="1233"/>
      <c r="DP111" s="860"/>
      <c r="DQ111" s="860"/>
      <c r="DR111" s="860"/>
      <c r="DS111" s="1232"/>
      <c r="DT111" s="1233"/>
      <c r="DU111" s="860"/>
      <c r="DV111" s="860"/>
      <c r="DW111" s="860"/>
      <c r="DX111" s="1232"/>
      <c r="DY111" s="1233"/>
      <c r="DZ111" s="860"/>
      <c r="EA111" s="860"/>
      <c r="EB111" s="860"/>
      <c r="EC111" s="1232"/>
      <c r="ED111" s="860"/>
      <c r="EE111" s="860"/>
      <c r="EF111" s="860"/>
      <c r="EG111" s="860"/>
      <c r="EH111" s="860"/>
      <c r="EI111" s="1233"/>
      <c r="EJ111" s="860"/>
      <c r="EK111" s="860"/>
      <c r="EL111" s="860"/>
      <c r="EM111" s="1232"/>
      <c r="EN111" s="1233"/>
      <c r="EO111" s="860"/>
      <c r="EP111" s="860"/>
      <c r="EQ111" s="860"/>
      <c r="ER111" s="1232"/>
      <c r="ES111" s="860"/>
      <c r="ET111" s="860"/>
      <c r="EU111" s="860"/>
      <c r="EV111" s="860"/>
      <c r="EW111" s="1232"/>
      <c r="EX111" s="1233"/>
      <c r="EY111" s="860"/>
      <c r="EZ111" s="860"/>
      <c r="FA111" s="860"/>
      <c r="FB111" s="1754"/>
      <c r="FC111" s="1233"/>
      <c r="FD111" s="860"/>
      <c r="FE111" s="860"/>
      <c r="FF111" s="860"/>
      <c r="FG111" s="860"/>
      <c r="FH111" s="860"/>
      <c r="FI111" s="860"/>
      <c r="FJ111" s="860"/>
      <c r="FY111" s="860"/>
      <c r="FZ111" s="860"/>
      <c r="GA111" s="860"/>
      <c r="GB111" s="860"/>
      <c r="GC111" s="860"/>
      <c r="GD111" s="860"/>
      <c r="GE111" s="860"/>
      <c r="GF111" s="860"/>
      <c r="GG111" s="860"/>
      <c r="GH111" s="860"/>
      <c r="GI111" s="860"/>
      <c r="GJ111" s="860"/>
      <c r="GK111" s="860"/>
      <c r="GL111" s="860"/>
      <c r="GM111" s="860"/>
      <c r="GN111" s="860"/>
      <c r="GO111" s="860"/>
      <c r="GP111" s="860"/>
      <c r="GQ111" s="860"/>
      <c r="GR111" s="1241"/>
      <c r="GS111" s="1218"/>
      <c r="GT111" s="1241"/>
      <c r="GU111" s="1218"/>
      <c r="GV111" s="1241"/>
      <c r="GW111" s="1218"/>
      <c r="GX111" s="1218"/>
      <c r="GY111" s="1241"/>
      <c r="GZ111" s="1218"/>
      <c r="HA111" s="1218"/>
      <c r="HB111" s="1241"/>
      <c r="HC111" s="1218"/>
      <c r="HD111" s="2000"/>
      <c r="HE111" s="1241"/>
      <c r="HF111" s="1218"/>
      <c r="HG111" s="2000"/>
      <c r="HH111" s="1241"/>
      <c r="HI111" s="1241"/>
      <c r="HJ111" s="1218"/>
      <c r="HK111" s="2000"/>
      <c r="HL111" s="1241"/>
      <c r="HM111" s="1218"/>
      <c r="HN111" s="2000"/>
      <c r="HO111" s="1241"/>
      <c r="HP111" s="1218"/>
      <c r="HQ111" s="2000"/>
      <c r="HR111" s="1241"/>
    </row>
    <row r="112" spans="1:226">
      <c r="A112" s="1290" t="str">
        <f t="shared" si="174"/>
        <v xml:space="preserve"> - of which Bestel</v>
      </c>
      <c r="B112" s="1233"/>
      <c r="C112" s="860"/>
      <c r="D112" s="860"/>
      <c r="E112" s="860"/>
      <c r="F112" s="1232"/>
      <c r="G112" s="1233"/>
      <c r="H112" s="860"/>
      <c r="I112" s="860"/>
      <c r="J112" s="860"/>
      <c r="K112" s="1232"/>
      <c r="L112" s="1233"/>
      <c r="M112" s="860"/>
      <c r="N112" s="860"/>
      <c r="O112" s="860"/>
      <c r="P112" s="1232"/>
      <c r="Q112" s="1233"/>
      <c r="R112" s="860"/>
      <c r="S112" s="860"/>
      <c r="T112" s="860"/>
      <c r="U112" s="1232"/>
      <c r="V112" s="1326">
        <f t="shared" si="162"/>
        <v>25.137000000000171</v>
      </c>
      <c r="W112" s="1274">
        <f t="shared" si="162"/>
        <v>226.2</v>
      </c>
      <c r="X112" s="1274">
        <f t="shared" si="162"/>
        <v>216.46597500000001</v>
      </c>
      <c r="Y112" s="1274">
        <f t="shared" si="162"/>
        <v>315.52999999999986</v>
      </c>
      <c r="Z112" s="1261">
        <f>SUM(V112:Y112)/Cable!I232</f>
        <v>0.22752301965204366</v>
      </c>
      <c r="AA112" s="1326">
        <f t="shared" si="175"/>
        <v>0</v>
      </c>
      <c r="AB112" s="1274"/>
      <c r="AC112" s="1274"/>
      <c r="AD112" s="1274"/>
      <c r="AE112" s="1261"/>
      <c r="AF112" s="1242"/>
      <c r="AG112" s="1162"/>
      <c r="AH112" s="1162"/>
      <c r="AI112" s="1162"/>
      <c r="AJ112" s="1261"/>
      <c r="AK112" s="1242"/>
      <c r="AL112" s="1162"/>
      <c r="AM112" s="1162"/>
      <c r="AN112" s="1162"/>
      <c r="AO112" s="1261"/>
      <c r="AP112" s="1242"/>
      <c r="AQ112" s="1162"/>
      <c r="AR112" s="1162"/>
      <c r="AS112" s="1162"/>
      <c r="AT112" s="1261"/>
      <c r="AU112" s="1242"/>
      <c r="AV112" s="1162"/>
      <c r="AW112" s="1162"/>
      <c r="AX112" s="1162"/>
      <c r="AY112" s="1261"/>
      <c r="AZ112" s="1242"/>
      <c r="BA112" s="1162"/>
      <c r="BB112" s="1162"/>
      <c r="BC112" s="1162"/>
      <c r="BD112" s="1261"/>
      <c r="BE112" s="1242"/>
      <c r="BF112" s="1162"/>
      <c r="BG112" s="1162"/>
      <c r="BH112" s="1162"/>
      <c r="BI112" s="1261"/>
      <c r="BJ112" s="1242"/>
      <c r="BK112" s="1162"/>
      <c r="BL112" s="1162"/>
      <c r="BM112" s="1162"/>
      <c r="BN112" s="1261"/>
      <c r="BO112" s="1242"/>
      <c r="BP112" s="1162"/>
      <c r="BQ112" s="1162"/>
      <c r="BR112" s="1162"/>
      <c r="BS112" s="1261"/>
      <c r="BT112" s="1242"/>
      <c r="BU112" s="1162"/>
      <c r="BV112" s="1162"/>
      <c r="BW112" s="1162"/>
      <c r="BX112" s="1261"/>
      <c r="BY112" s="1242"/>
      <c r="BZ112" s="1162"/>
      <c r="CA112" s="1162"/>
      <c r="CB112" s="1162"/>
      <c r="CC112" s="1757"/>
      <c r="CD112" s="1242"/>
      <c r="CE112" s="1162"/>
      <c r="CF112" s="1162"/>
      <c r="CG112" s="1162"/>
      <c r="CH112" s="1757"/>
      <c r="CI112" s="1162"/>
      <c r="CJ112" s="860"/>
      <c r="CK112" s="1233"/>
      <c r="CL112" s="860"/>
      <c r="CM112" s="860"/>
      <c r="CN112" s="860"/>
      <c r="CO112" s="1232"/>
      <c r="CP112" s="1233"/>
      <c r="CQ112" s="860"/>
      <c r="CR112" s="860"/>
      <c r="CS112" s="860"/>
      <c r="CT112" s="1232"/>
      <c r="CU112" s="1233"/>
      <c r="CV112" s="860"/>
      <c r="CW112" s="860"/>
      <c r="CX112" s="860"/>
      <c r="CY112" s="1232"/>
      <c r="CZ112" s="1233"/>
      <c r="DA112" s="860"/>
      <c r="DB112" s="860"/>
      <c r="DC112" s="860"/>
      <c r="DD112" s="1232"/>
      <c r="DE112" s="1233"/>
      <c r="DF112" s="860"/>
      <c r="DG112" s="860"/>
      <c r="DH112" s="860"/>
      <c r="DI112" s="1232"/>
      <c r="DJ112" s="1233"/>
      <c r="DK112" s="860"/>
      <c r="DL112" s="860"/>
      <c r="DM112" s="860"/>
      <c r="DN112" s="1232"/>
      <c r="DO112" s="1233"/>
      <c r="DP112" s="860"/>
      <c r="DQ112" s="860"/>
      <c r="DR112" s="860"/>
      <c r="DS112" s="1232"/>
      <c r="DT112" s="1233"/>
      <c r="DU112" s="860"/>
      <c r="DV112" s="860"/>
      <c r="DW112" s="860"/>
      <c r="DX112" s="1232"/>
      <c r="DY112" s="1233"/>
      <c r="DZ112" s="860"/>
      <c r="EA112" s="860"/>
      <c r="EB112" s="860"/>
      <c r="EC112" s="1232"/>
      <c r="ED112" s="860"/>
      <c r="EE112" s="860"/>
      <c r="EF112" s="860"/>
      <c r="EG112" s="860"/>
      <c r="EH112" s="860"/>
      <c r="EI112" s="1233"/>
      <c r="EJ112" s="860"/>
      <c r="EK112" s="860">
        <v>-1808</v>
      </c>
      <c r="EL112" s="860"/>
      <c r="EM112" s="1232"/>
      <c r="EN112" s="1233"/>
      <c r="EO112" s="860"/>
      <c r="EP112" s="860"/>
      <c r="EQ112" s="860"/>
      <c r="ER112" s="1232"/>
      <c r="ES112" s="860"/>
      <c r="ET112" s="860"/>
      <c r="EU112" s="860"/>
      <c r="EV112" s="860"/>
      <c r="EW112" s="1232"/>
      <c r="EX112" s="1233"/>
      <c r="EY112" s="860"/>
      <c r="EZ112" s="860"/>
      <c r="FA112" s="860"/>
      <c r="FB112" s="1754"/>
      <c r="FC112" s="1233"/>
      <c r="FD112" s="860"/>
      <c r="FE112" s="860"/>
      <c r="FF112" s="860"/>
      <c r="FG112" s="860"/>
      <c r="FH112" s="860"/>
      <c r="FI112" s="860"/>
      <c r="FJ112" s="860"/>
      <c r="FY112" s="860"/>
      <c r="FZ112" s="860"/>
      <c r="GA112" s="860"/>
      <c r="GB112" s="860"/>
      <c r="GC112" s="860"/>
      <c r="GD112" s="860"/>
      <c r="GE112" s="860"/>
      <c r="GF112" s="860"/>
      <c r="GG112" s="860"/>
      <c r="GH112" s="860"/>
      <c r="GI112" s="860"/>
      <c r="GJ112" s="860"/>
      <c r="GK112" s="860"/>
      <c r="GL112" s="860"/>
      <c r="GM112" s="860"/>
      <c r="GN112" s="860"/>
      <c r="GO112" s="860"/>
      <c r="GP112" s="860"/>
      <c r="GQ112" s="860"/>
      <c r="GR112" s="1241"/>
      <c r="GS112" s="1218"/>
      <c r="GT112" s="1241"/>
      <c r="GU112" s="1218"/>
      <c r="GV112" s="1241"/>
      <c r="GW112" s="1218"/>
      <c r="GX112" s="1218"/>
      <c r="GY112" s="1241"/>
      <c r="GZ112" s="1218"/>
      <c r="HA112" s="1218"/>
      <c r="HB112" s="1241"/>
      <c r="HC112" s="1218"/>
      <c r="HD112" s="2000"/>
      <c r="HE112" s="1241"/>
      <c r="HF112" s="1218"/>
      <c r="HG112" s="2000"/>
      <c r="HH112" s="1241"/>
      <c r="HI112" s="1241"/>
      <c r="HJ112" s="1218"/>
      <c r="HK112" s="2000"/>
      <c r="HL112" s="1241"/>
      <c r="HM112" s="1218"/>
      <c r="HN112" s="2000"/>
      <c r="HO112" s="1241"/>
      <c r="HP112" s="1218"/>
      <c r="HQ112" s="2000"/>
      <c r="HR112" s="1241"/>
    </row>
    <row r="113" spans="1:226">
      <c r="A113" s="1290" t="str">
        <f t="shared" si="174"/>
        <v xml:space="preserve"> - of which Cablecom</v>
      </c>
      <c r="B113" s="1233"/>
      <c r="C113" s="860"/>
      <c r="D113" s="860"/>
      <c r="E113" s="860"/>
      <c r="F113" s="1232"/>
      <c r="G113" s="1233"/>
      <c r="H113" s="860"/>
      <c r="I113" s="860"/>
      <c r="J113" s="860"/>
      <c r="K113" s="1232"/>
      <c r="L113" s="1233"/>
      <c r="M113" s="860"/>
      <c r="N113" s="860"/>
      <c r="O113" s="860"/>
      <c r="P113" s="1232"/>
      <c r="Q113" s="1233"/>
      <c r="R113" s="860"/>
      <c r="S113" s="860"/>
      <c r="T113" s="860"/>
      <c r="U113" s="1232"/>
      <c r="V113" s="1326">
        <f t="shared" si="162"/>
        <v>0</v>
      </c>
      <c r="W113" s="1274">
        <f t="shared" si="162"/>
        <v>0</v>
      </c>
      <c r="X113" s="1274">
        <f t="shared" si="162"/>
        <v>57.724260000000008</v>
      </c>
      <c r="Y113" s="1274">
        <f t="shared" si="162"/>
        <v>261.32</v>
      </c>
      <c r="Z113" s="1261">
        <f>SUM(V113:Y113)/SUM(V305:Y305)</f>
        <v>0.23293002847338834</v>
      </c>
      <c r="AA113" s="1326">
        <f t="shared" si="175"/>
        <v>0</v>
      </c>
      <c r="AB113" s="1274"/>
      <c r="AC113" s="1274"/>
      <c r="AD113" s="1274"/>
      <c r="AE113" s="1261"/>
      <c r="AF113" s="1242"/>
      <c r="AG113" s="1162"/>
      <c r="AH113" s="1162"/>
      <c r="AI113" s="1162"/>
      <c r="AJ113" s="1261"/>
      <c r="AK113" s="1242"/>
      <c r="AL113" s="1162"/>
      <c r="AM113" s="1162"/>
      <c r="AN113" s="1162"/>
      <c r="AO113" s="1261"/>
      <c r="AP113" s="1242"/>
      <c r="AQ113" s="1162"/>
      <c r="AR113" s="1162"/>
      <c r="AS113" s="1162"/>
      <c r="AT113" s="1261"/>
      <c r="AU113" s="1242"/>
      <c r="AV113" s="1162"/>
      <c r="AW113" s="1162"/>
      <c r="AX113" s="1162"/>
      <c r="AY113" s="1261"/>
      <c r="AZ113" s="1242"/>
      <c r="BA113" s="1162"/>
      <c r="BB113" s="1162"/>
      <c r="BC113" s="1162"/>
      <c r="BD113" s="1261"/>
      <c r="BE113" s="1242"/>
      <c r="BF113" s="1162"/>
      <c r="BG113" s="1162"/>
      <c r="BH113" s="1162"/>
      <c r="BI113" s="1261"/>
      <c r="BJ113" s="1242"/>
      <c r="BK113" s="1162"/>
      <c r="BL113" s="1162"/>
      <c r="BM113" s="1162"/>
      <c r="BN113" s="1261"/>
      <c r="BO113" s="1242"/>
      <c r="BP113" s="1162"/>
      <c r="BQ113" s="1162"/>
      <c r="BR113" s="1162"/>
      <c r="BS113" s="1261"/>
      <c r="BT113" s="1242"/>
      <c r="BU113" s="1162"/>
      <c r="BV113" s="1162"/>
      <c r="BW113" s="1162"/>
      <c r="BX113" s="1261"/>
      <c r="BY113" s="1242"/>
      <c r="BZ113" s="1162"/>
      <c r="CA113" s="1162"/>
      <c r="CB113" s="1162"/>
      <c r="CC113" s="1757"/>
      <c r="CD113" s="1242"/>
      <c r="CE113" s="1162"/>
      <c r="CF113" s="1162"/>
      <c r="CG113" s="1162"/>
      <c r="CH113" s="1757"/>
      <c r="CI113" s="1162"/>
      <c r="CJ113" s="860"/>
      <c r="CK113" s="1233"/>
      <c r="CL113" s="860"/>
      <c r="CM113" s="860"/>
      <c r="CN113" s="860"/>
      <c r="CO113" s="1232"/>
      <c r="CP113" s="1233"/>
      <c r="CQ113" s="860"/>
      <c r="CR113" s="860"/>
      <c r="CS113" s="860"/>
      <c r="CT113" s="1232"/>
      <c r="CU113" s="1233"/>
      <c r="CV113" s="860"/>
      <c r="CW113" s="860"/>
      <c r="CX113" s="860"/>
      <c r="CY113" s="1232"/>
      <c r="CZ113" s="1233"/>
      <c r="DA113" s="860"/>
      <c r="DB113" s="860"/>
      <c r="DC113" s="860"/>
      <c r="DD113" s="1232"/>
      <c r="DE113" s="1233"/>
      <c r="DF113" s="860"/>
      <c r="DG113" s="860"/>
      <c r="DH113" s="860"/>
      <c r="DI113" s="1232"/>
      <c r="DJ113" s="1233"/>
      <c r="DK113" s="860"/>
      <c r="DL113" s="860"/>
      <c r="DM113" s="860"/>
      <c r="DN113" s="1232"/>
      <c r="DO113" s="1233"/>
      <c r="DP113" s="860"/>
      <c r="DQ113" s="860"/>
      <c r="DR113" s="860"/>
      <c r="DS113" s="1232"/>
      <c r="DT113" s="1233"/>
      <c r="DU113" s="860"/>
      <c r="DV113" s="860"/>
      <c r="DW113" s="860"/>
      <c r="DX113" s="1232"/>
      <c r="DY113" s="1233"/>
      <c r="DZ113" s="860"/>
      <c r="EA113" s="860"/>
      <c r="EB113" s="860"/>
      <c r="EC113" s="1232"/>
      <c r="ED113" s="860"/>
      <c r="EE113" s="860"/>
      <c r="EF113" s="860"/>
      <c r="EG113" s="860"/>
      <c r="EH113" s="860"/>
      <c r="EI113" s="1233"/>
      <c r="EJ113" s="860"/>
      <c r="EK113" s="860">
        <v>-6328</v>
      </c>
      <c r="EL113" s="860"/>
      <c r="EM113" s="1232"/>
      <c r="EN113" s="1233"/>
      <c r="EO113" s="860"/>
      <c r="EP113" s="860"/>
      <c r="EQ113" s="860"/>
      <c r="ER113" s="1232"/>
      <c r="ES113" s="860"/>
      <c r="ET113" s="860"/>
      <c r="EU113" s="860"/>
      <c r="EV113" s="860"/>
      <c r="EW113" s="1232"/>
      <c r="EX113" s="1233"/>
      <c r="EY113" s="860"/>
      <c r="EZ113" s="860"/>
      <c r="FA113" s="860"/>
      <c r="FB113" s="1754"/>
      <c r="FC113" s="1233"/>
      <c r="FD113" s="860"/>
      <c r="FE113" s="860"/>
      <c r="FF113" s="860"/>
      <c r="FG113" s="860"/>
      <c r="FH113" s="860"/>
      <c r="FI113" s="860"/>
      <c r="FJ113" s="860"/>
      <c r="FY113" s="860"/>
      <c r="FZ113" s="860"/>
      <c r="GA113" s="860"/>
      <c r="GB113" s="860"/>
      <c r="GC113" s="860"/>
      <c r="GD113" s="860"/>
      <c r="GE113" s="860"/>
      <c r="GF113" s="860"/>
      <c r="GG113" s="860"/>
      <c r="GH113" s="860"/>
      <c r="GI113" s="860"/>
      <c r="GJ113" s="860"/>
      <c r="GK113" s="860"/>
      <c r="GL113" s="860"/>
      <c r="GM113" s="860"/>
      <c r="GN113" s="860"/>
      <c r="GO113" s="860"/>
      <c r="GP113" s="860"/>
      <c r="GQ113" s="860"/>
      <c r="GR113" s="1241"/>
      <c r="GS113" s="1218"/>
      <c r="GT113" s="1241"/>
      <c r="GU113" s="1218"/>
      <c r="GV113" s="1241"/>
      <c r="GW113" s="1218"/>
      <c r="GX113" s="1218"/>
      <c r="GY113" s="1241"/>
      <c r="GZ113" s="1218"/>
      <c r="HA113" s="1218"/>
      <c r="HB113" s="1241"/>
      <c r="HC113" s="1218"/>
      <c r="HD113" s="2000"/>
      <c r="HE113" s="1241"/>
      <c r="HF113" s="1218"/>
      <c r="HG113" s="2000"/>
      <c r="HH113" s="1241"/>
      <c r="HI113" s="1241"/>
      <c r="HJ113" s="1218"/>
      <c r="HK113" s="2000"/>
      <c r="HL113" s="1241"/>
      <c r="HM113" s="1218"/>
      <c r="HN113" s="2000"/>
      <c r="HO113" s="1241"/>
      <c r="HP113" s="1218"/>
      <c r="HQ113" s="2000"/>
      <c r="HR113" s="1241"/>
    </row>
    <row r="114" spans="1:226">
      <c r="A114" s="1290" t="str">
        <f t="shared" si="174"/>
        <v xml:space="preserve"> of which SKY</v>
      </c>
      <c r="B114" s="1233"/>
      <c r="C114" s="860"/>
      <c r="D114" s="860"/>
      <c r="E114" s="860"/>
      <c r="F114" s="1232"/>
      <c r="G114" s="1233"/>
      <c r="H114" s="860"/>
      <c r="I114" s="860"/>
      <c r="J114" s="860"/>
      <c r="K114" s="1232"/>
      <c r="L114" s="1233"/>
      <c r="M114" s="860"/>
      <c r="N114" s="860"/>
      <c r="O114" s="860"/>
      <c r="P114" s="1232"/>
      <c r="Q114" s="1233"/>
      <c r="R114" s="860"/>
      <c r="S114" s="860"/>
      <c r="T114" s="860"/>
      <c r="U114" s="1232"/>
      <c r="V114" s="1326">
        <f t="shared" si="162"/>
        <v>971.08200000000011</v>
      </c>
      <c r="W114" s="1274">
        <f t="shared" si="162"/>
        <v>1164.8</v>
      </c>
      <c r="X114" s="1274">
        <f t="shared" si="162"/>
        <v>1343.4009600000002</v>
      </c>
      <c r="Y114" s="1274">
        <f t="shared" si="162"/>
        <v>1715.2599999999998</v>
      </c>
      <c r="Z114" s="1261"/>
      <c r="AA114" s="1326">
        <f t="shared" si="175"/>
        <v>1089.19</v>
      </c>
      <c r="AB114" s="1274">
        <f t="shared" ref="AB114:AD115" si="176">AB103*AB$199</f>
        <v>1256.24</v>
      </c>
      <c r="AC114" s="1274">
        <f t="shared" si="176"/>
        <v>1471.38</v>
      </c>
      <c r="AD114" s="1274">
        <f t="shared" si="176"/>
        <v>1929.33</v>
      </c>
      <c r="AE114" s="1261"/>
      <c r="AF114" s="1326">
        <f t="shared" ref="AF114:AI115" si="177">AF103*AF$199</f>
        <v>1583.1870421538467</v>
      </c>
      <c r="AG114" s="1274">
        <f t="shared" si="177"/>
        <v>1801.3600000000001</v>
      </c>
      <c r="AH114" s="1274">
        <f t="shared" si="177"/>
        <v>1573.9640000000002</v>
      </c>
      <c r="AI114" s="1274">
        <f t="shared" si="177"/>
        <v>1462.9450000000004</v>
      </c>
      <c r="AJ114" s="1261"/>
      <c r="AK114" s="1326">
        <f t="shared" ref="AK114:AN115" si="178">AK103*AK$199</f>
        <v>1075.9000000000001</v>
      </c>
      <c r="AL114" s="1274">
        <f t="shared" si="178"/>
        <v>901.53000000000009</v>
      </c>
      <c r="AM114" s="1274">
        <f t="shared" si="178"/>
        <v>871.34383384615421</v>
      </c>
      <c r="AN114" s="1274">
        <f t="shared" si="178"/>
        <v>1156.4910000000002</v>
      </c>
      <c r="AO114" s="1261"/>
      <c r="AP114" s="1326">
        <f t="shared" ref="AP114:AS115" si="179">AP103*AP$199</f>
        <v>749.31218461538447</v>
      </c>
      <c r="AQ114" s="1274">
        <f t="shared" si="179"/>
        <v>1087.52</v>
      </c>
      <c r="AR114" s="1274">
        <f t="shared" si="179"/>
        <v>857.98199999999997</v>
      </c>
      <c r="AS114" s="1274">
        <f t="shared" si="179"/>
        <v>1359.1699999999998</v>
      </c>
      <c r="AT114" s="1261"/>
      <c r="AU114" s="1326">
        <f t="shared" ref="AU114:AX115" si="180">AU103*AU$199</f>
        <v>904.34318203125019</v>
      </c>
      <c r="AV114" s="1274">
        <f t="shared" si="180"/>
        <v>726.18</v>
      </c>
      <c r="AW114" s="1274">
        <f t="shared" si="180"/>
        <v>979.69999999999993</v>
      </c>
      <c r="AX114" s="1274">
        <f t="shared" si="180"/>
        <v>1414.875</v>
      </c>
      <c r="AY114" s="1261"/>
      <c r="AZ114" s="1326">
        <f t="shared" ref="AZ114:BC115" si="181">AZ103*AZ$199</f>
        <v>1236.0079864615382</v>
      </c>
      <c r="BA114" s="1274">
        <f t="shared" si="181"/>
        <v>1254.429520923077</v>
      </c>
      <c r="BB114" s="1274">
        <f t="shared" si="181"/>
        <v>1433.1640833333333</v>
      </c>
      <c r="BC114" s="1274">
        <f t="shared" si="181"/>
        <v>1431.2837972727264</v>
      </c>
      <c r="BD114" s="1261"/>
      <c r="BE114" s="1326">
        <f t="shared" ref="BE114:BH115" si="182">BE103*BE$199</f>
        <v>1497.0458500000004</v>
      </c>
      <c r="BF114" s="1274">
        <f t="shared" si="182"/>
        <v>1099.1238452307693</v>
      </c>
      <c r="BG114" s="1274">
        <f t="shared" si="182"/>
        <v>1268.1042454545459</v>
      </c>
      <c r="BH114" s="1274">
        <f t="shared" si="182"/>
        <v>1085.1242828787879</v>
      </c>
      <c r="BI114" s="1327">
        <f>Master!T83</f>
        <v>4951.6956950725162</v>
      </c>
      <c r="BJ114" s="1326">
        <f t="shared" ref="BJ114:BM115" si="183">BJ103*BJ$199</f>
        <v>1129.6722372307686</v>
      </c>
      <c r="BK114" s="1274">
        <f t="shared" si="183"/>
        <v>1100.215088307692</v>
      </c>
      <c r="BL114" s="1274">
        <f t="shared" si="183"/>
        <v>841.71007030303042</v>
      </c>
      <c r="BM114" s="1274">
        <f t="shared" si="183"/>
        <v>813.11779999999987</v>
      </c>
      <c r="BN114" s="1327">
        <f>Master!U83</f>
        <v>3883.241</v>
      </c>
      <c r="BO114" s="1326">
        <f t="shared" ref="BO114:BR115" si="184">BO103*BO$199</f>
        <v>800.51400000000001</v>
      </c>
      <c r="BP114" s="1274">
        <f t="shared" si="184"/>
        <v>717.40200000000004</v>
      </c>
      <c r="BQ114" s="1274">
        <f t="shared" si="184"/>
        <v>484.78800000000001</v>
      </c>
      <c r="BR114" s="1274">
        <f t="shared" si="184"/>
        <v>654.6149999999999</v>
      </c>
      <c r="BS114" s="1327">
        <f>Master!V83</f>
        <v>2640.8399999999997</v>
      </c>
      <c r="BT114" s="1326">
        <f t="shared" ref="BT114:BW115" si="185">BT103*BT$199</f>
        <v>407.28</v>
      </c>
      <c r="BU114" s="1274">
        <f t="shared" si="185"/>
        <v>450.22500000000002</v>
      </c>
      <c r="BV114" s="1274">
        <f t="shared" si="185"/>
        <v>215.68800000000002</v>
      </c>
      <c r="BW114" s="1274">
        <f t="shared" si="185"/>
        <v>437.30799999999994</v>
      </c>
      <c r="BX114" s="1327">
        <f>Master!W83</f>
        <v>1524.39</v>
      </c>
      <c r="BY114" s="1326">
        <f t="shared" ref="BY114:CB115" si="186">BY103*BY$199</f>
        <v>0</v>
      </c>
      <c r="BZ114" s="1274">
        <f t="shared" si="186"/>
        <v>0</v>
      </c>
      <c r="CA114" s="1274">
        <f t="shared" si="186"/>
        <v>0</v>
      </c>
      <c r="CB114" s="1274">
        <f t="shared" si="186"/>
        <v>0</v>
      </c>
      <c r="CC114" s="1769">
        <f>Master!X83</f>
        <v>1638.4872989824</v>
      </c>
      <c r="CD114" s="1326"/>
      <c r="CE114" s="1274"/>
      <c r="CF114" s="1274"/>
      <c r="CG114" s="1274"/>
      <c r="CH114" s="1769">
        <f>Master!Y83</f>
        <v>1240.9397000000001</v>
      </c>
      <c r="CI114" s="1274"/>
      <c r="CJ114" s="860"/>
      <c r="CK114" s="1233"/>
      <c r="CL114" s="860"/>
      <c r="CM114" s="860"/>
      <c r="CN114" s="860"/>
      <c r="CO114" s="1232"/>
      <c r="CP114" s="1233"/>
      <c r="CQ114" s="860"/>
      <c r="CR114" s="860"/>
      <c r="CS114" s="860"/>
      <c r="CT114" s="1232"/>
      <c r="CU114" s="1233"/>
      <c r="CV114" s="860"/>
      <c r="CW114" s="860"/>
      <c r="CX114" s="860"/>
      <c r="CY114" s="1232"/>
      <c r="CZ114" s="1233"/>
      <c r="DA114" s="860"/>
      <c r="DB114" s="860"/>
      <c r="DC114" s="860"/>
      <c r="DD114" s="1232"/>
      <c r="DE114" s="1233"/>
      <c r="DF114" s="860"/>
      <c r="DG114" s="860"/>
      <c r="DH114" s="860"/>
      <c r="DI114" s="1232"/>
      <c r="DJ114" s="1233"/>
      <c r="DK114" s="860"/>
      <c r="DL114" s="860"/>
      <c r="DM114" s="860"/>
      <c r="DN114" s="1232"/>
      <c r="DO114" s="1233"/>
      <c r="DP114" s="860"/>
      <c r="DQ114" s="860"/>
      <c r="DR114" s="860"/>
      <c r="DS114" s="1232"/>
      <c r="DT114" s="1233"/>
      <c r="DU114" s="860"/>
      <c r="DV114" s="860"/>
      <c r="DW114" s="860"/>
      <c r="DX114" s="1232"/>
      <c r="DY114" s="1233"/>
      <c r="DZ114" s="860"/>
      <c r="EA114" s="860"/>
      <c r="EB114" s="860"/>
      <c r="EC114" s="1232"/>
      <c r="ED114" s="860"/>
      <c r="EE114" s="860"/>
      <c r="EF114" s="860"/>
      <c r="EG114" s="860"/>
      <c r="EH114" s="860"/>
      <c r="EI114" s="1233"/>
      <c r="EJ114" s="860"/>
      <c r="EK114" s="1264">
        <f>EK110+EK112+EK113</f>
        <v>-4306</v>
      </c>
      <c r="EL114" s="860"/>
      <c r="EM114" s="1232"/>
      <c r="EN114" s="1233"/>
      <c r="EO114" s="860"/>
      <c r="EP114" s="860"/>
      <c r="EQ114" s="860"/>
      <c r="ER114" s="1232"/>
      <c r="ES114" s="860"/>
      <c r="ET114" s="860"/>
      <c r="EU114" s="860"/>
      <c r="EV114" s="860"/>
      <c r="EW114" s="1232"/>
      <c r="EX114" s="1233"/>
      <c r="EY114" s="860"/>
      <c r="EZ114" s="860"/>
      <c r="FA114" s="860"/>
      <c r="FB114" s="1754"/>
      <c r="FC114" s="1233"/>
      <c r="FD114" s="860"/>
      <c r="FE114" s="860"/>
      <c r="FF114" s="860"/>
      <c r="FG114" s="860"/>
      <c r="FH114" s="860"/>
      <c r="FI114" s="860"/>
      <c r="FJ114" s="860"/>
      <c r="FY114" s="860"/>
      <c r="FZ114" s="860"/>
      <c r="GA114" s="860"/>
      <c r="GB114" s="860"/>
      <c r="GC114" s="860"/>
      <c r="GD114" s="860"/>
      <c r="GE114" s="860"/>
      <c r="GF114" s="860"/>
      <c r="GG114" s="860"/>
      <c r="GH114" s="860"/>
      <c r="GI114" s="860"/>
      <c r="GJ114" s="860"/>
      <c r="GK114" s="860"/>
      <c r="GL114" s="860"/>
      <c r="GM114" s="860"/>
      <c r="GN114" s="860"/>
      <c r="GO114" s="860"/>
      <c r="GP114" s="860"/>
      <c r="GQ114" s="860"/>
      <c r="GR114" s="1279">
        <v>749.76</v>
      </c>
      <c r="GS114" s="1218"/>
      <c r="GT114" s="1279">
        <v>849.70761826562557</v>
      </c>
      <c r="GU114" s="1218"/>
      <c r="GV114" s="1279">
        <v>728.01299999999992</v>
      </c>
      <c r="GW114" s="1218"/>
      <c r="GX114" s="1218"/>
      <c r="GY114" s="1279">
        <v>690</v>
      </c>
      <c r="GZ114" s="1218"/>
      <c r="HA114" s="1218"/>
      <c r="HB114" s="1279">
        <v>567.6</v>
      </c>
      <c r="HC114" s="1218"/>
      <c r="HD114" s="2000"/>
      <c r="HE114" s="1279">
        <v>987.6021873090458</v>
      </c>
      <c r="HF114" s="1218"/>
      <c r="HG114" s="2000"/>
      <c r="HH114" s="1241"/>
      <c r="HI114" s="1279">
        <v>0</v>
      </c>
      <c r="HJ114" s="1218"/>
      <c r="HK114" s="2000"/>
      <c r="HL114" s="1279">
        <v>0</v>
      </c>
      <c r="HM114" s="1218"/>
      <c r="HN114" s="2000"/>
      <c r="HO114" s="1279">
        <v>0</v>
      </c>
      <c r="HP114" s="1218"/>
      <c r="HQ114" s="2000"/>
      <c r="HR114" s="1279">
        <v>0</v>
      </c>
    </row>
    <row r="115" spans="1:226">
      <c r="A115" s="1290" t="str">
        <f t="shared" si="174"/>
        <v xml:space="preserve"> of which Content/other</v>
      </c>
      <c r="B115" s="1233"/>
      <c r="C115" s="860"/>
      <c r="D115" s="860"/>
      <c r="E115" s="860"/>
      <c r="F115" s="1232"/>
      <c r="G115" s="1233"/>
      <c r="H115" s="860"/>
      <c r="I115" s="860"/>
      <c r="J115" s="860"/>
      <c r="K115" s="1232"/>
      <c r="L115" s="1233"/>
      <c r="M115" s="860"/>
      <c r="N115" s="860"/>
      <c r="O115" s="860"/>
      <c r="P115" s="1232"/>
      <c r="Q115" s="1233"/>
      <c r="R115" s="860"/>
      <c r="S115" s="860"/>
      <c r="T115" s="860"/>
      <c r="U115" s="1232"/>
      <c r="V115" s="1326">
        <f t="shared" si="162"/>
        <v>308.25899999999979</v>
      </c>
      <c r="W115" s="1274">
        <f t="shared" si="162"/>
        <v>466.70000000000005</v>
      </c>
      <c r="X115" s="1274">
        <f t="shared" si="162"/>
        <v>613.97622000000001</v>
      </c>
      <c r="Y115" s="1274">
        <f t="shared" si="162"/>
        <v>1048.0600000000004</v>
      </c>
      <c r="Z115" s="1261"/>
      <c r="AA115" s="1326">
        <f t="shared" si="175"/>
        <v>227.97000000000003</v>
      </c>
      <c r="AB115" s="1274">
        <f t="shared" si="176"/>
        <v>461.13200000000001</v>
      </c>
      <c r="AC115" s="1274">
        <f t="shared" si="176"/>
        <v>876.25200000000007</v>
      </c>
      <c r="AD115" s="1274">
        <f t="shared" si="176"/>
        <v>1119.6709999999998</v>
      </c>
      <c r="AE115" s="1261"/>
      <c r="AF115" s="1326">
        <f t="shared" si="177"/>
        <v>611.27609030769258</v>
      </c>
      <c r="AG115" s="1274">
        <f t="shared" si="177"/>
        <v>468.14000000000004</v>
      </c>
      <c r="AH115" s="1274">
        <f t="shared" si="177"/>
        <v>954.88400000000001</v>
      </c>
      <c r="AI115" s="1274">
        <f t="shared" si="177"/>
        <v>772.16500000000008</v>
      </c>
      <c r="AJ115" s="1261"/>
      <c r="AK115" s="1326">
        <f t="shared" si="178"/>
        <v>282.17</v>
      </c>
      <c r="AL115" s="1274">
        <f t="shared" si="178"/>
        <v>257.84500000000003</v>
      </c>
      <c r="AM115" s="1274">
        <f t="shared" si="178"/>
        <v>534.56676923076952</v>
      </c>
      <c r="AN115" s="1274">
        <f t="shared" si="178"/>
        <v>1059.6419999999996</v>
      </c>
      <c r="AO115" s="1261"/>
      <c r="AP115" s="1326">
        <f t="shared" si="179"/>
        <v>236.0333381538461</v>
      </c>
      <c r="AQ115" s="1274">
        <f t="shared" si="179"/>
        <v>501.03600000000006</v>
      </c>
      <c r="AR115" s="1274">
        <f t="shared" si="179"/>
        <v>695.09800000000007</v>
      </c>
      <c r="AS115" s="1274">
        <f t="shared" si="179"/>
        <v>392.03000000000003</v>
      </c>
      <c r="AT115" s="1261"/>
      <c r="AU115" s="1326">
        <f t="shared" si="180"/>
        <v>117.12300234375002</v>
      </c>
      <c r="AV115" s="1274">
        <f t="shared" si="180"/>
        <v>273.27300000000002</v>
      </c>
      <c r="AW115" s="1274">
        <f t="shared" si="180"/>
        <v>432.62</v>
      </c>
      <c r="AX115" s="1274">
        <f t="shared" si="180"/>
        <v>1253.1750000000002</v>
      </c>
      <c r="AY115" s="1261"/>
      <c r="AZ115" s="1326">
        <f t="shared" si="181"/>
        <v>94.000607384615364</v>
      </c>
      <c r="BA115" s="1274">
        <f t="shared" si="181"/>
        <v>156.22077676923078</v>
      </c>
      <c r="BB115" s="1274">
        <f t="shared" si="181"/>
        <v>304.74059090909094</v>
      </c>
      <c r="BC115" s="1274">
        <f t="shared" si="181"/>
        <v>30.80237727272727</v>
      </c>
      <c r="BD115" s="1261"/>
      <c r="BE115" s="1326">
        <f t="shared" si="182"/>
        <v>34.578504687500008</v>
      </c>
      <c r="BF115" s="1274">
        <f t="shared" si="182"/>
        <v>384.39303876923083</v>
      </c>
      <c r="BG115" s="1274">
        <f t="shared" si="182"/>
        <v>506.84103333333354</v>
      </c>
      <c r="BH115" s="1274">
        <f t="shared" si="182"/>
        <v>89.216719242424219</v>
      </c>
      <c r="BI115" s="1327">
        <f>Master!T82</f>
        <v>1024.4188144250802</v>
      </c>
      <c r="BJ115" s="1326">
        <f t="shared" si="183"/>
        <v>106.61153599999994</v>
      </c>
      <c r="BK115" s="1274">
        <f t="shared" si="183"/>
        <v>2.0040347692307687</v>
      </c>
      <c r="BL115" s="1274">
        <f t="shared" si="183"/>
        <v>66.770269999999996</v>
      </c>
      <c r="BM115" s="1274">
        <f t="shared" si="183"/>
        <v>172.42016000000001</v>
      </c>
      <c r="BN115" s="1327">
        <f>Master!U82</f>
        <v>341.87</v>
      </c>
      <c r="BO115" s="1326">
        <f t="shared" si="184"/>
        <v>13.061999999999999</v>
      </c>
      <c r="BP115" s="1274">
        <f t="shared" si="184"/>
        <v>199.67100000000002</v>
      </c>
      <c r="BQ115" s="1274">
        <f t="shared" si="184"/>
        <v>293.60399999999998</v>
      </c>
      <c r="BR115" s="1274">
        <f t="shared" si="184"/>
        <v>300.10499999999996</v>
      </c>
      <c r="BS115" s="1327">
        <f>Master!V82</f>
        <v>658.44</v>
      </c>
      <c r="BT115" s="1326">
        <f t="shared" si="185"/>
        <v>1.6970000000000001</v>
      </c>
      <c r="BU115" s="1274">
        <f t="shared" si="185"/>
        <v>0</v>
      </c>
      <c r="BV115" s="1274">
        <f t="shared" si="185"/>
        <v>26.488</v>
      </c>
      <c r="BW115" s="1274">
        <f t="shared" si="185"/>
        <v>180.54</v>
      </c>
      <c r="BX115" s="1327">
        <f>Master!W82</f>
        <v>0</v>
      </c>
      <c r="BY115" s="1326">
        <f t="shared" si="186"/>
        <v>0</v>
      </c>
      <c r="BZ115" s="1274">
        <f t="shared" si="186"/>
        <v>0</v>
      </c>
      <c r="CA115" s="1274">
        <f t="shared" si="186"/>
        <v>0</v>
      </c>
      <c r="CB115" s="1274">
        <f t="shared" si="186"/>
        <v>0</v>
      </c>
      <c r="CC115" s="1769">
        <f>Master!X82</f>
        <v>0</v>
      </c>
      <c r="CD115" s="1326"/>
      <c r="CE115" s="1274"/>
      <c r="CF115" s="1274"/>
      <c r="CG115" s="1274"/>
      <c r="CH115" s="1769">
        <f>Master!Y82</f>
        <v>0</v>
      </c>
      <c r="CI115" s="1274"/>
      <c r="CJ115" s="860"/>
      <c r="CK115" s="1233"/>
      <c r="CL115" s="860"/>
      <c r="CM115" s="860"/>
      <c r="CN115" s="860"/>
      <c r="CO115" s="1232"/>
      <c r="CP115" s="1233"/>
      <c r="CQ115" s="860"/>
      <c r="CR115" s="860"/>
      <c r="CS115" s="860"/>
      <c r="CT115" s="1232"/>
      <c r="CU115" s="1233"/>
      <c r="CV115" s="860"/>
      <c r="CW115" s="860"/>
      <c r="CX115" s="860"/>
      <c r="CY115" s="1232"/>
      <c r="CZ115" s="1233"/>
      <c r="DA115" s="860"/>
      <c r="DB115" s="860"/>
      <c r="DC115" s="860"/>
      <c r="DD115" s="1232"/>
      <c r="DE115" s="1233"/>
      <c r="DF115" s="860"/>
      <c r="DG115" s="860"/>
      <c r="DH115" s="860"/>
      <c r="DI115" s="1232"/>
      <c r="DJ115" s="1233"/>
      <c r="DK115" s="860"/>
      <c r="DL115" s="860"/>
      <c r="DM115" s="860"/>
      <c r="DN115" s="1232"/>
      <c r="DO115" s="1233"/>
      <c r="DP115" s="860"/>
      <c r="DQ115" s="860"/>
      <c r="DR115" s="860"/>
      <c r="DS115" s="1232"/>
      <c r="DT115" s="1233"/>
      <c r="DU115" s="860"/>
      <c r="DV115" s="860"/>
      <c r="DW115" s="860"/>
      <c r="DX115" s="1232"/>
      <c r="DY115" s="1233"/>
      <c r="DZ115" s="860"/>
      <c r="EA115" s="860"/>
      <c r="EB115" s="860"/>
      <c r="EC115" s="1232"/>
      <c r="ED115" s="860"/>
      <c r="EE115" s="860"/>
      <c r="EF115" s="860"/>
      <c r="EG115" s="860"/>
      <c r="EH115" s="860"/>
      <c r="EI115" s="1233"/>
      <c r="EJ115" s="860"/>
      <c r="EK115" s="860">
        <f>EK114+2621</f>
        <v>-1685</v>
      </c>
      <c r="EL115" s="860"/>
      <c r="EM115" s="1232"/>
      <c r="EN115" s="1233"/>
      <c r="EO115" s="860"/>
      <c r="EP115" s="860"/>
      <c r="EQ115" s="860"/>
      <c r="ER115" s="1232"/>
      <c r="ES115" s="860"/>
      <c r="ET115" s="860"/>
      <c r="EU115" s="860"/>
      <c r="EV115" s="860"/>
      <c r="EW115" s="1232"/>
      <c r="EX115" s="1233"/>
      <c r="EY115" s="860"/>
      <c r="EZ115" s="860"/>
      <c r="FA115" s="860"/>
      <c r="FB115" s="1754"/>
      <c r="FC115" s="1233"/>
      <c r="FD115" s="860"/>
      <c r="FE115" s="860"/>
      <c r="FF115" s="860"/>
      <c r="FG115" s="860"/>
      <c r="FH115" s="860"/>
      <c r="FI115" s="860"/>
      <c r="FJ115" s="860"/>
      <c r="FY115" s="860"/>
      <c r="FZ115" s="860"/>
      <c r="GA115" s="860"/>
      <c r="GB115" s="860"/>
      <c r="GC115" s="860"/>
      <c r="GD115" s="860"/>
      <c r="GE115" s="860"/>
      <c r="GF115" s="860"/>
      <c r="GG115" s="860"/>
      <c r="GH115" s="860"/>
      <c r="GI115" s="860"/>
      <c r="GJ115" s="860"/>
      <c r="GK115" s="860"/>
      <c r="GL115" s="860"/>
      <c r="GM115" s="860"/>
      <c r="GN115" s="860"/>
      <c r="GO115" s="860"/>
      <c r="GP115" s="860"/>
      <c r="GQ115" s="860"/>
      <c r="GR115" s="1279">
        <v>255.6</v>
      </c>
      <c r="GS115" s="1218"/>
      <c r="GT115" s="1279">
        <v>173.66299999999995</v>
      </c>
      <c r="GU115" s="1218"/>
      <c r="GV115" s="1279">
        <v>33.94</v>
      </c>
      <c r="GW115" s="1218"/>
      <c r="GX115" s="1218"/>
      <c r="GY115" s="1279">
        <v>0</v>
      </c>
      <c r="GZ115" s="1218"/>
      <c r="HA115" s="1218"/>
      <c r="HB115" s="1279">
        <v>0</v>
      </c>
      <c r="HC115" s="1218"/>
      <c r="HD115" s="2000"/>
      <c r="HE115" s="1279">
        <v>-28.083999999999996</v>
      </c>
      <c r="HF115" s="1218"/>
      <c r="HG115" s="2000"/>
      <c r="HH115" s="1241"/>
      <c r="HI115" s="1279">
        <v>0</v>
      </c>
      <c r="HJ115" s="1218"/>
      <c r="HK115" s="2000"/>
      <c r="HL115" s="1279">
        <v>0</v>
      </c>
      <c r="HM115" s="1218"/>
      <c r="HN115" s="2000"/>
      <c r="HO115" s="1279">
        <v>0</v>
      </c>
      <c r="HP115" s="1218"/>
      <c r="HQ115" s="2000"/>
      <c r="HR115" s="1279">
        <v>0</v>
      </c>
    </row>
    <row r="116" spans="1:226">
      <c r="A116" s="1290"/>
      <c r="B116" s="1233"/>
      <c r="C116" s="860"/>
      <c r="D116" s="860"/>
      <c r="E116" s="860"/>
      <c r="F116" s="1232"/>
      <c r="G116" s="1233"/>
      <c r="H116" s="860"/>
      <c r="I116" s="860"/>
      <c r="J116" s="860"/>
      <c r="K116" s="1232"/>
      <c r="L116" s="1233"/>
      <c r="M116" s="860"/>
      <c r="N116" s="860"/>
      <c r="O116" s="860"/>
      <c r="P116" s="1232"/>
      <c r="Q116" s="1233"/>
      <c r="R116" s="860"/>
      <c r="S116" s="860"/>
      <c r="T116" s="860"/>
      <c r="U116" s="1232"/>
      <c r="V116" s="1233"/>
      <c r="W116" s="860"/>
      <c r="X116" s="860"/>
      <c r="Y116" s="860"/>
      <c r="Z116" s="1261"/>
      <c r="AA116" s="1242"/>
      <c r="AB116" s="1162"/>
      <c r="AC116" s="1162"/>
      <c r="AD116" s="1162"/>
      <c r="AE116" s="1261"/>
      <c r="AF116" s="1242"/>
      <c r="AG116" s="1162"/>
      <c r="AH116" s="1162"/>
      <c r="AI116" s="1162"/>
      <c r="AJ116" s="1261"/>
      <c r="AK116" s="1242"/>
      <c r="AL116" s="1162"/>
      <c r="AM116" s="1162"/>
      <c r="AN116" s="1162"/>
      <c r="AO116" s="1261"/>
      <c r="AP116" s="1242"/>
      <c r="AQ116" s="1162"/>
      <c r="AR116" s="1162"/>
      <c r="AS116" s="1162"/>
      <c r="AT116" s="1261"/>
      <c r="AU116" s="1242"/>
      <c r="AV116" s="1162"/>
      <c r="AW116" s="1162"/>
      <c r="AX116" s="1162"/>
      <c r="AY116" s="1261"/>
      <c r="AZ116" s="1242"/>
      <c r="BA116" s="1162"/>
      <c r="BB116" s="1162"/>
      <c r="BC116" s="1162"/>
      <c r="BD116" s="1261"/>
      <c r="BE116" s="1242"/>
      <c r="BF116" s="1162"/>
      <c r="BG116" s="1162"/>
      <c r="BH116" s="1162"/>
      <c r="BI116" s="1261"/>
      <c r="BJ116" s="1242"/>
      <c r="BK116" s="1162"/>
      <c r="BL116" s="1162"/>
      <c r="BM116" s="1162"/>
      <c r="BN116" s="1261"/>
      <c r="BO116" s="1242"/>
      <c r="BP116" s="1162"/>
      <c r="BQ116" s="1162"/>
      <c r="BR116" s="1162"/>
      <c r="BS116" s="1261"/>
      <c r="BT116" s="1242"/>
      <c r="BU116" s="1162"/>
      <c r="BV116" s="1162"/>
      <c r="BW116" s="1162"/>
      <c r="BX116" s="1261"/>
      <c r="BY116" s="1242"/>
      <c r="BZ116" s="1162"/>
      <c r="CA116" s="1162"/>
      <c r="CB116" s="1162"/>
      <c r="CC116" s="1757"/>
      <c r="CD116" s="1242"/>
      <c r="CE116" s="1162"/>
      <c r="CF116" s="1162"/>
      <c r="CG116" s="1162"/>
      <c r="CH116" s="1757"/>
      <c r="CI116" s="1162"/>
      <c r="CJ116" s="860"/>
      <c r="CK116" s="1233"/>
      <c r="CL116" s="860"/>
      <c r="CM116" s="860"/>
      <c r="CN116" s="860"/>
      <c r="CO116" s="1232"/>
      <c r="CP116" s="1233"/>
      <c r="CQ116" s="860"/>
      <c r="CR116" s="860"/>
      <c r="CS116" s="860"/>
      <c r="CT116" s="1232"/>
      <c r="CU116" s="1233"/>
      <c r="CV116" s="860"/>
      <c r="CW116" s="860"/>
      <c r="CX116" s="860"/>
      <c r="CY116" s="1232"/>
      <c r="CZ116" s="1233"/>
      <c r="DA116" s="860"/>
      <c r="DB116" s="860"/>
      <c r="DC116" s="860"/>
      <c r="DD116" s="1232"/>
      <c r="DE116" s="1233"/>
      <c r="DF116" s="860"/>
      <c r="DG116" s="860"/>
      <c r="DH116" s="860"/>
      <c r="DI116" s="1232"/>
      <c r="DJ116" s="1233"/>
      <c r="DK116" s="860"/>
      <c r="DL116" s="860"/>
      <c r="DM116" s="860"/>
      <c r="DN116" s="1232"/>
      <c r="DO116" s="1233"/>
      <c r="DP116" s="860"/>
      <c r="DQ116" s="860"/>
      <c r="DR116" s="860"/>
      <c r="DS116" s="1232"/>
      <c r="DT116" s="1233"/>
      <c r="DU116" s="860"/>
      <c r="DV116" s="860"/>
      <c r="DW116" s="860"/>
      <c r="DX116" s="1232"/>
      <c r="DY116" s="1233"/>
      <c r="DZ116" s="860"/>
      <c r="EA116" s="860"/>
      <c r="EB116" s="860"/>
      <c r="EC116" s="1232"/>
      <c r="ED116" s="860"/>
      <c r="EE116" s="860"/>
      <c r="EF116" s="860"/>
      <c r="EG116" s="860"/>
      <c r="EH116" s="860"/>
      <c r="EI116" s="1233"/>
      <c r="EJ116" s="860"/>
      <c r="EK116" s="860"/>
      <c r="EL116" s="860"/>
      <c r="EM116" s="1232"/>
      <c r="EN116" s="1233"/>
      <c r="EO116" s="860"/>
      <c r="EP116" s="860"/>
      <c r="EQ116" s="860"/>
      <c r="ER116" s="1232"/>
      <c r="ES116" s="860"/>
      <c r="ET116" s="860"/>
      <c r="EU116" s="860"/>
      <c r="EV116" s="860"/>
      <c r="EW116" s="1232"/>
      <c r="EX116" s="1233"/>
      <c r="EY116" s="860"/>
      <c r="EZ116" s="860"/>
      <c r="FA116" s="860"/>
      <c r="FB116" s="1754"/>
      <c r="FC116" s="1233"/>
      <c r="FD116" s="860"/>
      <c r="FE116" s="860"/>
      <c r="FF116" s="860"/>
      <c r="FG116" s="860"/>
      <c r="FH116" s="860"/>
      <c r="FI116" s="860"/>
      <c r="FJ116" s="860"/>
      <c r="FY116" s="860"/>
      <c r="FZ116" s="860"/>
      <c r="GA116" s="860"/>
      <c r="GB116" s="860"/>
      <c r="GC116" s="860"/>
      <c r="GD116" s="860"/>
      <c r="GE116" s="860"/>
      <c r="GF116" s="860"/>
      <c r="GG116" s="860"/>
      <c r="GH116" s="860"/>
      <c r="GI116" s="860"/>
      <c r="GJ116" s="860"/>
      <c r="GK116" s="860"/>
      <c r="GL116" s="860"/>
      <c r="GM116" s="860"/>
      <c r="GN116" s="860"/>
      <c r="GO116" s="860"/>
      <c r="GP116" s="860"/>
      <c r="GQ116" s="860"/>
      <c r="GR116" s="1241"/>
      <c r="GS116" s="1218"/>
      <c r="GT116" s="1241"/>
      <c r="GU116" s="1218"/>
      <c r="GV116" s="1241"/>
      <c r="GW116" s="1218"/>
      <c r="GX116" s="1218"/>
      <c r="GY116" s="1241"/>
      <c r="GZ116" s="1218"/>
      <c r="HA116" s="1218"/>
      <c r="HB116" s="1241"/>
      <c r="HC116" s="1218"/>
      <c r="HD116" s="2000"/>
      <c r="HE116" s="1241"/>
      <c r="HF116" s="1218"/>
      <c r="HG116" s="2000"/>
      <c r="HH116" s="1241"/>
      <c r="HI116" s="1241"/>
      <c r="HJ116" s="1218"/>
      <c r="HK116" s="2000"/>
      <c r="HL116" s="1241"/>
      <c r="HM116" s="1218"/>
      <c r="HN116" s="2000"/>
      <c r="HO116" s="1241"/>
      <c r="HP116" s="1218"/>
      <c r="HQ116" s="2000"/>
      <c r="HR116" s="1241"/>
    </row>
    <row r="117" spans="1:226">
      <c r="A117" s="1290"/>
      <c r="B117" s="1233"/>
      <c r="C117" s="860"/>
      <c r="D117" s="860"/>
      <c r="E117" s="860"/>
      <c r="F117" s="1232"/>
      <c r="G117" s="1233"/>
      <c r="H117" s="860"/>
      <c r="I117" s="860"/>
      <c r="J117" s="860"/>
      <c r="K117" s="1232"/>
      <c r="L117" s="1233"/>
      <c r="M117" s="860"/>
      <c r="N117" s="860"/>
      <c r="O117" s="860"/>
      <c r="P117" s="1232"/>
      <c r="Q117" s="1233"/>
      <c r="R117" s="860"/>
      <c r="S117" s="860"/>
      <c r="T117" s="860"/>
      <c r="U117" s="1232"/>
      <c r="V117" s="1233"/>
      <c r="W117" s="860"/>
      <c r="X117" s="860"/>
      <c r="Y117" s="860"/>
      <c r="Z117" s="1261"/>
      <c r="AA117" s="1242"/>
      <c r="AB117" s="1162"/>
      <c r="AC117" s="1162"/>
      <c r="AD117" s="1162"/>
      <c r="AE117" s="1261"/>
      <c r="AF117" s="1242"/>
      <c r="AG117" s="1162"/>
      <c r="AH117" s="1162"/>
      <c r="AI117" s="1162"/>
      <c r="AJ117" s="1261"/>
      <c r="AK117" s="1242"/>
      <c r="AL117" s="1162"/>
      <c r="AM117" s="1162"/>
      <c r="AN117" s="1162"/>
      <c r="AO117" s="1261"/>
      <c r="AP117" s="1242"/>
      <c r="AQ117" s="1162"/>
      <c r="AR117" s="1162"/>
      <c r="AS117" s="1162"/>
      <c r="AT117" s="1261"/>
      <c r="AU117" s="1242"/>
      <c r="AV117" s="1162"/>
      <c r="AW117" s="1162"/>
      <c r="AX117" s="1162"/>
      <c r="AY117" s="1261"/>
      <c r="AZ117" s="1242"/>
      <c r="BA117" s="1162"/>
      <c r="BB117" s="1162"/>
      <c r="BC117" s="1162"/>
      <c r="BD117" s="1261"/>
      <c r="BE117" s="1242"/>
      <c r="BF117" s="1162"/>
      <c r="BG117" s="1162"/>
      <c r="BH117" s="1162"/>
      <c r="BI117" s="1261"/>
      <c r="BJ117" s="1242"/>
      <c r="BK117" s="1162"/>
      <c r="BL117" s="1162"/>
      <c r="BM117" s="1162"/>
      <c r="BN117" s="1261"/>
      <c r="BO117" s="1242"/>
      <c r="BP117" s="1162"/>
      <c r="BQ117" s="1162"/>
      <c r="BR117" s="1162"/>
      <c r="BS117" s="1261"/>
      <c r="BT117" s="1242"/>
      <c r="BU117" s="1162"/>
      <c r="BV117" s="1162"/>
      <c r="BW117" s="1162"/>
      <c r="BX117" s="1261"/>
      <c r="BY117" s="1242"/>
      <c r="BZ117" s="1162"/>
      <c r="CA117" s="1162"/>
      <c r="CB117" s="1162"/>
      <c r="CC117" s="1757"/>
      <c r="CD117" s="1242"/>
      <c r="CE117" s="1162"/>
      <c r="CF117" s="1162"/>
      <c r="CG117" s="1162"/>
      <c r="CH117" s="1757"/>
      <c r="CI117" s="1162"/>
      <c r="CJ117" s="860"/>
      <c r="CK117" s="1233"/>
      <c r="CL117" s="860"/>
      <c r="CM117" s="860"/>
      <c r="CN117" s="860"/>
      <c r="CO117" s="1232"/>
      <c r="CP117" s="1233"/>
      <c r="CQ117" s="860"/>
      <c r="CR117" s="860"/>
      <c r="CS117" s="860"/>
      <c r="CT117" s="1232"/>
      <c r="CU117" s="1233"/>
      <c r="CV117" s="860"/>
      <c r="CW117" s="860"/>
      <c r="CX117" s="860"/>
      <c r="CY117" s="1232"/>
      <c r="CZ117" s="1233"/>
      <c r="DA117" s="860"/>
      <c r="DB117" s="860"/>
      <c r="DC117" s="860"/>
      <c r="DD117" s="1232"/>
      <c r="DE117" s="1233"/>
      <c r="DF117" s="860"/>
      <c r="DG117" s="860"/>
      <c r="DH117" s="860"/>
      <c r="DI117" s="1232"/>
      <c r="DJ117" s="1233"/>
      <c r="DK117" s="860"/>
      <c r="DL117" s="860"/>
      <c r="DM117" s="860"/>
      <c r="DN117" s="1232"/>
      <c r="DO117" s="1233"/>
      <c r="DP117" s="860"/>
      <c r="DQ117" s="860"/>
      <c r="DR117" s="860"/>
      <c r="DS117" s="1232"/>
      <c r="DT117" s="1233"/>
      <c r="DU117" s="860"/>
      <c r="DV117" s="860"/>
      <c r="DW117" s="860"/>
      <c r="DX117" s="1232"/>
      <c r="DY117" s="1233"/>
      <c r="DZ117" s="860"/>
      <c r="EA117" s="860"/>
      <c r="EB117" s="860"/>
      <c r="EC117" s="1232"/>
      <c r="ED117" s="860"/>
      <c r="EE117" s="860"/>
      <c r="EF117" s="860"/>
      <c r="EG117" s="860"/>
      <c r="EH117" s="860"/>
      <c r="EI117" s="1233"/>
      <c r="EJ117" s="860"/>
      <c r="EK117" s="860"/>
      <c r="EL117" s="860"/>
      <c r="EM117" s="1232"/>
      <c r="EN117" s="1233"/>
      <c r="EO117" s="860"/>
      <c r="EP117" s="860"/>
      <c r="EQ117" s="860"/>
      <c r="ER117" s="1232"/>
      <c r="ES117" s="860"/>
      <c r="ET117" s="860"/>
      <c r="EU117" s="860"/>
      <c r="EV117" s="860"/>
      <c r="EW117" s="1232"/>
      <c r="EX117" s="1233"/>
      <c r="EY117" s="860"/>
      <c r="EZ117" s="860"/>
      <c r="FA117" s="860"/>
      <c r="FB117" s="1754"/>
      <c r="FC117" s="1233"/>
      <c r="FD117" s="860"/>
      <c r="FE117" s="860"/>
      <c r="FF117" s="860"/>
      <c r="FG117" s="860"/>
      <c r="FH117" s="860"/>
      <c r="FI117" s="860"/>
      <c r="FJ117" s="860"/>
      <c r="FY117" s="860"/>
      <c r="FZ117" s="860"/>
      <c r="GA117" s="860"/>
      <c r="GB117" s="860"/>
      <c r="GC117" s="860"/>
      <c r="GD117" s="860"/>
      <c r="GE117" s="860"/>
      <c r="GF117" s="860"/>
      <c r="GG117" s="860"/>
      <c r="GH117" s="860"/>
      <c r="GI117" s="860"/>
      <c r="GJ117" s="860"/>
      <c r="GK117" s="860"/>
      <c r="GL117" s="860"/>
      <c r="GM117" s="860"/>
      <c r="GN117" s="860"/>
      <c r="GO117" s="860"/>
      <c r="GP117" s="860"/>
      <c r="GQ117" s="860"/>
      <c r="GR117" s="1241"/>
      <c r="GS117" s="1218"/>
      <c r="GT117" s="1241"/>
      <c r="GU117" s="1218"/>
      <c r="GV117" s="1241"/>
      <c r="GW117" s="1218"/>
      <c r="GX117" s="1218"/>
      <c r="GY117" s="1241"/>
      <c r="GZ117" s="1218"/>
      <c r="HA117" s="1218"/>
      <c r="HB117" s="1241"/>
      <c r="HC117" s="1218"/>
      <c r="HD117" s="2000"/>
      <c r="HE117" s="1241"/>
      <c r="HF117" s="1218"/>
      <c r="HG117" s="2000"/>
      <c r="HH117" s="1241"/>
      <c r="HI117" s="1241"/>
      <c r="HJ117" s="1218"/>
      <c r="HK117" s="2000"/>
      <c r="HL117" s="1241"/>
      <c r="HM117" s="1218"/>
      <c r="HN117" s="2000"/>
      <c r="HO117" s="1241"/>
      <c r="HP117" s="1218"/>
      <c r="HQ117" s="2000"/>
      <c r="HR117" s="1241"/>
    </row>
    <row r="118" spans="1:226">
      <c r="A118" s="1290" t="s">
        <v>729</v>
      </c>
      <c r="B118" s="1233"/>
      <c r="C118" s="860"/>
      <c r="D118" s="860"/>
      <c r="E118" s="860"/>
      <c r="F118" s="1232"/>
      <c r="G118" s="1233"/>
      <c r="H118" s="860"/>
      <c r="I118" s="860"/>
      <c r="J118" s="860"/>
      <c r="K118" s="1232"/>
      <c r="L118" s="1233"/>
      <c r="M118" s="860"/>
      <c r="N118" s="860"/>
      <c r="O118" s="860"/>
      <c r="P118" s="1232"/>
      <c r="Q118" s="1233"/>
      <c r="R118" s="860"/>
      <c r="S118" s="860"/>
      <c r="T118" s="860"/>
      <c r="U118" s="1232"/>
      <c r="V118" s="1233"/>
      <c r="W118" s="860"/>
      <c r="X118" s="860"/>
      <c r="Y118" s="860"/>
      <c r="Z118" s="1261"/>
      <c r="AA118" s="1242"/>
      <c r="AB118" s="1162"/>
      <c r="AC118" s="1162"/>
      <c r="AD118" s="1162">
        <f>SUM(AA107:AD107)/SUM(AA16:AD16)</f>
        <v>1.3259829641363907</v>
      </c>
      <c r="AE118" s="1261"/>
      <c r="AF118" s="1242"/>
      <c r="AG118" s="1162"/>
      <c r="AH118" s="1162"/>
      <c r="AI118" s="1162"/>
      <c r="AJ118" s="1261"/>
      <c r="AK118" s="1242"/>
      <c r="AL118" s="1162"/>
      <c r="AM118" s="1162"/>
      <c r="AN118" s="1162"/>
      <c r="AO118" s="1261"/>
      <c r="AP118" s="1242"/>
      <c r="AQ118" s="1162"/>
      <c r="AR118" s="1162"/>
      <c r="AS118" s="1162"/>
      <c r="AT118" s="1261"/>
      <c r="AU118" s="1242"/>
      <c r="AV118" s="1162"/>
      <c r="AW118" s="1162"/>
      <c r="AX118" s="1162"/>
      <c r="AY118" s="1261"/>
      <c r="AZ118" s="1242"/>
      <c r="BA118" s="1162"/>
      <c r="BB118" s="1162"/>
      <c r="BC118" s="1162"/>
      <c r="BD118" s="1261"/>
      <c r="BE118" s="1242">
        <f t="shared" ref="BE118:BR118" si="187">BE107/BE19</f>
        <v>0.21799288125321409</v>
      </c>
      <c r="BF118" s="1162">
        <f t="shared" si="187"/>
        <v>0.21059617403030426</v>
      </c>
      <c r="BG118" s="1162">
        <f t="shared" si="187"/>
        <v>0.25901514011568255</v>
      </c>
      <c r="BH118" s="1162">
        <f t="shared" si="187"/>
        <v>0.15644248181877451</v>
      </c>
      <c r="BI118" s="1261">
        <f t="shared" si="187"/>
        <v>0.20996583695882276</v>
      </c>
      <c r="BJ118" s="1242">
        <f t="shared" si="187"/>
        <v>0.25007908417813546</v>
      </c>
      <c r="BK118" s="1162">
        <f t="shared" si="187"/>
        <v>0.25694683910589428</v>
      </c>
      <c r="BL118" s="1162">
        <f t="shared" si="187"/>
        <v>0.21759514567524441</v>
      </c>
      <c r="BM118" s="1162">
        <f t="shared" si="187"/>
        <v>0.18298377709744248</v>
      </c>
      <c r="BN118" s="1261">
        <f t="shared" si="187"/>
        <v>0.22623538565060139</v>
      </c>
      <c r="BO118" s="1242">
        <f t="shared" si="187"/>
        <v>0.21133296834240442</v>
      </c>
      <c r="BP118" s="1162">
        <f t="shared" si="187"/>
        <v>0.19338074667981528</v>
      </c>
      <c r="BQ118" s="1162">
        <f t="shared" si="187"/>
        <v>0.17293161483669214</v>
      </c>
      <c r="BR118" s="1162">
        <f t="shared" si="187"/>
        <v>0.21448128820795911</v>
      </c>
      <c r="BS118" s="1261"/>
      <c r="BT118" s="1242">
        <f>BT107/BT19</f>
        <v>0.12733628058503152</v>
      </c>
      <c r="BU118" s="1162">
        <f>BU107/BU19</f>
        <v>0.11173087780956792</v>
      </c>
      <c r="BV118" s="1162">
        <f>BV107/BV19</f>
        <v>0.15731360140200565</v>
      </c>
      <c r="BW118" s="1162">
        <f>BW107/BW19</f>
        <v>0.18399768763850075</v>
      </c>
      <c r="BX118" s="1261"/>
      <c r="BY118" s="1242">
        <f>BY107/BY19</f>
        <v>0.11870291713415612</v>
      </c>
      <c r="BZ118" s="1162">
        <f>BZ107/BZ19</f>
        <v>0.14336776455516972</v>
      </c>
      <c r="CA118" s="1162">
        <f>CA107/CA19</f>
        <v>0.24760773345643144</v>
      </c>
      <c r="CB118" s="1162">
        <f>CB107/CB19</f>
        <v>0.31799397863653234</v>
      </c>
      <c r="CC118" s="1757"/>
      <c r="CD118" s="1242">
        <f>CD107/CD19</f>
        <v>0.17176622222222224</v>
      </c>
      <c r="CE118" s="1162">
        <f>CE107/CE19</f>
        <v>0.25</v>
      </c>
      <c r="CF118" s="1162">
        <f>CF107/CF19</f>
        <v>0.25</v>
      </c>
      <c r="CG118" s="1162">
        <f>CG107/CG19</f>
        <v>0.33138751928943128</v>
      </c>
      <c r="CH118" s="1757"/>
      <c r="CI118" s="1162"/>
      <c r="CJ118" s="860"/>
      <c r="CK118" s="1233"/>
      <c r="CL118" s="860"/>
      <c r="CM118" s="860"/>
      <c r="CN118" s="860"/>
      <c r="CO118" s="1232"/>
      <c r="CP118" s="1233"/>
      <c r="CQ118" s="860"/>
      <c r="CR118" s="860"/>
      <c r="CS118" s="860"/>
      <c r="CT118" s="1232"/>
      <c r="CU118" s="1233"/>
      <c r="CV118" s="860"/>
      <c r="CW118" s="860"/>
      <c r="CX118" s="860"/>
      <c r="CY118" s="1232"/>
      <c r="CZ118" s="1233"/>
      <c r="DA118" s="860"/>
      <c r="DB118" s="860"/>
      <c r="DC118" s="860"/>
      <c r="DD118" s="1232"/>
      <c r="DE118" s="1233"/>
      <c r="DF118" s="860"/>
      <c r="DG118" s="860"/>
      <c r="DH118" s="860"/>
      <c r="DI118" s="1232"/>
      <c r="DJ118" s="1233"/>
      <c r="DK118" s="860"/>
      <c r="DL118" s="860"/>
      <c r="DM118" s="860"/>
      <c r="DN118" s="1232"/>
      <c r="DO118" s="1233"/>
      <c r="DP118" s="860"/>
      <c r="DQ118" s="860"/>
      <c r="DR118" s="860"/>
      <c r="DS118" s="1232"/>
      <c r="DT118" s="1233"/>
      <c r="DU118" s="860"/>
      <c r="DV118" s="860"/>
      <c r="DW118" s="860"/>
      <c r="DX118" s="1232"/>
      <c r="DY118" s="1233"/>
      <c r="DZ118" s="860"/>
      <c r="EA118" s="860"/>
      <c r="EB118" s="860"/>
      <c r="EC118" s="1232"/>
      <c r="ED118" s="860"/>
      <c r="EE118" s="860"/>
      <c r="EF118" s="860"/>
      <c r="EG118" s="860"/>
      <c r="EH118" s="860"/>
      <c r="EI118" s="1233"/>
      <c r="EJ118" s="860"/>
      <c r="EK118" s="860"/>
      <c r="EL118" s="860"/>
      <c r="EM118" s="1232"/>
      <c r="EN118" s="1233"/>
      <c r="EO118" s="860"/>
      <c r="EP118" s="860"/>
      <c r="EQ118" s="860"/>
      <c r="ER118" s="1232"/>
      <c r="ES118" s="860"/>
      <c r="ET118" s="860"/>
      <c r="EU118" s="860"/>
      <c r="EV118" s="860"/>
      <c r="EW118" s="1232"/>
      <c r="EX118" s="1233"/>
      <c r="EY118" s="860"/>
      <c r="EZ118" s="860"/>
      <c r="FA118" s="860"/>
      <c r="FB118" s="1754"/>
      <c r="FC118" s="1233"/>
      <c r="FD118" s="860"/>
      <c r="FE118" s="860"/>
      <c r="FF118" s="860"/>
      <c r="FG118" s="860"/>
      <c r="FH118" s="860"/>
      <c r="FI118" s="860"/>
      <c r="FJ118" s="860"/>
      <c r="FY118" s="860"/>
      <c r="FZ118" s="860"/>
      <c r="GA118" s="860"/>
      <c r="GB118" s="860"/>
      <c r="GC118" s="860"/>
      <c r="GD118" s="860"/>
      <c r="GE118" s="860"/>
      <c r="GF118" s="860"/>
      <c r="GG118" s="860"/>
      <c r="GH118" s="860"/>
      <c r="GI118" s="860"/>
      <c r="GJ118" s="860"/>
      <c r="GK118" s="860"/>
      <c r="GL118" s="860"/>
      <c r="GM118" s="860"/>
      <c r="GN118" s="860"/>
      <c r="GO118" s="860"/>
      <c r="GP118" s="860"/>
      <c r="GQ118" s="860"/>
      <c r="GR118" s="1241">
        <v>0.20366387810764705</v>
      </c>
      <c r="GS118" s="1218"/>
      <c r="GT118" s="1241">
        <v>0.20332224297507639</v>
      </c>
      <c r="GU118" s="1218"/>
      <c r="GV118" s="1241">
        <v>0.21393411411411409</v>
      </c>
      <c r="GW118" s="1218"/>
      <c r="GX118" s="1218"/>
      <c r="GY118" s="1241">
        <v>0.23755868544600939</v>
      </c>
      <c r="GZ118" s="1218"/>
      <c r="HA118" s="1218"/>
      <c r="HB118" s="1241">
        <v>0.22680126182965302</v>
      </c>
      <c r="HC118" s="1218"/>
      <c r="HD118" s="2000"/>
      <c r="HE118" s="1241">
        <v>0.40448697932721545</v>
      </c>
      <c r="HF118" s="1218"/>
      <c r="HG118" s="2000"/>
      <c r="HH118" s="1241"/>
      <c r="HI118" s="1241">
        <v>0.19689976653553934</v>
      </c>
      <c r="HJ118" s="1218"/>
      <c r="HK118" s="2000"/>
      <c r="HL118" s="1241">
        <v>0.16505119453924916</v>
      </c>
      <c r="HM118" s="1218"/>
      <c r="HN118" s="2000"/>
      <c r="HO118" s="1241">
        <v>0.26146277219202185</v>
      </c>
      <c r="HP118" s="1218"/>
      <c r="HQ118" s="2000"/>
      <c r="HR118" s="1241">
        <v>0.17176622222222224</v>
      </c>
    </row>
    <row r="119" spans="1:226">
      <c r="A119" s="1290" t="s">
        <v>730</v>
      </c>
      <c r="B119" s="1233"/>
      <c r="C119" s="860"/>
      <c r="D119" s="860"/>
      <c r="E119" s="860"/>
      <c r="F119" s="1232"/>
      <c r="G119" s="1233"/>
      <c r="H119" s="860"/>
      <c r="I119" s="860"/>
      <c r="J119" s="860"/>
      <c r="K119" s="1232"/>
      <c r="L119" s="1233"/>
      <c r="M119" s="860"/>
      <c r="N119" s="860"/>
      <c r="O119" s="860"/>
      <c r="P119" s="1232"/>
      <c r="Q119" s="1233"/>
      <c r="R119" s="860"/>
      <c r="S119" s="860"/>
      <c r="T119" s="860"/>
      <c r="U119" s="1232"/>
      <c r="V119" s="1233"/>
      <c r="W119" s="860"/>
      <c r="X119" s="860"/>
      <c r="Y119" s="860"/>
      <c r="Z119" s="1261"/>
      <c r="AA119" s="1242"/>
      <c r="AB119" s="1162"/>
      <c r="AC119" s="1162"/>
      <c r="AD119" s="1162">
        <f>SUM(AA108:AD108)/SUM(AA14:AD14)</f>
        <v>0.60019930989213111</v>
      </c>
      <c r="AE119" s="1261"/>
      <c r="AF119" s="1242"/>
      <c r="AG119" s="1162"/>
      <c r="AH119" s="1162"/>
      <c r="AI119" s="1162"/>
      <c r="AJ119" s="1261"/>
      <c r="AK119" s="1242"/>
      <c r="AL119" s="1162"/>
      <c r="AM119" s="1162"/>
      <c r="AN119" s="1162"/>
      <c r="AO119" s="1261"/>
      <c r="AP119" s="1242"/>
      <c r="AQ119" s="1162"/>
      <c r="AR119" s="1162"/>
      <c r="AS119" s="1162"/>
      <c r="AT119" s="1261"/>
      <c r="AU119" s="1242"/>
      <c r="AV119" s="1162"/>
      <c r="AW119" s="1162"/>
      <c r="AX119" s="1162"/>
      <c r="AY119" s="1261"/>
      <c r="AZ119" s="1242"/>
      <c r="BA119" s="1162"/>
      <c r="BB119" s="1162"/>
      <c r="BC119" s="1162"/>
      <c r="BD119" s="1261"/>
      <c r="BE119" s="1242">
        <f>BE108/BE14</f>
        <v>0.34804875738663144</v>
      </c>
      <c r="BF119" s="1162">
        <f>BF108/BF14</f>
        <v>0.34421254076763863</v>
      </c>
      <c r="BG119" s="1162">
        <f>BG108/BG14</f>
        <v>0.45490100146208756</v>
      </c>
      <c r="BH119" s="1162">
        <f>BH108/BH14</f>
        <v>0.29478119826869392</v>
      </c>
      <c r="BI119" s="1261"/>
      <c r="BJ119" s="1242">
        <f>BJ108/BJ14</f>
        <v>0.29230576196170288</v>
      </c>
      <c r="BK119" s="1162">
        <f>BK108/BK14</f>
        <v>0.31365276090343691</v>
      </c>
      <c r="BL119" s="1162">
        <f>BL108/BL14</f>
        <v>0.26577376042170947</v>
      </c>
      <c r="BM119" s="1162">
        <f>BM108/BM14</f>
        <v>0.20578417273113853</v>
      </c>
      <c r="BN119" s="1261"/>
      <c r="BO119" s="1242">
        <f>BO108/BO14</f>
        <v>0.25767230072508601</v>
      </c>
      <c r="BP119" s="1162">
        <f>BP108/BP14</f>
        <v>0.21894325346784368</v>
      </c>
      <c r="BQ119" s="1162">
        <f>BQ108/BQ14</f>
        <v>0.19813054108117453</v>
      </c>
      <c r="BR119" s="1162">
        <f>BR108/BR14</f>
        <v>0.24703972092415283</v>
      </c>
      <c r="BS119" s="1261"/>
      <c r="BT119" s="1242">
        <f>BT108/BT14</f>
        <v>0.13665832542594908</v>
      </c>
      <c r="BU119" s="1162">
        <f>BU108/BU14</f>
        <v>0.11012364760432768</v>
      </c>
      <c r="BV119" s="1162">
        <f>BV108/BV14</f>
        <v>0.18684379121914454</v>
      </c>
      <c r="BW119" s="1162">
        <f>BW108/BW14</f>
        <v>0.1887333882159237</v>
      </c>
      <c r="BX119" s="1261"/>
      <c r="BY119" s="1242"/>
      <c r="BZ119" s="1162"/>
      <c r="CA119" s="1162"/>
      <c r="CB119" s="1162"/>
      <c r="CC119" s="1757"/>
      <c r="CD119" s="1242"/>
      <c r="CE119" s="1162"/>
      <c r="CF119" s="1162"/>
      <c r="CG119" s="1162"/>
      <c r="CH119" s="1757"/>
      <c r="CI119" s="1162"/>
      <c r="CJ119" s="860"/>
      <c r="CK119" s="1233"/>
      <c r="CL119" s="860"/>
      <c r="CM119" s="860"/>
      <c r="CN119" s="860"/>
      <c r="CO119" s="1232"/>
      <c r="CP119" s="1233"/>
      <c r="CQ119" s="860"/>
      <c r="CR119" s="860"/>
      <c r="CS119" s="860"/>
      <c r="CT119" s="1232"/>
      <c r="CU119" s="1233"/>
      <c r="CV119" s="860"/>
      <c r="CW119" s="860"/>
      <c r="CX119" s="860"/>
      <c r="CY119" s="1232"/>
      <c r="CZ119" s="1233"/>
      <c r="DA119" s="860"/>
      <c r="DB119" s="860"/>
      <c r="DC119" s="860"/>
      <c r="DD119" s="1232"/>
      <c r="DE119" s="1233"/>
      <c r="DF119" s="860"/>
      <c r="DG119" s="860"/>
      <c r="DH119" s="860"/>
      <c r="DI119" s="1232"/>
      <c r="DJ119" s="1233"/>
      <c r="DK119" s="860"/>
      <c r="DL119" s="860"/>
      <c r="DM119" s="860"/>
      <c r="DN119" s="1232"/>
      <c r="DO119" s="1233"/>
      <c r="DP119" s="860"/>
      <c r="DQ119" s="860"/>
      <c r="DR119" s="860"/>
      <c r="DS119" s="1232"/>
      <c r="DT119" s="1233"/>
      <c r="DU119" s="860"/>
      <c r="DV119" s="860"/>
      <c r="DW119" s="860"/>
      <c r="DX119" s="1232"/>
      <c r="DY119" s="1233"/>
      <c r="DZ119" s="860"/>
      <c r="EA119" s="860"/>
      <c r="EB119" s="860"/>
      <c r="EC119" s="1232"/>
      <c r="ED119" s="860"/>
      <c r="EE119" s="860"/>
      <c r="EF119" s="860"/>
      <c r="EG119" s="860"/>
      <c r="EH119" s="860"/>
      <c r="EI119" s="1233"/>
      <c r="EJ119" s="860"/>
      <c r="EK119" s="860"/>
      <c r="EL119" s="860"/>
      <c r="EM119" s="1232"/>
      <c r="EN119" s="1233"/>
      <c r="EO119" s="860"/>
      <c r="EP119" s="860"/>
      <c r="EQ119" s="860"/>
      <c r="ER119" s="1232"/>
      <c r="ES119" s="860"/>
      <c r="ET119" s="860"/>
      <c r="EU119" s="860"/>
      <c r="EV119" s="860"/>
      <c r="EW119" s="1232"/>
      <c r="EX119" s="1233"/>
      <c r="EY119" s="860"/>
      <c r="EZ119" s="860"/>
      <c r="FA119" s="860"/>
      <c r="FB119" s="1754"/>
      <c r="FC119" s="1233"/>
      <c r="FD119" s="860"/>
      <c r="FE119" s="860"/>
      <c r="FF119" s="860"/>
      <c r="FG119" s="860"/>
      <c r="FH119" s="860"/>
      <c r="FI119" s="860"/>
      <c r="FJ119" s="860"/>
      <c r="FY119" s="860"/>
      <c r="FZ119" s="860"/>
      <c r="GA119" s="860"/>
      <c r="GB119" s="860"/>
      <c r="GC119" s="860"/>
      <c r="GD119" s="860"/>
      <c r="GE119" s="860"/>
      <c r="GF119" s="860"/>
      <c r="GG119" s="860"/>
      <c r="GH119" s="860"/>
      <c r="GI119" s="860"/>
      <c r="GJ119" s="860"/>
      <c r="GK119" s="860"/>
      <c r="GL119" s="860"/>
      <c r="GM119" s="860"/>
      <c r="GN119" s="860"/>
      <c r="GO119" s="860"/>
      <c r="GP119" s="860"/>
      <c r="GQ119" s="860"/>
      <c r="GR119" s="1241">
        <v>0.20366387810764705</v>
      </c>
      <c r="GS119" s="1218"/>
      <c r="GT119" s="1241">
        <v>0.22537989398274169</v>
      </c>
      <c r="GU119" s="1218"/>
      <c r="GV119" s="1241">
        <v>0.22951229508196719</v>
      </c>
      <c r="GW119" s="1218"/>
      <c r="GX119" s="1218"/>
      <c r="GY119" s="1241">
        <v>0.25767634854771782</v>
      </c>
      <c r="GZ119" s="1218"/>
      <c r="HA119" s="1218"/>
      <c r="HB119" s="1241">
        <v>0.25018181818181823</v>
      </c>
      <c r="HC119" s="1218"/>
      <c r="HD119" s="2000"/>
      <c r="HE119" s="1241">
        <v>0.40962838459530154</v>
      </c>
      <c r="HF119" s="1218"/>
      <c r="HG119" s="2000"/>
      <c r="HH119" s="1241"/>
      <c r="HI119" s="1241">
        <v>0</v>
      </c>
      <c r="HJ119" s="1218"/>
      <c r="HK119" s="2000"/>
      <c r="HL119" s="1241">
        <v>0</v>
      </c>
      <c r="HM119" s="1218"/>
      <c r="HN119" s="2000"/>
      <c r="HO119" s="1241">
        <v>0</v>
      </c>
      <c r="HP119" s="1218"/>
      <c r="HQ119" s="2000"/>
      <c r="HR119" s="1241"/>
    </row>
    <row r="120" spans="1:226">
      <c r="A120" s="1290"/>
      <c r="B120" s="1233"/>
      <c r="C120" s="860"/>
      <c r="D120" s="860"/>
      <c r="E120" s="860"/>
      <c r="F120" s="1232"/>
      <c r="G120" s="1233"/>
      <c r="H120" s="860"/>
      <c r="I120" s="860"/>
      <c r="J120" s="860"/>
      <c r="K120" s="1232"/>
      <c r="L120" s="1233"/>
      <c r="M120" s="860"/>
      <c r="N120" s="860"/>
      <c r="O120" s="860"/>
      <c r="P120" s="1232"/>
      <c r="Q120" s="1233"/>
      <c r="R120" s="860"/>
      <c r="S120" s="860"/>
      <c r="T120" s="860"/>
      <c r="U120" s="1232"/>
      <c r="V120" s="1233"/>
      <c r="W120" s="860"/>
      <c r="X120" s="860"/>
      <c r="Y120" s="860"/>
      <c r="Z120" s="1261"/>
      <c r="AA120" s="1242"/>
      <c r="AB120" s="1162"/>
      <c r="AC120" s="1162"/>
      <c r="AD120" s="1162"/>
      <c r="AE120" s="1261"/>
      <c r="AF120" s="1242"/>
      <c r="AG120" s="1162"/>
      <c r="AH120" s="1162"/>
      <c r="AI120" s="1162"/>
      <c r="AJ120" s="1261"/>
      <c r="AK120" s="1242"/>
      <c r="AL120" s="1162"/>
      <c r="AM120" s="1162"/>
      <c r="AN120" s="1162"/>
      <c r="AO120" s="1261"/>
      <c r="AP120" s="1242"/>
      <c r="AQ120" s="1162"/>
      <c r="AR120" s="1162"/>
      <c r="AS120" s="1162"/>
      <c r="AT120" s="1261"/>
      <c r="AU120" s="1242"/>
      <c r="AV120" s="1162"/>
      <c r="AW120" s="1162"/>
      <c r="AX120" s="1162"/>
      <c r="AY120" s="1261"/>
      <c r="AZ120" s="1242"/>
      <c r="BA120" s="1162"/>
      <c r="BB120" s="1162"/>
      <c r="BC120" s="1162"/>
      <c r="BD120" s="1261"/>
      <c r="BE120" s="1242"/>
      <c r="BF120" s="1162"/>
      <c r="BG120" s="1162"/>
      <c r="BH120" s="1162"/>
      <c r="BI120" s="1261"/>
      <c r="BJ120" s="1242"/>
      <c r="BK120" s="1162"/>
      <c r="BL120" s="1162"/>
      <c r="BM120" s="1162"/>
      <c r="BN120" s="1261"/>
      <c r="BO120" s="1242"/>
      <c r="BP120" s="1162"/>
      <c r="BQ120" s="1162"/>
      <c r="BR120" s="1162"/>
      <c r="BS120" s="1261"/>
      <c r="BT120" s="1336"/>
      <c r="BU120" s="1291"/>
      <c r="BV120" s="1291"/>
      <c r="BW120" s="1291"/>
      <c r="BX120" s="1341"/>
      <c r="BY120" s="1336"/>
      <c r="BZ120" s="1291"/>
      <c r="CA120" s="1291"/>
      <c r="CB120" s="1291"/>
      <c r="CC120" s="1762"/>
      <c r="CD120" s="1336"/>
      <c r="CE120" s="1291"/>
      <c r="CF120" s="1291"/>
      <c r="CG120" s="1291"/>
      <c r="CH120" s="1762"/>
      <c r="CI120" s="1291"/>
      <c r="CJ120" s="860"/>
      <c r="CK120" s="1233"/>
      <c r="CL120" s="860"/>
      <c r="CM120" s="860"/>
      <c r="CN120" s="860"/>
      <c r="CO120" s="1232"/>
      <c r="CP120" s="1233"/>
      <c r="CQ120" s="860"/>
      <c r="CR120" s="860"/>
      <c r="CS120" s="860"/>
      <c r="CT120" s="1232"/>
      <c r="CU120" s="1233"/>
      <c r="CV120" s="860"/>
      <c r="CW120" s="860"/>
      <c r="CX120" s="860"/>
      <c r="CY120" s="1232"/>
      <c r="CZ120" s="1233"/>
      <c r="DA120" s="860"/>
      <c r="DB120" s="860"/>
      <c r="DC120" s="860"/>
      <c r="DD120" s="1232"/>
      <c r="DE120" s="1233"/>
      <c r="DF120" s="860"/>
      <c r="DG120" s="860"/>
      <c r="DH120" s="860"/>
      <c r="DI120" s="1232"/>
      <c r="DJ120" s="1233"/>
      <c r="DK120" s="860"/>
      <c r="DL120" s="860"/>
      <c r="DM120" s="860"/>
      <c r="DN120" s="1232"/>
      <c r="DO120" s="1233"/>
      <c r="DP120" s="860"/>
      <c r="DQ120" s="860"/>
      <c r="DR120" s="860"/>
      <c r="DS120" s="1232"/>
      <c r="DT120" s="1233"/>
      <c r="DU120" s="860"/>
      <c r="DV120" s="860"/>
      <c r="DW120" s="860"/>
      <c r="DX120" s="1232"/>
      <c r="DY120" s="1233"/>
      <c r="DZ120" s="860"/>
      <c r="EA120" s="860"/>
      <c r="EB120" s="860"/>
      <c r="EC120" s="1232"/>
      <c r="ED120" s="860"/>
      <c r="EE120" s="860"/>
      <c r="EF120" s="860"/>
      <c r="EG120" s="860"/>
      <c r="EH120" s="860"/>
      <c r="EI120" s="1233"/>
      <c r="EJ120" s="860"/>
      <c r="EK120" s="860"/>
      <c r="EL120" s="860"/>
      <c r="EM120" s="1232"/>
      <c r="EN120" s="1233"/>
      <c r="EO120" s="860"/>
      <c r="EP120" s="860"/>
      <c r="EQ120" s="860"/>
      <c r="ER120" s="1232"/>
      <c r="ES120" s="860"/>
      <c r="ET120" s="860"/>
      <c r="EU120" s="860"/>
      <c r="EV120" s="860"/>
      <c r="EW120" s="1232"/>
      <c r="EX120" s="1233"/>
      <c r="EY120" s="860"/>
      <c r="EZ120" s="860"/>
      <c r="FA120" s="860"/>
      <c r="FB120" s="1754"/>
      <c r="FC120" s="1233"/>
      <c r="FD120" s="860"/>
      <c r="FE120" s="860"/>
      <c r="FF120" s="860"/>
      <c r="FG120" s="860"/>
      <c r="FH120" s="860"/>
      <c r="FI120" s="860"/>
      <c r="FJ120" s="860"/>
      <c r="FY120" s="860"/>
      <c r="FZ120" s="860"/>
      <c r="GA120" s="860"/>
      <c r="GB120" s="860"/>
      <c r="GC120" s="860"/>
      <c r="GD120" s="860"/>
      <c r="GE120" s="860"/>
      <c r="GF120" s="860"/>
      <c r="GG120" s="860"/>
      <c r="GH120" s="860"/>
      <c r="GI120" s="860"/>
      <c r="GJ120" s="860"/>
      <c r="GK120" s="860"/>
      <c r="GL120" s="860"/>
      <c r="GM120" s="860"/>
      <c r="GN120" s="860"/>
      <c r="GO120" s="860"/>
      <c r="GP120" s="860"/>
      <c r="GQ120" s="860"/>
      <c r="GR120" s="1241"/>
      <c r="GS120" s="1218"/>
      <c r="GT120" s="1241"/>
      <c r="GU120" s="1218"/>
      <c r="GV120" s="1241"/>
      <c r="GW120" s="1218"/>
      <c r="GX120" s="1218"/>
      <c r="GY120" s="1241"/>
      <c r="GZ120" s="1218"/>
      <c r="HA120" s="1218"/>
      <c r="HB120" s="1241"/>
      <c r="HC120" s="1218"/>
      <c r="HD120" s="2000"/>
      <c r="HE120" s="1299"/>
      <c r="HF120" s="1218"/>
      <c r="HG120" s="2000"/>
      <c r="HH120" s="1241"/>
      <c r="HI120" s="1299"/>
      <c r="HJ120" s="1218"/>
      <c r="HK120" s="2000"/>
      <c r="HL120" s="1299"/>
      <c r="HM120" s="1218"/>
      <c r="HN120" s="2000"/>
      <c r="HO120" s="1299"/>
      <c r="HP120" s="1218"/>
      <c r="HQ120" s="2000"/>
      <c r="HR120" s="1299"/>
    </row>
    <row r="121" spans="1:226">
      <c r="A121" s="1290"/>
      <c r="B121" s="1233"/>
      <c r="C121" s="860"/>
      <c r="D121" s="860"/>
      <c r="E121" s="860"/>
      <c r="F121" s="1232"/>
      <c r="G121" s="1233"/>
      <c r="H121" s="860"/>
      <c r="I121" s="860"/>
      <c r="J121" s="860"/>
      <c r="K121" s="1232"/>
      <c r="L121" s="1233"/>
      <c r="M121" s="860"/>
      <c r="N121" s="860"/>
      <c r="O121" s="860"/>
      <c r="P121" s="1232"/>
      <c r="Q121" s="1233"/>
      <c r="R121" s="860"/>
      <c r="S121" s="860"/>
      <c r="T121" s="860"/>
      <c r="U121" s="1232"/>
      <c r="V121" s="1233"/>
      <c r="W121" s="860"/>
      <c r="X121" s="860"/>
      <c r="Y121" s="860"/>
      <c r="Z121" s="1261"/>
      <c r="AA121" s="1242"/>
      <c r="AB121" s="1162"/>
      <c r="AC121" s="1162"/>
      <c r="AD121" s="1162"/>
      <c r="AE121" s="1261"/>
      <c r="AF121" s="1242"/>
      <c r="AG121" s="1162"/>
      <c r="AH121" s="1162"/>
      <c r="AI121" s="1162"/>
      <c r="AJ121" s="1261"/>
      <c r="AK121" s="1242"/>
      <c r="AL121" s="1162"/>
      <c r="AM121" s="1162"/>
      <c r="AN121" s="1162"/>
      <c r="AO121" s="1261"/>
      <c r="AP121" s="1242"/>
      <c r="AQ121" s="1162"/>
      <c r="AR121" s="1162"/>
      <c r="AS121" s="1162"/>
      <c r="AT121" s="1261"/>
      <c r="AU121" s="1242"/>
      <c r="AV121" s="1162"/>
      <c r="AW121" s="1162"/>
      <c r="AX121" s="1162"/>
      <c r="AY121" s="1261"/>
      <c r="AZ121" s="1242"/>
      <c r="BA121" s="1162">
        <f>SUM(AZ108:BA108)/SUM(AZ14:BA14)</f>
        <v>0.28855525528827691</v>
      </c>
      <c r="BB121" s="1162"/>
      <c r="BC121" s="1162"/>
      <c r="BD121" s="1261"/>
      <c r="BE121" s="1242"/>
      <c r="BF121" s="1162">
        <f>SUM(BE108:BF108)/SUM(BE14:BF14)</f>
        <v>0.34610591273544961</v>
      </c>
      <c r="BG121" s="1162"/>
      <c r="BH121" s="1162"/>
      <c r="BI121" s="1261"/>
      <c r="BJ121" s="1242"/>
      <c r="BK121" s="1162"/>
      <c r="BL121" s="1162"/>
      <c r="BM121" s="1162"/>
      <c r="BN121" s="1261"/>
      <c r="BO121" s="1242"/>
      <c r="BP121" s="1162"/>
      <c r="BQ121" s="1162"/>
      <c r="BR121" s="1162"/>
      <c r="BS121" s="1261"/>
      <c r="BT121" s="1336"/>
      <c r="BU121" s="1291"/>
      <c r="BV121" s="1291"/>
      <c r="BW121" s="1291"/>
      <c r="BX121" s="1341"/>
      <c r="BY121" s="1336"/>
      <c r="BZ121" s="1291"/>
      <c r="CA121" s="1291"/>
      <c r="CB121" s="1291"/>
      <c r="CC121" s="1762"/>
      <c r="CD121" s="1336"/>
      <c r="CE121" s="1291"/>
      <c r="CF121" s="1291"/>
      <c r="CG121" s="1291"/>
      <c r="CH121" s="1762"/>
      <c r="CI121" s="1291"/>
      <c r="CJ121" s="860"/>
      <c r="CK121" s="1233"/>
      <c r="CL121" s="860"/>
      <c r="CM121" s="860"/>
      <c r="CN121" s="860"/>
      <c r="CO121" s="1232"/>
      <c r="CP121" s="1233"/>
      <c r="CQ121" s="860"/>
      <c r="CR121" s="860"/>
      <c r="CS121" s="860"/>
      <c r="CT121" s="1232"/>
      <c r="CU121" s="1233"/>
      <c r="CV121" s="860"/>
      <c r="CW121" s="860"/>
      <c r="CX121" s="860"/>
      <c r="CY121" s="1232"/>
      <c r="CZ121" s="1233"/>
      <c r="DA121" s="860"/>
      <c r="DB121" s="860"/>
      <c r="DC121" s="860"/>
      <c r="DD121" s="1232"/>
      <c r="DE121" s="1233"/>
      <c r="DF121" s="860"/>
      <c r="DG121" s="860"/>
      <c r="DH121" s="860"/>
      <c r="DI121" s="1232"/>
      <c r="DJ121" s="1233"/>
      <c r="DK121" s="860"/>
      <c r="DL121" s="860"/>
      <c r="DM121" s="860"/>
      <c r="DN121" s="1232"/>
      <c r="DO121" s="1233"/>
      <c r="DP121" s="860"/>
      <c r="DQ121" s="860"/>
      <c r="DR121" s="860"/>
      <c r="DS121" s="1232"/>
      <c r="DT121" s="1233"/>
      <c r="DU121" s="860"/>
      <c r="DV121" s="860"/>
      <c r="DW121" s="860"/>
      <c r="DX121" s="1232"/>
      <c r="DY121" s="1233"/>
      <c r="DZ121" s="860"/>
      <c r="EA121" s="860"/>
      <c r="EB121" s="860"/>
      <c r="EC121" s="1232"/>
      <c r="ED121" s="860"/>
      <c r="EE121" s="860"/>
      <c r="EF121" s="860"/>
      <c r="EG121" s="860"/>
      <c r="EH121" s="860"/>
      <c r="EI121" s="1233"/>
      <c r="EJ121" s="860"/>
      <c r="EK121" s="860"/>
      <c r="EL121" s="860"/>
      <c r="EM121" s="1232"/>
      <c r="EN121" s="1233"/>
      <c r="EO121" s="860"/>
      <c r="EP121" s="860"/>
      <c r="EQ121" s="860"/>
      <c r="ER121" s="1232"/>
      <c r="ES121" s="860"/>
      <c r="ET121" s="860"/>
      <c r="EU121" s="860"/>
      <c r="EV121" s="860"/>
      <c r="EW121" s="1232"/>
      <c r="EX121" s="1233"/>
      <c r="EY121" s="860"/>
      <c r="EZ121" s="860"/>
      <c r="FA121" s="860"/>
      <c r="FB121" s="1754"/>
      <c r="FC121" s="1233"/>
      <c r="FD121" s="860"/>
      <c r="FE121" s="860"/>
      <c r="FF121" s="860"/>
      <c r="FG121" s="860"/>
      <c r="FH121" s="860"/>
      <c r="FI121" s="860"/>
      <c r="FJ121" s="860"/>
      <c r="FY121" s="860"/>
      <c r="FZ121" s="860"/>
      <c r="GA121" s="860"/>
      <c r="GB121" s="860"/>
      <c r="GC121" s="860"/>
      <c r="GD121" s="860"/>
      <c r="GE121" s="860"/>
      <c r="GF121" s="860"/>
      <c r="GG121" s="860"/>
      <c r="GH121" s="860"/>
      <c r="GI121" s="860"/>
      <c r="GJ121" s="860"/>
      <c r="GK121" s="860"/>
      <c r="GL121" s="860"/>
      <c r="GM121" s="860"/>
      <c r="GN121" s="860"/>
      <c r="GO121" s="860"/>
      <c r="GP121" s="860"/>
      <c r="GQ121" s="860"/>
      <c r="GR121" s="1241"/>
      <c r="GS121" s="1218"/>
      <c r="GT121" s="1241"/>
      <c r="GU121" s="1218"/>
      <c r="GV121" s="1241"/>
      <c r="GW121" s="1218"/>
      <c r="GX121" s="1218"/>
      <c r="GY121" s="1241"/>
      <c r="GZ121" s="1218"/>
      <c r="HA121" s="1218"/>
      <c r="HB121" s="1241"/>
      <c r="HC121" s="1218"/>
      <c r="HD121" s="2000"/>
      <c r="HE121" s="1299"/>
      <c r="HF121" s="1218"/>
      <c r="HG121" s="2000"/>
      <c r="HH121" s="1241"/>
      <c r="HI121" s="1299"/>
      <c r="HJ121" s="1218"/>
      <c r="HK121" s="2000"/>
      <c r="HL121" s="1299"/>
      <c r="HM121" s="1218"/>
      <c r="HN121" s="2000"/>
      <c r="HO121" s="1299"/>
      <c r="HP121" s="1218"/>
      <c r="HQ121" s="2000"/>
      <c r="HR121" s="1299"/>
    </row>
    <row r="122" spans="1:226">
      <c r="A122" s="1290" t="s">
        <v>36</v>
      </c>
      <c r="B122" s="1233"/>
      <c r="C122" s="860"/>
      <c r="D122" s="860"/>
      <c r="E122" s="860"/>
      <c r="F122" s="1232"/>
      <c r="G122" s="1233"/>
      <c r="H122" s="860"/>
      <c r="I122" s="860"/>
      <c r="J122" s="860"/>
      <c r="K122" s="1232"/>
      <c r="L122" s="1233"/>
      <c r="M122" s="860"/>
      <c r="N122" s="860"/>
      <c r="O122" s="860"/>
      <c r="P122" s="1232"/>
      <c r="Q122" s="1233"/>
      <c r="R122" s="860"/>
      <c r="S122" s="860"/>
      <c r="T122" s="860"/>
      <c r="U122" s="1232"/>
      <c r="V122" s="1233"/>
      <c r="W122" s="860"/>
      <c r="X122" s="860"/>
      <c r="Y122" s="860"/>
      <c r="Z122" s="1261"/>
      <c r="AA122" s="1242"/>
      <c r="AB122" s="1162"/>
      <c r="AC122" s="1162"/>
      <c r="AD122" s="1162"/>
      <c r="AE122" s="1261"/>
      <c r="AF122" s="1242"/>
      <c r="AG122" s="1162"/>
      <c r="AH122" s="1162"/>
      <c r="AI122" s="1162"/>
      <c r="AJ122" s="1261"/>
      <c r="AK122" s="1242"/>
      <c r="AL122" s="1162"/>
      <c r="AM122" s="1162"/>
      <c r="AN122" s="1162"/>
      <c r="AO122" s="1261"/>
      <c r="AP122" s="1242"/>
      <c r="AQ122" s="1162"/>
      <c r="AR122" s="1162"/>
      <c r="AS122" s="1162"/>
      <c r="AT122" s="1261"/>
      <c r="AU122" s="1242"/>
      <c r="AV122" s="1162"/>
      <c r="AW122" s="1162"/>
      <c r="AX122" s="1162"/>
      <c r="AY122" s="1261"/>
      <c r="AZ122" s="1242"/>
      <c r="BA122" s="1162"/>
      <c r="BB122" s="1162"/>
      <c r="BC122" s="1162"/>
      <c r="BD122" s="1261"/>
      <c r="BE122" s="1242"/>
      <c r="BF122" s="1162"/>
      <c r="BG122" s="1162"/>
      <c r="BH122" s="1162"/>
      <c r="BI122" s="1261"/>
      <c r="BJ122" s="1242"/>
      <c r="BK122" s="1162"/>
      <c r="BL122" s="1162"/>
      <c r="BM122" s="1162"/>
      <c r="BN122" s="1261"/>
      <c r="BO122" s="1291">
        <f>BO38-BO107</f>
        <v>2578.1399999999994</v>
      </c>
      <c r="BP122" s="1291">
        <f>BP38-BP107</f>
        <v>2738.6859999999979</v>
      </c>
      <c r="BQ122" s="1291">
        <f>BQ38-BQ107</f>
        <v>2281.7379999999998</v>
      </c>
      <c r="BR122" s="1291">
        <f>BR38-BR107</f>
        <v>1910.2150000000011</v>
      </c>
      <c r="BS122" s="1261"/>
      <c r="BT122" s="1336">
        <f>BT38-BT107</f>
        <v>5924.7999999999993</v>
      </c>
      <c r="BU122" s="1291">
        <f>BU38-BU107</f>
        <v>3537.275000000001</v>
      </c>
      <c r="BV122" s="1291">
        <f>BV38-BV107</f>
        <v>2848.5480000000007</v>
      </c>
      <c r="BW122" s="1291">
        <f>BW38-BW107</f>
        <v>-3728.367999999999</v>
      </c>
      <c r="BX122" s="1341"/>
      <c r="BY122" s="1336">
        <f>BY38-BY107</f>
        <v>3564.3900000000003</v>
      </c>
      <c r="BZ122" s="1291">
        <f>BZ38-BZ107</f>
        <v>3229.7409999999995</v>
      </c>
      <c r="CA122" s="1291">
        <f>CA38-CA107</f>
        <v>1885.8400000000011</v>
      </c>
      <c r="CB122" s="1291">
        <f>CB38-CB107</f>
        <v>527.96</v>
      </c>
      <c r="CC122" s="1762"/>
      <c r="CD122" s="1336">
        <f>CD38-CD107</f>
        <v>3311.0427</v>
      </c>
      <c r="CE122" s="1291">
        <f>CE38-CE107</f>
        <v>1777.5</v>
      </c>
      <c r="CF122" s="1291">
        <f>CF38-CF107</f>
        <v>1951.25</v>
      </c>
      <c r="CG122" s="1291">
        <f>CG38-CG107</f>
        <v>365.03804925681925</v>
      </c>
      <c r="CH122" s="1762"/>
      <c r="CI122" s="1291"/>
      <c r="CJ122" s="860"/>
      <c r="CK122" s="1233"/>
      <c r="CL122" s="860"/>
      <c r="CM122" s="860"/>
      <c r="CN122" s="860"/>
      <c r="CO122" s="1232"/>
      <c r="CP122" s="1233"/>
      <c r="CQ122" s="860"/>
      <c r="CR122" s="860"/>
      <c r="CS122" s="860"/>
      <c r="CT122" s="1232"/>
      <c r="CU122" s="1233"/>
      <c r="CV122" s="860"/>
      <c r="CW122" s="860"/>
      <c r="CX122" s="860"/>
      <c r="CY122" s="1232"/>
      <c r="CZ122" s="1233"/>
      <c r="DA122" s="860"/>
      <c r="DB122" s="860"/>
      <c r="DC122" s="860"/>
      <c r="DD122" s="1232"/>
      <c r="DE122" s="1233"/>
      <c r="DF122" s="860"/>
      <c r="DG122" s="860"/>
      <c r="DH122" s="860"/>
      <c r="DI122" s="1232"/>
      <c r="DJ122" s="1233"/>
      <c r="DK122" s="860"/>
      <c r="DL122" s="860"/>
      <c r="DM122" s="860"/>
      <c r="DN122" s="1232"/>
      <c r="DO122" s="1233"/>
      <c r="DP122" s="860"/>
      <c r="DQ122" s="860"/>
      <c r="DR122" s="860"/>
      <c r="DS122" s="1232"/>
      <c r="DT122" s="1233"/>
      <c r="DU122" s="860"/>
      <c r="DV122" s="860"/>
      <c r="DW122" s="860"/>
      <c r="DX122" s="1232"/>
      <c r="DY122" s="1233"/>
      <c r="DZ122" s="860"/>
      <c r="EA122" s="860"/>
      <c r="EB122" s="860"/>
      <c r="EC122" s="1232"/>
      <c r="ED122" s="860"/>
      <c r="EE122" s="860"/>
      <c r="EF122" s="860"/>
      <c r="EG122" s="860"/>
      <c r="EH122" s="860"/>
      <c r="EI122" s="1233"/>
      <c r="EJ122" s="860"/>
      <c r="EK122" s="860"/>
      <c r="EL122" s="860"/>
      <c r="EM122" s="1232"/>
      <c r="EN122" s="1233"/>
      <c r="EO122" s="860"/>
      <c r="EP122" s="860"/>
      <c r="EQ122" s="860"/>
      <c r="ER122" s="1232"/>
      <c r="ES122" s="860"/>
      <c r="ET122" s="860"/>
      <c r="EU122" s="860"/>
      <c r="EV122" s="860"/>
      <c r="EW122" s="1232"/>
      <c r="EX122" s="1233"/>
      <c r="EY122" s="860"/>
      <c r="EZ122" s="860"/>
      <c r="FA122" s="860"/>
      <c r="FB122" s="1754"/>
      <c r="FC122" s="1233"/>
      <c r="FD122" s="860"/>
      <c r="FE122" s="860"/>
      <c r="FF122" s="860"/>
      <c r="FG122" s="860"/>
      <c r="FH122" s="860"/>
      <c r="FI122" s="860"/>
      <c r="FJ122" s="860"/>
      <c r="FY122" s="860"/>
      <c r="FZ122" s="860"/>
      <c r="GA122" s="860"/>
      <c r="GB122" s="860"/>
      <c r="GC122" s="860"/>
      <c r="GD122" s="860"/>
      <c r="GE122" s="860"/>
      <c r="GF122" s="860"/>
      <c r="GG122" s="860"/>
      <c r="GH122" s="860"/>
      <c r="GI122" s="860"/>
      <c r="GJ122" s="860"/>
      <c r="GK122" s="860"/>
      <c r="GL122" s="860"/>
      <c r="GM122" s="860"/>
      <c r="GN122" s="860"/>
      <c r="GO122" s="860"/>
      <c r="GP122" s="860"/>
      <c r="GQ122" s="860"/>
      <c r="GR122" s="1241"/>
      <c r="GS122" s="1218"/>
      <c r="GT122" s="1241"/>
      <c r="GU122" s="1218"/>
      <c r="GV122" s="1241"/>
      <c r="GW122" s="1218"/>
      <c r="GX122" s="1218"/>
      <c r="GY122" s="1241"/>
      <c r="GZ122" s="1218"/>
      <c r="HA122" s="1218"/>
      <c r="HB122" s="1241"/>
      <c r="HC122" s="1218"/>
      <c r="HD122" s="2000"/>
      <c r="HE122" s="1299">
        <v>-852.69283570701464</v>
      </c>
      <c r="HF122" s="1218"/>
      <c r="HG122" s="2000"/>
      <c r="HH122" s="1241"/>
      <c r="HI122" s="1299">
        <v>2379.0950000000007</v>
      </c>
      <c r="HJ122" s="1218"/>
      <c r="HK122" s="2000"/>
      <c r="HL122" s="1299">
        <v>2777.5870000000004</v>
      </c>
      <c r="HM122" s="1218"/>
      <c r="HN122" s="2000"/>
      <c r="HO122" s="1299">
        <v>1339.2727599733121</v>
      </c>
      <c r="HP122" s="1218"/>
      <c r="HQ122" s="2000"/>
      <c r="HR122" s="1299">
        <v>3311.0427</v>
      </c>
    </row>
    <row r="123" spans="1:226">
      <c r="A123" s="1290" t="s">
        <v>731</v>
      </c>
      <c r="B123" s="1233"/>
      <c r="C123" s="860"/>
      <c r="D123" s="860"/>
      <c r="E123" s="860"/>
      <c r="F123" s="1232"/>
      <c r="G123" s="1233"/>
      <c r="H123" s="860"/>
      <c r="I123" s="860"/>
      <c r="J123" s="860"/>
      <c r="K123" s="1232"/>
      <c r="L123" s="1233"/>
      <c r="M123" s="860"/>
      <c r="N123" s="860"/>
      <c r="O123" s="860"/>
      <c r="P123" s="1232"/>
      <c r="Q123" s="1233"/>
      <c r="R123" s="860"/>
      <c r="S123" s="860"/>
      <c r="T123" s="860"/>
      <c r="U123" s="1232"/>
      <c r="V123" s="1233"/>
      <c r="W123" s="860"/>
      <c r="X123" s="860"/>
      <c r="Y123" s="860"/>
      <c r="Z123" s="1261"/>
      <c r="AA123" s="1242"/>
      <c r="AB123" s="1162"/>
      <c r="AC123" s="1162"/>
      <c r="AD123" s="1162"/>
      <c r="AE123" s="1261"/>
      <c r="AF123" s="1242"/>
      <c r="AG123" s="1162"/>
      <c r="AH123" s="1162"/>
      <c r="AI123" s="1162"/>
      <c r="AJ123" s="1261"/>
      <c r="AK123" s="1242"/>
      <c r="AL123" s="1162"/>
      <c r="AM123" s="1162"/>
      <c r="AN123" s="1162"/>
      <c r="AO123" s="1261"/>
      <c r="AP123" s="1242"/>
      <c r="AQ123" s="1162"/>
      <c r="AR123" s="1162"/>
      <c r="AS123" s="1162"/>
      <c r="AT123" s="1261"/>
      <c r="AU123" s="1242"/>
      <c r="AV123" s="1162"/>
      <c r="AW123" s="1162"/>
      <c r="AX123" s="1162"/>
      <c r="AY123" s="1261"/>
      <c r="AZ123" s="1242"/>
      <c r="BA123" s="1162"/>
      <c r="BB123" s="1162"/>
      <c r="BC123" s="1162"/>
      <c r="BD123" s="1261"/>
      <c r="BE123" s="1242"/>
      <c r="BF123" s="1162"/>
      <c r="BG123" s="1162"/>
      <c r="BH123" s="1162"/>
      <c r="BI123" s="1261"/>
      <c r="BJ123" s="1242"/>
      <c r="BK123" s="1162"/>
      <c r="BL123" s="1162"/>
      <c r="BM123" s="1162"/>
      <c r="BN123" s="1261"/>
      <c r="BO123" s="1162">
        <f>BO122/BO21</f>
        <v>0.13921143005248487</v>
      </c>
      <c r="BP123" s="1162">
        <f>BP122/BP21</f>
        <v>0.14787561689398593</v>
      </c>
      <c r="BQ123" s="1162">
        <f>BQ122/BQ21</f>
        <v>0.12457825799723733</v>
      </c>
      <c r="BR123" s="1162">
        <f>BR122/BR21</f>
        <v>0.10374611674740943</v>
      </c>
      <c r="BS123" s="1261"/>
      <c r="BT123" s="1242">
        <f>BT122/BT21</f>
        <v>0.37142821319758762</v>
      </c>
      <c r="BU123" s="1162">
        <f>BU122/BU21</f>
        <v>0.22501319949364842</v>
      </c>
      <c r="BV123" s="1162">
        <f>BV122/BV21</f>
        <v>0.18541854349467551</v>
      </c>
      <c r="BW123" s="1162">
        <f>BW122/BW21</f>
        <v>-0.24486208164766451</v>
      </c>
      <c r="BX123" s="1341"/>
      <c r="BY123" s="1242">
        <f>BY122/BY21</f>
        <v>0.23804495912806542</v>
      </c>
      <c r="BZ123" s="1162">
        <f>BZ122/BZ21</f>
        <v>0.21927172865154043</v>
      </c>
      <c r="CA123" s="1162">
        <f>CA122/CA21</f>
        <v>0.12892869351199843</v>
      </c>
      <c r="CB123" s="1162">
        <f>CB122/CB21</f>
        <v>3.6290400186964708E-2</v>
      </c>
      <c r="CC123" s="1762"/>
      <c r="CD123" s="1242">
        <f>CD122/CD21</f>
        <v>0.22815109043927648</v>
      </c>
      <c r="CE123" s="1162">
        <f>CE122/CE21</f>
        <v>0.12386759581881533</v>
      </c>
      <c r="CF123" s="1162">
        <f>CF122/CF21</f>
        <v>0.13765432098765432</v>
      </c>
      <c r="CG123" s="1162">
        <f>CG122/CG21</f>
        <v>2.5991377576206457E-2</v>
      </c>
      <c r="CH123" s="1762"/>
      <c r="CI123" s="1291"/>
      <c r="CJ123" s="860"/>
      <c r="CK123" s="1233"/>
      <c r="CL123" s="860"/>
      <c r="CM123" s="860"/>
      <c r="CN123" s="860"/>
      <c r="CO123" s="1232"/>
      <c r="CP123" s="1233"/>
      <c r="CQ123" s="860"/>
      <c r="CR123" s="860"/>
      <c r="CS123" s="860"/>
      <c r="CT123" s="1232"/>
      <c r="CU123" s="1233"/>
      <c r="CV123" s="860"/>
      <c r="CW123" s="860"/>
      <c r="CX123" s="860"/>
      <c r="CY123" s="1232"/>
      <c r="CZ123" s="1233"/>
      <c r="DA123" s="860"/>
      <c r="DB123" s="860"/>
      <c r="DC123" s="860"/>
      <c r="DD123" s="1232"/>
      <c r="DE123" s="1233"/>
      <c r="DF123" s="860"/>
      <c r="DG123" s="860"/>
      <c r="DH123" s="860"/>
      <c r="DI123" s="1232"/>
      <c r="DJ123" s="1233"/>
      <c r="DK123" s="860"/>
      <c r="DL123" s="860"/>
      <c r="DM123" s="860"/>
      <c r="DN123" s="1232"/>
      <c r="DO123" s="1233"/>
      <c r="DP123" s="860"/>
      <c r="DQ123" s="860"/>
      <c r="DR123" s="860"/>
      <c r="DS123" s="1232"/>
      <c r="DT123" s="1233"/>
      <c r="DU123" s="860"/>
      <c r="DV123" s="860"/>
      <c r="DW123" s="860"/>
      <c r="DX123" s="1232"/>
      <c r="DY123" s="1233"/>
      <c r="DZ123" s="860"/>
      <c r="EA123" s="860"/>
      <c r="EB123" s="860"/>
      <c r="EC123" s="1232"/>
      <c r="ED123" s="860"/>
      <c r="EE123" s="860"/>
      <c r="EF123" s="860"/>
      <c r="EG123" s="860"/>
      <c r="EH123" s="860"/>
      <c r="EI123" s="1233"/>
      <c r="EJ123" s="860"/>
      <c r="EK123" s="860"/>
      <c r="EL123" s="860"/>
      <c r="EM123" s="1232"/>
      <c r="EN123" s="1233"/>
      <c r="EO123" s="860"/>
      <c r="EP123" s="860"/>
      <c r="EQ123" s="860"/>
      <c r="ER123" s="1232"/>
      <c r="ES123" s="860"/>
      <c r="ET123" s="860"/>
      <c r="EU123" s="860"/>
      <c r="EV123" s="860"/>
      <c r="EW123" s="1232"/>
      <c r="EX123" s="1233"/>
      <c r="EY123" s="860"/>
      <c r="EZ123" s="860"/>
      <c r="FA123" s="860"/>
      <c r="FB123" s="1754"/>
      <c r="FC123" s="1233"/>
      <c r="FD123" s="860"/>
      <c r="FE123" s="860"/>
      <c r="FF123" s="860"/>
      <c r="FG123" s="860"/>
      <c r="FH123" s="860"/>
      <c r="FI123" s="860"/>
      <c r="FJ123" s="860"/>
      <c r="FY123" s="860"/>
      <c r="FZ123" s="860"/>
      <c r="GA123" s="860"/>
      <c r="GB123" s="860"/>
      <c r="GC123" s="860"/>
      <c r="GD123" s="860"/>
      <c r="GE123" s="860"/>
      <c r="GF123" s="860"/>
      <c r="GG123" s="860"/>
      <c r="GH123" s="860"/>
      <c r="GI123" s="860"/>
      <c r="GJ123" s="860"/>
      <c r="GK123" s="860"/>
      <c r="GL123" s="860"/>
      <c r="GM123" s="860"/>
      <c r="GN123" s="860"/>
      <c r="GO123" s="860"/>
      <c r="GP123" s="860"/>
      <c r="GQ123" s="860"/>
      <c r="GR123" s="1241"/>
      <c r="GS123" s="1218"/>
      <c r="GT123" s="1241"/>
      <c r="GU123" s="1218"/>
      <c r="GV123" s="1241"/>
      <c r="GW123" s="1218"/>
      <c r="GX123" s="1218"/>
      <c r="GY123" s="1241"/>
      <c r="GZ123" s="1218"/>
      <c r="HA123" s="1218"/>
      <c r="HB123" s="1241"/>
      <c r="HC123" s="1218"/>
      <c r="HD123" s="2000"/>
      <c r="HE123" s="1241">
        <v>-5.7401713717475628E-2</v>
      </c>
      <c r="HF123" s="1218"/>
      <c r="HG123" s="2000"/>
      <c r="HH123" s="1241"/>
      <c r="HI123" s="1241">
        <v>0.16132021251377174</v>
      </c>
      <c r="HJ123" s="1218"/>
      <c r="HK123" s="2000"/>
      <c r="HL123" s="1241">
        <v>0.19089945017182133</v>
      </c>
      <c r="HM123" s="1218"/>
      <c r="HN123" s="2000"/>
      <c r="HO123" s="1241">
        <v>9.1069465457484247E-2</v>
      </c>
      <c r="HP123" s="1218"/>
      <c r="HQ123" s="2000"/>
      <c r="HR123" s="1241">
        <v>0.22815109043927648</v>
      </c>
    </row>
    <row r="124" spans="1:226">
      <c r="A124" s="1290" t="s">
        <v>732</v>
      </c>
      <c r="B124" s="1233"/>
      <c r="C124" s="860"/>
      <c r="D124" s="860"/>
      <c r="E124" s="860"/>
      <c r="F124" s="1232"/>
      <c r="G124" s="1233"/>
      <c r="H124" s="860"/>
      <c r="I124" s="860"/>
      <c r="J124" s="860"/>
      <c r="K124" s="1232"/>
      <c r="L124" s="1233"/>
      <c r="M124" s="860"/>
      <c r="N124" s="860"/>
      <c r="O124" s="860"/>
      <c r="P124" s="1232"/>
      <c r="Q124" s="1233"/>
      <c r="R124" s="860"/>
      <c r="S124" s="860"/>
      <c r="T124" s="860"/>
      <c r="U124" s="1232"/>
      <c r="V124" s="1233"/>
      <c r="W124" s="860"/>
      <c r="X124" s="860"/>
      <c r="Y124" s="860"/>
      <c r="Z124" s="1261"/>
      <c r="AA124" s="1242"/>
      <c r="AB124" s="1162"/>
      <c r="AC124" s="1162"/>
      <c r="AD124" s="1162"/>
      <c r="AE124" s="1261"/>
      <c r="AF124" s="1242"/>
      <c r="AG124" s="1162"/>
      <c r="AH124" s="1162"/>
      <c r="AI124" s="1162"/>
      <c r="AJ124" s="1261"/>
      <c r="AK124" s="1242"/>
      <c r="AL124" s="1162"/>
      <c r="AM124" s="1162"/>
      <c r="AN124" s="1162"/>
      <c r="AO124" s="1261"/>
      <c r="AP124" s="1242"/>
      <c r="AQ124" s="1162"/>
      <c r="AR124" s="1162"/>
      <c r="AS124" s="1162"/>
      <c r="AT124" s="1261"/>
      <c r="AU124" s="1242"/>
      <c r="AV124" s="1162"/>
      <c r="AW124" s="1162"/>
      <c r="AX124" s="1162"/>
      <c r="AY124" s="1261"/>
      <c r="AZ124" s="1242"/>
      <c r="BA124" s="1162"/>
      <c r="BB124" s="1162"/>
      <c r="BC124" s="1162"/>
      <c r="BD124" s="1261"/>
      <c r="BE124" s="1242"/>
      <c r="BF124" s="1162"/>
      <c r="BG124" s="1162"/>
      <c r="BH124" s="1162"/>
      <c r="BI124" s="1261"/>
      <c r="BJ124" s="1242"/>
      <c r="BK124" s="1162"/>
      <c r="BL124" s="1162"/>
      <c r="BM124" s="1162"/>
      <c r="BN124" s="1261"/>
      <c r="BO124" s="1242"/>
      <c r="BP124" s="1162"/>
      <c r="BQ124" s="1162"/>
      <c r="BR124" s="1162"/>
      <c r="BS124" s="1261"/>
      <c r="BT124" s="1242">
        <f>BT122/BO122-1</f>
        <v>1.2980908717137165</v>
      </c>
      <c r="BU124" s="1162">
        <f>BU122/BP122-1</f>
        <v>0.29159567763518845</v>
      </c>
      <c r="BV124" s="1162">
        <f>BV122/BQ122-1</f>
        <v>0.24841151788680427</v>
      </c>
      <c r="BW124" s="1162">
        <f>BW122/BR122-1</f>
        <v>-2.9518054250437764</v>
      </c>
      <c r="BX124" s="1341"/>
      <c r="BY124" s="1242">
        <f>BY122/BT122-1</f>
        <v>-0.39839488252768018</v>
      </c>
      <c r="BZ124" s="1162">
        <f>BZ122/BU122-1</f>
        <v>-8.694093617261911E-2</v>
      </c>
      <c r="CA124" s="1162">
        <f>CA122/BV122-1</f>
        <v>-0.33796446470271846</v>
      </c>
      <c r="CB124" s="1162">
        <f>CB122/BW122-1</f>
        <v>-1.1416061933800528</v>
      </c>
      <c r="CC124" s="1762"/>
      <c r="CD124" s="1242">
        <f>CD122/BY122-1</f>
        <v>-7.1077323188540098E-2</v>
      </c>
      <c r="CE124" s="1162">
        <f>CE122/BZ122-1</f>
        <v>-0.4496462719456451</v>
      </c>
      <c r="CF124" s="1162">
        <f>CF122/CA122-1</f>
        <v>3.4684808891527918E-2</v>
      </c>
      <c r="CG124" s="1162">
        <f>CG122/CB122-1</f>
        <v>-0.30858767850439572</v>
      </c>
      <c r="CH124" s="1762"/>
      <c r="CI124" s="1291"/>
      <c r="CJ124" s="860"/>
      <c r="CK124" s="1233"/>
      <c r="CL124" s="860"/>
      <c r="CM124" s="860"/>
      <c r="CN124" s="860"/>
      <c r="CO124" s="1232"/>
      <c r="CP124" s="1233"/>
      <c r="CQ124" s="860"/>
      <c r="CR124" s="860"/>
      <c r="CS124" s="860"/>
      <c r="CT124" s="1232"/>
      <c r="CU124" s="1233"/>
      <c r="CV124" s="860"/>
      <c r="CW124" s="860"/>
      <c r="CX124" s="860"/>
      <c r="CY124" s="1232"/>
      <c r="CZ124" s="1233"/>
      <c r="DA124" s="860"/>
      <c r="DB124" s="860"/>
      <c r="DC124" s="860"/>
      <c r="DD124" s="1232"/>
      <c r="DE124" s="1233"/>
      <c r="DF124" s="860"/>
      <c r="DG124" s="860"/>
      <c r="DH124" s="860"/>
      <c r="DI124" s="1232"/>
      <c r="DJ124" s="1233"/>
      <c r="DK124" s="860"/>
      <c r="DL124" s="860"/>
      <c r="DM124" s="860"/>
      <c r="DN124" s="1232"/>
      <c r="DO124" s="1233"/>
      <c r="DP124" s="860"/>
      <c r="DQ124" s="860"/>
      <c r="DR124" s="860"/>
      <c r="DS124" s="1232"/>
      <c r="DT124" s="1233"/>
      <c r="DU124" s="860"/>
      <c r="DV124" s="860"/>
      <c r="DW124" s="860"/>
      <c r="DX124" s="1232"/>
      <c r="DY124" s="1233"/>
      <c r="DZ124" s="860"/>
      <c r="EA124" s="860"/>
      <c r="EB124" s="860"/>
      <c r="EC124" s="1232"/>
      <c r="ED124" s="860"/>
      <c r="EE124" s="860"/>
      <c r="EF124" s="860"/>
      <c r="EG124" s="860"/>
      <c r="EH124" s="860"/>
      <c r="EI124" s="1233"/>
      <c r="EJ124" s="860"/>
      <c r="EK124" s="860"/>
      <c r="EL124" s="860"/>
      <c r="EM124" s="1232"/>
      <c r="EN124" s="1233"/>
      <c r="EO124" s="860"/>
      <c r="EP124" s="860"/>
      <c r="EQ124" s="860"/>
      <c r="ER124" s="1232"/>
      <c r="ES124" s="860"/>
      <c r="ET124" s="860"/>
      <c r="EU124" s="860"/>
      <c r="EV124" s="860"/>
      <c r="EW124" s="1232"/>
      <c r="EX124" s="1233"/>
      <c r="EY124" s="860"/>
      <c r="EZ124" s="860"/>
      <c r="FA124" s="860"/>
      <c r="FB124" s="1754"/>
      <c r="FC124" s="1233"/>
      <c r="FD124" s="860"/>
      <c r="FE124" s="860"/>
      <c r="FF124" s="860"/>
      <c r="FG124" s="860"/>
      <c r="FH124" s="860"/>
      <c r="FI124" s="860"/>
      <c r="FJ124" s="860"/>
      <c r="FY124" s="860"/>
      <c r="FZ124" s="860"/>
      <c r="GA124" s="860"/>
      <c r="GB124" s="860"/>
      <c r="GC124" s="860"/>
      <c r="GD124" s="860"/>
      <c r="GE124" s="860"/>
      <c r="GF124" s="860"/>
      <c r="GG124" s="860"/>
      <c r="GH124" s="860"/>
      <c r="GI124" s="860"/>
      <c r="GJ124" s="860"/>
      <c r="GK124" s="860"/>
      <c r="GL124" s="860"/>
      <c r="GM124" s="860"/>
      <c r="GN124" s="860"/>
      <c r="GO124" s="860"/>
      <c r="GP124" s="860"/>
      <c r="GQ124" s="860"/>
      <c r="GR124" s="1241"/>
      <c r="GS124" s="1218"/>
      <c r="GT124" s="1241"/>
      <c r="GU124" s="1218"/>
      <c r="GV124" s="1241"/>
      <c r="GW124" s="1218"/>
      <c r="GX124" s="1218"/>
      <c r="GY124" s="1241"/>
      <c r="GZ124" s="1218"/>
      <c r="HA124" s="1218"/>
      <c r="HB124" s="1241"/>
      <c r="HC124" s="1218"/>
      <c r="HD124" s="2000"/>
      <c r="HE124" s="1241">
        <v>-1.4463857920218479</v>
      </c>
      <c r="HF124" s="1218"/>
      <c r="HG124" s="2000"/>
      <c r="HH124" s="1241"/>
      <c r="HI124" s="1241">
        <v>-0.32742153211158309</v>
      </c>
      <c r="HJ124" s="1218"/>
      <c r="HK124" s="2000"/>
      <c r="HL124" s="1241">
        <v>-2.4911288136973742E-2</v>
      </c>
      <c r="HM124" s="1218"/>
      <c r="HN124" s="2000"/>
      <c r="HO124" s="1241">
        <v>-1.359211526322861</v>
      </c>
      <c r="HP124" s="1218"/>
      <c r="HQ124" s="2000"/>
      <c r="HR124" s="1241">
        <v>-7.1077323188540098E-2</v>
      </c>
    </row>
    <row r="125" spans="1:226">
      <c r="A125" s="1290"/>
      <c r="B125" s="1233"/>
      <c r="C125" s="860"/>
      <c r="D125" s="860"/>
      <c r="E125" s="860"/>
      <c r="F125" s="1232"/>
      <c r="G125" s="1233"/>
      <c r="H125" s="860"/>
      <c r="I125" s="860"/>
      <c r="J125" s="860"/>
      <c r="K125" s="1232"/>
      <c r="L125" s="1233"/>
      <c r="M125" s="860"/>
      <c r="N125" s="860"/>
      <c r="O125" s="860"/>
      <c r="P125" s="1232"/>
      <c r="Q125" s="1233"/>
      <c r="R125" s="860"/>
      <c r="S125" s="860"/>
      <c r="T125" s="860"/>
      <c r="U125" s="1232"/>
      <c r="V125" s="1233"/>
      <c r="W125" s="860"/>
      <c r="X125" s="860"/>
      <c r="Y125" s="860"/>
      <c r="Z125" s="1261"/>
      <c r="AA125" s="1242"/>
      <c r="AB125" s="1162"/>
      <c r="AC125" s="1162"/>
      <c r="AD125" s="1162"/>
      <c r="AE125" s="1261"/>
      <c r="AF125" s="1242"/>
      <c r="AG125" s="1162"/>
      <c r="AH125" s="1162"/>
      <c r="AI125" s="1162"/>
      <c r="AJ125" s="1261"/>
      <c r="AK125" s="1242"/>
      <c r="AL125" s="1162"/>
      <c r="AM125" s="1162"/>
      <c r="AN125" s="1162"/>
      <c r="AO125" s="1261"/>
      <c r="AP125" s="1242"/>
      <c r="AQ125" s="1162"/>
      <c r="AR125" s="1162"/>
      <c r="AS125" s="1162"/>
      <c r="AT125" s="1261"/>
      <c r="AU125" s="1242"/>
      <c r="AV125" s="1162"/>
      <c r="AW125" s="1162"/>
      <c r="AX125" s="1162"/>
      <c r="AY125" s="1261"/>
      <c r="AZ125" s="1242"/>
      <c r="BA125" s="1162"/>
      <c r="BB125" s="1162"/>
      <c r="BC125" s="1162"/>
      <c r="BD125" s="1261"/>
      <c r="BE125" s="1242"/>
      <c r="BF125" s="1162"/>
      <c r="BG125" s="1162"/>
      <c r="BH125" s="1162"/>
      <c r="BI125" s="1261"/>
      <c r="BJ125" s="1242"/>
      <c r="BK125" s="1162"/>
      <c r="BL125" s="1162"/>
      <c r="BM125" s="1162"/>
      <c r="BN125" s="1261"/>
      <c r="BO125" s="1242"/>
      <c r="BP125" s="1162"/>
      <c r="BQ125" s="1162"/>
      <c r="BR125" s="1162"/>
      <c r="BS125" s="1261"/>
      <c r="BT125" s="1336"/>
      <c r="BU125" s="1291"/>
      <c r="BV125" s="1291"/>
      <c r="BW125" s="1291"/>
      <c r="BX125" s="1341"/>
      <c r="BY125" s="1336"/>
      <c r="BZ125" s="1291"/>
      <c r="CA125" s="1291"/>
      <c r="CB125" s="1291"/>
      <c r="CC125" s="1762"/>
      <c r="CD125" s="1336"/>
      <c r="CE125" s="1291"/>
      <c r="CF125" s="1291"/>
      <c r="CG125" s="1291"/>
      <c r="CH125" s="1762"/>
      <c r="CI125" s="1291"/>
      <c r="CJ125" s="860"/>
      <c r="CK125" s="1233"/>
      <c r="CL125" s="860"/>
      <c r="CM125" s="860"/>
      <c r="CN125" s="860"/>
      <c r="CO125" s="1232"/>
      <c r="CP125" s="1233"/>
      <c r="CQ125" s="860"/>
      <c r="CR125" s="860"/>
      <c r="CS125" s="860"/>
      <c r="CT125" s="1232"/>
      <c r="CU125" s="1233"/>
      <c r="CV125" s="860"/>
      <c r="CW125" s="860"/>
      <c r="CX125" s="860"/>
      <c r="CY125" s="1232"/>
      <c r="CZ125" s="1233"/>
      <c r="DA125" s="860"/>
      <c r="DB125" s="860"/>
      <c r="DC125" s="860"/>
      <c r="DD125" s="1232"/>
      <c r="DE125" s="1233"/>
      <c r="DF125" s="860"/>
      <c r="DG125" s="860"/>
      <c r="DH125" s="860"/>
      <c r="DI125" s="1232"/>
      <c r="DJ125" s="1233"/>
      <c r="DK125" s="860"/>
      <c r="DL125" s="860"/>
      <c r="DM125" s="860"/>
      <c r="DN125" s="1232"/>
      <c r="DO125" s="1233"/>
      <c r="DP125" s="860"/>
      <c r="DQ125" s="860"/>
      <c r="DR125" s="860"/>
      <c r="DS125" s="1232"/>
      <c r="DT125" s="1233"/>
      <c r="DU125" s="860"/>
      <c r="DV125" s="860"/>
      <c r="DW125" s="860"/>
      <c r="DX125" s="1232"/>
      <c r="DY125" s="1233"/>
      <c r="DZ125" s="860"/>
      <c r="EA125" s="860"/>
      <c r="EB125" s="860"/>
      <c r="EC125" s="1232"/>
      <c r="ED125" s="860"/>
      <c r="EE125" s="860"/>
      <c r="EF125" s="860"/>
      <c r="EG125" s="860"/>
      <c r="EH125" s="860"/>
      <c r="EI125" s="1233"/>
      <c r="EJ125" s="860"/>
      <c r="EK125" s="860"/>
      <c r="EL125" s="860"/>
      <c r="EM125" s="1232"/>
      <c r="EN125" s="1233"/>
      <c r="EO125" s="860"/>
      <c r="EP125" s="860"/>
      <c r="EQ125" s="860"/>
      <c r="ER125" s="1232"/>
      <c r="ES125" s="860"/>
      <c r="ET125" s="860"/>
      <c r="EU125" s="860"/>
      <c r="EV125" s="860"/>
      <c r="EW125" s="1232"/>
      <c r="EX125" s="1233"/>
      <c r="EY125" s="860"/>
      <c r="EZ125" s="860"/>
      <c r="FA125" s="860"/>
      <c r="FB125" s="1754"/>
      <c r="FC125" s="1233"/>
      <c r="FD125" s="860"/>
      <c r="FE125" s="860"/>
      <c r="FF125" s="860"/>
      <c r="FG125" s="860"/>
      <c r="FH125" s="860"/>
      <c r="FI125" s="860"/>
      <c r="FJ125" s="860"/>
      <c r="FY125" s="860"/>
      <c r="FZ125" s="860"/>
      <c r="GA125" s="860"/>
      <c r="GB125" s="860"/>
      <c r="GC125" s="860"/>
      <c r="GD125" s="860"/>
      <c r="GE125" s="860"/>
      <c r="GF125" s="860"/>
      <c r="GG125" s="860"/>
      <c r="GH125" s="860"/>
      <c r="GI125" s="860"/>
      <c r="GJ125" s="860"/>
      <c r="GK125" s="860"/>
      <c r="GL125" s="860"/>
      <c r="GM125" s="860"/>
      <c r="GN125" s="860"/>
      <c r="GO125" s="860"/>
      <c r="GP125" s="860"/>
      <c r="GQ125" s="860"/>
      <c r="GR125" s="1241"/>
      <c r="GS125" s="1218"/>
      <c r="GT125" s="1241"/>
      <c r="GU125" s="1218"/>
      <c r="GV125" s="1241"/>
      <c r="GW125" s="1218"/>
      <c r="GX125" s="1218"/>
      <c r="GY125" s="1241"/>
      <c r="GZ125" s="1218"/>
      <c r="HA125" s="1218"/>
      <c r="HB125" s="1241"/>
      <c r="HC125" s="1218"/>
      <c r="HD125" s="2000"/>
      <c r="HE125" s="1299"/>
      <c r="HF125" s="1218"/>
      <c r="HG125" s="2000"/>
      <c r="HH125" s="1241"/>
      <c r="HI125" s="1299"/>
      <c r="HJ125" s="1218"/>
      <c r="HK125" s="2000"/>
      <c r="HL125" s="1299"/>
      <c r="HM125" s="1218"/>
      <c r="HN125" s="2000"/>
      <c r="HO125" s="1299"/>
      <c r="HP125" s="1218"/>
      <c r="HQ125" s="2000"/>
      <c r="HR125" s="1299"/>
    </row>
    <row r="126" spans="1:226">
      <c r="A126" s="1290"/>
      <c r="B126" s="1233"/>
      <c r="C126" s="860"/>
      <c r="D126" s="860"/>
      <c r="E126" s="860"/>
      <c r="F126" s="1232"/>
      <c r="G126" s="1233"/>
      <c r="H126" s="860"/>
      <c r="I126" s="860"/>
      <c r="J126" s="860"/>
      <c r="K126" s="1232"/>
      <c r="L126" s="1233"/>
      <c r="M126" s="860"/>
      <c r="N126" s="860"/>
      <c r="O126" s="860"/>
      <c r="P126" s="1232"/>
      <c r="Q126" s="1233"/>
      <c r="R126" s="860"/>
      <c r="S126" s="860"/>
      <c r="T126" s="860"/>
      <c r="U126" s="1232"/>
      <c r="V126" s="1233"/>
      <c r="W126" s="860"/>
      <c r="X126" s="860"/>
      <c r="Y126" s="860"/>
      <c r="Z126" s="1261"/>
      <c r="AA126" s="1242"/>
      <c r="AB126" s="1162"/>
      <c r="AC126" s="1162"/>
      <c r="AD126" s="1162"/>
      <c r="AE126" s="1261"/>
      <c r="AF126" s="1242"/>
      <c r="AG126" s="1162"/>
      <c r="AH126" s="1162"/>
      <c r="AI126" s="1162"/>
      <c r="AJ126" s="1261"/>
      <c r="AK126" s="1242"/>
      <c r="AL126" s="1162"/>
      <c r="AM126" s="1162"/>
      <c r="AN126" s="1162"/>
      <c r="AO126" s="1261"/>
      <c r="AP126" s="1242"/>
      <c r="AQ126" s="1162"/>
      <c r="AR126" s="1162"/>
      <c r="AS126" s="1162"/>
      <c r="AT126" s="1261"/>
      <c r="AU126" s="1242"/>
      <c r="AV126" s="1162"/>
      <c r="AW126" s="1162"/>
      <c r="AX126" s="1162"/>
      <c r="AY126" s="1261"/>
      <c r="AZ126" s="1242"/>
      <c r="BA126" s="1162"/>
      <c r="BB126" s="1162"/>
      <c r="BC126" s="1162"/>
      <c r="BD126" s="1261"/>
      <c r="BE126" s="1242"/>
      <c r="BF126" s="1162"/>
      <c r="BG126" s="1162"/>
      <c r="BH126" s="1162"/>
      <c r="BI126" s="1261"/>
      <c r="BJ126" s="1242"/>
      <c r="BK126" s="1162"/>
      <c r="BL126" s="1162"/>
      <c r="BM126" s="1162"/>
      <c r="BN126" s="1261"/>
      <c r="BO126" s="1242"/>
      <c r="BP126" s="1162"/>
      <c r="BQ126" s="1162"/>
      <c r="BR126" s="1162"/>
      <c r="BS126" s="1261"/>
      <c r="BT126" s="1336"/>
      <c r="BU126" s="1291"/>
      <c r="BV126" s="1291"/>
      <c r="BW126" s="1291"/>
      <c r="BX126" s="1341"/>
      <c r="BY126" s="1336"/>
      <c r="BZ126" s="1291"/>
      <c r="CA126" s="1291"/>
      <c r="CB126" s="1291"/>
      <c r="CC126" s="1762"/>
      <c r="CD126" s="1336"/>
      <c r="CE126" s="1291"/>
      <c r="CF126" s="1291"/>
      <c r="CG126" s="1291"/>
      <c r="CH126" s="1762"/>
      <c r="CI126" s="1291"/>
      <c r="CJ126" s="860"/>
      <c r="CK126" s="1233"/>
      <c r="CL126" s="860"/>
      <c r="CM126" s="860"/>
      <c r="CN126" s="860"/>
      <c r="CO126" s="1232"/>
      <c r="CP126" s="1233"/>
      <c r="CQ126" s="860"/>
      <c r="CR126" s="860"/>
      <c r="CS126" s="860"/>
      <c r="CT126" s="1232"/>
      <c r="CU126" s="1233"/>
      <c r="CV126" s="860"/>
      <c r="CW126" s="860"/>
      <c r="CX126" s="860"/>
      <c r="CY126" s="1232"/>
      <c r="CZ126" s="1233"/>
      <c r="DA126" s="860"/>
      <c r="DB126" s="860"/>
      <c r="DC126" s="860"/>
      <c r="DD126" s="1232"/>
      <c r="DE126" s="1233"/>
      <c r="DF126" s="860"/>
      <c r="DG126" s="860"/>
      <c r="DH126" s="860"/>
      <c r="DI126" s="1232"/>
      <c r="DJ126" s="1233"/>
      <c r="DK126" s="860"/>
      <c r="DL126" s="860"/>
      <c r="DM126" s="860"/>
      <c r="DN126" s="1232"/>
      <c r="DO126" s="1233"/>
      <c r="DP126" s="860"/>
      <c r="DQ126" s="860"/>
      <c r="DR126" s="860"/>
      <c r="DS126" s="1232"/>
      <c r="DT126" s="1233"/>
      <c r="DU126" s="860"/>
      <c r="DV126" s="860"/>
      <c r="DW126" s="860"/>
      <c r="DX126" s="1232"/>
      <c r="DY126" s="1233"/>
      <c r="DZ126" s="860"/>
      <c r="EA126" s="860"/>
      <c r="EB126" s="860"/>
      <c r="EC126" s="1232"/>
      <c r="ED126" s="860"/>
      <c r="EE126" s="860"/>
      <c r="EF126" s="860"/>
      <c r="EG126" s="860"/>
      <c r="EH126" s="860"/>
      <c r="EI126" s="1233"/>
      <c r="EJ126" s="860"/>
      <c r="EK126" s="860"/>
      <c r="EL126" s="860"/>
      <c r="EM126" s="1232"/>
      <c r="EN126" s="1233"/>
      <c r="EO126" s="860"/>
      <c r="EP126" s="860"/>
      <c r="EQ126" s="860"/>
      <c r="ER126" s="1232"/>
      <c r="ES126" s="860"/>
      <c r="ET126" s="860"/>
      <c r="EU126" s="860"/>
      <c r="EV126" s="860"/>
      <c r="EW126" s="1232"/>
      <c r="EX126" s="1233"/>
      <c r="EY126" s="860"/>
      <c r="EZ126" s="860"/>
      <c r="FA126" s="860"/>
      <c r="FB126" s="1754"/>
      <c r="FC126" s="1233"/>
      <c r="FD126" s="860"/>
      <c r="FE126" s="860"/>
      <c r="FF126" s="860"/>
      <c r="FG126" s="860"/>
      <c r="FH126" s="860"/>
      <c r="FI126" s="860"/>
      <c r="FJ126" s="860"/>
      <c r="FY126" s="860"/>
      <c r="FZ126" s="860"/>
      <c r="GA126" s="860"/>
      <c r="GB126" s="860"/>
      <c r="GC126" s="860"/>
      <c r="GD126" s="860"/>
      <c r="GE126" s="860"/>
      <c r="GF126" s="860"/>
      <c r="GG126" s="860"/>
      <c r="GH126" s="860"/>
      <c r="GI126" s="860"/>
      <c r="GJ126" s="860"/>
      <c r="GK126" s="860"/>
      <c r="GL126" s="860"/>
      <c r="GM126" s="860"/>
      <c r="GN126" s="860"/>
      <c r="GO126" s="860"/>
      <c r="GP126" s="860"/>
      <c r="GQ126" s="860"/>
      <c r="GR126" s="1241"/>
      <c r="GS126" s="1218"/>
      <c r="GT126" s="1241"/>
      <c r="GU126" s="1218"/>
      <c r="GV126" s="1241"/>
      <c r="GW126" s="1218"/>
      <c r="GX126" s="1218"/>
      <c r="GY126" s="1241"/>
      <c r="GZ126" s="1218"/>
      <c r="HA126" s="1218"/>
      <c r="HB126" s="1241"/>
      <c r="HC126" s="1218"/>
      <c r="HD126" s="2000"/>
      <c r="HE126" s="1299"/>
      <c r="HF126" s="1218"/>
      <c r="HG126" s="2000"/>
      <c r="HH126" s="1241"/>
      <c r="HI126" s="1299"/>
      <c r="HJ126" s="1218"/>
      <c r="HK126" s="2000"/>
      <c r="HL126" s="1299"/>
      <c r="HM126" s="1218"/>
      <c r="HN126" s="2000"/>
      <c r="HO126" s="1299"/>
      <c r="HP126" s="1218"/>
      <c r="HQ126" s="2000"/>
      <c r="HR126" s="1299"/>
    </row>
    <row r="127" spans="1:226">
      <c r="A127" s="1292" t="s">
        <v>52</v>
      </c>
      <c r="B127" s="1233"/>
      <c r="C127" s="860"/>
      <c r="D127" s="860"/>
      <c r="E127" s="860"/>
      <c r="F127" s="1232"/>
      <c r="G127" s="1233"/>
      <c r="H127" s="860"/>
      <c r="I127" s="860"/>
      <c r="J127" s="860"/>
      <c r="K127" s="1232"/>
      <c r="L127" s="1233"/>
      <c r="M127" s="860"/>
      <c r="N127" s="860"/>
      <c r="O127" s="860"/>
      <c r="P127" s="1232"/>
      <c r="Q127" s="1233"/>
      <c r="R127" s="860"/>
      <c r="S127" s="860"/>
      <c r="T127" s="860"/>
      <c r="U127" s="1232"/>
      <c r="V127" s="1233"/>
      <c r="W127" s="860"/>
      <c r="X127" s="860"/>
      <c r="Y127" s="860"/>
      <c r="Z127" s="1261"/>
      <c r="AA127" s="1242"/>
      <c r="AB127" s="1162"/>
      <c r="AC127" s="1162"/>
      <c r="AD127" s="1162"/>
      <c r="AE127" s="1261"/>
      <c r="AF127" s="1242"/>
      <c r="AG127" s="1162"/>
      <c r="AH127" s="1162"/>
      <c r="AI127" s="1162"/>
      <c r="AJ127" s="1261"/>
      <c r="AK127" s="1242"/>
      <c r="AL127" s="1162"/>
      <c r="AM127" s="1162"/>
      <c r="AN127" s="1162"/>
      <c r="AO127" s="1261"/>
      <c r="AP127" s="1242"/>
      <c r="AQ127" s="1162"/>
      <c r="AR127" s="1162"/>
      <c r="AS127" s="1162"/>
      <c r="AT127" s="1261"/>
      <c r="AU127" s="1242"/>
      <c r="AV127" s="1162"/>
      <c r="AW127" s="1162"/>
      <c r="AX127" s="1162"/>
      <c r="AY127" s="1261"/>
      <c r="AZ127" s="1242"/>
      <c r="BA127" s="1162"/>
      <c r="BB127" s="1162"/>
      <c r="BC127" s="1162"/>
      <c r="BD127" s="1261"/>
      <c r="BE127" s="1242"/>
      <c r="BF127" s="1162"/>
      <c r="BG127" s="1162"/>
      <c r="BH127" s="1162"/>
      <c r="BI127" s="1261"/>
      <c r="BJ127" s="1242"/>
      <c r="BK127" s="1162"/>
      <c r="BL127" s="1162"/>
      <c r="BM127" s="1162"/>
      <c r="BN127" s="1261"/>
      <c r="BO127" s="1242"/>
      <c r="BP127" s="1162"/>
      <c r="BQ127" s="1162"/>
      <c r="BR127" s="1162"/>
      <c r="BS127" s="1261"/>
      <c r="BT127" s="1336"/>
      <c r="BU127" s="1291"/>
      <c r="BV127" s="1291"/>
      <c r="BW127" s="1291"/>
      <c r="BX127" s="1341"/>
      <c r="BY127" s="1336"/>
      <c r="BZ127" s="1291"/>
      <c r="CA127" s="1291"/>
      <c r="CB127" s="1291"/>
      <c r="CC127" s="1762"/>
      <c r="CD127" s="1336"/>
      <c r="CE127" s="1291"/>
      <c r="CF127" s="1291"/>
      <c r="CG127" s="1291"/>
      <c r="CH127" s="1762"/>
      <c r="CI127" s="1291"/>
      <c r="CJ127" s="860"/>
      <c r="CK127" s="1233"/>
      <c r="CL127" s="860"/>
      <c r="CM127" s="860"/>
      <c r="CN127" s="860"/>
      <c r="CO127" s="1232"/>
      <c r="CP127" s="1233"/>
      <c r="CQ127" s="860"/>
      <c r="CR127" s="860"/>
      <c r="CS127" s="860"/>
      <c r="CT127" s="1232"/>
      <c r="CU127" s="1233"/>
      <c r="CV127" s="860"/>
      <c r="CW127" s="860"/>
      <c r="CX127" s="860"/>
      <c r="CY127" s="1232"/>
      <c r="CZ127" s="1233"/>
      <c r="DA127" s="860"/>
      <c r="DB127" s="860"/>
      <c r="DC127" s="860"/>
      <c r="DD127" s="1232"/>
      <c r="DE127" s="1233"/>
      <c r="DF127" s="860"/>
      <c r="DG127" s="860"/>
      <c r="DH127" s="860"/>
      <c r="DI127" s="1232"/>
      <c r="DJ127" s="1233"/>
      <c r="DK127" s="860"/>
      <c r="DL127" s="860"/>
      <c r="DM127" s="860"/>
      <c r="DN127" s="1232"/>
      <c r="DO127" s="1233"/>
      <c r="DP127" s="860"/>
      <c r="DQ127" s="860"/>
      <c r="DR127" s="860"/>
      <c r="DS127" s="1232"/>
      <c r="DT127" s="1233"/>
      <c r="DU127" s="860"/>
      <c r="DV127" s="860"/>
      <c r="DW127" s="860"/>
      <c r="DX127" s="1232"/>
      <c r="DY127" s="1233"/>
      <c r="DZ127" s="860"/>
      <c r="EA127" s="860"/>
      <c r="EB127" s="860"/>
      <c r="EC127" s="1232"/>
      <c r="ED127" s="860"/>
      <c r="EE127" s="860"/>
      <c r="EF127" s="860"/>
      <c r="EG127" s="860"/>
      <c r="EH127" s="860"/>
      <c r="EI127" s="1233"/>
      <c r="EJ127" s="860"/>
      <c r="EK127" s="860"/>
      <c r="EL127" s="860"/>
      <c r="EM127" s="1232"/>
      <c r="EN127" s="1233"/>
      <c r="EO127" s="860"/>
      <c r="EP127" s="860"/>
      <c r="EQ127" s="860"/>
      <c r="ER127" s="1232"/>
      <c r="ES127" s="860"/>
      <c r="ET127" s="860"/>
      <c r="EU127" s="860"/>
      <c r="EV127" s="860"/>
      <c r="EW127" s="1232"/>
      <c r="EX127" s="1233"/>
      <c r="EY127" s="860"/>
      <c r="EZ127" s="860"/>
      <c r="FA127" s="860"/>
      <c r="FB127" s="1754"/>
      <c r="FC127" s="1233"/>
      <c r="FD127" s="860"/>
      <c r="FE127" s="860"/>
      <c r="FF127" s="860"/>
      <c r="FG127" s="860"/>
      <c r="FH127" s="860"/>
      <c r="FI127" s="860"/>
      <c r="FJ127" s="860"/>
      <c r="FY127" s="860"/>
      <c r="FZ127" s="860"/>
      <c r="GA127" s="860"/>
      <c r="GB127" s="860"/>
      <c r="GC127" s="860"/>
      <c r="GD127" s="860"/>
      <c r="GE127" s="860"/>
      <c r="GF127" s="860"/>
      <c r="GG127" s="860"/>
      <c r="GH127" s="860"/>
      <c r="GI127" s="860"/>
      <c r="GJ127" s="860"/>
      <c r="GK127" s="860"/>
      <c r="GL127" s="860"/>
      <c r="GM127" s="860"/>
      <c r="GN127" s="860"/>
      <c r="GO127" s="860"/>
      <c r="GP127" s="860"/>
      <c r="GQ127" s="860"/>
      <c r="GR127" s="1241"/>
      <c r="GS127" s="1218"/>
      <c r="GT127" s="1241"/>
      <c r="GU127" s="1218"/>
      <c r="GV127" s="1241"/>
      <c r="GW127" s="1218"/>
      <c r="GX127" s="1218"/>
      <c r="GY127" s="1241"/>
      <c r="GZ127" s="1218"/>
      <c r="HA127" s="1218"/>
      <c r="HB127" s="1241"/>
      <c r="HC127" s="1218"/>
      <c r="HD127" s="2000"/>
      <c r="HE127" s="1299"/>
      <c r="HF127" s="1218"/>
      <c r="HG127" s="2000"/>
      <c r="HH127" s="1241"/>
      <c r="HI127" s="1299"/>
      <c r="HJ127" s="1218"/>
      <c r="HK127" s="2000"/>
      <c r="HL127" s="1299"/>
      <c r="HM127" s="1218"/>
      <c r="HN127" s="2000"/>
      <c r="HO127" s="1299"/>
      <c r="HP127" s="1218"/>
      <c r="HQ127" s="2000"/>
      <c r="HR127" s="1299"/>
    </row>
    <row r="128" spans="1:226">
      <c r="A128" s="1293" t="s">
        <v>33</v>
      </c>
      <c r="B128" s="1354"/>
      <c r="C128" s="1294"/>
      <c r="D128" s="1294"/>
      <c r="E128" s="1294"/>
      <c r="F128" s="1269"/>
      <c r="G128" s="1354"/>
      <c r="H128" s="1294"/>
      <c r="I128" s="1294"/>
      <c r="J128" s="1294"/>
      <c r="K128" s="1269"/>
      <c r="L128" s="1354"/>
      <c r="M128" s="1294"/>
      <c r="N128" s="1294"/>
      <c r="O128" s="1294"/>
      <c r="P128" s="1269"/>
      <c r="Q128" s="1354"/>
      <c r="R128" s="1294"/>
      <c r="S128" s="1294"/>
      <c r="T128" s="1294"/>
      <c r="U128" s="1269"/>
      <c r="V128" s="1354"/>
      <c r="W128" s="1294"/>
      <c r="X128" s="1294"/>
      <c r="Y128" s="1294"/>
      <c r="Z128" s="1335"/>
      <c r="AA128" s="1334" t="s">
        <v>733</v>
      </c>
      <c r="AB128" s="1296" t="s">
        <v>734</v>
      </c>
      <c r="AC128" s="1296" t="s">
        <v>735</v>
      </c>
      <c r="AD128" s="1296" t="s">
        <v>736</v>
      </c>
      <c r="AE128" s="1335"/>
      <c r="AF128" s="1334" t="s">
        <v>737</v>
      </c>
      <c r="AG128" s="1296" t="s">
        <v>738</v>
      </c>
      <c r="AH128" s="1296" t="s">
        <v>739</v>
      </c>
      <c r="AI128" s="1296" t="s">
        <v>740</v>
      </c>
      <c r="AJ128" s="1269"/>
      <c r="AK128" s="1334" t="s">
        <v>741</v>
      </c>
      <c r="AL128" s="1296" t="s">
        <v>742</v>
      </c>
      <c r="AM128" s="1296" t="s">
        <v>743</v>
      </c>
      <c r="AN128" s="1296" t="s">
        <v>744</v>
      </c>
      <c r="AO128" s="1335"/>
      <c r="AP128" s="1334" t="s">
        <v>745</v>
      </c>
      <c r="AQ128" s="1296" t="s">
        <v>746</v>
      </c>
      <c r="AR128" s="1296" t="s">
        <v>747</v>
      </c>
      <c r="AS128" s="1296" t="s">
        <v>748</v>
      </c>
      <c r="AT128" s="1335"/>
      <c r="AU128" s="1334" t="s">
        <v>749</v>
      </c>
      <c r="AV128" s="1296" t="s">
        <v>750</v>
      </c>
      <c r="AW128" s="1296" t="s">
        <v>751</v>
      </c>
      <c r="AX128" s="1296" t="s">
        <v>752</v>
      </c>
      <c r="AY128" s="1335"/>
      <c r="AZ128" s="1334" t="s">
        <v>753</v>
      </c>
      <c r="BA128" s="1296" t="s">
        <v>754</v>
      </c>
      <c r="BB128" s="1296" t="s">
        <v>755</v>
      </c>
      <c r="BC128" s="1296" t="s">
        <v>756</v>
      </c>
      <c r="BD128" s="1335"/>
      <c r="BE128" s="1334" t="s">
        <v>757</v>
      </c>
      <c r="BF128" s="1296" t="s">
        <v>758</v>
      </c>
      <c r="BG128" s="1296" t="s">
        <v>759</v>
      </c>
      <c r="BH128" s="1296" t="s">
        <v>760</v>
      </c>
      <c r="BI128" s="1335"/>
      <c r="BJ128" s="1334" t="s">
        <v>761</v>
      </c>
      <c r="BK128" s="1296" t="s">
        <v>762</v>
      </c>
      <c r="BL128" s="1296" t="s">
        <v>763</v>
      </c>
      <c r="BM128" s="1296" t="s">
        <v>764</v>
      </c>
      <c r="BN128" s="1335"/>
      <c r="BO128" s="1334" t="s">
        <v>765</v>
      </c>
      <c r="BP128" s="1296" t="s">
        <v>766</v>
      </c>
      <c r="BQ128" s="1296" t="s">
        <v>767</v>
      </c>
      <c r="BR128" s="1296" t="s">
        <v>768</v>
      </c>
      <c r="BS128" s="1261"/>
      <c r="BT128" s="1334" t="s">
        <v>859</v>
      </c>
      <c r="BU128" s="1296" t="s">
        <v>860</v>
      </c>
      <c r="BV128" s="1296" t="s">
        <v>861</v>
      </c>
      <c r="BW128" s="1296" t="s">
        <v>862</v>
      </c>
      <c r="BX128" s="1261"/>
      <c r="BY128" s="1348" t="str">
        <f>BY4</f>
        <v>1Q</v>
      </c>
      <c r="BZ128" s="1313" t="str">
        <f>BZ4</f>
        <v>2Q</v>
      </c>
      <c r="CA128" s="1313" t="str">
        <f>CA4</f>
        <v>3Q</v>
      </c>
      <c r="CB128" s="1313" t="str">
        <f>CB4</f>
        <v>4Q</v>
      </c>
      <c r="CC128" s="1775"/>
      <c r="CD128" s="1348" t="str">
        <f>CD4</f>
        <v>1Q</v>
      </c>
      <c r="CE128" s="1313" t="str">
        <f>CE4</f>
        <v>2Q</v>
      </c>
      <c r="CF128" s="1313" t="str">
        <f>CF4</f>
        <v>3Q</v>
      </c>
      <c r="CG128" s="1313" t="str">
        <f>CG4</f>
        <v>4Q</v>
      </c>
      <c r="CH128" s="1775"/>
      <c r="CI128" s="1162"/>
      <c r="CJ128" s="860"/>
      <c r="CK128" s="1233"/>
      <c r="CL128" s="860"/>
      <c r="CM128" s="860"/>
      <c r="CN128" s="860"/>
      <c r="CO128" s="1232"/>
      <c r="CP128" s="1233"/>
      <c r="CQ128" s="860"/>
      <c r="CR128" s="860"/>
      <c r="CS128" s="860"/>
      <c r="CT128" s="1232"/>
      <c r="CU128" s="1233"/>
      <c r="CV128" s="860"/>
      <c r="CW128" s="860"/>
      <c r="CX128" s="860"/>
      <c r="CY128" s="1232"/>
      <c r="CZ128" s="1233"/>
      <c r="DA128" s="860"/>
      <c r="DB128" s="860"/>
      <c r="DC128" s="860"/>
      <c r="DD128" s="1232"/>
      <c r="DE128" s="1233"/>
      <c r="DF128" s="860"/>
      <c r="DG128" s="860"/>
      <c r="DH128" s="860"/>
      <c r="DI128" s="1232"/>
      <c r="DJ128" s="1233"/>
      <c r="DK128" s="860"/>
      <c r="DL128" s="860"/>
      <c r="DM128" s="860"/>
      <c r="DN128" s="1232"/>
      <c r="DO128" s="1233"/>
      <c r="DP128" s="860"/>
      <c r="DQ128" s="860"/>
      <c r="DR128" s="860"/>
      <c r="DS128" s="1232"/>
      <c r="DT128" s="1233"/>
      <c r="DU128" s="860"/>
      <c r="DV128" s="860"/>
      <c r="DW128" s="860"/>
      <c r="DX128" s="1232"/>
      <c r="DY128" s="1233"/>
      <c r="DZ128" s="860"/>
      <c r="EA128" s="860"/>
      <c r="EB128" s="860"/>
      <c r="EC128" s="1232"/>
      <c r="ED128" s="860"/>
      <c r="EE128" s="860"/>
      <c r="EF128" s="860"/>
      <c r="EG128" s="860"/>
      <c r="EH128" s="860"/>
      <c r="EI128" s="1233"/>
      <c r="EJ128" s="860"/>
      <c r="EK128" s="860"/>
      <c r="EL128" s="860"/>
      <c r="EM128" s="1232"/>
      <c r="EN128" s="1233"/>
      <c r="EO128" s="860"/>
      <c r="EP128" s="860"/>
      <c r="EQ128" s="860"/>
      <c r="ER128" s="1232"/>
      <c r="ES128" s="860"/>
      <c r="ET128" s="860"/>
      <c r="EU128" s="860"/>
      <c r="EV128" s="860"/>
      <c r="EW128" s="1232"/>
      <c r="EX128" s="1233"/>
      <c r="EY128" s="860"/>
      <c r="EZ128" s="860"/>
      <c r="FA128" s="860"/>
      <c r="FB128" s="1754"/>
      <c r="FC128" s="1233"/>
      <c r="FD128" s="860"/>
      <c r="FE128" s="860"/>
      <c r="FF128" s="860"/>
      <c r="FG128" s="860"/>
      <c r="FH128" s="860"/>
      <c r="FI128" s="860"/>
      <c r="FJ128" s="860"/>
      <c r="FY128" s="860"/>
      <c r="FZ128" s="860"/>
      <c r="GA128" s="860"/>
      <c r="GB128" s="860"/>
      <c r="GC128" s="860"/>
      <c r="GD128" s="860"/>
      <c r="GE128" s="860"/>
      <c r="GF128" s="860"/>
      <c r="GG128" s="860"/>
      <c r="GH128" s="860"/>
      <c r="GI128" s="860"/>
      <c r="GJ128" s="860"/>
      <c r="GK128" s="860"/>
      <c r="GL128" s="860"/>
      <c r="GM128" s="860"/>
      <c r="GN128" s="860"/>
      <c r="GO128" s="860"/>
      <c r="GP128" s="860"/>
      <c r="GQ128" s="860"/>
      <c r="GR128" s="1638" t="s">
        <v>763</v>
      </c>
      <c r="GS128" s="1218"/>
      <c r="GT128" s="1297" t="s">
        <v>768</v>
      </c>
      <c r="GU128" s="1218"/>
      <c r="GV128" s="1638" t="s">
        <v>765</v>
      </c>
      <c r="GW128" s="1218"/>
      <c r="GX128" s="1218"/>
      <c r="GY128" s="1638" t="s">
        <v>766</v>
      </c>
      <c r="GZ128" s="1218"/>
      <c r="HA128" s="1218"/>
      <c r="HB128" s="1638" t="s">
        <v>767</v>
      </c>
      <c r="HC128" s="1218"/>
      <c r="HD128" s="2000"/>
      <c r="HE128" s="1297" t="s">
        <v>768</v>
      </c>
      <c r="HF128" s="1218"/>
      <c r="HG128" s="2000"/>
      <c r="HH128" s="1241"/>
      <c r="HI128" s="1638" t="s">
        <v>766</v>
      </c>
      <c r="HJ128" s="1218"/>
      <c r="HK128" s="2000"/>
      <c r="HL128" s="1640" t="s">
        <v>690</v>
      </c>
      <c r="HM128" s="1218"/>
      <c r="HN128" s="2000"/>
      <c r="HO128" s="1640" t="s">
        <v>8073</v>
      </c>
      <c r="HP128" s="1218"/>
      <c r="HQ128" s="2000"/>
      <c r="HR128" s="1315" t="s">
        <v>688</v>
      </c>
    </row>
    <row r="129" spans="1:226">
      <c r="A129" s="1290" t="s">
        <v>769</v>
      </c>
      <c r="B129" s="1233"/>
      <c r="C129" s="860"/>
      <c r="D129" s="860"/>
      <c r="E129" s="860"/>
      <c r="F129" s="1232"/>
      <c r="G129" s="1233"/>
      <c r="H129" s="860"/>
      <c r="I129" s="860"/>
      <c r="J129" s="860"/>
      <c r="K129" s="1232"/>
      <c r="L129" s="1233"/>
      <c r="M129" s="860"/>
      <c r="N129" s="860"/>
      <c r="O129" s="860"/>
      <c r="P129" s="1232"/>
      <c r="Q129" s="1233"/>
      <c r="R129" s="860"/>
      <c r="S129" s="860"/>
      <c r="T129" s="860"/>
      <c r="U129" s="1232"/>
      <c r="V129" s="1233"/>
      <c r="W129" s="860"/>
      <c r="X129" s="860"/>
      <c r="Y129" s="860"/>
      <c r="Z129" s="1261"/>
      <c r="AA129" s="1350">
        <v>5687</v>
      </c>
      <c r="AB129" s="1298">
        <v>5912.4</v>
      </c>
      <c r="AC129" s="1298">
        <v>6182.4</v>
      </c>
      <c r="AD129" s="1298">
        <f>24279.5-AA129-AB129-AC129</f>
        <v>6497.7000000000007</v>
      </c>
      <c r="AE129" s="1341">
        <f>SUM(AA129:AD129)</f>
        <v>24279.5</v>
      </c>
      <c r="AF129" s="1350">
        <v>6674</v>
      </c>
      <c r="AG129" s="1298">
        <v>6773.6</v>
      </c>
      <c r="AH129" s="1298">
        <v>6932.7</v>
      </c>
      <c r="AI129" s="1298">
        <f>27517-AF129-AG129-AH129</f>
        <v>7136.7</v>
      </c>
      <c r="AJ129" s="1341">
        <f>SUM(AF129:AI129)</f>
        <v>27517</v>
      </c>
      <c r="AK129" s="1350">
        <v>7018.3</v>
      </c>
      <c r="AL129" s="1298">
        <v>7069.3</v>
      </c>
      <c r="AM129" s="1298">
        <v>7303.4</v>
      </c>
      <c r="AN129" s="1298">
        <f>29067.9-AK129-AL129-AM129</f>
        <v>7676.9000000000033</v>
      </c>
      <c r="AO129" s="1341">
        <f>SUM(AK129:AN129)</f>
        <v>29067.9</v>
      </c>
      <c r="AP129" s="1350">
        <v>7691.4</v>
      </c>
      <c r="AQ129" s="1298">
        <v>7869</v>
      </c>
      <c r="AR129" s="1298">
        <v>8220.9</v>
      </c>
      <c r="AS129" s="1298">
        <f>32279.8-AP129-AQ129-AR129</f>
        <v>8498.5000000000018</v>
      </c>
      <c r="AT129" s="1341">
        <f>SUM(AP129:AS129)</f>
        <v>32279.800000000003</v>
      </c>
      <c r="AU129" s="1350">
        <v>8874.2000000000007</v>
      </c>
      <c r="AV129" s="1298">
        <v>9216.7999999999993</v>
      </c>
      <c r="AW129" s="1298">
        <v>9603.7999999999993</v>
      </c>
      <c r="AX129" s="1298">
        <v>9800.9</v>
      </c>
      <c r="AY129" s="1341">
        <f>SUM(AU129:AX129)</f>
        <v>37495.699999999997</v>
      </c>
      <c r="AZ129" s="1350">
        <v>9755.7999999999993</v>
      </c>
      <c r="BA129" s="1298">
        <v>9928.9</v>
      </c>
      <c r="BB129" s="1298">
        <v>10227.4</v>
      </c>
      <c r="BC129" s="1298">
        <v>10529.4</v>
      </c>
      <c r="BD129" s="1341">
        <f>SUM(AZ129:BC129)</f>
        <v>40441.5</v>
      </c>
      <c r="BE129" s="1350">
        <v>10465.4</v>
      </c>
      <c r="BF129" s="1298">
        <v>10564.7</v>
      </c>
      <c r="BG129" s="1298">
        <v>10823</v>
      </c>
      <c r="BH129" s="1298">
        <v>11036.9</v>
      </c>
      <c r="BI129" s="1341">
        <f>SUM(BE129:BH129)</f>
        <v>42890</v>
      </c>
      <c r="BJ129" s="1350">
        <v>10820.6</v>
      </c>
      <c r="BK129" s="1298">
        <v>10965.6</v>
      </c>
      <c r="BL129" s="1298">
        <v>11034</v>
      </c>
      <c r="BM129" s="1298">
        <v>11138.2</v>
      </c>
      <c r="BN129" s="1341">
        <f>SUM(BJ129:BM129)</f>
        <v>43958.399999999994</v>
      </c>
      <c r="BO129" s="1350">
        <v>11255.2</v>
      </c>
      <c r="BP129" s="1298">
        <v>11438.8</v>
      </c>
      <c r="BQ129" s="1298">
        <v>11230.5</v>
      </c>
      <c r="BR129" s="1298">
        <v>11108.7</v>
      </c>
      <c r="BS129" s="1341">
        <f>SUM(BO129:BR129)</f>
        <v>45033.2</v>
      </c>
      <c r="BT129" s="1350">
        <v>10844.4</v>
      </c>
      <c r="BU129" s="1298">
        <v>10871.5</v>
      </c>
      <c r="BV129" s="1298">
        <v>10654.5</v>
      </c>
      <c r="BW129" s="1298">
        <v>10633.2</v>
      </c>
      <c r="BX129" s="1341">
        <f>SUM(BT129:BW129)</f>
        <v>43003.600000000006</v>
      </c>
      <c r="BY129" s="1350">
        <v>10521.2</v>
      </c>
      <c r="BZ129" s="1298">
        <v>10538</v>
      </c>
      <c r="CA129" s="1298">
        <v>10580.8</v>
      </c>
      <c r="CB129" s="1982">
        <v>10561</v>
      </c>
      <c r="CC129" s="1341">
        <f>SUM(BY129:CB129)</f>
        <v>42201</v>
      </c>
      <c r="CD129" s="1983">
        <v>10611.9</v>
      </c>
      <c r="CE129" s="1291">
        <f>CE15</f>
        <v>10650</v>
      </c>
      <c r="CF129" s="1291">
        <f t="shared" ref="CF129:CG129" si="188">CF15</f>
        <v>10675</v>
      </c>
      <c r="CG129" s="1291">
        <f t="shared" si="188"/>
        <v>10708.697599999992</v>
      </c>
      <c r="CH129" s="1772"/>
      <c r="CI129" s="1162"/>
      <c r="CJ129" s="860"/>
      <c r="CK129" s="1233"/>
      <c r="CL129" s="860"/>
      <c r="CM129" s="860"/>
      <c r="CN129" s="860"/>
      <c r="CO129" s="1232"/>
      <c r="CP129" s="1233"/>
      <c r="CQ129" s="860"/>
      <c r="CR129" s="860"/>
      <c r="CS129" s="860"/>
      <c r="CT129" s="1232"/>
      <c r="CU129" s="1233"/>
      <c r="CV129" s="860"/>
      <c r="CW129" s="860"/>
      <c r="CX129" s="860"/>
      <c r="CY129" s="1232"/>
      <c r="CZ129" s="1233"/>
      <c r="DA129" s="860"/>
      <c r="DB129" s="860"/>
      <c r="DC129" s="860"/>
      <c r="DD129" s="1232"/>
      <c r="DE129" s="1242">
        <f t="shared" ref="DE129:DH131" si="189">AF129/AA129-1</f>
        <v>0.17355371900826455</v>
      </c>
      <c r="DF129" s="1162">
        <f t="shared" si="189"/>
        <v>0.14565996887896637</v>
      </c>
      <c r="DG129" s="1162">
        <f t="shared" si="189"/>
        <v>0.12136063664596275</v>
      </c>
      <c r="DH129" s="1162">
        <f t="shared" si="189"/>
        <v>9.834249041968679E-2</v>
      </c>
      <c r="DI129" s="1232"/>
      <c r="DJ129" s="1242">
        <f t="shared" ref="DJ129:DM131" si="190">AK129/AF129-1</f>
        <v>5.1588252921786149E-2</v>
      </c>
      <c r="DK129" s="1162">
        <f t="shared" si="190"/>
        <v>4.3654777370969677E-2</v>
      </c>
      <c r="DL129" s="1162">
        <f t="shared" si="190"/>
        <v>5.3471230545097947E-2</v>
      </c>
      <c r="DM129" s="1162">
        <f t="shared" si="190"/>
        <v>7.5693247579413869E-2</v>
      </c>
      <c r="DN129" s="1232"/>
      <c r="DO129" s="1242">
        <f t="shared" ref="DO129:DR131" si="191">AP129/AK129-1</f>
        <v>9.5906416083666901E-2</v>
      </c>
      <c r="DP129" s="1162">
        <f t="shared" si="191"/>
        <v>0.1131229400364957</v>
      </c>
      <c r="DQ129" s="1162">
        <f t="shared" si="191"/>
        <v>0.12562642057124074</v>
      </c>
      <c r="DR129" s="1162">
        <f t="shared" si="191"/>
        <v>0.10702236579869462</v>
      </c>
      <c r="DS129" s="1232"/>
      <c r="DT129" s="1242">
        <f t="shared" ref="DT129:DW131" si="192">AU129/AP129-1</f>
        <v>0.1537821462932627</v>
      </c>
      <c r="DU129" s="1162">
        <f t="shared" si="192"/>
        <v>0.1712797051721946</v>
      </c>
      <c r="DV129" s="1162">
        <f t="shared" si="192"/>
        <v>0.16821759174786211</v>
      </c>
      <c r="DW129" s="1162">
        <f t="shared" si="192"/>
        <v>0.15325057363064043</v>
      </c>
      <c r="DX129" s="1232"/>
      <c r="DY129" s="1242">
        <f t="shared" ref="DY129:EB131" si="193">AZ129/AU129-1</f>
        <v>9.9344166234702769E-2</v>
      </c>
      <c r="DZ129" s="1162">
        <f t="shared" si="193"/>
        <v>7.7261088447183379E-2</v>
      </c>
      <c r="EA129" s="1162">
        <f t="shared" si="193"/>
        <v>6.4932630833628435E-2</v>
      </c>
      <c r="EB129" s="1162">
        <f t="shared" si="193"/>
        <v>7.4329908477792861E-2</v>
      </c>
      <c r="EC129" s="1232"/>
      <c r="ED129" s="860"/>
      <c r="EE129" s="860"/>
      <c r="EF129" s="860"/>
      <c r="EG129" s="860"/>
      <c r="EH129" s="860"/>
      <c r="EI129" s="1233"/>
      <c r="EJ129" s="860"/>
      <c r="EK129" s="860"/>
      <c r="EL129" s="860"/>
      <c r="EM129" s="1232"/>
      <c r="EN129" s="1242">
        <f t="shared" ref="EN129:EQ131" si="194">BO129/BJ129-1</f>
        <v>4.0164131379036405E-2</v>
      </c>
      <c r="EO129" s="1162">
        <f t="shared" si="194"/>
        <v>4.3153133435470892E-2</v>
      </c>
      <c r="EP129" s="1162">
        <f t="shared" si="194"/>
        <v>1.7808591625883663E-2</v>
      </c>
      <c r="EQ129" s="1162">
        <f t="shared" si="194"/>
        <v>-2.6485428525255816E-3</v>
      </c>
      <c r="ER129" s="1232"/>
      <c r="ES129" s="1242">
        <f t="shared" ref="ES129:EV131" si="195">BT129/BO129-1</f>
        <v>-3.649868505224263E-2</v>
      </c>
      <c r="ET129" s="1162">
        <f t="shared" si="195"/>
        <v>-4.9594363045074585E-2</v>
      </c>
      <c r="EU129" s="1162">
        <f t="shared" si="195"/>
        <v>-5.1288900761319645E-2</v>
      </c>
      <c r="EV129" s="1162">
        <f t="shared" si="195"/>
        <v>-4.2804288530611134E-2</v>
      </c>
      <c r="EW129" s="1232"/>
      <c r="EX129" s="1242">
        <f t="shared" ref="EX129:EZ131" si="196">BY129/BT129-1</f>
        <v>-2.9803400833609883E-2</v>
      </c>
      <c r="EY129" s="1217">
        <f t="shared" si="196"/>
        <v>-3.0676539575955508E-2</v>
      </c>
      <c r="EZ129" s="1217">
        <f t="shared" si="196"/>
        <v>-6.9172650053967999E-3</v>
      </c>
      <c r="FA129" s="1984">
        <v>-6.0000000000000001E-3</v>
      </c>
      <c r="FB129" s="1754"/>
      <c r="FC129" s="1985">
        <v>8.9999999999999993E-3</v>
      </c>
      <c r="FD129" s="1217">
        <f t="shared" ref="FD129:FD131" si="197">CE129/BZ129-1</f>
        <v>1.0628202695008637E-2</v>
      </c>
      <c r="FE129" s="1217">
        <f t="shared" ref="FE129:FF131" si="198">CF129/CA129-1</f>
        <v>8.902918493875811E-3</v>
      </c>
      <c r="FF129" s="1217">
        <f t="shared" si="198"/>
        <v>1.398519079632532E-2</v>
      </c>
      <c r="FG129" s="1162"/>
      <c r="FH129" s="1957">
        <v>-6.0000000000000001E-3</v>
      </c>
      <c r="FI129" s="860"/>
      <c r="FJ129" s="860"/>
      <c r="FY129" s="860"/>
      <c r="FZ129" s="860"/>
      <c r="GA129" s="860"/>
      <c r="GB129" s="860"/>
      <c r="GC129" s="860"/>
      <c r="GD129" s="860"/>
      <c r="GE129" s="860"/>
      <c r="GF129" s="860"/>
      <c r="GG129" s="860"/>
      <c r="GH129" s="860"/>
      <c r="GI129" s="860"/>
      <c r="GJ129" s="860"/>
      <c r="GK129" s="860"/>
      <c r="GL129" s="860"/>
      <c r="GM129" s="860"/>
      <c r="GN129" s="860"/>
      <c r="GO129" s="860"/>
      <c r="GP129" s="860"/>
      <c r="GQ129" s="860"/>
      <c r="GR129" s="1299">
        <v>11420.189999999999</v>
      </c>
      <c r="GS129" s="1218"/>
      <c r="GT129" s="1299">
        <v>11305.272999999999</v>
      </c>
      <c r="GU129" s="1218"/>
      <c r="GV129" s="1299">
        <v>11300</v>
      </c>
      <c r="GW129" s="1218"/>
      <c r="GX129" s="1218"/>
      <c r="GY129" s="1299">
        <v>11000</v>
      </c>
      <c r="GZ129" s="1218"/>
      <c r="HA129" s="1218"/>
      <c r="HB129" s="1299">
        <v>11250</v>
      </c>
      <c r="HC129" s="1218"/>
      <c r="HD129" s="2000"/>
      <c r="HE129" s="1299">
        <v>10900</v>
      </c>
      <c r="HF129" s="1218"/>
      <c r="HG129" s="2000"/>
      <c r="HH129" s="1241"/>
      <c r="HI129" s="1299"/>
      <c r="HJ129" s="1218"/>
      <c r="HK129" s="2000"/>
      <c r="HL129" s="1299"/>
      <c r="HM129" s="1218"/>
      <c r="HN129" s="2000"/>
      <c r="HO129" s="1299"/>
      <c r="HP129" s="1218"/>
      <c r="HQ129" s="2000"/>
      <c r="HR129" s="1299">
        <v>10611.9</v>
      </c>
    </row>
    <row r="130" spans="1:226">
      <c r="A130" s="1290" t="s">
        <v>770</v>
      </c>
      <c r="B130" s="1233"/>
      <c r="C130" s="860"/>
      <c r="D130" s="860"/>
      <c r="E130" s="860"/>
      <c r="F130" s="1232"/>
      <c r="G130" s="1233"/>
      <c r="H130" s="860"/>
      <c r="I130" s="860"/>
      <c r="J130" s="860"/>
      <c r="K130" s="1232"/>
      <c r="L130" s="1233"/>
      <c r="M130" s="860"/>
      <c r="N130" s="860"/>
      <c r="O130" s="860"/>
      <c r="P130" s="1232"/>
      <c r="Q130" s="1233"/>
      <c r="R130" s="860"/>
      <c r="S130" s="860"/>
      <c r="T130" s="860"/>
      <c r="U130" s="1232"/>
      <c r="V130" s="1233"/>
      <c r="W130" s="860"/>
      <c r="X130" s="860"/>
      <c r="Y130" s="860"/>
      <c r="Z130" s="1261"/>
      <c r="AA130" s="1350">
        <v>1209</v>
      </c>
      <c r="AB130" s="1298">
        <v>1222.8</v>
      </c>
      <c r="AC130" s="1298">
        <v>1340.3</v>
      </c>
      <c r="AD130" s="1298">
        <f>5072.6-AA130-AB130-AC130</f>
        <v>1300.5000000000002</v>
      </c>
      <c r="AE130" s="1341">
        <f>SUM(AA130:AD130)</f>
        <v>5072.6000000000004</v>
      </c>
      <c r="AF130" s="1350">
        <v>1301</v>
      </c>
      <c r="AG130" s="1298">
        <v>1321.7</v>
      </c>
      <c r="AH130" s="1298">
        <v>1518.6</v>
      </c>
      <c r="AI130" s="1298">
        <f>5654.6-AF130-AG130-AH130</f>
        <v>1513.3000000000006</v>
      </c>
      <c r="AJ130" s="1341">
        <f>SUM(AF130:AI130)</f>
        <v>5654.6</v>
      </c>
      <c r="AK130" s="1350">
        <v>1327.2</v>
      </c>
      <c r="AL130" s="1298">
        <v>1321.9</v>
      </c>
      <c r="AM130" s="1298">
        <v>1303.4000000000001</v>
      </c>
      <c r="AN130" s="1298">
        <f>5218.5-AK130-AL130-AM130</f>
        <v>1266</v>
      </c>
      <c r="AO130" s="1341">
        <f>SUM(AK130:AN130)</f>
        <v>5218.5</v>
      </c>
      <c r="AP130" s="1350">
        <v>1273.8</v>
      </c>
      <c r="AQ130" s="1298">
        <v>1300.2</v>
      </c>
      <c r="AR130" s="1298">
        <v>1358.2</v>
      </c>
      <c r="AS130" s="1298">
        <f>5341-AP130-AQ130-AR130</f>
        <v>1408.8</v>
      </c>
      <c r="AT130" s="1341">
        <f>SUM(AP130:AS130)</f>
        <v>5341</v>
      </c>
      <c r="AU130" s="1350">
        <v>1393.1</v>
      </c>
      <c r="AV130" s="1298">
        <v>1412.8</v>
      </c>
      <c r="AW130" s="1298">
        <v>1437.7</v>
      </c>
      <c r="AX130" s="1298">
        <v>1631</v>
      </c>
      <c r="AY130" s="1341">
        <f>SUM(AU130:AX130)</f>
        <v>5874.5999999999995</v>
      </c>
      <c r="AZ130" s="1350">
        <v>1482.8</v>
      </c>
      <c r="BA130" s="1298">
        <v>1789</v>
      </c>
      <c r="BB130" s="1298">
        <v>1734</v>
      </c>
      <c r="BC130" s="1298">
        <v>1778.1</v>
      </c>
      <c r="BD130" s="1341">
        <f>SUM(AZ130:BC130)</f>
        <v>6783.9</v>
      </c>
      <c r="BE130" s="1350">
        <v>1700.3</v>
      </c>
      <c r="BF130" s="1298">
        <v>1865.1</v>
      </c>
      <c r="BG130" s="1298">
        <v>1744.4</v>
      </c>
      <c r="BH130" s="1298">
        <v>1962.3000000000009</v>
      </c>
      <c r="BI130" s="1341">
        <f>SUM(BE130:BH130)</f>
        <v>7272.1</v>
      </c>
      <c r="BJ130" s="1350">
        <v>1528.4</v>
      </c>
      <c r="BK130" s="1298">
        <v>1515.2</v>
      </c>
      <c r="BL130" s="1298">
        <v>1811</v>
      </c>
      <c r="BM130" s="1298">
        <v>1867.1</v>
      </c>
      <c r="BN130" s="1341">
        <f>SUM(BJ130:BM130)</f>
        <v>6721.7000000000007</v>
      </c>
      <c r="BO130" s="1350">
        <v>1466.5</v>
      </c>
      <c r="BP130" s="1298">
        <v>1394</v>
      </c>
      <c r="BQ130" s="1298">
        <v>1376.1</v>
      </c>
      <c r="BR130" s="1298">
        <v>1567.1</v>
      </c>
      <c r="BS130" s="1341">
        <f>SUM(BO130:BR130)</f>
        <v>5803.7000000000007</v>
      </c>
      <c r="BT130" s="1350">
        <v>1064.3</v>
      </c>
      <c r="BU130" s="1298">
        <v>1033.3</v>
      </c>
      <c r="BV130" s="1298">
        <v>1020.9</v>
      </c>
      <c r="BW130" s="1298">
        <v>1271</v>
      </c>
      <c r="BX130" s="1341">
        <f>SUM(BT130:BW130)</f>
        <v>4389.5</v>
      </c>
      <c r="BY130" s="1350">
        <v>1016.5</v>
      </c>
      <c r="BZ130" s="1298">
        <v>1064</v>
      </c>
      <c r="CA130" s="1298">
        <v>1099</v>
      </c>
      <c r="CB130" s="1982">
        <v>1188.5999999999999</v>
      </c>
      <c r="CC130" s="1341">
        <f>SUM(BY130:CB130)</f>
        <v>4368.1000000000004</v>
      </c>
      <c r="CD130" s="1983">
        <v>1284.7</v>
      </c>
      <c r="CE130" s="1291">
        <f>CE17</f>
        <v>1200</v>
      </c>
      <c r="CF130" s="1291">
        <f t="shared" ref="CF130:CG130" si="199">CF17</f>
        <v>1200</v>
      </c>
      <c r="CG130" s="1291">
        <f t="shared" si="199"/>
        <v>1206.0950000000003</v>
      </c>
      <c r="CH130" s="1757"/>
      <c r="CI130" s="1162"/>
      <c r="CJ130" s="860"/>
      <c r="CK130" s="1233"/>
      <c r="CL130" s="860"/>
      <c r="CM130" s="860"/>
      <c r="CN130" s="860"/>
      <c r="CO130" s="1232"/>
      <c r="CP130" s="1233"/>
      <c r="CQ130" s="860"/>
      <c r="CR130" s="860"/>
      <c r="CS130" s="860"/>
      <c r="CT130" s="1232"/>
      <c r="CU130" s="1233"/>
      <c r="CV130" s="860"/>
      <c r="CW130" s="860"/>
      <c r="CX130" s="860"/>
      <c r="CY130" s="1232"/>
      <c r="CZ130" s="1233"/>
      <c r="DA130" s="860"/>
      <c r="DB130" s="860"/>
      <c r="DC130" s="860"/>
      <c r="DD130" s="1232"/>
      <c r="DE130" s="1510">
        <f t="shared" si="189"/>
        <v>7.6095947063689051E-2</v>
      </c>
      <c r="DF130" s="1295">
        <f t="shared" si="189"/>
        <v>8.0879947661105733E-2</v>
      </c>
      <c r="DG130" s="1295">
        <f t="shared" si="189"/>
        <v>0.13302991867492353</v>
      </c>
      <c r="DH130" s="1295">
        <f t="shared" si="189"/>
        <v>0.16362937331795502</v>
      </c>
      <c r="DI130" s="1232"/>
      <c r="DJ130" s="1510">
        <f t="shared" si="190"/>
        <v>2.0138355111452677E-2</v>
      </c>
      <c r="DK130" s="1295">
        <f t="shared" si="190"/>
        <v>1.5132026935016363E-4</v>
      </c>
      <c r="DL130" s="1295">
        <f t="shared" si="190"/>
        <v>-0.14170946924799144</v>
      </c>
      <c r="DM130" s="1295">
        <f t="shared" si="190"/>
        <v>-0.16341769642503179</v>
      </c>
      <c r="DN130" s="1232"/>
      <c r="DO130" s="1510">
        <f t="shared" si="191"/>
        <v>-4.0235081374321968E-2</v>
      </c>
      <c r="DP130" s="1295">
        <f t="shared" si="191"/>
        <v>-1.6415765186474029E-2</v>
      </c>
      <c r="DQ130" s="1295">
        <f t="shared" si="191"/>
        <v>4.2043885223262301E-2</v>
      </c>
      <c r="DR130" s="1295">
        <f t="shared" si="191"/>
        <v>0.11279620853080563</v>
      </c>
      <c r="DS130" s="1232"/>
      <c r="DT130" s="1510">
        <f t="shared" si="192"/>
        <v>9.3656775003925219E-2</v>
      </c>
      <c r="DU130" s="1295">
        <f t="shared" si="192"/>
        <v>8.6602061221350501E-2</v>
      </c>
      <c r="DV130" s="1295">
        <f t="shared" si="192"/>
        <v>5.8533352967162333E-2</v>
      </c>
      <c r="DW130" s="1295">
        <f t="shared" si="192"/>
        <v>0.1577228847245884</v>
      </c>
      <c r="DX130" s="1232"/>
      <c r="DY130" s="1510">
        <f t="shared" si="193"/>
        <v>6.4388773239537844E-2</v>
      </c>
      <c r="DZ130" s="1295">
        <f t="shared" si="193"/>
        <v>0.26627972819932055</v>
      </c>
      <c r="EA130" s="1295">
        <f t="shared" si="193"/>
        <v>0.20609306531265204</v>
      </c>
      <c r="EB130" s="1295">
        <f t="shared" si="193"/>
        <v>9.0190067443286281E-2</v>
      </c>
      <c r="EC130" s="1232"/>
      <c r="ED130" s="860"/>
      <c r="EE130" s="860"/>
      <c r="EF130" s="860"/>
      <c r="EG130" s="860"/>
      <c r="EH130" s="860"/>
      <c r="EI130" s="1233"/>
      <c r="EJ130" s="860"/>
      <c r="EK130" s="860"/>
      <c r="EL130" s="860"/>
      <c r="EM130" s="1232"/>
      <c r="EN130" s="1242">
        <f t="shared" si="194"/>
        <v>-4.0499869144203116E-2</v>
      </c>
      <c r="EO130" s="1162">
        <f t="shared" si="194"/>
        <v>-7.9989440337909223E-2</v>
      </c>
      <c r="EP130" s="1162">
        <f t="shared" si="194"/>
        <v>-0.24014356709000562</v>
      </c>
      <c r="EQ130" s="1162">
        <f t="shared" si="194"/>
        <v>-0.16067698569974831</v>
      </c>
      <c r="ER130" s="1232"/>
      <c r="ES130" s="1242">
        <f t="shared" si="195"/>
        <v>-0.27425843845891584</v>
      </c>
      <c r="ET130" s="1162">
        <f t="shared" si="195"/>
        <v>-0.25875179340028698</v>
      </c>
      <c r="EU130" s="1162">
        <f t="shared" si="195"/>
        <v>-0.25812077610638762</v>
      </c>
      <c r="EV130" s="1162">
        <f t="shared" si="195"/>
        <v>-0.18894773785974084</v>
      </c>
      <c r="EW130" s="1232"/>
      <c r="EX130" s="1242">
        <f t="shared" si="196"/>
        <v>-4.4912148830216991E-2</v>
      </c>
      <c r="EY130" s="1217">
        <f t="shared" si="196"/>
        <v>2.9710635826962095E-2</v>
      </c>
      <c r="EZ130" s="1217">
        <f t="shared" si="196"/>
        <v>7.6501126457047652E-2</v>
      </c>
      <c r="FA130" s="1984">
        <v>-4.2000000000000003E-2</v>
      </c>
      <c r="FB130" s="1754"/>
      <c r="FC130" s="1985">
        <v>0.3</v>
      </c>
      <c r="FD130" s="1217">
        <f t="shared" si="197"/>
        <v>0.1278195488721805</v>
      </c>
      <c r="FE130" s="1217">
        <f t="shared" si="198"/>
        <v>9.1901728844403952E-2</v>
      </c>
      <c r="FF130" s="1217">
        <f t="shared" si="198"/>
        <v>1.4718997139492096E-2</v>
      </c>
      <c r="FG130" s="1162"/>
      <c r="FH130" s="1957">
        <v>-4.2000000000000003E-2</v>
      </c>
      <c r="FI130" s="860"/>
      <c r="FJ130" s="860"/>
      <c r="FY130" s="860"/>
      <c r="FZ130" s="860"/>
      <c r="GA130" s="860"/>
      <c r="GB130" s="860"/>
      <c r="GC130" s="860"/>
      <c r="GD130" s="860"/>
      <c r="GE130" s="860"/>
      <c r="GF130" s="860"/>
      <c r="GG130" s="860"/>
      <c r="GH130" s="860"/>
      <c r="GI130" s="860"/>
      <c r="GJ130" s="860"/>
      <c r="GK130" s="860"/>
      <c r="GL130" s="860"/>
      <c r="GM130" s="860"/>
      <c r="GN130" s="860"/>
      <c r="GO130" s="860"/>
      <c r="GP130" s="860"/>
      <c r="GQ130" s="860"/>
      <c r="GR130" s="1299">
        <v>1629.9</v>
      </c>
      <c r="GS130" s="1218"/>
      <c r="GT130" s="1299">
        <v>1717.732</v>
      </c>
      <c r="GU130" s="1218"/>
      <c r="GV130" s="1299">
        <v>1393.175</v>
      </c>
      <c r="GW130" s="1218"/>
      <c r="GX130" s="1218"/>
      <c r="GY130" s="1299">
        <v>1050</v>
      </c>
      <c r="GZ130" s="1218"/>
      <c r="HA130" s="1218"/>
      <c r="HB130" s="1299">
        <v>850</v>
      </c>
      <c r="HC130" s="1218"/>
      <c r="HD130" s="2000"/>
      <c r="HE130" s="1299">
        <v>1071.5312499999982</v>
      </c>
      <c r="HF130" s="1218"/>
      <c r="HG130" s="2000"/>
      <c r="HH130" s="1241"/>
      <c r="HI130" s="1299"/>
      <c r="HJ130" s="1218"/>
      <c r="HK130" s="2000"/>
      <c r="HL130" s="1299"/>
      <c r="HM130" s="1218"/>
      <c r="HN130" s="2000"/>
      <c r="HO130" s="1299"/>
      <c r="HP130" s="1218"/>
      <c r="HQ130" s="2000"/>
      <c r="HR130" s="1299">
        <v>1284.7</v>
      </c>
    </row>
    <row r="131" spans="1:226">
      <c r="A131" s="1300" t="s">
        <v>771</v>
      </c>
      <c r="B131" s="1668"/>
      <c r="C131" s="1271"/>
      <c r="D131" s="1271"/>
      <c r="E131" s="1271"/>
      <c r="F131" s="1418"/>
      <c r="G131" s="1668"/>
      <c r="H131" s="1271"/>
      <c r="I131" s="1271"/>
      <c r="J131" s="1271"/>
      <c r="K131" s="1418"/>
      <c r="L131" s="1668"/>
      <c r="M131" s="1271"/>
      <c r="N131" s="1271"/>
      <c r="O131" s="1271"/>
      <c r="P131" s="1418"/>
      <c r="Q131" s="1668"/>
      <c r="R131" s="1271"/>
      <c r="S131" s="1271"/>
      <c r="T131" s="1271"/>
      <c r="U131" s="1418"/>
      <c r="V131" s="1668"/>
      <c r="W131" s="1271"/>
      <c r="X131" s="1271"/>
      <c r="Y131" s="1271"/>
      <c r="Z131" s="1338"/>
      <c r="AA131" s="1337">
        <f>AA129+AA130</f>
        <v>6896</v>
      </c>
      <c r="AB131" s="1302">
        <f>AB129+AB130</f>
        <v>7135.2</v>
      </c>
      <c r="AC131" s="1302">
        <f>AC129+AC130</f>
        <v>7522.7</v>
      </c>
      <c r="AD131" s="1302">
        <f>AD129+AD130</f>
        <v>7798.2000000000007</v>
      </c>
      <c r="AE131" s="1351"/>
      <c r="AF131" s="1337">
        <f>AF129+AF130</f>
        <v>7975</v>
      </c>
      <c r="AG131" s="1302">
        <f>AG129+AG130</f>
        <v>8095.3</v>
      </c>
      <c r="AH131" s="1302">
        <f>AH129+AH130</f>
        <v>8451.2999999999993</v>
      </c>
      <c r="AI131" s="1302">
        <f>AI129+AI130</f>
        <v>8650</v>
      </c>
      <c r="AJ131" s="1418"/>
      <c r="AK131" s="1337">
        <f>AK129+AK130</f>
        <v>8345.5</v>
      </c>
      <c r="AL131" s="1302">
        <f>AL129+AL130</f>
        <v>8391.2000000000007</v>
      </c>
      <c r="AM131" s="1302">
        <f>AM129+AM130</f>
        <v>8606.7999999999993</v>
      </c>
      <c r="AN131" s="1302">
        <f>AN129+AN130</f>
        <v>8942.9000000000033</v>
      </c>
      <c r="AO131" s="1338"/>
      <c r="AP131" s="1337">
        <f>AP129+AP130</f>
        <v>8965.1999999999989</v>
      </c>
      <c r="AQ131" s="1302">
        <f>AQ129+AQ130</f>
        <v>9169.2000000000007</v>
      </c>
      <c r="AR131" s="1302">
        <f>AR129+AR130</f>
        <v>9579.1</v>
      </c>
      <c r="AS131" s="1302">
        <f>AS129+AS130</f>
        <v>9907.3000000000011</v>
      </c>
      <c r="AT131" s="1338"/>
      <c r="AU131" s="1337">
        <f>AU129+AU130</f>
        <v>10267.300000000001</v>
      </c>
      <c r="AV131" s="1302">
        <f>AV129+AV130</f>
        <v>10629.599999999999</v>
      </c>
      <c r="AW131" s="1302">
        <f>AW129+AW130</f>
        <v>11041.5</v>
      </c>
      <c r="AX131" s="1302">
        <f>AX129+AX130</f>
        <v>11431.9</v>
      </c>
      <c r="AY131" s="1338"/>
      <c r="AZ131" s="1337">
        <f>AZ129+AZ130</f>
        <v>11238.599999999999</v>
      </c>
      <c r="BA131" s="1302">
        <f>BA129+BA130</f>
        <v>11717.9</v>
      </c>
      <c r="BB131" s="1302">
        <f>BB129+BB130</f>
        <v>11961.4</v>
      </c>
      <c r="BC131" s="1302">
        <f>BC129+BC130</f>
        <v>12307.5</v>
      </c>
      <c r="BD131" s="1338"/>
      <c r="BE131" s="1337">
        <f>BE129+BE130</f>
        <v>12165.699999999999</v>
      </c>
      <c r="BF131" s="1302">
        <f>BF129+BF130</f>
        <v>12429.800000000001</v>
      </c>
      <c r="BG131" s="1302">
        <f>BG129+BG130</f>
        <v>12567.4</v>
      </c>
      <c r="BH131" s="1302">
        <f>BH129+BH130</f>
        <v>12999.2</v>
      </c>
      <c r="BI131" s="1338"/>
      <c r="BJ131" s="1337">
        <f>BJ129+BJ130</f>
        <v>12349</v>
      </c>
      <c r="BK131" s="1302">
        <f>BK129+BK130</f>
        <v>12480.800000000001</v>
      </c>
      <c r="BL131" s="1302">
        <f>BL129+BL130</f>
        <v>12845</v>
      </c>
      <c r="BM131" s="1302">
        <f>BM129+BM130</f>
        <v>13005.300000000001</v>
      </c>
      <c r="BN131" s="1351"/>
      <c r="BO131" s="1337">
        <f>BO129+BO130</f>
        <v>12721.7</v>
      </c>
      <c r="BP131" s="1302">
        <f>BP129+BP130</f>
        <v>12832.8</v>
      </c>
      <c r="BQ131" s="1302">
        <f>BQ129+BQ130</f>
        <v>12606.6</v>
      </c>
      <c r="BR131" s="1302">
        <f>BR129+BR130</f>
        <v>12675.800000000001</v>
      </c>
      <c r="BS131" s="1351"/>
      <c r="BT131" s="1337">
        <f>BT129+BT130</f>
        <v>11908.699999999999</v>
      </c>
      <c r="BU131" s="1302">
        <f>BU129+BU130</f>
        <v>11904.8</v>
      </c>
      <c r="BV131" s="1302">
        <f>BV129+BV130</f>
        <v>11675.4</v>
      </c>
      <c r="BW131" s="1302">
        <f>BW129+BW130</f>
        <v>11904.2</v>
      </c>
      <c r="BX131" s="1351"/>
      <c r="BY131" s="1337">
        <f>BY129+BY130</f>
        <v>11537.7</v>
      </c>
      <c r="BZ131" s="1302">
        <f>BZ129+BZ130</f>
        <v>11602</v>
      </c>
      <c r="CA131" s="1302">
        <f>CA129+CA130</f>
        <v>11679.8</v>
      </c>
      <c r="CB131" s="1302">
        <f>CB129+CB130</f>
        <v>11749.6</v>
      </c>
      <c r="CC131" s="1763">
        <f>Master!X21</f>
        <v>46569.1</v>
      </c>
      <c r="CD131" s="1337">
        <f>CD129+CD130</f>
        <v>11896.6</v>
      </c>
      <c r="CE131" s="1302">
        <f>CE129+CE130</f>
        <v>11850</v>
      </c>
      <c r="CF131" s="1302">
        <f>CF129+CF130</f>
        <v>11875</v>
      </c>
      <c r="CG131" s="1302">
        <f>CG129+CG130</f>
        <v>11914.792599999993</v>
      </c>
      <c r="CH131" s="1763">
        <f>Master!Y21</f>
        <v>47536.392599999992</v>
      </c>
      <c r="CI131" s="1291"/>
      <c r="CJ131" s="860"/>
      <c r="CK131" s="1233"/>
      <c r="CL131" s="860"/>
      <c r="CM131" s="860"/>
      <c r="CN131" s="860"/>
      <c r="CO131" s="1232"/>
      <c r="CP131" s="1233"/>
      <c r="CQ131" s="860"/>
      <c r="CR131" s="860"/>
      <c r="CS131" s="860"/>
      <c r="CT131" s="1232"/>
      <c r="CU131" s="1233"/>
      <c r="CV131" s="860"/>
      <c r="CW131" s="860"/>
      <c r="CX131" s="860"/>
      <c r="CY131" s="1232"/>
      <c r="CZ131" s="1233"/>
      <c r="DA131" s="860"/>
      <c r="DB131" s="860"/>
      <c r="DC131" s="860"/>
      <c r="DD131" s="1232"/>
      <c r="DE131" s="1242">
        <f t="shared" si="189"/>
        <v>0.15646751740139209</v>
      </c>
      <c r="DF131" s="1162">
        <f t="shared" si="189"/>
        <v>0.13455824644018399</v>
      </c>
      <c r="DG131" s="1162">
        <f t="shared" si="189"/>
        <v>0.12343972244008139</v>
      </c>
      <c r="DH131" s="1162">
        <f t="shared" si="189"/>
        <v>0.10923033520556014</v>
      </c>
      <c r="DI131" s="1232"/>
      <c r="DJ131" s="1242">
        <f t="shared" si="190"/>
        <v>4.6457680250783673E-2</v>
      </c>
      <c r="DK131" s="1162">
        <f t="shared" si="190"/>
        <v>3.6552073425320852E-2</v>
      </c>
      <c r="DL131" s="1162">
        <f t="shared" si="190"/>
        <v>1.8399536166033625E-2</v>
      </c>
      <c r="DM131" s="1162">
        <f t="shared" si="190"/>
        <v>3.386127167630093E-2</v>
      </c>
      <c r="DN131" s="1232"/>
      <c r="DO131" s="1242">
        <f t="shared" si="191"/>
        <v>7.4255586843208876E-2</v>
      </c>
      <c r="DP131" s="1162">
        <f t="shared" si="191"/>
        <v>9.2716178854037601E-2</v>
      </c>
      <c r="DQ131" s="1162">
        <f t="shared" si="191"/>
        <v>0.11296881535530057</v>
      </c>
      <c r="DR131" s="1162">
        <f t="shared" si="191"/>
        <v>0.10783973878719411</v>
      </c>
      <c r="DS131" s="1232"/>
      <c r="DT131" s="1242">
        <f t="shared" si="192"/>
        <v>0.14523937000847753</v>
      </c>
      <c r="DU131" s="1162">
        <f t="shared" si="192"/>
        <v>0.15927234655149825</v>
      </c>
      <c r="DV131" s="1162">
        <f t="shared" si="192"/>
        <v>0.15266569928281348</v>
      </c>
      <c r="DW131" s="1162">
        <f t="shared" si="192"/>
        <v>0.15388652811563164</v>
      </c>
      <c r="DX131" s="1232"/>
      <c r="DY131" s="1242">
        <f t="shared" si="193"/>
        <v>9.460130706222647E-2</v>
      </c>
      <c r="DZ131" s="1162">
        <f t="shared" si="193"/>
        <v>0.10238390908406725</v>
      </c>
      <c r="EA131" s="1162">
        <f t="shared" si="193"/>
        <v>8.3312955667255384E-2</v>
      </c>
      <c r="EB131" s="1162">
        <f t="shared" si="193"/>
        <v>7.6592692378344873E-2</v>
      </c>
      <c r="EC131" s="1232"/>
      <c r="ED131" s="860"/>
      <c r="EE131" s="860"/>
      <c r="EF131" s="860"/>
      <c r="EG131" s="860"/>
      <c r="EH131" s="860"/>
      <c r="EI131" s="1233"/>
      <c r="EJ131" s="860"/>
      <c r="EK131" s="860"/>
      <c r="EL131" s="860"/>
      <c r="EM131" s="1232"/>
      <c r="EN131" s="1242">
        <f t="shared" si="194"/>
        <v>3.0180581423597141E-2</v>
      </c>
      <c r="EO131" s="1162">
        <f t="shared" si="194"/>
        <v>2.8203320299980517E-2</v>
      </c>
      <c r="EP131" s="1162">
        <f t="shared" si="194"/>
        <v>-1.8559750875827175E-2</v>
      </c>
      <c r="EQ131" s="1162">
        <f t="shared" si="194"/>
        <v>-2.5335824625345005E-2</v>
      </c>
      <c r="ER131" s="1232"/>
      <c r="ES131" s="1242">
        <f t="shared" si="195"/>
        <v>-6.3906553369439734E-2</v>
      </c>
      <c r="ET131" s="1162">
        <f t="shared" si="195"/>
        <v>-7.2314693597655966E-2</v>
      </c>
      <c r="EU131" s="1162">
        <f t="shared" si="195"/>
        <v>-7.3866070153729035E-2</v>
      </c>
      <c r="EV131" s="1162">
        <f t="shared" si="195"/>
        <v>-6.0871897631707639E-2</v>
      </c>
      <c r="EW131" s="1232"/>
      <c r="EX131" s="1242">
        <f t="shared" si="196"/>
        <v>-3.115369435790627E-2</v>
      </c>
      <c r="EY131" s="1162">
        <f t="shared" si="196"/>
        <v>-2.5435118607620377E-2</v>
      </c>
      <c r="EZ131" s="1162">
        <f t="shared" si="196"/>
        <v>3.7686074995280094E-4</v>
      </c>
      <c r="FA131" s="1162">
        <f>CB131/BW131-1</f>
        <v>-1.2987012987012991E-2</v>
      </c>
      <c r="FB131" s="1754"/>
      <c r="FC131" s="1242">
        <f>CD131/BY131-1</f>
        <v>3.1106719710167541E-2</v>
      </c>
      <c r="FD131" s="1162">
        <f t="shared" si="197"/>
        <v>2.1375624892259859E-2</v>
      </c>
      <c r="FE131" s="1162">
        <f t="shared" si="198"/>
        <v>1.6712614942036685E-2</v>
      </c>
      <c r="FF131" s="1162">
        <f t="shared" si="198"/>
        <v>1.4059423299515927E-2</v>
      </c>
      <c r="FG131" s="1162"/>
      <c r="FH131" s="860"/>
      <c r="FI131" s="860"/>
      <c r="FJ131" s="860"/>
      <c r="FY131" s="860"/>
      <c r="FZ131" s="860"/>
      <c r="GA131" s="860"/>
      <c r="GB131" s="860"/>
      <c r="GC131" s="860"/>
      <c r="GD131" s="860"/>
      <c r="GE131" s="860"/>
      <c r="GF131" s="860"/>
      <c r="GG131" s="860"/>
      <c r="GH131" s="860"/>
      <c r="GI131" s="860"/>
      <c r="GJ131" s="860"/>
      <c r="GK131" s="860"/>
      <c r="GL131" s="860"/>
      <c r="GM131" s="860"/>
      <c r="GN131" s="860"/>
      <c r="GO131" s="860"/>
      <c r="GP131" s="860"/>
      <c r="GQ131" s="860"/>
      <c r="GR131" s="2014">
        <v>13050.089999999998</v>
      </c>
      <c r="GS131" s="1218"/>
      <c r="GT131" s="1299">
        <v>13023.004999999999</v>
      </c>
      <c r="GU131" s="1218"/>
      <c r="GV131" s="1634">
        <v>12693.174999999999</v>
      </c>
      <c r="GW131" s="1218"/>
      <c r="GX131" s="1218"/>
      <c r="GY131" s="1634">
        <v>12050</v>
      </c>
      <c r="GZ131" s="1218"/>
      <c r="HA131" s="1218"/>
      <c r="HB131" s="1634">
        <v>12100</v>
      </c>
      <c r="HC131" s="1218"/>
      <c r="HD131" s="2000"/>
      <c r="HE131" s="1634">
        <v>11971.531249999998</v>
      </c>
      <c r="HF131" s="1218"/>
      <c r="HG131" s="2000"/>
      <c r="HH131" s="1241"/>
      <c r="HI131" s="1634">
        <v>11547.655999999999</v>
      </c>
      <c r="HJ131" s="1241">
        <v>-3.0000000000000027E-2</v>
      </c>
      <c r="HK131" s="2000"/>
      <c r="HL131" s="1634">
        <v>11600</v>
      </c>
      <c r="HM131" s="1241">
        <v>-6.4580228514654614E-3</v>
      </c>
      <c r="HN131" s="2000"/>
      <c r="HO131" s="1634">
        <v>11862.605</v>
      </c>
      <c r="HP131" s="1241">
        <v>-3.4941449236405298E-3</v>
      </c>
      <c r="HQ131" s="2000"/>
      <c r="HR131" s="1299">
        <v>11896.6</v>
      </c>
    </row>
    <row r="132" spans="1:226">
      <c r="A132" s="1290" t="s">
        <v>772</v>
      </c>
      <c r="B132" s="1233"/>
      <c r="C132" s="860"/>
      <c r="D132" s="860"/>
      <c r="E132" s="860"/>
      <c r="F132" s="1232"/>
      <c r="G132" s="1233"/>
      <c r="H132" s="860"/>
      <c r="I132" s="860"/>
      <c r="J132" s="860"/>
      <c r="K132" s="1232"/>
      <c r="L132" s="1233"/>
      <c r="M132" s="860"/>
      <c r="N132" s="860"/>
      <c r="O132" s="860"/>
      <c r="P132" s="1232"/>
      <c r="Q132" s="1233"/>
      <c r="R132" s="860"/>
      <c r="S132" s="860"/>
      <c r="T132" s="860"/>
      <c r="U132" s="1232"/>
      <c r="V132" s="1233"/>
      <c r="W132" s="860"/>
      <c r="X132" s="860"/>
      <c r="Y132" s="860"/>
      <c r="Z132" s="1261"/>
      <c r="AA132" s="1336">
        <f>AA131-AA14</f>
        <v>181.5</v>
      </c>
      <c r="AB132" s="1291">
        <f>AB131-AB14</f>
        <v>225.5</v>
      </c>
      <c r="AC132" s="1291">
        <f>AC131-AC14</f>
        <v>228.69999999999982</v>
      </c>
      <c r="AD132" s="1291">
        <f>AD131-AD14</f>
        <v>228.10000000000218</v>
      </c>
      <c r="AE132" s="1341"/>
      <c r="AF132" s="1336">
        <f>AF131-AF14</f>
        <v>353.89999999999964</v>
      </c>
      <c r="AG132" s="1291">
        <f>AG131-AG14</f>
        <v>293.19999999999982</v>
      </c>
      <c r="AH132" s="1291">
        <f>AH131-AH14</f>
        <v>296.09999999999945</v>
      </c>
      <c r="AI132" s="1291">
        <f>AI131-AI14</f>
        <v>336.79999999999927</v>
      </c>
      <c r="AJ132" s="1232"/>
      <c r="AK132" s="1336">
        <f>AK131-AK14</f>
        <v>249.19999999999982</v>
      </c>
      <c r="AL132" s="1291">
        <f>AL131-AL14</f>
        <v>354.50000000000091</v>
      </c>
      <c r="AM132" s="1291">
        <f>AM131-AM14</f>
        <v>284.29999999999927</v>
      </c>
      <c r="AN132" s="1291">
        <f>AN131-AN14</f>
        <v>350.00000000000364</v>
      </c>
      <c r="AO132" s="1261"/>
      <c r="AP132" s="1336">
        <f>AP131-AP14</f>
        <v>295.49999999999818</v>
      </c>
      <c r="AQ132" s="1291">
        <f>AQ131-AQ14</f>
        <v>343.5</v>
      </c>
      <c r="AR132" s="1291">
        <f>AR131-AR14</f>
        <v>359.20000000000073</v>
      </c>
      <c r="AS132" s="1291">
        <f>AS131-AS14</f>
        <v>389.60000000000036</v>
      </c>
      <c r="AT132" s="1261"/>
      <c r="AU132" s="1336">
        <f>AU131-AU14</f>
        <v>369.20000000000073</v>
      </c>
      <c r="AV132" s="1291">
        <f>AV131-AV14</f>
        <v>413.89999999999782</v>
      </c>
      <c r="AW132" s="1291">
        <f>AW131-AW14</f>
        <v>469.39999999999964</v>
      </c>
      <c r="AX132" s="1291">
        <f>AX131-AX14</f>
        <v>415.79999999999927</v>
      </c>
      <c r="AY132" s="1261"/>
      <c r="AZ132" s="1336">
        <f>AZ131-AZ14</f>
        <v>413.89999999999782</v>
      </c>
      <c r="BA132" s="1291">
        <f>BA131-BA14</f>
        <v>409.10000000000036</v>
      </c>
      <c r="BB132" s="1291">
        <f>BB131-BB14</f>
        <v>553.5</v>
      </c>
      <c r="BC132" s="1291">
        <f>BC131-BC14</f>
        <v>481.80000000000473</v>
      </c>
      <c r="BD132" s="1261"/>
      <c r="BE132" s="1336">
        <f>BE131-BE14</f>
        <v>489.19999999999891</v>
      </c>
      <c r="BF132" s="1291">
        <f>BF131-BF14</f>
        <v>448.20000000000073</v>
      </c>
      <c r="BG132" s="1291">
        <f>BG131-BG14</f>
        <v>500.79999999999927</v>
      </c>
      <c r="BH132" s="1291">
        <f>BH131-BH14</f>
        <v>703</v>
      </c>
      <c r="BI132" s="1261"/>
      <c r="BJ132" s="1336">
        <f>BJ131-BJ14</f>
        <v>544.5</v>
      </c>
      <c r="BK132" s="1291">
        <f>BK131-BK14</f>
        <v>730.80000000000109</v>
      </c>
      <c r="BL132" s="1291">
        <f>BL131-BL14</f>
        <v>451</v>
      </c>
      <c r="BM132" s="1291">
        <f>BM131-BM14</f>
        <v>542.00000000000182</v>
      </c>
      <c r="BN132" s="1261"/>
      <c r="BO132" s="1336">
        <f>BO131-BO14</f>
        <v>599</v>
      </c>
      <c r="BP132" s="1291">
        <f>BP131-BP14</f>
        <v>541.29999999999927</v>
      </c>
      <c r="BQ132" s="1291">
        <f>BQ131-BQ14</f>
        <v>458.70000000000073</v>
      </c>
      <c r="BR132" s="1291">
        <f>BR131-BR14</f>
        <v>435.40000000000146</v>
      </c>
      <c r="BS132" s="1261"/>
      <c r="BT132" s="1336">
        <f>BT131-BT14</f>
        <v>0</v>
      </c>
      <c r="BU132" s="1291">
        <f>BU131-BU14</f>
        <v>0</v>
      </c>
      <c r="BV132" s="1291">
        <f>BV131-BV14</f>
        <v>0</v>
      </c>
      <c r="BW132" s="1291">
        <f>BW131-BW14</f>
        <v>0</v>
      </c>
      <c r="BX132" s="1261"/>
      <c r="BY132" s="1336">
        <f>BY131-BY14</f>
        <v>0</v>
      </c>
      <c r="BZ132" s="1291">
        <f>BZ131-BZ14</f>
        <v>0</v>
      </c>
      <c r="CA132" s="1291">
        <f>CA131-CA14</f>
        <v>0</v>
      </c>
      <c r="CB132" s="1291">
        <f>CB131-CB14</f>
        <v>0</v>
      </c>
      <c r="CC132" s="1757"/>
      <c r="CD132" s="1336">
        <f>CD131-CD14</f>
        <v>0</v>
      </c>
      <c r="CE132" s="1291">
        <f>CE131-CE14</f>
        <v>0</v>
      </c>
      <c r="CF132" s="1291">
        <f>CF131-CF14</f>
        <v>0</v>
      </c>
      <c r="CG132" s="1291">
        <f>CG131-CG14</f>
        <v>0</v>
      </c>
      <c r="CH132" s="1757"/>
      <c r="CI132" s="1162"/>
      <c r="CJ132" s="860"/>
      <c r="CK132" s="1233"/>
      <c r="CL132" s="860"/>
      <c r="CM132" s="860"/>
      <c r="CN132" s="860"/>
      <c r="CO132" s="1232"/>
      <c r="CP132" s="1233"/>
      <c r="CQ132" s="860"/>
      <c r="CR132" s="860"/>
      <c r="CS132" s="860"/>
      <c r="CT132" s="1232"/>
      <c r="CU132" s="1233"/>
      <c r="CV132" s="860"/>
      <c r="CW132" s="860"/>
      <c r="CX132" s="860"/>
      <c r="CY132" s="1232"/>
      <c r="CZ132" s="1233"/>
      <c r="DA132" s="860"/>
      <c r="DB132" s="860"/>
      <c r="DC132" s="860"/>
      <c r="DD132" s="1232"/>
      <c r="DE132" s="1233"/>
      <c r="DF132" s="860"/>
      <c r="DG132" s="860"/>
      <c r="DH132" s="860"/>
      <c r="DI132" s="1232"/>
      <c r="DJ132" s="1233"/>
      <c r="DK132" s="860"/>
      <c r="DL132" s="860"/>
      <c r="DM132" s="860"/>
      <c r="DN132" s="1232"/>
      <c r="DO132" s="1233"/>
      <c r="DP132" s="860"/>
      <c r="DQ132" s="860"/>
      <c r="DR132" s="860"/>
      <c r="DS132" s="1232"/>
      <c r="DT132" s="1233"/>
      <c r="DU132" s="860"/>
      <c r="DV132" s="860"/>
      <c r="DW132" s="860"/>
      <c r="DX132" s="1232"/>
      <c r="DY132" s="1233"/>
      <c r="DZ132" s="860"/>
      <c r="EA132" s="860"/>
      <c r="EB132" s="860"/>
      <c r="EC132" s="1232"/>
      <c r="ED132" s="860"/>
      <c r="EE132" s="860"/>
      <c r="EF132" s="860"/>
      <c r="EG132" s="860"/>
      <c r="EH132" s="860"/>
      <c r="EI132" s="1233"/>
      <c r="EJ132" s="860"/>
      <c r="EK132" s="860"/>
      <c r="EL132" s="860"/>
      <c r="EM132" s="1232"/>
      <c r="EN132" s="1233"/>
      <c r="EO132" s="860"/>
      <c r="EP132" s="860"/>
      <c r="EQ132" s="860"/>
      <c r="ER132" s="1232"/>
      <c r="ES132" s="860"/>
      <c r="ET132" s="860"/>
      <c r="EU132" s="860"/>
      <c r="EV132" s="860"/>
      <c r="EW132" s="1232"/>
      <c r="EX132" s="1233"/>
      <c r="EY132" s="860"/>
      <c r="EZ132" s="860"/>
      <c r="FA132" s="860"/>
      <c r="FB132" s="1754"/>
      <c r="FC132" s="1233"/>
      <c r="FD132" s="860"/>
      <c r="FE132" s="860"/>
      <c r="FF132" s="860"/>
      <c r="FG132" s="860"/>
      <c r="FH132" s="860"/>
      <c r="FI132" s="860"/>
      <c r="FJ132" s="860"/>
      <c r="FY132" s="860"/>
      <c r="FZ132" s="860"/>
      <c r="GA132" s="860"/>
      <c r="GB132" s="860"/>
      <c r="GC132" s="860"/>
      <c r="GD132" s="860"/>
      <c r="GE132" s="860"/>
      <c r="GF132" s="860"/>
      <c r="GG132" s="860"/>
      <c r="GH132" s="860"/>
      <c r="GI132" s="860"/>
      <c r="GJ132" s="860"/>
      <c r="GK132" s="860"/>
      <c r="GL132" s="860"/>
      <c r="GM132" s="860"/>
      <c r="GN132" s="860"/>
      <c r="GO132" s="860"/>
      <c r="GP132" s="860"/>
      <c r="GQ132" s="860"/>
      <c r="GR132" s="1299">
        <v>500</v>
      </c>
      <c r="GS132" s="1218"/>
      <c r="GT132" s="1299">
        <v>447.12799999999697</v>
      </c>
      <c r="GU132" s="1218"/>
      <c r="GV132" s="1299">
        <v>493.17499999999927</v>
      </c>
      <c r="GW132" s="1218"/>
      <c r="GX132" s="1218"/>
      <c r="GY132" s="1299">
        <v>0</v>
      </c>
      <c r="GZ132" s="1218"/>
      <c r="HA132" s="1218"/>
      <c r="HB132" s="1299">
        <v>0</v>
      </c>
      <c r="HC132" s="1218"/>
      <c r="HD132" s="2000"/>
      <c r="HE132" s="1299">
        <v>0</v>
      </c>
      <c r="HF132" s="1218"/>
      <c r="HG132" s="2000"/>
      <c r="HH132" s="1241"/>
      <c r="HI132" s="1299">
        <v>0</v>
      </c>
      <c r="HJ132" s="1218"/>
      <c r="HK132" s="2000"/>
      <c r="HL132" s="1299">
        <v>0</v>
      </c>
      <c r="HM132" s="1218"/>
      <c r="HN132" s="2000"/>
      <c r="HO132" s="1299">
        <v>0</v>
      </c>
      <c r="HP132" s="1218"/>
      <c r="HQ132" s="2000"/>
      <c r="HR132" s="1299">
        <v>0</v>
      </c>
    </row>
    <row r="133" spans="1:226">
      <c r="A133" s="1290"/>
      <c r="B133" s="1233"/>
      <c r="C133" s="860"/>
      <c r="D133" s="860"/>
      <c r="E133" s="860"/>
      <c r="F133" s="1232"/>
      <c r="G133" s="1233"/>
      <c r="H133" s="860"/>
      <c r="I133" s="860"/>
      <c r="J133" s="860"/>
      <c r="K133" s="1232"/>
      <c r="L133" s="1233"/>
      <c r="M133" s="860"/>
      <c r="N133" s="860"/>
      <c r="O133" s="860"/>
      <c r="P133" s="1232"/>
      <c r="Q133" s="1233"/>
      <c r="R133" s="860"/>
      <c r="S133" s="860"/>
      <c r="T133" s="860"/>
      <c r="U133" s="1232"/>
      <c r="V133" s="1233"/>
      <c r="W133" s="860"/>
      <c r="X133" s="860"/>
      <c r="Y133" s="860"/>
      <c r="Z133" s="1261"/>
      <c r="AA133" s="1326"/>
      <c r="AB133" s="1274"/>
      <c r="AC133" s="1274"/>
      <c r="AD133" s="1274"/>
      <c r="AE133" s="1261"/>
      <c r="AF133" s="1326"/>
      <c r="AG133" s="1274"/>
      <c r="AH133" s="1274"/>
      <c r="AI133" s="1274"/>
      <c r="AJ133" s="1232"/>
      <c r="AK133" s="1242"/>
      <c r="AL133" s="1162"/>
      <c r="AM133" s="1162"/>
      <c r="AN133" s="1162"/>
      <c r="AO133" s="1261"/>
      <c r="AP133" s="1242"/>
      <c r="AQ133" s="1162"/>
      <c r="AR133" s="1162"/>
      <c r="AS133" s="1162"/>
      <c r="AT133" s="1261"/>
      <c r="AU133" s="1242"/>
      <c r="AV133" s="1217"/>
      <c r="AW133" s="1217"/>
      <c r="AX133" s="1217"/>
      <c r="AY133" s="1261"/>
      <c r="AZ133" s="1239"/>
      <c r="BA133" s="1217"/>
      <c r="BB133" s="1217"/>
      <c r="BC133" s="1162"/>
      <c r="BD133" s="1261"/>
      <c r="BE133" s="1242"/>
      <c r="BF133" s="1217">
        <f>BF131/BA131-1</f>
        <v>6.0753206632587986E-2</v>
      </c>
      <c r="BG133" s="1217">
        <f>BG131/BB131-1</f>
        <v>5.0662965873560006E-2</v>
      </c>
      <c r="BH133" s="1217">
        <f>BH131/BB131-1</f>
        <v>8.6762419114819522E-2</v>
      </c>
      <c r="BI133" s="1261"/>
      <c r="BJ133" s="1242"/>
      <c r="BK133" s="1162"/>
      <c r="BL133" s="1162"/>
      <c r="BM133" s="1162"/>
      <c r="BN133" s="1261"/>
      <c r="BO133" s="1242"/>
      <c r="BP133" s="1162"/>
      <c r="BQ133" s="1162"/>
      <c r="BR133" s="1162"/>
      <c r="BS133" s="1261"/>
      <c r="BT133" s="1242"/>
      <c r="BU133" s="1162"/>
      <c r="BV133" s="1162"/>
      <c r="BW133" s="1162"/>
      <c r="BX133" s="1261"/>
      <c r="BY133" s="1242"/>
      <c r="BZ133" s="1162"/>
      <c r="CA133" s="1162"/>
      <c r="CB133" s="1162"/>
      <c r="CC133" s="1757"/>
      <c r="CD133" s="1242"/>
      <c r="CE133" s="1162"/>
      <c r="CF133" s="1162"/>
      <c r="CG133" s="1162"/>
      <c r="CH133" s="1757"/>
      <c r="CI133" s="1162"/>
      <c r="CJ133" s="860"/>
      <c r="CK133" s="1233"/>
      <c r="CL133" s="860"/>
      <c r="CM133" s="860"/>
      <c r="CN133" s="860"/>
      <c r="CO133" s="1232"/>
      <c r="CP133" s="1233"/>
      <c r="CQ133" s="860"/>
      <c r="CR133" s="860"/>
      <c r="CS133" s="860"/>
      <c r="CT133" s="1232"/>
      <c r="CU133" s="1233"/>
      <c r="CV133" s="860"/>
      <c r="CW133" s="860"/>
      <c r="CX133" s="860"/>
      <c r="CY133" s="1232"/>
      <c r="CZ133" s="1233"/>
      <c r="DA133" s="860"/>
      <c r="DB133" s="860"/>
      <c r="DC133" s="860"/>
      <c r="DD133" s="1232"/>
      <c r="DE133" s="1233"/>
      <c r="DF133" s="860"/>
      <c r="DG133" s="860"/>
      <c r="DH133" s="860"/>
      <c r="DI133" s="1232"/>
      <c r="DJ133" s="1233"/>
      <c r="DK133" s="860"/>
      <c r="DL133" s="860"/>
      <c r="DM133" s="860"/>
      <c r="DN133" s="1232"/>
      <c r="DO133" s="1233"/>
      <c r="DP133" s="860"/>
      <c r="DQ133" s="860"/>
      <c r="DR133" s="860"/>
      <c r="DS133" s="1232"/>
      <c r="DT133" s="1233"/>
      <c r="DU133" s="860"/>
      <c r="DV133" s="860"/>
      <c r="DW133" s="860"/>
      <c r="DX133" s="1232"/>
      <c r="DY133" s="1233"/>
      <c r="DZ133" s="860"/>
      <c r="EA133" s="860"/>
      <c r="EB133" s="860"/>
      <c r="EC133" s="1232"/>
      <c r="ED133" s="860"/>
      <c r="EE133" s="860"/>
      <c r="EF133" s="860"/>
      <c r="EG133" s="860"/>
      <c r="EH133" s="860"/>
      <c r="EI133" s="1233"/>
      <c r="EJ133" s="860"/>
      <c r="EK133" s="860"/>
      <c r="EL133" s="860"/>
      <c r="EM133" s="1232"/>
      <c r="EN133" s="1233"/>
      <c r="EO133" s="860"/>
      <c r="EP133" s="860"/>
      <c r="EQ133" s="860"/>
      <c r="ER133" s="1232"/>
      <c r="ES133" s="860"/>
      <c r="ET133" s="860"/>
      <c r="EU133" s="860"/>
      <c r="EV133" s="860"/>
      <c r="EW133" s="1232"/>
      <c r="EX133" s="1233"/>
      <c r="EY133" s="860"/>
      <c r="EZ133" s="860"/>
      <c r="FA133" s="860"/>
      <c r="FB133" s="1754"/>
      <c r="FC133" s="1233"/>
      <c r="FD133" s="860"/>
      <c r="FE133" s="860"/>
      <c r="FF133" s="860"/>
      <c r="FG133" s="860"/>
      <c r="FH133" s="860"/>
      <c r="FI133" s="860"/>
      <c r="FJ133" s="860"/>
      <c r="FY133" s="860"/>
      <c r="FZ133" s="860"/>
      <c r="GA133" s="860"/>
      <c r="GB133" s="860"/>
      <c r="GC133" s="860"/>
      <c r="GD133" s="860"/>
      <c r="GE133" s="860"/>
      <c r="GF133" s="860"/>
      <c r="GG133" s="860"/>
      <c r="GH133" s="860"/>
      <c r="GI133" s="860"/>
      <c r="GJ133" s="860"/>
      <c r="GK133" s="860"/>
      <c r="GL133" s="860"/>
      <c r="GM133" s="860"/>
      <c r="GN133" s="860"/>
      <c r="GO133" s="860"/>
      <c r="GP133" s="860"/>
      <c r="GQ133" s="860"/>
      <c r="GR133" s="1241"/>
      <c r="GS133" s="1218"/>
      <c r="GT133" s="1241"/>
      <c r="GU133" s="1218"/>
      <c r="GV133" s="1241"/>
      <c r="GW133" s="1218"/>
      <c r="GX133" s="1218"/>
      <c r="GY133" s="1241"/>
      <c r="GZ133" s="1218"/>
      <c r="HA133" s="1218"/>
      <c r="HB133" s="1241"/>
      <c r="HC133" s="1218"/>
      <c r="HD133" s="2000"/>
      <c r="HE133" s="1241"/>
      <c r="HF133" s="1218"/>
      <c r="HG133" s="2000"/>
      <c r="HH133" s="1241"/>
      <c r="HI133" s="1241"/>
      <c r="HJ133" s="1218"/>
      <c r="HK133" s="2000"/>
      <c r="HL133" s="1241"/>
      <c r="HM133" s="1218"/>
      <c r="HN133" s="2000"/>
      <c r="HO133" s="1241"/>
      <c r="HP133" s="1218"/>
      <c r="HQ133" s="2000"/>
      <c r="HR133" s="1241"/>
    </row>
    <row r="134" spans="1:226">
      <c r="A134" s="1292" t="s">
        <v>773</v>
      </c>
      <c r="B134" s="1233"/>
      <c r="C134" s="860"/>
      <c r="D134" s="860"/>
      <c r="E134" s="860"/>
      <c r="F134" s="1232"/>
      <c r="G134" s="1233"/>
      <c r="H134" s="860"/>
      <c r="I134" s="860"/>
      <c r="J134" s="860"/>
      <c r="K134" s="1232"/>
      <c r="L134" s="1233"/>
      <c r="M134" s="860"/>
      <c r="N134" s="860"/>
      <c r="O134" s="860"/>
      <c r="P134" s="1232"/>
      <c r="Q134" s="1233"/>
      <c r="R134" s="860"/>
      <c r="S134" s="860"/>
      <c r="T134" s="860"/>
      <c r="U134" s="1232"/>
      <c r="V134" s="1233"/>
      <c r="W134" s="860"/>
      <c r="X134" s="860"/>
      <c r="Y134" s="860"/>
      <c r="Z134" s="1261"/>
      <c r="AA134" s="1326"/>
      <c r="AB134" s="1274"/>
      <c r="AC134" s="1274"/>
      <c r="AD134" s="1274"/>
      <c r="AE134" s="1261"/>
      <c r="AF134" s="1326"/>
      <c r="AG134" s="1274"/>
      <c r="AH134" s="1274"/>
      <c r="AI134" s="1274"/>
      <c r="AJ134" s="1232"/>
      <c r="AK134" s="1242"/>
      <c r="AL134" s="1162"/>
      <c r="AM134" s="1162"/>
      <c r="AN134" s="1162"/>
      <c r="AO134" s="1261"/>
      <c r="AP134" s="1242"/>
      <c r="AQ134" s="1162"/>
      <c r="AR134" s="1162"/>
      <c r="AS134" s="1162"/>
      <c r="AT134" s="1261"/>
      <c r="AU134" s="1239">
        <f>(AU129-475)/AP129-1</f>
        <v>9.2024858933354325E-2</v>
      </c>
      <c r="AV134" s="1217">
        <f>(AV129-475)/AQ129-1</f>
        <v>0.11091625365357727</v>
      </c>
      <c r="AW134" s="1217">
        <f>(AW129-475)/AR129-1</f>
        <v>0.11043802989940277</v>
      </c>
      <c r="AX134" s="1217">
        <f>(AX129-475)/AS129-1</f>
        <v>9.7358357357180347E-2</v>
      </c>
      <c r="AY134" s="1261"/>
      <c r="AZ134" s="1239"/>
      <c r="BA134" s="1217"/>
      <c r="BB134" s="1217"/>
      <c r="BC134" s="1217"/>
      <c r="BD134" s="1261"/>
      <c r="BE134" s="1239"/>
      <c r="BF134" s="1217"/>
      <c r="BG134" s="1217"/>
      <c r="BH134" s="1217"/>
      <c r="BI134" s="1261"/>
      <c r="BJ134" s="1239"/>
      <c r="BK134" s="1217"/>
      <c r="BL134" s="1217"/>
      <c r="BM134" s="1217"/>
      <c r="BN134" s="1261"/>
      <c r="BO134" s="1239"/>
      <c r="BP134" s="1217"/>
      <c r="BQ134" s="1217"/>
      <c r="BR134" s="1217"/>
      <c r="BS134" s="1261"/>
      <c r="BT134" s="1239"/>
      <c r="BU134" s="1217"/>
      <c r="BV134" s="1217"/>
      <c r="BW134" s="1217"/>
      <c r="BX134" s="1261"/>
      <c r="BY134" s="1239"/>
      <c r="BZ134" s="1217"/>
      <c r="CA134" s="1217"/>
      <c r="CB134" s="1217"/>
      <c r="CC134" s="1757"/>
      <c r="CD134" s="1239"/>
      <c r="CE134" s="1217"/>
      <c r="CF134" s="1217"/>
      <c r="CG134" s="1217"/>
      <c r="CH134" s="1757"/>
      <c r="CI134" s="1162"/>
      <c r="CJ134" s="860"/>
      <c r="CK134" s="1233"/>
      <c r="CL134" s="860"/>
      <c r="CM134" s="860"/>
      <c r="CN134" s="860"/>
      <c r="CO134" s="1232"/>
      <c r="CP134" s="1233"/>
      <c r="CQ134" s="860"/>
      <c r="CR134" s="860"/>
      <c r="CS134" s="860"/>
      <c r="CT134" s="1232"/>
      <c r="CU134" s="1233"/>
      <c r="CV134" s="860"/>
      <c r="CW134" s="860"/>
      <c r="CX134" s="860"/>
      <c r="CY134" s="1232"/>
      <c r="CZ134" s="1233"/>
      <c r="DA134" s="860"/>
      <c r="DB134" s="860"/>
      <c r="DC134" s="860"/>
      <c r="DD134" s="1232"/>
      <c r="DE134" s="1233"/>
      <c r="DF134" s="860"/>
      <c r="DG134" s="860"/>
      <c r="DH134" s="860"/>
      <c r="DI134" s="1232"/>
      <c r="DJ134" s="1233"/>
      <c r="DK134" s="860"/>
      <c r="DL134" s="860"/>
      <c r="DM134" s="860"/>
      <c r="DN134" s="1232"/>
      <c r="DO134" s="1233"/>
      <c r="DP134" s="860"/>
      <c r="DQ134" s="860"/>
      <c r="DR134" s="860"/>
      <c r="DS134" s="1232"/>
      <c r="DT134" s="1233"/>
      <c r="DU134" s="860"/>
      <c r="DV134" s="860"/>
      <c r="DW134" s="860"/>
      <c r="DX134" s="1232"/>
      <c r="DY134" s="1233"/>
      <c r="DZ134" s="860"/>
      <c r="EA134" s="860"/>
      <c r="EB134" s="860"/>
      <c r="EC134" s="1232"/>
      <c r="ED134" s="860"/>
      <c r="EE134" s="860"/>
      <c r="EF134" s="860"/>
      <c r="EG134" s="860"/>
      <c r="EH134" s="860"/>
      <c r="EI134" s="1233"/>
      <c r="EJ134" s="860"/>
      <c r="EK134" s="860"/>
      <c r="EL134" s="860"/>
      <c r="EM134" s="1232"/>
      <c r="EN134" s="1233"/>
      <c r="EO134" s="860"/>
      <c r="EP134" s="860"/>
      <c r="EQ134" s="860"/>
      <c r="ER134" s="1232"/>
      <c r="ES134" s="860"/>
      <c r="ET134" s="860"/>
      <c r="EU134" s="860"/>
      <c r="EV134" s="860"/>
      <c r="EW134" s="1232"/>
      <c r="EX134" s="1233"/>
      <c r="EY134" s="860"/>
      <c r="EZ134" s="860"/>
      <c r="FA134" s="860"/>
      <c r="FB134" s="1754"/>
      <c r="FC134" s="1233"/>
      <c r="FD134" s="860"/>
      <c r="FE134" s="860"/>
      <c r="FF134" s="860"/>
      <c r="FG134" s="860"/>
      <c r="FH134" s="860"/>
      <c r="FI134" s="860"/>
      <c r="FJ134" s="860"/>
      <c r="FY134" s="860"/>
      <c r="FZ134" s="860"/>
      <c r="GA134" s="860"/>
      <c r="GB134" s="860"/>
      <c r="GC134" s="860"/>
      <c r="GD134" s="860"/>
      <c r="GE134" s="860"/>
      <c r="GF134" s="860"/>
      <c r="GG134" s="860"/>
      <c r="GH134" s="860"/>
      <c r="GI134" s="860"/>
      <c r="GJ134" s="860"/>
      <c r="GK134" s="860"/>
      <c r="GL134" s="860"/>
      <c r="GM134" s="860"/>
      <c r="GN134" s="860"/>
      <c r="GO134" s="860"/>
      <c r="GP134" s="860"/>
      <c r="GQ134" s="860"/>
      <c r="GR134" s="1247"/>
      <c r="GS134" s="1218"/>
      <c r="GT134" s="1247"/>
      <c r="GU134" s="1218"/>
      <c r="GV134" s="1247"/>
      <c r="GW134" s="1218"/>
      <c r="GX134" s="1218"/>
      <c r="GY134" s="1247"/>
      <c r="GZ134" s="1218"/>
      <c r="HA134" s="1218"/>
      <c r="HB134" s="1247"/>
      <c r="HC134" s="1218"/>
      <c r="HD134" s="2000"/>
      <c r="HE134" s="1247"/>
      <c r="HF134" s="1218"/>
      <c r="HG134" s="2000"/>
      <c r="HH134" s="1241"/>
      <c r="HI134" s="1247"/>
      <c r="HJ134" s="1218"/>
      <c r="HK134" s="2000"/>
      <c r="HL134" s="1247"/>
      <c r="HM134" s="1218"/>
      <c r="HN134" s="2000"/>
      <c r="HO134" s="1247"/>
      <c r="HP134" s="1218"/>
      <c r="HQ134" s="2000"/>
      <c r="HR134" s="1247"/>
    </row>
    <row r="135" spans="1:226">
      <c r="A135" s="1290" t="str">
        <f>A129</f>
        <v>Retail</v>
      </c>
      <c r="B135" s="1233"/>
      <c r="C135" s="860"/>
      <c r="D135" s="860"/>
      <c r="E135" s="860"/>
      <c r="F135" s="1232"/>
      <c r="G135" s="1233"/>
      <c r="H135" s="860"/>
      <c r="I135" s="860"/>
      <c r="J135" s="860"/>
      <c r="K135" s="1232"/>
      <c r="L135" s="1233"/>
      <c r="M135" s="860"/>
      <c r="N135" s="860"/>
      <c r="O135" s="860"/>
      <c r="P135" s="1232"/>
      <c r="Q135" s="1233"/>
      <c r="R135" s="860"/>
      <c r="S135" s="860"/>
      <c r="T135" s="860"/>
      <c r="U135" s="1232"/>
      <c r="V135" s="1233"/>
      <c r="W135" s="860"/>
      <c r="X135" s="860"/>
      <c r="Y135" s="860"/>
      <c r="Z135" s="1261"/>
      <c r="AA135" s="1326"/>
      <c r="AB135" s="1274"/>
      <c r="AC135" s="1274"/>
      <c r="AD135" s="1274"/>
      <c r="AE135" s="1261"/>
      <c r="AF135" s="1239">
        <f t="shared" ref="AF135:AI137" si="200">AF129/AA129-1</f>
        <v>0.17355371900826455</v>
      </c>
      <c r="AG135" s="1217">
        <f t="shared" si="200"/>
        <v>0.14565996887896637</v>
      </c>
      <c r="AH135" s="1217">
        <f t="shared" si="200"/>
        <v>0.12136063664596275</v>
      </c>
      <c r="AI135" s="1217">
        <f t="shared" si="200"/>
        <v>9.834249041968679E-2</v>
      </c>
      <c r="AJ135" s="1232"/>
      <c r="AK135" s="1239">
        <f t="shared" ref="AK135:AN137" si="201">AK129/AF129-1</f>
        <v>5.1588252921786149E-2</v>
      </c>
      <c r="AL135" s="1217">
        <f t="shared" si="201"/>
        <v>4.3654777370969677E-2</v>
      </c>
      <c r="AM135" s="1217">
        <f t="shared" si="201"/>
        <v>5.3471230545097947E-2</v>
      </c>
      <c r="AN135" s="1217">
        <f t="shared" si="201"/>
        <v>7.5693247579413869E-2</v>
      </c>
      <c r="AO135" s="1261"/>
      <c r="AP135" s="1239">
        <f t="shared" ref="AP135:AS137" si="202">AP129/AK129-1</f>
        <v>9.5906416083666901E-2</v>
      </c>
      <c r="AQ135" s="1217">
        <f t="shared" si="202"/>
        <v>0.1131229400364957</v>
      </c>
      <c r="AR135" s="1217">
        <f t="shared" si="202"/>
        <v>0.12562642057124074</v>
      </c>
      <c r="AS135" s="1217">
        <f t="shared" si="202"/>
        <v>0.10702236579869462</v>
      </c>
      <c r="AT135" s="1276"/>
      <c r="AU135" s="1239">
        <f t="shared" ref="AU135:AX137" si="203">AU129/AP129-1</f>
        <v>0.1537821462932627</v>
      </c>
      <c r="AV135" s="1217">
        <f t="shared" si="203"/>
        <v>0.1712797051721946</v>
      </c>
      <c r="AW135" s="1217">
        <f t="shared" si="203"/>
        <v>0.16821759174786211</v>
      </c>
      <c r="AX135" s="1217">
        <f t="shared" si="203"/>
        <v>0.15325057363064043</v>
      </c>
      <c r="AY135" s="1276"/>
      <c r="AZ135" s="1239">
        <f t="shared" ref="AZ135:BC137" si="204">AZ129/AU129-1</f>
        <v>9.9344166234702769E-2</v>
      </c>
      <c r="BA135" s="1217">
        <f t="shared" si="204"/>
        <v>7.7261088447183379E-2</v>
      </c>
      <c r="BB135" s="1217">
        <f t="shared" si="204"/>
        <v>6.4932630833628435E-2</v>
      </c>
      <c r="BC135" s="1217">
        <f t="shared" si="204"/>
        <v>7.4329908477792861E-2</v>
      </c>
      <c r="BD135" s="1276"/>
      <c r="BE135" s="1239">
        <f t="shared" ref="BE135:BH137" si="205">BE129/AZ129-1</f>
        <v>7.2736218454662938E-2</v>
      </c>
      <c r="BF135" s="1217">
        <f t="shared" si="205"/>
        <v>6.4035290918430077E-2</v>
      </c>
      <c r="BG135" s="1217">
        <f t="shared" si="205"/>
        <v>5.823571973326569E-2</v>
      </c>
      <c r="BH135" s="1217">
        <f t="shared" si="205"/>
        <v>4.8198377875282583E-2</v>
      </c>
      <c r="BI135" s="1276"/>
      <c r="BJ135" s="1239">
        <f t="shared" ref="BJ135:BR137" si="206">BJ129/BE129-1</f>
        <v>3.3940413171020811E-2</v>
      </c>
      <c r="BK135" s="1217">
        <f t="shared" si="206"/>
        <v>3.7947125805749327E-2</v>
      </c>
      <c r="BL135" s="1217">
        <f t="shared" si="206"/>
        <v>1.9495518802550071E-2</v>
      </c>
      <c r="BM135" s="1217">
        <f t="shared" si="206"/>
        <v>9.1783018782449766E-3</v>
      </c>
      <c r="BN135" s="1276"/>
      <c r="BO135" s="1239">
        <f t="shared" si="206"/>
        <v>4.0164131379036405E-2</v>
      </c>
      <c r="BP135" s="1217">
        <f t="shared" si="206"/>
        <v>4.3153133435470892E-2</v>
      </c>
      <c r="BQ135" s="1217">
        <f t="shared" si="206"/>
        <v>1.7808591625883663E-2</v>
      </c>
      <c r="BR135" s="1217">
        <f t="shared" si="206"/>
        <v>-2.6485428525255816E-3</v>
      </c>
      <c r="BS135" s="1276"/>
      <c r="BT135" s="1239">
        <f t="shared" ref="BT135:BU137" si="207">BT129/BO129-1</f>
        <v>-3.649868505224263E-2</v>
      </c>
      <c r="BU135" s="1217">
        <f t="shared" si="207"/>
        <v>-4.9594363045074585E-2</v>
      </c>
      <c r="BV135" s="1217">
        <f t="shared" ref="BV135:BW137" si="208">BV129/BQ129-1</f>
        <v>-5.1288900761319645E-2</v>
      </c>
      <c r="BW135" s="1217">
        <f t="shared" si="208"/>
        <v>-4.2804288530611134E-2</v>
      </c>
      <c r="BX135" s="1276"/>
      <c r="BY135" s="1239">
        <f>BY129/BT129-1</f>
        <v>-2.9803400833609883E-2</v>
      </c>
      <c r="BZ135" s="1217">
        <f t="shared" ref="BZ135:CB137" si="209">BZ129/BU129-1</f>
        <v>-3.0676539575955508E-2</v>
      </c>
      <c r="CA135" s="1217">
        <f t="shared" si="209"/>
        <v>-6.9172650053967999E-3</v>
      </c>
      <c r="CB135" s="1217">
        <f t="shared" si="209"/>
        <v>-6.7900537937780614E-3</v>
      </c>
      <c r="CC135" s="1760"/>
      <c r="CD135" s="1239">
        <f>CD129/BY129-1</f>
        <v>8.6206896551723755E-3</v>
      </c>
      <c r="CE135" s="1217">
        <f t="shared" ref="CE135:CE137" si="210">CE129/BZ129-1</f>
        <v>1.0628202695008637E-2</v>
      </c>
      <c r="CF135" s="1217">
        <f t="shared" ref="CF135:CF137" si="211">CF129/CA129-1</f>
        <v>8.902918493875811E-3</v>
      </c>
      <c r="CG135" s="1217">
        <f t="shared" ref="CG135:CG137" si="212">CG129/CB129-1</f>
        <v>1.398519079632532E-2</v>
      </c>
      <c r="CH135" s="1760"/>
      <c r="CI135" s="1217"/>
      <c r="CJ135" s="860"/>
      <c r="CK135" s="1233"/>
      <c r="CL135" s="860"/>
      <c r="CM135" s="860"/>
      <c r="CN135" s="860"/>
      <c r="CO135" s="1232"/>
      <c r="CP135" s="1233"/>
      <c r="CQ135" s="860"/>
      <c r="CR135" s="860"/>
      <c r="CS135" s="860"/>
      <c r="CT135" s="1232"/>
      <c r="CU135" s="1233"/>
      <c r="CV135" s="860"/>
      <c r="CW135" s="860"/>
      <c r="CX135" s="860"/>
      <c r="CY135" s="1232"/>
      <c r="CZ135" s="1233"/>
      <c r="DA135" s="860"/>
      <c r="DB135" s="860"/>
      <c r="DC135" s="860"/>
      <c r="DD135" s="1232"/>
      <c r="DE135" s="1233"/>
      <c r="DF135" s="860"/>
      <c r="DG135" s="860"/>
      <c r="DH135" s="860"/>
      <c r="DI135" s="1232"/>
      <c r="DJ135" s="1233"/>
      <c r="DK135" s="860"/>
      <c r="DL135" s="860"/>
      <c r="DM135" s="860"/>
      <c r="DN135" s="1232"/>
      <c r="DO135" s="1233"/>
      <c r="DP135" s="860"/>
      <c r="DQ135" s="860"/>
      <c r="DR135" s="860"/>
      <c r="DS135" s="1232"/>
      <c r="DT135" s="1233"/>
      <c r="DU135" s="860"/>
      <c r="DV135" s="860"/>
      <c r="DW135" s="860"/>
      <c r="DX135" s="1232"/>
      <c r="DY135" s="1233"/>
      <c r="DZ135" s="860"/>
      <c r="EA135" s="860"/>
      <c r="EB135" s="860"/>
      <c r="EC135" s="1232"/>
      <c r="ED135" s="860"/>
      <c r="EE135" s="860"/>
      <c r="EF135" s="860"/>
      <c r="EG135" s="860"/>
      <c r="EH135" s="860"/>
      <c r="EI135" s="1233"/>
      <c r="EJ135" s="860"/>
      <c r="EK135" s="860"/>
      <c r="EL135" s="860"/>
      <c r="EM135" s="1232"/>
      <c r="EN135" s="1233"/>
      <c r="EO135" s="860"/>
      <c r="EP135" s="860"/>
      <c r="EQ135" s="860"/>
      <c r="ER135" s="1232"/>
      <c r="ES135" s="860"/>
      <c r="ET135" s="860"/>
      <c r="EU135" s="860"/>
      <c r="EV135" s="860"/>
      <c r="EW135" s="1232"/>
      <c r="EX135" s="1233"/>
      <c r="EY135" s="860"/>
      <c r="EZ135" s="860"/>
      <c r="FA135" s="860"/>
      <c r="FB135" s="1754"/>
      <c r="FC135" s="1233"/>
      <c r="FD135" s="860"/>
      <c r="FE135" s="860"/>
      <c r="FF135" s="860"/>
      <c r="FG135" s="860"/>
      <c r="FH135" s="860"/>
      <c r="FI135" s="860"/>
      <c r="FJ135" s="860"/>
      <c r="FY135" s="860"/>
      <c r="FZ135" s="860"/>
      <c r="GA135" s="860"/>
      <c r="GB135" s="860"/>
      <c r="GC135" s="860"/>
      <c r="GD135" s="860"/>
      <c r="GE135" s="860"/>
      <c r="GF135" s="860"/>
      <c r="GG135" s="860"/>
      <c r="GH135" s="860"/>
      <c r="GI135" s="860"/>
      <c r="GJ135" s="860"/>
      <c r="GK135" s="860"/>
      <c r="GL135" s="860"/>
      <c r="GM135" s="860"/>
      <c r="GN135" s="860"/>
      <c r="GO135" s="860"/>
      <c r="GP135" s="860"/>
      <c r="GQ135" s="860"/>
      <c r="GR135" s="1247">
        <v>3.5000000000000003E-2</v>
      </c>
      <c r="GS135" s="1218"/>
      <c r="GT135" s="1247">
        <v>1.4999999999999999E-2</v>
      </c>
      <c r="GU135" s="1218"/>
      <c r="GV135" s="1247">
        <v>3.9803824010233857E-3</v>
      </c>
      <c r="GW135" s="1218"/>
      <c r="GX135" s="1218"/>
      <c r="GY135" s="1247">
        <v>-3.836066720285336E-2</v>
      </c>
      <c r="GZ135" s="1218"/>
      <c r="HA135" s="1218"/>
      <c r="HB135" s="1247">
        <v>1.736342994523854E-3</v>
      </c>
      <c r="HC135" s="1218"/>
      <c r="HD135" s="2000"/>
      <c r="HE135" s="1247">
        <v>-1.8787076795664714E-2</v>
      </c>
      <c r="HF135" s="1218"/>
      <c r="HG135" s="2000"/>
      <c r="HH135" s="1247"/>
      <c r="HI135" s="1247">
        <v>-1</v>
      </c>
      <c r="HJ135" s="1218"/>
      <c r="HK135" s="2000"/>
      <c r="HL135" s="1247">
        <v>-1</v>
      </c>
      <c r="HM135" s="1218"/>
      <c r="HN135" s="2000"/>
      <c r="HO135" s="1247">
        <v>-1</v>
      </c>
      <c r="HP135" s="1218"/>
      <c r="HQ135" s="2000"/>
      <c r="HR135" s="1247">
        <v>8.6206896551723755E-3</v>
      </c>
    </row>
    <row r="136" spans="1:226">
      <c r="A136" s="1290" t="str">
        <f>A130</f>
        <v>Wholesale</v>
      </c>
      <c r="B136" s="1233"/>
      <c r="C136" s="860"/>
      <c r="D136" s="860"/>
      <c r="E136" s="860"/>
      <c r="F136" s="1232"/>
      <c r="G136" s="1233"/>
      <c r="H136" s="860"/>
      <c r="I136" s="860"/>
      <c r="J136" s="860"/>
      <c r="K136" s="1232"/>
      <c r="L136" s="1233"/>
      <c r="M136" s="860"/>
      <c r="N136" s="860"/>
      <c r="O136" s="860"/>
      <c r="P136" s="1232"/>
      <c r="Q136" s="1233"/>
      <c r="R136" s="860"/>
      <c r="S136" s="860"/>
      <c r="T136" s="860"/>
      <c r="U136" s="1232"/>
      <c r="V136" s="1233"/>
      <c r="W136" s="860"/>
      <c r="X136" s="860"/>
      <c r="Y136" s="860"/>
      <c r="Z136" s="1261"/>
      <c r="AA136" s="1326"/>
      <c r="AB136" s="1274"/>
      <c r="AC136" s="1274"/>
      <c r="AD136" s="1274"/>
      <c r="AE136" s="1261"/>
      <c r="AF136" s="1239">
        <f t="shared" si="200"/>
        <v>7.6095947063689051E-2</v>
      </c>
      <c r="AG136" s="1217">
        <f t="shared" si="200"/>
        <v>8.0879947661105733E-2</v>
      </c>
      <c r="AH136" s="1217">
        <f t="shared" si="200"/>
        <v>0.13302991867492353</v>
      </c>
      <c r="AI136" s="1217">
        <f t="shared" si="200"/>
        <v>0.16362937331795502</v>
      </c>
      <c r="AJ136" s="1232"/>
      <c r="AK136" s="1239">
        <f t="shared" si="201"/>
        <v>2.0138355111452677E-2</v>
      </c>
      <c r="AL136" s="1217">
        <f t="shared" si="201"/>
        <v>1.5132026935016363E-4</v>
      </c>
      <c r="AM136" s="1217">
        <f t="shared" si="201"/>
        <v>-0.14170946924799144</v>
      </c>
      <c r="AN136" s="1217">
        <f t="shared" si="201"/>
        <v>-0.16341769642503179</v>
      </c>
      <c r="AO136" s="1261"/>
      <c r="AP136" s="1239">
        <f t="shared" si="202"/>
        <v>-4.0235081374321968E-2</v>
      </c>
      <c r="AQ136" s="1217">
        <f t="shared" si="202"/>
        <v>-1.6415765186474029E-2</v>
      </c>
      <c r="AR136" s="1217">
        <f t="shared" si="202"/>
        <v>4.2043885223262301E-2</v>
      </c>
      <c r="AS136" s="1217">
        <f t="shared" si="202"/>
        <v>0.11279620853080563</v>
      </c>
      <c r="AT136" s="1276"/>
      <c r="AU136" s="1239">
        <f t="shared" si="203"/>
        <v>9.3656775003925219E-2</v>
      </c>
      <c r="AV136" s="1217">
        <f t="shared" si="203"/>
        <v>8.6602061221350501E-2</v>
      </c>
      <c r="AW136" s="1217">
        <f t="shared" si="203"/>
        <v>5.8533352967162333E-2</v>
      </c>
      <c r="AX136" s="1217">
        <f t="shared" si="203"/>
        <v>0.1577228847245884</v>
      </c>
      <c r="AY136" s="1276"/>
      <c r="AZ136" s="1239">
        <f t="shared" si="204"/>
        <v>6.4388773239537844E-2</v>
      </c>
      <c r="BA136" s="1217">
        <f t="shared" si="204"/>
        <v>0.26627972819932055</v>
      </c>
      <c r="BB136" s="1217">
        <f t="shared" si="204"/>
        <v>0.20609306531265204</v>
      </c>
      <c r="BC136" s="1217">
        <f t="shared" si="204"/>
        <v>9.0190067443286281E-2</v>
      </c>
      <c r="BD136" s="1276"/>
      <c r="BE136" s="1239">
        <f t="shared" si="205"/>
        <v>0.14668195306177512</v>
      </c>
      <c r="BF136" s="1217">
        <f t="shared" si="205"/>
        <v>4.2537730575740618E-2</v>
      </c>
      <c r="BG136" s="1217">
        <f t="shared" si="205"/>
        <v>5.9976931949250467E-3</v>
      </c>
      <c r="BH136" s="1217">
        <f t="shared" si="205"/>
        <v>0.10359372363759123</v>
      </c>
      <c r="BI136" s="1276"/>
      <c r="BJ136" s="1239">
        <f t="shared" si="206"/>
        <v>-0.10109980591660284</v>
      </c>
      <c r="BK136" s="1217">
        <f t="shared" si="206"/>
        <v>-0.18760388182939247</v>
      </c>
      <c r="BL136" s="1217">
        <f t="shared" si="206"/>
        <v>3.8179316670488461E-2</v>
      </c>
      <c r="BM136" s="1217">
        <f t="shared" si="206"/>
        <v>-4.8514498292820063E-2</v>
      </c>
      <c r="BN136" s="1276"/>
      <c r="BO136" s="1239">
        <f t="shared" si="206"/>
        <v>-4.0499869144203116E-2</v>
      </c>
      <c r="BP136" s="1217">
        <f t="shared" si="206"/>
        <v>-7.9989440337909223E-2</v>
      </c>
      <c r="BQ136" s="1217">
        <f t="shared" si="206"/>
        <v>-0.24014356709000562</v>
      </c>
      <c r="BR136" s="1217">
        <f t="shared" si="206"/>
        <v>-0.16067698569974831</v>
      </c>
      <c r="BS136" s="1276"/>
      <c r="BT136" s="1239">
        <f t="shared" si="207"/>
        <v>-0.27425843845891584</v>
      </c>
      <c r="BU136" s="1217">
        <f t="shared" si="207"/>
        <v>-0.25875179340028698</v>
      </c>
      <c r="BV136" s="1217">
        <f t="shared" si="208"/>
        <v>-0.25812077610638762</v>
      </c>
      <c r="BW136" s="1217">
        <f t="shared" si="208"/>
        <v>-0.18894773785974084</v>
      </c>
      <c r="BX136" s="1276"/>
      <c r="BY136" s="1239">
        <f>BY130/BT130-1</f>
        <v>-4.4912148830216991E-2</v>
      </c>
      <c r="BZ136" s="1217">
        <f t="shared" si="209"/>
        <v>2.9710635826962095E-2</v>
      </c>
      <c r="CA136" s="1217">
        <f t="shared" si="209"/>
        <v>7.6501126457047652E-2</v>
      </c>
      <c r="CB136" s="1217">
        <f t="shared" si="209"/>
        <v>-6.4830841856805765E-2</v>
      </c>
      <c r="CC136" s="1760"/>
      <c r="CD136" s="1239">
        <f>CD130/BY130-1</f>
        <v>0.26384653221839649</v>
      </c>
      <c r="CE136" s="1217">
        <f t="shared" si="210"/>
        <v>0.1278195488721805</v>
      </c>
      <c r="CF136" s="1217">
        <f t="shared" si="211"/>
        <v>9.1901728844403952E-2</v>
      </c>
      <c r="CG136" s="1217">
        <f t="shared" si="212"/>
        <v>1.4718997139492096E-2</v>
      </c>
      <c r="CH136" s="1760"/>
      <c r="CI136" s="1217"/>
      <c r="CJ136" s="860"/>
      <c r="CK136" s="1233"/>
      <c r="CL136" s="860"/>
      <c r="CM136" s="860"/>
      <c r="CN136" s="860"/>
      <c r="CO136" s="1232"/>
      <c r="CP136" s="1233"/>
      <c r="CQ136" s="860"/>
      <c r="CR136" s="860"/>
      <c r="CS136" s="860"/>
      <c r="CT136" s="1232"/>
      <c r="CU136" s="1233"/>
      <c r="CV136" s="860"/>
      <c r="CW136" s="860"/>
      <c r="CX136" s="860"/>
      <c r="CY136" s="1232"/>
      <c r="CZ136" s="1233"/>
      <c r="DA136" s="860"/>
      <c r="DB136" s="860"/>
      <c r="DC136" s="860"/>
      <c r="DD136" s="1232"/>
      <c r="DE136" s="1233"/>
      <c r="DF136" s="860"/>
      <c r="DG136" s="860"/>
      <c r="DH136" s="860"/>
      <c r="DI136" s="1232"/>
      <c r="DJ136" s="1233"/>
      <c r="DK136" s="860"/>
      <c r="DL136" s="860"/>
      <c r="DM136" s="860"/>
      <c r="DN136" s="1232"/>
      <c r="DO136" s="1233"/>
      <c r="DP136" s="860"/>
      <c r="DQ136" s="860"/>
      <c r="DR136" s="860"/>
      <c r="DS136" s="1232"/>
      <c r="DT136" s="1233"/>
      <c r="DU136" s="860"/>
      <c r="DV136" s="860"/>
      <c r="DW136" s="860"/>
      <c r="DX136" s="1232"/>
      <c r="DY136" s="1233"/>
      <c r="DZ136" s="860"/>
      <c r="EA136" s="860"/>
      <c r="EB136" s="860"/>
      <c r="EC136" s="1232"/>
      <c r="ED136" s="860"/>
      <c r="EE136" s="860"/>
      <c r="EF136" s="860"/>
      <c r="EG136" s="860"/>
      <c r="EH136" s="860"/>
      <c r="EI136" s="1233"/>
      <c r="EJ136" s="860"/>
      <c r="EK136" s="860"/>
      <c r="EL136" s="860"/>
      <c r="EM136" s="1232"/>
      <c r="EN136" s="1233"/>
      <c r="EO136" s="860"/>
      <c r="EP136" s="860"/>
      <c r="EQ136" s="860"/>
      <c r="ER136" s="1232"/>
      <c r="ES136" s="860"/>
      <c r="ET136" s="860"/>
      <c r="EU136" s="860"/>
      <c r="EV136" s="860"/>
      <c r="EW136" s="1232"/>
      <c r="EX136" s="1233"/>
      <c r="EY136" s="860"/>
      <c r="EZ136" s="860"/>
      <c r="FA136" s="860"/>
      <c r="FB136" s="1754"/>
      <c r="FC136" s="1233"/>
      <c r="FD136" s="860"/>
      <c r="FE136" s="860"/>
      <c r="FF136" s="860"/>
      <c r="FG136" s="860"/>
      <c r="FH136" s="860"/>
      <c r="FI136" s="860"/>
      <c r="FJ136" s="860"/>
      <c r="FY136" s="860"/>
      <c r="FZ136" s="860"/>
      <c r="GA136" s="860"/>
      <c r="GB136" s="860"/>
      <c r="GC136" s="860"/>
      <c r="GD136" s="860"/>
      <c r="GE136" s="860"/>
      <c r="GF136" s="860"/>
      <c r="GG136" s="860"/>
      <c r="GH136" s="860"/>
      <c r="GI136" s="860"/>
      <c r="GJ136" s="860"/>
      <c r="GK136" s="860"/>
      <c r="GL136" s="860"/>
      <c r="GM136" s="860"/>
      <c r="GN136" s="860"/>
      <c r="GO136" s="860"/>
      <c r="GP136" s="860"/>
      <c r="GQ136" s="860"/>
      <c r="GR136" s="2015">
        <v>-0.1</v>
      </c>
      <c r="GS136" s="1218"/>
      <c r="GT136" s="1247">
        <v>-0.08</v>
      </c>
      <c r="GU136" s="1218"/>
      <c r="GV136" s="1247">
        <v>-5.0000000000000044E-2</v>
      </c>
      <c r="GW136" s="1218"/>
      <c r="GX136" s="1218"/>
      <c r="GY136" s="1247">
        <v>-0.24677187948350077</v>
      </c>
      <c r="GZ136" s="1218"/>
      <c r="HA136" s="1218"/>
      <c r="HB136" s="1247">
        <v>-0.38231233195261971</v>
      </c>
      <c r="HC136" s="1218"/>
      <c r="HD136" s="2000"/>
      <c r="HE136" s="1247">
        <v>-0.31623301001850668</v>
      </c>
      <c r="HF136" s="1218"/>
      <c r="HG136" s="2000"/>
      <c r="HH136" s="1247"/>
      <c r="HI136" s="1247">
        <v>-1</v>
      </c>
      <c r="HJ136" s="1218"/>
      <c r="HK136" s="2000"/>
      <c r="HL136" s="1247">
        <v>-1</v>
      </c>
      <c r="HM136" s="1218"/>
      <c r="HN136" s="2000"/>
      <c r="HO136" s="1247">
        <v>-1</v>
      </c>
      <c r="HP136" s="1218"/>
      <c r="HQ136" s="2000"/>
      <c r="HR136" s="1247">
        <v>0.26384653221839649</v>
      </c>
    </row>
    <row r="137" spans="1:226">
      <c r="A137" s="1300" t="s">
        <v>774</v>
      </c>
      <c r="B137" s="1668"/>
      <c r="C137" s="1271"/>
      <c r="D137" s="1271"/>
      <c r="E137" s="1271"/>
      <c r="F137" s="1418"/>
      <c r="G137" s="1668"/>
      <c r="H137" s="1271"/>
      <c r="I137" s="1271"/>
      <c r="J137" s="1271"/>
      <c r="K137" s="1418"/>
      <c r="L137" s="1668"/>
      <c r="M137" s="1271"/>
      <c r="N137" s="1271"/>
      <c r="O137" s="1271"/>
      <c r="P137" s="1418"/>
      <c r="Q137" s="1668"/>
      <c r="R137" s="1271"/>
      <c r="S137" s="1271"/>
      <c r="T137" s="1271"/>
      <c r="U137" s="1418"/>
      <c r="V137" s="1668"/>
      <c r="W137" s="1271"/>
      <c r="X137" s="1271"/>
      <c r="Y137" s="1271"/>
      <c r="Z137" s="1338"/>
      <c r="AA137" s="1666"/>
      <c r="AB137" s="1301"/>
      <c r="AC137" s="1301"/>
      <c r="AD137" s="1301"/>
      <c r="AE137" s="1338"/>
      <c r="AF137" s="1339">
        <f t="shared" si="200"/>
        <v>0.15646751740139209</v>
      </c>
      <c r="AG137" s="1303">
        <f t="shared" si="200"/>
        <v>0.13455824644018399</v>
      </c>
      <c r="AH137" s="1303">
        <f t="shared" si="200"/>
        <v>0.12343972244008139</v>
      </c>
      <c r="AI137" s="1303">
        <f t="shared" si="200"/>
        <v>0.10923033520556014</v>
      </c>
      <c r="AJ137" s="1418"/>
      <c r="AK137" s="1339">
        <f t="shared" si="201"/>
        <v>4.6457680250783673E-2</v>
      </c>
      <c r="AL137" s="1303">
        <f t="shared" si="201"/>
        <v>3.6552073425320852E-2</v>
      </c>
      <c r="AM137" s="1303">
        <f t="shared" si="201"/>
        <v>1.8399536166033625E-2</v>
      </c>
      <c r="AN137" s="1303">
        <f t="shared" si="201"/>
        <v>3.386127167630093E-2</v>
      </c>
      <c r="AO137" s="1338"/>
      <c r="AP137" s="1339">
        <f t="shared" si="202"/>
        <v>7.4255586843208876E-2</v>
      </c>
      <c r="AQ137" s="1303">
        <f t="shared" si="202"/>
        <v>9.2716178854037601E-2</v>
      </c>
      <c r="AR137" s="1303">
        <f t="shared" si="202"/>
        <v>0.11296881535530057</v>
      </c>
      <c r="AS137" s="1303">
        <f t="shared" si="202"/>
        <v>0.10783973878719411</v>
      </c>
      <c r="AT137" s="1340"/>
      <c r="AU137" s="1339">
        <f t="shared" si="203"/>
        <v>0.14523937000847753</v>
      </c>
      <c r="AV137" s="1303">
        <f t="shared" si="203"/>
        <v>0.15927234655149825</v>
      </c>
      <c r="AW137" s="1303">
        <f t="shared" si="203"/>
        <v>0.15266569928281348</v>
      </c>
      <c r="AX137" s="1303">
        <f t="shared" si="203"/>
        <v>0.15388652811563164</v>
      </c>
      <c r="AY137" s="1340"/>
      <c r="AZ137" s="1339">
        <f t="shared" si="204"/>
        <v>9.460130706222647E-2</v>
      </c>
      <c r="BA137" s="1303">
        <f t="shared" si="204"/>
        <v>0.10238390908406725</v>
      </c>
      <c r="BB137" s="1303">
        <f t="shared" si="204"/>
        <v>8.3312955667255384E-2</v>
      </c>
      <c r="BC137" s="1303">
        <f t="shared" si="204"/>
        <v>7.6592692378344873E-2</v>
      </c>
      <c r="BD137" s="1340"/>
      <c r="BE137" s="1339">
        <f t="shared" si="205"/>
        <v>8.2492481269909046E-2</v>
      </c>
      <c r="BF137" s="1303">
        <f t="shared" si="205"/>
        <v>6.0753206632587986E-2</v>
      </c>
      <c r="BG137" s="1303">
        <f t="shared" si="205"/>
        <v>5.0662965873560006E-2</v>
      </c>
      <c r="BH137" s="1303">
        <f t="shared" si="205"/>
        <v>5.620150314848682E-2</v>
      </c>
      <c r="BI137" s="1340"/>
      <c r="BJ137" s="1339">
        <f t="shared" si="206"/>
        <v>1.506695052483642E-2</v>
      </c>
      <c r="BK137" s="1303">
        <f t="shared" si="206"/>
        <v>4.1030426877344262E-3</v>
      </c>
      <c r="BL137" s="1303">
        <f t="shared" si="206"/>
        <v>2.2088896669159919E-2</v>
      </c>
      <c r="BM137" s="1303">
        <f t="shared" si="206"/>
        <v>4.6925964674748855E-4</v>
      </c>
      <c r="BN137" s="1340"/>
      <c r="BO137" s="1339">
        <f t="shared" si="206"/>
        <v>3.0180581423597141E-2</v>
      </c>
      <c r="BP137" s="1303">
        <f t="shared" si="206"/>
        <v>2.8203320299980517E-2</v>
      </c>
      <c r="BQ137" s="1303">
        <f t="shared" si="206"/>
        <v>-1.8559750875827175E-2</v>
      </c>
      <c r="BR137" s="1303">
        <f t="shared" si="206"/>
        <v>-2.5335824625345005E-2</v>
      </c>
      <c r="BS137" s="1340"/>
      <c r="BT137" s="1339">
        <f t="shared" si="207"/>
        <v>-6.3906553369439734E-2</v>
      </c>
      <c r="BU137" s="1303">
        <f t="shared" si="207"/>
        <v>-7.2314693597655966E-2</v>
      </c>
      <c r="BV137" s="1303">
        <f t="shared" si="208"/>
        <v>-7.3866070153729035E-2</v>
      </c>
      <c r="BW137" s="1303">
        <f>BW131/BR131-1</f>
        <v>-6.0871897631707639E-2</v>
      </c>
      <c r="BX137" s="1340"/>
      <c r="BY137" s="1339">
        <f>BY131/BT131-1</f>
        <v>-3.115369435790627E-2</v>
      </c>
      <c r="BZ137" s="1303">
        <f t="shared" si="209"/>
        <v>-2.5435118607620377E-2</v>
      </c>
      <c r="CA137" s="1303">
        <f t="shared" si="209"/>
        <v>3.7686074995280094E-4</v>
      </c>
      <c r="CB137" s="1303">
        <f t="shared" si="209"/>
        <v>-1.2987012987012991E-2</v>
      </c>
      <c r="CC137" s="1773"/>
      <c r="CD137" s="1339">
        <f>CD131/BY131-1</f>
        <v>3.1106719710167541E-2</v>
      </c>
      <c r="CE137" s="1303">
        <f t="shared" si="210"/>
        <v>2.1375624892259859E-2</v>
      </c>
      <c r="CF137" s="1303">
        <f t="shared" si="211"/>
        <v>1.6712614942036685E-2</v>
      </c>
      <c r="CG137" s="1303">
        <f t="shared" si="212"/>
        <v>1.4059423299515927E-2</v>
      </c>
      <c r="CH137" s="1773"/>
      <c r="CI137" s="1217"/>
      <c r="CJ137" s="860"/>
      <c r="CK137" s="1233"/>
      <c r="CL137" s="860"/>
      <c r="CM137" s="860"/>
      <c r="CN137" s="860"/>
      <c r="CO137" s="1232"/>
      <c r="CP137" s="1233"/>
      <c r="CQ137" s="860"/>
      <c r="CR137" s="860"/>
      <c r="CS137" s="860"/>
      <c r="CT137" s="1232"/>
      <c r="CU137" s="1233"/>
      <c r="CV137" s="860"/>
      <c r="CW137" s="860"/>
      <c r="CX137" s="860"/>
      <c r="CY137" s="1232"/>
      <c r="CZ137" s="1233"/>
      <c r="DA137" s="860"/>
      <c r="DB137" s="860"/>
      <c r="DC137" s="860"/>
      <c r="DD137" s="1232"/>
      <c r="DE137" s="1233"/>
      <c r="DF137" s="860"/>
      <c r="DG137" s="860"/>
      <c r="DH137" s="860"/>
      <c r="DI137" s="1232"/>
      <c r="DJ137" s="1233"/>
      <c r="DK137" s="860"/>
      <c r="DL137" s="860"/>
      <c r="DM137" s="860"/>
      <c r="DN137" s="1232"/>
      <c r="DO137" s="1233"/>
      <c r="DP137" s="860"/>
      <c r="DQ137" s="860"/>
      <c r="DR137" s="860"/>
      <c r="DS137" s="1232"/>
      <c r="DT137" s="1233"/>
      <c r="DU137" s="860"/>
      <c r="DV137" s="860"/>
      <c r="DW137" s="860"/>
      <c r="DX137" s="1232"/>
      <c r="DY137" s="1233"/>
      <c r="DZ137" s="860"/>
      <c r="EA137" s="860"/>
      <c r="EB137" s="860"/>
      <c r="EC137" s="1232"/>
      <c r="ED137" s="860"/>
      <c r="EE137" s="860"/>
      <c r="EF137" s="860"/>
      <c r="EG137" s="860"/>
      <c r="EH137" s="860"/>
      <c r="EI137" s="1233"/>
      <c r="EJ137" s="860"/>
      <c r="EK137" s="860"/>
      <c r="EL137" s="860"/>
      <c r="EM137" s="1232"/>
      <c r="EN137" s="1233"/>
      <c r="EO137" s="860"/>
      <c r="EP137" s="860"/>
      <c r="EQ137" s="860"/>
      <c r="ER137" s="1232"/>
      <c r="ES137" s="860"/>
      <c r="ET137" s="860"/>
      <c r="EU137" s="860"/>
      <c r="EV137" s="860"/>
      <c r="EW137" s="1232"/>
      <c r="EX137" s="1233"/>
      <c r="EY137" s="860"/>
      <c r="EZ137" s="860"/>
      <c r="FA137" s="860"/>
      <c r="FB137" s="1754"/>
      <c r="FC137" s="1233"/>
      <c r="FD137" s="860"/>
      <c r="FE137" s="860"/>
      <c r="FF137" s="860"/>
      <c r="FG137" s="860"/>
      <c r="FH137" s="860"/>
      <c r="FI137" s="860"/>
      <c r="FJ137" s="860"/>
      <c r="FY137" s="860"/>
      <c r="FZ137" s="860"/>
      <c r="GA137" s="860"/>
      <c r="GB137" s="860"/>
      <c r="GC137" s="860"/>
      <c r="GD137" s="860"/>
      <c r="GE137" s="860"/>
      <c r="GF137" s="860"/>
      <c r="GG137" s="860"/>
      <c r="GH137" s="860"/>
      <c r="GI137" s="860"/>
      <c r="GJ137" s="860"/>
      <c r="GK137" s="860"/>
      <c r="GL137" s="860"/>
      <c r="GM137" s="860"/>
      <c r="GN137" s="860"/>
      <c r="GO137" s="860"/>
      <c r="GP137" s="860"/>
      <c r="GQ137" s="860"/>
      <c r="GR137" s="1247">
        <v>1.596652393927589E-2</v>
      </c>
      <c r="GS137" s="1218"/>
      <c r="GT137" s="1247">
        <v>1.3613680576378684E-3</v>
      </c>
      <c r="GU137" s="1218"/>
      <c r="GV137" s="1639">
        <v>-2.2422317771997324E-3</v>
      </c>
      <c r="GW137" s="1218"/>
      <c r="GX137" s="1218"/>
      <c r="GY137" s="1639">
        <v>-6.0999937659746872E-2</v>
      </c>
      <c r="GZ137" s="1218"/>
      <c r="HA137" s="1218"/>
      <c r="HB137" s="1639">
        <v>-4.0185299763615956E-2</v>
      </c>
      <c r="HC137" s="1218"/>
      <c r="HD137" s="2000"/>
      <c r="HE137" s="1639">
        <v>-5.5560102715410675E-2</v>
      </c>
      <c r="HF137" s="1218"/>
      <c r="HG137" s="2000"/>
      <c r="HH137" s="1247"/>
      <c r="HI137" s="1639">
        <v>-3.0000000000000027E-2</v>
      </c>
      <c r="HJ137" s="1218"/>
      <c r="HK137" s="2000"/>
      <c r="HL137" s="1639">
        <v>-6.4580228514654614E-3</v>
      </c>
      <c r="HM137" s="1218"/>
      <c r="HN137" s="2000"/>
      <c r="HO137" s="1639">
        <v>-3.4941449236405298E-3</v>
      </c>
      <c r="HP137" s="1218"/>
      <c r="HQ137" s="2000"/>
      <c r="HR137" s="1247">
        <v>3.1106719710167541E-2</v>
      </c>
    </row>
    <row r="138" spans="1:226">
      <c r="A138" s="1290" t="s">
        <v>775</v>
      </c>
      <c r="B138" s="1233"/>
      <c r="C138" s="860"/>
      <c r="D138" s="860"/>
      <c r="E138" s="860"/>
      <c r="F138" s="1232"/>
      <c r="G138" s="1233"/>
      <c r="H138" s="860"/>
      <c r="I138" s="860"/>
      <c r="J138" s="860"/>
      <c r="K138" s="1232"/>
      <c r="L138" s="1233"/>
      <c r="M138" s="860"/>
      <c r="N138" s="860"/>
      <c r="O138" s="860"/>
      <c r="P138" s="1232"/>
      <c r="Q138" s="1233"/>
      <c r="R138" s="860"/>
      <c r="S138" s="860"/>
      <c r="T138" s="860"/>
      <c r="U138" s="1232"/>
      <c r="V138" s="1233"/>
      <c r="W138" s="860"/>
      <c r="X138" s="860"/>
      <c r="Y138" s="860"/>
      <c r="Z138" s="1261"/>
      <c r="AA138" s="1242"/>
      <c r="AB138" s="1162"/>
      <c r="AC138" s="1162"/>
      <c r="AD138" s="1162"/>
      <c r="AE138" s="1261"/>
      <c r="AF138" s="1239">
        <f>DE14</f>
        <v>0.13502122272693429</v>
      </c>
      <c r="AG138" s="1217">
        <f>DF14</f>
        <v>0.12915177214640305</v>
      </c>
      <c r="AH138" s="1217">
        <f>DG14</f>
        <v>0.11806964628461758</v>
      </c>
      <c r="AI138" s="1217">
        <f>DH14</f>
        <v>9.8162507760796158E-2</v>
      </c>
      <c r="AJ138" s="1232"/>
      <c r="AK138" s="1239">
        <f>DJ14</f>
        <v>6.2353203605778562E-2</v>
      </c>
      <c r="AL138" s="1217">
        <f>DK14</f>
        <v>3.0068827623332073E-2</v>
      </c>
      <c r="AM138" s="1217">
        <f>DL14</f>
        <v>2.0514518344123989E-2</v>
      </c>
      <c r="AN138" s="1217">
        <f>DM14</f>
        <v>3.3645287013424285E-2</v>
      </c>
      <c r="AO138" s="1276"/>
      <c r="AP138" s="1239">
        <f>DO14</f>
        <v>7.082247446364387E-2</v>
      </c>
      <c r="AQ138" s="1217">
        <f>DP14</f>
        <v>9.8174623912800074E-2</v>
      </c>
      <c r="AR138" s="1217">
        <f>DQ14</f>
        <v>0.10782817662961852</v>
      </c>
      <c r="AS138" s="1217">
        <f>DR14</f>
        <v>0.10762373587496676</v>
      </c>
      <c r="AT138" s="1276"/>
      <c r="AU138" s="1239">
        <f>DT14</f>
        <v>0.14168887043380973</v>
      </c>
      <c r="AV138" s="1217">
        <f>DU14</f>
        <v>0.15749458966427587</v>
      </c>
      <c r="AW138" s="1217">
        <f>DV14</f>
        <v>0.14666102669226366</v>
      </c>
      <c r="AX138" s="1217">
        <f>DW14</f>
        <v>0.15743299326517946</v>
      </c>
      <c r="AY138" s="1276"/>
      <c r="AZ138" s="1239">
        <f>DY14</f>
        <v>9.3613925904971751E-2</v>
      </c>
      <c r="BA138" s="1217">
        <f>DZ14</f>
        <v>0.10700196755973623</v>
      </c>
      <c r="BB138" s="1217">
        <f>EA14</f>
        <v>7.9057140965371087E-2</v>
      </c>
      <c r="BC138" s="1217">
        <f>EB14</f>
        <v>7.3492433801435553E-2</v>
      </c>
      <c r="BD138" s="1276"/>
      <c r="BE138" s="1239">
        <f>ED14</f>
        <v>7.8690402505381174E-2</v>
      </c>
      <c r="BF138" s="1217">
        <f>EE14</f>
        <v>5.9493491794001319E-2</v>
      </c>
      <c r="BG138" s="1217">
        <f>EF14</f>
        <v>5.7740688470270696E-2</v>
      </c>
      <c r="BH138" s="1217">
        <f>EG14</f>
        <v>3.9786228299382387E-2</v>
      </c>
      <c r="BI138" s="1276"/>
      <c r="BJ138" s="1239">
        <f>EI14</f>
        <v>1.0962189012118317E-2</v>
      </c>
      <c r="BK138" s="1217">
        <f>EJ14</f>
        <v>-1.9329638779461922E-2</v>
      </c>
      <c r="BL138" s="1217">
        <f>EK14</f>
        <v>2.7132746589760171E-2</v>
      </c>
      <c r="BM138" s="1217">
        <f>EL14</f>
        <v>1.3589564255623632E-2</v>
      </c>
      <c r="BN138" s="1276"/>
      <c r="BO138" s="1239">
        <f>EN14</f>
        <v>2.695582193231405E-2</v>
      </c>
      <c r="BP138" s="1217">
        <f>EO14</f>
        <v>4.6085106382978802E-2</v>
      </c>
      <c r="BQ138" s="1217">
        <f>EP14</f>
        <v>-1.9856382120380878E-2</v>
      </c>
      <c r="BR138" s="1217">
        <f>EQ14</f>
        <v>-1.7884508918183717E-2</v>
      </c>
      <c r="BS138" s="1276"/>
      <c r="BT138" s="1239">
        <f>ES14</f>
        <v>-1.76528331147352E-2</v>
      </c>
      <c r="BU138" s="1217">
        <f>ET14</f>
        <v>-3.1460765569702676E-2</v>
      </c>
      <c r="BV138" s="1217">
        <f>EU14</f>
        <v>-3.8895611587187906E-2</v>
      </c>
      <c r="BW138" s="1217">
        <f>EV14</f>
        <v>-2.7466422665925916E-2</v>
      </c>
      <c r="BX138" s="1276"/>
      <c r="BY138" s="1239">
        <f>EX14</f>
        <v>-3.1153694357906381E-2</v>
      </c>
      <c r="BZ138" s="1217">
        <f>FI14</f>
        <v>0</v>
      </c>
      <c r="CA138" s="1217">
        <f>EZ14</f>
        <v>3.7686074995280094E-4</v>
      </c>
      <c r="CB138" s="1217">
        <f>FA14</f>
        <v>-9.5507843781873492E-3</v>
      </c>
      <c r="CC138" s="1760"/>
      <c r="CD138" s="1239">
        <f>FB14</f>
        <v>0</v>
      </c>
      <c r="CE138" s="1217">
        <f>FN14</f>
        <v>0</v>
      </c>
      <c r="CF138" s="1217">
        <f>FE14</f>
        <v>0</v>
      </c>
      <c r="CG138" s="1217">
        <f>FF14</f>
        <v>0</v>
      </c>
      <c r="CH138" s="1760"/>
      <c r="CI138" s="1217"/>
      <c r="CJ138" s="860"/>
      <c r="CK138" s="1233"/>
      <c r="CL138" s="860"/>
      <c r="CM138" s="860"/>
      <c r="CN138" s="860"/>
      <c r="CO138" s="1232"/>
      <c r="CP138" s="1233"/>
      <c r="CQ138" s="860"/>
      <c r="CR138" s="860"/>
      <c r="CS138" s="860"/>
      <c r="CT138" s="1232"/>
      <c r="CU138" s="1233"/>
      <c r="CV138" s="860"/>
      <c r="CW138" s="860"/>
      <c r="CX138" s="860"/>
      <c r="CY138" s="1232"/>
      <c r="CZ138" s="1233"/>
      <c r="DA138" s="860"/>
      <c r="DB138" s="860"/>
      <c r="DC138" s="860"/>
      <c r="DD138" s="1232"/>
      <c r="DE138" s="1233"/>
      <c r="DF138" s="860"/>
      <c r="DG138" s="860"/>
      <c r="DH138" s="860"/>
      <c r="DI138" s="1232"/>
      <c r="DJ138" s="1233"/>
      <c r="DK138" s="860"/>
      <c r="DL138" s="860"/>
      <c r="DM138" s="860"/>
      <c r="DN138" s="1232"/>
      <c r="DO138" s="1233"/>
      <c r="DP138" s="860"/>
      <c r="DQ138" s="860"/>
      <c r="DR138" s="860"/>
      <c r="DS138" s="1232"/>
      <c r="DT138" s="1233"/>
      <c r="DU138" s="860"/>
      <c r="DV138" s="860"/>
      <c r="DW138" s="860"/>
      <c r="DX138" s="1232"/>
      <c r="DY138" s="1233"/>
      <c r="DZ138" s="860"/>
      <c r="EA138" s="860"/>
      <c r="EB138" s="860"/>
      <c r="EC138" s="1232"/>
      <c r="ED138" s="860"/>
      <c r="EE138" s="860"/>
      <c r="EF138" s="860"/>
      <c r="EG138" s="860"/>
      <c r="EH138" s="860"/>
      <c r="EI138" s="1233"/>
      <c r="EJ138" s="860"/>
      <c r="EK138" s="860"/>
      <c r="EL138" s="860"/>
      <c r="EM138" s="1232"/>
      <c r="EN138" s="1233"/>
      <c r="EO138" s="860"/>
      <c r="EP138" s="860"/>
      <c r="EQ138" s="860"/>
      <c r="ER138" s="1232"/>
      <c r="ES138" s="860"/>
      <c r="ET138" s="860"/>
      <c r="EU138" s="860"/>
      <c r="EV138" s="860"/>
      <c r="EW138" s="1232"/>
      <c r="EX138" s="1233"/>
      <c r="EY138" s="860"/>
      <c r="EZ138" s="860"/>
      <c r="FA138" s="860"/>
      <c r="FB138" s="1754"/>
      <c r="FC138" s="1233"/>
      <c r="FD138" s="860"/>
      <c r="FE138" s="860"/>
      <c r="FF138" s="860"/>
      <c r="FG138" s="860"/>
      <c r="FH138" s="860"/>
      <c r="FI138" s="860"/>
      <c r="FJ138" s="860"/>
      <c r="FY138" s="860"/>
      <c r="FZ138" s="860"/>
      <c r="GA138" s="860"/>
      <c r="GB138" s="860"/>
      <c r="GC138" s="860"/>
      <c r="GD138" s="860"/>
      <c r="GE138" s="860"/>
      <c r="GF138" s="860"/>
      <c r="GG138" s="860"/>
      <c r="GH138" s="860"/>
      <c r="GI138" s="860"/>
      <c r="GJ138" s="860"/>
      <c r="GK138" s="860"/>
      <c r="GL138" s="860"/>
      <c r="GM138" s="860"/>
      <c r="GN138" s="860"/>
      <c r="GO138" s="860"/>
      <c r="GP138" s="860"/>
      <c r="GQ138" s="860"/>
      <c r="GR138" s="1247">
        <v>1.259399709536857E-2</v>
      </c>
      <c r="GS138" s="1218"/>
      <c r="GT138" s="1247">
        <v>9.0326799483284592E-3</v>
      </c>
      <c r="GU138" s="1218"/>
      <c r="GV138" s="1247">
        <v>6.3764672886401641E-3</v>
      </c>
      <c r="GW138" s="1218"/>
      <c r="GX138" s="1218"/>
      <c r="GY138" s="1247">
        <v>-1.9647724036936043E-2</v>
      </c>
      <c r="GZ138" s="1218"/>
      <c r="HA138" s="1218"/>
      <c r="HB138" s="1247">
        <v>-3.9430683492619467E-3</v>
      </c>
      <c r="HC138" s="1218"/>
      <c r="HD138" s="2000"/>
      <c r="HE138" s="1247">
        <v>-2.1965683311003015E-2</v>
      </c>
      <c r="HF138" s="1218"/>
      <c r="HG138" s="2000"/>
      <c r="HH138" s="1247"/>
      <c r="HI138" s="1247">
        <v>0</v>
      </c>
      <c r="HJ138" s="1218"/>
      <c r="HK138" s="2000"/>
      <c r="HL138" s="1247">
        <v>0</v>
      </c>
      <c r="HM138" s="1218"/>
      <c r="HN138" s="2000"/>
      <c r="HO138" s="1247">
        <v>0</v>
      </c>
      <c r="HP138" s="1218"/>
      <c r="HQ138" s="2000"/>
      <c r="HR138" s="1247">
        <v>0</v>
      </c>
    </row>
    <row r="139" spans="1:226">
      <c r="A139" s="1290"/>
      <c r="B139" s="1233"/>
      <c r="C139" s="860"/>
      <c r="D139" s="860"/>
      <c r="E139" s="860"/>
      <c r="F139" s="1232"/>
      <c r="G139" s="1233"/>
      <c r="H139" s="860"/>
      <c r="I139" s="860"/>
      <c r="J139" s="860"/>
      <c r="K139" s="1232"/>
      <c r="L139" s="1233"/>
      <c r="M139" s="860"/>
      <c r="N139" s="860"/>
      <c r="O139" s="860"/>
      <c r="P139" s="1232"/>
      <c r="Q139" s="1233"/>
      <c r="R139" s="860"/>
      <c r="S139" s="860"/>
      <c r="T139" s="860"/>
      <c r="U139" s="1232"/>
      <c r="V139" s="1233"/>
      <c r="W139" s="860"/>
      <c r="X139" s="860"/>
      <c r="Y139" s="860"/>
      <c r="Z139" s="1261"/>
      <c r="AA139" s="1242"/>
      <c r="AB139" s="1162"/>
      <c r="AC139" s="1162"/>
      <c r="AD139" s="1162"/>
      <c r="AE139" s="1261"/>
      <c r="AF139" s="1242"/>
      <c r="AG139" s="1162"/>
      <c r="AH139" s="1162"/>
      <c r="AI139" s="1162"/>
      <c r="AJ139" s="1232"/>
      <c r="AK139" s="1242"/>
      <c r="AL139" s="1162"/>
      <c r="AM139" s="1162"/>
      <c r="AN139" s="1162"/>
      <c r="AO139" s="1261"/>
      <c r="AP139" s="1242"/>
      <c r="AQ139" s="1162"/>
      <c r="AR139" s="1162"/>
      <c r="AS139" s="1162"/>
      <c r="AT139" s="1261"/>
      <c r="AU139" s="1242"/>
      <c r="AV139" s="1162"/>
      <c r="AW139" s="1162"/>
      <c r="AX139" s="1162"/>
      <c r="AY139" s="1261"/>
      <c r="AZ139" s="1242"/>
      <c r="BA139" s="1162"/>
      <c r="BB139" s="1162"/>
      <c r="BC139" s="1162"/>
      <c r="BD139" s="1261"/>
      <c r="BE139" s="1242"/>
      <c r="BF139" s="1162"/>
      <c r="BG139" s="1162"/>
      <c r="BH139" s="1162"/>
      <c r="BI139" s="1261"/>
      <c r="BJ139" s="1242"/>
      <c r="BK139" s="1162"/>
      <c r="BL139" s="1162"/>
      <c r="BM139" s="1162"/>
      <c r="BN139" s="1261"/>
      <c r="BO139" s="1242"/>
      <c r="BP139" s="1162"/>
      <c r="BQ139" s="1162"/>
      <c r="BR139" s="1162"/>
      <c r="BS139" s="1261"/>
      <c r="BT139" s="1242"/>
      <c r="BU139" s="1162"/>
      <c r="BV139" s="1162"/>
      <c r="BW139" s="1162"/>
      <c r="BX139" s="1261"/>
      <c r="BY139" s="1242"/>
      <c r="BZ139" s="1162"/>
      <c r="CA139" s="1162"/>
      <c r="CB139" s="1162"/>
      <c r="CC139" s="1757"/>
      <c r="CD139" s="1242"/>
      <c r="CE139" s="1162"/>
      <c r="CF139" s="1162"/>
      <c r="CG139" s="1162"/>
      <c r="CH139" s="1757"/>
      <c r="CI139" s="1162"/>
      <c r="CJ139" s="860"/>
      <c r="CK139" s="1233"/>
      <c r="CL139" s="860"/>
      <c r="CM139" s="860"/>
      <c r="CN139" s="860"/>
      <c r="CO139" s="1232"/>
      <c r="CP139" s="1233"/>
      <c r="CQ139" s="860"/>
      <c r="CR139" s="860"/>
      <c r="CS139" s="860"/>
      <c r="CT139" s="1232"/>
      <c r="CU139" s="1233"/>
      <c r="CV139" s="860"/>
      <c r="CW139" s="860"/>
      <c r="CX139" s="860"/>
      <c r="CY139" s="1232"/>
      <c r="CZ139" s="1233"/>
      <c r="DA139" s="860"/>
      <c r="DB139" s="860"/>
      <c r="DC139" s="860"/>
      <c r="DD139" s="1232"/>
      <c r="DE139" s="1233"/>
      <c r="DF139" s="860"/>
      <c r="DG139" s="860"/>
      <c r="DH139" s="860"/>
      <c r="DI139" s="1232"/>
      <c r="DJ139" s="1233"/>
      <c r="DK139" s="860"/>
      <c r="DL139" s="860"/>
      <c r="DM139" s="860"/>
      <c r="DN139" s="1232"/>
      <c r="DO139" s="1233"/>
      <c r="DP139" s="860"/>
      <c r="DQ139" s="860"/>
      <c r="DR139" s="860"/>
      <c r="DS139" s="1232"/>
      <c r="DT139" s="1233"/>
      <c r="DU139" s="860"/>
      <c r="DV139" s="860"/>
      <c r="DW139" s="860"/>
      <c r="DX139" s="1232"/>
      <c r="DY139" s="1233"/>
      <c r="DZ139" s="860"/>
      <c r="EA139" s="860"/>
      <c r="EB139" s="860"/>
      <c r="EC139" s="1232"/>
      <c r="ED139" s="860"/>
      <c r="EE139" s="860"/>
      <c r="EF139" s="860"/>
      <c r="EG139" s="860"/>
      <c r="EH139" s="860"/>
      <c r="EI139" s="1233"/>
      <c r="EJ139" s="860"/>
      <c r="EK139" s="860"/>
      <c r="EL139" s="860"/>
      <c r="EM139" s="1232"/>
      <c r="EN139" s="1233"/>
      <c r="EO139" s="860"/>
      <c r="EP139" s="860"/>
      <c r="EQ139" s="860"/>
      <c r="ER139" s="1232"/>
      <c r="ES139" s="860"/>
      <c r="ET139" s="860"/>
      <c r="EU139" s="860"/>
      <c r="EV139" s="860"/>
      <c r="EW139" s="1232"/>
      <c r="EX139" s="1233"/>
      <c r="EY139" s="860"/>
      <c r="EZ139" s="860"/>
      <c r="FA139" s="860"/>
      <c r="FB139" s="1754"/>
      <c r="FC139" s="1233"/>
      <c r="FD139" s="860"/>
      <c r="FE139" s="860"/>
      <c r="FF139" s="860"/>
      <c r="FG139" s="860"/>
      <c r="FH139" s="860"/>
      <c r="FI139" s="860"/>
      <c r="FJ139" s="860"/>
      <c r="FY139" s="860"/>
      <c r="FZ139" s="860"/>
      <c r="GA139" s="860"/>
      <c r="GB139" s="860"/>
      <c r="GC139" s="860"/>
      <c r="GD139" s="860"/>
      <c r="GE139" s="860"/>
      <c r="GF139" s="860"/>
      <c r="GG139" s="860"/>
      <c r="GH139" s="860"/>
      <c r="GI139" s="860"/>
      <c r="GJ139" s="860"/>
      <c r="GK139" s="860"/>
      <c r="GL139" s="860"/>
      <c r="GM139" s="860"/>
      <c r="GN139" s="860"/>
      <c r="GO139" s="860"/>
      <c r="GP139" s="860"/>
      <c r="GQ139" s="860"/>
      <c r="GR139" s="1241"/>
      <c r="GS139" s="1218"/>
      <c r="GT139" s="1241"/>
      <c r="GU139" s="1218"/>
      <c r="GV139" s="1241"/>
      <c r="GW139" s="1218"/>
      <c r="GX139" s="1218"/>
      <c r="GY139" s="1241"/>
      <c r="GZ139" s="1218"/>
      <c r="HA139" s="1218"/>
      <c r="HB139" s="1241"/>
      <c r="HC139" s="1218"/>
      <c r="HD139" s="2000"/>
      <c r="HE139" s="1241"/>
      <c r="HF139" s="1218"/>
      <c r="HG139" s="2000"/>
      <c r="HH139" s="1241"/>
      <c r="HI139" s="1241"/>
      <c r="HJ139" s="1218"/>
      <c r="HK139" s="2000"/>
      <c r="HL139" s="1241"/>
      <c r="HM139" s="1218"/>
      <c r="HN139" s="2000"/>
      <c r="HO139" s="1241"/>
      <c r="HP139" s="1218"/>
      <c r="HQ139" s="2000"/>
      <c r="HR139" s="1241"/>
    </row>
    <row r="140" spans="1:226">
      <c r="A140" s="1290" t="s">
        <v>776</v>
      </c>
      <c r="B140" s="1233"/>
      <c r="C140" s="860"/>
      <c r="D140" s="860"/>
      <c r="E140" s="860"/>
      <c r="F140" s="1232"/>
      <c r="G140" s="1233"/>
      <c r="H140" s="860"/>
      <c r="I140" s="860"/>
      <c r="J140" s="860"/>
      <c r="K140" s="1232"/>
      <c r="L140" s="1233"/>
      <c r="M140" s="860"/>
      <c r="N140" s="860"/>
      <c r="O140" s="860"/>
      <c r="P140" s="1232"/>
      <c r="Q140" s="1233"/>
      <c r="R140" s="860"/>
      <c r="S140" s="860"/>
      <c r="T140" s="860"/>
      <c r="U140" s="1232"/>
      <c r="V140" s="1233"/>
      <c r="W140" s="860"/>
      <c r="X140" s="860"/>
      <c r="Y140" s="860"/>
      <c r="Z140" s="1261"/>
      <c r="AA140" s="1336">
        <f>AA129/AVERAGE(Y263,AA263)/3*1000</f>
        <v>256.29892232995684</v>
      </c>
      <c r="AB140" s="1291">
        <f>AB129/AVERAGE(AA263,AB263)/3*1000</f>
        <v>243.61430273564221</v>
      </c>
      <c r="AC140" s="1291">
        <f>AC129/AVERAGE(AB263,AC263)/3*1000</f>
        <v>244.45918802017118</v>
      </c>
      <c r="AD140" s="1291">
        <f>AD129/AVERAGE(AC263,AD263)/3*1000</f>
        <v>245.86265337327555</v>
      </c>
      <c r="AE140" s="1261"/>
      <c r="AF140" s="1336">
        <f>AF129/AVERAGE(AD263,AF263)/3*1000</f>
        <v>243.28510864025202</v>
      </c>
      <c r="AG140" s="1291">
        <f>AG129/AVERAGE(AF263,AG263)/3*1000</f>
        <v>240.21677670337016</v>
      </c>
      <c r="AH140" s="1291">
        <f>AH129/AVERAGE(AG263,AH263)/3*1000</f>
        <v>240.61663831411542</v>
      </c>
      <c r="AI140" s="1291">
        <f>AI129/AVERAGE(AH263,AI263)/3*1000</f>
        <v>245.12551695940078</v>
      </c>
      <c r="AJ140" s="1232"/>
      <c r="AK140" s="1336">
        <f>AK129/AVERAGE(AI263,AK263)/3*1000</f>
        <v>243.24273414010702</v>
      </c>
      <c r="AL140" s="1291">
        <f>AL129/AVERAGE(AK263,AL263)/3*1000</f>
        <v>245.86798715370807</v>
      </c>
      <c r="AM140" s="1291">
        <f>AM129/AVERAGE(AL263,AM263)/3*1000</f>
        <v>249.35168868219404</v>
      </c>
      <c r="AN140" s="1291">
        <f>AN129/AVERAGE(AM263,AN263)/3*1000</f>
        <v>256.31949129951448</v>
      </c>
      <c r="AO140" s="1261"/>
      <c r="AP140" s="1336">
        <f>AP129/AVERAGE(AO263,AP263)/3*1000</f>
        <v>250.4915449577511</v>
      </c>
      <c r="AQ140" s="1291">
        <f>AQ129/AVERAGE(AP263,AQ263)/3*1000</f>
        <v>249.07734316804255</v>
      </c>
      <c r="AR140" s="1291">
        <f>AR129/AVERAGE(AQ263,AR263)/3*1000</f>
        <v>252.97167636685296</v>
      </c>
      <c r="AS140" s="1291">
        <f>AS129/AVERAGE(AR263,AS263)/3*1000</f>
        <v>248.37304839857987</v>
      </c>
      <c r="AT140" s="1261"/>
      <c r="AU140" s="1336">
        <f>AU129/AVERAGE(AT263,AU263)/3*1000</f>
        <v>246.83664577642372</v>
      </c>
      <c r="AV140" s="1291">
        <f>AV129/AVERAGE(AU263,AV263)/3*1000</f>
        <v>250.39900141417243</v>
      </c>
      <c r="AW140" s="1291">
        <f>AW129/AVERAGE(AV263,AW263)/3*1000</f>
        <v>256.60768187551736</v>
      </c>
      <c r="AX140" s="1291">
        <f>AX129/AVERAGE(AW263,AX263)/3*1000</f>
        <v>259.37663993519777</v>
      </c>
      <c r="AY140" s="1261"/>
      <c r="AZ140" s="1336">
        <f>AZ129/AVERAGE(AY263,AZ263)/3*1000</f>
        <v>251.91834744786706</v>
      </c>
      <c r="BA140" s="1291">
        <f>BA129/AVERAGE(AZ263,BA263)/3*1000</f>
        <v>251.5733118593117</v>
      </c>
      <c r="BB140" s="1291">
        <f>BB129/AVERAGE(BA263,BB263)/3*1000</f>
        <v>250.05256900873536</v>
      </c>
      <c r="BC140" s="1291">
        <f>BC129/AVERAGE(BB263,BC263)/3*1000</f>
        <v>251.12945828038713</v>
      </c>
      <c r="BD140" s="1261"/>
      <c r="BE140" s="1336">
        <f>BE129/AVERAGE(BD263,BE263)/3*1000</f>
        <v>246.14766867964954</v>
      </c>
      <c r="BF140" s="1291">
        <f>BF129/AVERAGE(BE263,BF263)/3*1000</f>
        <v>246.47111119074307</v>
      </c>
      <c r="BG140" s="1291">
        <f>BG129/AVERAGE(BF263,BG263)/3*1000</f>
        <v>251.49272539341311</v>
      </c>
      <c r="BH140" s="1291">
        <f>BH129/AVERAGE(BG263,BH263)/3*1000</f>
        <v>254.07309952111839</v>
      </c>
      <c r="BI140" s="1261"/>
      <c r="BJ140" s="1336">
        <f>BJ129/AVERAGE(BI263,BJ263)/3*1000</f>
        <v>244.4175456993961</v>
      </c>
      <c r="BK140" s="1291">
        <f>BK129/AVERAGE(BJ263,BK263)/3*1000</f>
        <v>242.26343722982978</v>
      </c>
      <c r="BL140" s="1291">
        <f>BL129/AVERAGE(BK263,BL263)/3*1000</f>
        <v>238.52573198475716</v>
      </c>
      <c r="BM140" s="1291">
        <f>BM129/AVERAGE(BL263,BM263)/3*1000</f>
        <v>235.68852469197657</v>
      </c>
      <c r="BN140" s="1261"/>
      <c r="BO140" s="1336">
        <f>BO129/AVERAGE(BN263,BO263)/3*1000</f>
        <v>233.41168194858687</v>
      </c>
      <c r="BP140" s="1291">
        <f>BP129/AVERAGE(BO263,BP263)/3*1000</f>
        <v>234.95829792156761</v>
      </c>
      <c r="BQ140" s="1291">
        <f>BQ129/AVERAGE(BP263,BQ263)/3*1000</f>
        <v>236.83515103072796</v>
      </c>
      <c r="BR140" s="1291">
        <f>BR129/AVERAGE(BQ263,BR263)/3*1000</f>
        <v>240.57183709331997</v>
      </c>
      <c r="BS140" s="1261"/>
      <c r="BT140" s="1336">
        <f>BT129/AVERAGE(BS263,BT263)/3*1000</f>
        <v>234.56098574273724</v>
      </c>
      <c r="BU140" s="1291">
        <f>BU129/AVERAGE(BT263,BU263)/3*1000</f>
        <v>235.02421599027025</v>
      </c>
      <c r="BV140" s="1291">
        <f>BV129/AVERAGE(BU263,BV263)/3*1000</f>
        <v>230.56623340470077</v>
      </c>
      <c r="BW140" s="1291">
        <f>BW129/AVERAGE(BV263,BW263)/3*1000</f>
        <v>231.78723496087073</v>
      </c>
      <c r="BX140" s="1261"/>
      <c r="BY140" s="1336">
        <f>BY129/AVERAGE(BX263,BY263)/3*1000</f>
        <v>230.66419743813486</v>
      </c>
      <c r="BZ140" s="1291">
        <f>BZ129/AVERAGE(BY263,BZ263)/3*1000</f>
        <v>230.32433646652458</v>
      </c>
      <c r="CA140" s="1291">
        <f>CA129/AVERAGE(BZ263,CA263)/3*1000</f>
        <v>229.91837895374164</v>
      </c>
      <c r="CB140" s="1291">
        <f>CB129/AVERAGE(CA263,CB263)/3*1000</f>
        <v>227.69416217587309</v>
      </c>
      <c r="CC140" s="1757"/>
      <c r="CD140" s="1336">
        <f>CD129/AVERAGE(CC263,CD263)/3*1000</f>
        <v>227.01885726846373</v>
      </c>
      <c r="CE140" s="1291">
        <f>CE129/AVERAGE(CD263,CE263)/3*1000</f>
        <v>225.82523378795875</v>
      </c>
      <c r="CF140" s="1291">
        <f>CF129/AVERAGE(CE263,CF263)/3*1000</f>
        <v>224.67599984450527</v>
      </c>
      <c r="CG140" s="1291">
        <f>CG129/AVERAGE(CF263,CG263)/3*1000</f>
        <v>223.63861085028933</v>
      </c>
      <c r="CH140" s="1757"/>
      <c r="CI140" s="1162"/>
      <c r="CJ140" s="860"/>
      <c r="CK140" s="1233"/>
      <c r="CL140" s="860"/>
      <c r="CM140" s="860"/>
      <c r="CN140" s="860"/>
      <c r="CO140" s="1232"/>
      <c r="CP140" s="1233"/>
      <c r="CQ140" s="860"/>
      <c r="CR140" s="860"/>
      <c r="CS140" s="860"/>
      <c r="CT140" s="1232"/>
      <c r="CU140" s="1233"/>
      <c r="CV140" s="860"/>
      <c r="CW140" s="860"/>
      <c r="CX140" s="860"/>
      <c r="CY140" s="1232"/>
      <c r="CZ140" s="1233"/>
      <c r="DA140" s="860"/>
      <c r="DB140" s="860"/>
      <c r="DC140" s="860"/>
      <c r="DD140" s="1232"/>
      <c r="DE140" s="1233"/>
      <c r="DF140" s="860"/>
      <c r="DG140" s="860"/>
      <c r="DH140" s="860"/>
      <c r="DI140" s="1232"/>
      <c r="DJ140" s="1233"/>
      <c r="DK140" s="860"/>
      <c r="DL140" s="860"/>
      <c r="DM140" s="860"/>
      <c r="DN140" s="1232"/>
      <c r="DO140" s="1233"/>
      <c r="DP140" s="860"/>
      <c r="DQ140" s="860"/>
      <c r="DR140" s="860"/>
      <c r="DS140" s="1232"/>
      <c r="DT140" s="1233"/>
      <c r="DU140" s="860"/>
      <c r="DV140" s="860"/>
      <c r="DW140" s="860"/>
      <c r="DX140" s="1232"/>
      <c r="DY140" s="1233"/>
      <c r="DZ140" s="860"/>
      <c r="EA140" s="860"/>
      <c r="EB140" s="860"/>
      <c r="EC140" s="1232"/>
      <c r="ED140" s="1162">
        <f t="shared" ref="ED140:EG141" si="213">BE140/AZ140-1</f>
        <v>-2.2906941184233198E-2</v>
      </c>
      <c r="EE140" s="1162">
        <f t="shared" si="213"/>
        <v>-2.0281168264072225E-2</v>
      </c>
      <c r="EF140" s="1162">
        <f t="shared" si="213"/>
        <v>5.7594144718722262E-3</v>
      </c>
      <c r="EG140" s="1162">
        <f t="shared" si="213"/>
        <v>1.1721608690943297E-2</v>
      </c>
      <c r="EH140" s="860"/>
      <c r="EI140" s="1242">
        <f t="shared" ref="EI140:EL141" si="214">BJ140/BE140-1</f>
        <v>-7.028801001991658E-3</v>
      </c>
      <c r="EJ140" s="1162">
        <f t="shared" si="214"/>
        <v>-1.7071671972367586E-2</v>
      </c>
      <c r="EK140" s="1162">
        <f t="shared" si="214"/>
        <v>-5.1560113273143471E-2</v>
      </c>
      <c r="EL140" s="1162">
        <f t="shared" si="214"/>
        <v>-7.2359391308223553E-2</v>
      </c>
      <c r="EM140" s="1232"/>
      <c r="EN140" s="1242">
        <f t="shared" ref="EN140:EQ141" si="215">BO140/BJ140-1</f>
        <v>-4.5028943070826388E-2</v>
      </c>
      <c r="EO140" s="1162">
        <f t="shared" si="215"/>
        <v>-3.0153701242717657E-2</v>
      </c>
      <c r="EP140" s="1162">
        <f t="shared" si="215"/>
        <v>-7.0876250539595453E-3</v>
      </c>
      <c r="EQ140" s="1162">
        <f t="shared" si="215"/>
        <v>2.0719347315383496E-2</v>
      </c>
      <c r="ER140" s="1232"/>
      <c r="ES140" s="1242">
        <f t="shared" ref="ES140:EV141" si="216">BT140/BO140-1</f>
        <v>4.9239343316309636E-3</v>
      </c>
      <c r="ET140" s="1162">
        <f t="shared" si="216"/>
        <v>2.8055220558598215E-4</v>
      </c>
      <c r="EU140" s="1162">
        <f t="shared" si="216"/>
        <v>-2.6469540516871337E-2</v>
      </c>
      <c r="EV140" s="1162">
        <f t="shared" si="216"/>
        <v>-3.651550505074963E-2</v>
      </c>
      <c r="EW140" s="1232"/>
      <c r="EX140" s="1242">
        <f t="shared" ref="EX140:FA141" si="217">BY140/BT140-1</f>
        <v>-1.6613113609934782E-2</v>
      </c>
      <c r="EY140" s="1162">
        <f t="shared" si="217"/>
        <v>-1.999742666491966E-2</v>
      </c>
      <c r="EZ140" s="1162">
        <f t="shared" si="217"/>
        <v>-2.809840978847844E-3</v>
      </c>
      <c r="FA140" s="1162">
        <f t="shared" si="217"/>
        <v>-1.7658749782698879E-2</v>
      </c>
      <c r="FB140" s="1754"/>
      <c r="FC140" s="1242">
        <f>CD140/BY140-1</f>
        <v>-1.5803667019667511E-2</v>
      </c>
      <c r="FD140" s="1162"/>
      <c r="FE140" s="1162"/>
      <c r="FF140" s="1162"/>
      <c r="FG140" s="1162"/>
      <c r="FH140" s="860"/>
      <c r="FI140" s="860"/>
      <c r="FJ140" s="860"/>
      <c r="FY140" s="860"/>
      <c r="FZ140" s="860"/>
      <c r="GA140" s="860"/>
      <c r="GB140" s="860"/>
      <c r="GC140" s="860"/>
      <c r="GD140" s="860"/>
      <c r="GE140" s="860"/>
      <c r="GF140" s="860"/>
      <c r="GG140" s="860"/>
      <c r="GH140" s="860"/>
      <c r="GI140" s="860"/>
      <c r="GJ140" s="860"/>
      <c r="GK140" s="860"/>
      <c r="GL140" s="860"/>
      <c r="GM140" s="860"/>
      <c r="GN140" s="860"/>
      <c r="GO140" s="860"/>
      <c r="GP140" s="860"/>
      <c r="GQ140" s="860"/>
      <c r="GR140" s="1299">
        <v>236.65700968783491</v>
      </c>
      <c r="GS140" s="1218"/>
      <c r="GT140" s="1299">
        <v>244.90143343587138</v>
      </c>
      <c r="GU140" s="1218"/>
      <c r="GV140" s="1299">
        <v>244.39872458038334</v>
      </c>
      <c r="GW140" s="1218"/>
      <c r="GX140" s="1218"/>
      <c r="GY140" s="1299">
        <v>237.98296885700785</v>
      </c>
      <c r="GZ140" s="1241">
        <v>1.2873224577281794E-2</v>
      </c>
      <c r="HA140" s="1218"/>
      <c r="HB140" s="1299">
        <v>242.74685348291888</v>
      </c>
      <c r="HC140" s="1241">
        <v>2.4961254385012843E-2</v>
      </c>
      <c r="HD140" s="2000"/>
      <c r="HE140" s="1299">
        <v>235.81849368285688</v>
      </c>
      <c r="HF140" s="1241">
        <v>-1.9758519816345799E-2</v>
      </c>
      <c r="HG140" s="2000"/>
      <c r="HH140" s="1241"/>
      <c r="HI140" s="1299">
        <v>0</v>
      </c>
      <c r="HJ140" s="1241">
        <v>-1</v>
      </c>
      <c r="HK140" s="2000"/>
      <c r="HL140" s="1299">
        <v>0</v>
      </c>
      <c r="HM140" s="1241">
        <v>-1</v>
      </c>
      <c r="HN140" s="2000"/>
      <c r="HO140" s="1299">
        <v>0</v>
      </c>
      <c r="HP140" s="1241">
        <v>-1</v>
      </c>
      <c r="HQ140" s="2000"/>
      <c r="HR140" s="1299">
        <v>227.10316726193534</v>
      </c>
    </row>
    <row r="141" spans="1:226">
      <c r="A141" s="1290" t="s">
        <v>777</v>
      </c>
      <c r="B141" s="1233"/>
      <c r="C141" s="860"/>
      <c r="D141" s="860"/>
      <c r="E141" s="860"/>
      <c r="F141" s="1232"/>
      <c r="G141" s="1233"/>
      <c r="H141" s="860"/>
      <c r="I141" s="860"/>
      <c r="J141" s="860"/>
      <c r="K141" s="1232"/>
      <c r="L141" s="1233"/>
      <c r="M141" s="860"/>
      <c r="N141" s="860"/>
      <c r="O141" s="860"/>
      <c r="P141" s="1232"/>
      <c r="Q141" s="1233"/>
      <c r="R141" s="860"/>
      <c r="S141" s="860"/>
      <c r="T141" s="860"/>
      <c r="U141" s="1232"/>
      <c r="V141" s="1233"/>
      <c r="W141" s="860"/>
      <c r="X141" s="860"/>
      <c r="Y141" s="860"/>
      <c r="Z141" s="1261"/>
      <c r="AA141" s="1336"/>
      <c r="AB141" s="1291"/>
      <c r="AC141" s="1291"/>
      <c r="AD141" s="1291"/>
      <c r="AE141" s="1261"/>
      <c r="AF141" s="1336"/>
      <c r="AG141" s="1291"/>
      <c r="AH141" s="1291"/>
      <c r="AI141" s="1291"/>
      <c r="AJ141" s="1232"/>
      <c r="AK141" s="1336"/>
      <c r="AL141" s="1291"/>
      <c r="AM141" s="1291"/>
      <c r="AN141" s="1291"/>
      <c r="AO141" s="1261"/>
      <c r="AP141" s="1336">
        <f>AP129/AVERAGE(AO265,AP265)/3*1000</f>
        <v>533.54699076000986</v>
      </c>
      <c r="AQ141" s="1291">
        <f>AQ129/AVERAGE(AP265,AQ265)/3*1000</f>
        <v>533.2019661810441</v>
      </c>
      <c r="AR141" s="1291">
        <f>AR129/AVERAGE(AQ265,AR265)/3*1000</f>
        <v>548.85983588626095</v>
      </c>
      <c r="AS141" s="1291">
        <f>AS129/AVERAGE(AR265,AS265)/3*1000</f>
        <v>546.85912540933816</v>
      </c>
      <c r="AT141" s="1261"/>
      <c r="AU141" s="1336">
        <f>AU129/AVERAGE(AT265,AU265)/3*1000</f>
        <v>550.65032070706536</v>
      </c>
      <c r="AV141" s="1291">
        <f>AV129/AVERAGE(AU265,AV265)/3*1000</f>
        <v>565.43642881634912</v>
      </c>
      <c r="AW141" s="1291">
        <f>AW129/AVERAGE(AV265,AW265)/3*1000</f>
        <v>587.34733650156807</v>
      </c>
      <c r="AX141" s="1291">
        <f>AX129/AVERAGE(AW265,AX265)/3*1000</f>
        <v>601.56019785209412</v>
      </c>
      <c r="AY141" s="1261"/>
      <c r="AZ141" s="1336">
        <f>AZ129/AVERAGE(AY265,AZ265)/3*1000</f>
        <v>589.34216136562657</v>
      </c>
      <c r="BA141" s="1291">
        <f>BA129/AVERAGE(AZ265,BA265)/3*1000</f>
        <v>591.5033196432878</v>
      </c>
      <c r="BB141" s="1291">
        <f>BB129/AVERAGE(BA265,BB265)/3*1000</f>
        <v>596.59076497817171</v>
      </c>
      <c r="BC141" s="1291">
        <f>BC129/AVERAGE(BB265,BC265)/3*1000</f>
        <v>607.37230266239192</v>
      </c>
      <c r="BD141" s="1261"/>
      <c r="BE141" s="1336">
        <f>BE129/AVERAGE(BD265,BE265)/3*1000</f>
        <v>598.28104580714262</v>
      </c>
      <c r="BF141" s="1291">
        <f>BF129/AVERAGE(BE265,BF265)/3*1000</f>
        <v>605.09473959310617</v>
      </c>
      <c r="BG141" s="1291">
        <f>BG129/AVERAGE(BF265,BG265)/3*1000</f>
        <v>622.84311453910561</v>
      </c>
      <c r="BH141" s="1291">
        <f>BH129/AVERAGE(BG265,BH265)/3*1000</f>
        <v>634.37570023920307</v>
      </c>
      <c r="BI141" s="1341"/>
      <c r="BJ141" s="1336">
        <f>BJ129/AVERAGE(BH265,BJ265)/3*1000</f>
        <v>613.96367689658177</v>
      </c>
      <c r="BK141" s="1291">
        <f>BK129/AVERAGE(BJ265,BK265)/3*1000</f>
        <v>611.23370262856326</v>
      </c>
      <c r="BL141" s="1291">
        <f>BL129/AVERAGE(BK265,BL265)/3*1000</f>
        <v>604.7332810289497</v>
      </c>
      <c r="BM141" s="1291">
        <f>BM129/AVERAGE(BL265,BM265)/3*1000</f>
        <v>600.25983589444502</v>
      </c>
      <c r="BN141" s="1261"/>
      <c r="BO141" s="1336">
        <f>BO129/AVERAGE(BM265,BO265)/3*1000</f>
        <v>596.53180284960661</v>
      </c>
      <c r="BP141" s="1291">
        <f>BP129/AVERAGE(BO265,BP265)/3*1000</f>
        <v>602.78839088537995</v>
      </c>
      <c r="BQ141" s="1291">
        <f>BQ129/AVERAGE(BP265,BQ265)/3*1000</f>
        <v>609.46446489375739</v>
      </c>
      <c r="BR141" s="1291">
        <f>BR129/AVERAGE(BQ265,BR265)/3*1000</f>
        <v>619.22969995028404</v>
      </c>
      <c r="BS141" s="1261"/>
      <c r="BT141" s="1336">
        <f>BT129/AVERAGE(BR265,BT265)/3*1000</f>
        <v>602.44441521382305</v>
      </c>
      <c r="BU141" s="1291">
        <f>BU129/AVERAGE(BT265,BU265)/3*1000</f>
        <v>601.00121106599295</v>
      </c>
      <c r="BV141" s="1291">
        <f>BV129/AVERAGE(BU265,BV265)/3*1000</f>
        <v>586.35430362358136</v>
      </c>
      <c r="BW141" s="1291">
        <f>BW129/AVERAGE(BV265,BW265)/3*1000</f>
        <v>586.46165364103615</v>
      </c>
      <c r="BX141" s="1261"/>
      <c r="BY141" s="1336">
        <f>BY129/AVERAGE(BW265,BY265)/3*1000</f>
        <v>580.5032832609968</v>
      </c>
      <c r="BZ141" s="1291">
        <f>BZ129/AVERAGE(BY265,BZ265)/3*1000</f>
        <v>577.91574209427324</v>
      </c>
      <c r="CA141" s="1291">
        <f>CA129/AVERAGE(BZ265,CA265)/3*1000</f>
        <v>577.46255958106769</v>
      </c>
      <c r="CB141" s="1291">
        <f>CB129/AVERAGE(CA265,CB265)/3*1000</f>
        <v>571.86565850710326</v>
      </c>
      <c r="CC141" s="1757"/>
      <c r="CD141" s="1336">
        <f>CD129/AVERAGE(CB265,CD265)/3*1000</f>
        <v>568.00436563764561</v>
      </c>
      <c r="CE141" s="1291">
        <f>CE129/AVERAGE(CD265,CE265)/3*1000</f>
        <v>565.47239940401937</v>
      </c>
      <c r="CF141" s="1291">
        <f>CF129/AVERAGE(CE265,CF265)/3*1000</f>
        <v>564.29587901575917</v>
      </c>
      <c r="CG141" s="1291">
        <f>CG129/AVERAGE(CF265,CG265)/3*1000</f>
        <v>561.68005428968331</v>
      </c>
      <c r="CH141" s="1757"/>
      <c r="CI141" s="1162"/>
      <c r="CJ141" s="860"/>
      <c r="CK141" s="1233"/>
      <c r="CL141" s="860"/>
      <c r="CM141" s="860"/>
      <c r="CN141" s="860"/>
      <c r="CO141" s="1232"/>
      <c r="CP141" s="1233"/>
      <c r="CQ141" s="860"/>
      <c r="CR141" s="860"/>
      <c r="CS141" s="860"/>
      <c r="CT141" s="1232"/>
      <c r="CU141" s="1233"/>
      <c r="CV141" s="860"/>
      <c r="CW141" s="860"/>
      <c r="CX141" s="860"/>
      <c r="CY141" s="1232"/>
      <c r="CZ141" s="1233"/>
      <c r="DA141" s="860"/>
      <c r="DB141" s="860"/>
      <c r="DC141" s="860"/>
      <c r="DD141" s="1232"/>
      <c r="DE141" s="1233"/>
      <c r="DF141" s="860"/>
      <c r="DG141" s="860"/>
      <c r="DH141" s="860"/>
      <c r="DI141" s="1232"/>
      <c r="DJ141" s="1233"/>
      <c r="DK141" s="860"/>
      <c r="DL141" s="860"/>
      <c r="DM141" s="860"/>
      <c r="DN141" s="1232"/>
      <c r="DO141" s="1233"/>
      <c r="DP141" s="860"/>
      <c r="DQ141" s="860"/>
      <c r="DR141" s="860"/>
      <c r="DS141" s="1232"/>
      <c r="DT141" s="1233"/>
      <c r="DU141" s="860"/>
      <c r="DV141" s="860"/>
      <c r="DW141" s="860"/>
      <c r="DX141" s="1232"/>
      <c r="DY141" s="1233"/>
      <c r="DZ141" s="860"/>
      <c r="EA141" s="860"/>
      <c r="EB141" s="860"/>
      <c r="EC141" s="1232"/>
      <c r="ED141" s="1162">
        <f t="shared" si="213"/>
        <v>1.5167563136502693E-2</v>
      </c>
      <c r="EE141" s="1162">
        <f t="shared" si="213"/>
        <v>2.2977757686998057E-2</v>
      </c>
      <c r="EF141" s="1162">
        <f t="shared" si="213"/>
        <v>4.400394894127202E-2</v>
      </c>
      <c r="EG141" s="1162">
        <f t="shared" si="213"/>
        <v>4.4459382586994556E-2</v>
      </c>
      <c r="EH141" s="860"/>
      <c r="EI141" s="1242">
        <f t="shared" si="214"/>
        <v>2.6212816199586708E-2</v>
      </c>
      <c r="EJ141" s="1162">
        <f t="shared" si="214"/>
        <v>1.0145457618066844E-2</v>
      </c>
      <c r="EK141" s="1162">
        <f t="shared" si="214"/>
        <v>-2.9076075639941745E-2</v>
      </c>
      <c r="EL141" s="1162">
        <f t="shared" si="214"/>
        <v>-5.3778643053152941E-2</v>
      </c>
      <c r="EM141" s="1232"/>
      <c r="EN141" s="1242">
        <f t="shared" si="215"/>
        <v>-2.8392353982712004E-2</v>
      </c>
      <c r="EO141" s="1162">
        <f t="shared" si="215"/>
        <v>-1.3816829318908486E-2</v>
      </c>
      <c r="EP141" s="1162">
        <f t="shared" si="215"/>
        <v>7.82358770920899E-3</v>
      </c>
      <c r="EQ141" s="1162">
        <f t="shared" si="215"/>
        <v>3.1602754209886674E-2</v>
      </c>
      <c r="ER141" s="1232"/>
      <c r="ES141" s="1242">
        <f t="shared" si="216"/>
        <v>9.9116465140201004E-3</v>
      </c>
      <c r="ET141" s="1162">
        <f t="shared" si="216"/>
        <v>-2.9648544106198882E-3</v>
      </c>
      <c r="EU141" s="1162">
        <f t="shared" si="216"/>
        <v>-3.7918800194863933E-2</v>
      </c>
      <c r="EV141" s="1162">
        <f t="shared" si="216"/>
        <v>-5.2917433243073964E-2</v>
      </c>
      <c r="EW141" s="1232"/>
      <c r="EX141" s="1242">
        <f t="shared" si="217"/>
        <v>-3.6420176532035331E-2</v>
      </c>
      <c r="EY141" s="1162">
        <f t="shared" si="217"/>
        <v>-3.8411684613368968E-2</v>
      </c>
      <c r="EZ141" s="1162">
        <f t="shared" si="217"/>
        <v>-1.5164456008191718E-2</v>
      </c>
      <c r="FA141" s="1162">
        <f t="shared" si="217"/>
        <v>-2.4888234453717351E-2</v>
      </c>
      <c r="FB141" s="1754"/>
      <c r="FC141" s="1242">
        <f>CD141/BY141-1</f>
        <v>-2.1531174730206715E-2</v>
      </c>
      <c r="FD141" s="1162"/>
      <c r="FE141" s="1162"/>
      <c r="FF141" s="1162"/>
      <c r="FG141" s="1162"/>
      <c r="FH141" s="860"/>
      <c r="FI141" s="860"/>
      <c r="FJ141" s="860"/>
      <c r="FY141" s="860"/>
      <c r="FZ141" s="860"/>
      <c r="GA141" s="860"/>
      <c r="GB141" s="860"/>
      <c r="GC141" s="860"/>
      <c r="GD141" s="860"/>
      <c r="GE141" s="860"/>
      <c r="GF141" s="860"/>
      <c r="GG141" s="860"/>
      <c r="GH141" s="860"/>
      <c r="GI141" s="860"/>
      <c r="GJ141" s="860"/>
      <c r="GK141" s="860"/>
      <c r="GL141" s="860"/>
      <c r="GM141" s="860"/>
      <c r="GN141" s="860"/>
      <c r="GO141" s="860"/>
      <c r="GP141" s="860"/>
      <c r="GQ141" s="860"/>
      <c r="GR141" s="1299">
        <v>608.28545977174986</v>
      </c>
      <c r="GS141" s="1218"/>
      <c r="GT141" s="1299">
        <v>588.31263062150413</v>
      </c>
      <c r="GU141" s="1218"/>
      <c r="GV141" s="1299">
        <v>627.14160256956848</v>
      </c>
      <c r="GW141" s="1218"/>
      <c r="GX141" s="1218"/>
      <c r="GY141" s="1299">
        <v>611.10193216832522</v>
      </c>
      <c r="GZ141" s="1241">
        <v>1.379180722232265E-2</v>
      </c>
      <c r="HA141" s="1218"/>
      <c r="HB141" s="1299">
        <v>624.69933959868422</v>
      </c>
      <c r="HC141" s="1241">
        <v>2.499715009238912E-2</v>
      </c>
      <c r="HD141" s="2000"/>
      <c r="HE141" s="1299">
        <v>606.99428227522912</v>
      </c>
      <c r="HF141" s="1241">
        <v>-1.9759093719240672E-2</v>
      </c>
      <c r="HG141" s="2000"/>
      <c r="HH141" s="1241"/>
      <c r="HI141" s="1299">
        <v>0</v>
      </c>
      <c r="HJ141" s="1241">
        <v>-1</v>
      </c>
      <c r="HK141" s="2000"/>
      <c r="HL141" s="1299">
        <v>0</v>
      </c>
      <c r="HM141" s="1241">
        <v>-1</v>
      </c>
      <c r="HN141" s="2000"/>
      <c r="HO141" s="1299">
        <v>0</v>
      </c>
      <c r="HP141" s="1241">
        <v>-1</v>
      </c>
      <c r="HQ141" s="2000"/>
      <c r="HR141" s="1299">
        <v>568.00436563764561</v>
      </c>
    </row>
    <row r="142" spans="1:226">
      <c r="A142" s="1290"/>
      <c r="B142" s="1233"/>
      <c r="C142" s="860"/>
      <c r="D142" s="860"/>
      <c r="E142" s="860"/>
      <c r="F142" s="1232"/>
      <c r="G142" s="1233"/>
      <c r="H142" s="860"/>
      <c r="I142" s="860"/>
      <c r="J142" s="860"/>
      <c r="K142" s="1232"/>
      <c r="L142" s="1233"/>
      <c r="M142" s="860"/>
      <c r="N142" s="860"/>
      <c r="O142" s="860"/>
      <c r="P142" s="1232"/>
      <c r="Q142" s="1233"/>
      <c r="R142" s="860"/>
      <c r="S142" s="860"/>
      <c r="T142" s="860"/>
      <c r="U142" s="1232"/>
      <c r="V142" s="1233"/>
      <c r="W142" s="860"/>
      <c r="X142" s="860"/>
      <c r="Y142" s="860"/>
      <c r="Z142" s="1261"/>
      <c r="AA142" s="1242"/>
      <c r="AB142" s="1162"/>
      <c r="AC142" s="1162"/>
      <c r="AD142" s="1162"/>
      <c r="AE142" s="1261"/>
      <c r="AF142" s="1242"/>
      <c r="AG142" s="1162"/>
      <c r="AH142" s="1162"/>
      <c r="AI142" s="1162"/>
      <c r="AJ142" s="1232"/>
      <c r="AK142" s="1242"/>
      <c r="AL142" s="1162"/>
      <c r="AM142" s="1162"/>
      <c r="AN142" s="1162"/>
      <c r="AO142" s="1261"/>
      <c r="AP142" s="1242"/>
      <c r="AQ142" s="1162"/>
      <c r="AR142" s="1162"/>
      <c r="AS142" s="1162"/>
      <c r="AT142" s="1261"/>
      <c r="AU142" s="1654"/>
      <c r="AV142" s="1655"/>
      <c r="AW142" s="1655"/>
      <c r="AX142" s="1655"/>
      <c r="AY142" s="1261"/>
      <c r="AZ142" s="1242"/>
      <c r="BA142" s="1162"/>
      <c r="BB142" s="1162"/>
      <c r="BC142" s="1162"/>
      <c r="BD142" s="1261"/>
      <c r="BE142" s="1242"/>
      <c r="BF142" s="1162"/>
      <c r="BG142" s="1162"/>
      <c r="BH142" s="1162"/>
      <c r="BI142" s="1261"/>
      <c r="BJ142" s="1242"/>
      <c r="BK142" s="1162"/>
      <c r="BL142" s="1162"/>
      <c r="BM142" s="1291"/>
      <c r="BN142" s="1261"/>
      <c r="BO142" s="1336"/>
      <c r="BP142" s="1162"/>
      <c r="BQ142" s="1162"/>
      <c r="BR142" s="1162"/>
      <c r="BS142" s="1261"/>
      <c r="BT142" s="1336"/>
      <c r="BU142" s="1162"/>
      <c r="BV142" s="1162"/>
      <c r="BW142" s="1162"/>
      <c r="BX142" s="1261"/>
      <c r="BY142" s="1336"/>
      <c r="BZ142" s="1162"/>
      <c r="CA142" s="1162"/>
      <c r="CB142" s="1162"/>
      <c r="CC142" s="1757"/>
      <c r="CD142" s="1336"/>
      <c r="CE142" s="1291"/>
      <c r="CF142" s="1291"/>
      <c r="CG142" s="1291"/>
      <c r="CH142" s="1757"/>
      <c r="CI142" s="1162"/>
      <c r="CJ142" s="860"/>
      <c r="CK142" s="1233"/>
      <c r="CL142" s="860"/>
      <c r="CM142" s="860"/>
      <c r="CN142" s="860"/>
      <c r="CO142" s="1232"/>
      <c r="CP142" s="1233"/>
      <c r="CQ142" s="860"/>
      <c r="CR142" s="860"/>
      <c r="CS142" s="860"/>
      <c r="CT142" s="1232"/>
      <c r="CU142" s="1233"/>
      <c r="CV142" s="860"/>
      <c r="CW142" s="860"/>
      <c r="CX142" s="860"/>
      <c r="CY142" s="1232"/>
      <c r="CZ142" s="1233"/>
      <c r="DA142" s="860"/>
      <c r="DB142" s="860"/>
      <c r="DC142" s="860"/>
      <c r="DD142" s="1232"/>
      <c r="DE142" s="1233"/>
      <c r="DF142" s="860"/>
      <c r="DG142" s="860"/>
      <c r="DH142" s="860"/>
      <c r="DI142" s="1232"/>
      <c r="DJ142" s="1233"/>
      <c r="DK142" s="860"/>
      <c r="DL142" s="860"/>
      <c r="DM142" s="860"/>
      <c r="DN142" s="1232"/>
      <c r="DO142" s="1233"/>
      <c r="DP142" s="860"/>
      <c r="DQ142" s="860"/>
      <c r="DR142" s="860"/>
      <c r="DS142" s="1232"/>
      <c r="DT142" s="1233"/>
      <c r="DU142" s="860"/>
      <c r="DV142" s="860"/>
      <c r="DW142" s="860"/>
      <c r="DX142" s="1232"/>
      <c r="DY142" s="1233"/>
      <c r="DZ142" s="860"/>
      <c r="EA142" s="860"/>
      <c r="EB142" s="860"/>
      <c r="EC142" s="1232"/>
      <c r="ED142" s="860"/>
      <c r="EE142" s="860"/>
      <c r="EF142" s="860"/>
      <c r="EG142" s="860"/>
      <c r="EH142" s="860"/>
      <c r="EI142" s="1233"/>
      <c r="EJ142" s="860"/>
      <c r="EK142" s="860"/>
      <c r="EL142" s="860"/>
      <c r="EM142" s="1232"/>
      <c r="EN142" s="1233"/>
      <c r="EO142" s="860"/>
      <c r="EP142" s="860"/>
      <c r="EQ142" s="860"/>
      <c r="ER142" s="1232"/>
      <c r="ES142" s="860"/>
      <c r="ET142" s="860"/>
      <c r="EU142" s="860"/>
      <c r="EV142" s="860"/>
      <c r="EW142" s="1232"/>
      <c r="EX142" s="1233"/>
      <c r="EY142" s="860"/>
      <c r="EZ142" s="860"/>
      <c r="FA142" s="860"/>
      <c r="FB142" s="1754"/>
      <c r="FC142" s="1233"/>
      <c r="FD142" s="860"/>
      <c r="FE142" s="860"/>
      <c r="FF142" s="860"/>
      <c r="FG142" s="860"/>
      <c r="FH142" s="860"/>
      <c r="FI142" s="860"/>
      <c r="FJ142" s="860"/>
      <c r="FY142" s="860"/>
      <c r="FZ142" s="860"/>
      <c r="GA142" s="860"/>
      <c r="GB142" s="860"/>
      <c r="GC142" s="860"/>
      <c r="GD142" s="860"/>
      <c r="GE142" s="860"/>
      <c r="GF142" s="860"/>
      <c r="GG142" s="860"/>
      <c r="GH142" s="860"/>
      <c r="GI142" s="860"/>
      <c r="GJ142" s="860"/>
      <c r="GK142" s="860"/>
      <c r="GL142" s="860"/>
      <c r="GM142" s="860"/>
      <c r="GN142" s="860"/>
      <c r="GO142" s="860"/>
      <c r="GP142" s="860"/>
      <c r="GQ142" s="860"/>
      <c r="GR142" s="1241"/>
      <c r="GS142" s="1218"/>
      <c r="GT142" s="1241"/>
      <c r="GU142" s="1218"/>
      <c r="GV142" s="1299"/>
      <c r="GW142" s="1218"/>
      <c r="GX142" s="1218"/>
      <c r="GY142" s="1241"/>
      <c r="GZ142" s="1218"/>
      <c r="HA142" s="1218"/>
      <c r="HB142" s="1241"/>
      <c r="HC142" s="1218"/>
      <c r="HD142" s="2000"/>
      <c r="HE142" s="1241"/>
      <c r="HF142" s="1218"/>
      <c r="HG142" s="2000"/>
      <c r="HH142" s="1241"/>
      <c r="HI142" s="1241"/>
      <c r="HJ142" s="1218"/>
      <c r="HK142" s="2000"/>
      <c r="HL142" s="1241"/>
      <c r="HM142" s="1218"/>
      <c r="HN142" s="2000"/>
      <c r="HO142" s="1241"/>
      <c r="HP142" s="1218"/>
      <c r="HQ142" s="2000"/>
      <c r="HR142" s="1299"/>
    </row>
    <row r="143" spans="1:226" hidden="1" outlineLevel="1">
      <c r="A143" s="1292" t="s">
        <v>34</v>
      </c>
      <c r="B143" s="1233"/>
      <c r="C143" s="860"/>
      <c r="D143" s="860"/>
      <c r="E143" s="860"/>
      <c r="F143" s="1232"/>
      <c r="G143" s="1233"/>
      <c r="H143" s="860"/>
      <c r="I143" s="860"/>
      <c r="J143" s="860"/>
      <c r="K143" s="1232"/>
      <c r="L143" s="1233"/>
      <c r="M143" s="860"/>
      <c r="N143" s="860"/>
      <c r="O143" s="860"/>
      <c r="P143" s="1232"/>
      <c r="Q143" s="1233"/>
      <c r="R143" s="860"/>
      <c r="S143" s="860"/>
      <c r="T143" s="860"/>
      <c r="U143" s="1232"/>
      <c r="V143" s="1233"/>
      <c r="W143" s="860"/>
      <c r="X143" s="860"/>
      <c r="Y143" s="860"/>
      <c r="Z143" s="1261"/>
      <c r="AA143" s="1242"/>
      <c r="AB143" s="1162"/>
      <c r="AC143" s="1162"/>
      <c r="AD143" s="1162"/>
      <c r="AE143" s="1261"/>
      <c r="AF143" s="1242"/>
      <c r="AG143" s="1162"/>
      <c r="AH143" s="1162"/>
      <c r="AI143" s="1162"/>
      <c r="AJ143" s="1232"/>
      <c r="AK143" s="1242"/>
      <c r="AL143" s="1162"/>
      <c r="AM143" s="1162"/>
      <c r="AN143" s="1162"/>
      <c r="AO143" s="1261"/>
      <c r="AP143" s="1242"/>
      <c r="AQ143" s="1162"/>
      <c r="AR143" s="1162"/>
      <c r="AS143" s="1162"/>
      <c r="AT143" s="1261"/>
      <c r="AU143" s="1242"/>
      <c r="AV143" s="1162"/>
      <c r="AW143" s="1162"/>
      <c r="AX143" s="1162"/>
      <c r="AY143" s="1261"/>
      <c r="AZ143" s="1242"/>
      <c r="BA143" s="1162"/>
      <c r="BB143" s="1162"/>
      <c r="BC143" s="1162"/>
      <c r="BD143" s="1261"/>
      <c r="BE143" s="1242"/>
      <c r="BF143" s="1162"/>
      <c r="BG143" s="1162"/>
      <c r="BH143" s="1162"/>
      <c r="BI143" s="1261"/>
      <c r="BJ143" s="1242"/>
      <c r="BK143" s="1162"/>
      <c r="BL143" s="1162"/>
      <c r="BM143" s="1291"/>
      <c r="BN143" s="1341"/>
      <c r="BO143" s="1336"/>
      <c r="BP143" s="1291"/>
      <c r="BQ143" s="1291"/>
      <c r="BR143" s="1162"/>
      <c r="BS143" s="1261"/>
      <c r="BT143" s="1336"/>
      <c r="BU143" s="1291"/>
      <c r="BV143" s="1291"/>
      <c r="BW143" s="1162"/>
      <c r="BX143" s="1261"/>
      <c r="BY143" s="1336"/>
      <c r="BZ143" s="1291"/>
      <c r="CA143" s="1291"/>
      <c r="CB143" s="1291"/>
      <c r="CC143" s="1757"/>
      <c r="CD143" s="1336"/>
      <c r="CE143" s="1291"/>
      <c r="CF143" s="1291"/>
      <c r="CG143" s="1291"/>
      <c r="CH143" s="1757"/>
      <c r="CI143" s="1162"/>
      <c r="CJ143" s="860"/>
      <c r="CK143" s="1233"/>
      <c r="CL143" s="860"/>
      <c r="CM143" s="860"/>
      <c r="CN143" s="860"/>
      <c r="CO143" s="1232"/>
      <c r="CP143" s="1233"/>
      <c r="CQ143" s="860"/>
      <c r="CR143" s="860"/>
      <c r="CS143" s="860"/>
      <c r="CT143" s="1232"/>
      <c r="CU143" s="1233"/>
      <c r="CV143" s="860"/>
      <c r="CW143" s="860"/>
      <c r="CX143" s="860"/>
      <c r="CY143" s="1232"/>
      <c r="CZ143" s="1233"/>
      <c r="DA143" s="860"/>
      <c r="DB143" s="860"/>
      <c r="DC143" s="860"/>
      <c r="DD143" s="1232"/>
      <c r="DE143" s="1233"/>
      <c r="DF143" s="860"/>
      <c r="DG143" s="860"/>
      <c r="DH143" s="860"/>
      <c r="DI143" s="1232"/>
      <c r="DJ143" s="1233"/>
      <c r="DK143" s="860"/>
      <c r="DL143" s="860"/>
      <c r="DM143" s="860"/>
      <c r="DN143" s="1232"/>
      <c r="DO143" s="1233"/>
      <c r="DP143" s="860"/>
      <c r="DQ143" s="860"/>
      <c r="DR143" s="860"/>
      <c r="DS143" s="1232"/>
      <c r="DT143" s="1233"/>
      <c r="DU143" s="860"/>
      <c r="DV143" s="860"/>
      <c r="DW143" s="860"/>
      <c r="DX143" s="1232"/>
      <c r="DY143" s="1233"/>
      <c r="DZ143" s="860"/>
      <c r="EA143" s="860"/>
      <c r="EB143" s="860"/>
      <c r="EC143" s="1232"/>
      <c r="ED143" s="860"/>
      <c r="EE143" s="860"/>
      <c r="EF143" s="860"/>
      <c r="EG143" s="860"/>
      <c r="EH143" s="860"/>
      <c r="EI143" s="1233"/>
      <c r="EJ143" s="860"/>
      <c r="EK143" s="860"/>
      <c r="EL143" s="860"/>
      <c r="EM143" s="1232"/>
      <c r="EN143" s="1233"/>
      <c r="EO143" s="860"/>
      <c r="EP143" s="860"/>
      <c r="EQ143" s="860"/>
      <c r="ER143" s="1232"/>
      <c r="ES143" s="860"/>
      <c r="ET143" s="860"/>
      <c r="EU143" s="860"/>
      <c r="EV143" s="860"/>
      <c r="EW143" s="1232"/>
      <c r="EX143" s="1233"/>
      <c r="EY143" s="860"/>
      <c r="EZ143" s="860"/>
      <c r="FA143" s="860"/>
      <c r="FB143" s="1754"/>
      <c r="FC143" s="1233"/>
      <c r="FD143" s="860"/>
      <c r="FE143" s="860"/>
      <c r="FF143" s="860"/>
      <c r="FG143" s="860"/>
      <c r="FH143" s="860"/>
      <c r="FI143" s="860"/>
      <c r="FJ143" s="860"/>
      <c r="FY143" s="860"/>
      <c r="FZ143" s="860"/>
      <c r="GA143" s="860"/>
      <c r="GB143" s="860"/>
      <c r="GC143" s="860"/>
      <c r="GD143" s="860"/>
      <c r="GE143" s="860"/>
      <c r="GF143" s="860"/>
      <c r="GG143" s="860"/>
      <c r="GH143" s="860"/>
      <c r="GI143" s="860"/>
      <c r="GJ143" s="860"/>
      <c r="GK143" s="860"/>
      <c r="GL143" s="860"/>
      <c r="GM143" s="860"/>
      <c r="GN143" s="860"/>
      <c r="GO143" s="860"/>
      <c r="GP143" s="860"/>
      <c r="GQ143" s="860"/>
      <c r="GR143" s="1241"/>
      <c r="GS143" s="1218"/>
      <c r="GT143" s="1241"/>
      <c r="GU143" s="1218"/>
      <c r="GV143" s="1299"/>
      <c r="GW143" s="1218"/>
      <c r="GX143" s="1218"/>
      <c r="GY143" s="1299"/>
      <c r="GZ143" s="1218"/>
      <c r="HA143" s="1218"/>
      <c r="HB143" s="1299"/>
      <c r="HC143" s="1218"/>
      <c r="HD143" s="2000"/>
      <c r="HE143" s="1241"/>
      <c r="HF143" s="1218"/>
      <c r="HG143" s="2000"/>
      <c r="HH143" s="1241"/>
      <c r="HI143" s="1299"/>
      <c r="HJ143" s="1218"/>
      <c r="HK143" s="2000"/>
      <c r="HL143" s="1299"/>
      <c r="HM143" s="1218"/>
      <c r="HN143" s="2000"/>
      <c r="HO143" s="1241"/>
      <c r="HP143" s="1218"/>
      <c r="HQ143" s="2000"/>
      <c r="HR143" s="1299"/>
    </row>
    <row r="144" spans="1:226" hidden="1" outlineLevel="1">
      <c r="A144" s="1290" t="s">
        <v>769</v>
      </c>
      <c r="B144" s="1233"/>
      <c r="C144" s="860"/>
      <c r="D144" s="860"/>
      <c r="E144" s="860"/>
      <c r="F144" s="1232"/>
      <c r="G144" s="1233"/>
      <c r="H144" s="860"/>
      <c r="I144" s="860"/>
      <c r="J144" s="860"/>
      <c r="K144" s="1232"/>
      <c r="L144" s="1233"/>
      <c r="M144" s="860"/>
      <c r="N144" s="860"/>
      <c r="O144" s="860"/>
      <c r="P144" s="1232"/>
      <c r="Q144" s="1233"/>
      <c r="R144" s="860"/>
      <c r="S144" s="860"/>
      <c r="T144" s="860"/>
      <c r="U144" s="1232"/>
      <c r="V144" s="1233"/>
      <c r="W144" s="860"/>
      <c r="X144" s="860"/>
      <c r="Y144" s="860"/>
      <c r="Z144" s="1261"/>
      <c r="AA144" s="1336">
        <v>2267.9</v>
      </c>
      <c r="AB144" s="1291">
        <v>2372.4</v>
      </c>
      <c r="AC144" s="1291">
        <v>2505.4</v>
      </c>
      <c r="AD144" s="1291">
        <f>9781.9-AA144-AB144-AC144</f>
        <v>2636.2000000000003</v>
      </c>
      <c r="AE144" s="1341"/>
      <c r="AF144" s="1336">
        <v>2809.5</v>
      </c>
      <c r="AG144" s="1291">
        <v>2877.9</v>
      </c>
      <c r="AH144" s="1291">
        <v>2988</v>
      </c>
      <c r="AI144" s="1291">
        <f>11771.7-AF144-AG144-AH144</f>
        <v>3096.3000000000011</v>
      </c>
      <c r="AJ144" s="1232"/>
      <c r="AK144" s="1336">
        <v>3023</v>
      </c>
      <c r="AL144" s="1291">
        <v>3060.6</v>
      </c>
      <c r="AM144" s="1291">
        <v>3141.2</v>
      </c>
      <c r="AN144" s="1291">
        <f>12578-AK144-AL144-AM144</f>
        <v>3353.2</v>
      </c>
      <c r="AO144" s="1261"/>
      <c r="AP144" s="1336">
        <v>3338</v>
      </c>
      <c r="AQ144" s="1291">
        <v>3405.4</v>
      </c>
      <c r="AR144" s="1291">
        <v>3548.5</v>
      </c>
      <c r="AS144" s="1291">
        <f>13962-AP144-AQ144-AR144</f>
        <v>3670.1000000000004</v>
      </c>
      <c r="AT144" s="1261"/>
      <c r="AU144" s="1336">
        <v>3917.6</v>
      </c>
      <c r="AV144" s="1291">
        <v>4059.8</v>
      </c>
      <c r="AW144" s="1291">
        <v>4119.7</v>
      </c>
      <c r="AX144" s="1291">
        <v>4151.1000000000004</v>
      </c>
      <c r="AY144" s="1261"/>
      <c r="AZ144" s="1336">
        <v>4122.7</v>
      </c>
      <c r="BA144" s="1291">
        <v>4174.3</v>
      </c>
      <c r="BB144" s="1291">
        <v>4323.1000000000004</v>
      </c>
      <c r="BC144" s="1291">
        <v>4471.3999999999996</v>
      </c>
      <c r="BD144" s="1261"/>
      <c r="BE144" s="1336">
        <v>4483.3</v>
      </c>
      <c r="BF144" s="1291">
        <v>4474.7</v>
      </c>
      <c r="BG144" s="1291">
        <v>4583.3999999999996</v>
      </c>
      <c r="BH144" s="1291">
        <v>4846.1000000000013</v>
      </c>
      <c r="BI144" s="1261"/>
      <c r="BJ144" s="1350">
        <v>4674.5</v>
      </c>
      <c r="BK144" s="1298">
        <v>4697.7</v>
      </c>
      <c r="BL144" s="1298">
        <v>4596.7</v>
      </c>
      <c r="BM144" s="1298">
        <v>4896.2</v>
      </c>
      <c r="BN144" s="1261"/>
      <c r="BO144" s="1350">
        <v>4741.7</v>
      </c>
      <c r="BP144" s="1298">
        <v>4630.3</v>
      </c>
      <c r="BQ144" s="1298">
        <v>4260.5</v>
      </c>
      <c r="BR144" s="1298">
        <v>4569.3999999999996</v>
      </c>
      <c r="BS144" s="1261"/>
      <c r="BT144" s="1387">
        <f>(1+ES32)*BO144</f>
        <v>4329.1720999999998</v>
      </c>
      <c r="BU144" s="1388">
        <f>0.95*BP144</f>
        <v>4398.7849999999999</v>
      </c>
      <c r="BV144" s="1388">
        <f>0.97*BQ144</f>
        <v>4132.6849999999995</v>
      </c>
      <c r="BW144" s="1621"/>
      <c r="BX144" s="1261"/>
      <c r="BY144" s="1387"/>
      <c r="BZ144" s="1388"/>
      <c r="CA144" s="1388"/>
      <c r="CB144" s="1388"/>
      <c r="CC144" s="1757"/>
      <c r="CD144" s="1387"/>
      <c r="CE144" s="1388"/>
      <c r="CF144" s="1388"/>
      <c r="CG144" s="1388"/>
      <c r="CH144" s="1757"/>
      <c r="CI144" s="1162"/>
      <c r="CJ144" s="860"/>
      <c r="CK144" s="1233"/>
      <c r="CL144" s="860"/>
      <c r="CM144" s="860"/>
      <c r="CN144" s="860"/>
      <c r="CO144" s="1232"/>
      <c r="CP144" s="1233"/>
      <c r="CQ144" s="860"/>
      <c r="CR144" s="860"/>
      <c r="CS144" s="860"/>
      <c r="CT144" s="1232"/>
      <c r="CU144" s="1233"/>
      <c r="CV144" s="860"/>
      <c r="CW144" s="860"/>
      <c r="CX144" s="860"/>
      <c r="CY144" s="1232"/>
      <c r="CZ144" s="1233"/>
      <c r="DA144" s="860"/>
      <c r="DB144" s="860"/>
      <c r="DC144" s="860"/>
      <c r="DD144" s="1232"/>
      <c r="DE144" s="1242">
        <f t="shared" ref="DE144:DH146" si="218">AF144/AA144-1</f>
        <v>0.23881123506327429</v>
      </c>
      <c r="DF144" s="1162">
        <f t="shared" si="218"/>
        <v>0.21307536671724825</v>
      </c>
      <c r="DG144" s="1162">
        <f t="shared" si="218"/>
        <v>0.19262393230621844</v>
      </c>
      <c r="DH144" s="1162">
        <f t="shared" si="218"/>
        <v>0.17453152264623362</v>
      </c>
      <c r="DI144" s="1232"/>
      <c r="DJ144" s="1242">
        <f t="shared" ref="DJ144:DM146" si="219">AK144/AF144-1</f>
        <v>7.5992169425164624E-2</v>
      </c>
      <c r="DK144" s="1162">
        <f t="shared" si="219"/>
        <v>6.3483790263733963E-2</v>
      </c>
      <c r="DL144" s="1162">
        <f t="shared" si="219"/>
        <v>5.1271753681392251E-2</v>
      </c>
      <c r="DM144" s="1162">
        <f t="shared" si="219"/>
        <v>8.2969996447372241E-2</v>
      </c>
      <c r="DN144" s="1232"/>
      <c r="DO144" s="1242">
        <f t="shared" ref="DO144:DR146" si="220">AP144/AK144-1</f>
        <v>0.10420112471055254</v>
      </c>
      <c r="DP144" s="1162">
        <f t="shared" si="220"/>
        <v>0.11265764882702745</v>
      </c>
      <c r="DQ144" s="1162">
        <f t="shared" si="220"/>
        <v>0.12966382274290078</v>
      </c>
      <c r="DR144" s="1162">
        <f t="shared" si="220"/>
        <v>9.4506739830609643E-2</v>
      </c>
      <c r="DS144" s="1232"/>
      <c r="DT144" s="1242">
        <f t="shared" ref="DT144:DV146" si="221">AU144/AP144-1</f>
        <v>0.17363690832834022</v>
      </c>
      <c r="DU144" s="1162">
        <f t="shared" si="221"/>
        <v>0.19216538438949904</v>
      </c>
      <c r="DV144" s="1162">
        <f t="shared" si="221"/>
        <v>0.16096942370015488</v>
      </c>
      <c r="DW144" s="1162"/>
      <c r="DX144" s="1232"/>
      <c r="DY144" s="1233"/>
      <c r="DZ144" s="860"/>
      <c r="EA144" s="860"/>
      <c r="EB144" s="860"/>
      <c r="EC144" s="1232"/>
      <c r="ED144" s="860"/>
      <c r="EE144" s="860"/>
      <c r="EF144" s="860"/>
      <c r="EG144" s="860"/>
      <c r="EH144" s="860"/>
      <c r="EI144" s="1233"/>
      <c r="EJ144" s="860"/>
      <c r="EK144" s="860"/>
      <c r="EL144" s="860"/>
      <c r="EM144" s="1232"/>
      <c r="EN144" s="1233"/>
      <c r="EO144" s="860"/>
      <c r="EP144" s="860"/>
      <c r="EQ144" s="860"/>
      <c r="ER144" s="1232"/>
      <c r="ES144" s="860"/>
      <c r="ET144" s="860"/>
      <c r="EU144" s="860"/>
      <c r="EV144" s="860"/>
      <c r="EW144" s="1232"/>
      <c r="EX144" s="1233"/>
      <c r="EY144" s="860"/>
      <c r="EZ144" s="860"/>
      <c r="FA144" s="860"/>
      <c r="FB144" s="1754"/>
      <c r="FC144" s="1233"/>
      <c r="FD144" s="860"/>
      <c r="FE144" s="860"/>
      <c r="FF144" s="860"/>
      <c r="FG144" s="860"/>
      <c r="FH144" s="860"/>
      <c r="FI144" s="860"/>
      <c r="FJ144" s="860"/>
      <c r="FY144" s="860"/>
      <c r="FZ144" s="860"/>
      <c r="GA144" s="860"/>
      <c r="GB144" s="860"/>
      <c r="GC144" s="860"/>
      <c r="GD144" s="860"/>
      <c r="GE144" s="860"/>
      <c r="GF144" s="860"/>
      <c r="GG144" s="860"/>
      <c r="GH144" s="860"/>
      <c r="GI144" s="860"/>
      <c r="GJ144" s="860"/>
      <c r="GK144" s="860"/>
      <c r="GL144" s="860"/>
      <c r="GM144" s="860"/>
      <c r="GN144" s="860"/>
      <c r="GO144" s="860"/>
      <c r="GP144" s="860"/>
      <c r="GQ144" s="860"/>
      <c r="GR144" s="1299">
        <v>4510.97505</v>
      </c>
      <c r="GS144" s="1218"/>
      <c r="GT144" s="1299">
        <v>4522.1091999999999</v>
      </c>
      <c r="GU144" s="1218"/>
      <c r="GV144" s="1299">
        <v>4700</v>
      </c>
      <c r="GW144" s="1218"/>
      <c r="GX144" s="1218"/>
      <c r="GY144" s="1299">
        <v>4300</v>
      </c>
      <c r="GZ144" s="1218"/>
      <c r="HA144" s="1218"/>
      <c r="HB144" s="1299"/>
      <c r="HC144" s="1218"/>
      <c r="HD144" s="2000"/>
      <c r="HE144" s="1299"/>
      <c r="HF144" s="1218"/>
      <c r="HG144" s="2000"/>
      <c r="HH144" s="1241"/>
      <c r="HI144" s="1299"/>
      <c r="HJ144" s="1218"/>
      <c r="HK144" s="2000"/>
      <c r="HL144" s="1299"/>
      <c r="HM144" s="1218"/>
      <c r="HN144" s="2000"/>
      <c r="HO144" s="1299"/>
      <c r="HP144" s="1218"/>
      <c r="HQ144" s="2000"/>
      <c r="HR144" s="1299"/>
    </row>
    <row r="145" spans="1:226" hidden="1" outlineLevel="1">
      <c r="A145" s="1290" t="s">
        <v>770</v>
      </c>
      <c r="B145" s="1233"/>
      <c r="C145" s="860"/>
      <c r="D145" s="860"/>
      <c r="E145" s="860"/>
      <c r="F145" s="1232"/>
      <c r="G145" s="1233"/>
      <c r="H145" s="860"/>
      <c r="I145" s="860"/>
      <c r="J145" s="860"/>
      <c r="K145" s="1232"/>
      <c r="L145" s="1233"/>
      <c r="M145" s="860"/>
      <c r="N145" s="860"/>
      <c r="O145" s="860"/>
      <c r="P145" s="1232"/>
      <c r="Q145" s="1233"/>
      <c r="R145" s="860"/>
      <c r="S145" s="860"/>
      <c r="T145" s="860"/>
      <c r="U145" s="1232"/>
      <c r="V145" s="1233"/>
      <c r="W145" s="860"/>
      <c r="X145" s="860"/>
      <c r="Y145" s="860"/>
      <c r="Z145" s="1261"/>
      <c r="AA145" s="1336">
        <v>463.4</v>
      </c>
      <c r="AB145" s="1291">
        <v>473.1</v>
      </c>
      <c r="AC145" s="1291">
        <v>548.6</v>
      </c>
      <c r="AD145" s="1291">
        <f>1944.4-AA145-AB145-AC145</f>
        <v>459.29999999999995</v>
      </c>
      <c r="AE145" s="1341"/>
      <c r="AF145" s="1336">
        <v>493</v>
      </c>
      <c r="AG145" s="1291">
        <v>500.4</v>
      </c>
      <c r="AH145" s="1291">
        <v>547.5</v>
      </c>
      <c r="AI145" s="1291">
        <f>2021-AF145-AG145-AH145</f>
        <v>480.09999999999991</v>
      </c>
      <c r="AJ145" s="1232"/>
      <c r="AK145" s="1336">
        <v>467.7</v>
      </c>
      <c r="AL145" s="1291">
        <v>494.9</v>
      </c>
      <c r="AM145" s="1291">
        <v>492.1</v>
      </c>
      <c r="AN145" s="1291">
        <f>1892.6-AK145-AL145-AM145</f>
        <v>437.89999999999986</v>
      </c>
      <c r="AO145" s="1261"/>
      <c r="AP145" s="1336">
        <v>433.9</v>
      </c>
      <c r="AQ145" s="1291">
        <v>414.3</v>
      </c>
      <c r="AR145" s="1291">
        <v>492.3</v>
      </c>
      <c r="AS145" s="1291">
        <f>1811.9-AP145-AQ145-AR145</f>
        <v>471.40000000000003</v>
      </c>
      <c r="AT145" s="1261"/>
      <c r="AU145" s="1336">
        <v>497</v>
      </c>
      <c r="AV145" s="1291">
        <v>521.9</v>
      </c>
      <c r="AW145" s="1291">
        <v>504</v>
      </c>
      <c r="AX145" s="1291">
        <v>527.9</v>
      </c>
      <c r="AY145" s="1261"/>
      <c r="AZ145" s="1336">
        <v>505.2</v>
      </c>
      <c r="BA145" s="1291">
        <v>625.9</v>
      </c>
      <c r="BB145" s="1291">
        <v>611.29999999999995</v>
      </c>
      <c r="BC145" s="1291">
        <v>645.79999999999995</v>
      </c>
      <c r="BD145" s="1261"/>
      <c r="BE145" s="1336">
        <v>528.29999999999995</v>
      </c>
      <c r="BF145" s="1291">
        <v>673.6</v>
      </c>
      <c r="BG145" s="1291">
        <v>629.9</v>
      </c>
      <c r="BH145" s="1291">
        <v>703.50000000000023</v>
      </c>
      <c r="BI145" s="1261"/>
      <c r="BJ145" s="1350">
        <v>493.3</v>
      </c>
      <c r="BK145" s="1298">
        <v>492.3</v>
      </c>
      <c r="BL145" s="1298">
        <v>461.3</v>
      </c>
      <c r="BM145" s="1298">
        <v>358.9</v>
      </c>
      <c r="BN145" s="1261"/>
      <c r="BO145" s="1350">
        <v>434.4</v>
      </c>
      <c r="BP145" s="1298">
        <v>357.8</v>
      </c>
      <c r="BQ145" s="1298">
        <v>257.7</v>
      </c>
      <c r="BR145" s="1298">
        <v>278.39999999999998</v>
      </c>
      <c r="BS145" s="1261"/>
      <c r="BT145" s="1336">
        <f>BT146-BT144</f>
        <v>338.62790000000041</v>
      </c>
      <c r="BU145" s="1291"/>
      <c r="BV145" s="1291"/>
      <c r="BW145" s="1291"/>
      <c r="BX145" s="1261"/>
      <c r="BY145" s="1336"/>
      <c r="BZ145" s="1291"/>
      <c r="CA145" s="1291"/>
      <c r="CB145" s="1291"/>
      <c r="CC145" s="1757"/>
      <c r="CD145" s="1336"/>
      <c r="CE145" s="1291"/>
      <c r="CF145" s="1291"/>
      <c r="CG145" s="1291"/>
      <c r="CH145" s="1757"/>
      <c r="CI145" s="1162"/>
      <c r="CJ145" s="860"/>
      <c r="CK145" s="1233"/>
      <c r="CL145" s="860"/>
      <c r="CM145" s="860"/>
      <c r="CN145" s="860"/>
      <c r="CO145" s="1232"/>
      <c r="CP145" s="1233"/>
      <c r="CQ145" s="860"/>
      <c r="CR145" s="860"/>
      <c r="CS145" s="860"/>
      <c r="CT145" s="1232"/>
      <c r="CU145" s="1233"/>
      <c r="CV145" s="860"/>
      <c r="CW145" s="860"/>
      <c r="CX145" s="860"/>
      <c r="CY145" s="1232"/>
      <c r="CZ145" s="1233"/>
      <c r="DA145" s="860"/>
      <c r="DB145" s="860"/>
      <c r="DC145" s="860"/>
      <c r="DD145" s="1232"/>
      <c r="DE145" s="1510">
        <f t="shared" si="218"/>
        <v>6.3875701337936963E-2</v>
      </c>
      <c r="DF145" s="1295">
        <f t="shared" si="218"/>
        <v>5.7704502219403819E-2</v>
      </c>
      <c r="DG145" s="1295">
        <f t="shared" si="218"/>
        <v>-2.005103900838523E-3</v>
      </c>
      <c r="DH145" s="1295">
        <f t="shared" si="218"/>
        <v>4.5286305247115077E-2</v>
      </c>
      <c r="DI145" s="1232"/>
      <c r="DJ145" s="1510">
        <f t="shared" si="219"/>
        <v>-5.1318458417849877E-2</v>
      </c>
      <c r="DK145" s="1295">
        <f t="shared" si="219"/>
        <v>-1.0991207034372508E-2</v>
      </c>
      <c r="DL145" s="1295">
        <f t="shared" si="219"/>
        <v>-0.10118721461187208</v>
      </c>
      <c r="DM145" s="1295">
        <f t="shared" si="219"/>
        <v>-8.789835450947725E-2</v>
      </c>
      <c r="DN145" s="1232"/>
      <c r="DO145" s="1510">
        <f t="shared" si="220"/>
        <v>-7.226854821466755E-2</v>
      </c>
      <c r="DP145" s="1295">
        <f t="shared" si="220"/>
        <v>-0.16286118407759143</v>
      </c>
      <c r="DQ145" s="1295">
        <f t="shared" si="220"/>
        <v>4.0642145905311899E-4</v>
      </c>
      <c r="DR145" s="1295">
        <f t="shared" si="220"/>
        <v>7.6501484357159644E-2</v>
      </c>
      <c r="DS145" s="1232"/>
      <c r="DT145" s="1510">
        <f t="shared" si="221"/>
        <v>0.14542521318276114</v>
      </c>
      <c r="DU145" s="1295">
        <f t="shared" si="221"/>
        <v>0.25971518223509515</v>
      </c>
      <c r="DV145" s="1295">
        <f t="shared" si="221"/>
        <v>2.3765996343692919E-2</v>
      </c>
      <c r="DW145" s="1162"/>
      <c r="DX145" s="1232"/>
      <c r="DY145" s="1233"/>
      <c r="DZ145" s="860"/>
      <c r="EA145" s="860"/>
      <c r="EB145" s="860"/>
      <c r="EC145" s="1232"/>
      <c r="ED145" s="860"/>
      <c r="EE145" s="860"/>
      <c r="EF145" s="860"/>
      <c r="EG145" s="860"/>
      <c r="EH145" s="860"/>
      <c r="EI145" s="1233"/>
      <c r="EJ145" s="860"/>
      <c r="EK145" s="860"/>
      <c r="EL145" s="860"/>
      <c r="EM145" s="1232"/>
      <c r="EN145" s="1233"/>
      <c r="EO145" s="860"/>
      <c r="EP145" s="860"/>
      <c r="EQ145" s="860"/>
      <c r="ER145" s="1232"/>
      <c r="ES145" s="860"/>
      <c r="ET145" s="860"/>
      <c r="EU145" s="860"/>
      <c r="EV145" s="860"/>
      <c r="EW145" s="1232"/>
      <c r="EX145" s="1233"/>
      <c r="EY145" s="860"/>
      <c r="EZ145" s="860"/>
      <c r="FA145" s="860"/>
      <c r="FB145" s="1754"/>
      <c r="FC145" s="1233"/>
      <c r="FD145" s="860"/>
      <c r="FE145" s="860"/>
      <c r="FF145" s="860"/>
      <c r="FG145" s="860"/>
      <c r="FH145" s="860"/>
      <c r="FI145" s="860"/>
      <c r="FJ145" s="860"/>
      <c r="FY145" s="860"/>
      <c r="FZ145" s="860"/>
      <c r="GA145" s="860"/>
      <c r="GB145" s="860"/>
      <c r="GC145" s="860"/>
      <c r="GD145" s="860"/>
      <c r="GE145" s="860"/>
      <c r="GF145" s="860"/>
      <c r="GG145" s="860"/>
      <c r="GH145" s="860"/>
      <c r="GI145" s="860"/>
      <c r="GJ145" s="860"/>
      <c r="GK145" s="860"/>
      <c r="GL145" s="860"/>
      <c r="GM145" s="860"/>
      <c r="GN145" s="860"/>
      <c r="GO145" s="860"/>
      <c r="GP145" s="860"/>
      <c r="GQ145" s="860"/>
      <c r="GR145" s="2016">
        <v>415.62450000000001</v>
      </c>
      <c r="GS145" s="1218"/>
      <c r="GT145" s="1299">
        <v>309.19175999999999</v>
      </c>
      <c r="GU145" s="1218"/>
      <c r="GV145" s="1299">
        <v>325.79999999999995</v>
      </c>
      <c r="GW145" s="1218"/>
      <c r="GX145" s="1218"/>
      <c r="GY145" s="1299">
        <v>350</v>
      </c>
      <c r="GZ145" s="1218"/>
      <c r="HA145" s="1218"/>
      <c r="HB145" s="1299"/>
      <c r="HC145" s="1218"/>
      <c r="HD145" s="2000"/>
      <c r="HE145" s="1299"/>
      <c r="HF145" s="1218"/>
      <c r="HG145" s="2000"/>
      <c r="HH145" s="1241"/>
      <c r="HI145" s="1299"/>
      <c r="HJ145" s="1218"/>
      <c r="HK145" s="2000"/>
      <c r="HL145" s="1299"/>
      <c r="HM145" s="1218"/>
      <c r="HN145" s="2000"/>
      <c r="HO145" s="1299"/>
      <c r="HP145" s="1218"/>
      <c r="HQ145" s="2000"/>
      <c r="HR145" s="1299"/>
    </row>
    <row r="146" spans="1:226" hidden="1" outlineLevel="1">
      <c r="A146" s="1300" t="s">
        <v>85</v>
      </c>
      <c r="B146" s="1668"/>
      <c r="C146" s="1271"/>
      <c r="D146" s="1271"/>
      <c r="E146" s="1271"/>
      <c r="F146" s="1418"/>
      <c r="G146" s="1668"/>
      <c r="H146" s="1271"/>
      <c r="I146" s="1271"/>
      <c r="J146" s="1271"/>
      <c r="K146" s="1418"/>
      <c r="L146" s="1668"/>
      <c r="M146" s="1271"/>
      <c r="N146" s="1271"/>
      <c r="O146" s="1271"/>
      <c r="P146" s="1418"/>
      <c r="Q146" s="1668"/>
      <c r="R146" s="1271"/>
      <c r="S146" s="1271"/>
      <c r="T146" s="1271"/>
      <c r="U146" s="1418"/>
      <c r="V146" s="1668"/>
      <c r="W146" s="1271"/>
      <c r="X146" s="1271"/>
      <c r="Y146" s="1271"/>
      <c r="Z146" s="1338"/>
      <c r="AA146" s="1337">
        <f>SUM(AA144:AA145)</f>
        <v>2731.3</v>
      </c>
      <c r="AB146" s="1302">
        <f>SUM(AB144:AB145)</f>
        <v>2845.5</v>
      </c>
      <c r="AC146" s="1302">
        <f>SUM(AC144:AC145)</f>
        <v>3054</v>
      </c>
      <c r="AD146" s="1302">
        <f>SUM(AD144:AD145)</f>
        <v>3095.5</v>
      </c>
      <c r="AE146" s="1351"/>
      <c r="AF146" s="1337">
        <f>SUM(AF144:AF145)</f>
        <v>3302.5</v>
      </c>
      <c r="AG146" s="1302">
        <f>SUM(AG144:AG145)</f>
        <v>3378.3</v>
      </c>
      <c r="AH146" s="1302">
        <f>SUM(AH144:AH145)</f>
        <v>3535.5</v>
      </c>
      <c r="AI146" s="1302">
        <f>SUM(AI144:AI145)</f>
        <v>3576.400000000001</v>
      </c>
      <c r="AJ146" s="1418"/>
      <c r="AK146" s="1337">
        <f>SUM(AK144:AK145)</f>
        <v>3490.7</v>
      </c>
      <c r="AL146" s="1302">
        <f>SUM(AL144:AL145)</f>
        <v>3555.5</v>
      </c>
      <c r="AM146" s="1302">
        <f>SUM(AM144:AM145)</f>
        <v>3633.2999999999997</v>
      </c>
      <c r="AN146" s="1302">
        <f>SUM(AN144:AN145)</f>
        <v>3791.0999999999995</v>
      </c>
      <c r="AO146" s="1338"/>
      <c r="AP146" s="1337">
        <f>SUM(AP144:AP145)</f>
        <v>3771.9</v>
      </c>
      <c r="AQ146" s="1302">
        <f>SUM(AQ144:AQ145)</f>
        <v>3819.7000000000003</v>
      </c>
      <c r="AR146" s="1302">
        <f>SUM(AR144:AR145)</f>
        <v>4040.8</v>
      </c>
      <c r="AS146" s="1302">
        <f>SUM(AS144:AS145)</f>
        <v>4141.5</v>
      </c>
      <c r="AT146" s="1338"/>
      <c r="AU146" s="1337">
        <f>SUM(AU144:AU145)</f>
        <v>4414.6000000000004</v>
      </c>
      <c r="AV146" s="1302">
        <f>SUM(AV144:AV145)</f>
        <v>4581.7</v>
      </c>
      <c r="AW146" s="1302">
        <f>SUM(AW144:AW145)</f>
        <v>4623.7</v>
      </c>
      <c r="AX146" s="1302">
        <f>SUM(AX144:AX145)</f>
        <v>4679</v>
      </c>
      <c r="AY146" s="1338"/>
      <c r="AZ146" s="1337">
        <f>SUM(AZ144:AZ145)</f>
        <v>4627.8999999999996</v>
      </c>
      <c r="BA146" s="1302">
        <f>SUM(BA144:BA145)</f>
        <v>4800.2</v>
      </c>
      <c r="BB146" s="1302">
        <f>SUM(BB144:BB145)</f>
        <v>4934.4000000000005</v>
      </c>
      <c r="BC146" s="1302">
        <f>SUM(BC144:BC145)</f>
        <v>5117.2</v>
      </c>
      <c r="BD146" s="1338"/>
      <c r="BE146" s="1337">
        <f>SUM(BE144:BE145)</f>
        <v>5011.6000000000004</v>
      </c>
      <c r="BF146" s="1302">
        <f>SUM(BF144:BF145)</f>
        <v>5148.3</v>
      </c>
      <c r="BG146" s="1302">
        <f>SUM(BG144:BG145)</f>
        <v>5213.2999999999993</v>
      </c>
      <c r="BH146" s="1302">
        <f>SUM(BH144:BH145)</f>
        <v>5549.6000000000013</v>
      </c>
      <c r="BI146" s="1338"/>
      <c r="BJ146" s="1337">
        <f>SUM(BJ144:BJ145)</f>
        <v>5167.8</v>
      </c>
      <c r="BK146" s="1302">
        <f>SUM(BK144:BK145)</f>
        <v>5190</v>
      </c>
      <c r="BL146" s="1302">
        <f>SUM(BL144:BL145)</f>
        <v>5058</v>
      </c>
      <c r="BM146" s="1302">
        <f>SUM(BM144:BM145)</f>
        <v>5255.0999999999995</v>
      </c>
      <c r="BN146" s="1338"/>
      <c r="BO146" s="1337">
        <f>SUM(BO144:BO145)</f>
        <v>5176.0999999999995</v>
      </c>
      <c r="BP146" s="1302">
        <f>SUM(BP144:BP145)</f>
        <v>4988.1000000000004</v>
      </c>
      <c r="BQ146" s="1302">
        <f>SUM(BQ144:BQ145)</f>
        <v>4518.2</v>
      </c>
      <c r="BR146" s="1302">
        <f>SUM(BR144:BR145)</f>
        <v>4847.7999999999993</v>
      </c>
      <c r="BS146" s="1338"/>
      <c r="BT146" s="1402">
        <v>4667.8</v>
      </c>
      <c r="BU146" s="1302"/>
      <c r="BV146" s="1302"/>
      <c r="BW146" s="1302"/>
      <c r="BX146" s="1338"/>
      <c r="BY146" s="1402"/>
      <c r="BZ146" s="1302"/>
      <c r="CA146" s="1302"/>
      <c r="CB146" s="1302"/>
      <c r="CC146" s="1772"/>
      <c r="CD146" s="1402"/>
      <c r="CE146" s="1298"/>
      <c r="CF146" s="1298"/>
      <c r="CG146" s="1298"/>
      <c r="CH146" s="1772"/>
      <c r="CI146" s="1162"/>
      <c r="CJ146" s="860"/>
      <c r="CK146" s="1233"/>
      <c r="CL146" s="860"/>
      <c r="CM146" s="860"/>
      <c r="CN146" s="860"/>
      <c r="CO146" s="1232"/>
      <c r="CP146" s="1233"/>
      <c r="CQ146" s="860"/>
      <c r="CR146" s="860"/>
      <c r="CS146" s="860"/>
      <c r="CT146" s="1232"/>
      <c r="CU146" s="1233"/>
      <c r="CV146" s="860"/>
      <c r="CW146" s="860"/>
      <c r="CX146" s="860"/>
      <c r="CY146" s="1232"/>
      <c r="CZ146" s="1233"/>
      <c r="DA146" s="860"/>
      <c r="DB146" s="860"/>
      <c r="DC146" s="860"/>
      <c r="DD146" s="1232"/>
      <c r="DE146" s="1242">
        <f t="shared" si="218"/>
        <v>0.20913118295317235</v>
      </c>
      <c r="DF146" s="1162">
        <f t="shared" si="218"/>
        <v>0.1872430152872957</v>
      </c>
      <c r="DG146" s="1162">
        <f t="shared" si="218"/>
        <v>0.15766208251473479</v>
      </c>
      <c r="DH146" s="1162">
        <f t="shared" si="218"/>
        <v>0.15535454692295292</v>
      </c>
      <c r="DI146" s="1232"/>
      <c r="DJ146" s="1242">
        <f t="shared" si="219"/>
        <v>5.698713096139274E-2</v>
      </c>
      <c r="DK146" s="1162">
        <f t="shared" si="219"/>
        <v>5.245241689607183E-2</v>
      </c>
      <c r="DL146" s="1162">
        <f t="shared" si="219"/>
        <v>2.766228256257941E-2</v>
      </c>
      <c r="DM146" s="1162">
        <f t="shared" si="219"/>
        <v>6.0032434850687322E-2</v>
      </c>
      <c r="DN146" s="1232"/>
      <c r="DO146" s="1242">
        <f t="shared" si="220"/>
        <v>8.0556908356490098E-2</v>
      </c>
      <c r="DP146" s="1162">
        <f t="shared" si="220"/>
        <v>7.4307411053297745E-2</v>
      </c>
      <c r="DQ146" s="1162">
        <f t="shared" si="220"/>
        <v>0.11215699226598419</v>
      </c>
      <c r="DR146" s="1162">
        <f t="shared" si="220"/>
        <v>9.2427000079132959E-2</v>
      </c>
      <c r="DS146" s="1232"/>
      <c r="DT146" s="1242">
        <f t="shared" si="221"/>
        <v>0.17039157984039877</v>
      </c>
      <c r="DU146" s="1162">
        <f t="shared" si="221"/>
        <v>0.19949210670995088</v>
      </c>
      <c r="DV146" s="1162">
        <f t="shared" si="221"/>
        <v>0.14425361314591156</v>
      </c>
      <c r="DW146" s="1162"/>
      <c r="DX146" s="1232"/>
      <c r="DY146" s="1233"/>
      <c r="DZ146" s="860"/>
      <c r="EA146" s="860"/>
      <c r="EB146" s="860"/>
      <c r="EC146" s="1232"/>
      <c r="ED146" s="860"/>
      <c r="EE146" s="860"/>
      <c r="EF146" s="860"/>
      <c r="EG146" s="860"/>
      <c r="EH146" s="860"/>
      <c r="EI146" s="1233"/>
      <c r="EJ146" s="860"/>
      <c r="EK146" s="860"/>
      <c r="EL146" s="860"/>
      <c r="EM146" s="1232"/>
      <c r="EN146" s="1233"/>
      <c r="EO146" s="860"/>
      <c r="EP146" s="860"/>
      <c r="EQ146" s="860"/>
      <c r="ER146" s="1232"/>
      <c r="ES146" s="860"/>
      <c r="ET146" s="860"/>
      <c r="EU146" s="860"/>
      <c r="EV146" s="860"/>
      <c r="EW146" s="1232"/>
      <c r="EX146" s="1233"/>
      <c r="EY146" s="860"/>
      <c r="EZ146" s="860"/>
      <c r="FA146" s="860"/>
      <c r="FB146" s="1754"/>
      <c r="FC146" s="1233"/>
      <c r="FD146" s="860"/>
      <c r="FE146" s="860"/>
      <c r="FF146" s="860"/>
      <c r="FG146" s="860"/>
      <c r="FH146" s="860"/>
      <c r="FI146" s="860"/>
      <c r="FJ146" s="860"/>
      <c r="FY146" s="860"/>
      <c r="FZ146" s="860"/>
      <c r="GA146" s="860"/>
      <c r="GB146" s="860"/>
      <c r="GC146" s="860"/>
      <c r="GD146" s="860"/>
      <c r="GE146" s="860"/>
      <c r="GF146" s="860"/>
      <c r="GG146" s="860"/>
      <c r="GH146" s="860"/>
      <c r="GI146" s="860"/>
      <c r="GJ146" s="860"/>
      <c r="GK146" s="860"/>
      <c r="GL146" s="860"/>
      <c r="GM146" s="860"/>
      <c r="GN146" s="860"/>
      <c r="GO146" s="860"/>
      <c r="GP146" s="860"/>
      <c r="GQ146" s="860"/>
      <c r="GR146" s="1299">
        <v>4926.5995499999999</v>
      </c>
      <c r="GS146" s="1218"/>
      <c r="GT146" s="1299">
        <v>4831.3009599999996</v>
      </c>
      <c r="GU146" s="1218"/>
      <c r="GV146" s="1634">
        <v>5025.8</v>
      </c>
      <c r="GW146" s="1218"/>
      <c r="GX146" s="1218"/>
      <c r="GY146" s="1634">
        <v>4650</v>
      </c>
      <c r="GZ146" s="1218"/>
      <c r="HA146" s="1218"/>
      <c r="HB146" s="1634"/>
      <c r="HC146" s="1218"/>
      <c r="HD146" s="2000"/>
      <c r="HE146" s="1634"/>
      <c r="HF146" s="1218"/>
      <c r="HG146" s="2000"/>
      <c r="HH146" s="1241"/>
      <c r="HI146" s="1634"/>
      <c r="HJ146" s="1218"/>
      <c r="HK146" s="2000"/>
      <c r="HL146" s="1634"/>
      <c r="HM146" s="1218"/>
      <c r="HN146" s="2000"/>
      <c r="HO146" s="1634"/>
      <c r="HP146" s="1218"/>
      <c r="HQ146" s="2000"/>
      <c r="HR146" s="1299"/>
    </row>
    <row r="147" spans="1:226" hidden="1" outlineLevel="1">
      <c r="A147" s="1290" t="s">
        <v>532</v>
      </c>
      <c r="B147" s="1233"/>
      <c r="C147" s="860"/>
      <c r="D147" s="860"/>
      <c r="E147" s="860"/>
      <c r="F147" s="1232"/>
      <c r="G147" s="1233"/>
      <c r="H147" s="860"/>
      <c r="I147" s="860"/>
      <c r="J147" s="860"/>
      <c r="K147" s="1232"/>
      <c r="L147" s="1233"/>
      <c r="M147" s="860"/>
      <c r="N147" s="860"/>
      <c r="O147" s="860"/>
      <c r="P147" s="1232"/>
      <c r="Q147" s="1233"/>
      <c r="R147" s="860"/>
      <c r="S147" s="860"/>
      <c r="T147" s="860"/>
      <c r="U147" s="1232"/>
      <c r="V147" s="1233"/>
      <c r="W147" s="860"/>
      <c r="X147" s="860"/>
      <c r="Y147" s="860"/>
      <c r="Z147" s="1261"/>
      <c r="AA147" s="1242"/>
      <c r="AB147" s="1162"/>
      <c r="AC147" s="1162"/>
      <c r="AD147" s="1162"/>
      <c r="AE147" s="1261"/>
      <c r="AF147" s="1242"/>
      <c r="AG147" s="1162"/>
      <c r="AH147" s="1162"/>
      <c r="AI147" s="1162"/>
      <c r="AJ147" s="1232"/>
      <c r="AK147" s="1242"/>
      <c r="AL147" s="1162"/>
      <c r="AM147" s="1162"/>
      <c r="AN147" s="1162"/>
      <c r="AO147" s="1261"/>
      <c r="AP147" s="1242"/>
      <c r="AQ147" s="1162"/>
      <c r="AR147" s="1162"/>
      <c r="AS147" s="1162"/>
      <c r="AT147" s="1261"/>
      <c r="AU147" s="1336">
        <f>AU32-AU146</f>
        <v>-117.5</v>
      </c>
      <c r="AV147" s="1291">
        <f>AV32-AV146</f>
        <v>-108</v>
      </c>
      <c r="AW147" s="1291">
        <f>AW32-AW146</f>
        <v>-142</v>
      </c>
      <c r="AX147" s="1291">
        <f>AX32-AX146</f>
        <v>-134</v>
      </c>
      <c r="AY147" s="1261"/>
      <c r="AZ147" s="1336">
        <f>AZ32-AZ146</f>
        <v>-137.59999999999945</v>
      </c>
      <c r="BA147" s="1291">
        <f>BA32-BA146</f>
        <v>-143.69999999999982</v>
      </c>
      <c r="BB147" s="1291">
        <f>BB32-BB146</f>
        <v>-137.70000000000073</v>
      </c>
      <c r="BC147" s="1291">
        <f>BC32-BC146</f>
        <v>-162.39999999999964</v>
      </c>
      <c r="BD147" s="1261"/>
      <c r="BE147" s="1336">
        <f>BE32-BE146</f>
        <v>-177</v>
      </c>
      <c r="BF147" s="1291">
        <f>BF32-BF146</f>
        <v>-128.19999999999982</v>
      </c>
      <c r="BG147" s="1291">
        <f>BG32-BG146</f>
        <v>-148.79999999999927</v>
      </c>
      <c r="BH147" s="1291">
        <f>BH32-BH146</f>
        <v>-183.80000000000109</v>
      </c>
      <c r="BI147" s="1261"/>
      <c r="BJ147" s="1336">
        <f>BJ32-BJ146</f>
        <v>-188.5</v>
      </c>
      <c r="BK147" s="1291">
        <f>BK32-BK146</f>
        <v>-238.19999999999982</v>
      </c>
      <c r="BL147" s="1291">
        <f>BL32-BL146</f>
        <v>-145.60000000000036</v>
      </c>
      <c r="BM147" s="1291">
        <f>BM32-BM146</f>
        <v>-195.79999999999927</v>
      </c>
      <c r="BN147" s="1261"/>
      <c r="BO147" s="1336">
        <f>BO32-BO146</f>
        <v>-219.09999999999945</v>
      </c>
      <c r="BP147" s="1291">
        <f>BP32-BP146</f>
        <v>-146.70000000000073</v>
      </c>
      <c r="BQ147" s="1291">
        <f>BQ32-BQ146</f>
        <v>-197.39999999999964</v>
      </c>
      <c r="BR147" s="1291">
        <f>BR32-BR146</f>
        <v>-145.99999999999909</v>
      </c>
      <c r="BS147" s="1261"/>
      <c r="BT147" s="1336">
        <f>BT32-BT146</f>
        <v>0</v>
      </c>
      <c r="BU147" s="1291"/>
      <c r="BV147" s="1291"/>
      <c r="BW147" s="1291"/>
      <c r="BX147" s="1261"/>
      <c r="BY147" s="1336"/>
      <c r="BZ147" s="1291"/>
      <c r="CA147" s="1291"/>
      <c r="CB147" s="1291"/>
      <c r="CC147" s="1757"/>
      <c r="CD147" s="1336"/>
      <c r="CE147" s="1291"/>
      <c r="CF147" s="1291"/>
      <c r="CG147" s="1291"/>
      <c r="CH147" s="1757"/>
      <c r="CI147" s="1162"/>
      <c r="CJ147" s="860"/>
      <c r="CK147" s="1233"/>
      <c r="CL147" s="860"/>
      <c r="CM147" s="860"/>
      <c r="CN147" s="860"/>
      <c r="CO147" s="1232"/>
      <c r="CP147" s="1233"/>
      <c r="CQ147" s="860"/>
      <c r="CR147" s="860"/>
      <c r="CS147" s="860"/>
      <c r="CT147" s="1232"/>
      <c r="CU147" s="1233"/>
      <c r="CV147" s="860"/>
      <c r="CW147" s="860"/>
      <c r="CX147" s="860"/>
      <c r="CY147" s="1232"/>
      <c r="CZ147" s="1233"/>
      <c r="DA147" s="860"/>
      <c r="DB147" s="860"/>
      <c r="DC147" s="860"/>
      <c r="DD147" s="1232"/>
      <c r="DE147" s="1233"/>
      <c r="DF147" s="860"/>
      <c r="DG147" s="860"/>
      <c r="DH147" s="860"/>
      <c r="DI147" s="1232"/>
      <c r="DJ147" s="1233"/>
      <c r="DK147" s="860"/>
      <c r="DL147" s="860"/>
      <c r="DM147" s="860"/>
      <c r="DN147" s="1232"/>
      <c r="DO147" s="1233"/>
      <c r="DP147" s="860"/>
      <c r="DQ147" s="860"/>
      <c r="DR147" s="860"/>
      <c r="DS147" s="1232"/>
      <c r="DT147" s="1233"/>
      <c r="DU147" s="860"/>
      <c r="DV147" s="860"/>
      <c r="DW147" s="860"/>
      <c r="DX147" s="1232"/>
      <c r="DY147" s="1233"/>
      <c r="DZ147" s="860"/>
      <c r="EA147" s="860"/>
      <c r="EB147" s="860"/>
      <c r="EC147" s="1232"/>
      <c r="ED147" s="860"/>
      <c r="EE147" s="860"/>
      <c r="EF147" s="860"/>
      <c r="EG147" s="860"/>
      <c r="EH147" s="860"/>
      <c r="EI147" s="1233"/>
      <c r="EJ147" s="860"/>
      <c r="EK147" s="860"/>
      <c r="EL147" s="860"/>
      <c r="EM147" s="1232"/>
      <c r="EN147" s="1233"/>
      <c r="EO147" s="860"/>
      <c r="EP147" s="860"/>
      <c r="EQ147" s="860"/>
      <c r="ER147" s="1232"/>
      <c r="ES147" s="860"/>
      <c r="ET147" s="860"/>
      <c r="EU147" s="860"/>
      <c r="EV147" s="860"/>
      <c r="EW147" s="1232"/>
      <c r="EX147" s="1233"/>
      <c r="EY147" s="860"/>
      <c r="EZ147" s="860"/>
      <c r="FA147" s="860"/>
      <c r="FB147" s="1754"/>
      <c r="FC147" s="1233"/>
      <c r="FD147" s="860"/>
      <c r="FE147" s="860"/>
      <c r="FF147" s="860"/>
      <c r="FG147" s="860"/>
      <c r="FH147" s="860"/>
      <c r="FI147" s="860"/>
      <c r="FJ147" s="860"/>
      <c r="FY147" s="860"/>
      <c r="FZ147" s="860"/>
      <c r="GA147" s="860"/>
      <c r="GB147" s="860"/>
      <c r="GC147" s="860"/>
      <c r="GD147" s="860"/>
      <c r="GE147" s="860"/>
      <c r="GF147" s="860"/>
      <c r="GG147" s="860"/>
      <c r="GH147" s="860"/>
      <c r="GI147" s="860"/>
      <c r="GJ147" s="860"/>
      <c r="GK147" s="860"/>
      <c r="GL147" s="860"/>
      <c r="GM147" s="860"/>
      <c r="GN147" s="860"/>
      <c r="GO147" s="860"/>
      <c r="GP147" s="860"/>
      <c r="GQ147" s="860"/>
      <c r="GR147" s="1299">
        <v>-176.59954999999991</v>
      </c>
      <c r="GS147" s="1218"/>
      <c r="GT147" s="1299">
        <v>-204.36273450000044</v>
      </c>
      <c r="GU147" s="1218"/>
      <c r="GV147" s="1299">
        <v>-205.80000000000018</v>
      </c>
      <c r="GW147" s="1218"/>
      <c r="GX147" s="1218"/>
      <c r="GY147" s="1299">
        <v>0</v>
      </c>
      <c r="GZ147" s="1218"/>
      <c r="HA147" s="1218"/>
      <c r="HB147" s="1299"/>
      <c r="HC147" s="1218"/>
      <c r="HD147" s="2000"/>
      <c r="HE147" s="1299"/>
      <c r="HF147" s="1218"/>
      <c r="HG147" s="2000"/>
      <c r="HH147" s="1241"/>
      <c r="HI147" s="1299"/>
      <c r="HJ147" s="1218"/>
      <c r="HK147" s="2000"/>
      <c r="HL147" s="1299"/>
      <c r="HM147" s="1218"/>
      <c r="HN147" s="2000"/>
      <c r="HO147" s="1299"/>
      <c r="HP147" s="1218"/>
      <c r="HQ147" s="2000"/>
      <c r="HR147" s="1299"/>
    </row>
    <row r="148" spans="1:226" hidden="1" outlineLevel="1">
      <c r="A148" s="1290"/>
      <c r="B148" s="1233"/>
      <c r="C148" s="860"/>
      <c r="D148" s="860"/>
      <c r="E148" s="860"/>
      <c r="F148" s="1232"/>
      <c r="G148" s="1233"/>
      <c r="H148" s="860"/>
      <c r="I148" s="860"/>
      <c r="J148" s="860"/>
      <c r="K148" s="1232"/>
      <c r="L148" s="1233"/>
      <c r="M148" s="860"/>
      <c r="N148" s="860"/>
      <c r="O148" s="860"/>
      <c r="P148" s="1232"/>
      <c r="Q148" s="1233"/>
      <c r="R148" s="860"/>
      <c r="S148" s="860"/>
      <c r="T148" s="860"/>
      <c r="U148" s="1232"/>
      <c r="V148" s="1233"/>
      <c r="W148" s="860"/>
      <c r="X148" s="860"/>
      <c r="Y148" s="860"/>
      <c r="Z148" s="1261"/>
      <c r="AA148" s="1242"/>
      <c r="AB148" s="1162"/>
      <c r="AC148" s="1162"/>
      <c r="AD148" s="1162"/>
      <c r="AE148" s="1261"/>
      <c r="AF148" s="1242"/>
      <c r="AG148" s="1162"/>
      <c r="AH148" s="1162"/>
      <c r="AI148" s="1162"/>
      <c r="AJ148" s="1232"/>
      <c r="AK148" s="1242"/>
      <c r="AL148" s="1162"/>
      <c r="AM148" s="1162"/>
      <c r="AN148" s="1162"/>
      <c r="AO148" s="1261"/>
      <c r="AP148" s="1242"/>
      <c r="AQ148" s="1162"/>
      <c r="AR148" s="1162"/>
      <c r="AS148" s="1162"/>
      <c r="AT148" s="1261"/>
      <c r="AU148" s="1242"/>
      <c r="AV148" s="1162"/>
      <c r="AW148" s="1162"/>
      <c r="AX148" s="1162"/>
      <c r="AY148" s="1261"/>
      <c r="AZ148" s="1336"/>
      <c r="BA148" s="1162"/>
      <c r="BB148" s="1162"/>
      <c r="BC148" s="1162"/>
      <c r="BD148" s="1261"/>
      <c r="BE148" s="1242"/>
      <c r="BF148" s="1162"/>
      <c r="BG148" s="1217">
        <f>BG146/BB146-1</f>
        <v>5.6521562905317513E-2</v>
      </c>
      <c r="BH148" s="1217">
        <f>BH146/BB146-1</f>
        <v>0.12467574578469542</v>
      </c>
      <c r="BI148" s="1261"/>
      <c r="BJ148" s="1239">
        <f>BJ146/BE146-1</f>
        <v>3.1167690956979799E-2</v>
      </c>
      <c r="BK148" s="1217">
        <f>BK146/BF146-1</f>
        <v>8.0997610861837099E-3</v>
      </c>
      <c r="BL148" s="1217">
        <f>BL146/BG146-1</f>
        <v>-2.9789193025530736E-2</v>
      </c>
      <c r="BM148" s="1217">
        <f>BM146/BH146-1</f>
        <v>-5.3066887703618559E-2</v>
      </c>
      <c r="BN148" s="1261"/>
      <c r="BO148" s="1239">
        <f>BO146/BJ146-1</f>
        <v>1.6060993072486429E-3</v>
      </c>
      <c r="BP148" s="1217">
        <f>BP146/BK146-1</f>
        <v>-3.8901734104046182E-2</v>
      </c>
      <c r="BQ148" s="1217">
        <f>BQ146/BL146-1</f>
        <v>-0.10672202451561885</v>
      </c>
      <c r="BR148" s="1217">
        <f>BR146/BM146-1</f>
        <v>-7.7505661167247109E-2</v>
      </c>
      <c r="BS148" s="1261"/>
      <c r="BT148" s="1239">
        <f>BT146/BO146-1</f>
        <v>-9.8201348505631558E-2</v>
      </c>
      <c r="BU148" s="1217"/>
      <c r="BV148" s="1217"/>
      <c r="BW148" s="1217"/>
      <c r="BX148" s="1261"/>
      <c r="BY148" s="1239"/>
      <c r="BZ148" s="1217"/>
      <c r="CA148" s="1217"/>
      <c r="CB148" s="1217"/>
      <c r="CC148" s="1757"/>
      <c r="CD148" s="1239"/>
      <c r="CE148" s="1217"/>
      <c r="CF148" s="1217"/>
      <c r="CG148" s="1217"/>
      <c r="CH148" s="1757"/>
      <c r="CI148" s="1162"/>
      <c r="CJ148" s="860"/>
      <c r="CK148" s="1233"/>
      <c r="CL148" s="860"/>
      <c r="CM148" s="860"/>
      <c r="CN148" s="860"/>
      <c r="CO148" s="1232"/>
      <c r="CP148" s="1233"/>
      <c r="CQ148" s="860"/>
      <c r="CR148" s="860"/>
      <c r="CS148" s="860"/>
      <c r="CT148" s="1232"/>
      <c r="CU148" s="1233"/>
      <c r="CV148" s="860"/>
      <c r="CW148" s="860"/>
      <c r="CX148" s="860"/>
      <c r="CY148" s="1232"/>
      <c r="CZ148" s="1233"/>
      <c r="DA148" s="860"/>
      <c r="DB148" s="860"/>
      <c r="DC148" s="860"/>
      <c r="DD148" s="1232"/>
      <c r="DE148" s="1233"/>
      <c r="DF148" s="860"/>
      <c r="DG148" s="860"/>
      <c r="DH148" s="860"/>
      <c r="DI148" s="1232"/>
      <c r="DJ148" s="1233"/>
      <c r="DK148" s="860"/>
      <c r="DL148" s="860"/>
      <c r="DM148" s="860"/>
      <c r="DN148" s="1232"/>
      <c r="DO148" s="1233"/>
      <c r="DP148" s="860"/>
      <c r="DQ148" s="860"/>
      <c r="DR148" s="860"/>
      <c r="DS148" s="1232"/>
      <c r="DT148" s="1233"/>
      <c r="DU148" s="860"/>
      <c r="DV148" s="860"/>
      <c r="DW148" s="860"/>
      <c r="DX148" s="1232"/>
      <c r="DY148" s="1233"/>
      <c r="DZ148" s="860"/>
      <c r="EA148" s="860"/>
      <c r="EB148" s="860"/>
      <c r="EC148" s="1232"/>
      <c r="ED148" s="860"/>
      <c r="EE148" s="860"/>
      <c r="EF148" s="860"/>
      <c r="EG148" s="860"/>
      <c r="EH148" s="860"/>
      <c r="EI148" s="1233"/>
      <c r="EJ148" s="860"/>
      <c r="EK148" s="860"/>
      <c r="EL148" s="860"/>
      <c r="EM148" s="1232"/>
      <c r="EN148" s="1233"/>
      <c r="EO148" s="860"/>
      <c r="EP148" s="860"/>
      <c r="EQ148" s="860"/>
      <c r="ER148" s="1232"/>
      <c r="ES148" s="860"/>
      <c r="ET148" s="860"/>
      <c r="EU148" s="860"/>
      <c r="EV148" s="860"/>
      <c r="EW148" s="1232"/>
      <c r="EX148" s="1233"/>
      <c r="EY148" s="860"/>
      <c r="EZ148" s="860"/>
      <c r="FA148" s="860"/>
      <c r="FB148" s="1754"/>
      <c r="FC148" s="1233"/>
      <c r="FD148" s="860"/>
      <c r="FE148" s="860"/>
      <c r="FF148" s="860"/>
      <c r="FG148" s="860"/>
      <c r="FH148" s="860"/>
      <c r="FI148" s="860"/>
      <c r="FJ148" s="860"/>
      <c r="FY148" s="860"/>
      <c r="FZ148" s="860"/>
      <c r="GA148" s="860"/>
      <c r="GB148" s="860"/>
      <c r="GC148" s="860"/>
      <c r="GD148" s="860"/>
      <c r="GE148" s="860"/>
      <c r="GF148" s="860"/>
      <c r="GG148" s="860"/>
      <c r="GH148" s="860"/>
      <c r="GI148" s="860"/>
      <c r="GJ148" s="860"/>
      <c r="GK148" s="860"/>
      <c r="GL148" s="860"/>
      <c r="GM148" s="860"/>
      <c r="GN148" s="860"/>
      <c r="GO148" s="860"/>
      <c r="GP148" s="860"/>
      <c r="GQ148" s="860"/>
      <c r="GR148" s="1247">
        <v>-2.5978736654804324E-2</v>
      </c>
      <c r="GS148" s="1218"/>
      <c r="GT148" s="1247">
        <v>-8.0645285532149669E-2</v>
      </c>
      <c r="GU148" s="1218"/>
      <c r="GV148" s="1247">
        <v>-2.9037306079866987E-2</v>
      </c>
      <c r="GW148" s="1218"/>
      <c r="GX148" s="1218"/>
      <c r="GY148" s="1247">
        <v>-6.7781319540506479E-2</v>
      </c>
      <c r="GZ148" s="1218"/>
      <c r="HA148" s="1218"/>
      <c r="HB148" s="1247"/>
      <c r="HC148" s="1218"/>
      <c r="HD148" s="2000"/>
      <c r="HE148" s="1247"/>
      <c r="HF148" s="1218"/>
      <c r="HG148" s="2000"/>
      <c r="HH148" s="1241"/>
      <c r="HI148" s="1247"/>
      <c r="HJ148" s="1218"/>
      <c r="HK148" s="2000"/>
      <c r="HL148" s="1247"/>
      <c r="HM148" s="1218"/>
      <c r="HN148" s="2000"/>
      <c r="HO148" s="1247"/>
      <c r="HP148" s="1218"/>
      <c r="HQ148" s="2000"/>
      <c r="HR148" s="1247"/>
    </row>
    <row r="149" spans="1:226" hidden="1" outlineLevel="1">
      <c r="A149" s="1292" t="s">
        <v>778</v>
      </c>
      <c r="B149" s="1233"/>
      <c r="C149" s="860"/>
      <c r="D149" s="860"/>
      <c r="E149" s="860"/>
      <c r="F149" s="1232"/>
      <c r="G149" s="1233"/>
      <c r="H149" s="860"/>
      <c r="I149" s="860"/>
      <c r="J149" s="860"/>
      <c r="K149" s="1232"/>
      <c r="L149" s="1233"/>
      <c r="M149" s="860"/>
      <c r="N149" s="860"/>
      <c r="O149" s="860"/>
      <c r="P149" s="1232"/>
      <c r="Q149" s="1233"/>
      <c r="R149" s="860"/>
      <c r="S149" s="860"/>
      <c r="T149" s="860"/>
      <c r="U149" s="1232"/>
      <c r="V149" s="1233"/>
      <c r="W149" s="860"/>
      <c r="X149" s="860"/>
      <c r="Y149" s="860"/>
      <c r="Z149" s="1261"/>
      <c r="AA149" s="1242"/>
      <c r="AB149" s="1162"/>
      <c r="AC149" s="1162"/>
      <c r="AD149" s="1162"/>
      <c r="AE149" s="1261"/>
      <c r="AF149" s="1242"/>
      <c r="AG149" s="1162"/>
      <c r="AH149" s="1162"/>
      <c r="AI149" s="1162"/>
      <c r="AJ149" s="1232"/>
      <c r="AK149" s="1242"/>
      <c r="AL149" s="1162"/>
      <c r="AM149" s="1162"/>
      <c r="AN149" s="1162"/>
      <c r="AO149" s="1261"/>
      <c r="AP149" s="1242"/>
      <c r="AQ149" s="1162"/>
      <c r="AR149" s="1162"/>
      <c r="AS149" s="1162"/>
      <c r="AT149" s="1261"/>
      <c r="AU149" s="1239">
        <f>AU150-4.5%</f>
        <v>0.12863690832834024</v>
      </c>
      <c r="AV149" s="1217">
        <f>AV150-4.5%</f>
        <v>0.14716538438949905</v>
      </c>
      <c r="AW149" s="1217">
        <f>AW150-4.5%</f>
        <v>0.11596942370015488</v>
      </c>
      <c r="AX149" s="1217">
        <f>AX150-4.5%</f>
        <v>8.6059099207106124E-2</v>
      </c>
      <c r="AY149" s="1261"/>
      <c r="AZ149" s="1239"/>
      <c r="BA149" s="1217"/>
      <c r="BB149" s="1217"/>
      <c r="BC149" s="1162"/>
      <c r="BD149" s="1261"/>
      <c r="BE149" s="1239"/>
      <c r="BF149" s="1217"/>
      <c r="BG149" s="1217"/>
      <c r="BH149" s="1162"/>
      <c r="BI149" s="1261"/>
      <c r="BJ149" s="1239"/>
      <c r="BK149" s="1217"/>
      <c r="BL149" s="1217"/>
      <c r="BM149" s="1217"/>
      <c r="BN149" s="1261"/>
      <c r="BO149" s="1239"/>
      <c r="BP149" s="1217"/>
      <c r="BQ149" s="1217"/>
      <c r="BR149" s="1217"/>
      <c r="BS149" s="1261"/>
      <c r="BT149" s="1239"/>
      <c r="BU149" s="1217"/>
      <c r="BV149" s="1217"/>
      <c r="BW149" s="1217"/>
      <c r="BX149" s="1261"/>
      <c r="BY149" s="1239"/>
      <c r="BZ149" s="1217"/>
      <c r="CA149" s="1217"/>
      <c r="CB149" s="1217"/>
      <c r="CC149" s="1757"/>
      <c r="CD149" s="1239"/>
      <c r="CE149" s="1217"/>
      <c r="CF149" s="1217"/>
      <c r="CG149" s="1217"/>
      <c r="CH149" s="1757"/>
      <c r="CI149" s="1162"/>
      <c r="CJ149" s="860"/>
      <c r="CK149" s="1233"/>
      <c r="CL149" s="860"/>
      <c r="CM149" s="860"/>
      <c r="CN149" s="860"/>
      <c r="CO149" s="1232"/>
      <c r="CP149" s="1233"/>
      <c r="CQ149" s="860"/>
      <c r="CR149" s="860"/>
      <c r="CS149" s="860"/>
      <c r="CT149" s="1232"/>
      <c r="CU149" s="1233"/>
      <c r="CV149" s="860"/>
      <c r="CW149" s="860"/>
      <c r="CX149" s="860"/>
      <c r="CY149" s="1232"/>
      <c r="CZ149" s="1233"/>
      <c r="DA149" s="860"/>
      <c r="DB149" s="860"/>
      <c r="DC149" s="860"/>
      <c r="DD149" s="1232"/>
      <c r="DE149" s="1233"/>
      <c r="DF149" s="860"/>
      <c r="DG149" s="860"/>
      <c r="DH149" s="860"/>
      <c r="DI149" s="1232"/>
      <c r="DJ149" s="1233"/>
      <c r="DK149" s="860"/>
      <c r="DL149" s="860"/>
      <c r="DM149" s="860"/>
      <c r="DN149" s="1232"/>
      <c r="DO149" s="1233"/>
      <c r="DP149" s="860"/>
      <c r="DQ149" s="860"/>
      <c r="DR149" s="860"/>
      <c r="DS149" s="1232"/>
      <c r="DT149" s="1233"/>
      <c r="DU149" s="860"/>
      <c r="DV149" s="860"/>
      <c r="DW149" s="860"/>
      <c r="DX149" s="1232"/>
      <c r="DY149" s="1233"/>
      <c r="DZ149" s="860"/>
      <c r="EA149" s="860"/>
      <c r="EB149" s="860"/>
      <c r="EC149" s="1232"/>
      <c r="ED149" s="860"/>
      <c r="EE149" s="860"/>
      <c r="EF149" s="860"/>
      <c r="EG149" s="860"/>
      <c r="EH149" s="860"/>
      <c r="EI149" s="1233"/>
      <c r="EJ149" s="860"/>
      <c r="EK149" s="860"/>
      <c r="EL149" s="860"/>
      <c r="EM149" s="1232"/>
      <c r="EN149" s="1233"/>
      <c r="EO149" s="860"/>
      <c r="EP149" s="860"/>
      <c r="EQ149" s="860"/>
      <c r="ER149" s="1232"/>
      <c r="ES149" s="860"/>
      <c r="ET149" s="860"/>
      <c r="EU149" s="860"/>
      <c r="EV149" s="860"/>
      <c r="EW149" s="1232"/>
      <c r="EX149" s="1233"/>
      <c r="EY149" s="860"/>
      <c r="EZ149" s="860"/>
      <c r="FA149" s="860"/>
      <c r="FB149" s="1754"/>
      <c r="FC149" s="1233"/>
      <c r="FD149" s="860"/>
      <c r="FE149" s="860"/>
      <c r="FF149" s="860"/>
      <c r="FG149" s="860"/>
      <c r="FH149" s="860"/>
      <c r="FI149" s="860"/>
      <c r="FJ149" s="860"/>
      <c r="FY149" s="860"/>
      <c r="FZ149" s="860"/>
      <c r="GA149" s="860"/>
      <c r="GB149" s="860"/>
      <c r="GC149" s="860"/>
      <c r="GD149" s="860"/>
      <c r="GE149" s="860"/>
      <c r="GF149" s="860"/>
      <c r="GG149" s="860"/>
      <c r="GH149" s="860"/>
      <c r="GI149" s="860"/>
      <c r="GJ149" s="860"/>
      <c r="GK149" s="860"/>
      <c r="GL149" s="860"/>
      <c r="GM149" s="860"/>
      <c r="GN149" s="860"/>
      <c r="GO149" s="860"/>
      <c r="GP149" s="860"/>
      <c r="GQ149" s="860"/>
      <c r="GR149" s="1247"/>
      <c r="GS149" s="1218"/>
      <c r="GT149" s="1247"/>
      <c r="GU149" s="1218"/>
      <c r="GV149" s="1247"/>
      <c r="GW149" s="1218"/>
      <c r="GX149" s="1218"/>
      <c r="GY149" s="1247"/>
      <c r="GZ149" s="1218"/>
      <c r="HA149" s="1218"/>
      <c r="HB149" s="1247"/>
      <c r="HC149" s="1218"/>
      <c r="HD149" s="2000"/>
      <c r="HE149" s="1247"/>
      <c r="HF149" s="1218"/>
      <c r="HG149" s="2000"/>
      <c r="HH149" s="1241"/>
      <c r="HI149" s="1247"/>
      <c r="HJ149" s="1218"/>
      <c r="HK149" s="2000"/>
      <c r="HL149" s="1247"/>
      <c r="HM149" s="1218"/>
      <c r="HN149" s="2000"/>
      <c r="HO149" s="1247"/>
      <c r="HP149" s="1218"/>
      <c r="HQ149" s="2000"/>
      <c r="HR149" s="1247"/>
    </row>
    <row r="150" spans="1:226" hidden="1" outlineLevel="1">
      <c r="A150" s="1290" t="str">
        <f>A144</f>
        <v>Retail</v>
      </c>
      <c r="B150" s="1233"/>
      <c r="C150" s="860"/>
      <c r="D150" s="860"/>
      <c r="E150" s="860"/>
      <c r="F150" s="1232"/>
      <c r="G150" s="1233"/>
      <c r="H150" s="860"/>
      <c r="I150" s="860"/>
      <c r="J150" s="860"/>
      <c r="K150" s="1232"/>
      <c r="L150" s="1233"/>
      <c r="M150" s="860"/>
      <c r="N150" s="860"/>
      <c r="O150" s="860"/>
      <c r="P150" s="1232"/>
      <c r="Q150" s="1233"/>
      <c r="R150" s="860"/>
      <c r="S150" s="860"/>
      <c r="T150" s="860"/>
      <c r="U150" s="1232"/>
      <c r="V150" s="1233"/>
      <c r="W150" s="860"/>
      <c r="X150" s="860"/>
      <c r="Y150" s="860"/>
      <c r="Z150" s="1261"/>
      <c r="AA150" s="1242"/>
      <c r="AB150" s="1162"/>
      <c r="AC150" s="1162"/>
      <c r="AD150" s="1162"/>
      <c r="AE150" s="1261"/>
      <c r="AF150" s="1239">
        <f t="shared" ref="AF150:AI151" si="222">AF144/AA144-1</f>
        <v>0.23881123506327429</v>
      </c>
      <c r="AG150" s="1217">
        <f t="shared" si="222"/>
        <v>0.21307536671724825</v>
      </c>
      <c r="AH150" s="1217">
        <f t="shared" si="222"/>
        <v>0.19262393230621844</v>
      </c>
      <c r="AI150" s="1217">
        <f t="shared" si="222"/>
        <v>0.17453152264623362</v>
      </c>
      <c r="AJ150" s="1232"/>
      <c r="AK150" s="1239">
        <f t="shared" ref="AK150:AN151" si="223">AK144/AF144-1</f>
        <v>7.5992169425164624E-2</v>
      </c>
      <c r="AL150" s="1217">
        <f t="shared" si="223"/>
        <v>6.3483790263733963E-2</v>
      </c>
      <c r="AM150" s="1217">
        <f t="shared" si="223"/>
        <v>5.1271753681392251E-2</v>
      </c>
      <c r="AN150" s="1217">
        <f t="shared" si="223"/>
        <v>8.2969996447372241E-2</v>
      </c>
      <c r="AO150" s="1261"/>
      <c r="AP150" s="1239">
        <f t="shared" ref="AP150:AS151" si="224">AP144/AK144-1</f>
        <v>0.10420112471055254</v>
      </c>
      <c r="AQ150" s="1217">
        <f t="shared" si="224"/>
        <v>0.11265764882702745</v>
      </c>
      <c r="AR150" s="1217">
        <f t="shared" si="224"/>
        <v>0.12966382274290078</v>
      </c>
      <c r="AS150" s="1217">
        <f t="shared" si="224"/>
        <v>9.4506739830609643E-2</v>
      </c>
      <c r="AT150" s="1261"/>
      <c r="AU150" s="1239">
        <f t="shared" ref="AU150:AX151" si="225">AU144/AP144-1</f>
        <v>0.17363690832834022</v>
      </c>
      <c r="AV150" s="1217">
        <f t="shared" si="225"/>
        <v>0.19216538438949904</v>
      </c>
      <c r="AW150" s="1217">
        <f t="shared" si="225"/>
        <v>0.16096942370015488</v>
      </c>
      <c r="AX150" s="1217">
        <f t="shared" si="225"/>
        <v>0.13105909920710612</v>
      </c>
      <c r="AY150" s="1261"/>
      <c r="AZ150" s="1239">
        <f t="shared" ref="AZ150:BC151" si="226">AZ144/AU144-1</f>
        <v>5.2353481723504069E-2</v>
      </c>
      <c r="BA150" s="1217">
        <f t="shared" si="226"/>
        <v>2.8203359771417302E-2</v>
      </c>
      <c r="BB150" s="1217">
        <f t="shared" si="226"/>
        <v>4.9372527125761678E-2</v>
      </c>
      <c r="BC150" s="1217">
        <f t="shared" si="226"/>
        <v>7.716027077160259E-2</v>
      </c>
      <c r="BD150" s="1261"/>
      <c r="BE150" s="1239">
        <f t="shared" ref="BE150:BH151" si="227">BE144/AZ144-1</f>
        <v>8.7466951269798976E-2</v>
      </c>
      <c r="BF150" s="1217">
        <f t="shared" si="227"/>
        <v>7.1964161655846404E-2</v>
      </c>
      <c r="BG150" s="1217">
        <f t="shared" si="227"/>
        <v>6.0211422358955158E-2</v>
      </c>
      <c r="BH150" s="1217">
        <f t="shared" si="227"/>
        <v>8.379925750324313E-2</v>
      </c>
      <c r="BI150" s="1261"/>
      <c r="BJ150" s="1239">
        <f t="shared" ref="BJ150:BO152" si="228">BJ144/BE144-1</f>
        <v>4.2647157227934773E-2</v>
      </c>
      <c r="BK150" s="1217">
        <f t="shared" si="228"/>
        <v>4.983574317831363E-2</v>
      </c>
      <c r="BL150" s="1217">
        <f t="shared" si="228"/>
        <v>2.9017759741676308E-3</v>
      </c>
      <c r="BM150" s="1217">
        <f t="shared" si="228"/>
        <v>1.0338210107096124E-2</v>
      </c>
      <c r="BN150" s="1261"/>
      <c r="BO150" s="1239">
        <f t="shared" si="228"/>
        <v>1.4375869076906689E-2</v>
      </c>
      <c r="BP150" s="1217">
        <f t="shared" ref="BP150:BR152" si="229">BP144/BK144-1</f>
        <v>-1.4347446622815396E-2</v>
      </c>
      <c r="BQ150" s="1217">
        <f t="shared" si="229"/>
        <v>-7.3139426110035433E-2</v>
      </c>
      <c r="BR150" s="1217">
        <f t="shared" si="229"/>
        <v>-6.6745639475511709E-2</v>
      </c>
      <c r="BS150" s="1261"/>
      <c r="BT150" s="1239">
        <f>BT144/BO144-1</f>
        <v>-8.6999999999999966E-2</v>
      </c>
      <c r="BU150" s="1217"/>
      <c r="BV150" s="1217"/>
      <c r="BW150" s="1217"/>
      <c r="BX150" s="1261"/>
      <c r="BY150" s="1239"/>
      <c r="BZ150" s="1217"/>
      <c r="CA150" s="1217"/>
      <c r="CB150" s="1217"/>
      <c r="CC150" s="1757"/>
      <c r="CD150" s="1239"/>
      <c r="CE150" s="1217"/>
      <c r="CF150" s="1217"/>
      <c r="CG150" s="1217"/>
      <c r="CH150" s="1757"/>
      <c r="CI150" s="1162"/>
      <c r="CJ150" s="860"/>
      <c r="CK150" s="1233"/>
      <c r="CL150" s="860"/>
      <c r="CM150" s="860"/>
      <c r="CN150" s="860"/>
      <c r="CO150" s="1232"/>
      <c r="CP150" s="1233"/>
      <c r="CQ150" s="860"/>
      <c r="CR150" s="860"/>
      <c r="CS150" s="860"/>
      <c r="CT150" s="1232"/>
      <c r="CU150" s="1233"/>
      <c r="CV150" s="860"/>
      <c r="CW150" s="860"/>
      <c r="CX150" s="860"/>
      <c r="CY150" s="1232"/>
      <c r="CZ150" s="1233"/>
      <c r="DA150" s="860"/>
      <c r="DB150" s="860"/>
      <c r="DC150" s="860"/>
      <c r="DD150" s="1232"/>
      <c r="DE150" s="1233"/>
      <c r="DF150" s="860"/>
      <c r="DG150" s="860"/>
      <c r="DH150" s="860"/>
      <c r="DI150" s="1232"/>
      <c r="DJ150" s="1233"/>
      <c r="DK150" s="860"/>
      <c r="DL150" s="860"/>
      <c r="DM150" s="860"/>
      <c r="DN150" s="1232"/>
      <c r="DO150" s="1233"/>
      <c r="DP150" s="860"/>
      <c r="DQ150" s="860"/>
      <c r="DR150" s="860"/>
      <c r="DS150" s="1232"/>
      <c r="DT150" s="1233"/>
      <c r="DU150" s="860"/>
      <c r="DV150" s="860"/>
      <c r="DW150" s="860"/>
      <c r="DX150" s="1232"/>
      <c r="DY150" s="1233"/>
      <c r="DZ150" s="860"/>
      <c r="EA150" s="860"/>
      <c r="EB150" s="860"/>
      <c r="EC150" s="1232"/>
      <c r="ED150" s="860"/>
      <c r="EE150" s="860"/>
      <c r="EF150" s="860"/>
      <c r="EG150" s="860"/>
      <c r="EH150" s="860"/>
      <c r="EI150" s="1233"/>
      <c r="EJ150" s="860"/>
      <c r="EK150" s="860"/>
      <c r="EL150" s="860"/>
      <c r="EM150" s="1232"/>
      <c r="EN150" s="1233"/>
      <c r="EO150" s="860"/>
      <c r="EP150" s="860"/>
      <c r="EQ150" s="860"/>
      <c r="ER150" s="1232"/>
      <c r="ES150" s="860"/>
      <c r="ET150" s="860"/>
      <c r="EU150" s="860"/>
      <c r="EV150" s="860"/>
      <c r="EW150" s="1232"/>
      <c r="EX150" s="1233"/>
      <c r="EY150" s="860"/>
      <c r="EZ150" s="860"/>
      <c r="FA150" s="860"/>
      <c r="FB150" s="1754"/>
      <c r="FC150" s="1233"/>
      <c r="FD150" s="860"/>
      <c r="FE150" s="860"/>
      <c r="FF150" s="860"/>
      <c r="FG150" s="860"/>
      <c r="FH150" s="860"/>
      <c r="FI150" s="860"/>
      <c r="FJ150" s="860"/>
      <c r="FY150" s="860"/>
      <c r="FZ150" s="860"/>
      <c r="GA150" s="860"/>
      <c r="GB150" s="860"/>
      <c r="GC150" s="860"/>
      <c r="GD150" s="860"/>
      <c r="GE150" s="860"/>
      <c r="GF150" s="860"/>
      <c r="GG150" s="860"/>
      <c r="GH150" s="860"/>
      <c r="GI150" s="860"/>
      <c r="GJ150" s="860"/>
      <c r="GK150" s="860"/>
      <c r="GL150" s="860"/>
      <c r="GM150" s="860"/>
      <c r="GN150" s="860"/>
      <c r="GO150" s="860"/>
      <c r="GP150" s="860"/>
      <c r="GQ150" s="860"/>
      <c r="GR150" s="1247">
        <v>-1.8649237496464854E-2</v>
      </c>
      <c r="GS150" s="1218"/>
      <c r="GT150" s="1247">
        <v>-7.640431354928312E-2</v>
      </c>
      <c r="GU150" s="1218"/>
      <c r="GV150" s="1247">
        <v>-8.7943142754708381E-3</v>
      </c>
      <c r="GW150" s="1218"/>
      <c r="GX150" s="1218"/>
      <c r="GY150" s="1247">
        <v>-7.1334470768632752E-2</v>
      </c>
      <c r="GZ150" s="1218"/>
      <c r="HA150" s="1218"/>
      <c r="HB150" s="1247"/>
      <c r="HC150" s="1218"/>
      <c r="HD150" s="2000"/>
      <c r="HE150" s="1247"/>
      <c r="HF150" s="1218"/>
      <c r="HG150" s="2000"/>
      <c r="HH150" s="1241"/>
      <c r="HI150" s="1247"/>
      <c r="HJ150" s="1218"/>
      <c r="HK150" s="2000"/>
      <c r="HL150" s="1247"/>
      <c r="HM150" s="1218"/>
      <c r="HN150" s="2000"/>
      <c r="HO150" s="1247"/>
      <c r="HP150" s="1218"/>
      <c r="HQ150" s="2000"/>
      <c r="HR150" s="1247"/>
    </row>
    <row r="151" spans="1:226" hidden="1" outlineLevel="1">
      <c r="A151" s="1290" t="str">
        <f>A145</f>
        <v>Wholesale</v>
      </c>
      <c r="B151" s="1233"/>
      <c r="C151" s="860"/>
      <c r="D151" s="860"/>
      <c r="E151" s="860"/>
      <c r="F151" s="1232"/>
      <c r="G151" s="1233"/>
      <c r="H151" s="860"/>
      <c r="I151" s="860"/>
      <c r="J151" s="860"/>
      <c r="K151" s="1232"/>
      <c r="L151" s="1233"/>
      <c r="M151" s="860"/>
      <c r="N151" s="860"/>
      <c r="O151" s="860"/>
      <c r="P151" s="1232"/>
      <c r="Q151" s="1233"/>
      <c r="R151" s="860"/>
      <c r="S151" s="860"/>
      <c r="T151" s="860"/>
      <c r="U151" s="1232"/>
      <c r="V151" s="1233"/>
      <c r="W151" s="860"/>
      <c r="X151" s="860"/>
      <c r="Y151" s="860"/>
      <c r="Z151" s="1261"/>
      <c r="AA151" s="1242"/>
      <c r="AB151" s="1162"/>
      <c r="AC151" s="1162"/>
      <c r="AD151" s="1162"/>
      <c r="AE151" s="1261"/>
      <c r="AF151" s="1239">
        <f t="shared" si="222"/>
        <v>6.3875701337936963E-2</v>
      </c>
      <c r="AG151" s="1217">
        <f t="shared" si="222"/>
        <v>5.7704502219403819E-2</v>
      </c>
      <c r="AH151" s="1217">
        <f t="shared" si="222"/>
        <v>-2.005103900838523E-3</v>
      </c>
      <c r="AI151" s="1217">
        <f t="shared" si="222"/>
        <v>4.5286305247115077E-2</v>
      </c>
      <c r="AJ151" s="1232"/>
      <c r="AK151" s="1239">
        <f t="shared" si="223"/>
        <v>-5.1318458417849877E-2</v>
      </c>
      <c r="AL151" s="1217">
        <f t="shared" si="223"/>
        <v>-1.0991207034372508E-2</v>
      </c>
      <c r="AM151" s="1217">
        <f t="shared" si="223"/>
        <v>-0.10118721461187208</v>
      </c>
      <c r="AN151" s="1217">
        <f t="shared" si="223"/>
        <v>-8.789835450947725E-2</v>
      </c>
      <c r="AO151" s="1261"/>
      <c r="AP151" s="1239">
        <f t="shared" si="224"/>
        <v>-7.226854821466755E-2</v>
      </c>
      <c r="AQ151" s="1217">
        <f t="shared" si="224"/>
        <v>-0.16286118407759143</v>
      </c>
      <c r="AR151" s="1217">
        <f t="shared" si="224"/>
        <v>4.0642145905311899E-4</v>
      </c>
      <c r="AS151" s="1217">
        <f t="shared" si="224"/>
        <v>7.6501484357159644E-2</v>
      </c>
      <c r="AT151" s="1261"/>
      <c r="AU151" s="1239">
        <f t="shared" si="225"/>
        <v>0.14542521318276114</v>
      </c>
      <c r="AV151" s="1217">
        <f t="shared" si="225"/>
        <v>0.25971518223509515</v>
      </c>
      <c r="AW151" s="1217">
        <f t="shared" si="225"/>
        <v>2.3765996343692919E-2</v>
      </c>
      <c r="AX151" s="1217">
        <f t="shared" si="225"/>
        <v>0.11985574883326255</v>
      </c>
      <c r="AY151" s="1261"/>
      <c r="AZ151" s="1239">
        <f t="shared" si="226"/>
        <v>1.6498993963782738E-2</v>
      </c>
      <c r="BA151" s="1217">
        <f t="shared" si="226"/>
        <v>0.19927189116689026</v>
      </c>
      <c r="BB151" s="1217">
        <f t="shared" si="226"/>
        <v>0.21289682539682531</v>
      </c>
      <c r="BC151" s="1217">
        <f t="shared" si="226"/>
        <v>0.22333775336237927</v>
      </c>
      <c r="BD151" s="1261"/>
      <c r="BE151" s="1239">
        <f t="shared" si="227"/>
        <v>4.572446555819476E-2</v>
      </c>
      <c r="BF151" s="1217">
        <f t="shared" si="227"/>
        <v>7.6210257229589518E-2</v>
      </c>
      <c r="BG151" s="1217">
        <f t="shared" si="227"/>
        <v>3.0426958939963944E-2</v>
      </c>
      <c r="BH151" s="1217">
        <f t="shared" si="227"/>
        <v>8.934654691855104E-2</v>
      </c>
      <c r="BI151" s="1261"/>
      <c r="BJ151" s="1239">
        <f t="shared" si="228"/>
        <v>-6.6250236607987789E-2</v>
      </c>
      <c r="BK151" s="1217">
        <f t="shared" si="228"/>
        <v>-0.26915083135391926</v>
      </c>
      <c r="BL151" s="1217">
        <f t="shared" si="228"/>
        <v>-0.26766153357675815</v>
      </c>
      <c r="BM151" s="1217">
        <f t="shared" si="228"/>
        <v>-0.48983653162757657</v>
      </c>
      <c r="BN151" s="1261"/>
      <c r="BO151" s="1239">
        <f t="shared" si="228"/>
        <v>-0.11939995945672011</v>
      </c>
      <c r="BP151" s="1217">
        <f t="shared" si="229"/>
        <v>-0.27320739386552917</v>
      </c>
      <c r="BQ151" s="1217">
        <f t="shared" si="229"/>
        <v>-0.44136137004118803</v>
      </c>
      <c r="BR151" s="1217">
        <f t="shared" si="229"/>
        <v>-0.22429646140986348</v>
      </c>
      <c r="BS151" s="1261"/>
      <c r="BT151" s="1239">
        <f>BT145/BO145-1</f>
        <v>-0.22046984346224574</v>
      </c>
      <c r="BU151" s="1217"/>
      <c r="BV151" s="1217"/>
      <c r="BW151" s="1217"/>
      <c r="BX151" s="1261"/>
      <c r="BY151" s="1239"/>
      <c r="BZ151" s="1217"/>
      <c r="CA151" s="1217"/>
      <c r="CB151" s="1217"/>
      <c r="CC151" s="1757"/>
      <c r="CD151" s="1239"/>
      <c r="CE151" s="1217"/>
      <c r="CF151" s="1217"/>
      <c r="CG151" s="1217"/>
      <c r="CH151" s="1757"/>
      <c r="CI151" s="1162"/>
      <c r="CJ151" s="860"/>
      <c r="CK151" s="1233"/>
      <c r="CL151" s="860"/>
      <c r="CM151" s="860"/>
      <c r="CN151" s="860"/>
      <c r="CO151" s="1232"/>
      <c r="CP151" s="1233"/>
      <c r="CQ151" s="860"/>
      <c r="CR151" s="860"/>
      <c r="CS151" s="860"/>
      <c r="CT151" s="1232"/>
      <c r="CU151" s="1233"/>
      <c r="CV151" s="860"/>
      <c r="CW151" s="860"/>
      <c r="CX151" s="860"/>
      <c r="CY151" s="1232"/>
      <c r="CZ151" s="1233"/>
      <c r="DA151" s="860"/>
      <c r="DB151" s="860"/>
      <c r="DC151" s="860"/>
      <c r="DD151" s="1232"/>
      <c r="DE151" s="1233"/>
      <c r="DF151" s="860"/>
      <c r="DG151" s="860"/>
      <c r="DH151" s="860"/>
      <c r="DI151" s="1232"/>
      <c r="DJ151" s="1233"/>
      <c r="DK151" s="860"/>
      <c r="DL151" s="860"/>
      <c r="DM151" s="860"/>
      <c r="DN151" s="1232"/>
      <c r="DO151" s="1233"/>
      <c r="DP151" s="860"/>
      <c r="DQ151" s="860"/>
      <c r="DR151" s="860"/>
      <c r="DS151" s="1232"/>
      <c r="DT151" s="1233"/>
      <c r="DU151" s="860"/>
      <c r="DV151" s="860"/>
      <c r="DW151" s="860"/>
      <c r="DX151" s="1232"/>
      <c r="DY151" s="1233"/>
      <c r="DZ151" s="860"/>
      <c r="EA151" s="860"/>
      <c r="EB151" s="860"/>
      <c r="EC151" s="1232"/>
      <c r="ED151" s="860"/>
      <c r="EE151" s="860"/>
      <c r="EF151" s="860"/>
      <c r="EG151" s="860"/>
      <c r="EH151" s="860"/>
      <c r="EI151" s="1233"/>
      <c r="EJ151" s="860"/>
      <c r="EK151" s="860"/>
      <c r="EL151" s="860"/>
      <c r="EM151" s="1232"/>
      <c r="EN151" s="1233"/>
      <c r="EO151" s="860"/>
      <c r="EP151" s="860"/>
      <c r="EQ151" s="860"/>
      <c r="ER151" s="1232"/>
      <c r="ES151" s="860"/>
      <c r="ET151" s="860"/>
      <c r="EU151" s="860"/>
      <c r="EV151" s="860"/>
      <c r="EW151" s="1232"/>
      <c r="EX151" s="1233"/>
      <c r="EY151" s="860"/>
      <c r="EZ151" s="860"/>
      <c r="FA151" s="860"/>
      <c r="FB151" s="1754"/>
      <c r="FC151" s="1233"/>
      <c r="FD151" s="860"/>
      <c r="FE151" s="860"/>
      <c r="FF151" s="860"/>
      <c r="FG151" s="860"/>
      <c r="FH151" s="860"/>
      <c r="FI151" s="860"/>
      <c r="FJ151" s="860"/>
      <c r="FY151" s="860"/>
      <c r="FZ151" s="860"/>
      <c r="GA151" s="860"/>
      <c r="GB151" s="860"/>
      <c r="GC151" s="860"/>
      <c r="GD151" s="860"/>
      <c r="GE151" s="860"/>
      <c r="GF151" s="860"/>
      <c r="GG151" s="860"/>
      <c r="GH151" s="860"/>
      <c r="GI151" s="860"/>
      <c r="GJ151" s="860"/>
      <c r="GK151" s="860"/>
      <c r="GL151" s="860"/>
      <c r="GM151" s="860"/>
      <c r="GN151" s="860"/>
      <c r="GO151" s="860"/>
      <c r="GP151" s="860"/>
      <c r="GQ151" s="860"/>
      <c r="GR151" s="1247">
        <v>-9.9014740949490587E-2</v>
      </c>
      <c r="GS151" s="1218"/>
      <c r="GT151" s="1247">
        <v>-0.13850164391195319</v>
      </c>
      <c r="GU151" s="1218"/>
      <c r="GV151" s="1247">
        <v>-0.25000000000000011</v>
      </c>
      <c r="GW151" s="1218"/>
      <c r="GX151" s="1218"/>
      <c r="GY151" s="1247">
        <v>-2.1799888205701556E-2</v>
      </c>
      <c r="GZ151" s="1218"/>
      <c r="HA151" s="1218"/>
      <c r="HB151" s="1247"/>
      <c r="HC151" s="1218"/>
      <c r="HD151" s="2000"/>
      <c r="HE151" s="1247"/>
      <c r="HF151" s="1218"/>
      <c r="HG151" s="2000"/>
      <c r="HH151" s="1241"/>
      <c r="HI151" s="1247"/>
      <c r="HJ151" s="1218"/>
      <c r="HK151" s="2000"/>
      <c r="HL151" s="1247"/>
      <c r="HM151" s="1218"/>
      <c r="HN151" s="2000"/>
      <c r="HO151" s="1247"/>
      <c r="HP151" s="1218"/>
      <c r="HQ151" s="2000"/>
      <c r="HR151" s="1247"/>
    </row>
    <row r="152" spans="1:226" hidden="1" outlineLevel="1">
      <c r="A152" s="1300" t="s">
        <v>85</v>
      </c>
      <c r="B152" s="1668"/>
      <c r="C152" s="1271"/>
      <c r="D152" s="1271"/>
      <c r="E152" s="1271"/>
      <c r="F152" s="1418"/>
      <c r="G152" s="1668"/>
      <c r="H152" s="1271"/>
      <c r="I152" s="1271"/>
      <c r="J152" s="1271"/>
      <c r="K152" s="1418"/>
      <c r="L152" s="1668"/>
      <c r="M152" s="1271"/>
      <c r="N152" s="1271"/>
      <c r="O152" s="1271"/>
      <c r="P152" s="1418"/>
      <c r="Q152" s="1668"/>
      <c r="R152" s="1271"/>
      <c r="S152" s="1271"/>
      <c r="T152" s="1271"/>
      <c r="U152" s="1418"/>
      <c r="V152" s="1668"/>
      <c r="W152" s="1271"/>
      <c r="X152" s="1271"/>
      <c r="Y152" s="1271"/>
      <c r="Z152" s="1338"/>
      <c r="AA152" s="1666"/>
      <c r="AB152" s="1301"/>
      <c r="AC152" s="1301"/>
      <c r="AD152" s="1301"/>
      <c r="AE152" s="1338"/>
      <c r="AF152" s="1339"/>
      <c r="AG152" s="1303"/>
      <c r="AH152" s="1303"/>
      <c r="AI152" s="1303"/>
      <c r="AJ152" s="1418"/>
      <c r="AK152" s="1339"/>
      <c r="AL152" s="1303"/>
      <c r="AM152" s="1303"/>
      <c r="AN152" s="1303"/>
      <c r="AO152" s="1338"/>
      <c r="AP152" s="1339"/>
      <c r="AQ152" s="1303"/>
      <c r="AR152" s="1303"/>
      <c r="AS152" s="1303"/>
      <c r="AT152" s="1338"/>
      <c r="AU152" s="1339"/>
      <c r="AV152" s="1303"/>
      <c r="AW152" s="1303"/>
      <c r="AX152" s="1303"/>
      <c r="AY152" s="1338"/>
      <c r="AZ152" s="1339"/>
      <c r="BA152" s="1303"/>
      <c r="BB152" s="1303"/>
      <c r="BC152" s="1303"/>
      <c r="BD152" s="1338"/>
      <c r="BE152" s="1339">
        <f>BE146/AZ146-1</f>
        <v>8.2910175241470485E-2</v>
      </c>
      <c r="BF152" s="1303">
        <f>BF146/BA146-1</f>
        <v>7.2517811757843553E-2</v>
      </c>
      <c r="BG152" s="1303">
        <f>BG146/BB146-1</f>
        <v>5.6521562905317513E-2</v>
      </c>
      <c r="BH152" s="1303">
        <f>BH146/BC146-1</f>
        <v>8.4499335574142354E-2</v>
      </c>
      <c r="BI152" s="1338"/>
      <c r="BJ152" s="1339">
        <f t="shared" si="228"/>
        <v>3.1167690956979799E-2</v>
      </c>
      <c r="BK152" s="1303">
        <f t="shared" si="228"/>
        <v>8.0997610861837099E-3</v>
      </c>
      <c r="BL152" s="1303">
        <f t="shared" si="228"/>
        <v>-2.9789193025530736E-2</v>
      </c>
      <c r="BM152" s="1303">
        <f t="shared" si="228"/>
        <v>-5.3066887703618559E-2</v>
      </c>
      <c r="BN152" s="1338"/>
      <c r="BO152" s="1339">
        <f t="shared" si="228"/>
        <v>1.6060993072486429E-3</v>
      </c>
      <c r="BP152" s="1303">
        <f t="shared" si="229"/>
        <v>-3.8901734104046182E-2</v>
      </c>
      <c r="BQ152" s="1303">
        <f t="shared" si="229"/>
        <v>-0.10672202451561885</v>
      </c>
      <c r="BR152" s="1303">
        <f t="shared" si="229"/>
        <v>-7.7505661167247109E-2</v>
      </c>
      <c r="BS152" s="1338"/>
      <c r="BT152" s="1339">
        <f>BT146/BO146-1</f>
        <v>-9.8201348505631558E-2</v>
      </c>
      <c r="BU152" s="1303"/>
      <c r="BV152" s="1303"/>
      <c r="BW152" s="1303"/>
      <c r="BX152" s="1338"/>
      <c r="BY152" s="1339"/>
      <c r="BZ152" s="1303"/>
      <c r="CA152" s="1303"/>
      <c r="CB152" s="1303"/>
      <c r="CC152" s="1772"/>
      <c r="CD152" s="1339"/>
      <c r="CE152" s="1217"/>
      <c r="CF152" s="1217"/>
      <c r="CG152" s="1217"/>
      <c r="CH152" s="1772"/>
      <c r="CI152" s="1162"/>
      <c r="CJ152" s="860"/>
      <c r="CK152" s="1233"/>
      <c r="CL152" s="860"/>
      <c r="CM152" s="860"/>
      <c r="CN152" s="860"/>
      <c r="CO152" s="1232"/>
      <c r="CP152" s="1233"/>
      <c r="CQ152" s="860"/>
      <c r="CR152" s="860"/>
      <c r="CS152" s="860"/>
      <c r="CT152" s="1232"/>
      <c r="CU152" s="1233"/>
      <c r="CV152" s="860"/>
      <c r="CW152" s="860"/>
      <c r="CX152" s="860"/>
      <c r="CY152" s="1232"/>
      <c r="CZ152" s="1233"/>
      <c r="DA152" s="860"/>
      <c r="DB152" s="860"/>
      <c r="DC152" s="860"/>
      <c r="DD152" s="1232"/>
      <c r="DE152" s="1233"/>
      <c r="DF152" s="860"/>
      <c r="DG152" s="860"/>
      <c r="DH152" s="860"/>
      <c r="DI152" s="1232"/>
      <c r="DJ152" s="1233"/>
      <c r="DK152" s="860"/>
      <c r="DL152" s="860"/>
      <c r="DM152" s="860"/>
      <c r="DN152" s="1232"/>
      <c r="DO152" s="1233"/>
      <c r="DP152" s="860"/>
      <c r="DQ152" s="860"/>
      <c r="DR152" s="860"/>
      <c r="DS152" s="1232"/>
      <c r="DT152" s="1233"/>
      <c r="DU152" s="860"/>
      <c r="DV152" s="860"/>
      <c r="DW152" s="860"/>
      <c r="DX152" s="1232"/>
      <c r="DY152" s="1233"/>
      <c r="DZ152" s="860"/>
      <c r="EA152" s="860"/>
      <c r="EB152" s="860"/>
      <c r="EC152" s="1232"/>
      <c r="ED152" s="860"/>
      <c r="EE152" s="860"/>
      <c r="EF152" s="860"/>
      <c r="EG152" s="860"/>
      <c r="EH152" s="860"/>
      <c r="EI152" s="1233"/>
      <c r="EJ152" s="860"/>
      <c r="EK152" s="860"/>
      <c r="EL152" s="860"/>
      <c r="EM152" s="1232"/>
      <c r="EN152" s="1233"/>
      <c r="EO152" s="860"/>
      <c r="EP152" s="860"/>
      <c r="EQ152" s="860"/>
      <c r="ER152" s="1232"/>
      <c r="ES152" s="860"/>
      <c r="ET152" s="860"/>
      <c r="EU152" s="860"/>
      <c r="EV152" s="860"/>
      <c r="EW152" s="1232"/>
      <c r="EX152" s="1233"/>
      <c r="EY152" s="860"/>
      <c r="EZ152" s="860"/>
      <c r="FA152" s="860"/>
      <c r="FB152" s="1754"/>
      <c r="FC152" s="1233"/>
      <c r="FD152" s="860"/>
      <c r="FE152" s="860"/>
      <c r="FF152" s="860"/>
      <c r="FG152" s="860"/>
      <c r="FH152" s="860"/>
      <c r="FI152" s="860"/>
      <c r="FJ152" s="860"/>
      <c r="FY152" s="860"/>
      <c r="FZ152" s="860"/>
      <c r="GA152" s="860"/>
      <c r="GB152" s="860"/>
      <c r="GC152" s="860"/>
      <c r="GD152" s="860"/>
      <c r="GE152" s="860"/>
      <c r="GF152" s="860"/>
      <c r="GG152" s="860"/>
      <c r="GH152" s="860"/>
      <c r="GI152" s="860"/>
      <c r="GJ152" s="860"/>
      <c r="GK152" s="860"/>
      <c r="GL152" s="860"/>
      <c r="GM152" s="860"/>
      <c r="GN152" s="860"/>
      <c r="GO152" s="860"/>
      <c r="GP152" s="860"/>
      <c r="GQ152" s="860"/>
      <c r="GR152" s="1247">
        <v>-2.5978736654804324E-2</v>
      </c>
      <c r="GS152" s="1218"/>
      <c r="GT152" s="1247">
        <v>-8.0645285532149669E-2</v>
      </c>
      <c r="GU152" s="1218"/>
      <c r="GV152" s="1639">
        <v>-2.9037306079866987E-2</v>
      </c>
      <c r="GW152" s="1218"/>
      <c r="GX152" s="1218"/>
      <c r="GY152" s="1639">
        <v>-6.7781319540506479E-2</v>
      </c>
      <c r="GZ152" s="1218"/>
      <c r="HA152" s="1218"/>
      <c r="HB152" s="1639"/>
      <c r="HC152" s="1218"/>
      <c r="HD152" s="2000"/>
      <c r="HE152" s="1639"/>
      <c r="HF152" s="1218"/>
      <c r="HG152" s="2000"/>
      <c r="HH152" s="1241"/>
      <c r="HI152" s="1639"/>
      <c r="HJ152" s="1218"/>
      <c r="HK152" s="2000"/>
      <c r="HL152" s="1639"/>
      <c r="HM152" s="1218"/>
      <c r="HN152" s="2000"/>
      <c r="HO152" s="1639"/>
      <c r="HP152" s="1218"/>
      <c r="HQ152" s="2000"/>
      <c r="HR152" s="1247"/>
    </row>
    <row r="153" spans="1:226" hidden="1" outlineLevel="1">
      <c r="A153" s="1290"/>
      <c r="B153" s="1233"/>
      <c r="C153" s="860"/>
      <c r="D153" s="860"/>
      <c r="E153" s="860"/>
      <c r="F153" s="1232"/>
      <c r="G153" s="1233"/>
      <c r="H153" s="860"/>
      <c r="I153" s="860"/>
      <c r="J153" s="860"/>
      <c r="K153" s="1232"/>
      <c r="L153" s="1233"/>
      <c r="M153" s="860"/>
      <c r="N153" s="860"/>
      <c r="O153" s="860"/>
      <c r="P153" s="1232"/>
      <c r="Q153" s="1233"/>
      <c r="R153" s="860"/>
      <c r="S153" s="860"/>
      <c r="T153" s="860"/>
      <c r="U153" s="1232"/>
      <c r="V153" s="1233"/>
      <c r="W153" s="860"/>
      <c r="X153" s="860"/>
      <c r="Y153" s="860"/>
      <c r="Z153" s="1261"/>
      <c r="AA153" s="1242"/>
      <c r="AB153" s="1162"/>
      <c r="AC153" s="1162"/>
      <c r="AD153" s="1162"/>
      <c r="AE153" s="1261"/>
      <c r="AF153" s="1242"/>
      <c r="AG153" s="1162"/>
      <c r="AH153" s="1162"/>
      <c r="AI153" s="1162"/>
      <c r="AJ153" s="1232"/>
      <c r="AK153" s="1242"/>
      <c r="AL153" s="1162"/>
      <c r="AM153" s="1162"/>
      <c r="AN153" s="1162"/>
      <c r="AO153" s="1261"/>
      <c r="AP153" s="1242"/>
      <c r="AQ153" s="1162"/>
      <c r="AR153" s="1162"/>
      <c r="AS153" s="1162"/>
      <c r="AT153" s="1261"/>
      <c r="AU153" s="1242"/>
      <c r="AV153" s="1162"/>
      <c r="AW153" s="1162"/>
      <c r="AX153" s="1162"/>
      <c r="AY153" s="1261"/>
      <c r="AZ153" s="1242"/>
      <c r="BA153" s="1162"/>
      <c r="BB153" s="1162"/>
      <c r="BC153" s="1162"/>
      <c r="BD153" s="1261"/>
      <c r="BE153" s="1242"/>
      <c r="BF153" s="1162"/>
      <c r="BG153" s="1162"/>
      <c r="BH153" s="1162"/>
      <c r="BI153" s="1261"/>
      <c r="BJ153" s="1242"/>
      <c r="BK153" s="1162"/>
      <c r="BL153" s="1162"/>
      <c r="BM153" s="1162"/>
      <c r="BN153" s="1261"/>
      <c r="BO153" s="1242"/>
      <c r="BP153" s="1162"/>
      <c r="BQ153" s="1162"/>
      <c r="BR153" s="1162"/>
      <c r="BS153" s="1261"/>
      <c r="BT153" s="1242"/>
      <c r="BU153" s="1162"/>
      <c r="BV153" s="1162"/>
      <c r="BW153" s="1162"/>
      <c r="BX153" s="1261"/>
      <c r="BY153" s="1242"/>
      <c r="BZ153" s="1162"/>
      <c r="CA153" s="1162"/>
      <c r="CB153" s="1162"/>
      <c r="CC153" s="1757"/>
      <c r="CD153" s="1242"/>
      <c r="CE153" s="1162"/>
      <c r="CF153" s="1162"/>
      <c r="CG153" s="1162"/>
      <c r="CH153" s="1757"/>
      <c r="CI153" s="1162"/>
      <c r="CJ153" s="860"/>
      <c r="CK153" s="1233"/>
      <c r="CL153" s="860"/>
      <c r="CM153" s="860"/>
      <c r="CN153" s="860"/>
      <c r="CO153" s="1232"/>
      <c r="CP153" s="1233"/>
      <c r="CQ153" s="860"/>
      <c r="CR153" s="860"/>
      <c r="CS153" s="860"/>
      <c r="CT153" s="1232"/>
      <c r="CU153" s="1233"/>
      <c r="CV153" s="860"/>
      <c r="CW153" s="860"/>
      <c r="CX153" s="860"/>
      <c r="CY153" s="1232"/>
      <c r="CZ153" s="1233"/>
      <c r="DA153" s="860"/>
      <c r="DB153" s="860"/>
      <c r="DC153" s="860"/>
      <c r="DD153" s="1232"/>
      <c r="DE153" s="1233"/>
      <c r="DF153" s="860"/>
      <c r="DG153" s="860"/>
      <c r="DH153" s="860"/>
      <c r="DI153" s="1232"/>
      <c r="DJ153" s="1233"/>
      <c r="DK153" s="860"/>
      <c r="DL153" s="860"/>
      <c r="DM153" s="860"/>
      <c r="DN153" s="1232"/>
      <c r="DO153" s="1233"/>
      <c r="DP153" s="860"/>
      <c r="DQ153" s="860"/>
      <c r="DR153" s="860"/>
      <c r="DS153" s="1232"/>
      <c r="DT153" s="1233"/>
      <c r="DU153" s="860"/>
      <c r="DV153" s="860"/>
      <c r="DW153" s="860"/>
      <c r="DX153" s="1232"/>
      <c r="DY153" s="1233"/>
      <c r="DZ153" s="860"/>
      <c r="EA153" s="860"/>
      <c r="EB153" s="860"/>
      <c r="EC153" s="1232"/>
      <c r="ED153" s="860"/>
      <c r="EE153" s="860"/>
      <c r="EF153" s="860"/>
      <c r="EG153" s="860"/>
      <c r="EH153" s="860"/>
      <c r="EI153" s="1233"/>
      <c r="EJ153" s="860"/>
      <c r="EK153" s="860"/>
      <c r="EL153" s="860"/>
      <c r="EM153" s="1232"/>
      <c r="EN153" s="1233"/>
      <c r="EO153" s="860"/>
      <c r="EP153" s="860"/>
      <c r="EQ153" s="860"/>
      <c r="ER153" s="1232"/>
      <c r="ES153" s="860"/>
      <c r="ET153" s="860"/>
      <c r="EU153" s="860"/>
      <c r="EV153" s="860"/>
      <c r="EW153" s="1232"/>
      <c r="EX153" s="1233"/>
      <c r="EY153" s="860"/>
      <c r="EZ153" s="860"/>
      <c r="FA153" s="860"/>
      <c r="FB153" s="1754"/>
      <c r="FC153" s="1233"/>
      <c r="FD153" s="860"/>
      <c r="FE153" s="860"/>
      <c r="FF153" s="860"/>
      <c r="FG153" s="860"/>
      <c r="FH153" s="860"/>
      <c r="FI153" s="860"/>
      <c r="FJ153" s="860"/>
      <c r="FY153" s="860"/>
      <c r="FZ153" s="860"/>
      <c r="GA153" s="860"/>
      <c r="GB153" s="860"/>
      <c r="GC153" s="860"/>
      <c r="GD153" s="860"/>
      <c r="GE153" s="860"/>
      <c r="GF153" s="860"/>
      <c r="GG153" s="860"/>
      <c r="GH153" s="860"/>
      <c r="GI153" s="860"/>
      <c r="GJ153" s="860"/>
      <c r="GK153" s="860"/>
      <c r="GL153" s="860"/>
      <c r="GM153" s="860"/>
      <c r="GN153" s="860"/>
      <c r="GO153" s="860"/>
      <c r="GP153" s="860"/>
      <c r="GQ153" s="860"/>
      <c r="GR153" s="1241"/>
      <c r="GS153" s="1218"/>
      <c r="GT153" s="1241"/>
      <c r="GU153" s="1218"/>
      <c r="GV153" s="1241"/>
      <c r="GW153" s="1218"/>
      <c r="GX153" s="1218"/>
      <c r="GY153" s="1241"/>
      <c r="GZ153" s="1218"/>
      <c r="HA153" s="1218"/>
      <c r="HB153" s="1241"/>
      <c r="HC153" s="1218"/>
      <c r="HD153" s="2000"/>
      <c r="HE153" s="1241"/>
      <c r="HF153" s="1218"/>
      <c r="HG153" s="2000"/>
      <c r="HH153" s="1241"/>
      <c r="HI153" s="1241"/>
      <c r="HJ153" s="1218"/>
      <c r="HK153" s="2000"/>
      <c r="HL153" s="1241"/>
      <c r="HM153" s="1218"/>
      <c r="HN153" s="2000"/>
      <c r="HO153" s="1241"/>
      <c r="HP153" s="1218"/>
      <c r="HQ153" s="2000"/>
      <c r="HR153" s="1241"/>
    </row>
    <row r="154" spans="1:226" hidden="1" outlineLevel="1">
      <c r="A154" s="1292" t="s">
        <v>779</v>
      </c>
      <c r="B154" s="1233"/>
      <c r="C154" s="860"/>
      <c r="D154" s="860"/>
      <c r="E154" s="860"/>
      <c r="F154" s="1232"/>
      <c r="G154" s="1233"/>
      <c r="H154" s="860"/>
      <c r="I154" s="860"/>
      <c r="J154" s="860"/>
      <c r="K154" s="1232"/>
      <c r="L154" s="1233"/>
      <c r="M154" s="860"/>
      <c r="N154" s="860"/>
      <c r="O154" s="860"/>
      <c r="P154" s="1232"/>
      <c r="Q154" s="1233"/>
      <c r="R154" s="860"/>
      <c r="S154" s="860"/>
      <c r="T154" s="860"/>
      <c r="U154" s="1232"/>
      <c r="V154" s="1233"/>
      <c r="W154" s="860"/>
      <c r="X154" s="860"/>
      <c r="Y154" s="860"/>
      <c r="Z154" s="1261"/>
      <c r="AA154" s="1242"/>
      <c r="AB154" s="1162"/>
      <c r="AC154" s="1162"/>
      <c r="AD154" s="1162"/>
      <c r="AE154" s="1261"/>
      <c r="AF154" s="1242"/>
      <c r="AG154" s="1162"/>
      <c r="AH154" s="1162"/>
      <c r="AI154" s="1162"/>
      <c r="AJ154" s="1232"/>
      <c r="AK154" s="1242"/>
      <c r="AL154" s="1162"/>
      <c r="AM154" s="1162"/>
      <c r="AN154" s="1162"/>
      <c r="AO154" s="1261"/>
      <c r="AP154" s="1242"/>
      <c r="AQ154" s="1162"/>
      <c r="AR154" s="1162"/>
      <c r="AS154" s="1162"/>
      <c r="AT154" s="1261"/>
      <c r="AU154" s="1242"/>
      <c r="AV154" s="1162"/>
      <c r="AW154" s="1162"/>
      <c r="AX154" s="1162"/>
      <c r="AY154" s="1261"/>
      <c r="AZ154" s="1242"/>
      <c r="BA154" s="1162"/>
      <c r="BB154" s="1162"/>
      <c r="BC154" s="1162"/>
      <c r="BD154" s="1261"/>
      <c r="BE154" s="1242"/>
      <c r="BF154" s="1162"/>
      <c r="BG154" s="1162"/>
      <c r="BH154" s="1162"/>
      <c r="BI154" s="1261"/>
      <c r="BJ154" s="1242"/>
      <c r="BK154" s="1162"/>
      <c r="BL154" s="1162"/>
      <c r="BM154" s="1162"/>
      <c r="BN154" s="1261"/>
      <c r="BO154" s="1242"/>
      <c r="BP154" s="1162"/>
      <c r="BQ154" s="1162"/>
      <c r="BR154" s="1162"/>
      <c r="BS154" s="1261"/>
      <c r="BT154" s="1242"/>
      <c r="BU154" s="1162"/>
      <c r="BV154" s="1162"/>
      <c r="BW154" s="1162"/>
      <c r="BX154" s="1261"/>
      <c r="BY154" s="1242"/>
      <c r="BZ154" s="1162"/>
      <c r="CA154" s="1162"/>
      <c r="CB154" s="1162"/>
      <c r="CC154" s="1757"/>
      <c r="CD154" s="1242"/>
      <c r="CE154" s="1162"/>
      <c r="CF154" s="1162"/>
      <c r="CG154" s="1162"/>
      <c r="CH154" s="1757"/>
      <c r="CI154" s="1162"/>
      <c r="CJ154" s="860"/>
      <c r="CK154" s="1233"/>
      <c r="CL154" s="860"/>
      <c r="CM154" s="860"/>
      <c r="CN154" s="860"/>
      <c r="CO154" s="1232"/>
      <c r="CP154" s="1233"/>
      <c r="CQ154" s="860"/>
      <c r="CR154" s="860"/>
      <c r="CS154" s="860"/>
      <c r="CT154" s="1232"/>
      <c r="CU154" s="1233"/>
      <c r="CV154" s="860"/>
      <c r="CW154" s="860"/>
      <c r="CX154" s="860"/>
      <c r="CY154" s="1232"/>
      <c r="CZ154" s="1233"/>
      <c r="DA154" s="860"/>
      <c r="DB154" s="860"/>
      <c r="DC154" s="860"/>
      <c r="DD154" s="1232"/>
      <c r="DE154" s="1233"/>
      <c r="DF154" s="860"/>
      <c r="DG154" s="860"/>
      <c r="DH154" s="860"/>
      <c r="DI154" s="1232"/>
      <c r="DJ154" s="1233"/>
      <c r="DK154" s="860"/>
      <c r="DL154" s="860"/>
      <c r="DM154" s="860"/>
      <c r="DN154" s="1232"/>
      <c r="DO154" s="1233"/>
      <c r="DP154" s="860"/>
      <c r="DQ154" s="860"/>
      <c r="DR154" s="860"/>
      <c r="DS154" s="1232"/>
      <c r="DT154" s="1233"/>
      <c r="DU154" s="860"/>
      <c r="DV154" s="860"/>
      <c r="DW154" s="860"/>
      <c r="DX154" s="1232"/>
      <c r="DY154" s="1233"/>
      <c r="DZ154" s="860"/>
      <c r="EA154" s="860"/>
      <c r="EB154" s="860"/>
      <c r="EC154" s="1232"/>
      <c r="ED154" s="860"/>
      <c r="EE154" s="860"/>
      <c r="EF154" s="860"/>
      <c r="EG154" s="860"/>
      <c r="EH154" s="860"/>
      <c r="EI154" s="1233"/>
      <c r="EJ154" s="860"/>
      <c r="EK154" s="860"/>
      <c r="EL154" s="860"/>
      <c r="EM154" s="1232"/>
      <c r="EN154" s="1233"/>
      <c r="EO154" s="860"/>
      <c r="EP154" s="860"/>
      <c r="EQ154" s="860"/>
      <c r="ER154" s="1232"/>
      <c r="ES154" s="860"/>
      <c r="ET154" s="860"/>
      <c r="EU154" s="860"/>
      <c r="EV154" s="860"/>
      <c r="EW154" s="1232"/>
      <c r="EX154" s="1233"/>
      <c r="EY154" s="860"/>
      <c r="EZ154" s="860"/>
      <c r="FA154" s="860"/>
      <c r="FB154" s="1754"/>
      <c r="FC154" s="1233"/>
      <c r="FD154" s="860"/>
      <c r="FE154" s="860"/>
      <c r="FF154" s="860"/>
      <c r="FG154" s="860"/>
      <c r="FH154" s="860"/>
      <c r="FI154" s="860"/>
      <c r="FJ154" s="860"/>
      <c r="FY154" s="860"/>
      <c r="FZ154" s="860"/>
      <c r="GA154" s="860"/>
      <c r="GB154" s="860"/>
      <c r="GC154" s="860"/>
      <c r="GD154" s="860"/>
      <c r="GE154" s="860"/>
      <c r="GF154" s="860"/>
      <c r="GG154" s="860"/>
      <c r="GH154" s="860"/>
      <c r="GI154" s="860"/>
      <c r="GJ154" s="860"/>
      <c r="GK154" s="860"/>
      <c r="GL154" s="860"/>
      <c r="GM154" s="860"/>
      <c r="GN154" s="860"/>
      <c r="GO154" s="860"/>
      <c r="GP154" s="860"/>
      <c r="GQ154" s="860"/>
      <c r="GR154" s="1241"/>
      <c r="GS154" s="1218"/>
      <c r="GT154" s="1241"/>
      <c r="GU154" s="1218"/>
      <c r="GV154" s="1241"/>
      <c r="GW154" s="1218"/>
      <c r="GX154" s="1218"/>
      <c r="GY154" s="1241"/>
      <c r="GZ154" s="1218"/>
      <c r="HA154" s="1218"/>
      <c r="HB154" s="1241"/>
      <c r="HC154" s="1218"/>
      <c r="HD154" s="2000"/>
      <c r="HE154" s="1241"/>
      <c r="HF154" s="1218"/>
      <c r="HG154" s="2000"/>
      <c r="HH154" s="1241"/>
      <c r="HI154" s="1241"/>
      <c r="HJ154" s="1218"/>
      <c r="HK154" s="2000"/>
      <c r="HL154" s="1241"/>
      <c r="HM154" s="1218"/>
      <c r="HN154" s="2000"/>
      <c r="HO154" s="1241"/>
      <c r="HP154" s="1218"/>
      <c r="HQ154" s="2000"/>
      <c r="HR154" s="1241"/>
    </row>
    <row r="155" spans="1:226" hidden="1" outlineLevel="1">
      <c r="A155" s="1290" t="str">
        <f>A144</f>
        <v>Retail</v>
      </c>
      <c r="B155" s="1233"/>
      <c r="C155" s="860"/>
      <c r="D155" s="860"/>
      <c r="E155" s="860"/>
      <c r="F155" s="1232"/>
      <c r="G155" s="1233"/>
      <c r="H155" s="860"/>
      <c r="I155" s="860"/>
      <c r="J155" s="860"/>
      <c r="K155" s="1232"/>
      <c r="L155" s="1233"/>
      <c r="M155" s="860"/>
      <c r="N155" s="860"/>
      <c r="O155" s="860"/>
      <c r="P155" s="1232"/>
      <c r="Q155" s="1233"/>
      <c r="R155" s="860"/>
      <c r="S155" s="860"/>
      <c r="T155" s="860"/>
      <c r="U155" s="1232"/>
      <c r="V155" s="1233"/>
      <c r="W155" s="860"/>
      <c r="X155" s="860"/>
      <c r="Y155" s="860"/>
      <c r="Z155" s="1261"/>
      <c r="AA155" s="1336">
        <f t="shared" ref="AA155:AD157" si="230">AA129-AA144</f>
        <v>3419.1</v>
      </c>
      <c r="AB155" s="1291">
        <f t="shared" si="230"/>
        <v>3539.9999999999995</v>
      </c>
      <c r="AC155" s="1291">
        <f t="shared" si="230"/>
        <v>3676.9999999999995</v>
      </c>
      <c r="AD155" s="1291">
        <f t="shared" si="230"/>
        <v>3861.5000000000005</v>
      </c>
      <c r="AE155" s="1261"/>
      <c r="AF155" s="1336">
        <f t="shared" ref="AF155:AI157" si="231">AF129-AF144</f>
        <v>3864.5</v>
      </c>
      <c r="AG155" s="1291">
        <f t="shared" si="231"/>
        <v>3895.7000000000003</v>
      </c>
      <c r="AH155" s="1291">
        <f t="shared" si="231"/>
        <v>3944.7</v>
      </c>
      <c r="AI155" s="1291">
        <f t="shared" si="231"/>
        <v>4040.3999999999987</v>
      </c>
      <c r="AJ155" s="1232"/>
      <c r="AK155" s="1336">
        <f t="shared" ref="AK155:AN157" si="232">AK129-AK144</f>
        <v>3995.3</v>
      </c>
      <c r="AL155" s="1291">
        <f t="shared" si="232"/>
        <v>4008.7000000000003</v>
      </c>
      <c r="AM155" s="1291">
        <f t="shared" si="232"/>
        <v>4162.2</v>
      </c>
      <c r="AN155" s="1291">
        <f t="shared" si="232"/>
        <v>4323.7000000000035</v>
      </c>
      <c r="AO155" s="1261"/>
      <c r="AP155" s="1336">
        <f t="shared" ref="AP155:AS157" si="233">AP129-AP144</f>
        <v>4353.3999999999996</v>
      </c>
      <c r="AQ155" s="1291">
        <f t="shared" si="233"/>
        <v>4463.6000000000004</v>
      </c>
      <c r="AR155" s="1291">
        <f t="shared" si="233"/>
        <v>4672.3999999999996</v>
      </c>
      <c r="AS155" s="1291">
        <f t="shared" si="233"/>
        <v>4828.4000000000015</v>
      </c>
      <c r="AT155" s="1261"/>
      <c r="AU155" s="1336">
        <f t="shared" ref="AU155:AX157" si="234">AU129-AU144</f>
        <v>4956.6000000000004</v>
      </c>
      <c r="AV155" s="1291">
        <f t="shared" si="234"/>
        <v>5156.9999999999991</v>
      </c>
      <c r="AW155" s="1291">
        <f t="shared" si="234"/>
        <v>5484.0999999999995</v>
      </c>
      <c r="AX155" s="1291">
        <f t="shared" si="234"/>
        <v>5649.7999999999993</v>
      </c>
      <c r="AY155" s="1261"/>
      <c r="AZ155" s="1336">
        <f t="shared" ref="AZ155:BC157" si="235">AZ129-AZ144</f>
        <v>5633.0999999999995</v>
      </c>
      <c r="BA155" s="1291">
        <f t="shared" si="235"/>
        <v>5754.5999999999995</v>
      </c>
      <c r="BB155" s="1291">
        <f t="shared" si="235"/>
        <v>5904.2999999999993</v>
      </c>
      <c r="BC155" s="1291">
        <f t="shared" si="235"/>
        <v>6058</v>
      </c>
      <c r="BD155" s="1261"/>
      <c r="BE155" s="1336">
        <f t="shared" ref="BE155:BH157" si="236">BE129-BE144</f>
        <v>5982.0999999999995</v>
      </c>
      <c r="BF155" s="1291">
        <f t="shared" si="236"/>
        <v>6090.0000000000009</v>
      </c>
      <c r="BG155" s="1291">
        <f t="shared" si="236"/>
        <v>6239.6</v>
      </c>
      <c r="BH155" s="1291">
        <f t="shared" si="236"/>
        <v>6190.7999999999984</v>
      </c>
      <c r="BI155" s="1261"/>
      <c r="BJ155" s="1336">
        <f t="shared" ref="BJ155:BM157" si="237">BJ129-BJ144</f>
        <v>6146.1</v>
      </c>
      <c r="BK155" s="1291">
        <f t="shared" si="237"/>
        <v>6267.9000000000005</v>
      </c>
      <c r="BL155" s="1291">
        <f t="shared" si="237"/>
        <v>6437.3</v>
      </c>
      <c r="BM155" s="1291">
        <f t="shared" si="237"/>
        <v>6242.0000000000009</v>
      </c>
      <c r="BN155" s="1261"/>
      <c r="BO155" s="1336">
        <f t="shared" ref="BO155:BR157" si="238">BO129-BO144</f>
        <v>6513.5000000000009</v>
      </c>
      <c r="BP155" s="1291">
        <f t="shared" si="238"/>
        <v>6808.4999999999991</v>
      </c>
      <c r="BQ155" s="1291">
        <f t="shared" si="238"/>
        <v>6970</v>
      </c>
      <c r="BR155" s="1291">
        <f t="shared" si="238"/>
        <v>6539.3000000000011</v>
      </c>
      <c r="BS155" s="1261"/>
      <c r="BT155" s="1336">
        <f>BT129-BT144</f>
        <v>6515.2278999999999</v>
      </c>
      <c r="BU155" s="1291"/>
      <c r="BV155" s="1291"/>
      <c r="BW155" s="1291"/>
      <c r="BX155" s="1261"/>
      <c r="BY155" s="1336"/>
      <c r="BZ155" s="1291"/>
      <c r="CA155" s="1291"/>
      <c r="CB155" s="1291"/>
      <c r="CC155" s="1757"/>
      <c r="CD155" s="1336"/>
      <c r="CE155" s="1291"/>
      <c r="CF155" s="1291"/>
      <c r="CG155" s="1291"/>
      <c r="CH155" s="1757"/>
      <c r="CI155" s="1162"/>
      <c r="CJ155" s="860"/>
      <c r="CK155" s="1233"/>
      <c r="CL155" s="860"/>
      <c r="CM155" s="860"/>
      <c r="CN155" s="860"/>
      <c r="CO155" s="1232"/>
      <c r="CP155" s="1233"/>
      <c r="CQ155" s="860"/>
      <c r="CR155" s="860"/>
      <c r="CS155" s="860"/>
      <c r="CT155" s="1232"/>
      <c r="CU155" s="1233"/>
      <c r="CV155" s="860"/>
      <c r="CW155" s="860"/>
      <c r="CX155" s="860"/>
      <c r="CY155" s="1232"/>
      <c r="CZ155" s="1233"/>
      <c r="DA155" s="860"/>
      <c r="DB155" s="860"/>
      <c r="DC155" s="860"/>
      <c r="DD155" s="1232"/>
      <c r="DE155" s="1242">
        <f t="shared" ref="DE155:DH157" si="239">AF155/AA155-1</f>
        <v>0.13026819923371646</v>
      </c>
      <c r="DF155" s="1162">
        <f t="shared" si="239"/>
        <v>0.10048022598870077</v>
      </c>
      <c r="DG155" s="1162">
        <f t="shared" si="239"/>
        <v>7.2803916236062083E-2</v>
      </c>
      <c r="DH155" s="1162">
        <f t="shared" si="239"/>
        <v>4.632914670464805E-2</v>
      </c>
      <c r="DI155" s="1232"/>
      <c r="DJ155" s="1242">
        <f t="shared" ref="DJ155:DM157" si="240">AK155/AF155-1</f>
        <v>3.3846551947211756E-2</v>
      </c>
      <c r="DK155" s="1162">
        <f t="shared" si="240"/>
        <v>2.9006340323946889E-2</v>
      </c>
      <c r="DL155" s="1162">
        <f t="shared" si="240"/>
        <v>5.5137272796410342E-2</v>
      </c>
      <c r="DM155" s="1162">
        <f t="shared" si="240"/>
        <v>7.011682011682141E-2</v>
      </c>
      <c r="DN155" s="1232"/>
      <c r="DO155" s="1242">
        <f>AP155/AK155-1</f>
        <v>8.9630315620854439E-2</v>
      </c>
      <c r="DP155" s="1162"/>
      <c r="DQ155" s="1162"/>
      <c r="DR155" s="1162"/>
      <c r="DS155" s="1232"/>
      <c r="DT155" s="1242"/>
      <c r="DU155" s="1162"/>
      <c r="DV155" s="1162"/>
      <c r="DW155" s="1162"/>
      <c r="DX155" s="1232"/>
      <c r="DY155" s="1233"/>
      <c r="DZ155" s="860"/>
      <c r="EA155" s="860"/>
      <c r="EB155" s="860"/>
      <c r="EC155" s="1232"/>
      <c r="ED155" s="860"/>
      <c r="EE155" s="860"/>
      <c r="EF155" s="860"/>
      <c r="EG155" s="860"/>
      <c r="EH155" s="860"/>
      <c r="EI155" s="1233"/>
      <c r="EJ155" s="860"/>
      <c r="EK155" s="860"/>
      <c r="EL155" s="860"/>
      <c r="EM155" s="1232"/>
      <c r="EN155" s="1233"/>
      <c r="EO155" s="860"/>
      <c r="EP155" s="860"/>
      <c r="EQ155" s="860"/>
      <c r="ER155" s="1232"/>
      <c r="ES155" s="860"/>
      <c r="ET155" s="860"/>
      <c r="EU155" s="860"/>
      <c r="EV155" s="860"/>
      <c r="EW155" s="1232"/>
      <c r="EX155" s="1233"/>
      <c r="EY155" s="860"/>
      <c r="EZ155" s="860"/>
      <c r="FA155" s="860"/>
      <c r="FB155" s="1754"/>
      <c r="FC155" s="1233"/>
      <c r="FD155" s="860"/>
      <c r="FE155" s="860"/>
      <c r="FF155" s="860"/>
      <c r="FG155" s="860"/>
      <c r="FH155" s="860"/>
      <c r="FI155" s="860"/>
      <c r="FJ155" s="860"/>
      <c r="FY155" s="860"/>
      <c r="FZ155" s="860"/>
      <c r="GA155" s="860"/>
      <c r="GB155" s="860"/>
      <c r="GC155" s="860"/>
      <c r="GD155" s="860"/>
      <c r="GE155" s="860"/>
      <c r="GF155" s="860"/>
      <c r="GG155" s="860"/>
      <c r="GH155" s="860"/>
      <c r="GI155" s="860"/>
      <c r="GJ155" s="860"/>
      <c r="GK155" s="860"/>
      <c r="GL155" s="860"/>
      <c r="GM155" s="860"/>
      <c r="GN155" s="860"/>
      <c r="GO155" s="860"/>
      <c r="GP155" s="860"/>
      <c r="GQ155" s="860"/>
      <c r="GR155" s="1299">
        <v>6909.2149499999987</v>
      </c>
      <c r="GS155" s="1218"/>
      <c r="GT155" s="1299">
        <v>6783.1637999999994</v>
      </c>
      <c r="GU155" s="1218"/>
      <c r="GV155" s="1299">
        <v>6600</v>
      </c>
      <c r="GW155" s="1218"/>
      <c r="GX155" s="1218"/>
      <c r="GY155" s="1299">
        <v>6700</v>
      </c>
      <c r="GZ155" s="1218"/>
      <c r="HA155" s="1218"/>
      <c r="HB155" s="1299"/>
      <c r="HC155" s="1218"/>
      <c r="HD155" s="2000"/>
      <c r="HE155" s="1299"/>
      <c r="HF155" s="1218"/>
      <c r="HG155" s="2000"/>
      <c r="HH155" s="1241"/>
      <c r="HI155" s="1299"/>
      <c r="HJ155" s="1218"/>
      <c r="HK155" s="2000"/>
      <c r="HL155" s="1299"/>
      <c r="HM155" s="1218"/>
      <c r="HN155" s="2000"/>
      <c r="HO155" s="1299"/>
      <c r="HP155" s="1218"/>
      <c r="HQ155" s="2000"/>
      <c r="HR155" s="1299"/>
    </row>
    <row r="156" spans="1:226" hidden="1" outlineLevel="1">
      <c r="A156" s="1290" t="str">
        <f>A145</f>
        <v>Wholesale</v>
      </c>
      <c r="B156" s="1233"/>
      <c r="C156" s="860"/>
      <c r="D156" s="860"/>
      <c r="E156" s="860"/>
      <c r="F156" s="1232"/>
      <c r="G156" s="1233"/>
      <c r="H156" s="860"/>
      <c r="I156" s="860"/>
      <c r="J156" s="860"/>
      <c r="K156" s="1232"/>
      <c r="L156" s="1233"/>
      <c r="M156" s="860"/>
      <c r="N156" s="860"/>
      <c r="O156" s="860"/>
      <c r="P156" s="1232"/>
      <c r="Q156" s="1233"/>
      <c r="R156" s="860"/>
      <c r="S156" s="860"/>
      <c r="T156" s="860"/>
      <c r="U156" s="1232"/>
      <c r="V156" s="1233"/>
      <c r="W156" s="860"/>
      <c r="X156" s="860"/>
      <c r="Y156" s="860"/>
      <c r="Z156" s="1261"/>
      <c r="AA156" s="1336">
        <f t="shared" si="230"/>
        <v>745.6</v>
      </c>
      <c r="AB156" s="1291">
        <f t="shared" si="230"/>
        <v>749.69999999999993</v>
      </c>
      <c r="AC156" s="1291">
        <f t="shared" si="230"/>
        <v>791.69999999999993</v>
      </c>
      <c r="AD156" s="1291">
        <f t="shared" si="230"/>
        <v>841.20000000000027</v>
      </c>
      <c r="AE156" s="1261"/>
      <c r="AF156" s="1336">
        <f t="shared" si="231"/>
        <v>808</v>
      </c>
      <c r="AG156" s="1291">
        <f t="shared" si="231"/>
        <v>821.30000000000007</v>
      </c>
      <c r="AH156" s="1291">
        <f t="shared" si="231"/>
        <v>971.09999999999991</v>
      </c>
      <c r="AI156" s="1291">
        <f t="shared" si="231"/>
        <v>1033.2000000000007</v>
      </c>
      <c r="AJ156" s="1232"/>
      <c r="AK156" s="1336">
        <f t="shared" si="232"/>
        <v>859.5</v>
      </c>
      <c r="AL156" s="1291">
        <f t="shared" si="232"/>
        <v>827.00000000000011</v>
      </c>
      <c r="AM156" s="1291">
        <f t="shared" si="232"/>
        <v>811.30000000000007</v>
      </c>
      <c r="AN156" s="1291">
        <f t="shared" si="232"/>
        <v>828.10000000000014</v>
      </c>
      <c r="AO156" s="1261"/>
      <c r="AP156" s="1336">
        <f t="shared" si="233"/>
        <v>839.9</v>
      </c>
      <c r="AQ156" s="1291">
        <f t="shared" si="233"/>
        <v>885.90000000000009</v>
      </c>
      <c r="AR156" s="1291">
        <f t="shared" si="233"/>
        <v>865.90000000000009</v>
      </c>
      <c r="AS156" s="1291">
        <f t="shared" si="233"/>
        <v>937.39999999999986</v>
      </c>
      <c r="AT156" s="1261"/>
      <c r="AU156" s="1336">
        <f t="shared" si="234"/>
        <v>896.09999999999991</v>
      </c>
      <c r="AV156" s="1291">
        <f t="shared" si="234"/>
        <v>890.9</v>
      </c>
      <c r="AW156" s="1291">
        <f t="shared" si="234"/>
        <v>933.7</v>
      </c>
      <c r="AX156" s="1291">
        <f t="shared" si="234"/>
        <v>1103.0999999999999</v>
      </c>
      <c r="AY156" s="1261"/>
      <c r="AZ156" s="1336">
        <f t="shared" si="235"/>
        <v>977.59999999999991</v>
      </c>
      <c r="BA156" s="1291">
        <f t="shared" si="235"/>
        <v>1163.0999999999999</v>
      </c>
      <c r="BB156" s="1291">
        <f t="shared" si="235"/>
        <v>1122.7</v>
      </c>
      <c r="BC156" s="1291">
        <f t="shared" si="235"/>
        <v>1132.3</v>
      </c>
      <c r="BD156" s="1261"/>
      <c r="BE156" s="1336">
        <f t="shared" si="236"/>
        <v>1172</v>
      </c>
      <c r="BF156" s="1291">
        <f t="shared" si="236"/>
        <v>1191.5</v>
      </c>
      <c r="BG156" s="1291">
        <f t="shared" si="236"/>
        <v>1114.5</v>
      </c>
      <c r="BH156" s="1291">
        <f t="shared" si="236"/>
        <v>1258.8000000000006</v>
      </c>
      <c r="BI156" s="1261"/>
      <c r="BJ156" s="1336">
        <f t="shared" si="237"/>
        <v>1035.1000000000001</v>
      </c>
      <c r="BK156" s="1291">
        <f t="shared" si="237"/>
        <v>1022.9000000000001</v>
      </c>
      <c r="BL156" s="1291">
        <f t="shared" si="237"/>
        <v>1349.7</v>
      </c>
      <c r="BM156" s="1291">
        <f t="shared" si="237"/>
        <v>1508.1999999999998</v>
      </c>
      <c r="BN156" s="1261"/>
      <c r="BO156" s="1336">
        <f t="shared" si="238"/>
        <v>1032.0999999999999</v>
      </c>
      <c r="BP156" s="1291">
        <f t="shared" si="238"/>
        <v>1036.2</v>
      </c>
      <c r="BQ156" s="1291">
        <f t="shared" si="238"/>
        <v>1118.3999999999999</v>
      </c>
      <c r="BR156" s="1291">
        <f t="shared" si="238"/>
        <v>1288.6999999999998</v>
      </c>
      <c r="BS156" s="1261"/>
      <c r="BT156" s="1336">
        <f>BT130-BT145</f>
        <v>725.67209999999955</v>
      </c>
      <c r="BU156" s="1291"/>
      <c r="BV156" s="1291"/>
      <c r="BW156" s="1291"/>
      <c r="BX156" s="1261"/>
      <c r="BY156" s="1336"/>
      <c r="BZ156" s="1291"/>
      <c r="CA156" s="1291"/>
      <c r="CB156" s="1291"/>
      <c r="CC156" s="1757"/>
      <c r="CD156" s="1336"/>
      <c r="CE156" s="1291"/>
      <c r="CF156" s="1291"/>
      <c r="CG156" s="1291"/>
      <c r="CH156" s="1757"/>
      <c r="CI156" s="1162"/>
      <c r="CJ156" s="860"/>
      <c r="CK156" s="1233"/>
      <c r="CL156" s="860"/>
      <c r="CM156" s="860"/>
      <c r="CN156" s="860"/>
      <c r="CO156" s="1232"/>
      <c r="CP156" s="1233"/>
      <c r="CQ156" s="860"/>
      <c r="CR156" s="860"/>
      <c r="CS156" s="860"/>
      <c r="CT156" s="1232"/>
      <c r="CU156" s="1233"/>
      <c r="CV156" s="860"/>
      <c r="CW156" s="860"/>
      <c r="CX156" s="860"/>
      <c r="CY156" s="1232"/>
      <c r="CZ156" s="1233"/>
      <c r="DA156" s="860"/>
      <c r="DB156" s="860"/>
      <c r="DC156" s="860"/>
      <c r="DD156" s="1232"/>
      <c r="DE156" s="1510">
        <f t="shared" si="239"/>
        <v>8.3690987124463545E-2</v>
      </c>
      <c r="DF156" s="1295">
        <f t="shared" si="239"/>
        <v>9.5504868614112448E-2</v>
      </c>
      <c r="DG156" s="1295">
        <f t="shared" si="239"/>
        <v>0.22660098522167482</v>
      </c>
      <c r="DH156" s="1295">
        <f t="shared" si="239"/>
        <v>0.22824536376604887</v>
      </c>
      <c r="DI156" s="1232"/>
      <c r="DJ156" s="1510">
        <f t="shared" si="240"/>
        <v>6.3737623762376128E-2</v>
      </c>
      <c r="DK156" s="1295">
        <f t="shared" si="240"/>
        <v>6.9402167295751216E-3</v>
      </c>
      <c r="DL156" s="1295">
        <f t="shared" si="240"/>
        <v>-0.16455565853156195</v>
      </c>
      <c r="DM156" s="1295">
        <f t="shared" si="240"/>
        <v>-0.19850948509485133</v>
      </c>
      <c r="DN156" s="1232"/>
      <c r="DO156" s="1510">
        <f>AP156/AK156-1</f>
        <v>-2.2803955788249008E-2</v>
      </c>
      <c r="DP156" s="1162"/>
      <c r="DQ156" s="1162"/>
      <c r="DR156" s="1162"/>
      <c r="DS156" s="1232"/>
      <c r="DT156" s="1242"/>
      <c r="DU156" s="1162"/>
      <c r="DV156" s="1162"/>
      <c r="DW156" s="1162"/>
      <c r="DX156" s="1232"/>
      <c r="DY156" s="1233"/>
      <c r="DZ156" s="860"/>
      <c r="EA156" s="860"/>
      <c r="EB156" s="860"/>
      <c r="EC156" s="1232"/>
      <c r="ED156" s="860"/>
      <c r="EE156" s="860"/>
      <c r="EF156" s="860"/>
      <c r="EG156" s="860"/>
      <c r="EH156" s="860"/>
      <c r="EI156" s="1233"/>
      <c r="EJ156" s="860"/>
      <c r="EK156" s="860"/>
      <c r="EL156" s="860"/>
      <c r="EM156" s="1232"/>
      <c r="EN156" s="1233"/>
      <c r="EO156" s="860"/>
      <c r="EP156" s="860"/>
      <c r="EQ156" s="860"/>
      <c r="ER156" s="1232"/>
      <c r="ES156" s="860"/>
      <c r="ET156" s="860"/>
      <c r="EU156" s="860"/>
      <c r="EV156" s="860"/>
      <c r="EW156" s="1232"/>
      <c r="EX156" s="1233"/>
      <c r="EY156" s="860"/>
      <c r="EZ156" s="860"/>
      <c r="FA156" s="860"/>
      <c r="FB156" s="1754"/>
      <c r="FC156" s="1233"/>
      <c r="FD156" s="860"/>
      <c r="FE156" s="860"/>
      <c r="FF156" s="860"/>
      <c r="FG156" s="860"/>
      <c r="FH156" s="860"/>
      <c r="FI156" s="860"/>
      <c r="FJ156" s="860"/>
      <c r="FY156" s="860"/>
      <c r="FZ156" s="860"/>
      <c r="GA156" s="860"/>
      <c r="GB156" s="860"/>
      <c r="GC156" s="860"/>
      <c r="GD156" s="860"/>
      <c r="GE156" s="860"/>
      <c r="GF156" s="860"/>
      <c r="GG156" s="860"/>
      <c r="GH156" s="860"/>
      <c r="GI156" s="860"/>
      <c r="GJ156" s="860"/>
      <c r="GK156" s="860"/>
      <c r="GL156" s="860"/>
      <c r="GM156" s="860"/>
      <c r="GN156" s="860"/>
      <c r="GO156" s="860"/>
      <c r="GP156" s="860"/>
      <c r="GQ156" s="860"/>
      <c r="GR156" s="2016">
        <v>1214.2755000000002</v>
      </c>
      <c r="GS156" s="1218"/>
      <c r="GT156" s="1299">
        <v>1408.54024</v>
      </c>
      <c r="GU156" s="1218"/>
      <c r="GV156" s="1299">
        <v>1067.375</v>
      </c>
      <c r="GW156" s="1218"/>
      <c r="GX156" s="1218"/>
      <c r="GY156" s="1299">
        <v>700</v>
      </c>
      <c r="GZ156" s="1218"/>
      <c r="HA156" s="1218"/>
      <c r="HB156" s="1299"/>
      <c r="HC156" s="1218"/>
      <c r="HD156" s="2000"/>
      <c r="HE156" s="1299"/>
      <c r="HF156" s="1218"/>
      <c r="HG156" s="2000"/>
      <c r="HH156" s="1241"/>
      <c r="HI156" s="1299"/>
      <c r="HJ156" s="1218"/>
      <c r="HK156" s="2000"/>
      <c r="HL156" s="1299"/>
      <c r="HM156" s="1218"/>
      <c r="HN156" s="2000"/>
      <c r="HO156" s="1299"/>
      <c r="HP156" s="1218"/>
      <c r="HQ156" s="2000"/>
      <c r="HR156" s="1299"/>
    </row>
    <row r="157" spans="1:226" hidden="1" outlineLevel="1">
      <c r="A157" s="1300" t="str">
        <f>A146</f>
        <v>Total</v>
      </c>
      <c r="B157" s="1668"/>
      <c r="C157" s="1271"/>
      <c r="D157" s="1271"/>
      <c r="E157" s="1271"/>
      <c r="F157" s="1418"/>
      <c r="G157" s="1668"/>
      <c r="H157" s="1271"/>
      <c r="I157" s="1271"/>
      <c r="J157" s="1271"/>
      <c r="K157" s="1418"/>
      <c r="L157" s="1668"/>
      <c r="M157" s="1271"/>
      <c r="N157" s="1271"/>
      <c r="O157" s="1271"/>
      <c r="P157" s="1418"/>
      <c r="Q157" s="1668"/>
      <c r="R157" s="1271"/>
      <c r="S157" s="1271"/>
      <c r="T157" s="1271"/>
      <c r="U157" s="1418"/>
      <c r="V157" s="1668"/>
      <c r="W157" s="1271"/>
      <c r="X157" s="1271"/>
      <c r="Y157" s="1271"/>
      <c r="Z157" s="1338"/>
      <c r="AA157" s="1337">
        <f t="shared" si="230"/>
        <v>4164.7</v>
      </c>
      <c r="AB157" s="1302">
        <f t="shared" si="230"/>
        <v>4289.7</v>
      </c>
      <c r="AC157" s="1302">
        <f t="shared" si="230"/>
        <v>4468.7</v>
      </c>
      <c r="AD157" s="1302">
        <f t="shared" si="230"/>
        <v>4702.7000000000007</v>
      </c>
      <c r="AE157" s="1338"/>
      <c r="AF157" s="1337">
        <f t="shared" si="231"/>
        <v>4672.5</v>
      </c>
      <c r="AG157" s="1302">
        <f t="shared" si="231"/>
        <v>4717</v>
      </c>
      <c r="AH157" s="1302">
        <f t="shared" si="231"/>
        <v>4915.7999999999993</v>
      </c>
      <c r="AI157" s="1302">
        <f t="shared" si="231"/>
        <v>5073.5999999999985</v>
      </c>
      <c r="AJ157" s="1418"/>
      <c r="AK157" s="1337">
        <f t="shared" si="232"/>
        <v>4854.8</v>
      </c>
      <c r="AL157" s="1302">
        <f t="shared" si="232"/>
        <v>4835.7000000000007</v>
      </c>
      <c r="AM157" s="1302">
        <f t="shared" si="232"/>
        <v>4973.5</v>
      </c>
      <c r="AN157" s="1302">
        <f t="shared" si="232"/>
        <v>5151.8000000000038</v>
      </c>
      <c r="AO157" s="1338"/>
      <c r="AP157" s="1337">
        <f t="shared" si="233"/>
        <v>5193.2999999999993</v>
      </c>
      <c r="AQ157" s="1302">
        <f t="shared" si="233"/>
        <v>5349.5</v>
      </c>
      <c r="AR157" s="1302">
        <f t="shared" si="233"/>
        <v>5538.3</v>
      </c>
      <c r="AS157" s="1302">
        <f t="shared" si="233"/>
        <v>5765.8000000000011</v>
      </c>
      <c r="AT157" s="1338"/>
      <c r="AU157" s="1337">
        <f t="shared" si="234"/>
        <v>5852.7000000000007</v>
      </c>
      <c r="AV157" s="1302">
        <f t="shared" si="234"/>
        <v>6047.8999999999987</v>
      </c>
      <c r="AW157" s="1302">
        <f t="shared" si="234"/>
        <v>6417.8</v>
      </c>
      <c r="AX157" s="1302">
        <f t="shared" si="234"/>
        <v>6752.9</v>
      </c>
      <c r="AY157" s="1338"/>
      <c r="AZ157" s="1337">
        <f t="shared" si="235"/>
        <v>6610.6999999999989</v>
      </c>
      <c r="BA157" s="1302">
        <f t="shared" si="235"/>
        <v>6917.7</v>
      </c>
      <c r="BB157" s="1302">
        <f t="shared" si="235"/>
        <v>7026.9999999999991</v>
      </c>
      <c r="BC157" s="1302">
        <f t="shared" si="235"/>
        <v>7190.3</v>
      </c>
      <c r="BD157" s="1338"/>
      <c r="BE157" s="1337">
        <f t="shared" si="236"/>
        <v>7154.0999999999985</v>
      </c>
      <c r="BF157" s="1302">
        <f t="shared" si="236"/>
        <v>7281.5000000000009</v>
      </c>
      <c r="BG157" s="1302">
        <f t="shared" si="236"/>
        <v>7354.1</v>
      </c>
      <c r="BH157" s="1302">
        <f t="shared" si="236"/>
        <v>7449.5999999999995</v>
      </c>
      <c r="BI157" s="1338"/>
      <c r="BJ157" s="1337">
        <f t="shared" si="237"/>
        <v>7181.2</v>
      </c>
      <c r="BK157" s="1302">
        <f t="shared" si="237"/>
        <v>7290.8000000000011</v>
      </c>
      <c r="BL157" s="1302">
        <f t="shared" si="237"/>
        <v>7787</v>
      </c>
      <c r="BM157" s="1302">
        <f t="shared" si="237"/>
        <v>7750.2000000000016</v>
      </c>
      <c r="BN157" s="1338"/>
      <c r="BO157" s="1337">
        <f t="shared" si="238"/>
        <v>7545.6000000000013</v>
      </c>
      <c r="BP157" s="1302">
        <f t="shared" si="238"/>
        <v>7844.6999999999989</v>
      </c>
      <c r="BQ157" s="1302">
        <f t="shared" si="238"/>
        <v>8088.4000000000005</v>
      </c>
      <c r="BR157" s="1302">
        <f t="shared" si="238"/>
        <v>7828.0000000000018</v>
      </c>
      <c r="BS157" s="1338"/>
      <c r="BT157" s="1337">
        <f>BT131-BT146</f>
        <v>7240.8999999999987</v>
      </c>
      <c r="BU157" s="1302"/>
      <c r="BV157" s="1302"/>
      <c r="BW157" s="1302"/>
      <c r="BX157" s="1338"/>
      <c r="BY157" s="1337"/>
      <c r="BZ157" s="1302"/>
      <c r="CA157" s="1302"/>
      <c r="CB157" s="1302"/>
      <c r="CC157" s="1772"/>
      <c r="CD157" s="1337"/>
      <c r="CE157" s="1291"/>
      <c r="CF157" s="1291"/>
      <c r="CG157" s="1291"/>
      <c r="CH157" s="1772"/>
      <c r="CI157" s="1162"/>
      <c r="CJ157" s="860"/>
      <c r="CK157" s="1233"/>
      <c r="CL157" s="860"/>
      <c r="CM157" s="860"/>
      <c r="CN157" s="860"/>
      <c r="CO157" s="1232"/>
      <c r="CP157" s="1233"/>
      <c r="CQ157" s="860"/>
      <c r="CR157" s="860"/>
      <c r="CS157" s="860"/>
      <c r="CT157" s="1232"/>
      <c r="CU157" s="1233"/>
      <c r="CV157" s="860"/>
      <c r="CW157" s="860"/>
      <c r="CX157" s="860"/>
      <c r="CY157" s="1232"/>
      <c r="CZ157" s="1233"/>
      <c r="DA157" s="860"/>
      <c r="DB157" s="860"/>
      <c r="DC157" s="860"/>
      <c r="DD157" s="1232"/>
      <c r="DE157" s="1242">
        <f t="shared" si="239"/>
        <v>0.12192955074795297</v>
      </c>
      <c r="DF157" s="1162">
        <f t="shared" si="239"/>
        <v>9.9610695386623815E-2</v>
      </c>
      <c r="DG157" s="1162">
        <f t="shared" si="239"/>
        <v>0.10005146910734664</v>
      </c>
      <c r="DH157" s="1162">
        <f t="shared" si="239"/>
        <v>7.8869585557232558E-2</v>
      </c>
      <c r="DI157" s="1232"/>
      <c r="DJ157" s="1242">
        <f t="shared" si="240"/>
        <v>3.9015516318887222E-2</v>
      </c>
      <c r="DK157" s="1162">
        <f t="shared" si="240"/>
        <v>2.5164299342802732E-2</v>
      </c>
      <c r="DL157" s="1162">
        <f t="shared" si="240"/>
        <v>1.1737662231986912E-2</v>
      </c>
      <c r="DM157" s="1162">
        <f t="shared" si="240"/>
        <v>1.5413118889941124E-2</v>
      </c>
      <c r="DN157" s="1232"/>
      <c r="DO157" s="1242">
        <f>AP157/AK157-1</f>
        <v>6.9724808437010566E-2</v>
      </c>
      <c r="DP157" s="1162"/>
      <c r="DQ157" s="1162"/>
      <c r="DR157" s="1162"/>
      <c r="DS157" s="1232"/>
      <c r="DT157" s="1242"/>
      <c r="DU157" s="1162"/>
      <c r="DV157" s="1162"/>
      <c r="DW157" s="1162"/>
      <c r="DX157" s="1232"/>
      <c r="DY157" s="1233"/>
      <c r="DZ157" s="860"/>
      <c r="EA157" s="860"/>
      <c r="EB157" s="860"/>
      <c r="EC157" s="1232"/>
      <c r="ED157" s="860"/>
      <c r="EE157" s="860"/>
      <c r="EF157" s="860"/>
      <c r="EG157" s="860"/>
      <c r="EH157" s="860"/>
      <c r="EI157" s="1233"/>
      <c r="EJ157" s="860"/>
      <c r="EK157" s="860"/>
      <c r="EL157" s="860"/>
      <c r="EM157" s="1232"/>
      <c r="EN157" s="1233"/>
      <c r="EO157" s="860"/>
      <c r="EP157" s="860"/>
      <c r="EQ157" s="860"/>
      <c r="ER157" s="1232"/>
      <c r="ES157" s="860"/>
      <c r="ET157" s="860"/>
      <c r="EU157" s="860"/>
      <c r="EV157" s="860"/>
      <c r="EW157" s="1232"/>
      <c r="EX157" s="1233"/>
      <c r="EY157" s="860"/>
      <c r="EZ157" s="860"/>
      <c r="FA157" s="860"/>
      <c r="FB157" s="1754"/>
      <c r="FC157" s="1233"/>
      <c r="FD157" s="860"/>
      <c r="FE157" s="860"/>
      <c r="FF157" s="860"/>
      <c r="FG157" s="860"/>
      <c r="FH157" s="860"/>
      <c r="FI157" s="860"/>
      <c r="FJ157" s="860"/>
      <c r="FY157" s="860"/>
      <c r="FZ157" s="860"/>
      <c r="GA157" s="860"/>
      <c r="GB157" s="860"/>
      <c r="GC157" s="860"/>
      <c r="GD157" s="860"/>
      <c r="GE157" s="860"/>
      <c r="GF157" s="860"/>
      <c r="GG157" s="860"/>
      <c r="GH157" s="860"/>
      <c r="GI157" s="860"/>
      <c r="GJ157" s="860"/>
      <c r="GK157" s="860"/>
      <c r="GL157" s="860"/>
      <c r="GM157" s="860"/>
      <c r="GN157" s="860"/>
      <c r="GO157" s="860"/>
      <c r="GP157" s="860"/>
      <c r="GQ157" s="860"/>
      <c r="GR157" s="1299">
        <v>8123.4904499999984</v>
      </c>
      <c r="GS157" s="1218"/>
      <c r="GT157" s="1299">
        <v>8191.7040399999996</v>
      </c>
      <c r="GU157" s="1218"/>
      <c r="GV157" s="1634">
        <v>7667.3749999999991</v>
      </c>
      <c r="GW157" s="1218"/>
      <c r="GX157" s="1218"/>
      <c r="GY157" s="1634">
        <v>7400</v>
      </c>
      <c r="GZ157" s="1218"/>
      <c r="HA157" s="1218"/>
      <c r="HB157" s="1634"/>
      <c r="HC157" s="1218"/>
      <c r="HD157" s="2000"/>
      <c r="HE157" s="1634"/>
      <c r="HF157" s="1218"/>
      <c r="HG157" s="2000"/>
      <c r="HH157" s="1241"/>
      <c r="HI157" s="1634"/>
      <c r="HJ157" s="1218"/>
      <c r="HK157" s="2000"/>
      <c r="HL157" s="1634"/>
      <c r="HM157" s="1218"/>
      <c r="HN157" s="2000"/>
      <c r="HO157" s="1634"/>
      <c r="HP157" s="1218"/>
      <c r="HQ157" s="2000"/>
      <c r="HR157" s="1299"/>
    </row>
    <row r="158" spans="1:226" hidden="1" outlineLevel="1">
      <c r="A158" s="1290"/>
      <c r="B158" s="1233"/>
      <c r="C158" s="860"/>
      <c r="D158" s="860"/>
      <c r="E158" s="860"/>
      <c r="F158" s="1232"/>
      <c r="G158" s="1233"/>
      <c r="H158" s="860"/>
      <c r="I158" s="860"/>
      <c r="J158" s="860"/>
      <c r="K158" s="1232"/>
      <c r="L158" s="1233"/>
      <c r="M158" s="860"/>
      <c r="N158" s="860"/>
      <c r="O158" s="860"/>
      <c r="P158" s="1232"/>
      <c r="Q158" s="1233"/>
      <c r="R158" s="860"/>
      <c r="S158" s="860"/>
      <c r="T158" s="860"/>
      <c r="U158" s="1232"/>
      <c r="V158" s="1233"/>
      <c r="W158" s="860"/>
      <c r="X158" s="860"/>
      <c r="Y158" s="860"/>
      <c r="Z158" s="1261"/>
      <c r="AA158" s="1242"/>
      <c r="AB158" s="1162"/>
      <c r="AC158" s="1162"/>
      <c r="AD158" s="1162"/>
      <c r="AE158" s="1261"/>
      <c r="AF158" s="1242"/>
      <c r="AG158" s="1162"/>
      <c r="AH158" s="1162"/>
      <c r="AI158" s="1162"/>
      <c r="AJ158" s="1232"/>
      <c r="AK158" s="1242"/>
      <c r="AL158" s="1162"/>
      <c r="AM158" s="1162"/>
      <c r="AN158" s="1162"/>
      <c r="AO158" s="1261"/>
      <c r="AP158" s="1242"/>
      <c r="AQ158" s="1162"/>
      <c r="AR158" s="1162"/>
      <c r="AS158" s="1162"/>
      <c r="AT158" s="1261"/>
      <c r="AU158" s="1242"/>
      <c r="AV158" s="1162"/>
      <c r="AW158" s="1162"/>
      <c r="AX158" s="1162"/>
      <c r="AY158" s="1261"/>
      <c r="AZ158" s="1242"/>
      <c r="BA158" s="1162"/>
      <c r="BB158" s="1162"/>
      <c r="BC158" s="1162"/>
      <c r="BD158" s="1261"/>
      <c r="BE158" s="1242"/>
      <c r="BF158" s="1162"/>
      <c r="BG158" s="1162"/>
      <c r="BH158" s="1162"/>
      <c r="BI158" s="1261"/>
      <c r="BJ158" s="1242"/>
      <c r="BK158" s="1162"/>
      <c r="BL158" s="1162"/>
      <c r="BM158" s="1162"/>
      <c r="BN158" s="1261"/>
      <c r="BO158" s="1242"/>
      <c r="BP158" s="1162"/>
      <c r="BQ158" s="1162"/>
      <c r="BR158" s="1162"/>
      <c r="BS158" s="1261"/>
      <c r="BT158" s="1242"/>
      <c r="BU158" s="1162"/>
      <c r="BV158" s="1162"/>
      <c r="BW158" s="1162"/>
      <c r="BX158" s="1261"/>
      <c r="BY158" s="1242"/>
      <c r="BZ158" s="1162"/>
      <c r="CA158" s="1162"/>
      <c r="CB158" s="1162"/>
      <c r="CC158" s="1757"/>
      <c r="CD158" s="1242"/>
      <c r="CE158" s="1162"/>
      <c r="CF158" s="1162"/>
      <c r="CG158" s="1162"/>
      <c r="CH158" s="1757"/>
      <c r="CI158" s="1162"/>
      <c r="CJ158" s="860"/>
      <c r="CK158" s="1233"/>
      <c r="CL158" s="860"/>
      <c r="CM158" s="860"/>
      <c r="CN158" s="860"/>
      <c r="CO158" s="1232"/>
      <c r="CP158" s="1233"/>
      <c r="CQ158" s="860"/>
      <c r="CR158" s="860"/>
      <c r="CS158" s="860"/>
      <c r="CT158" s="1232"/>
      <c r="CU158" s="1233"/>
      <c r="CV158" s="860"/>
      <c r="CW158" s="860"/>
      <c r="CX158" s="860"/>
      <c r="CY158" s="1232"/>
      <c r="CZ158" s="1233"/>
      <c r="DA158" s="860"/>
      <c r="DB158" s="860"/>
      <c r="DC158" s="860"/>
      <c r="DD158" s="1232"/>
      <c r="DE158" s="1233"/>
      <c r="DF158" s="860"/>
      <c r="DG158" s="860"/>
      <c r="DH158" s="860"/>
      <c r="DI158" s="1232"/>
      <c r="DJ158" s="1233"/>
      <c r="DK158" s="860"/>
      <c r="DL158" s="860"/>
      <c r="DM158" s="860"/>
      <c r="DN158" s="1232"/>
      <c r="DO158" s="1233"/>
      <c r="DP158" s="860"/>
      <c r="DQ158" s="860"/>
      <c r="DR158" s="860"/>
      <c r="DS158" s="1232"/>
      <c r="DT158" s="1233"/>
      <c r="DU158" s="860"/>
      <c r="DV158" s="860"/>
      <c r="DW158" s="860"/>
      <c r="DX158" s="1232"/>
      <c r="DY158" s="1233"/>
      <c r="DZ158" s="860"/>
      <c r="EA158" s="860"/>
      <c r="EB158" s="860"/>
      <c r="EC158" s="1232"/>
      <c r="ED158" s="860"/>
      <c r="EE158" s="860"/>
      <c r="EF158" s="860"/>
      <c r="EG158" s="860"/>
      <c r="EH158" s="860"/>
      <c r="EI158" s="1233"/>
      <c r="EJ158" s="860"/>
      <c r="EK158" s="860"/>
      <c r="EL158" s="860"/>
      <c r="EM158" s="1232"/>
      <c r="EN158" s="1233"/>
      <c r="EO158" s="860"/>
      <c r="EP158" s="860"/>
      <c r="EQ158" s="860"/>
      <c r="ER158" s="1232"/>
      <c r="ES158" s="860"/>
      <c r="ET158" s="860"/>
      <c r="EU158" s="860"/>
      <c r="EV158" s="860"/>
      <c r="EW158" s="1232"/>
      <c r="EX158" s="1233"/>
      <c r="EY158" s="860"/>
      <c r="EZ158" s="860"/>
      <c r="FA158" s="860"/>
      <c r="FB158" s="1754"/>
      <c r="FC158" s="1233"/>
      <c r="FD158" s="860"/>
      <c r="FE158" s="860"/>
      <c r="FF158" s="860"/>
      <c r="FG158" s="860"/>
      <c r="FH158" s="860"/>
      <c r="FI158" s="860"/>
      <c r="FJ158" s="860"/>
      <c r="FY158" s="860"/>
      <c r="FZ158" s="860"/>
      <c r="GA158" s="860"/>
      <c r="GB158" s="860"/>
      <c r="GC158" s="860"/>
      <c r="GD158" s="860"/>
      <c r="GE158" s="860"/>
      <c r="GF158" s="860"/>
      <c r="GG158" s="860"/>
      <c r="GH158" s="860"/>
      <c r="GI158" s="860"/>
      <c r="GJ158" s="860"/>
      <c r="GK158" s="860"/>
      <c r="GL158" s="860"/>
      <c r="GM158" s="860"/>
      <c r="GN158" s="860"/>
      <c r="GO158" s="860"/>
      <c r="GP158" s="860"/>
      <c r="GQ158" s="860"/>
      <c r="GR158" s="1241"/>
      <c r="GS158" s="1218"/>
      <c r="GT158" s="1241"/>
      <c r="GU158" s="1218"/>
      <c r="GV158" s="1241"/>
      <c r="GW158" s="1218"/>
      <c r="GX158" s="1218"/>
      <c r="GY158" s="1241"/>
      <c r="GZ158" s="1218"/>
      <c r="HA158" s="1218"/>
      <c r="HB158" s="1241"/>
      <c r="HC158" s="1218"/>
      <c r="HD158" s="2000"/>
      <c r="HE158" s="1241"/>
      <c r="HF158" s="1218"/>
      <c r="HG158" s="2000"/>
      <c r="HH158" s="1241"/>
      <c r="HI158" s="1241"/>
      <c r="HJ158" s="1218"/>
      <c r="HK158" s="2000"/>
      <c r="HL158" s="1241"/>
      <c r="HM158" s="1218"/>
      <c r="HN158" s="2000"/>
      <c r="HO158" s="1241"/>
      <c r="HP158" s="1218"/>
      <c r="HQ158" s="2000"/>
      <c r="HR158" s="1241"/>
    </row>
    <row r="159" spans="1:226" hidden="1" outlineLevel="1">
      <c r="A159" s="1292" t="s">
        <v>540</v>
      </c>
      <c r="B159" s="1233"/>
      <c r="C159" s="860"/>
      <c r="D159" s="860"/>
      <c r="E159" s="860"/>
      <c r="F159" s="1232"/>
      <c r="G159" s="1233"/>
      <c r="H159" s="860"/>
      <c r="I159" s="860"/>
      <c r="J159" s="860"/>
      <c r="K159" s="1232"/>
      <c r="L159" s="1233"/>
      <c r="M159" s="860"/>
      <c r="N159" s="860"/>
      <c r="O159" s="860"/>
      <c r="P159" s="1232"/>
      <c r="Q159" s="1233"/>
      <c r="R159" s="860"/>
      <c r="S159" s="860"/>
      <c r="T159" s="860"/>
      <c r="U159" s="1232"/>
      <c r="V159" s="1233"/>
      <c r="W159" s="860"/>
      <c r="X159" s="860"/>
      <c r="Y159" s="860"/>
      <c r="Z159" s="1261"/>
      <c r="AA159" s="1242"/>
      <c r="AB159" s="1162"/>
      <c r="AC159" s="1162"/>
      <c r="AD159" s="1162"/>
      <c r="AE159" s="1261"/>
      <c r="AF159" s="1242"/>
      <c r="AG159" s="1162"/>
      <c r="AH159" s="1162"/>
      <c r="AI159" s="1162"/>
      <c r="AJ159" s="1232"/>
      <c r="AK159" s="1242"/>
      <c r="AL159" s="1162"/>
      <c r="AM159" s="1162"/>
      <c r="AN159" s="1162"/>
      <c r="AO159" s="1261"/>
      <c r="AP159" s="1242"/>
      <c r="AQ159" s="1162"/>
      <c r="AR159" s="1162"/>
      <c r="AS159" s="1162"/>
      <c r="AT159" s="1261"/>
      <c r="AU159" s="1242"/>
      <c r="AV159" s="1162"/>
      <c r="AW159" s="1162"/>
      <c r="AX159" s="1162"/>
      <c r="AY159" s="1261"/>
      <c r="AZ159" s="1242"/>
      <c r="BA159" s="1162"/>
      <c r="BB159" s="1162"/>
      <c r="BC159" s="1162"/>
      <c r="BD159" s="1261"/>
      <c r="BE159" s="1242"/>
      <c r="BF159" s="1162"/>
      <c r="BG159" s="1162"/>
      <c r="BH159" s="1162"/>
      <c r="BI159" s="1261"/>
      <c r="BJ159" s="1242"/>
      <c r="BK159" s="1162"/>
      <c r="BL159" s="1162"/>
      <c r="BM159" s="1162"/>
      <c r="BN159" s="1261"/>
      <c r="BO159" s="1242"/>
      <c r="BP159" s="1162"/>
      <c r="BQ159" s="1162"/>
      <c r="BR159" s="1162"/>
      <c r="BS159" s="1261"/>
      <c r="BT159" s="1242"/>
      <c r="BU159" s="1162"/>
      <c r="BV159" s="1162"/>
      <c r="BW159" s="1162"/>
      <c r="BX159" s="1261"/>
      <c r="BY159" s="1242"/>
      <c r="BZ159" s="1162"/>
      <c r="CA159" s="1162"/>
      <c r="CB159" s="1162"/>
      <c r="CC159" s="1757"/>
      <c r="CD159" s="1242"/>
      <c r="CE159" s="1162"/>
      <c r="CF159" s="1162"/>
      <c r="CG159" s="1162"/>
      <c r="CH159" s="1757"/>
      <c r="CI159" s="1162"/>
      <c r="CJ159" s="860"/>
      <c r="CK159" s="1233"/>
      <c r="CL159" s="860"/>
      <c r="CM159" s="860"/>
      <c r="CN159" s="860"/>
      <c r="CO159" s="1232"/>
      <c r="CP159" s="1233"/>
      <c r="CQ159" s="860"/>
      <c r="CR159" s="860"/>
      <c r="CS159" s="860"/>
      <c r="CT159" s="1232"/>
      <c r="CU159" s="1233"/>
      <c r="CV159" s="860"/>
      <c r="CW159" s="860"/>
      <c r="CX159" s="860"/>
      <c r="CY159" s="1232"/>
      <c r="CZ159" s="1233"/>
      <c r="DA159" s="860"/>
      <c r="DB159" s="860"/>
      <c r="DC159" s="860"/>
      <c r="DD159" s="1232"/>
      <c r="DE159" s="1233"/>
      <c r="DF159" s="860"/>
      <c r="DG159" s="860"/>
      <c r="DH159" s="860"/>
      <c r="DI159" s="1232"/>
      <c r="DJ159" s="1233"/>
      <c r="DK159" s="860"/>
      <c r="DL159" s="860"/>
      <c r="DM159" s="860"/>
      <c r="DN159" s="1232"/>
      <c r="DO159" s="1233"/>
      <c r="DP159" s="860"/>
      <c r="DQ159" s="860"/>
      <c r="DR159" s="860"/>
      <c r="DS159" s="1232"/>
      <c r="DT159" s="1233"/>
      <c r="DU159" s="860"/>
      <c r="DV159" s="860"/>
      <c r="DW159" s="860"/>
      <c r="DX159" s="1232"/>
      <c r="DY159" s="1233"/>
      <c r="DZ159" s="860"/>
      <c r="EA159" s="860"/>
      <c r="EB159" s="860"/>
      <c r="EC159" s="1232"/>
      <c r="ED159" s="860"/>
      <c r="EE159" s="860"/>
      <c r="EF159" s="860"/>
      <c r="EG159" s="860"/>
      <c r="EH159" s="860"/>
      <c r="EI159" s="1233"/>
      <c r="EJ159" s="860"/>
      <c r="EK159" s="860"/>
      <c r="EL159" s="860"/>
      <c r="EM159" s="1232"/>
      <c r="EN159" s="1233"/>
      <c r="EO159" s="860"/>
      <c r="EP159" s="860"/>
      <c r="EQ159" s="860"/>
      <c r="ER159" s="1232"/>
      <c r="ES159" s="860"/>
      <c r="ET159" s="860"/>
      <c r="EU159" s="860"/>
      <c r="EV159" s="860"/>
      <c r="EW159" s="1232"/>
      <c r="EX159" s="1233"/>
      <c r="EY159" s="860"/>
      <c r="EZ159" s="860"/>
      <c r="FA159" s="860"/>
      <c r="FB159" s="1754"/>
      <c r="FC159" s="1233"/>
      <c r="FD159" s="860"/>
      <c r="FE159" s="860"/>
      <c r="FF159" s="860"/>
      <c r="FG159" s="860"/>
      <c r="FH159" s="860"/>
      <c r="FI159" s="860"/>
      <c r="FJ159" s="860"/>
      <c r="FY159" s="860"/>
      <c r="FZ159" s="860"/>
      <c r="GA159" s="860"/>
      <c r="GB159" s="860"/>
      <c r="GC159" s="860"/>
      <c r="GD159" s="860"/>
      <c r="GE159" s="860"/>
      <c r="GF159" s="860"/>
      <c r="GG159" s="860"/>
      <c r="GH159" s="860"/>
      <c r="GI159" s="860"/>
      <c r="GJ159" s="860"/>
      <c r="GK159" s="860"/>
      <c r="GL159" s="860"/>
      <c r="GM159" s="860"/>
      <c r="GN159" s="860"/>
      <c r="GO159" s="860"/>
      <c r="GP159" s="860"/>
      <c r="GQ159" s="860"/>
      <c r="GR159" s="1241"/>
      <c r="GS159" s="1218"/>
      <c r="GT159" s="1241"/>
      <c r="GU159" s="1218"/>
      <c r="GV159" s="1241"/>
      <c r="GW159" s="1218"/>
      <c r="GX159" s="1218"/>
      <c r="GY159" s="1241"/>
      <c r="GZ159" s="1218"/>
      <c r="HA159" s="1218"/>
      <c r="HB159" s="1241"/>
      <c r="HC159" s="1218"/>
      <c r="HD159" s="2000"/>
      <c r="HE159" s="1241"/>
      <c r="HF159" s="1218"/>
      <c r="HG159" s="2000"/>
      <c r="HH159" s="1241"/>
      <c r="HI159" s="1241"/>
      <c r="HJ159" s="1218"/>
      <c r="HK159" s="2000"/>
      <c r="HL159" s="1241"/>
      <c r="HM159" s="1218"/>
      <c r="HN159" s="2000"/>
      <c r="HO159" s="1241"/>
      <c r="HP159" s="1218"/>
      <c r="HQ159" s="2000"/>
      <c r="HR159" s="1241"/>
    </row>
    <row r="160" spans="1:226" hidden="1" outlineLevel="1">
      <c r="A160" s="1290" t="str">
        <f>A144</f>
        <v>Retail</v>
      </c>
      <c r="B160" s="1233"/>
      <c r="C160" s="860"/>
      <c r="D160" s="860"/>
      <c r="E160" s="860"/>
      <c r="F160" s="1232"/>
      <c r="G160" s="1233"/>
      <c r="H160" s="860"/>
      <c r="I160" s="860"/>
      <c r="J160" s="860"/>
      <c r="K160" s="1232"/>
      <c r="L160" s="1233"/>
      <c r="M160" s="860"/>
      <c r="N160" s="860"/>
      <c r="O160" s="860"/>
      <c r="P160" s="1232"/>
      <c r="Q160" s="1233"/>
      <c r="R160" s="860"/>
      <c r="S160" s="860"/>
      <c r="T160" s="860"/>
      <c r="U160" s="1232"/>
      <c r="V160" s="1233"/>
      <c r="W160" s="860"/>
      <c r="X160" s="860"/>
      <c r="Y160" s="860"/>
      <c r="Z160" s="1261"/>
      <c r="AA160" s="1239">
        <f t="shared" ref="AA160:AD162" si="241">AA144/AA129</f>
        <v>0.39878670652365045</v>
      </c>
      <c r="AB160" s="1217">
        <f t="shared" si="241"/>
        <v>0.40125837223462557</v>
      </c>
      <c r="AC160" s="1217">
        <f t="shared" si="241"/>
        <v>0.40524715320910976</v>
      </c>
      <c r="AD160" s="1217">
        <f t="shared" si="241"/>
        <v>0.405712790679779</v>
      </c>
      <c r="AE160" s="1261"/>
      <c r="AF160" s="1239">
        <f t="shared" ref="AF160:AI162" si="242">AF144/AF129</f>
        <v>0.42096194186394964</v>
      </c>
      <c r="AG160" s="1217">
        <f t="shared" si="242"/>
        <v>0.42487008385496633</v>
      </c>
      <c r="AH160" s="1217">
        <f t="shared" si="242"/>
        <v>0.43100090873685576</v>
      </c>
      <c r="AI160" s="1217">
        <f t="shared" si="242"/>
        <v>0.43385598385808583</v>
      </c>
      <c r="AJ160" s="1232"/>
      <c r="AK160" s="1239">
        <f t="shared" ref="AK160:AN162" si="243">AK144/AK129</f>
        <v>0.43073108872518984</v>
      </c>
      <c r="AL160" s="1217">
        <f t="shared" si="243"/>
        <v>0.43294244126009646</v>
      </c>
      <c r="AM160" s="1217">
        <f t="shared" si="243"/>
        <v>0.43010104882657391</v>
      </c>
      <c r="AN160" s="1217">
        <f t="shared" si="243"/>
        <v>0.43679089215699024</v>
      </c>
      <c r="AO160" s="1261"/>
      <c r="AP160" s="1239">
        <f t="shared" ref="AP160:AS162" si="244">AP144/AP129</f>
        <v>0.43399121096289361</v>
      </c>
      <c r="AQ160" s="1217">
        <f t="shared" si="244"/>
        <v>0.43276146905578855</v>
      </c>
      <c r="AR160" s="1217">
        <f t="shared" si="244"/>
        <v>0.43164373730370154</v>
      </c>
      <c r="AS160" s="1217">
        <f t="shared" si="244"/>
        <v>0.43185267988468551</v>
      </c>
      <c r="AT160" s="1261"/>
      <c r="AU160" s="1239">
        <f t="shared" ref="AU160:AX162" si="245">AU144/AU129</f>
        <v>0.44145951184332105</v>
      </c>
      <c r="AV160" s="1217">
        <f t="shared" si="245"/>
        <v>0.44047825709573829</v>
      </c>
      <c r="AW160" s="1217">
        <f t="shared" si="245"/>
        <v>0.42896561777629688</v>
      </c>
      <c r="AX160" s="1217">
        <f t="shared" si="245"/>
        <v>0.42354273587119556</v>
      </c>
      <c r="AY160" s="1261"/>
      <c r="AZ160" s="1239">
        <f t="shared" ref="AZ160:BC162" si="246">AZ144/AZ129</f>
        <v>0.42258963898398905</v>
      </c>
      <c r="BA160" s="1217">
        <f t="shared" si="246"/>
        <v>0.42041918037244813</v>
      </c>
      <c r="BB160" s="1217">
        <f t="shared" si="246"/>
        <v>0.42269785087118922</v>
      </c>
      <c r="BC160" s="1217">
        <f t="shared" si="246"/>
        <v>0.42465857503751397</v>
      </c>
      <c r="BD160" s="1261"/>
      <c r="BE160" s="1239">
        <f t="shared" ref="BE160:BH162" si="247">BE144/BE129</f>
        <v>0.42839260802262696</v>
      </c>
      <c r="BF160" s="1217">
        <f t="shared" si="247"/>
        <v>0.42355201756793848</v>
      </c>
      <c r="BG160" s="1217">
        <f t="shared" si="247"/>
        <v>0.42348701838676889</v>
      </c>
      <c r="BH160" s="1217">
        <f t="shared" si="247"/>
        <v>0.43908162618126478</v>
      </c>
      <c r="BI160" s="1261"/>
      <c r="BJ160" s="1239">
        <f t="shared" ref="BJ160:BK162" si="248">BJ144/BJ129</f>
        <v>0.43200007393305362</v>
      </c>
      <c r="BK160" s="1217">
        <f t="shared" si="248"/>
        <v>0.42840337054059968</v>
      </c>
      <c r="BL160" s="1217">
        <f t="shared" ref="BL160:BM162" si="249">BL144/BL129</f>
        <v>0.41659416349465289</v>
      </c>
      <c r="BM160" s="1217">
        <f t="shared" si="249"/>
        <v>0.43958628862832411</v>
      </c>
      <c r="BN160" s="1261"/>
      <c r="BO160" s="1239">
        <f t="shared" ref="BO160:BR162" si="250">BO144/BO129</f>
        <v>0.42128971497618872</v>
      </c>
      <c r="BP160" s="1217">
        <f t="shared" si="250"/>
        <v>0.40478896387732982</v>
      </c>
      <c r="BQ160" s="1217">
        <f t="shared" si="250"/>
        <v>0.37936868349583724</v>
      </c>
      <c r="BR160" s="1217">
        <f t="shared" si="250"/>
        <v>0.41133525975136598</v>
      </c>
      <c r="BS160" s="1261"/>
      <c r="BT160" s="1239">
        <f>BT144/BT129</f>
        <v>0.39920807974622846</v>
      </c>
      <c r="BU160" s="1217"/>
      <c r="BV160" s="1217"/>
      <c r="BW160" s="1217"/>
      <c r="BX160" s="1261"/>
      <c r="BY160" s="1239"/>
      <c r="BZ160" s="1217"/>
      <c r="CA160" s="1217"/>
      <c r="CB160" s="1217"/>
      <c r="CC160" s="1757"/>
      <c r="CD160" s="1239"/>
      <c r="CE160" s="1217"/>
      <c r="CF160" s="1217"/>
      <c r="CG160" s="1217"/>
      <c r="CH160" s="1757"/>
      <c r="CI160" s="1162"/>
      <c r="CJ160" s="860"/>
      <c r="CK160" s="1233"/>
      <c r="CL160" s="860"/>
      <c r="CM160" s="860"/>
      <c r="CN160" s="860"/>
      <c r="CO160" s="1232"/>
      <c r="CP160" s="1233"/>
      <c r="CQ160" s="860"/>
      <c r="CR160" s="860"/>
      <c r="CS160" s="860"/>
      <c r="CT160" s="1232"/>
      <c r="CU160" s="1233"/>
      <c r="CV160" s="860"/>
      <c r="CW160" s="860"/>
      <c r="CX160" s="860"/>
      <c r="CY160" s="1232"/>
      <c r="CZ160" s="1233"/>
      <c r="DA160" s="860"/>
      <c r="DB160" s="860"/>
      <c r="DC160" s="860"/>
      <c r="DD160" s="1232"/>
      <c r="DE160" s="1233"/>
      <c r="DF160" s="860"/>
      <c r="DG160" s="860"/>
      <c r="DH160" s="860"/>
      <c r="DI160" s="1232"/>
      <c r="DJ160" s="1233"/>
      <c r="DK160" s="860"/>
      <c r="DL160" s="860"/>
      <c r="DM160" s="860"/>
      <c r="DN160" s="1232"/>
      <c r="DO160" s="1233"/>
      <c r="DP160" s="860"/>
      <c r="DQ160" s="860"/>
      <c r="DR160" s="860"/>
      <c r="DS160" s="1232"/>
      <c r="DT160" s="1233"/>
      <c r="DU160" s="860"/>
      <c r="DV160" s="860"/>
      <c r="DW160" s="860"/>
      <c r="DX160" s="1232"/>
      <c r="DY160" s="1233"/>
      <c r="DZ160" s="860"/>
      <c r="EA160" s="860"/>
      <c r="EB160" s="860"/>
      <c r="EC160" s="1232"/>
      <c r="ED160" s="860"/>
      <c r="EE160" s="860"/>
      <c r="EF160" s="860"/>
      <c r="EG160" s="860"/>
      <c r="EH160" s="860"/>
      <c r="EI160" s="1233"/>
      <c r="EJ160" s="860"/>
      <c r="EK160" s="860"/>
      <c r="EL160" s="860"/>
      <c r="EM160" s="1232"/>
      <c r="EN160" s="1233"/>
      <c r="EO160" s="860"/>
      <c r="EP160" s="860"/>
      <c r="EQ160" s="860"/>
      <c r="ER160" s="1232"/>
      <c r="ES160" s="860"/>
      <c r="ET160" s="860"/>
      <c r="EU160" s="860"/>
      <c r="EV160" s="860"/>
      <c r="EW160" s="1232"/>
      <c r="EX160" s="1233"/>
      <c r="EY160" s="860"/>
      <c r="EZ160" s="860"/>
      <c r="FA160" s="860"/>
      <c r="FB160" s="1754"/>
      <c r="FC160" s="1233"/>
      <c r="FD160" s="860"/>
      <c r="FE160" s="860"/>
      <c r="FF160" s="860"/>
      <c r="FG160" s="860"/>
      <c r="FH160" s="860"/>
      <c r="FI160" s="860"/>
      <c r="FJ160" s="860"/>
      <c r="FY160" s="860"/>
      <c r="FZ160" s="860"/>
      <c r="GA160" s="860"/>
      <c r="GB160" s="860"/>
      <c r="GC160" s="860"/>
      <c r="GD160" s="860"/>
      <c r="GE160" s="860"/>
      <c r="GF160" s="860"/>
      <c r="GG160" s="860"/>
      <c r="GH160" s="860"/>
      <c r="GI160" s="860"/>
      <c r="GJ160" s="860"/>
      <c r="GK160" s="860"/>
      <c r="GL160" s="860"/>
      <c r="GM160" s="860"/>
      <c r="GN160" s="860"/>
      <c r="GO160" s="860"/>
      <c r="GP160" s="860"/>
      <c r="GQ160" s="860"/>
      <c r="GR160" s="1247">
        <v>0.39500000000000002</v>
      </c>
      <c r="GS160" s="1218"/>
      <c r="GT160" s="1247">
        <v>0.4</v>
      </c>
      <c r="GU160" s="1218"/>
      <c r="GV160" s="1247">
        <v>0.41592920353982299</v>
      </c>
      <c r="GW160" s="1218"/>
      <c r="GX160" s="1218"/>
      <c r="GY160" s="1247">
        <v>0.39090909090909093</v>
      </c>
      <c r="GZ160" s="1218"/>
      <c r="HA160" s="1218"/>
      <c r="HB160" s="1247"/>
      <c r="HC160" s="1218"/>
      <c r="HD160" s="2000"/>
      <c r="HE160" s="1247"/>
      <c r="HF160" s="1218"/>
      <c r="HG160" s="2000"/>
      <c r="HH160" s="1241"/>
      <c r="HI160" s="1247"/>
      <c r="HJ160" s="1218"/>
      <c r="HK160" s="2000"/>
      <c r="HL160" s="1247"/>
      <c r="HM160" s="1218"/>
      <c r="HN160" s="2000"/>
      <c r="HO160" s="1247"/>
      <c r="HP160" s="1218"/>
      <c r="HQ160" s="2000"/>
      <c r="HR160" s="1247"/>
    </row>
    <row r="161" spans="1:226" hidden="1" outlineLevel="1">
      <c r="A161" s="1290" t="str">
        <f>A145</f>
        <v>Wholesale</v>
      </c>
      <c r="B161" s="1233"/>
      <c r="C161" s="860"/>
      <c r="D161" s="860"/>
      <c r="E161" s="860"/>
      <c r="F161" s="1232"/>
      <c r="G161" s="1233"/>
      <c r="H161" s="860"/>
      <c r="I161" s="860"/>
      <c r="J161" s="860"/>
      <c r="K161" s="1232"/>
      <c r="L161" s="1233"/>
      <c r="M161" s="860"/>
      <c r="N161" s="860"/>
      <c r="O161" s="860"/>
      <c r="P161" s="1232"/>
      <c r="Q161" s="1233"/>
      <c r="R161" s="860"/>
      <c r="S161" s="860"/>
      <c r="T161" s="860"/>
      <c r="U161" s="1232"/>
      <c r="V161" s="1233"/>
      <c r="W161" s="860"/>
      <c r="X161" s="860"/>
      <c r="Y161" s="860"/>
      <c r="Z161" s="1261"/>
      <c r="AA161" s="1239">
        <f t="shared" si="241"/>
        <v>0.38329197684036392</v>
      </c>
      <c r="AB161" s="1217">
        <f t="shared" si="241"/>
        <v>0.38689892051030428</v>
      </c>
      <c r="AC161" s="1217">
        <f t="shared" si="241"/>
        <v>0.40931134820562565</v>
      </c>
      <c r="AD161" s="1217">
        <f t="shared" si="241"/>
        <v>0.35317185697808523</v>
      </c>
      <c r="AE161" s="1261"/>
      <c r="AF161" s="1239">
        <f t="shared" si="242"/>
        <v>0.37893927747886241</v>
      </c>
      <c r="AG161" s="1217">
        <f t="shared" si="242"/>
        <v>0.37860331391389873</v>
      </c>
      <c r="AH161" s="1217">
        <f t="shared" si="242"/>
        <v>0.36052943500592655</v>
      </c>
      <c r="AI161" s="1217">
        <f t="shared" si="242"/>
        <v>0.31725368400185006</v>
      </c>
      <c r="AJ161" s="1232"/>
      <c r="AK161" s="1239">
        <f t="shared" si="243"/>
        <v>0.35239602169981915</v>
      </c>
      <c r="AL161" s="1217">
        <f t="shared" si="243"/>
        <v>0.37438535441410087</v>
      </c>
      <c r="AM161" s="1217">
        <f t="shared" si="243"/>
        <v>0.37755102040816324</v>
      </c>
      <c r="AN161" s="1217">
        <f t="shared" si="243"/>
        <v>0.34589257503949439</v>
      </c>
      <c r="AO161" s="1261"/>
      <c r="AP161" s="1239">
        <f t="shared" si="244"/>
        <v>0.34063432249960746</v>
      </c>
      <c r="AQ161" s="1217">
        <f t="shared" si="244"/>
        <v>0.31864328564836181</v>
      </c>
      <c r="AR161" s="1217">
        <f t="shared" si="244"/>
        <v>0.36246502724193785</v>
      </c>
      <c r="AS161" s="1217">
        <f t="shared" si="244"/>
        <v>0.33461101646791597</v>
      </c>
      <c r="AT161" s="1261"/>
      <c r="AU161" s="1239">
        <f t="shared" si="245"/>
        <v>0.3567583088076951</v>
      </c>
      <c r="AV161" s="1217">
        <f t="shared" si="245"/>
        <v>0.36940826727066817</v>
      </c>
      <c r="AW161" s="1217">
        <f t="shared" si="245"/>
        <v>0.35055992209779507</v>
      </c>
      <c r="AX161" s="1217">
        <f t="shared" si="245"/>
        <v>0.32366646229307172</v>
      </c>
      <c r="AY161" s="1261"/>
      <c r="AZ161" s="1239">
        <f t="shared" si="246"/>
        <v>0.34070677097383328</v>
      </c>
      <c r="BA161" s="1217">
        <f t="shared" si="246"/>
        <v>0.34986025712688651</v>
      </c>
      <c r="BB161" s="1217">
        <f t="shared" si="246"/>
        <v>0.35253748558246828</v>
      </c>
      <c r="BC161" s="1217">
        <f t="shared" si="246"/>
        <v>0.36319667060345312</v>
      </c>
      <c r="BD161" s="1261"/>
      <c r="BE161" s="1239">
        <f t="shared" si="247"/>
        <v>0.31070987472798917</v>
      </c>
      <c r="BF161" s="1217">
        <f t="shared" si="247"/>
        <v>0.36116025950351188</v>
      </c>
      <c r="BG161" s="1217">
        <f t="shared" si="247"/>
        <v>0.36109837193304284</v>
      </c>
      <c r="BH161" s="1217">
        <f t="shared" si="247"/>
        <v>0.35850787341385104</v>
      </c>
      <c r="BI161" s="1261"/>
      <c r="BJ161" s="1239">
        <f t="shared" si="248"/>
        <v>0.32275582308296258</v>
      </c>
      <c r="BK161" s="1217">
        <f t="shared" si="248"/>
        <v>0.3249076029567054</v>
      </c>
      <c r="BL161" s="1217">
        <f t="shared" si="249"/>
        <v>0.25472114853672007</v>
      </c>
      <c r="BM161" s="1217">
        <f t="shared" si="249"/>
        <v>0.19222323389213217</v>
      </c>
      <c r="BN161" s="1261"/>
      <c r="BO161" s="1239">
        <f t="shared" si="250"/>
        <v>0.29621547903170814</v>
      </c>
      <c r="BP161" s="1217">
        <f t="shared" si="250"/>
        <v>0.25667144906743183</v>
      </c>
      <c r="BQ161" s="1217">
        <f t="shared" si="250"/>
        <v>0.18726836712448225</v>
      </c>
      <c r="BR161" s="1217">
        <f t="shared" si="250"/>
        <v>0.17765298959862166</v>
      </c>
      <c r="BS161" s="1261"/>
      <c r="BT161" s="1239">
        <f>BT145/BT130</f>
        <v>0.31816959503899317</v>
      </c>
      <c r="BU161" s="1217"/>
      <c r="BV161" s="1217"/>
      <c r="BW161" s="1217"/>
      <c r="BX161" s="1261"/>
      <c r="BY161" s="1239"/>
      <c r="BZ161" s="1217"/>
      <c r="CA161" s="1217"/>
      <c r="CB161" s="1217"/>
      <c r="CC161" s="1757"/>
      <c r="CD161" s="1239"/>
      <c r="CE161" s="1217"/>
      <c r="CF161" s="1217"/>
      <c r="CG161" s="1217"/>
      <c r="CH161" s="1757"/>
      <c r="CI161" s="1162"/>
      <c r="CJ161" s="860"/>
      <c r="CK161" s="1233"/>
      <c r="CL161" s="860"/>
      <c r="CM161" s="860"/>
      <c r="CN161" s="860"/>
      <c r="CO161" s="1232"/>
      <c r="CP161" s="1233"/>
      <c r="CQ161" s="860"/>
      <c r="CR161" s="860"/>
      <c r="CS161" s="860"/>
      <c r="CT161" s="1232"/>
      <c r="CU161" s="1233"/>
      <c r="CV161" s="860"/>
      <c r="CW161" s="860"/>
      <c r="CX161" s="860"/>
      <c r="CY161" s="1232"/>
      <c r="CZ161" s="1233"/>
      <c r="DA161" s="860"/>
      <c r="DB161" s="860"/>
      <c r="DC161" s="860"/>
      <c r="DD161" s="1232"/>
      <c r="DE161" s="1233"/>
      <c r="DF161" s="860"/>
      <c r="DG161" s="860"/>
      <c r="DH161" s="860"/>
      <c r="DI161" s="1232"/>
      <c r="DJ161" s="1233"/>
      <c r="DK161" s="860"/>
      <c r="DL161" s="860"/>
      <c r="DM161" s="860"/>
      <c r="DN161" s="1232"/>
      <c r="DO161" s="1233"/>
      <c r="DP161" s="860"/>
      <c r="DQ161" s="860"/>
      <c r="DR161" s="860"/>
      <c r="DS161" s="1232"/>
      <c r="DT161" s="1233"/>
      <c r="DU161" s="860"/>
      <c r="DV161" s="860"/>
      <c r="DW161" s="860"/>
      <c r="DX161" s="1232"/>
      <c r="DY161" s="1233"/>
      <c r="DZ161" s="860"/>
      <c r="EA161" s="860"/>
      <c r="EB161" s="860"/>
      <c r="EC161" s="1232"/>
      <c r="ED161" s="860"/>
      <c r="EE161" s="860"/>
      <c r="EF161" s="860"/>
      <c r="EG161" s="860"/>
      <c r="EH161" s="860"/>
      <c r="EI161" s="1233"/>
      <c r="EJ161" s="860"/>
      <c r="EK161" s="860"/>
      <c r="EL161" s="860"/>
      <c r="EM161" s="1232"/>
      <c r="EN161" s="1233"/>
      <c r="EO161" s="860"/>
      <c r="EP161" s="860"/>
      <c r="EQ161" s="860"/>
      <c r="ER161" s="1232"/>
      <c r="ES161" s="860"/>
      <c r="ET161" s="860"/>
      <c r="EU161" s="860"/>
      <c r="EV161" s="860"/>
      <c r="EW161" s="1232"/>
      <c r="EX161" s="1233"/>
      <c r="EY161" s="860"/>
      <c r="EZ161" s="860"/>
      <c r="FA161" s="860"/>
      <c r="FB161" s="1754"/>
      <c r="FC161" s="1233"/>
      <c r="FD161" s="860"/>
      <c r="FE161" s="860"/>
      <c r="FF161" s="860"/>
      <c r="FG161" s="860"/>
      <c r="FH161" s="860"/>
      <c r="FI161" s="860"/>
      <c r="FJ161" s="860"/>
      <c r="FY161" s="860"/>
      <c r="FZ161" s="860"/>
      <c r="GA161" s="860"/>
      <c r="GB161" s="860"/>
      <c r="GC161" s="860"/>
      <c r="GD161" s="860"/>
      <c r="GE161" s="860"/>
      <c r="GF161" s="860"/>
      <c r="GG161" s="860"/>
      <c r="GH161" s="860"/>
      <c r="GI161" s="860"/>
      <c r="GJ161" s="860"/>
      <c r="GK161" s="860"/>
      <c r="GL161" s="860"/>
      <c r="GM161" s="860"/>
      <c r="GN161" s="860"/>
      <c r="GO161" s="860"/>
      <c r="GP161" s="860"/>
      <c r="GQ161" s="860"/>
      <c r="GR161" s="2015">
        <v>0.255</v>
      </c>
      <c r="GS161" s="1218"/>
      <c r="GT161" s="1247">
        <v>0.18</v>
      </c>
      <c r="GU161" s="1218"/>
      <c r="GV161" s="1247">
        <v>0.23385432555134852</v>
      </c>
      <c r="GW161" s="1218"/>
      <c r="GX161" s="1218"/>
      <c r="GY161" s="1247">
        <v>0.33333333333333331</v>
      </c>
      <c r="GZ161" s="1218"/>
      <c r="HA161" s="1218"/>
      <c r="HB161" s="1247"/>
      <c r="HC161" s="1218"/>
      <c r="HD161" s="2000"/>
      <c r="HE161" s="1247"/>
      <c r="HF161" s="1218"/>
      <c r="HG161" s="2000"/>
      <c r="HH161" s="1241"/>
      <c r="HI161" s="1247"/>
      <c r="HJ161" s="1218"/>
      <c r="HK161" s="2000"/>
      <c r="HL161" s="1247"/>
      <c r="HM161" s="1218"/>
      <c r="HN161" s="2000"/>
      <c r="HO161" s="1247"/>
      <c r="HP161" s="1218"/>
      <c r="HQ161" s="2000"/>
      <c r="HR161" s="1247"/>
    </row>
    <row r="162" spans="1:226" hidden="1" outlineLevel="1">
      <c r="A162" s="1300" t="str">
        <f>A146</f>
        <v>Total</v>
      </c>
      <c r="B162" s="1668"/>
      <c r="C162" s="1271"/>
      <c r="D162" s="1271"/>
      <c r="E162" s="1271"/>
      <c r="F162" s="1418"/>
      <c r="G162" s="1668"/>
      <c r="H162" s="1271"/>
      <c r="I162" s="1271"/>
      <c r="J162" s="1271"/>
      <c r="K162" s="1418"/>
      <c r="L162" s="1668"/>
      <c r="M162" s="1271"/>
      <c r="N162" s="1271"/>
      <c r="O162" s="1271"/>
      <c r="P162" s="1418"/>
      <c r="Q162" s="1668"/>
      <c r="R162" s="1271"/>
      <c r="S162" s="1271"/>
      <c r="T162" s="1271"/>
      <c r="U162" s="1418"/>
      <c r="V162" s="1668"/>
      <c r="W162" s="1271"/>
      <c r="X162" s="1271"/>
      <c r="Y162" s="1271"/>
      <c r="Z162" s="1338"/>
      <c r="AA162" s="1339">
        <f t="shared" si="241"/>
        <v>0.39607018561484919</v>
      </c>
      <c r="AB162" s="1303">
        <f t="shared" si="241"/>
        <v>0.39879751093171883</v>
      </c>
      <c r="AC162" s="1303">
        <f t="shared" si="241"/>
        <v>0.40597126031876851</v>
      </c>
      <c r="AD162" s="1303">
        <f t="shared" si="241"/>
        <v>0.39695057833859093</v>
      </c>
      <c r="AE162" s="1338"/>
      <c r="AF162" s="1339">
        <f t="shared" si="242"/>
        <v>0.4141065830721003</v>
      </c>
      <c r="AG162" s="1303">
        <f t="shared" si="242"/>
        <v>0.41731622052301953</v>
      </c>
      <c r="AH162" s="1303">
        <f t="shared" si="242"/>
        <v>0.41833800717049452</v>
      </c>
      <c r="AI162" s="1303">
        <f t="shared" si="242"/>
        <v>0.41345664739884402</v>
      </c>
      <c r="AJ162" s="1418"/>
      <c r="AK162" s="1339">
        <f t="shared" si="243"/>
        <v>0.4182733209514109</v>
      </c>
      <c r="AL162" s="1303">
        <f t="shared" si="243"/>
        <v>0.42371770426160738</v>
      </c>
      <c r="AM162" s="1303">
        <f t="shared" si="243"/>
        <v>0.4221429567318864</v>
      </c>
      <c r="AN162" s="1303">
        <f t="shared" si="243"/>
        <v>0.42392288854845722</v>
      </c>
      <c r="AO162" s="1338"/>
      <c r="AP162" s="1339">
        <f t="shared" si="244"/>
        <v>0.42072681033328879</v>
      </c>
      <c r="AQ162" s="1303">
        <f t="shared" si="244"/>
        <v>0.41657941805173843</v>
      </c>
      <c r="AR162" s="1303">
        <f t="shared" si="244"/>
        <v>0.42183503669447026</v>
      </c>
      <c r="AS162" s="1303">
        <f t="shared" si="244"/>
        <v>0.41802509260848059</v>
      </c>
      <c r="AT162" s="1338"/>
      <c r="AU162" s="1339">
        <f t="shared" si="245"/>
        <v>0.42996698255627086</v>
      </c>
      <c r="AV162" s="1303">
        <f t="shared" si="245"/>
        <v>0.43103221193647928</v>
      </c>
      <c r="AW162" s="1303">
        <f t="shared" si="245"/>
        <v>0.41875650953221932</v>
      </c>
      <c r="AX162" s="1303">
        <f t="shared" si="245"/>
        <v>0.40929329332831815</v>
      </c>
      <c r="AY162" s="1338"/>
      <c r="AZ162" s="1339">
        <f t="shared" si="246"/>
        <v>0.41178616553663272</v>
      </c>
      <c r="BA162" s="1303">
        <f t="shared" si="246"/>
        <v>0.40964677971308849</v>
      </c>
      <c r="BB162" s="1303">
        <f t="shared" si="246"/>
        <v>0.41252696172688824</v>
      </c>
      <c r="BC162" s="1303">
        <f t="shared" si="246"/>
        <v>0.41577899654682104</v>
      </c>
      <c r="BD162" s="1338"/>
      <c r="BE162" s="1339">
        <f t="shared" si="247"/>
        <v>0.4119450586484954</v>
      </c>
      <c r="BF162" s="1303">
        <f t="shared" si="247"/>
        <v>0.41419009155416819</v>
      </c>
      <c r="BG162" s="1303">
        <f t="shared" si="247"/>
        <v>0.41482725146012694</v>
      </c>
      <c r="BH162" s="1303">
        <f t="shared" si="247"/>
        <v>0.42691857960489882</v>
      </c>
      <c r="BI162" s="1338"/>
      <c r="BJ162" s="1339">
        <f t="shared" si="248"/>
        <v>0.4184792290873755</v>
      </c>
      <c r="BK162" s="1303">
        <f t="shared" si="248"/>
        <v>0.41583872828664825</v>
      </c>
      <c r="BL162" s="1303">
        <f t="shared" si="249"/>
        <v>0.39377189567925264</v>
      </c>
      <c r="BM162" s="1303">
        <f t="shared" si="249"/>
        <v>0.40407372378953188</v>
      </c>
      <c r="BN162" s="1338"/>
      <c r="BO162" s="1339">
        <f t="shared" si="250"/>
        <v>0.40687172311876552</v>
      </c>
      <c r="BP162" s="1303">
        <f t="shared" si="250"/>
        <v>0.38869927061903875</v>
      </c>
      <c r="BQ162" s="1303">
        <f t="shared" si="250"/>
        <v>0.35839956848000254</v>
      </c>
      <c r="BR162" s="1303">
        <f t="shared" si="250"/>
        <v>0.38244528944918654</v>
      </c>
      <c r="BS162" s="1338"/>
      <c r="BT162" s="1339">
        <f>BT146/BT131</f>
        <v>0.3919655378000958</v>
      </c>
      <c r="BU162" s="1303"/>
      <c r="BV162" s="1303"/>
      <c r="BW162" s="1303"/>
      <c r="BX162" s="1338"/>
      <c r="BY162" s="1339"/>
      <c r="BZ162" s="1303"/>
      <c r="CA162" s="1303"/>
      <c r="CB162" s="1303"/>
      <c r="CC162" s="1772"/>
      <c r="CD162" s="1339"/>
      <c r="CE162" s="1217"/>
      <c r="CF162" s="1217"/>
      <c r="CG162" s="1217"/>
      <c r="CH162" s="1772"/>
      <c r="CI162" s="1162"/>
      <c r="CJ162" s="860"/>
      <c r="CK162" s="1233"/>
      <c r="CL162" s="860"/>
      <c r="CM162" s="860"/>
      <c r="CN162" s="860"/>
      <c r="CO162" s="1232"/>
      <c r="CP162" s="1233"/>
      <c r="CQ162" s="860"/>
      <c r="CR162" s="860"/>
      <c r="CS162" s="860"/>
      <c r="CT162" s="1232"/>
      <c r="CU162" s="1233"/>
      <c r="CV162" s="860"/>
      <c r="CW162" s="860"/>
      <c r="CX162" s="860"/>
      <c r="CY162" s="1232"/>
      <c r="CZ162" s="1233"/>
      <c r="DA162" s="860"/>
      <c r="DB162" s="860"/>
      <c r="DC162" s="860"/>
      <c r="DD162" s="1232"/>
      <c r="DE162" s="1233"/>
      <c r="DF162" s="860"/>
      <c r="DG162" s="860"/>
      <c r="DH162" s="860"/>
      <c r="DI162" s="1232"/>
      <c r="DJ162" s="1233"/>
      <c r="DK162" s="860"/>
      <c r="DL162" s="860"/>
      <c r="DM162" s="860"/>
      <c r="DN162" s="1232"/>
      <c r="DO162" s="1233"/>
      <c r="DP162" s="860"/>
      <c r="DQ162" s="860"/>
      <c r="DR162" s="860"/>
      <c r="DS162" s="1232"/>
      <c r="DT162" s="1233"/>
      <c r="DU162" s="860"/>
      <c r="DV162" s="860"/>
      <c r="DW162" s="860"/>
      <c r="DX162" s="1232"/>
      <c r="DY162" s="1233"/>
      <c r="DZ162" s="860"/>
      <c r="EA162" s="860"/>
      <c r="EB162" s="860"/>
      <c r="EC162" s="1232"/>
      <c r="ED162" s="860"/>
      <c r="EE162" s="860"/>
      <c r="EF162" s="860"/>
      <c r="EG162" s="860"/>
      <c r="EH162" s="860"/>
      <c r="EI162" s="1233"/>
      <c r="EJ162" s="860"/>
      <c r="EK162" s="860"/>
      <c r="EL162" s="860"/>
      <c r="EM162" s="1232"/>
      <c r="EN162" s="1233"/>
      <c r="EO162" s="860"/>
      <c r="EP162" s="860"/>
      <c r="EQ162" s="860"/>
      <c r="ER162" s="1232"/>
      <c r="ES162" s="860"/>
      <c r="ET162" s="860"/>
      <c r="EU162" s="860"/>
      <c r="EV162" s="860"/>
      <c r="EW162" s="1232"/>
      <c r="EX162" s="1233"/>
      <c r="EY162" s="860"/>
      <c r="EZ162" s="860"/>
      <c r="FA162" s="860"/>
      <c r="FB162" s="1754"/>
      <c r="FC162" s="1233"/>
      <c r="FD162" s="860"/>
      <c r="FE162" s="860"/>
      <c r="FF162" s="860"/>
      <c r="FG162" s="860"/>
      <c r="FH162" s="860"/>
      <c r="FI162" s="860"/>
      <c r="FJ162" s="860"/>
      <c r="FY162" s="860"/>
      <c r="FZ162" s="860"/>
      <c r="GA162" s="860"/>
      <c r="GB162" s="860"/>
      <c r="GC162" s="860"/>
      <c r="GD162" s="860"/>
      <c r="GE162" s="860"/>
      <c r="GF162" s="860"/>
      <c r="GG162" s="860"/>
      <c r="GH162" s="860"/>
      <c r="GI162" s="860"/>
      <c r="GJ162" s="860"/>
      <c r="GK162" s="860"/>
      <c r="GL162" s="860"/>
      <c r="GM162" s="860"/>
      <c r="GN162" s="860"/>
      <c r="GO162" s="860"/>
      <c r="GP162" s="860"/>
      <c r="GQ162" s="860"/>
      <c r="GR162" s="1247">
        <v>0.37751460334756315</v>
      </c>
      <c r="GS162" s="1218"/>
      <c r="GT162" s="1247">
        <v>0.3709820398594641</v>
      </c>
      <c r="GU162" s="1218"/>
      <c r="GV162" s="1639">
        <v>0.39594506496601523</v>
      </c>
      <c r="GW162" s="1218"/>
      <c r="GX162" s="1218"/>
      <c r="GY162" s="1639">
        <v>0.38589211618257263</v>
      </c>
      <c r="GZ162" s="1218"/>
      <c r="HA162" s="1218"/>
      <c r="HB162" s="1639"/>
      <c r="HC162" s="1218"/>
      <c r="HD162" s="2000"/>
      <c r="HE162" s="1639"/>
      <c r="HF162" s="1218"/>
      <c r="HG162" s="2000"/>
      <c r="HH162" s="1241"/>
      <c r="HI162" s="1639"/>
      <c r="HJ162" s="1218"/>
      <c r="HK162" s="2000"/>
      <c r="HL162" s="1639"/>
      <c r="HM162" s="1218"/>
      <c r="HN162" s="2000"/>
      <c r="HO162" s="1639"/>
      <c r="HP162" s="1218"/>
      <c r="HQ162" s="2000"/>
      <c r="HR162" s="1247"/>
    </row>
    <row r="163" spans="1:226" collapsed="1">
      <c r="A163" s="1290"/>
      <c r="B163" s="1233"/>
      <c r="C163" s="860"/>
      <c r="D163" s="860"/>
      <c r="E163" s="860"/>
      <c r="F163" s="1232"/>
      <c r="G163" s="1233"/>
      <c r="H163" s="860"/>
      <c r="I163" s="860"/>
      <c r="J163" s="860"/>
      <c r="K163" s="1232"/>
      <c r="L163" s="1233"/>
      <c r="M163" s="860"/>
      <c r="N163" s="860"/>
      <c r="O163" s="860"/>
      <c r="P163" s="1232"/>
      <c r="Q163" s="1233"/>
      <c r="R163" s="860"/>
      <c r="S163" s="860"/>
      <c r="T163" s="860"/>
      <c r="U163" s="1232"/>
      <c r="V163" s="1233"/>
      <c r="W163" s="860"/>
      <c r="X163" s="860"/>
      <c r="Y163" s="860"/>
      <c r="Z163" s="1261"/>
      <c r="AA163" s="1242"/>
      <c r="AB163" s="1162"/>
      <c r="AC163" s="1162"/>
      <c r="AD163" s="1217"/>
      <c r="AE163" s="1261"/>
      <c r="AF163" s="1242"/>
      <c r="AG163" s="1162"/>
      <c r="AH163" s="1162"/>
      <c r="AI163" s="1162"/>
      <c r="AJ163" s="1261"/>
      <c r="AK163" s="1242"/>
      <c r="AL163" s="1162"/>
      <c r="AM163" s="1162"/>
      <c r="AN163" s="1162"/>
      <c r="AO163" s="1261"/>
      <c r="AP163" s="1242"/>
      <c r="AQ163" s="1162"/>
      <c r="AR163" s="1162"/>
      <c r="AS163" s="1162"/>
      <c r="AT163" s="1261"/>
      <c r="AU163" s="1242"/>
      <c r="AV163" s="1162"/>
      <c r="AW163" s="1162"/>
      <c r="AX163" s="1162"/>
      <c r="AY163" s="1261"/>
      <c r="AZ163" s="1242"/>
      <c r="BA163" s="1162"/>
      <c r="BB163" s="1162"/>
      <c r="BC163" s="1162"/>
      <c r="BD163" s="1261"/>
      <c r="BE163" s="1242"/>
      <c r="BF163" s="1162"/>
      <c r="BG163" s="1162"/>
      <c r="BH163" s="1162"/>
      <c r="BI163" s="1261"/>
      <c r="BJ163" s="1242"/>
      <c r="BK163" s="1162"/>
      <c r="BL163" s="1162"/>
      <c r="BM163" s="1162"/>
      <c r="BN163" s="1261"/>
      <c r="BO163" s="1242"/>
      <c r="BP163" s="1162"/>
      <c r="BQ163" s="1162"/>
      <c r="BR163" s="1162"/>
      <c r="BS163" s="1261"/>
      <c r="BT163" s="1242"/>
      <c r="BU163" s="1162"/>
      <c r="BV163" s="1162"/>
      <c r="BW163" s="1162"/>
      <c r="BX163" s="1261"/>
      <c r="BY163" s="1242"/>
      <c r="BZ163" s="1162"/>
      <c r="CA163" s="1162"/>
      <c r="CB163" s="1162"/>
      <c r="CC163" s="1757"/>
      <c r="CD163" s="1242"/>
      <c r="CE163" s="1162"/>
      <c r="CF163" s="1162"/>
      <c r="CG163" s="1162"/>
      <c r="CH163" s="1757"/>
      <c r="CI163" s="1162"/>
      <c r="CJ163" s="860"/>
      <c r="CK163" s="1233"/>
      <c r="CL163" s="860"/>
      <c r="CM163" s="860"/>
      <c r="CN163" s="860"/>
      <c r="CO163" s="1232"/>
      <c r="CP163" s="1233"/>
      <c r="CQ163" s="860"/>
      <c r="CR163" s="860"/>
      <c r="CS163" s="860"/>
      <c r="CT163" s="1232"/>
      <c r="CU163" s="1233"/>
      <c r="CV163" s="860"/>
      <c r="CW163" s="860"/>
      <c r="CX163" s="860"/>
      <c r="CY163" s="1232"/>
      <c r="CZ163" s="1233"/>
      <c r="DA163" s="860"/>
      <c r="DB163" s="860"/>
      <c r="DC163" s="860"/>
      <c r="DD163" s="1232"/>
      <c r="DE163" s="1233"/>
      <c r="DF163" s="860"/>
      <c r="DG163" s="860"/>
      <c r="DH163" s="860"/>
      <c r="DI163" s="1232"/>
      <c r="DJ163" s="1233"/>
      <c r="DK163" s="860"/>
      <c r="DL163" s="860"/>
      <c r="DM163" s="860"/>
      <c r="DN163" s="1232"/>
      <c r="DO163" s="1233"/>
      <c r="DP163" s="860"/>
      <c r="DQ163" s="860"/>
      <c r="DR163" s="860"/>
      <c r="DS163" s="1232"/>
      <c r="DT163" s="1233"/>
      <c r="DU163" s="860"/>
      <c r="DV163" s="860"/>
      <c r="DW163" s="860"/>
      <c r="DX163" s="1232"/>
      <c r="DY163" s="1233"/>
      <c r="DZ163" s="860"/>
      <c r="EA163" s="860"/>
      <c r="EB163" s="860"/>
      <c r="EC163" s="1232"/>
      <c r="ED163" s="860"/>
      <c r="EE163" s="860"/>
      <c r="EF163" s="860"/>
      <c r="EG163" s="860"/>
      <c r="EH163" s="860"/>
      <c r="EI163" s="1233"/>
      <c r="EJ163" s="860"/>
      <c r="EK163" s="860"/>
      <c r="EL163" s="860"/>
      <c r="EM163" s="1232"/>
      <c r="EN163" s="1233"/>
      <c r="EO163" s="860"/>
      <c r="EP163" s="860"/>
      <c r="EQ163" s="860"/>
      <c r="ER163" s="1232"/>
      <c r="ES163" s="860"/>
      <c r="ET163" s="860"/>
      <c r="EU163" s="860"/>
      <c r="EV163" s="860"/>
      <c r="EW163" s="1232"/>
      <c r="EX163" s="1233"/>
      <c r="EY163" s="860"/>
      <c r="EZ163" s="860"/>
      <c r="FA163" s="860"/>
      <c r="FB163" s="1754"/>
      <c r="FC163" s="1233"/>
      <c r="FD163" s="860"/>
      <c r="FE163" s="860"/>
      <c r="FF163" s="860"/>
      <c r="FG163" s="860"/>
      <c r="FH163" s="860"/>
      <c r="FI163" s="860"/>
      <c r="FJ163" s="860"/>
      <c r="FY163" s="860"/>
      <c r="FZ163" s="860"/>
      <c r="GA163" s="860"/>
      <c r="GB163" s="860"/>
      <c r="GC163" s="860"/>
      <c r="GD163" s="860"/>
      <c r="GE163" s="860"/>
      <c r="GF163" s="860"/>
      <c r="GG163" s="860"/>
      <c r="GH163" s="860"/>
      <c r="GI163" s="860"/>
      <c r="GJ163" s="860"/>
      <c r="GK163" s="860"/>
      <c r="GL163" s="860"/>
      <c r="GM163" s="860"/>
      <c r="GN163" s="860"/>
      <c r="GO163" s="860"/>
      <c r="GP163" s="860"/>
      <c r="GQ163" s="860"/>
      <c r="GR163" s="1241"/>
      <c r="GS163" s="1218"/>
      <c r="GT163" s="1241"/>
      <c r="GU163" s="1218"/>
      <c r="GV163" s="1241"/>
      <c r="GW163" s="1218"/>
      <c r="GX163" s="1218"/>
      <c r="GY163" s="1241"/>
      <c r="GZ163" s="1218"/>
      <c r="HA163" s="1218"/>
      <c r="HB163" s="1241"/>
      <c r="HC163" s="1218"/>
      <c r="HD163" s="2000"/>
      <c r="HE163" s="1241"/>
      <c r="HF163" s="1218"/>
      <c r="HG163" s="2000"/>
      <c r="HH163" s="1241"/>
      <c r="HI163" s="1241"/>
      <c r="HJ163" s="1218"/>
      <c r="HK163" s="2000"/>
      <c r="HL163" s="1241"/>
      <c r="HM163" s="1218"/>
      <c r="HN163" s="2000"/>
      <c r="HO163" s="1241"/>
      <c r="HP163" s="1218"/>
      <c r="HQ163" s="2000"/>
      <c r="HR163" s="1241"/>
    </row>
    <row r="164" spans="1:226">
      <c r="A164" s="1304" t="s">
        <v>780</v>
      </c>
      <c r="B164" s="1233"/>
      <c r="C164" s="860"/>
      <c r="D164" s="860"/>
      <c r="E164" s="860"/>
      <c r="F164" s="1232"/>
      <c r="G164" s="1233"/>
      <c r="H164" s="860"/>
      <c r="I164" s="860"/>
      <c r="J164" s="860"/>
      <c r="K164" s="1232"/>
      <c r="L164" s="1233"/>
      <c r="M164" s="860"/>
      <c r="N164" s="860"/>
      <c r="O164" s="860"/>
      <c r="P164" s="1232"/>
      <c r="Q164" s="1233"/>
      <c r="R164" s="860"/>
      <c r="S164" s="860"/>
      <c r="T164" s="860"/>
      <c r="U164" s="1232"/>
      <c r="V164" s="1233"/>
      <c r="W164" s="860"/>
      <c r="X164" s="860"/>
      <c r="Y164" s="860"/>
      <c r="Z164" s="1261"/>
      <c r="AA164" s="1242"/>
      <c r="AB164" s="1162"/>
      <c r="AC164" s="1162"/>
      <c r="AD164" s="1162"/>
      <c r="AE164" s="1261"/>
      <c r="AF164" s="1242">
        <f>AF108/AF14</f>
        <v>0.49450004632886652</v>
      </c>
      <c r="AG164" s="1162">
        <f>AG108/AG14</f>
        <v>0.52632752720421427</v>
      </c>
      <c r="AH164" s="1162">
        <f>AH108/AH14</f>
        <v>0.56865214832254263</v>
      </c>
      <c r="AI164" s="1162">
        <f>AI108/AI14</f>
        <v>0.70988367896838767</v>
      </c>
      <c r="AJ164" s="1261"/>
      <c r="AK164" s="1242"/>
      <c r="AL164" s="1162"/>
      <c r="AM164" s="1162"/>
      <c r="AN164" s="1162"/>
      <c r="AO164" s="1261"/>
      <c r="AP164" s="1242"/>
      <c r="AQ164" s="1162"/>
      <c r="AR164" s="1162"/>
      <c r="AS164" s="1162"/>
      <c r="AT164" s="1261"/>
      <c r="AU164" s="1242"/>
      <c r="AV164" s="1162"/>
      <c r="AW164" s="1162"/>
      <c r="AX164" s="1162"/>
      <c r="AY164" s="1261"/>
      <c r="AZ164" s="1242"/>
      <c r="BA164" s="1162"/>
      <c r="BB164" s="1162"/>
      <c r="BC164" s="1162"/>
      <c r="BD164" s="1261"/>
      <c r="BE164" s="1242"/>
      <c r="BF164" s="1162"/>
      <c r="BG164" s="1162"/>
      <c r="BH164" s="1162"/>
      <c r="BI164" s="1261"/>
      <c r="BJ164" s="1242"/>
      <c r="BK164" s="1162"/>
      <c r="BL164" s="1162"/>
      <c r="BM164" s="1162"/>
      <c r="BN164" s="1261"/>
      <c r="BO164" s="1336"/>
      <c r="BP164" s="1291"/>
      <c r="BQ164" s="1291"/>
      <c r="BR164" s="1162"/>
      <c r="BS164" s="1261"/>
      <c r="BT164" s="1336"/>
      <c r="BU164" s="1291"/>
      <c r="BV164" s="1291"/>
      <c r="BW164" s="1162"/>
      <c r="BX164" s="1261"/>
      <c r="BY164" s="1336"/>
      <c r="BZ164" s="1291"/>
      <c r="CA164" s="1291"/>
      <c r="CB164" s="1291"/>
      <c r="CC164" s="1757"/>
      <c r="CD164" s="1336"/>
      <c r="CE164" s="1291"/>
      <c r="CF164" s="1291"/>
      <c r="CG164" s="1291"/>
      <c r="CH164" s="1757"/>
      <c r="CI164" s="1162"/>
      <c r="CJ164" s="860"/>
      <c r="CK164" s="1233"/>
      <c r="CL164" s="860"/>
      <c r="CM164" s="860"/>
      <c r="CN164" s="860"/>
      <c r="CO164" s="1232"/>
      <c r="CP164" s="1233"/>
      <c r="CQ164" s="860"/>
      <c r="CR164" s="860"/>
      <c r="CS164" s="860"/>
      <c r="CT164" s="1232"/>
      <c r="CU164" s="1233"/>
      <c r="CV164" s="860"/>
      <c r="CW164" s="860"/>
      <c r="CX164" s="860"/>
      <c r="CY164" s="1232"/>
      <c r="CZ164" s="1233"/>
      <c r="DA164" s="860"/>
      <c r="DB164" s="860"/>
      <c r="DC164" s="860"/>
      <c r="DD164" s="1232"/>
      <c r="DE164" s="1233"/>
      <c r="DF164" s="860"/>
      <c r="DG164" s="860"/>
      <c r="DH164" s="860"/>
      <c r="DI164" s="1232"/>
      <c r="DJ164" s="1233"/>
      <c r="DK164" s="860"/>
      <c r="DL164" s="860"/>
      <c r="DM164" s="860"/>
      <c r="DN164" s="1232"/>
      <c r="DO164" s="1233"/>
      <c r="DP164" s="860"/>
      <c r="DQ164" s="860"/>
      <c r="DR164" s="860"/>
      <c r="DS164" s="1232"/>
      <c r="DT164" s="1233"/>
      <c r="DU164" s="860"/>
      <c r="DV164" s="860"/>
      <c r="DW164" s="860"/>
      <c r="DX164" s="1232"/>
      <c r="DY164" s="1233"/>
      <c r="DZ164" s="860"/>
      <c r="EA164" s="860"/>
      <c r="EB164" s="860"/>
      <c r="EC164" s="1232"/>
      <c r="ED164" s="860"/>
      <c r="EE164" s="860"/>
      <c r="EF164" s="860"/>
      <c r="EG164" s="860"/>
      <c r="EH164" s="860"/>
      <c r="EI164" s="1233"/>
      <c r="EJ164" s="860"/>
      <c r="EK164" s="860"/>
      <c r="EL164" s="860"/>
      <c r="EM164" s="1232"/>
      <c r="EN164" s="1233"/>
      <c r="EO164" s="860"/>
      <c r="EP164" s="860"/>
      <c r="EQ164" s="860"/>
      <c r="ER164" s="1232"/>
      <c r="ES164" s="860"/>
      <c r="ET164" s="860"/>
      <c r="EU164" s="860"/>
      <c r="EV164" s="860"/>
      <c r="EW164" s="1232"/>
      <c r="EX164" s="1233"/>
      <c r="EY164" s="860"/>
      <c r="EZ164" s="860"/>
      <c r="FA164" s="860"/>
      <c r="FB164" s="1754"/>
      <c r="FC164" s="1233"/>
      <c r="FD164" s="860"/>
      <c r="FE164" s="860"/>
      <c r="FF164" s="860"/>
      <c r="FG164" s="860"/>
      <c r="FH164" s="860"/>
      <c r="FI164" s="860"/>
      <c r="FJ164" s="860"/>
      <c r="FK164" s="860"/>
      <c r="FL164" s="860"/>
      <c r="FM164" s="860"/>
      <c r="FN164" s="860"/>
      <c r="FO164" s="860"/>
      <c r="FP164" s="860"/>
      <c r="FQ164" s="860"/>
      <c r="FR164" s="860"/>
      <c r="FS164" s="860"/>
      <c r="FT164" s="860"/>
      <c r="FU164" s="860"/>
      <c r="FV164" s="860"/>
      <c r="FW164" s="860"/>
      <c r="FX164" s="860"/>
      <c r="FY164" s="860"/>
      <c r="FZ164" s="860"/>
      <c r="GA164" s="860"/>
      <c r="GB164" s="860"/>
      <c r="GC164" s="860"/>
      <c r="GD164" s="860"/>
      <c r="GE164" s="860"/>
      <c r="GF164" s="860"/>
      <c r="GG164" s="860"/>
      <c r="GH164" s="860"/>
      <c r="GI164" s="860"/>
      <c r="GJ164" s="860"/>
      <c r="GK164" s="860"/>
      <c r="GL164" s="860"/>
      <c r="GM164" s="860"/>
      <c r="GN164" s="860"/>
      <c r="GO164" s="860"/>
      <c r="GP164" s="860"/>
      <c r="GQ164" s="860"/>
      <c r="GR164" s="1241"/>
      <c r="GS164" s="1218"/>
      <c r="GT164" s="1241"/>
      <c r="GU164" s="1218"/>
      <c r="GV164" s="1241"/>
      <c r="GW164" s="1218"/>
      <c r="GX164" s="1218"/>
      <c r="GY164" s="1241"/>
      <c r="GZ164" s="1218"/>
      <c r="HA164" s="1218"/>
      <c r="HB164" s="1241"/>
      <c r="HC164" s="1218"/>
      <c r="HD164" s="2000"/>
      <c r="HE164" s="1241"/>
      <c r="HF164" s="1218"/>
      <c r="HG164" s="2000"/>
      <c r="HH164" s="1241"/>
      <c r="HI164" s="1299"/>
      <c r="HJ164" s="1218"/>
      <c r="HK164" s="2000"/>
      <c r="HL164" s="1299"/>
      <c r="HM164" s="1218"/>
      <c r="HN164" s="2000"/>
      <c r="HO164" s="1241"/>
      <c r="HP164" s="1218"/>
      <c r="HQ164" s="2000"/>
      <c r="HR164" s="1299"/>
    </row>
    <row r="165" spans="1:226">
      <c r="A165" s="1290" t="s">
        <v>781</v>
      </c>
      <c r="B165" s="1233"/>
      <c r="C165" s="860"/>
      <c r="D165" s="860"/>
      <c r="E165" s="860"/>
      <c r="F165" s="1232"/>
      <c r="G165" s="1233"/>
      <c r="H165" s="860"/>
      <c r="I165" s="860"/>
      <c r="J165" s="860"/>
      <c r="K165" s="1232"/>
      <c r="L165" s="1233"/>
      <c r="M165" s="860"/>
      <c r="N165" s="860"/>
      <c r="O165" s="860"/>
      <c r="P165" s="1232"/>
      <c r="Q165" s="1233"/>
      <c r="R165" s="860"/>
      <c r="S165" s="860"/>
      <c r="T165" s="860"/>
      <c r="U165" s="1232"/>
      <c r="V165" s="1233"/>
      <c r="W165" s="860"/>
      <c r="X165" s="860"/>
      <c r="Y165" s="860"/>
      <c r="Z165" s="1261"/>
      <c r="AA165" s="1242"/>
      <c r="AB165" s="1162"/>
      <c r="AC165" s="1162"/>
      <c r="AD165" s="1162"/>
      <c r="AE165" s="1261"/>
      <c r="AF165" s="1242"/>
      <c r="AG165" s="1162"/>
      <c r="AH165" s="1162"/>
      <c r="AI165" s="1162"/>
      <c r="AJ165" s="1261"/>
      <c r="AK165" s="1242"/>
      <c r="AL165" s="1162"/>
      <c r="AM165" s="1162"/>
      <c r="AN165" s="1162"/>
      <c r="AO165" s="1261"/>
      <c r="AP165" s="1242"/>
      <c r="AQ165" s="1162"/>
      <c r="AR165" s="1162"/>
      <c r="AS165" s="1162"/>
      <c r="AT165" s="1327">
        <f>Master!Q209</f>
        <v>-6723</v>
      </c>
      <c r="AU165" s="1649">
        <v>2500</v>
      </c>
      <c r="AV165" s="1648">
        <v>2500</v>
      </c>
      <c r="AW165" s="1274">
        <f>7535.422-AV165-AU165</f>
        <v>2535.4219999999996</v>
      </c>
      <c r="AX165" s="1274">
        <f>8636.632-AU165-AV165-AW165</f>
        <v>1101.21</v>
      </c>
      <c r="AY165" s="1327"/>
      <c r="AZ165" s="1326">
        <v>3807</v>
      </c>
      <c r="BA165" s="1648">
        <v>1500</v>
      </c>
      <c r="BB165" s="1648">
        <v>1500</v>
      </c>
      <c r="BC165" s="1274">
        <f>-Master!S209-AZ165-BA165-BB165</f>
        <v>1874</v>
      </c>
      <c r="BD165" s="1327"/>
      <c r="BE165" s="1342">
        <v>1200</v>
      </c>
      <c r="BF165" s="1305">
        <f>5345-BE165</f>
        <v>4145</v>
      </c>
      <c r="BG165" s="1305">
        <f>7456.848-SUM(BE165:BF165)</f>
        <v>2111.848</v>
      </c>
      <c r="BH165" s="1305">
        <f>9166.2-BG165-BF165-BE165</f>
        <v>1709.3520000000008</v>
      </c>
      <c r="BI165" s="1232"/>
      <c r="BJ165" s="1387">
        <v>3000</v>
      </c>
      <c r="BK165" s="1388">
        <v>3000</v>
      </c>
      <c r="BL165" s="1388">
        <v>3000</v>
      </c>
      <c r="BM165" s="1298">
        <f>12118-BJ165-BK165-BL165</f>
        <v>3118</v>
      </c>
      <c r="BN165" s="1341"/>
      <c r="BO165" s="1350">
        <v>4185</v>
      </c>
      <c r="BP165" s="1298">
        <f>5844.376-BO165</f>
        <v>1659.3760000000002</v>
      </c>
      <c r="BQ165" s="1298">
        <f>6485.854-BO165-BP165</f>
        <v>641.47800000000007</v>
      </c>
      <c r="BR165" s="1298">
        <f>7014.309-BO165-BP165-BQ165</f>
        <v>528.45499999999993</v>
      </c>
      <c r="BS165" s="1341"/>
      <c r="BT165" s="1350">
        <v>-1511.326</v>
      </c>
      <c r="BU165" s="1298">
        <f>2147.815-BT165</f>
        <v>3659.1410000000001</v>
      </c>
      <c r="BV165" s="1298">
        <f>1608.127-BT165-BU165</f>
        <v>-539.6880000000001</v>
      </c>
      <c r="BW165" s="1298">
        <f>812.216-BT165-BU165-BV165</f>
        <v>-795.91100000000006</v>
      </c>
      <c r="BX165" s="1821"/>
      <c r="BY165" s="1350">
        <v>-1007</v>
      </c>
      <c r="BZ165" s="1298">
        <f>1034.773-BY165</f>
        <v>2041.7729999999999</v>
      </c>
      <c r="CA165" s="1902">
        <f>1686.532-BY165-BZ165</f>
        <v>651.75900000000024</v>
      </c>
      <c r="CB165" s="1770">
        <f>CC165-BY165-BZ165-CA165</f>
        <v>-1662.5320000000002</v>
      </c>
      <c r="CC165" s="1762">
        <f>Master!X209</f>
        <v>24</v>
      </c>
      <c r="CD165" s="1350">
        <v>-1007</v>
      </c>
      <c r="CE165" s="2163"/>
      <c r="CF165" s="2163"/>
      <c r="CG165" s="2163">
        <f ca="1">CH165-CD165-CE165-CF165</f>
        <v>627.77052441911428</v>
      </c>
      <c r="CH165" s="1762">
        <f ca="1">Master!Y209</f>
        <v>-379.22947558088572</v>
      </c>
      <c r="CI165" s="1291"/>
      <c r="CJ165" s="860"/>
      <c r="CK165" s="1233"/>
      <c r="CL165" s="860"/>
      <c r="CM165" s="860"/>
      <c r="CN165" s="860"/>
      <c r="CO165" s="1232"/>
      <c r="CP165" s="1233"/>
      <c r="CQ165" s="860"/>
      <c r="CR165" s="860"/>
      <c r="CS165" s="860"/>
      <c r="CT165" s="1232"/>
      <c r="CU165" s="1233"/>
      <c r="CV165" s="860"/>
      <c r="CW165" s="860"/>
      <c r="CX165" s="860"/>
      <c r="CY165" s="1232"/>
      <c r="CZ165" s="1233"/>
      <c r="DA165" s="860"/>
      <c r="DB165" s="860"/>
      <c r="DC165" s="860"/>
      <c r="DD165" s="1232"/>
      <c r="DE165" s="1233"/>
      <c r="DF165" s="860"/>
      <c r="DG165" s="860"/>
      <c r="DH165" s="860"/>
      <c r="DI165" s="1232"/>
      <c r="DJ165" s="1233"/>
      <c r="DK165" s="860"/>
      <c r="DL165" s="860"/>
      <c r="DM165" s="860"/>
      <c r="DN165" s="1232"/>
      <c r="DO165" s="1233"/>
      <c r="DP165" s="860"/>
      <c r="DQ165" s="860"/>
      <c r="DR165" s="860"/>
      <c r="DS165" s="1232"/>
      <c r="DT165" s="1233"/>
      <c r="DU165" s="860"/>
      <c r="DV165" s="860"/>
      <c r="DW165" s="860"/>
      <c r="DX165" s="1232"/>
      <c r="DY165" s="1233"/>
      <c r="DZ165" s="860"/>
      <c r="EA165" s="860"/>
      <c r="EB165" s="860"/>
      <c r="EC165" s="1232"/>
      <c r="ED165" s="860"/>
      <c r="EE165" s="860"/>
      <c r="EF165" s="860"/>
      <c r="EG165" s="860"/>
      <c r="EH165" s="860"/>
      <c r="EI165" s="1233"/>
      <c r="EJ165" s="860"/>
      <c r="EK165" s="860"/>
      <c r="EL165" s="860"/>
      <c r="EM165" s="1232"/>
      <c r="EN165" s="1233"/>
      <c r="EO165" s="860"/>
      <c r="EP165" s="860"/>
      <c r="EQ165" s="860"/>
      <c r="ER165" s="1232"/>
      <c r="ES165" s="860"/>
      <c r="ET165" s="860"/>
      <c r="EU165" s="860"/>
      <c r="EV165" s="860"/>
      <c r="EW165" s="1232"/>
      <c r="EX165" s="1233"/>
      <c r="EY165" s="860"/>
      <c r="EZ165" s="860"/>
      <c r="FA165" s="860"/>
      <c r="FB165" s="1754"/>
      <c r="FC165" s="1233"/>
      <c r="FD165" s="860"/>
      <c r="FE165" s="860"/>
      <c r="FF165" s="860"/>
      <c r="FG165" s="860"/>
      <c r="FH165" s="860"/>
      <c r="FI165" s="860"/>
      <c r="FJ165" s="860"/>
      <c r="FK165" s="860"/>
      <c r="FL165" s="860"/>
      <c r="FM165" s="860"/>
      <c r="FN165" s="860"/>
      <c r="FO165" s="860"/>
      <c r="FP165" s="860"/>
      <c r="FQ165" s="860"/>
      <c r="FR165" s="860"/>
      <c r="FS165" s="860"/>
      <c r="FT165" s="860"/>
      <c r="FU165" s="860"/>
      <c r="FV165" s="860"/>
      <c r="FW165" s="860"/>
      <c r="FX165" s="860"/>
      <c r="FY165" s="860"/>
      <c r="FZ165" s="860"/>
      <c r="GA165" s="860"/>
      <c r="GB165" s="860"/>
      <c r="GC165" s="860"/>
      <c r="GD165" s="860"/>
      <c r="GE165" s="860"/>
      <c r="GF165" s="860"/>
      <c r="GG165" s="860"/>
      <c r="GH165" s="860"/>
      <c r="GI165" s="860"/>
      <c r="GJ165" s="860"/>
      <c r="GK165" s="860"/>
      <c r="GL165" s="860"/>
      <c r="GM165" s="860"/>
      <c r="GN165" s="860"/>
      <c r="GO165" s="860"/>
      <c r="GP165" s="860"/>
      <c r="GQ165" s="860"/>
      <c r="GR165" s="1279">
        <v>1250</v>
      </c>
      <c r="GS165" s="1218"/>
      <c r="GT165" s="1279">
        <v>1163.0657337657449</v>
      </c>
      <c r="GU165" s="1218"/>
      <c r="GV165" s="1299">
        <v>-65</v>
      </c>
      <c r="GW165" s="1218"/>
      <c r="GX165" s="1218"/>
      <c r="GY165" s="1299">
        <v>-700</v>
      </c>
      <c r="GZ165" s="1218"/>
      <c r="HA165" s="1218"/>
      <c r="HB165" s="1299">
        <v>600</v>
      </c>
      <c r="HC165" s="1218"/>
      <c r="HD165" s="2000"/>
      <c r="HE165" s="1299">
        <v>1691.873</v>
      </c>
      <c r="HF165" s="1218"/>
      <c r="HG165" s="2000"/>
      <c r="HH165" s="1279"/>
      <c r="HI165" s="1299"/>
      <c r="HJ165" s="1218"/>
      <c r="HK165" s="2000"/>
      <c r="HL165" s="1299"/>
      <c r="HM165" s="1218"/>
      <c r="HN165" s="2000"/>
      <c r="HO165" s="1299">
        <v>-1662.5320000000002</v>
      </c>
      <c r="HP165" s="1218"/>
      <c r="HQ165" s="2000"/>
      <c r="HR165" s="1299">
        <v>-1007</v>
      </c>
    </row>
    <row r="166" spans="1:226">
      <c r="A166" s="1290"/>
      <c r="B166" s="1233"/>
      <c r="C166" s="860"/>
      <c r="D166" s="860"/>
      <c r="E166" s="860"/>
      <c r="F166" s="1232"/>
      <c r="G166" s="1233"/>
      <c r="H166" s="860"/>
      <c r="I166" s="860"/>
      <c r="J166" s="860"/>
      <c r="K166" s="1232"/>
      <c r="L166" s="1233"/>
      <c r="M166" s="860"/>
      <c r="N166" s="860"/>
      <c r="O166" s="860"/>
      <c r="P166" s="1232"/>
      <c r="Q166" s="1233"/>
      <c r="R166" s="860"/>
      <c r="S166" s="860"/>
      <c r="T166" s="860"/>
      <c r="U166" s="1232"/>
      <c r="V166" s="1233"/>
      <c r="W166" s="860"/>
      <c r="X166" s="860"/>
      <c r="Y166" s="860"/>
      <c r="Z166" s="1261"/>
      <c r="AA166" s="1242"/>
      <c r="AB166" s="1162"/>
      <c r="AC166" s="1162"/>
      <c r="AD166" s="1162"/>
      <c r="AE166" s="1261"/>
      <c r="AF166" s="1242"/>
      <c r="AG166" s="1162"/>
      <c r="AH166" s="1162"/>
      <c r="AI166" s="1162"/>
      <c r="AJ166" s="1261"/>
      <c r="AK166" s="1242"/>
      <c r="AL166" s="1162"/>
      <c r="AM166" s="1162"/>
      <c r="AN166" s="1162"/>
      <c r="AO166" s="1261"/>
      <c r="AP166" s="1242"/>
      <c r="AQ166" s="1162"/>
      <c r="AR166" s="1162"/>
      <c r="AS166" s="1162"/>
      <c r="AT166" s="1327"/>
      <c r="AU166" s="1326"/>
      <c r="AV166" s="1274"/>
      <c r="AW166" s="1274"/>
      <c r="AX166" s="1274"/>
      <c r="AY166" s="1327"/>
      <c r="AZ166" s="1326"/>
      <c r="BA166" s="1274"/>
      <c r="BB166" s="1274"/>
      <c r="BC166" s="1274"/>
      <c r="BD166" s="1327"/>
      <c r="BE166" s="1326"/>
      <c r="BF166" s="1274"/>
      <c r="BG166" s="1274"/>
      <c r="BH166" s="1274"/>
      <c r="BI166" s="1327"/>
      <c r="BJ166" s="1336"/>
      <c r="BK166" s="1291"/>
      <c r="BL166" s="1291"/>
      <c r="BM166" s="1291"/>
      <c r="BN166" s="1341"/>
      <c r="BO166" s="1336"/>
      <c r="BP166" s="1291"/>
      <c r="BQ166" s="1291"/>
      <c r="BR166" s="1291"/>
      <c r="BS166" s="1341"/>
      <c r="BT166" s="1336"/>
      <c r="BU166" s="1291"/>
      <c r="BV166" s="1291"/>
      <c r="BW166" s="1291"/>
      <c r="BX166" s="1341"/>
      <c r="BY166" s="1336"/>
      <c r="BZ166" s="1291"/>
      <c r="CA166" s="1291"/>
      <c r="CB166" s="1770"/>
      <c r="CC166" s="1762"/>
      <c r="CD166" s="1336"/>
      <c r="CE166" s="1291"/>
      <c r="CF166" s="1291"/>
      <c r="CG166" s="1291"/>
      <c r="CH166" s="1762"/>
      <c r="CI166" s="1291"/>
      <c r="CJ166" s="860"/>
      <c r="CK166" s="1233"/>
      <c r="CL166" s="860"/>
      <c r="CM166" s="860"/>
      <c r="CN166" s="860"/>
      <c r="CO166" s="1232"/>
      <c r="CP166" s="1233"/>
      <c r="CQ166" s="860"/>
      <c r="CR166" s="860"/>
      <c r="CS166" s="860"/>
      <c r="CT166" s="1232"/>
      <c r="CU166" s="1233"/>
      <c r="CV166" s="860"/>
      <c r="CW166" s="860"/>
      <c r="CX166" s="860"/>
      <c r="CY166" s="1232"/>
      <c r="CZ166" s="1233"/>
      <c r="DA166" s="860"/>
      <c r="DB166" s="860"/>
      <c r="DC166" s="860"/>
      <c r="DD166" s="1232"/>
      <c r="DE166" s="1233"/>
      <c r="DF166" s="860"/>
      <c r="DG166" s="860"/>
      <c r="DH166" s="860"/>
      <c r="DI166" s="1232"/>
      <c r="DJ166" s="1233"/>
      <c r="DK166" s="860"/>
      <c r="DL166" s="860"/>
      <c r="DM166" s="860"/>
      <c r="DN166" s="1232"/>
      <c r="DO166" s="1233"/>
      <c r="DP166" s="860"/>
      <c r="DQ166" s="860"/>
      <c r="DR166" s="860"/>
      <c r="DS166" s="1232"/>
      <c r="DT166" s="1233"/>
      <c r="DU166" s="860"/>
      <c r="DV166" s="860"/>
      <c r="DW166" s="860"/>
      <c r="DX166" s="1232"/>
      <c r="DY166" s="1233"/>
      <c r="DZ166" s="860"/>
      <c r="EA166" s="860"/>
      <c r="EB166" s="860"/>
      <c r="EC166" s="1232"/>
      <c r="ED166" s="860"/>
      <c r="EE166" s="860"/>
      <c r="EF166" s="860"/>
      <c r="EG166" s="860"/>
      <c r="EH166" s="860"/>
      <c r="EI166" s="1233"/>
      <c r="EJ166" s="860"/>
      <c r="EK166" s="860"/>
      <c r="EL166" s="860"/>
      <c r="EM166" s="1232"/>
      <c r="EN166" s="1233"/>
      <c r="EO166" s="860"/>
      <c r="EP166" s="860"/>
      <c r="EQ166" s="860"/>
      <c r="ER166" s="1232"/>
      <c r="ES166" s="860"/>
      <c r="ET166" s="860"/>
      <c r="EU166" s="860"/>
      <c r="EV166" s="860"/>
      <c r="EW166" s="1232"/>
      <c r="EX166" s="1233"/>
      <c r="EY166" s="860"/>
      <c r="EZ166" s="860"/>
      <c r="FA166" s="860"/>
      <c r="FB166" s="1754"/>
      <c r="FC166" s="1233"/>
      <c r="FD166" s="860"/>
      <c r="FE166" s="860"/>
      <c r="FF166" s="860"/>
      <c r="FG166" s="860"/>
      <c r="FH166" s="860"/>
      <c r="FI166" s="860"/>
      <c r="FJ166" s="860"/>
      <c r="FK166" s="860"/>
      <c r="FL166" s="860"/>
      <c r="FM166" s="860"/>
      <c r="FN166" s="860"/>
      <c r="FO166" s="860"/>
      <c r="FP166" s="860"/>
      <c r="FQ166" s="860"/>
      <c r="FR166" s="860"/>
      <c r="FS166" s="860"/>
      <c r="FT166" s="860"/>
      <c r="FU166" s="860"/>
      <c r="FV166" s="860"/>
      <c r="FW166" s="860"/>
      <c r="FX166" s="860"/>
      <c r="FY166" s="860"/>
      <c r="FZ166" s="860"/>
      <c r="GA166" s="860"/>
      <c r="GB166" s="860"/>
      <c r="GC166" s="860"/>
      <c r="GD166" s="860"/>
      <c r="GE166" s="860"/>
      <c r="GF166" s="860"/>
      <c r="GG166" s="860"/>
      <c r="GH166" s="860"/>
      <c r="GI166" s="860"/>
      <c r="GJ166" s="860"/>
      <c r="GK166" s="860"/>
      <c r="GL166" s="860"/>
      <c r="GM166" s="860"/>
      <c r="GN166" s="860"/>
      <c r="GO166" s="860"/>
      <c r="GP166" s="860"/>
      <c r="GQ166" s="860"/>
      <c r="GR166" s="1279"/>
      <c r="GS166" s="1218"/>
      <c r="GT166" s="1279"/>
      <c r="GU166" s="1218"/>
      <c r="GV166" s="1299"/>
      <c r="GW166" s="1218"/>
      <c r="GX166" s="1218"/>
      <c r="GY166" s="1299"/>
      <c r="GZ166" s="1218"/>
      <c r="HA166" s="1218"/>
      <c r="HB166" s="1299"/>
      <c r="HC166" s="1218"/>
      <c r="HD166" s="2000"/>
      <c r="HE166" s="1299"/>
      <c r="HF166" s="1218"/>
      <c r="HG166" s="2000"/>
      <c r="HH166" s="1279"/>
      <c r="HI166" s="1299"/>
      <c r="HJ166" s="1218"/>
      <c r="HK166" s="2000"/>
      <c r="HL166" s="1299"/>
      <c r="HM166" s="1218"/>
      <c r="HN166" s="2000"/>
      <c r="HO166" s="1299"/>
      <c r="HP166" s="1218"/>
      <c r="HQ166" s="2000"/>
      <c r="HR166" s="1299"/>
    </row>
    <row r="167" spans="1:226">
      <c r="A167" s="1292" t="s">
        <v>154</v>
      </c>
      <c r="B167" s="1669"/>
      <c r="C167" s="1264"/>
      <c r="D167" s="1264"/>
      <c r="E167" s="1264"/>
      <c r="F167" s="1219"/>
      <c r="G167" s="1669"/>
      <c r="H167" s="1264"/>
      <c r="I167" s="1264"/>
      <c r="J167" s="1264"/>
      <c r="K167" s="1219"/>
      <c r="L167" s="1669"/>
      <c r="M167" s="1264"/>
      <c r="N167" s="1264"/>
      <c r="O167" s="1264"/>
      <c r="P167" s="1219"/>
      <c r="Q167" s="1669"/>
      <c r="R167" s="1264"/>
      <c r="S167" s="1264"/>
      <c r="T167" s="1264"/>
      <c r="U167" s="1219"/>
      <c r="V167" s="1669"/>
      <c r="W167" s="1264"/>
      <c r="X167" s="1264"/>
      <c r="Y167" s="1264"/>
      <c r="Z167" s="1345"/>
      <c r="AA167" s="1386">
        <f>AA38-AA107+AA86+AA78+AA79</f>
        <v>526.29000000000019</v>
      </c>
      <c r="AB167" s="1280">
        <f>AB38-AB107+AB86+AB78+AB79</f>
        <v>169.48799999999818</v>
      </c>
      <c r="AC167" s="1280">
        <f>AC38-AC107+AC86+AC78+AC79</f>
        <v>-2506.42</v>
      </c>
      <c r="AD167" s="1280">
        <f>AD38-AD107+AD86+AD78+AD79</f>
        <v>-2894.4709999999991</v>
      </c>
      <c r="AE167" s="1345"/>
      <c r="AF167" s="1386">
        <f>AF38-AF107+AF86+AF78+AF79+AF80</f>
        <v>-1158.2974355384645</v>
      </c>
      <c r="AG167" s="1280">
        <f>AG38-AG107+AG86+AG78+AG79+AG80</f>
        <v>-256.07999999999913</v>
      </c>
      <c r="AH167" s="1280">
        <f>AH38-AH107+AH86+AH78+AH79+AH80</f>
        <v>-1946.7200000000003</v>
      </c>
      <c r="AI167" s="1280">
        <f>AI38-AI107+AI86+AI78+AI79+AI80</f>
        <v>-2888.1000000000013</v>
      </c>
      <c r="AJ167" s="1345"/>
      <c r="AK167" s="1386">
        <f>AK38-AK107+AK86+AK78+AK79+AK80</f>
        <v>1736.0300000000011</v>
      </c>
      <c r="AL167" s="1280">
        <f>AL38-AL107+AL86+AL78+AL79+AL80</f>
        <v>3219.28</v>
      </c>
      <c r="AM167" s="1280">
        <f>AM38-AM107+AM86+AM78+AM79+AM80</f>
        <v>1739.4365907692272</v>
      </c>
      <c r="AN167" s="1280">
        <f>AN38-AN107+AN86+AN78+AN79+AN80</f>
        <v>-249.92800000000392</v>
      </c>
      <c r="AO167" s="1345"/>
      <c r="AP167" s="1386">
        <f>AP38-AP107+AP86+AP78+AP79+AP80</f>
        <v>2734.4367121538453</v>
      </c>
      <c r="AQ167" s="1280">
        <f>AQ38-AQ107+AQ86+AQ78+AQ79+AQ80</f>
        <v>1203.7340000000022</v>
      </c>
      <c r="AR167" s="1280">
        <f>AR38-AR107+AR86+AR78+AR79+AR80</f>
        <v>705.77599999999916</v>
      </c>
      <c r="AS167" s="1280">
        <f>AS38-AS107+AS86+AS78+AS79+AS80</f>
        <v>29.029999999997813</v>
      </c>
      <c r="AT167" s="1345"/>
      <c r="AU167" s="1386">
        <f>AU38-AU107+AU165+AU81</f>
        <v>4632.5102914062518</v>
      </c>
      <c r="AV167" s="1280">
        <f>AV38-AV107+AV165+AV81</f>
        <v>4858.6439999999975</v>
      </c>
      <c r="AW167" s="1280">
        <f>AW38-AW107+AW165+AW81</f>
        <v>4714.7620000000015</v>
      </c>
      <c r="AX167" s="1280">
        <f>AX38-AX107+AX165+AX81</f>
        <v>4882.01</v>
      </c>
      <c r="AY167" s="1345"/>
      <c r="AZ167" s="1386">
        <f>AZ38-AZ107-AZ165+AZ81</f>
        <v>-8871.2293870769172</v>
      </c>
      <c r="BA167" s="1280">
        <f>BA38-BA107-BA165+BA81</f>
        <v>1759.0327526153856</v>
      </c>
      <c r="BB167" s="1280">
        <f>BB38-BB107-BB165+BB81</f>
        <v>3149.2296742424223</v>
      </c>
      <c r="BC167" s="1280">
        <f>BC38-BC107-BC165+BC81</f>
        <v>3316.1211245454501</v>
      </c>
      <c r="BD167" s="1345"/>
      <c r="BE167" s="1386">
        <f>BE38-BE107-BE165+BE78</f>
        <v>-387.61567031250024</v>
      </c>
      <c r="BF167" s="1280">
        <f>BF38-BF107-BF165+BF78</f>
        <v>-2749.0338624615374</v>
      </c>
      <c r="BG167" s="1280">
        <f>BG38-BG107-BG165+BG78</f>
        <v>-1471.0017030303056</v>
      </c>
      <c r="BH167" s="1280">
        <f>BH38-BH107-BH165+BH78</f>
        <v>6614.3184277272721</v>
      </c>
      <c r="BI167" s="1345"/>
      <c r="BJ167" s="1389">
        <f>BJ38-BJ107-BJ165+BJ78</f>
        <v>-3777.90714030769</v>
      </c>
      <c r="BK167" s="1390">
        <f>BK38-BK107-BK165+BK78</f>
        <v>-3283.3390636923064</v>
      </c>
      <c r="BL167" s="1390">
        <f>BL38-BL107-BL165+BL78</f>
        <v>-2970.4803269696986</v>
      </c>
      <c r="BM167" s="1390">
        <f>BM38-BM107-BM165+BM78</f>
        <v>-3233.1878400000001</v>
      </c>
      <c r="BN167" s="1391"/>
      <c r="BO167" s="1390">
        <f>BO38-BO107-BO165+BO78+BO79</f>
        <v>-2834.6600000000003</v>
      </c>
      <c r="BP167" s="1390">
        <f>BP38-BP107-BP165+BP78+BP79</f>
        <v>-54.490000000002283</v>
      </c>
      <c r="BQ167" s="1390">
        <f>BQ38-BQ107-BQ165+BQ78+BQ79</f>
        <v>889.45999999999981</v>
      </c>
      <c r="BR167" s="1390">
        <f>BR38-BR107-BR165+BR78+BR79</f>
        <v>147.26000000000067</v>
      </c>
      <c r="BS167" s="1391"/>
      <c r="BT167" s="1390">
        <f>BT38-BT107-BT165+BT78+BT79</f>
        <v>6211.2259999999997</v>
      </c>
      <c r="BU167" s="1390">
        <f>BU38-BU107-BU165+BU78+BU79</f>
        <v>-1031.0659999999991</v>
      </c>
      <c r="BV167" s="1390">
        <f>BV38-BV107-BV165+BV78+BV79</f>
        <v>2202.3360000000007</v>
      </c>
      <c r="BW167" s="1622">
        <f>BW38-BW107-BW165+BW78-BW37+BW79</f>
        <v>1815.4430000000011</v>
      </c>
      <c r="BX167" s="1341"/>
      <c r="BY167" s="1390">
        <f>BY38-BY107-BY165+BY78+BY79</f>
        <v>3362.7900000000004</v>
      </c>
      <c r="BZ167" s="1390">
        <f>BZ38-BZ107-BZ165+BZ78+BZ79</f>
        <v>220.06799999999953</v>
      </c>
      <c r="CA167" s="1903">
        <f>CA38-CA107-CA165+CA78+CA79</f>
        <v>13.881000000000768</v>
      </c>
      <c r="CB167" s="1766">
        <f>CB38-CB107-CB165+CB78-CB37</f>
        <v>1024.2919999999999</v>
      </c>
      <c r="CC167" s="1762"/>
      <c r="CD167" s="1390">
        <f>CD38-CD107-CD165+CD78+CD79</f>
        <v>2967.3426999999997</v>
      </c>
      <c r="CE167" s="1390">
        <f t="shared" ref="CE167:CG167" si="251">CE38-CE107-CE165+CE78+CE79</f>
        <v>577.5</v>
      </c>
      <c r="CF167" s="1390">
        <f t="shared" si="251"/>
        <v>901.25</v>
      </c>
      <c r="CG167" s="1390">
        <f t="shared" ca="1" si="251"/>
        <v>-1299.9794061011899</v>
      </c>
      <c r="CH167" s="1762"/>
      <c r="CI167" s="1291"/>
      <c r="CJ167" s="860"/>
      <c r="CK167" s="1233"/>
      <c r="CL167" s="860"/>
      <c r="CM167" s="860"/>
      <c r="CN167" s="860"/>
      <c r="CO167" s="1232"/>
      <c r="CP167" s="1233"/>
      <c r="CQ167" s="860"/>
      <c r="CR167" s="860"/>
      <c r="CS167" s="860"/>
      <c r="CT167" s="1232"/>
      <c r="CU167" s="1233"/>
      <c r="CV167" s="860"/>
      <c r="CW167" s="860"/>
      <c r="CX167" s="860"/>
      <c r="CY167" s="1232"/>
      <c r="CZ167" s="1233"/>
      <c r="DA167" s="860"/>
      <c r="DB167" s="860"/>
      <c r="DC167" s="860"/>
      <c r="DD167" s="1232"/>
      <c r="DE167" s="1233"/>
      <c r="DF167" s="860"/>
      <c r="DG167" s="860"/>
      <c r="DH167" s="860"/>
      <c r="DI167" s="1232"/>
      <c r="DJ167" s="1233"/>
      <c r="DK167" s="860"/>
      <c r="DL167" s="860"/>
      <c r="DM167" s="860"/>
      <c r="DN167" s="1232"/>
      <c r="DO167" s="1233"/>
      <c r="DP167" s="860"/>
      <c r="DQ167" s="860"/>
      <c r="DR167" s="860"/>
      <c r="DS167" s="1232"/>
      <c r="DT167" s="1233"/>
      <c r="DU167" s="860"/>
      <c r="DV167" s="860"/>
      <c r="DW167" s="860"/>
      <c r="DX167" s="1232"/>
      <c r="DY167" s="1233"/>
      <c r="DZ167" s="860"/>
      <c r="EA167" s="860"/>
      <c r="EB167" s="860"/>
      <c r="EC167" s="1232"/>
      <c r="ED167" s="860"/>
      <c r="EE167" s="860"/>
      <c r="EF167" s="860"/>
      <c r="EG167" s="860"/>
      <c r="EH167" s="860"/>
      <c r="EI167" s="1336"/>
      <c r="EJ167" s="1291"/>
      <c r="EK167" s="1291"/>
      <c r="EL167" s="860"/>
      <c r="EM167" s="1232"/>
      <c r="EN167" s="1233"/>
      <c r="EO167" s="860"/>
      <c r="EP167" s="860"/>
      <c r="EQ167" s="860"/>
      <c r="ER167" s="1232"/>
      <c r="ES167" s="860"/>
      <c r="ET167" s="860"/>
      <c r="EU167" s="860"/>
      <c r="EV167" s="860"/>
      <c r="EW167" s="1232"/>
      <c r="EX167" s="1233"/>
      <c r="EY167" s="860"/>
      <c r="EZ167" s="860"/>
      <c r="FA167" s="860"/>
      <c r="FB167" s="1754"/>
      <c r="FC167" s="1233"/>
      <c r="FD167" s="860"/>
      <c r="FE167" s="860"/>
      <c r="FF167" s="860"/>
      <c r="FG167" s="860"/>
      <c r="FH167" s="860"/>
      <c r="FI167" s="860"/>
      <c r="FJ167" s="860"/>
      <c r="FK167" s="860"/>
      <c r="FL167" s="860"/>
      <c r="FM167" s="860"/>
      <c r="FN167" s="860"/>
      <c r="FO167" s="860"/>
      <c r="FP167" s="860"/>
      <c r="FQ167" s="860"/>
      <c r="FR167" s="860"/>
      <c r="FS167" s="860"/>
      <c r="FT167" s="860"/>
      <c r="FU167" s="860"/>
      <c r="FV167" s="860"/>
      <c r="FW167" s="860"/>
      <c r="FX167" s="860"/>
      <c r="FY167" s="860"/>
      <c r="FZ167" s="860"/>
      <c r="GA167" s="860"/>
      <c r="GB167" s="860"/>
      <c r="GC167" s="860"/>
      <c r="GD167" s="860"/>
      <c r="GE167" s="860"/>
      <c r="GF167" s="860"/>
      <c r="GG167" s="860"/>
      <c r="GH167" s="860"/>
      <c r="GI167" s="860"/>
      <c r="GJ167" s="860"/>
      <c r="GK167" s="860"/>
      <c r="GL167" s="860"/>
      <c r="GM167" s="860"/>
      <c r="GN167" s="860"/>
      <c r="GO167" s="860"/>
      <c r="GP167" s="860"/>
      <c r="GQ167" s="860"/>
      <c r="GR167" s="1279">
        <v>-581.35999999999967</v>
      </c>
      <c r="GS167" s="1218"/>
      <c r="GT167" s="1279">
        <v>-1899.7392190421849</v>
      </c>
      <c r="GU167" s="1218"/>
      <c r="GV167" s="1636">
        <v>708.54900000000089</v>
      </c>
      <c r="GW167" s="1218"/>
      <c r="GX167" s="1218"/>
      <c r="GY167" s="1636">
        <v>235.47784614338707</v>
      </c>
      <c r="GZ167" s="1218"/>
      <c r="HA167" s="1218"/>
      <c r="HB167" s="1636">
        <v>-399.80000000000018</v>
      </c>
      <c r="HC167" s="1218"/>
      <c r="HD167" s="2000"/>
      <c r="HE167" s="1636">
        <v>-4591.4801554913056</v>
      </c>
      <c r="HF167" s="1218"/>
      <c r="HG167" s="2000"/>
      <c r="HH167" s="1241"/>
      <c r="HI167" s="1636">
        <v>529.09500000000071</v>
      </c>
      <c r="HJ167" s="1218"/>
      <c r="HK167" s="2000"/>
      <c r="HL167" s="1636">
        <v>777.58700000000044</v>
      </c>
      <c r="HM167" s="1218"/>
      <c r="HN167" s="2000"/>
      <c r="HO167" s="1636">
        <v>1344.9725754683568</v>
      </c>
      <c r="HP167" s="1218"/>
      <c r="HQ167" s="2000"/>
      <c r="HR167" s="1636">
        <v>2967.3426999999997</v>
      </c>
    </row>
    <row r="168" spans="1:226">
      <c r="A168" s="1290" t="s">
        <v>782</v>
      </c>
      <c r="B168" s="1233"/>
      <c r="C168" s="860"/>
      <c r="D168" s="860"/>
      <c r="E168" s="860"/>
      <c r="F168" s="1232"/>
      <c r="G168" s="1233"/>
      <c r="H168" s="860"/>
      <c r="I168" s="860"/>
      <c r="J168" s="860"/>
      <c r="K168" s="1232"/>
      <c r="L168" s="1233"/>
      <c r="M168" s="860"/>
      <c r="N168" s="860"/>
      <c r="O168" s="860"/>
      <c r="P168" s="1232"/>
      <c r="Q168" s="1233"/>
      <c r="R168" s="860"/>
      <c r="S168" s="860"/>
      <c r="T168" s="860"/>
      <c r="U168" s="1232"/>
      <c r="V168" s="1233"/>
      <c r="W168" s="860"/>
      <c r="X168" s="860"/>
      <c r="Y168" s="860"/>
      <c r="Z168" s="1261"/>
      <c r="AA168" s="1326"/>
      <c r="AB168" s="1274"/>
      <c r="AC168" s="1274"/>
      <c r="AD168" s="1274"/>
      <c r="AE168" s="1261"/>
      <c r="AF168" s="1326"/>
      <c r="AG168" s="1274"/>
      <c r="AH168" s="1274"/>
      <c r="AI168" s="1274"/>
      <c r="AJ168" s="1261"/>
      <c r="AK168" s="1326"/>
      <c r="AL168" s="1274"/>
      <c r="AM168" s="1274"/>
      <c r="AN168" s="1274"/>
      <c r="AO168" s="1261"/>
      <c r="AP168" s="1326"/>
      <c r="AQ168" s="1274"/>
      <c r="AR168" s="1274"/>
      <c r="AS168" s="1274"/>
      <c r="AT168" s="1261"/>
      <c r="AU168" s="1326"/>
      <c r="AV168" s="1274"/>
      <c r="AW168" s="1274"/>
      <c r="AX168" s="1274"/>
      <c r="AY168" s="1261"/>
      <c r="AZ168" s="1326"/>
      <c r="BA168" s="1274"/>
      <c r="BB168" s="1274"/>
      <c r="BC168" s="1274"/>
      <c r="BD168" s="1261"/>
      <c r="BE168" s="1326">
        <v>186</v>
      </c>
      <c r="BF168" s="1274">
        <f>378-BE168</f>
        <v>192</v>
      </c>
      <c r="BG168" s="1274">
        <f>581.148-SUM(BE168:BF168)</f>
        <v>203.14800000000002</v>
      </c>
      <c r="BH168" s="1274">
        <f>1082.226-BE168-BF168-BG168</f>
        <v>501.07800000000009</v>
      </c>
      <c r="BI168" s="1232"/>
      <c r="BJ168" s="1336">
        <f>(169.57)</f>
        <v>169.57</v>
      </c>
      <c r="BK168" s="1388">
        <v>170</v>
      </c>
      <c r="BL168" s="1388">
        <v>170</v>
      </c>
      <c r="BM168" s="1291">
        <f>Master!U247-BJ168-BK168-BL168</f>
        <v>189.43000000000006</v>
      </c>
      <c r="BN168" s="1341"/>
      <c r="BO168" s="1350">
        <f>174+255.639</f>
        <v>429.63900000000001</v>
      </c>
      <c r="BP168" s="1298">
        <f>328-BO168</f>
        <v>-101.63900000000001</v>
      </c>
      <c r="BQ168" s="1298">
        <f>499.378+842.196-BO168-BP168</f>
        <v>1013.5740000000001</v>
      </c>
      <c r="BR168" s="1298">
        <f>660.645+1132.957-BO168-BP168-BQ168</f>
        <v>452.02800000000025</v>
      </c>
      <c r="BS168" s="1341"/>
      <c r="BT168" s="1350">
        <f>145.751+218.134</f>
        <v>363.88499999999999</v>
      </c>
      <c r="BU168" s="1298">
        <f>328.241-BT168</f>
        <v>-35.644000000000005</v>
      </c>
      <c r="BV168" s="1298">
        <f>504.241+642.804-BT168-BU168</f>
        <v>818.80400000000009</v>
      </c>
      <c r="BW168" s="1298">
        <f>698.571+868.729-BT168-BU168-BV168</f>
        <v>420.25500000000011</v>
      </c>
      <c r="BX168" s="1341"/>
      <c r="BY168" s="1350">
        <f>175.113+210.487</f>
        <v>385.6</v>
      </c>
      <c r="BZ168" s="1298">
        <f>365-BY168</f>
        <v>-20.600000000000023</v>
      </c>
      <c r="CA168" s="1902">
        <f>545.5+679.553-BY168-BZ168</f>
        <v>860.05299999999988</v>
      </c>
      <c r="CB168" s="1770"/>
      <c r="CC168" s="1762"/>
      <c r="CD168" s="1350">
        <f>175.113+210.487</f>
        <v>385.6</v>
      </c>
      <c r="CE168" s="1298"/>
      <c r="CF168" s="1298"/>
      <c r="CG168" s="1298"/>
      <c r="CH168" s="1762"/>
      <c r="CI168" s="1291"/>
      <c r="CJ168" s="860"/>
      <c r="CK168" s="1233"/>
      <c r="CL168" s="860"/>
      <c r="CM168" s="860"/>
      <c r="CN168" s="860"/>
      <c r="CO168" s="1232"/>
      <c r="CP168" s="1233"/>
      <c r="CQ168" s="860"/>
      <c r="CR168" s="860"/>
      <c r="CS168" s="860"/>
      <c r="CT168" s="1232"/>
      <c r="CU168" s="1233"/>
      <c r="CV168" s="860"/>
      <c r="CW168" s="860"/>
      <c r="CX168" s="860"/>
      <c r="CY168" s="1232"/>
      <c r="CZ168" s="1233"/>
      <c r="DA168" s="860"/>
      <c r="DB168" s="860"/>
      <c r="DC168" s="860"/>
      <c r="DD168" s="1232"/>
      <c r="DE168" s="1233"/>
      <c r="DF168" s="860"/>
      <c r="DG168" s="860"/>
      <c r="DH168" s="860"/>
      <c r="DI168" s="1232"/>
      <c r="DJ168" s="1233"/>
      <c r="DK168" s="860"/>
      <c r="DL168" s="860"/>
      <c r="DM168" s="860"/>
      <c r="DN168" s="1232"/>
      <c r="DO168" s="1233"/>
      <c r="DP168" s="860"/>
      <c r="DQ168" s="860"/>
      <c r="DR168" s="860"/>
      <c r="DS168" s="1232"/>
      <c r="DT168" s="1233"/>
      <c r="DU168" s="860"/>
      <c r="DV168" s="860"/>
      <c r="DW168" s="860"/>
      <c r="DX168" s="1232"/>
      <c r="DY168" s="1233"/>
      <c r="DZ168" s="860"/>
      <c r="EA168" s="860"/>
      <c r="EB168" s="860"/>
      <c r="EC168" s="1232"/>
      <c r="ED168" s="860"/>
      <c r="EE168" s="860"/>
      <c r="EF168" s="860"/>
      <c r="EG168" s="860"/>
      <c r="EH168" s="860"/>
      <c r="EI168" s="1233"/>
      <c r="EJ168" s="860"/>
      <c r="EK168" s="860"/>
      <c r="EL168" s="860"/>
      <c r="EM168" s="1232"/>
      <c r="EN168" s="1233"/>
      <c r="EO168" s="860"/>
      <c r="EP168" s="860"/>
      <c r="EQ168" s="860"/>
      <c r="ER168" s="1232"/>
      <c r="ES168" s="860"/>
      <c r="ET168" s="860"/>
      <c r="EU168" s="860"/>
      <c r="EV168" s="860"/>
      <c r="EW168" s="1232"/>
      <c r="EX168" s="1233"/>
      <c r="EY168" s="860"/>
      <c r="EZ168" s="860"/>
      <c r="FA168" s="860"/>
      <c r="FB168" s="1754"/>
      <c r="FC168" s="1233"/>
      <c r="FD168" s="860"/>
      <c r="FE168" s="860"/>
      <c r="FF168" s="860"/>
      <c r="FG168" s="860"/>
      <c r="FH168" s="860"/>
      <c r="FI168" s="860"/>
      <c r="FJ168" s="860"/>
      <c r="FK168" s="860"/>
      <c r="FL168" s="860"/>
      <c r="FM168" s="860"/>
      <c r="FN168" s="860"/>
      <c r="FO168" s="860"/>
      <c r="FP168" s="860"/>
      <c r="FQ168" s="860"/>
      <c r="FR168" s="860"/>
      <c r="FS168" s="860"/>
      <c r="FT168" s="860"/>
      <c r="FU168" s="860"/>
      <c r="FV168" s="860"/>
      <c r="FW168" s="860"/>
      <c r="FX168" s="860"/>
      <c r="FY168" s="860"/>
      <c r="FZ168" s="860"/>
      <c r="GA168" s="860"/>
      <c r="GB168" s="860"/>
      <c r="GC168" s="860"/>
      <c r="GD168" s="860"/>
      <c r="GE168" s="860"/>
      <c r="GF168" s="860"/>
      <c r="GG168" s="860"/>
      <c r="GH168" s="860"/>
      <c r="GI168" s="860"/>
      <c r="GJ168" s="860"/>
      <c r="GK168" s="860"/>
      <c r="GL168" s="860"/>
      <c r="GM168" s="860"/>
      <c r="GN168" s="860"/>
      <c r="GO168" s="860"/>
      <c r="GP168" s="860"/>
      <c r="GQ168" s="860"/>
      <c r="GR168" s="1279">
        <v>170</v>
      </c>
      <c r="GS168" s="1218"/>
      <c r="GT168" s="1279">
        <v>158.47000000000003</v>
      </c>
      <c r="GU168" s="1218"/>
      <c r="GV168" s="1299">
        <v>350</v>
      </c>
      <c r="GW168" s="1218"/>
      <c r="GX168" s="1218"/>
      <c r="GY168" s="1299">
        <v>340</v>
      </c>
      <c r="GZ168" s="1218"/>
      <c r="HA168" s="1218"/>
      <c r="HB168" s="1299">
        <v>340</v>
      </c>
      <c r="HC168" s="1218"/>
      <c r="HD168" s="2000"/>
      <c r="HE168" s="1299">
        <v>238.30705999999986</v>
      </c>
      <c r="HF168" s="1218"/>
      <c r="HG168" s="2000"/>
      <c r="HH168" s="1241"/>
      <c r="HI168" s="1299"/>
      <c r="HJ168" s="1218"/>
      <c r="HK168" s="2000"/>
      <c r="HL168" s="1299"/>
      <c r="HM168" s="1218"/>
      <c r="HN168" s="2000"/>
      <c r="HO168" s="1299"/>
      <c r="HP168" s="1218"/>
      <c r="HQ168" s="2000"/>
      <c r="HR168" s="1299">
        <v>385.6</v>
      </c>
    </row>
    <row r="169" spans="1:226">
      <c r="A169" s="1290" t="s">
        <v>783</v>
      </c>
      <c r="B169" s="1233"/>
      <c r="C169" s="860"/>
      <c r="D169" s="860"/>
      <c r="E169" s="860"/>
      <c r="F169" s="1232"/>
      <c r="G169" s="1233"/>
      <c r="H169" s="860"/>
      <c r="I169" s="860"/>
      <c r="J169" s="860"/>
      <c r="K169" s="1232"/>
      <c r="L169" s="1233"/>
      <c r="M169" s="860"/>
      <c r="N169" s="860"/>
      <c r="O169" s="860"/>
      <c r="P169" s="1232"/>
      <c r="Q169" s="1233"/>
      <c r="R169" s="860"/>
      <c r="S169" s="860"/>
      <c r="T169" s="860"/>
      <c r="U169" s="1232"/>
      <c r="V169" s="1233"/>
      <c r="W169" s="860"/>
      <c r="X169" s="860"/>
      <c r="Y169" s="860"/>
      <c r="Z169" s="1261"/>
      <c r="AA169" s="1326"/>
      <c r="AB169" s="1274"/>
      <c r="AC169" s="1274"/>
      <c r="AD169" s="1274"/>
      <c r="AE169" s="1261"/>
      <c r="AF169" s="1326"/>
      <c r="AG169" s="1274"/>
      <c r="AH169" s="1274"/>
      <c r="AI169" s="1274"/>
      <c r="AJ169" s="1261"/>
      <c r="AK169" s="1326"/>
      <c r="AL169" s="1274"/>
      <c r="AM169" s="1274"/>
      <c r="AN169" s="1274"/>
      <c r="AO169" s="1261"/>
      <c r="AP169" s="1326"/>
      <c r="AQ169" s="1274"/>
      <c r="AR169" s="1274"/>
      <c r="AS169" s="1274"/>
      <c r="AT169" s="1261"/>
      <c r="AU169" s="1649">
        <v>750</v>
      </c>
      <c r="AV169" s="1648">
        <v>750</v>
      </c>
      <c r="AW169" s="1274">
        <f>2130-AU169-AV169</f>
        <v>630</v>
      </c>
      <c r="AX169" s="1274">
        <f>2094-AU169-AV169-AW169</f>
        <v>-36</v>
      </c>
      <c r="AY169" s="1261"/>
      <c r="AZ169" s="1649">
        <v>325</v>
      </c>
      <c r="BA169" s="1648">
        <v>325</v>
      </c>
      <c r="BB169" s="1648">
        <v>325</v>
      </c>
      <c r="BC169" s="1274">
        <f>-Master!S215-AZ169-BA169-BB169</f>
        <v>260</v>
      </c>
      <c r="BD169" s="1261"/>
      <c r="BE169" s="1326">
        <v>486</v>
      </c>
      <c r="BF169" s="1274">
        <f>937.6-BE169</f>
        <v>451.6</v>
      </c>
      <c r="BG169" s="1274">
        <f>1498.2-SUM(BE169:BF169)</f>
        <v>560.6</v>
      </c>
      <c r="BH169" s="1274">
        <f>1899.4-BG169-BF169-BE169</f>
        <v>401.20000000000016</v>
      </c>
      <c r="BI169" s="1232"/>
      <c r="BJ169" s="1336">
        <v>511.2</v>
      </c>
      <c r="BK169" s="1291">
        <f>828.1-BJ169</f>
        <v>316.90000000000003</v>
      </c>
      <c r="BL169" s="1388">
        <v>450</v>
      </c>
      <c r="BM169" s="1291">
        <f>1867-BL169-BK169-BJ169</f>
        <v>588.89999999999986</v>
      </c>
      <c r="BN169" s="1341"/>
      <c r="BO169" s="1350">
        <v>203.8</v>
      </c>
      <c r="BP169" s="1298">
        <f>845.528-BO169</f>
        <v>641.72800000000007</v>
      </c>
      <c r="BQ169" s="1298">
        <f>1433.606-BO169-BP169</f>
        <v>588.07799999999997</v>
      </c>
      <c r="BR169" s="1291">
        <f>-Master!V215-BO169-BP169-BQ169</f>
        <v>436.10100000000011</v>
      </c>
      <c r="BS169" s="1341"/>
      <c r="BT169" s="1350">
        <v>379.9</v>
      </c>
      <c r="BU169" s="1298">
        <f>847.9-BT169</f>
        <v>468</v>
      </c>
      <c r="BV169" s="1298">
        <f>1149.423-BT169-BU169</f>
        <v>301.52300000000002</v>
      </c>
      <c r="BW169" s="1291">
        <f>-Master!W215-BT169-BU169-BV169</f>
        <v>229.43100000000004</v>
      </c>
      <c r="BX169" s="1341"/>
      <c r="BY169" s="1350"/>
      <c r="BZ169" s="1298">
        <f>-548.097-BY169</f>
        <v>-548.09699999999998</v>
      </c>
      <c r="CA169" s="1902">
        <f>785.9-BY169-BZ169</f>
        <v>1333.9969999999998</v>
      </c>
      <c r="CB169" s="1770"/>
      <c r="CC169" s="1762"/>
      <c r="CD169" s="1350"/>
      <c r="CE169" s="1298"/>
      <c r="CF169" s="1298"/>
      <c r="CG169" s="1298"/>
      <c r="CH169" s="1762"/>
      <c r="CI169" s="1291"/>
      <c r="CJ169" s="860"/>
      <c r="CK169" s="1233"/>
      <c r="CL169" s="860"/>
      <c r="CM169" s="860"/>
      <c r="CN169" s="860"/>
      <c r="CO169" s="1232"/>
      <c r="CP169" s="1233"/>
      <c r="CQ169" s="860"/>
      <c r="CR169" s="860"/>
      <c r="CS169" s="860"/>
      <c r="CT169" s="1232"/>
      <c r="CU169" s="1233"/>
      <c r="CV169" s="860"/>
      <c r="CW169" s="860"/>
      <c r="CX169" s="860"/>
      <c r="CY169" s="1232"/>
      <c r="CZ169" s="1233"/>
      <c r="DA169" s="860"/>
      <c r="DB169" s="860"/>
      <c r="DC169" s="860"/>
      <c r="DD169" s="1232"/>
      <c r="DE169" s="1233"/>
      <c r="DF169" s="860"/>
      <c r="DG169" s="860"/>
      <c r="DH169" s="860"/>
      <c r="DI169" s="1232"/>
      <c r="DJ169" s="1233"/>
      <c r="DK169" s="860"/>
      <c r="DL169" s="860"/>
      <c r="DM169" s="860"/>
      <c r="DN169" s="1232"/>
      <c r="DO169" s="1233"/>
      <c r="DP169" s="860"/>
      <c r="DQ169" s="860"/>
      <c r="DR169" s="860"/>
      <c r="DS169" s="1232"/>
      <c r="DT169" s="1233"/>
      <c r="DU169" s="860"/>
      <c r="DV169" s="860"/>
      <c r="DW169" s="860"/>
      <c r="DX169" s="1232"/>
      <c r="DY169" s="1233"/>
      <c r="DZ169" s="860"/>
      <c r="EA169" s="860"/>
      <c r="EB169" s="860"/>
      <c r="EC169" s="1232"/>
      <c r="ED169" s="860"/>
      <c r="EE169" s="860"/>
      <c r="EF169" s="860"/>
      <c r="EG169" s="860"/>
      <c r="EH169" s="860"/>
      <c r="EI169" s="1233"/>
      <c r="EJ169" s="860"/>
      <c r="EK169" s="860"/>
      <c r="EL169" s="860"/>
      <c r="EM169" s="1232"/>
      <c r="EN169" s="1233"/>
      <c r="EO169" s="860"/>
      <c r="EP169" s="860"/>
      <c r="EQ169" s="860"/>
      <c r="ER169" s="1232"/>
      <c r="ES169" s="860"/>
      <c r="ET169" s="860"/>
      <c r="EU169" s="860"/>
      <c r="EV169" s="860"/>
      <c r="EW169" s="1232"/>
      <c r="EX169" s="1233"/>
      <c r="EY169" s="860"/>
      <c r="EZ169" s="860"/>
      <c r="FA169" s="860"/>
      <c r="FB169" s="1754"/>
      <c r="FC169" s="1233"/>
      <c r="FD169" s="860"/>
      <c r="FE169" s="860"/>
      <c r="FF169" s="860"/>
      <c r="FG169" s="860"/>
      <c r="FH169" s="860"/>
      <c r="FI169" s="860"/>
      <c r="FJ169" s="860"/>
      <c r="FK169" s="860"/>
      <c r="FL169" s="860"/>
      <c r="FM169" s="860"/>
      <c r="FN169" s="860"/>
      <c r="FO169" s="860"/>
      <c r="FP169" s="860"/>
      <c r="FQ169" s="860"/>
      <c r="FR169" s="860"/>
      <c r="FS169" s="860"/>
      <c r="FT169" s="860"/>
      <c r="FU169" s="860"/>
      <c r="FV169" s="860"/>
      <c r="FW169" s="860"/>
      <c r="FX169" s="860"/>
      <c r="FY169" s="860"/>
      <c r="FZ169" s="860"/>
      <c r="GA169" s="860"/>
      <c r="GB169" s="860"/>
      <c r="GC169" s="860"/>
      <c r="GD169" s="860"/>
      <c r="GE169" s="860"/>
      <c r="GF169" s="860"/>
      <c r="GG169" s="860"/>
      <c r="GH169" s="860"/>
      <c r="GI169" s="860"/>
      <c r="GJ169" s="860"/>
      <c r="GK169" s="860"/>
      <c r="GL169" s="860"/>
      <c r="GM169" s="860"/>
      <c r="GN169" s="860"/>
      <c r="GO169" s="860"/>
      <c r="GP169" s="860"/>
      <c r="GQ169" s="860"/>
      <c r="GR169" s="1279">
        <v>400</v>
      </c>
      <c r="GS169" s="1218"/>
      <c r="GT169" s="1299">
        <v>561.47199999999998</v>
      </c>
      <c r="GU169" s="1218"/>
      <c r="GV169" s="1299">
        <v>465</v>
      </c>
      <c r="GW169" s="1218"/>
      <c r="GX169" s="1218"/>
      <c r="GY169" s="1299">
        <v>465</v>
      </c>
      <c r="GZ169" s="1218"/>
      <c r="HA169" s="1218"/>
      <c r="HB169" s="1299">
        <v>500</v>
      </c>
      <c r="HC169" s="1218"/>
      <c r="HD169" s="2000"/>
      <c r="HE169" s="1299">
        <v>720.28400000000022</v>
      </c>
      <c r="HF169" s="1218"/>
      <c r="HG169" s="2000"/>
      <c r="HH169" s="1241"/>
      <c r="HI169" s="1299"/>
      <c r="HJ169" s="1218"/>
      <c r="HK169" s="2000"/>
      <c r="HL169" s="1299"/>
      <c r="HM169" s="1218"/>
      <c r="HN169" s="2000"/>
      <c r="HO169" s="1299"/>
      <c r="HP169" s="1218"/>
      <c r="HQ169" s="2000"/>
      <c r="HR169" s="1299"/>
    </row>
    <row r="170" spans="1:226">
      <c r="A170" s="1290" t="s">
        <v>784</v>
      </c>
      <c r="B170" s="1233"/>
      <c r="C170" s="860"/>
      <c r="D170" s="860"/>
      <c r="E170" s="860"/>
      <c r="F170" s="1232"/>
      <c r="G170" s="1233"/>
      <c r="H170" s="860"/>
      <c r="I170" s="860"/>
      <c r="J170" s="860"/>
      <c r="K170" s="1232"/>
      <c r="L170" s="1233"/>
      <c r="M170" s="860"/>
      <c r="N170" s="860"/>
      <c r="O170" s="860"/>
      <c r="P170" s="1232"/>
      <c r="Q170" s="1233"/>
      <c r="R170" s="860"/>
      <c r="S170" s="860"/>
      <c r="T170" s="860"/>
      <c r="U170" s="1232"/>
      <c r="V170" s="1233"/>
      <c r="W170" s="860"/>
      <c r="X170" s="860"/>
      <c r="Y170" s="860"/>
      <c r="Z170" s="1261"/>
      <c r="AA170" s="1326"/>
      <c r="AB170" s="1274"/>
      <c r="AC170" s="1274"/>
      <c r="AD170" s="1274"/>
      <c r="AE170" s="1261"/>
      <c r="AF170" s="1326"/>
      <c r="AG170" s="1274"/>
      <c r="AH170" s="1274"/>
      <c r="AI170" s="1274"/>
      <c r="AJ170" s="1261"/>
      <c r="AK170" s="1242"/>
      <c r="AL170" s="1162"/>
      <c r="AM170" s="1162"/>
      <c r="AN170" s="1162"/>
      <c r="AO170" s="1261"/>
      <c r="AP170" s="1242"/>
      <c r="AQ170" s="1162"/>
      <c r="AR170" s="1162"/>
      <c r="AS170" s="1162"/>
      <c r="AT170" s="1327">
        <f>Master!Q212</f>
        <v>-1068.8679914529912</v>
      </c>
      <c r="AU170" s="1649">
        <v>0</v>
      </c>
      <c r="AV170" s="1274">
        <f>1066-AU170</f>
        <v>1066</v>
      </c>
      <c r="AW170" s="1274">
        <f>1066-AU170-AV170</f>
        <v>0</v>
      </c>
      <c r="AX170" s="1274"/>
      <c r="AY170" s="1327"/>
      <c r="AZ170" s="1649">
        <v>0</v>
      </c>
      <c r="BA170" s="1274">
        <v>0</v>
      </c>
      <c r="BB170" s="1648">
        <v>0</v>
      </c>
      <c r="BC170" s="1274">
        <f>Master!S212-AZ170-BA170-BB170</f>
        <v>-1068.8679914529912</v>
      </c>
      <c r="BD170" s="1327"/>
      <c r="BE170" s="1326"/>
      <c r="BF170" s="1274"/>
      <c r="BG170" s="1274">
        <v>1053.3920000000001</v>
      </c>
      <c r="BH170" s="1274">
        <v>0</v>
      </c>
      <c r="BI170" s="1232"/>
      <c r="BJ170" s="1336">
        <v>0</v>
      </c>
      <c r="BK170" s="1291">
        <f>1053.392-BJ170</f>
        <v>1053.3920000000001</v>
      </c>
      <c r="BL170" s="1291">
        <v>0</v>
      </c>
      <c r="BM170" s="1291">
        <v>0</v>
      </c>
      <c r="BN170" s="1341"/>
      <c r="BO170" s="1350">
        <v>0</v>
      </c>
      <c r="BP170" s="1298">
        <f>1027.354-BO170</f>
        <v>1027.354</v>
      </c>
      <c r="BQ170" s="1298">
        <f>1027.354-BO170-BP170</f>
        <v>0</v>
      </c>
      <c r="BR170" s="1298">
        <f>1027.354-BO170-BP170-BQ170</f>
        <v>0</v>
      </c>
      <c r="BS170" s="1341"/>
      <c r="BT170" s="1350">
        <v>0</v>
      </c>
      <c r="BU170" s="1298">
        <f>1018.954-BT170</f>
        <v>1018.954</v>
      </c>
      <c r="BV170" s="1298">
        <f>1018.954-BT170-BU170</f>
        <v>0</v>
      </c>
      <c r="BW170" s="1298">
        <f>1018.954-BT170-BU170-BV170</f>
        <v>0</v>
      </c>
      <c r="BX170" s="1341"/>
      <c r="BY170" s="1350">
        <v>0</v>
      </c>
      <c r="BZ170" s="1298">
        <f>1018.954-BY170</f>
        <v>1018.954</v>
      </c>
      <c r="CA170" s="1902">
        <f>1018.954-BY170-BZ170</f>
        <v>0</v>
      </c>
      <c r="CB170" s="1770"/>
      <c r="CC170" s="1762"/>
      <c r="CD170" s="1350">
        <v>0</v>
      </c>
      <c r="CE170" s="1298"/>
      <c r="CF170" s="1298"/>
      <c r="CG170" s="1298"/>
      <c r="CH170" s="1762"/>
      <c r="CI170" s="1291"/>
      <c r="CJ170" s="860"/>
      <c r="CK170" s="1233"/>
      <c r="CL170" s="860"/>
      <c r="CM170" s="860"/>
      <c r="CN170" s="860"/>
      <c r="CO170" s="1232"/>
      <c r="CP170" s="1233"/>
      <c r="CQ170" s="860"/>
      <c r="CR170" s="860"/>
      <c r="CS170" s="860"/>
      <c r="CT170" s="1232"/>
      <c r="CU170" s="1233"/>
      <c r="CV170" s="860"/>
      <c r="CW170" s="860"/>
      <c r="CX170" s="860"/>
      <c r="CY170" s="1232"/>
      <c r="CZ170" s="1233"/>
      <c r="DA170" s="860"/>
      <c r="DB170" s="860"/>
      <c r="DC170" s="860"/>
      <c r="DD170" s="1232"/>
      <c r="DE170" s="1354"/>
      <c r="DF170" s="1306" t="s">
        <v>662</v>
      </c>
      <c r="DG170" s="1306" t="s">
        <v>10</v>
      </c>
      <c r="DH170" s="860"/>
      <c r="DI170" s="1232"/>
      <c r="DJ170" s="1233"/>
      <c r="DK170" s="860"/>
      <c r="DL170" s="860"/>
      <c r="DM170" s="860"/>
      <c r="DN170" s="1232"/>
      <c r="DO170" s="1233"/>
      <c r="DP170" s="860"/>
      <c r="DQ170" s="860"/>
      <c r="DR170" s="860"/>
      <c r="DS170" s="1232"/>
      <c r="DT170" s="1233"/>
      <c r="DU170" s="860"/>
      <c r="DV170" s="860"/>
      <c r="DW170" s="860"/>
      <c r="DX170" s="1232"/>
      <c r="DY170" s="1233"/>
      <c r="DZ170" s="860"/>
      <c r="EA170" s="860"/>
      <c r="EB170" s="860"/>
      <c r="EC170" s="1232"/>
      <c r="ED170" s="860"/>
      <c r="EE170" s="860"/>
      <c r="EF170" s="860"/>
      <c r="EG170" s="860"/>
      <c r="EH170" s="860"/>
      <c r="EI170" s="1233"/>
      <c r="EJ170" s="860"/>
      <c r="EK170" s="860"/>
      <c r="EL170" s="860"/>
      <c r="EM170" s="1232"/>
      <c r="EN170" s="1233"/>
      <c r="EO170" s="860"/>
      <c r="EP170" s="860"/>
      <c r="EQ170" s="860"/>
      <c r="ER170" s="1232"/>
      <c r="ES170" s="860"/>
      <c r="ET170" s="860"/>
      <c r="EU170" s="860"/>
      <c r="EV170" s="860"/>
      <c r="EW170" s="1232"/>
      <c r="EX170" s="1233"/>
      <c r="EY170" s="860"/>
      <c r="EZ170" s="860"/>
      <c r="FA170" s="860"/>
      <c r="FB170" s="1754"/>
      <c r="FC170" s="1233"/>
      <c r="FD170" s="860"/>
      <c r="FE170" s="860"/>
      <c r="FF170" s="860"/>
      <c r="FG170" s="860"/>
      <c r="FH170" s="860"/>
      <c r="FI170" s="860"/>
      <c r="FJ170" s="860"/>
      <c r="FK170" s="860"/>
      <c r="FL170" s="860"/>
      <c r="FM170" s="860"/>
      <c r="FN170" s="860"/>
      <c r="FO170" s="860"/>
      <c r="FP170" s="860"/>
      <c r="FQ170" s="860"/>
      <c r="FR170" s="860"/>
      <c r="FS170" s="860"/>
      <c r="FT170" s="860"/>
      <c r="FU170" s="860"/>
      <c r="FV170" s="860"/>
      <c r="FW170" s="860"/>
      <c r="FX170" s="860"/>
      <c r="FY170" s="860"/>
      <c r="FZ170" s="860"/>
      <c r="GA170" s="860"/>
      <c r="GB170" s="860"/>
      <c r="GC170" s="860"/>
      <c r="GD170" s="860"/>
      <c r="GE170" s="860"/>
      <c r="GF170" s="860"/>
      <c r="GG170" s="860"/>
      <c r="GH170" s="860"/>
      <c r="GI170" s="860"/>
      <c r="GJ170" s="860"/>
      <c r="GK170" s="860"/>
      <c r="GL170" s="860"/>
      <c r="GM170" s="860"/>
      <c r="GN170" s="860"/>
      <c r="GO170" s="860"/>
      <c r="GP170" s="860"/>
      <c r="GQ170" s="860"/>
      <c r="GR170" s="1279">
        <v>0</v>
      </c>
      <c r="GS170" s="1218"/>
      <c r="GT170" s="1299">
        <v>50.649615310180479</v>
      </c>
      <c r="GU170" s="1218"/>
      <c r="GV170" s="1299">
        <v>0</v>
      </c>
      <c r="GW170" s="1218"/>
      <c r="GX170" s="1218"/>
      <c r="GY170" s="1299">
        <v>1078</v>
      </c>
      <c r="GZ170" s="1218"/>
      <c r="HA170" s="1218"/>
      <c r="HB170" s="1299">
        <v>0</v>
      </c>
      <c r="HC170" s="1218"/>
      <c r="HD170" s="2000"/>
      <c r="HE170" s="1299">
        <v>-0.24058353187956527</v>
      </c>
      <c r="HF170" s="1218"/>
      <c r="HG170" s="2000"/>
      <c r="HH170" s="1279"/>
      <c r="HI170" s="1299"/>
      <c r="HJ170" s="1218"/>
      <c r="HK170" s="2000"/>
      <c r="HL170" s="1299"/>
      <c r="HM170" s="1218"/>
      <c r="HN170" s="2000"/>
      <c r="HO170" s="1299"/>
      <c r="HP170" s="1218"/>
      <c r="HQ170" s="2000"/>
      <c r="HR170" s="1299">
        <v>0</v>
      </c>
    </row>
    <row r="171" spans="1:226">
      <c r="A171" s="1290" t="s">
        <v>785</v>
      </c>
      <c r="B171" s="1233"/>
      <c r="C171" s="860"/>
      <c r="D171" s="860"/>
      <c r="E171" s="860"/>
      <c r="F171" s="1232"/>
      <c r="G171" s="1233"/>
      <c r="H171" s="860"/>
      <c r="I171" s="860"/>
      <c r="J171" s="860"/>
      <c r="K171" s="1232"/>
      <c r="L171" s="1233"/>
      <c r="M171" s="860"/>
      <c r="N171" s="860"/>
      <c r="O171" s="860"/>
      <c r="P171" s="1232"/>
      <c r="Q171" s="1233"/>
      <c r="R171" s="860"/>
      <c r="S171" s="860"/>
      <c r="T171" s="860"/>
      <c r="U171" s="1232"/>
      <c r="V171" s="1233"/>
      <c r="W171" s="860"/>
      <c r="X171" s="860"/>
      <c r="Y171" s="860"/>
      <c r="Z171" s="1261"/>
      <c r="AA171" s="1326"/>
      <c r="AB171" s="1274"/>
      <c r="AC171" s="1274"/>
      <c r="AD171" s="1274"/>
      <c r="AE171" s="1261"/>
      <c r="AF171" s="1326"/>
      <c r="AG171" s="1274"/>
      <c r="AH171" s="1274"/>
      <c r="AI171" s="1274"/>
      <c r="AJ171" s="1261"/>
      <c r="AK171" s="1242"/>
      <c r="AL171" s="1162"/>
      <c r="AM171" s="1162"/>
      <c r="AN171" s="1162"/>
      <c r="AO171" s="1261"/>
      <c r="AP171" s="1242"/>
      <c r="AQ171" s="1162"/>
      <c r="AR171" s="1162"/>
      <c r="AS171" s="1162"/>
      <c r="AT171" s="1327"/>
      <c r="AU171" s="1649">
        <v>0</v>
      </c>
      <c r="AV171" s="1274">
        <f>1094-AU171</f>
        <v>1094</v>
      </c>
      <c r="AW171" s="1274">
        <f>1385.75-AU171-AV171</f>
        <v>291.75</v>
      </c>
      <c r="AX171" s="1274">
        <f>1385.75-AU171-AV171-AW171</f>
        <v>0</v>
      </c>
      <c r="AY171" s="1327"/>
      <c r="AZ171" s="1326">
        <v>196</v>
      </c>
      <c r="BA171" s="1648">
        <v>0</v>
      </c>
      <c r="BB171" s="1648">
        <v>0</v>
      </c>
      <c r="BC171" s="1274">
        <f>Master!S214-AZ171-BA171-BB171</f>
        <v>198.87179487179486</v>
      </c>
      <c r="BD171" s="1327"/>
      <c r="BE171" s="1326">
        <v>50.5</v>
      </c>
      <c r="BF171" s="1274">
        <v>0</v>
      </c>
      <c r="BG171" s="1274">
        <f>113.5-SUM(BE171:BF171)</f>
        <v>63</v>
      </c>
      <c r="BH171" s="1274">
        <f>438.15-BG171-BF171-BE171</f>
        <v>324.64999999999998</v>
      </c>
      <c r="BI171" s="1232"/>
      <c r="BJ171" s="1336">
        <v>596.24199999999996</v>
      </c>
      <c r="BK171" s="1291">
        <f>646.242-BJ171</f>
        <v>50</v>
      </c>
      <c r="BL171" s="1388">
        <v>350</v>
      </c>
      <c r="BM171" s="1291">
        <f>1278-BJ171-BK171-BL171</f>
        <v>281.75800000000004</v>
      </c>
      <c r="BN171" s="1341"/>
      <c r="BO171" s="1350">
        <v>823.7</v>
      </c>
      <c r="BP171" s="1298">
        <f>910.936-BO171</f>
        <v>87.23599999999999</v>
      </c>
      <c r="BQ171" s="1298">
        <f>1097.255-BO171-BP171</f>
        <v>186.31900000000007</v>
      </c>
      <c r="BR171" s="1298">
        <f>1283.082-BO171-BP171-BQ171</f>
        <v>185.827</v>
      </c>
      <c r="BS171" s="1341"/>
      <c r="BT171" s="1350">
        <v>0</v>
      </c>
      <c r="BU171" s="1298">
        <f>0-BT171</f>
        <v>0</v>
      </c>
      <c r="BV171" s="1298">
        <f>0-BT171-BU171</f>
        <v>0</v>
      </c>
      <c r="BW171" s="1298">
        <f>132.572-BT171-BU171-BV171</f>
        <v>132.572</v>
      </c>
      <c r="BX171" s="1341"/>
      <c r="BY171" s="1350">
        <v>0</v>
      </c>
      <c r="BZ171" s="1298">
        <v>0</v>
      </c>
      <c r="CA171" s="1902">
        <f>0-BY171-BZ171</f>
        <v>0</v>
      </c>
      <c r="CB171" s="1770"/>
      <c r="CC171" s="1762"/>
      <c r="CD171" s="1350">
        <v>0</v>
      </c>
      <c r="CE171" s="1298"/>
      <c r="CF171" s="1298"/>
      <c r="CG171" s="1298"/>
      <c r="CH171" s="1762"/>
      <c r="CI171" s="1291"/>
      <c r="CJ171" s="860"/>
      <c r="CK171" s="1233"/>
      <c r="CL171" s="860"/>
      <c r="CM171" s="860"/>
      <c r="CN171" s="860"/>
      <c r="CO171" s="1232"/>
      <c r="CP171" s="1233"/>
      <c r="CQ171" s="860"/>
      <c r="CR171" s="860"/>
      <c r="CS171" s="860"/>
      <c r="CT171" s="1232"/>
      <c r="CU171" s="1233"/>
      <c r="CV171" s="860"/>
      <c r="CW171" s="860"/>
      <c r="CX171" s="860"/>
      <c r="CY171" s="1232"/>
      <c r="CZ171" s="1233"/>
      <c r="DA171" s="860"/>
      <c r="DB171" s="860"/>
      <c r="DC171" s="860"/>
      <c r="DD171" s="1232"/>
      <c r="DE171" s="1233" t="s">
        <v>786</v>
      </c>
      <c r="DF171" s="1274">
        <f>AV171</f>
        <v>1094</v>
      </c>
      <c r="DG171" s="860">
        <f>DF171/20</f>
        <v>54.7</v>
      </c>
      <c r="DH171" s="860"/>
      <c r="DI171" s="1232"/>
      <c r="DJ171" s="1233"/>
      <c r="DK171" s="860"/>
      <c r="DL171" s="860"/>
      <c r="DM171" s="860"/>
      <c r="DN171" s="1232"/>
      <c r="DO171" s="1233"/>
      <c r="DP171" s="860"/>
      <c r="DQ171" s="860"/>
      <c r="DR171" s="860"/>
      <c r="DS171" s="1232"/>
      <c r="DT171" s="1233"/>
      <c r="DU171" s="860"/>
      <c r="DV171" s="860"/>
      <c r="DW171" s="860"/>
      <c r="DX171" s="1232"/>
      <c r="DY171" s="1233"/>
      <c r="DZ171" s="860"/>
      <c r="EA171" s="860"/>
      <c r="EB171" s="860"/>
      <c r="EC171" s="1232"/>
      <c r="ED171" s="860"/>
      <c r="EE171" s="860"/>
      <c r="EF171" s="860"/>
      <c r="EG171" s="860"/>
      <c r="EH171" s="860"/>
      <c r="EI171" s="1233"/>
      <c r="EJ171" s="860"/>
      <c r="EK171" s="860"/>
      <c r="EL171" s="860"/>
      <c r="EM171" s="1232"/>
      <c r="EN171" s="1233"/>
      <c r="EO171" s="860"/>
      <c r="EP171" s="860"/>
      <c r="EQ171" s="860"/>
      <c r="ER171" s="1232"/>
      <c r="ES171" s="860"/>
      <c r="ET171" s="860"/>
      <c r="EU171" s="860"/>
      <c r="EV171" s="860"/>
      <c r="EW171" s="1232"/>
      <c r="EX171" s="1233"/>
      <c r="EY171" s="860"/>
      <c r="EZ171" s="860"/>
      <c r="FA171" s="860"/>
      <c r="FB171" s="1754"/>
      <c r="FC171" s="1233"/>
      <c r="FD171" s="860"/>
      <c r="FE171" s="860"/>
      <c r="FF171" s="860"/>
      <c r="FG171" s="860"/>
      <c r="FH171" s="860"/>
      <c r="FI171" s="860"/>
      <c r="FJ171" s="860"/>
      <c r="FK171" s="860"/>
      <c r="FL171" s="860"/>
      <c r="FM171" s="860"/>
      <c r="FN171" s="860"/>
      <c r="FO171" s="860"/>
      <c r="FP171" s="860"/>
      <c r="FQ171" s="860"/>
      <c r="FR171" s="860"/>
      <c r="FS171" s="860"/>
      <c r="FT171" s="860"/>
      <c r="FU171" s="860"/>
      <c r="FV171" s="860"/>
      <c r="FW171" s="860"/>
      <c r="FX171" s="860"/>
      <c r="FY171" s="860"/>
      <c r="FZ171" s="860"/>
      <c r="GA171" s="860"/>
      <c r="GB171" s="860"/>
      <c r="GC171" s="860"/>
      <c r="GD171" s="860"/>
      <c r="GE171" s="860"/>
      <c r="GF171" s="860"/>
      <c r="GG171" s="860"/>
      <c r="GH171" s="860"/>
      <c r="GI171" s="860"/>
      <c r="GJ171" s="860"/>
      <c r="GK171" s="860"/>
      <c r="GL171" s="860"/>
      <c r="GM171" s="860"/>
      <c r="GN171" s="860"/>
      <c r="GO171" s="860"/>
      <c r="GP171" s="860"/>
      <c r="GQ171" s="860"/>
      <c r="GR171" s="1279">
        <v>200</v>
      </c>
      <c r="GS171" s="1218"/>
      <c r="GT171" s="1299">
        <v>289.06399999999996</v>
      </c>
      <c r="GU171" s="1218"/>
      <c r="GV171" s="1299">
        <v>200</v>
      </c>
      <c r="GW171" s="1218"/>
      <c r="GX171" s="1218"/>
      <c r="GY171" s="1299">
        <v>0</v>
      </c>
      <c r="GZ171" s="1218"/>
      <c r="HA171" s="1218"/>
      <c r="HB171" s="1299">
        <v>0</v>
      </c>
      <c r="HC171" s="1218"/>
      <c r="HD171" s="2000"/>
      <c r="HE171" s="1299">
        <v>0</v>
      </c>
      <c r="HF171" s="1218"/>
      <c r="HG171" s="2000"/>
      <c r="HH171" s="1279"/>
      <c r="HI171" s="1299"/>
      <c r="HJ171" s="1218"/>
      <c r="HK171" s="2000"/>
      <c r="HL171" s="1299"/>
      <c r="HM171" s="1218"/>
      <c r="HN171" s="2000"/>
      <c r="HO171" s="1299"/>
      <c r="HP171" s="1218"/>
      <c r="HQ171" s="2000"/>
      <c r="HR171" s="1299">
        <v>0</v>
      </c>
    </row>
    <row r="172" spans="1:226">
      <c r="A172" s="1290" t="s">
        <v>787</v>
      </c>
      <c r="B172" s="1233"/>
      <c r="C172" s="860"/>
      <c r="D172" s="860"/>
      <c r="E172" s="860"/>
      <c r="F172" s="1232"/>
      <c r="G172" s="1233"/>
      <c r="H172" s="860"/>
      <c r="I172" s="860"/>
      <c r="J172" s="860"/>
      <c r="K172" s="1232"/>
      <c r="L172" s="1233"/>
      <c r="M172" s="860"/>
      <c r="N172" s="860"/>
      <c r="O172" s="860"/>
      <c r="P172" s="1232"/>
      <c r="Q172" s="1233"/>
      <c r="R172" s="860"/>
      <c r="S172" s="860"/>
      <c r="T172" s="860"/>
      <c r="U172" s="1232"/>
      <c r="V172" s="1233"/>
      <c r="W172" s="860"/>
      <c r="X172" s="860"/>
      <c r="Y172" s="860"/>
      <c r="Z172" s="1261"/>
      <c r="AA172" s="1326"/>
      <c r="AB172" s="1274"/>
      <c r="AC172" s="1274"/>
      <c r="AD172" s="1274"/>
      <c r="AE172" s="1261"/>
      <c r="AF172" s="1326"/>
      <c r="AG172" s="1274"/>
      <c r="AH172" s="1274"/>
      <c r="AI172" s="1274"/>
      <c r="AJ172" s="1261"/>
      <c r="AK172" s="1242"/>
      <c r="AL172" s="1162"/>
      <c r="AM172" s="1162"/>
      <c r="AN172" s="1162"/>
      <c r="AO172" s="1261"/>
      <c r="AP172" s="1242"/>
      <c r="AQ172" s="1162"/>
      <c r="AR172" s="1162"/>
      <c r="AS172" s="1162"/>
      <c r="AT172" s="1327">
        <f>Master!Q213</f>
        <v>-1270</v>
      </c>
      <c r="AU172" s="1649">
        <v>0</v>
      </c>
      <c r="AV172" s="1648">
        <v>0</v>
      </c>
      <c r="AW172" s="1648">
        <v>0</v>
      </c>
      <c r="AX172" s="1648"/>
      <c r="AY172" s="1327"/>
      <c r="AZ172" s="1649">
        <v>0</v>
      </c>
      <c r="BA172" s="1274">
        <v>1280</v>
      </c>
      <c r="BB172" s="1648">
        <v>0</v>
      </c>
      <c r="BC172" s="1274">
        <f>-Master!S213-AZ172-BA172-BB172</f>
        <v>140</v>
      </c>
      <c r="BD172" s="1327"/>
      <c r="BE172" s="1326">
        <v>0</v>
      </c>
      <c r="BF172" s="1274"/>
      <c r="BG172" s="1274"/>
      <c r="BH172" s="1274"/>
      <c r="BI172" s="1232"/>
      <c r="BJ172" s="1336"/>
      <c r="BK172" s="1291"/>
      <c r="BL172" s="1291"/>
      <c r="BM172" s="1291"/>
      <c r="BN172" s="1341"/>
      <c r="BO172" s="1350">
        <v>0</v>
      </c>
      <c r="BP172" s="1298">
        <v>0</v>
      </c>
      <c r="BQ172" s="1298">
        <v>0</v>
      </c>
      <c r="BR172" s="1291">
        <f>-Master!V213-BO172-BP172-BQ172</f>
        <v>0</v>
      </c>
      <c r="BS172" s="1341"/>
      <c r="BT172" s="1350">
        <v>0</v>
      </c>
      <c r="BU172" s="1298">
        <v>0</v>
      </c>
      <c r="BV172" s="1298">
        <v>0</v>
      </c>
      <c r="BW172" s="1298">
        <f>0-BT172-BU172-BV172</f>
        <v>0</v>
      </c>
      <c r="BX172" s="1341"/>
      <c r="BY172" s="1350">
        <v>0</v>
      </c>
      <c r="BZ172" s="1298">
        <v>0</v>
      </c>
      <c r="CA172" s="1902">
        <v>0</v>
      </c>
      <c r="CB172" s="1770"/>
      <c r="CC172" s="1762"/>
      <c r="CD172" s="1350">
        <v>0</v>
      </c>
      <c r="CE172" s="1298"/>
      <c r="CF172" s="1298"/>
      <c r="CG172" s="1298"/>
      <c r="CH172" s="1762"/>
      <c r="CI172" s="1291"/>
      <c r="CJ172" s="860"/>
      <c r="CK172" s="1233"/>
      <c r="CL172" s="860"/>
      <c r="CM172" s="860"/>
      <c r="CN172" s="860"/>
      <c r="CO172" s="1232"/>
      <c r="CP172" s="1233"/>
      <c r="CQ172" s="860"/>
      <c r="CR172" s="860"/>
      <c r="CS172" s="860"/>
      <c r="CT172" s="1232"/>
      <c r="CU172" s="1233"/>
      <c r="CV172" s="860"/>
      <c r="CW172" s="860"/>
      <c r="CX172" s="860"/>
      <c r="CY172" s="1232"/>
      <c r="CZ172" s="1233"/>
      <c r="DA172" s="860"/>
      <c r="DB172" s="860"/>
      <c r="DC172" s="860"/>
      <c r="DD172" s="1232"/>
      <c r="DE172" s="1233" t="s">
        <v>788</v>
      </c>
      <c r="DF172" s="860">
        <v>41</v>
      </c>
      <c r="DG172" s="1285">
        <f>DG171/DG173</f>
        <v>10.25</v>
      </c>
      <c r="DH172" s="860"/>
      <c r="DI172" s="1232"/>
      <c r="DJ172" s="1233"/>
      <c r="DK172" s="860"/>
      <c r="DL172" s="860"/>
      <c r="DM172" s="860"/>
      <c r="DN172" s="1232"/>
      <c r="DO172" s="1233"/>
      <c r="DP172" s="860"/>
      <c r="DQ172" s="860"/>
      <c r="DR172" s="860"/>
      <c r="DS172" s="1232"/>
      <c r="DT172" s="1233"/>
      <c r="DU172" s="860"/>
      <c r="DV172" s="860"/>
      <c r="DW172" s="860"/>
      <c r="DX172" s="1232"/>
      <c r="DY172" s="1233"/>
      <c r="DZ172" s="860"/>
      <c r="EA172" s="860"/>
      <c r="EB172" s="860"/>
      <c r="EC172" s="1232"/>
      <c r="ED172" s="860"/>
      <c r="EE172" s="860"/>
      <c r="EF172" s="860"/>
      <c r="EG172" s="860"/>
      <c r="EH172" s="860"/>
      <c r="EI172" s="1233"/>
      <c r="EJ172" s="860"/>
      <c r="EK172" s="860"/>
      <c r="EL172" s="860"/>
      <c r="EM172" s="1232"/>
      <c r="EN172" s="1233"/>
      <c r="EO172" s="860"/>
      <c r="EP172" s="860"/>
      <c r="EQ172" s="860"/>
      <c r="ER172" s="1232"/>
      <c r="ES172" s="860"/>
      <c r="ET172" s="860"/>
      <c r="EU172" s="860"/>
      <c r="EV172" s="860"/>
      <c r="EW172" s="1232"/>
      <c r="EX172" s="1233"/>
      <c r="EY172" s="860"/>
      <c r="EZ172" s="860"/>
      <c r="FA172" s="860"/>
      <c r="FB172" s="1754"/>
      <c r="FC172" s="1233"/>
      <c r="FD172" s="860"/>
      <c r="FE172" s="860"/>
      <c r="FF172" s="860"/>
      <c r="FG172" s="860"/>
      <c r="FH172" s="860"/>
      <c r="FI172" s="860"/>
      <c r="FJ172" s="860"/>
      <c r="FK172" s="860"/>
      <c r="FL172" s="860"/>
      <c r="FM172" s="860"/>
      <c r="FN172" s="860"/>
      <c r="FO172" s="860"/>
      <c r="FP172" s="860"/>
      <c r="FQ172" s="860"/>
      <c r="FR172" s="860"/>
      <c r="FS172" s="860"/>
      <c r="FT172" s="860"/>
      <c r="FU172" s="860"/>
      <c r="FV172" s="860"/>
      <c r="FW172" s="860"/>
      <c r="FX172" s="860"/>
      <c r="FY172" s="860"/>
      <c r="FZ172" s="860"/>
      <c r="GA172" s="860"/>
      <c r="GB172" s="860"/>
      <c r="GC172" s="860"/>
      <c r="GD172" s="860"/>
      <c r="GE172" s="860"/>
      <c r="GF172" s="860"/>
      <c r="GG172" s="860"/>
      <c r="GH172" s="860"/>
      <c r="GI172" s="860"/>
      <c r="GJ172" s="860"/>
      <c r="GK172" s="860"/>
      <c r="GL172" s="860"/>
      <c r="GM172" s="860"/>
      <c r="GN172" s="860"/>
      <c r="GO172" s="860"/>
      <c r="GP172" s="860"/>
      <c r="GQ172" s="860"/>
      <c r="GR172" s="1279">
        <v>0</v>
      </c>
      <c r="GS172" s="1218"/>
      <c r="GT172" s="1299">
        <v>56.408791929894903</v>
      </c>
      <c r="GU172" s="1218"/>
      <c r="GV172" s="1299">
        <v>0</v>
      </c>
      <c r="GW172" s="1218"/>
      <c r="GX172" s="1218"/>
      <c r="GY172" s="1299">
        <v>0</v>
      </c>
      <c r="GZ172" s="1218"/>
      <c r="HA172" s="1218"/>
      <c r="HB172" s="1299">
        <v>0</v>
      </c>
      <c r="HC172" s="1218"/>
      <c r="HD172" s="2000"/>
      <c r="HE172" s="1299">
        <v>0</v>
      </c>
      <c r="HF172" s="1218"/>
      <c r="HG172" s="2000"/>
      <c r="HH172" s="1279"/>
      <c r="HI172" s="1299"/>
      <c r="HJ172" s="1218"/>
      <c r="HK172" s="2000"/>
      <c r="HL172" s="1299"/>
      <c r="HM172" s="1218"/>
      <c r="HN172" s="2000"/>
      <c r="HO172" s="1299"/>
      <c r="HP172" s="1218"/>
      <c r="HQ172" s="2000"/>
      <c r="HR172" s="1299">
        <v>0</v>
      </c>
    </row>
    <row r="173" spans="1:226">
      <c r="A173" s="1290" t="s">
        <v>107</v>
      </c>
      <c r="B173" s="1233"/>
      <c r="C173" s="860"/>
      <c r="D173" s="860"/>
      <c r="E173" s="860"/>
      <c r="F173" s="1232"/>
      <c r="G173" s="1233"/>
      <c r="H173" s="860"/>
      <c r="I173" s="860"/>
      <c r="J173" s="860"/>
      <c r="K173" s="1232"/>
      <c r="L173" s="1233"/>
      <c r="M173" s="860"/>
      <c r="N173" s="860"/>
      <c r="O173" s="860"/>
      <c r="P173" s="1232"/>
      <c r="Q173" s="1233"/>
      <c r="R173" s="860"/>
      <c r="S173" s="860"/>
      <c r="T173" s="860"/>
      <c r="U173" s="1232"/>
      <c r="V173" s="1233"/>
      <c r="W173" s="860"/>
      <c r="X173" s="860"/>
      <c r="Y173" s="860"/>
      <c r="Z173" s="1261"/>
      <c r="AA173" s="1242"/>
      <c r="AB173" s="1162"/>
      <c r="AC173" s="1162"/>
      <c r="AD173" s="1162"/>
      <c r="AE173" s="1261"/>
      <c r="AF173" s="1242"/>
      <c r="AG173" s="1162"/>
      <c r="AH173" s="1274"/>
      <c r="AI173" s="1274"/>
      <c r="AJ173" s="1261"/>
      <c r="AK173" s="1242"/>
      <c r="AL173" s="1162"/>
      <c r="AM173" s="1162"/>
      <c r="AN173" s="1162"/>
      <c r="AO173" s="1261"/>
      <c r="AP173" s="1242"/>
      <c r="AQ173" s="1162"/>
      <c r="AR173" s="1162"/>
      <c r="AS173" s="1162"/>
      <c r="AT173" s="1327">
        <f>Master!Q219</f>
        <v>4057.7800000000007</v>
      </c>
      <c r="AU173" s="1326"/>
      <c r="AV173" s="1274"/>
      <c r="AW173" s="1274"/>
      <c r="AX173" s="1274"/>
      <c r="AY173" s="1327"/>
      <c r="AZ173" s="1650">
        <v>13455</v>
      </c>
      <c r="BA173" s="1274"/>
      <c r="BB173" s="1274"/>
      <c r="BC173" s="1274">
        <f>-Master!S217-Master!S210-Master!S216-AZ173-BA173-BB173</f>
        <v>-82867.400000000009</v>
      </c>
      <c r="BD173" s="1327"/>
      <c r="BE173" s="1326">
        <v>2065</v>
      </c>
      <c r="BF173" s="1274">
        <v>-2600</v>
      </c>
      <c r="BG173" s="1274">
        <v>5322.6079999999947</v>
      </c>
      <c r="BH173" s="966">
        <v>8950</v>
      </c>
      <c r="BI173" s="1232"/>
      <c r="BJ173" s="1336">
        <v>29287</v>
      </c>
      <c r="BK173" s="1291"/>
      <c r="BL173" s="1291"/>
      <c r="BM173" s="1291"/>
      <c r="BN173" s="1341"/>
      <c r="BO173" s="1388">
        <f>-BO179-(BO167+BO168+BO169+BO170+BO171+BO172)</f>
        <v>88.721000000004324</v>
      </c>
      <c r="BP173" s="1388">
        <f>-BP179-(BP167+BP168+BP169+BP170+BP171+BP172)</f>
        <v>-2801.1889999999976</v>
      </c>
      <c r="BQ173" s="1388">
        <f>-BQ179-(BQ167+BQ168+BQ169+BQ170+BQ171+BQ172)</f>
        <v>-3982.6310000000044</v>
      </c>
      <c r="BR173" s="1388">
        <f>-BR179-(BR167+BR168+BR169+BR170+BR171+BR172)</f>
        <v>1013.6840000000004</v>
      </c>
      <c r="BS173" s="1341"/>
      <c r="BT173" s="1388">
        <f>-BT179-(BT167+BT168+BT169+BT170+BT171+BT172)</f>
        <v>-3756.8110000000024</v>
      </c>
      <c r="BU173" s="1388">
        <f>-BU179-(BU167+BU168+BU169+BU170+BU171+BU172)</f>
        <v>-2240.3439999999991</v>
      </c>
      <c r="BV173" s="1388">
        <f>-BV179-(BV167+BV168+BV169+BV170+BV171+BV172)</f>
        <v>-4075.1630000000009</v>
      </c>
      <c r="BW173" s="1388">
        <f>-BW179-(BW167+BW168+BW169+BW170+BW171+BW172)</f>
        <v>-2216.7010000000014</v>
      </c>
      <c r="BX173" s="1341"/>
      <c r="BY173" s="1388">
        <f>-BY179-(BY167+BY168+BY169+BY170+BY171+BY172)</f>
        <v>432.20999999999822</v>
      </c>
      <c r="BZ173" s="1388">
        <f>-BZ179-(BZ167+BZ168+BZ169+BZ170+BZ171+BZ172)</f>
        <v>3226.7750000000065</v>
      </c>
      <c r="CA173" s="1388">
        <f>-CA179-(CA167+CA168+CA169+CA170+CA171+CA172)</f>
        <v>-724.03100000000632</v>
      </c>
      <c r="CB173" s="1770"/>
      <c r="CC173" s="1762"/>
      <c r="CD173" s="1388">
        <f>-CD179-(CD167+CD168+CD169+CD170+CD171+CD172)</f>
        <v>-3990.142700000004</v>
      </c>
      <c r="CE173" s="1388"/>
      <c r="CF173" s="1388"/>
      <c r="CG173" s="1388"/>
      <c r="CH173" s="1762"/>
      <c r="CI173" s="1291"/>
      <c r="CJ173" s="860"/>
      <c r="CK173" s="1233"/>
      <c r="CL173" s="860"/>
      <c r="CM173" s="860"/>
      <c r="CN173" s="860"/>
      <c r="CO173" s="1232"/>
      <c r="CP173" s="1233"/>
      <c r="CQ173" s="860"/>
      <c r="CR173" s="860"/>
      <c r="CS173" s="860"/>
      <c r="CT173" s="1232"/>
      <c r="CU173" s="1233"/>
      <c r="CV173" s="860"/>
      <c r="CW173" s="860"/>
      <c r="CX173" s="860"/>
      <c r="CY173" s="1232"/>
      <c r="CZ173" s="1233"/>
      <c r="DA173" s="860"/>
      <c r="DB173" s="860"/>
      <c r="DC173" s="860"/>
      <c r="DD173" s="1232"/>
      <c r="DE173" s="1233" t="s">
        <v>789</v>
      </c>
      <c r="DF173" s="1285">
        <f>DF171/DF172</f>
        <v>26.682926829268293</v>
      </c>
      <c r="DG173" s="1285">
        <f>DF173/5</f>
        <v>5.3365853658536588</v>
      </c>
      <c r="DH173" s="860"/>
      <c r="DI173" s="1232"/>
      <c r="DJ173" s="1233"/>
      <c r="DK173" s="860"/>
      <c r="DL173" s="860"/>
      <c r="DM173" s="860"/>
      <c r="DN173" s="1232"/>
      <c r="DO173" s="1233"/>
      <c r="DP173" s="860"/>
      <c r="DQ173" s="860"/>
      <c r="DR173" s="860"/>
      <c r="DS173" s="1232"/>
      <c r="DT173" s="1233"/>
      <c r="DU173" s="860"/>
      <c r="DV173" s="860"/>
      <c r="DW173" s="860"/>
      <c r="DX173" s="1232"/>
      <c r="DY173" s="1233"/>
      <c r="DZ173" s="860"/>
      <c r="EA173" s="860"/>
      <c r="EB173" s="860"/>
      <c r="EC173" s="1232"/>
      <c r="ED173" s="860"/>
      <c r="EE173" s="860"/>
      <c r="EF173" s="860"/>
      <c r="EG173" s="860"/>
      <c r="EH173" s="860"/>
      <c r="EI173" s="1233"/>
      <c r="EJ173" s="860"/>
      <c r="EK173" s="860"/>
      <c r="EL173" s="860"/>
      <c r="EM173" s="1232"/>
      <c r="EN173" s="1233"/>
      <c r="EO173" s="860"/>
      <c r="EP173" s="860"/>
      <c r="EQ173" s="860"/>
      <c r="ER173" s="1232"/>
      <c r="ES173" s="860"/>
      <c r="ET173" s="860"/>
      <c r="EU173" s="860"/>
      <c r="EV173" s="860"/>
      <c r="EW173" s="1232"/>
      <c r="EX173" s="1233"/>
      <c r="EY173" s="860"/>
      <c r="EZ173" s="860"/>
      <c r="FA173" s="860"/>
      <c r="FB173" s="1754"/>
      <c r="FC173" s="1233"/>
      <c r="FD173" s="860"/>
      <c r="FE173" s="860"/>
      <c r="FF173" s="860"/>
      <c r="FG173" s="860"/>
      <c r="FH173" s="860"/>
      <c r="FI173" s="860"/>
      <c r="FJ173" s="860"/>
      <c r="FK173" s="860"/>
      <c r="FL173" s="860"/>
      <c r="FM173" s="860"/>
      <c r="FN173" s="860"/>
      <c r="FO173" s="860"/>
      <c r="FP173" s="860"/>
      <c r="FQ173" s="860"/>
      <c r="FR173" s="860"/>
      <c r="FS173" s="860"/>
      <c r="FT173" s="860"/>
      <c r="FU173" s="860"/>
      <c r="FV173" s="860"/>
      <c r="FW173" s="860"/>
      <c r="FX173" s="860"/>
      <c r="FY173" s="860"/>
      <c r="FZ173" s="860"/>
      <c r="GA173" s="860"/>
      <c r="GB173" s="860"/>
      <c r="GC173" s="860"/>
      <c r="GD173" s="860"/>
      <c r="GE173" s="860"/>
      <c r="GF173" s="860"/>
      <c r="GG173" s="860"/>
      <c r="GH173" s="860"/>
      <c r="GI173" s="860"/>
      <c r="GJ173" s="860"/>
      <c r="GK173" s="860"/>
      <c r="GL173" s="860"/>
      <c r="GM173" s="860"/>
      <c r="GN173" s="860"/>
      <c r="GO173" s="860"/>
      <c r="GP173" s="860"/>
      <c r="GQ173" s="860"/>
      <c r="GR173" s="2017">
        <v>0</v>
      </c>
      <c r="GS173" s="1218"/>
      <c r="GT173" s="1299">
        <v>-23</v>
      </c>
      <c r="GU173" s="1218"/>
      <c r="GV173" s="1299">
        <v>39.049000000000888</v>
      </c>
      <c r="GW173" s="1218"/>
      <c r="GX173" s="1218"/>
      <c r="GY173" s="1299"/>
      <c r="GZ173" s="1218"/>
      <c r="HA173" s="1218"/>
      <c r="HB173" s="1299">
        <v>2.7284841053187847E-12</v>
      </c>
      <c r="HC173" s="1218"/>
      <c r="HD173" s="2000"/>
      <c r="HE173" s="1299">
        <v>419.48729802050366</v>
      </c>
      <c r="HF173" s="1218"/>
      <c r="HG173" s="2000"/>
      <c r="HH173" s="1279"/>
      <c r="HI173" s="1299"/>
      <c r="HJ173" s="1218"/>
      <c r="HK173" s="2000"/>
      <c r="HL173" s="1299"/>
      <c r="HM173" s="1218"/>
      <c r="HN173" s="2000"/>
      <c r="HO173" s="1299"/>
      <c r="HP173" s="1218"/>
      <c r="HQ173" s="2000"/>
      <c r="HR173" s="1299">
        <v>-3990.142700000004</v>
      </c>
    </row>
    <row r="174" spans="1:226">
      <c r="A174" s="1393" t="s">
        <v>790</v>
      </c>
      <c r="B174" s="1670"/>
      <c r="C174" s="1282"/>
      <c r="D174" s="1282"/>
      <c r="E174" s="1282"/>
      <c r="F174" s="1377"/>
      <c r="G174" s="1670"/>
      <c r="H174" s="1282"/>
      <c r="I174" s="1282"/>
      <c r="J174" s="1282"/>
      <c r="K174" s="1377"/>
      <c r="L174" s="1670"/>
      <c r="M174" s="1282"/>
      <c r="N174" s="1282"/>
      <c r="O174" s="1282"/>
      <c r="P174" s="1377"/>
      <c r="Q174" s="1670"/>
      <c r="R174" s="1282"/>
      <c r="S174" s="1282"/>
      <c r="T174" s="1282"/>
      <c r="U174" s="1377"/>
      <c r="V174" s="1670"/>
      <c r="W174" s="1282"/>
      <c r="X174" s="1282"/>
      <c r="Y174" s="1282"/>
      <c r="Z174" s="1366"/>
      <c r="AA174" s="1364"/>
      <c r="AB174" s="1365"/>
      <c r="AC174" s="1365"/>
      <c r="AD174" s="1365"/>
      <c r="AE174" s="1366"/>
      <c r="AF174" s="1364"/>
      <c r="AG174" s="1365"/>
      <c r="AH174" s="1283"/>
      <c r="AI174" s="1283"/>
      <c r="AJ174" s="1366"/>
      <c r="AK174" s="1364"/>
      <c r="AL174" s="1365"/>
      <c r="AM174" s="1365"/>
      <c r="AN174" s="1365"/>
      <c r="AO174" s="1366"/>
      <c r="AP174" s="1364"/>
      <c r="AQ174" s="1365"/>
      <c r="AR174" s="1365"/>
      <c r="AS174" s="1365"/>
      <c r="AT174" s="1366"/>
      <c r="AU174" s="1330">
        <f>AU167-AU170-AU172-AU173-AU169</f>
        <v>3882.5102914062518</v>
      </c>
      <c r="AV174" s="1283">
        <f>AV167-AV170-AV172-AV173-AV169</f>
        <v>3042.6439999999975</v>
      </c>
      <c r="AW174" s="1283">
        <f>AW167-AW170-AW172-AW173-AW169</f>
        <v>4084.7620000000015</v>
      </c>
      <c r="AX174" s="1283">
        <f>AX167-AX170-AX172-AX173-AX169</f>
        <v>4918.01</v>
      </c>
      <c r="AY174" s="1366"/>
      <c r="AZ174" s="1330">
        <f>AZ167-AZ170-AZ172-AZ173-AZ169</f>
        <v>-22651.229387076917</v>
      </c>
      <c r="BA174" s="1283"/>
      <c r="BB174" s="1283"/>
      <c r="BC174" s="1283">
        <f>BC167-BC170-BC172-BC173-BC169</f>
        <v>86852.389115998449</v>
      </c>
      <c r="BD174" s="1366"/>
      <c r="BE174" s="1330">
        <f>BE167-BE168-BE170-BE171-BE172-BE173-BE169</f>
        <v>-3175.1156703125002</v>
      </c>
      <c r="BF174" s="1283">
        <f>BF167-BF168-BF170-BF171-BF172-BF173-BF169</f>
        <v>-792.63386246153743</v>
      </c>
      <c r="BG174" s="1283">
        <f>BG167-BG168-BG170-BG171-BG172-BG173-BG169</f>
        <v>-8673.7497030303002</v>
      </c>
      <c r="BH174" s="1283">
        <f>BH167-BH168-BH170-BH171-BH172-BH173-BH169</f>
        <v>-3562.6095722727282</v>
      </c>
      <c r="BI174" s="1366"/>
      <c r="BJ174" s="1383">
        <f>BJ167-BJ168-BJ170-BJ171-BJ172-BJ173-BJ169</f>
        <v>-34341.919140307684</v>
      </c>
      <c r="BK174" s="1384">
        <f>BK167-BK168-BK170-BK171-BK172-BK173-BK169</f>
        <v>-4873.6310636923063</v>
      </c>
      <c r="BL174" s="1384">
        <f>BL167-BL168-BL170-BL171-BL172-BL173-BL169</f>
        <v>-3940.4803269696986</v>
      </c>
      <c r="BM174" s="1384">
        <f>BM167-BM168-BM170-BM171-BM172-BM173-BM169</f>
        <v>-4293.2758399999993</v>
      </c>
      <c r="BN174" s="1385"/>
      <c r="BO174" s="1384">
        <f>SUM(BO167:BO173)</f>
        <v>-1288.7999999999956</v>
      </c>
      <c r="BP174" s="1384">
        <f>SUM(BP167:BP173)</f>
        <v>-1201</v>
      </c>
      <c r="BQ174" s="1384">
        <f>SUM(BQ167:BQ173)</f>
        <v>-1305.2000000000044</v>
      </c>
      <c r="BR174" s="1384">
        <f>SUM(BR167:BR173)</f>
        <v>2234.9000000000015</v>
      </c>
      <c r="BS174" s="1385"/>
      <c r="BT174" s="1384">
        <f>SUM(BT167:BT173)</f>
        <v>3198.1999999999971</v>
      </c>
      <c r="BU174" s="1384">
        <f>SUM(BU167:BU173)</f>
        <v>-1820.0999999999983</v>
      </c>
      <c r="BV174" s="1384">
        <f>SUM(BV167:BV173)</f>
        <v>-752.5</v>
      </c>
      <c r="BW174" s="1384">
        <f>SUM(BW167:BW173)</f>
        <v>381</v>
      </c>
      <c r="BX174" s="1385"/>
      <c r="BY174" s="1384">
        <f>SUM(BY167:BY173)</f>
        <v>4180.5999999999985</v>
      </c>
      <c r="BZ174" s="1384">
        <f>SUM(BZ167:BZ173)</f>
        <v>3897.1000000000058</v>
      </c>
      <c r="CA174" s="1384">
        <f>SUM(CA167:CA173)</f>
        <v>1483.8999999999942</v>
      </c>
      <c r="CB174" s="1764">
        <f>CB167-CB168-CB169-CB170-CB171-CB172-CB173</f>
        <v>1024.2919999999999</v>
      </c>
      <c r="CC174" s="1765"/>
      <c r="CD174" s="1384">
        <f>SUM(CD167:CD173)</f>
        <v>-637.20000000000437</v>
      </c>
      <c r="CE174" s="1384">
        <f>SUM(CE167:CE173)</f>
        <v>577.5</v>
      </c>
      <c r="CF174" s="1384">
        <f t="shared" ref="CF174:CG174" si="252">SUM(CF167:CF173)</f>
        <v>901.25</v>
      </c>
      <c r="CG174" s="1384">
        <f t="shared" ca="1" si="252"/>
        <v>-1299.9794061011899</v>
      </c>
      <c r="CH174" s="1765"/>
      <c r="CI174" s="1390"/>
      <c r="CJ174" s="860"/>
      <c r="CK174" s="1233"/>
      <c r="CL174" s="860"/>
      <c r="CM174" s="860"/>
      <c r="CN174" s="860"/>
      <c r="CO174" s="1232"/>
      <c r="CP174" s="1233"/>
      <c r="CQ174" s="860"/>
      <c r="CR174" s="860"/>
      <c r="CS174" s="860"/>
      <c r="CT174" s="1232"/>
      <c r="CU174" s="1233"/>
      <c r="CV174" s="860"/>
      <c r="CW174" s="860"/>
      <c r="CX174" s="860"/>
      <c r="CY174" s="1232"/>
      <c r="CZ174" s="1233"/>
      <c r="DA174" s="860"/>
      <c r="DB174" s="860"/>
      <c r="DC174" s="860"/>
      <c r="DD174" s="1232"/>
      <c r="DE174" s="1233"/>
      <c r="DF174" s="860"/>
      <c r="DG174" s="860"/>
      <c r="DH174" s="860"/>
      <c r="DI174" s="1232"/>
      <c r="DJ174" s="1233"/>
      <c r="DK174" s="860"/>
      <c r="DL174" s="860"/>
      <c r="DM174" s="860"/>
      <c r="DN174" s="1232"/>
      <c r="DO174" s="1233"/>
      <c r="DP174" s="860"/>
      <c r="DQ174" s="860"/>
      <c r="DR174" s="860"/>
      <c r="DS174" s="1232"/>
      <c r="DT174" s="1233"/>
      <c r="DU174" s="860"/>
      <c r="DV174" s="860"/>
      <c r="DW174" s="860"/>
      <c r="DX174" s="1232"/>
      <c r="DY174" s="1233"/>
      <c r="DZ174" s="860"/>
      <c r="EA174" s="860"/>
      <c r="EB174" s="860"/>
      <c r="EC174" s="1232"/>
      <c r="ED174" s="860"/>
      <c r="EE174" s="860"/>
      <c r="EF174" s="860"/>
      <c r="EG174" s="860"/>
      <c r="EH174" s="860"/>
      <c r="EI174" s="1233"/>
      <c r="EJ174" s="860"/>
      <c r="EK174" s="860"/>
      <c r="EL174" s="860"/>
      <c r="EM174" s="1232"/>
      <c r="EN174" s="1233"/>
      <c r="EO174" s="860"/>
      <c r="EP174" s="860"/>
      <c r="EQ174" s="860"/>
      <c r="ER174" s="1232"/>
      <c r="ES174" s="860"/>
      <c r="ET174" s="860"/>
      <c r="EU174" s="860"/>
      <c r="EV174" s="860"/>
      <c r="EW174" s="1232"/>
      <c r="EX174" s="1233"/>
      <c r="EY174" s="860"/>
      <c r="EZ174" s="860"/>
      <c r="FA174" s="860"/>
      <c r="FB174" s="1754"/>
      <c r="FC174" s="1233"/>
      <c r="FD174" s="860"/>
      <c r="FE174" s="860"/>
      <c r="FF174" s="860"/>
      <c r="FG174" s="860"/>
      <c r="FH174" s="860"/>
      <c r="FI174" s="860"/>
      <c r="FJ174" s="860"/>
      <c r="FK174" s="860"/>
      <c r="FL174" s="860"/>
      <c r="FM174" s="860"/>
      <c r="FN174" s="860"/>
      <c r="FO174" s="860"/>
      <c r="FP174" s="860"/>
      <c r="FQ174" s="860"/>
      <c r="FR174" s="860"/>
      <c r="FS174" s="860"/>
      <c r="FT174" s="860"/>
      <c r="FU174" s="860"/>
      <c r="FV174" s="860"/>
      <c r="FW174" s="860"/>
      <c r="FX174" s="860"/>
      <c r="FY174" s="860"/>
      <c r="FZ174" s="860"/>
      <c r="GA174" s="860"/>
      <c r="GB174" s="860"/>
      <c r="GC174" s="860"/>
      <c r="GD174" s="860"/>
      <c r="GE174" s="860"/>
      <c r="GF174" s="860"/>
      <c r="GG174" s="860"/>
      <c r="GH174" s="860"/>
      <c r="GI174" s="860"/>
      <c r="GJ174" s="860"/>
      <c r="GK174" s="860"/>
      <c r="GL174" s="860"/>
      <c r="GM174" s="860"/>
      <c r="GN174" s="860"/>
      <c r="GO174" s="860"/>
      <c r="GP174" s="860"/>
      <c r="GQ174" s="860"/>
      <c r="GR174" s="1279">
        <v>-1351.3599999999997</v>
      </c>
      <c r="GS174" s="1218"/>
      <c r="GT174" s="1279">
        <v>-2992.8036262822598</v>
      </c>
      <c r="GU174" s="1218"/>
      <c r="GV174" s="1635">
        <v>-345.5</v>
      </c>
      <c r="GW174" s="1218"/>
      <c r="GX174" s="1218"/>
      <c r="GY174" s="1635">
        <v>-1647.5221538566129</v>
      </c>
      <c r="GZ174" s="1218"/>
      <c r="HA174" s="1218"/>
      <c r="HB174" s="1635">
        <v>-1239.8000000000029</v>
      </c>
      <c r="HC174" s="1218"/>
      <c r="HD174" s="2000"/>
      <c r="HE174" s="1635">
        <v>-5969.3179299799303</v>
      </c>
      <c r="HF174" s="1218"/>
      <c r="HG174" s="2000"/>
      <c r="HH174" s="1241"/>
      <c r="HI174" s="1635">
        <v>529.09500000000071</v>
      </c>
      <c r="HJ174" s="1218"/>
      <c r="HK174" s="2000"/>
      <c r="HL174" s="1635">
        <v>777.58700000000044</v>
      </c>
      <c r="HM174" s="1218"/>
      <c r="HN174" s="2000"/>
      <c r="HO174" s="1635">
        <v>1344.9725754683568</v>
      </c>
      <c r="HP174" s="1218"/>
      <c r="HQ174" s="2000"/>
      <c r="HR174" s="1636">
        <v>-637.20000000000437</v>
      </c>
    </row>
    <row r="175" spans="1:226">
      <c r="A175" s="1290"/>
      <c r="B175" s="1233"/>
      <c r="C175" s="860"/>
      <c r="D175" s="860"/>
      <c r="E175" s="860"/>
      <c r="F175" s="1232"/>
      <c r="G175" s="1233"/>
      <c r="H175" s="860"/>
      <c r="I175" s="860"/>
      <c r="J175" s="860"/>
      <c r="K175" s="1232"/>
      <c r="L175" s="1233"/>
      <c r="M175" s="860"/>
      <c r="N175" s="860"/>
      <c r="O175" s="860"/>
      <c r="P175" s="1232"/>
      <c r="Q175" s="1233"/>
      <c r="R175" s="860"/>
      <c r="S175" s="860"/>
      <c r="T175" s="860"/>
      <c r="U175" s="1232"/>
      <c r="V175" s="1233"/>
      <c r="W175" s="860"/>
      <c r="X175" s="860"/>
      <c r="Y175" s="860"/>
      <c r="Z175" s="1261"/>
      <c r="AA175" s="1242"/>
      <c r="AB175" s="1162"/>
      <c r="AC175" s="1162"/>
      <c r="AD175" s="1162"/>
      <c r="AE175" s="1261"/>
      <c r="AF175" s="1242"/>
      <c r="AG175" s="1162"/>
      <c r="AH175" s="1274"/>
      <c r="AI175" s="1274"/>
      <c r="AJ175" s="1261"/>
      <c r="AK175" s="1242"/>
      <c r="AL175" s="1162"/>
      <c r="AM175" s="1162"/>
      <c r="AN175" s="1162"/>
      <c r="AO175" s="1261"/>
      <c r="AP175" s="1242"/>
      <c r="AQ175" s="1162"/>
      <c r="AR175" s="1162"/>
      <c r="AS175" s="1162"/>
      <c r="AT175" s="1261"/>
      <c r="AU175" s="1649">
        <v>525</v>
      </c>
      <c r="AV175" s="1648">
        <v>525</v>
      </c>
      <c r="AW175" s="1648">
        <v>525</v>
      </c>
      <c r="AX175" s="1274">
        <f>2093.546-AU175-AV175-AW175</f>
        <v>518.54599999999982</v>
      </c>
      <c r="AY175" s="1261"/>
      <c r="AZ175" s="1326">
        <f>AX178-AZ178</f>
        <v>-19923.699999999997</v>
      </c>
      <c r="BA175" s="1274"/>
      <c r="BB175" s="1274"/>
      <c r="BC175" s="1162"/>
      <c r="BD175" s="1261"/>
      <c r="BE175" s="1242"/>
      <c r="BF175" s="1162"/>
      <c r="BG175" s="1307"/>
      <c r="BH175" s="1307"/>
      <c r="BI175" s="1261"/>
      <c r="BJ175" s="1336"/>
      <c r="BK175" s="1291"/>
      <c r="BL175" s="1291"/>
      <c r="BM175" s="1291"/>
      <c r="BN175" s="1341"/>
      <c r="BO175" s="1336">
        <f>BO174-BO173</f>
        <v>-1377.521</v>
      </c>
      <c r="BP175" s="1291">
        <f>BP174-BP173</f>
        <v>1600.1889999999976</v>
      </c>
      <c r="BQ175" s="1291">
        <f>BQ174-BQ173</f>
        <v>2677.431</v>
      </c>
      <c r="BR175" s="1291">
        <f>BR174-BR173</f>
        <v>1221.216000000001</v>
      </c>
      <c r="BS175" s="1341"/>
      <c r="BT175" s="1336">
        <f>BT174-BT173</f>
        <v>6955.0109999999995</v>
      </c>
      <c r="BU175" s="1291">
        <f>BU174-BU173</f>
        <v>420.24400000000082</v>
      </c>
      <c r="BV175" s="1291">
        <f>BV174-BV173</f>
        <v>3322.6630000000009</v>
      </c>
      <c r="BW175" s="1291">
        <f>BW174-BW173</f>
        <v>2597.7010000000014</v>
      </c>
      <c r="BX175" s="1341"/>
      <c r="BY175" s="1336">
        <f>BY174-BY173</f>
        <v>3748.3900000000003</v>
      </c>
      <c r="BZ175" s="1291">
        <f>BZ174-BZ173</f>
        <v>670.32499999999936</v>
      </c>
      <c r="CA175" s="1291">
        <f>CA174-CA173</f>
        <v>2207.9310000000005</v>
      </c>
      <c r="CB175" s="1770">
        <f>CB174-CB173</f>
        <v>1024.2919999999999</v>
      </c>
      <c r="CC175" s="1762"/>
      <c r="CD175" s="1336">
        <f>CD174-CD173</f>
        <v>3352.9426999999996</v>
      </c>
      <c r="CE175" s="1291"/>
      <c r="CF175" s="1291"/>
      <c r="CG175" s="1291"/>
      <c r="CH175" s="1762"/>
      <c r="CI175" s="1291"/>
      <c r="CJ175" s="860"/>
      <c r="CK175" s="1233"/>
      <c r="CL175" s="860"/>
      <c r="CM175" s="860"/>
      <c r="CN175" s="860"/>
      <c r="CO175" s="1232"/>
      <c r="CP175" s="1233"/>
      <c r="CQ175" s="860"/>
      <c r="CR175" s="860"/>
      <c r="CS175" s="860"/>
      <c r="CT175" s="1232"/>
      <c r="CU175" s="1233"/>
      <c r="CV175" s="860"/>
      <c r="CW175" s="860"/>
      <c r="CX175" s="860"/>
      <c r="CY175" s="1232"/>
      <c r="CZ175" s="1233"/>
      <c r="DA175" s="860"/>
      <c r="DB175" s="860"/>
      <c r="DC175" s="860"/>
      <c r="DD175" s="1232"/>
      <c r="DE175" s="1233"/>
      <c r="DF175" s="860"/>
      <c r="DG175" s="860"/>
      <c r="DH175" s="860"/>
      <c r="DI175" s="1232"/>
      <c r="DJ175" s="1233"/>
      <c r="DK175" s="860"/>
      <c r="DL175" s="860"/>
      <c r="DM175" s="860"/>
      <c r="DN175" s="1232"/>
      <c r="DO175" s="1233"/>
      <c r="DP175" s="860"/>
      <c r="DQ175" s="860"/>
      <c r="DR175" s="860"/>
      <c r="DS175" s="1232"/>
      <c r="DT175" s="1233"/>
      <c r="DU175" s="860"/>
      <c r="DV175" s="860"/>
      <c r="DW175" s="860"/>
      <c r="DX175" s="1232"/>
      <c r="DY175" s="1233"/>
      <c r="DZ175" s="860"/>
      <c r="EA175" s="860"/>
      <c r="EB175" s="860"/>
      <c r="EC175" s="1232"/>
      <c r="ED175" s="860"/>
      <c r="EE175" s="860"/>
      <c r="EF175" s="860"/>
      <c r="EG175" s="860"/>
      <c r="EH175" s="860"/>
      <c r="EI175" s="1233"/>
      <c r="EJ175" s="860"/>
      <c r="EK175" s="860"/>
      <c r="EL175" s="860"/>
      <c r="EM175" s="1232"/>
      <c r="EN175" s="1233"/>
      <c r="EO175" s="860"/>
      <c r="EP175" s="860"/>
      <c r="EQ175" s="860"/>
      <c r="ER175" s="1232"/>
      <c r="ES175" s="860"/>
      <c r="ET175" s="860"/>
      <c r="EU175" s="860"/>
      <c r="EV175" s="860"/>
      <c r="EW175" s="1232"/>
      <c r="EX175" s="1233"/>
      <c r="EY175" s="860"/>
      <c r="EZ175" s="860"/>
      <c r="FA175" s="860"/>
      <c r="FB175" s="1754"/>
      <c r="FC175" s="1233"/>
      <c r="FD175" s="860"/>
      <c r="FE175" s="860"/>
      <c r="FF175" s="860"/>
      <c r="FG175" s="860"/>
      <c r="FH175" s="860"/>
      <c r="FI175" s="860"/>
      <c r="FJ175" s="860"/>
      <c r="FK175" s="860"/>
      <c r="FL175" s="860"/>
      <c r="FM175" s="860"/>
      <c r="FN175" s="860"/>
      <c r="FO175" s="860"/>
      <c r="FP175" s="860"/>
      <c r="FQ175" s="860"/>
      <c r="FR175" s="860"/>
      <c r="FS175" s="860"/>
      <c r="FT175" s="860"/>
      <c r="FU175" s="860"/>
      <c r="FV175" s="860"/>
      <c r="FW175" s="860"/>
      <c r="FX175" s="860"/>
      <c r="FY175" s="860"/>
      <c r="FZ175" s="860"/>
      <c r="GA175" s="860"/>
      <c r="GB175" s="860"/>
      <c r="GC175" s="860"/>
      <c r="GD175" s="860"/>
      <c r="GE175" s="860"/>
      <c r="GF175" s="860"/>
      <c r="GG175" s="860"/>
      <c r="GH175" s="860"/>
      <c r="GI175" s="860"/>
      <c r="GJ175" s="860"/>
      <c r="GK175" s="860"/>
      <c r="GL175" s="860"/>
      <c r="GM175" s="860"/>
      <c r="GN175" s="860"/>
      <c r="GO175" s="860"/>
      <c r="GP175" s="860"/>
      <c r="GQ175" s="860"/>
      <c r="GR175" s="1279"/>
      <c r="GS175" s="1218"/>
      <c r="GT175" s="1279"/>
      <c r="GU175" s="1218"/>
      <c r="GV175" s="1299"/>
      <c r="GW175" s="1218"/>
      <c r="GX175" s="1218"/>
      <c r="GY175" s="1299"/>
      <c r="GZ175" s="1218"/>
      <c r="HA175" s="1218"/>
      <c r="HB175" s="1299"/>
      <c r="HC175" s="1218"/>
      <c r="HD175" s="2000"/>
      <c r="HE175" s="1299"/>
      <c r="HF175" s="1218"/>
      <c r="HG175" s="2000"/>
      <c r="HH175" s="1241"/>
      <c r="HI175" s="1299">
        <v>529.09500000000071</v>
      </c>
      <c r="HJ175" s="1218"/>
      <c r="HK175" s="2000"/>
      <c r="HL175" s="1299">
        <v>777.58700000000044</v>
      </c>
      <c r="HM175" s="1218"/>
      <c r="HN175" s="2000"/>
      <c r="HO175" s="1299">
        <v>1344.9725754683568</v>
      </c>
      <c r="HP175" s="1218"/>
      <c r="HQ175" s="2000"/>
      <c r="HR175" s="1299">
        <v>3352.9426999999996</v>
      </c>
    </row>
    <row r="176" spans="1:226">
      <c r="A176" s="1290"/>
      <c r="B176" s="1233"/>
      <c r="C176" s="860"/>
      <c r="D176" s="860"/>
      <c r="E176" s="860"/>
      <c r="F176" s="1232"/>
      <c r="G176" s="1233"/>
      <c r="H176" s="860"/>
      <c r="I176" s="860"/>
      <c r="J176" s="860"/>
      <c r="K176" s="1232"/>
      <c r="L176" s="1233"/>
      <c r="M176" s="860"/>
      <c r="N176" s="860"/>
      <c r="O176" s="860"/>
      <c r="P176" s="1232"/>
      <c r="Q176" s="1233"/>
      <c r="R176" s="860"/>
      <c r="S176" s="860"/>
      <c r="T176" s="860"/>
      <c r="U176" s="1232"/>
      <c r="V176" s="1233"/>
      <c r="W176" s="860"/>
      <c r="X176" s="860"/>
      <c r="Y176" s="860"/>
      <c r="Z176" s="1261"/>
      <c r="AA176" s="1242"/>
      <c r="AB176" s="1162"/>
      <c r="AC176" s="1162"/>
      <c r="AD176" s="1162"/>
      <c r="AE176" s="1261"/>
      <c r="AF176" s="1242"/>
      <c r="AG176" s="1162"/>
      <c r="AH176" s="1274"/>
      <c r="AI176" s="1274"/>
      <c r="AJ176" s="1261"/>
      <c r="AK176" s="1242"/>
      <c r="AL176" s="1162"/>
      <c r="AM176" s="1162"/>
      <c r="AN176" s="1162"/>
      <c r="AO176" s="1261"/>
      <c r="AP176" s="1242"/>
      <c r="AQ176" s="1162"/>
      <c r="AR176" s="1162"/>
      <c r="AS176" s="1162"/>
      <c r="AT176" s="1261"/>
      <c r="AU176" s="1326"/>
      <c r="AV176" s="1274"/>
      <c r="AW176" s="1274"/>
      <c r="AX176" s="1274"/>
      <c r="AY176" s="1261"/>
      <c r="AZ176" s="1242"/>
      <c r="BA176" s="1162"/>
      <c r="BB176" s="1162"/>
      <c r="BC176" s="1162"/>
      <c r="BD176" s="1261"/>
      <c r="BE176" s="1242"/>
      <c r="BF176" s="1162"/>
      <c r="BG176" s="1307"/>
      <c r="BH176" s="1307"/>
      <c r="BI176" s="1261"/>
      <c r="BJ176" s="1336"/>
      <c r="BK176" s="1291"/>
      <c r="BL176" s="1291"/>
      <c r="BM176" s="1291"/>
      <c r="BN176" s="1341"/>
      <c r="BO176" s="1336"/>
      <c r="BP176" s="1291"/>
      <c r="BQ176" s="1291"/>
      <c r="BR176" s="1291"/>
      <c r="BS176" s="1341"/>
      <c r="BT176" s="1336"/>
      <c r="BU176" s="1291"/>
      <c r="BV176" s="1291"/>
      <c r="BW176" s="1291"/>
      <c r="BX176" s="1341"/>
      <c r="BY176" s="1336"/>
      <c r="BZ176" s="1291"/>
      <c r="CA176" s="1291"/>
      <c r="CB176" s="1291"/>
      <c r="CC176" s="1762"/>
      <c r="CD176" s="1336"/>
      <c r="CE176" s="1291"/>
      <c r="CF176" s="1291"/>
      <c r="CG176" s="1291"/>
      <c r="CH176" s="1762"/>
      <c r="CI176" s="1291"/>
      <c r="CJ176" s="860"/>
      <c r="CK176" s="1233"/>
      <c r="CL176" s="860"/>
      <c r="CM176" s="860"/>
      <c r="CN176" s="860"/>
      <c r="CO176" s="1232"/>
      <c r="CP176" s="1233"/>
      <c r="CQ176" s="860"/>
      <c r="CR176" s="860"/>
      <c r="CS176" s="860"/>
      <c r="CT176" s="1232"/>
      <c r="CU176" s="1233"/>
      <c r="CV176" s="860"/>
      <c r="CW176" s="860"/>
      <c r="CX176" s="860"/>
      <c r="CY176" s="1232"/>
      <c r="CZ176" s="1233"/>
      <c r="DA176" s="860"/>
      <c r="DB176" s="860"/>
      <c r="DC176" s="860"/>
      <c r="DD176" s="1232"/>
      <c r="DE176" s="1233"/>
      <c r="DF176" s="860"/>
      <c r="DG176" s="860"/>
      <c r="DH176" s="860"/>
      <c r="DI176" s="1232"/>
      <c r="DJ176" s="1233"/>
      <c r="DK176" s="860"/>
      <c r="DL176" s="860"/>
      <c r="DM176" s="860"/>
      <c r="DN176" s="1232"/>
      <c r="DO176" s="1233"/>
      <c r="DP176" s="860"/>
      <c r="DQ176" s="860"/>
      <c r="DR176" s="860"/>
      <c r="DS176" s="1232"/>
      <c r="DT176" s="1233"/>
      <c r="DU176" s="860"/>
      <c r="DV176" s="860"/>
      <c r="DW176" s="860"/>
      <c r="DX176" s="1232"/>
      <c r="DY176" s="1233"/>
      <c r="DZ176" s="860"/>
      <c r="EA176" s="860"/>
      <c r="EB176" s="860"/>
      <c r="EC176" s="1232"/>
      <c r="ED176" s="860"/>
      <c r="EE176" s="860"/>
      <c r="EF176" s="860"/>
      <c r="EG176" s="860"/>
      <c r="EH176" s="860"/>
      <c r="EI176" s="1233"/>
      <c r="EJ176" s="860"/>
      <c r="EK176" s="860"/>
      <c r="EL176" s="860"/>
      <c r="EM176" s="1232"/>
      <c r="EN176" s="1233"/>
      <c r="EO176" s="860"/>
      <c r="EP176" s="860"/>
      <c r="EQ176" s="860"/>
      <c r="ER176" s="1232"/>
      <c r="ES176" s="860"/>
      <c r="ET176" s="860"/>
      <c r="EU176" s="860"/>
      <c r="EV176" s="860"/>
      <c r="EW176" s="1232"/>
      <c r="EX176" s="1233"/>
      <c r="EY176" s="860"/>
      <c r="EZ176" s="860"/>
      <c r="FA176" s="860"/>
      <c r="FB176" s="1754"/>
      <c r="FC176" s="1233"/>
      <c r="FD176" s="860"/>
      <c r="FE176" s="860"/>
      <c r="FF176" s="860"/>
      <c r="FG176" s="860"/>
      <c r="FH176" s="860"/>
      <c r="FI176" s="860"/>
      <c r="FJ176" s="860"/>
      <c r="FK176" s="860"/>
      <c r="FL176" s="860"/>
      <c r="FM176" s="860"/>
      <c r="FN176" s="860"/>
      <c r="FO176" s="860"/>
      <c r="FP176" s="860"/>
      <c r="FQ176" s="860"/>
      <c r="FR176" s="860"/>
      <c r="FS176" s="860"/>
      <c r="FT176" s="860"/>
      <c r="FU176" s="860"/>
      <c r="FV176" s="860"/>
      <c r="FW176" s="860"/>
      <c r="FX176" s="860"/>
      <c r="FY176" s="860"/>
      <c r="FZ176" s="860"/>
      <c r="GA176" s="860"/>
      <c r="GB176" s="860"/>
      <c r="GC176" s="860"/>
      <c r="GD176" s="860"/>
      <c r="GE176" s="860"/>
      <c r="GF176" s="860"/>
      <c r="GG176" s="860"/>
      <c r="GH176" s="860"/>
      <c r="GI176" s="860"/>
      <c r="GJ176" s="860"/>
      <c r="GK176" s="860"/>
      <c r="GL176" s="860"/>
      <c r="GM176" s="860"/>
      <c r="GN176" s="860"/>
      <c r="GO176" s="860"/>
      <c r="GP176" s="860"/>
      <c r="GQ176" s="860"/>
      <c r="GR176" s="1311"/>
      <c r="GS176" s="1218"/>
      <c r="GT176" s="1241"/>
      <c r="GU176" s="1218"/>
      <c r="GV176" s="1299"/>
      <c r="GW176" s="1218"/>
      <c r="GX176" s="1218"/>
      <c r="GY176" s="1299"/>
      <c r="GZ176" s="1218"/>
      <c r="HA176" s="1218"/>
      <c r="HB176" s="1299"/>
      <c r="HC176" s="1218"/>
      <c r="HD176" s="2000"/>
      <c r="HE176" s="1299"/>
      <c r="HF176" s="1218"/>
      <c r="HG176" s="2000"/>
      <c r="HH176" s="1241"/>
      <c r="HI176" s="1299"/>
      <c r="HJ176" s="1218"/>
      <c r="HK176" s="2000"/>
      <c r="HL176" s="1299"/>
      <c r="HM176" s="1218"/>
      <c r="HN176" s="2000"/>
      <c r="HO176" s="1299"/>
      <c r="HP176" s="1218"/>
      <c r="HQ176" s="2000"/>
      <c r="HR176" s="1299"/>
    </row>
    <row r="177" spans="1:226">
      <c r="A177" s="1290"/>
      <c r="B177" s="1233"/>
      <c r="C177" s="860"/>
      <c r="D177" s="860"/>
      <c r="E177" s="860"/>
      <c r="F177" s="1232"/>
      <c r="G177" s="1233"/>
      <c r="H177" s="860"/>
      <c r="I177" s="860"/>
      <c r="J177" s="860"/>
      <c r="K177" s="1232"/>
      <c r="L177" s="1233"/>
      <c r="M177" s="860"/>
      <c r="N177" s="860"/>
      <c r="O177" s="860"/>
      <c r="P177" s="1232"/>
      <c r="Q177" s="1233"/>
      <c r="R177" s="860"/>
      <c r="S177" s="860"/>
      <c r="T177" s="860"/>
      <c r="U177" s="1232"/>
      <c r="V177" s="1233"/>
      <c r="W177" s="860"/>
      <c r="X177" s="860"/>
      <c r="Y177" s="860"/>
      <c r="Z177" s="1261"/>
      <c r="AA177" s="1242"/>
      <c r="AB177" s="1162"/>
      <c r="AC177" s="1162"/>
      <c r="AD177" s="1162"/>
      <c r="AE177" s="1261"/>
      <c r="AF177" s="1242"/>
      <c r="AG177" s="1162"/>
      <c r="AH177" s="1162"/>
      <c r="AI177" s="1162"/>
      <c r="AJ177" s="1261"/>
      <c r="AK177" s="1242"/>
      <c r="AL177" s="1162"/>
      <c r="AM177" s="1162"/>
      <c r="AN177" s="1162"/>
      <c r="AO177" s="1261"/>
      <c r="AP177" s="1242"/>
      <c r="AQ177" s="1162"/>
      <c r="AR177" s="1162"/>
      <c r="AS177" s="1162"/>
      <c r="AT177" s="1261"/>
      <c r="AU177" s="1242"/>
      <c r="AV177" s="1162"/>
      <c r="AW177" s="1162"/>
      <c r="AX177" s="1162"/>
      <c r="AY177" s="1261"/>
      <c r="AZ177" s="1242"/>
      <c r="BA177" s="1162"/>
      <c r="BB177" s="1162"/>
      <c r="BC177" s="1162"/>
      <c r="BD177" s="1261"/>
      <c r="BE177" s="1242"/>
      <c r="BF177" s="1162"/>
      <c r="BG177" s="1162"/>
      <c r="BH177" s="1162"/>
      <c r="BI177" s="1261"/>
      <c r="BJ177" s="1336"/>
      <c r="BK177" s="1291"/>
      <c r="BL177" s="1291"/>
      <c r="BM177" s="1291"/>
      <c r="BN177" s="1341"/>
      <c r="BO177" s="1336"/>
      <c r="BP177" s="1291"/>
      <c r="BQ177" s="1291"/>
      <c r="BR177" s="1291"/>
      <c r="BS177" s="1341"/>
      <c r="BT177" s="1336"/>
      <c r="BU177" s="1291"/>
      <c r="BV177" s="1291"/>
      <c r="BW177" s="1623"/>
      <c r="BX177" s="1341"/>
      <c r="BY177" s="1336"/>
      <c r="BZ177" s="1291"/>
      <c r="CA177" s="1291"/>
      <c r="CB177" s="1291"/>
      <c r="CC177" s="1762"/>
      <c r="CD177" s="1336"/>
      <c r="CE177" s="1291"/>
      <c r="CF177" s="1291"/>
      <c r="CG177" s="1291"/>
      <c r="CH177" s="1762"/>
      <c r="CI177" s="1291"/>
      <c r="CJ177" s="860"/>
      <c r="CK177" s="1233"/>
      <c r="CL177" s="860"/>
      <c r="CM177" s="860"/>
      <c r="CN177" s="860"/>
      <c r="CO177" s="1232"/>
      <c r="CP177" s="1233"/>
      <c r="CQ177" s="860"/>
      <c r="CR177" s="860"/>
      <c r="CS177" s="860"/>
      <c r="CT177" s="1232"/>
      <c r="CU177" s="1233"/>
      <c r="CV177" s="860"/>
      <c r="CW177" s="860"/>
      <c r="CX177" s="860"/>
      <c r="CY177" s="1232"/>
      <c r="CZ177" s="1233"/>
      <c r="DA177" s="860"/>
      <c r="DB177" s="860"/>
      <c r="DC177" s="860"/>
      <c r="DD177" s="1232"/>
      <c r="DE177" s="1233"/>
      <c r="DF177" s="860"/>
      <c r="DG177" s="860"/>
      <c r="DH177" s="860"/>
      <c r="DI177" s="1232"/>
      <c r="DJ177" s="1233"/>
      <c r="DK177" s="860"/>
      <c r="DL177" s="860"/>
      <c r="DM177" s="860"/>
      <c r="DN177" s="1232"/>
      <c r="DO177" s="1233"/>
      <c r="DP177" s="860"/>
      <c r="DQ177" s="860"/>
      <c r="DR177" s="860"/>
      <c r="DS177" s="1232"/>
      <c r="DT177" s="1233"/>
      <c r="DU177" s="860"/>
      <c r="DV177" s="860"/>
      <c r="DW177" s="860"/>
      <c r="DX177" s="1232"/>
      <c r="DY177" s="1233"/>
      <c r="DZ177" s="860"/>
      <c r="EA177" s="860"/>
      <c r="EB177" s="860"/>
      <c r="EC177" s="1232"/>
      <c r="ED177" s="860"/>
      <c r="EE177" s="860"/>
      <c r="EF177" s="860"/>
      <c r="EG177" s="860"/>
      <c r="EH177" s="860"/>
      <c r="EI177" s="1233"/>
      <c r="EJ177" s="860"/>
      <c r="EK177" s="860"/>
      <c r="EL177" s="860"/>
      <c r="EM177" s="1232"/>
      <c r="EN177" s="1233"/>
      <c r="EO177" s="860"/>
      <c r="EP177" s="860"/>
      <c r="EQ177" s="860"/>
      <c r="ER177" s="1232"/>
      <c r="ES177" s="860"/>
      <c r="ET177" s="860"/>
      <c r="EU177" s="860"/>
      <c r="EV177" s="860"/>
      <c r="EW177" s="1232"/>
      <c r="EX177" s="1233"/>
      <c r="EY177" s="860"/>
      <c r="EZ177" s="860"/>
      <c r="FA177" s="860"/>
      <c r="FB177" s="1754"/>
      <c r="FC177" s="1233"/>
      <c r="FD177" s="860"/>
      <c r="FE177" s="860"/>
      <c r="FF177" s="860"/>
      <c r="FG177" s="860"/>
      <c r="FH177" s="860"/>
      <c r="FI177" s="860"/>
      <c r="FJ177" s="860"/>
      <c r="FK177" s="860"/>
      <c r="FL177" s="860"/>
      <c r="FM177" s="860"/>
      <c r="FN177" s="860"/>
      <c r="FO177" s="860"/>
      <c r="FP177" s="860"/>
      <c r="FQ177" s="860"/>
      <c r="FR177" s="860"/>
      <c r="FS177" s="860"/>
      <c r="FT177" s="860"/>
      <c r="FU177" s="860"/>
      <c r="FV177" s="860"/>
      <c r="FW177" s="860"/>
      <c r="FX177" s="860"/>
      <c r="FY177" s="860"/>
      <c r="FZ177" s="860"/>
      <c r="GA177" s="860"/>
      <c r="GB177" s="860"/>
      <c r="GC177" s="860"/>
      <c r="GD177" s="860"/>
      <c r="GE177" s="860"/>
      <c r="GF177" s="860"/>
      <c r="GG177" s="860"/>
      <c r="GH177" s="860"/>
      <c r="GI177" s="860"/>
      <c r="GJ177" s="860"/>
      <c r="GK177" s="860"/>
      <c r="GL177" s="860"/>
      <c r="GM177" s="860"/>
      <c r="GN177" s="860"/>
      <c r="GO177" s="860"/>
      <c r="GP177" s="860"/>
      <c r="GQ177" s="860"/>
      <c r="GR177" s="1241"/>
      <c r="GS177" s="1218"/>
      <c r="GT177" s="1241"/>
      <c r="GU177" s="1218"/>
      <c r="GV177" s="1299"/>
      <c r="GW177" s="1218"/>
      <c r="GX177" s="1218"/>
      <c r="GY177" s="1299"/>
      <c r="GZ177" s="1218"/>
      <c r="HA177" s="1218"/>
      <c r="HB177" s="1299"/>
      <c r="HC177" s="1218"/>
      <c r="HD177" s="2000"/>
      <c r="HE177" s="1299"/>
      <c r="HF177" s="1218"/>
      <c r="HG177" s="2000"/>
      <c r="HH177" s="1241"/>
      <c r="HI177" s="1299"/>
      <c r="HJ177" s="1218"/>
      <c r="HK177" s="2000"/>
      <c r="HL177" s="1299"/>
      <c r="HM177" s="1218"/>
      <c r="HN177" s="2000"/>
      <c r="HO177" s="1299"/>
      <c r="HP177" s="1218"/>
      <c r="HQ177" s="2000"/>
      <c r="HR177" s="1299"/>
    </row>
    <row r="178" spans="1:226">
      <c r="A178" s="1292" t="s">
        <v>271</v>
      </c>
      <c r="B178" s="1233"/>
      <c r="C178" s="860"/>
      <c r="D178" s="860"/>
      <c r="E178" s="860"/>
      <c r="F178" s="1232"/>
      <c r="G178" s="1233"/>
      <c r="H178" s="860"/>
      <c r="I178" s="860"/>
      <c r="J178" s="860"/>
      <c r="K178" s="1232"/>
      <c r="L178" s="1233"/>
      <c r="M178" s="860"/>
      <c r="N178" s="860"/>
      <c r="O178" s="860"/>
      <c r="P178" s="1232"/>
      <c r="Q178" s="1233"/>
      <c r="R178" s="860"/>
      <c r="S178" s="860"/>
      <c r="T178" s="860">
        <f>Master!L199</f>
        <v>34993</v>
      </c>
      <c r="U178" s="1232"/>
      <c r="V178" s="1233">
        <v>33041.800000000003</v>
      </c>
      <c r="W178" s="860">
        <v>31497</v>
      </c>
      <c r="X178" s="860">
        <v>39748</v>
      </c>
      <c r="Y178" s="860">
        <v>40507</v>
      </c>
      <c r="Z178" s="1261"/>
      <c r="AA178" s="1233">
        <v>39261</v>
      </c>
      <c r="AB178" s="860">
        <v>43433</v>
      </c>
      <c r="AC178" s="860">
        <v>47727</v>
      </c>
      <c r="AD178" s="966">
        <f>49675.8+AD182</f>
        <v>55481</v>
      </c>
      <c r="AE178" s="1261"/>
      <c r="AF178" s="1663">
        <f>47218.2+AF182</f>
        <v>52966</v>
      </c>
      <c r="AG178" s="966">
        <f>56360.2+AG182</f>
        <v>62314.2</v>
      </c>
      <c r="AH178" s="1274">
        <v>73742.899999999994</v>
      </c>
      <c r="AI178" s="1274">
        <v>78405.899999999994</v>
      </c>
      <c r="AJ178" s="1327">
        <f>Master!O221</f>
        <v>78405.899999999994</v>
      </c>
      <c r="AK178" s="1350">
        <v>72606</v>
      </c>
      <c r="AL178" s="1298">
        <v>72084.100000000006</v>
      </c>
      <c r="AM178" s="1298">
        <v>73953</v>
      </c>
      <c r="AN178" s="1298">
        <v>79273.100000000006</v>
      </c>
      <c r="AO178" s="1333">
        <f>Master!P221</f>
        <v>79273</v>
      </c>
      <c r="AP178" s="1350">
        <v>73339.3</v>
      </c>
      <c r="AQ178" s="1298">
        <v>72176.899999999994</v>
      </c>
      <c r="AR178" s="1298">
        <v>68630.399999999994</v>
      </c>
      <c r="AS178" s="1298">
        <v>83318.5</v>
      </c>
      <c r="AT178" s="1333"/>
      <c r="AU178" s="1350">
        <v>94276</v>
      </c>
      <c r="AV178" s="1298">
        <v>93495.2</v>
      </c>
      <c r="AW178" s="1298">
        <v>94994.7</v>
      </c>
      <c r="AX178" s="1298">
        <v>93733.1</v>
      </c>
      <c r="AY178" s="1232"/>
      <c r="AZ178" s="1350">
        <v>113656.8</v>
      </c>
      <c r="BA178" s="1298">
        <v>109037.5</v>
      </c>
      <c r="BB178" s="1298">
        <v>104688.2</v>
      </c>
      <c r="BC178" s="1298">
        <v>96143</v>
      </c>
      <c r="BD178" s="1232"/>
      <c r="BE178" s="1350">
        <v>99318.8</v>
      </c>
      <c r="BF178" s="1298">
        <v>100113.2</v>
      </c>
      <c r="BG178" s="1298">
        <v>108781.9</v>
      </c>
      <c r="BH178" s="1298">
        <v>105219.9</v>
      </c>
      <c r="BI178" s="1333"/>
      <c r="BJ178" s="1350">
        <v>56948.2</v>
      </c>
      <c r="BK178" s="1298">
        <v>59098.7</v>
      </c>
      <c r="BL178" s="1298">
        <v>59358.7</v>
      </c>
      <c r="BM178" s="1298">
        <v>59094.400000000001</v>
      </c>
      <c r="BN178" s="1341"/>
      <c r="BO178" s="1350">
        <v>60383.199999999997</v>
      </c>
      <c r="BP178" s="1298">
        <v>61584.2</v>
      </c>
      <c r="BQ178" s="1298">
        <v>62889.4</v>
      </c>
      <c r="BR178" s="1298">
        <v>60654.5</v>
      </c>
      <c r="BS178" s="1341"/>
      <c r="BT178" s="1350">
        <v>57456.3</v>
      </c>
      <c r="BU178" s="1298">
        <v>59276.4</v>
      </c>
      <c r="BV178" s="1298">
        <v>60028.9</v>
      </c>
      <c r="BW178" s="1298">
        <v>59647.9</v>
      </c>
      <c r="BX178" s="1392"/>
      <c r="BY178" s="1350">
        <v>55467.3</v>
      </c>
      <c r="BZ178" s="1298">
        <v>51570.2</v>
      </c>
      <c r="CA178" s="1298">
        <v>50086.3</v>
      </c>
      <c r="CB178" s="1298">
        <v>49115.199999999997</v>
      </c>
      <c r="CC178" s="1800">
        <f>Master!X199</f>
        <v>55054.5</v>
      </c>
      <c r="CD178" s="1350">
        <v>49752.4</v>
      </c>
      <c r="CE178" s="2039">
        <v>51000</v>
      </c>
      <c r="CF178" s="2039">
        <v>52500</v>
      </c>
      <c r="CG178" s="2039">
        <f ca="1">CH178</f>
        <v>54653.494928780616</v>
      </c>
      <c r="CH178" s="1800">
        <f ca="1">Master!Y199</f>
        <v>54653.494928780616</v>
      </c>
      <c r="CI178" s="1619"/>
      <c r="CJ178" s="860"/>
      <c r="CK178" s="1233"/>
      <c r="CL178" s="860"/>
      <c r="CM178" s="860"/>
      <c r="CN178" s="860"/>
      <c r="CO178" s="1232"/>
      <c r="CP178" s="1233"/>
      <c r="CQ178" s="860"/>
      <c r="CR178" s="860"/>
      <c r="CS178" s="860"/>
      <c r="CT178" s="1232"/>
      <c r="CU178" s="1233"/>
      <c r="CV178" s="860"/>
      <c r="CW178" s="860"/>
      <c r="CX178" s="860"/>
      <c r="CY178" s="1232"/>
      <c r="CZ178" s="1233"/>
      <c r="DA178" s="860"/>
      <c r="DB178" s="860"/>
      <c r="DC178" s="860"/>
      <c r="DD178" s="1232"/>
      <c r="DE178" s="1233"/>
      <c r="DF178" s="860"/>
      <c r="DG178" s="860"/>
      <c r="DH178" s="860"/>
      <c r="DI178" s="1232"/>
      <c r="DJ178" s="1233"/>
      <c r="DK178" s="860"/>
      <c r="DL178" s="860"/>
      <c r="DM178" s="860"/>
      <c r="DN178" s="1232"/>
      <c r="DO178" s="1233"/>
      <c r="DP178" s="860"/>
      <c r="DQ178" s="860"/>
      <c r="DR178" s="860"/>
      <c r="DS178" s="1232"/>
      <c r="DT178" s="1233"/>
      <c r="DU178" s="860"/>
      <c r="DV178" s="860"/>
      <c r="DW178" s="860"/>
      <c r="DX178" s="1232"/>
      <c r="DY178" s="1233"/>
      <c r="DZ178" s="860"/>
      <c r="EA178" s="860"/>
      <c r="EB178" s="860"/>
      <c r="EC178" s="1232"/>
      <c r="ED178" s="860"/>
      <c r="EE178" s="860"/>
      <c r="EF178" s="860"/>
      <c r="EG178" s="860"/>
      <c r="EH178" s="860"/>
      <c r="EI178" s="1233"/>
      <c r="EJ178" s="860"/>
      <c r="EK178" s="860"/>
      <c r="EL178" s="860"/>
      <c r="EM178" s="1232"/>
      <c r="EN178" s="1233"/>
      <c r="EO178" s="860"/>
      <c r="EP178" s="860"/>
      <c r="EQ178" s="860"/>
      <c r="ER178" s="1232"/>
      <c r="ES178" s="860"/>
      <c r="ET178" s="860"/>
      <c r="EU178" s="860"/>
      <c r="EV178" s="860"/>
      <c r="EW178" s="1232"/>
      <c r="EX178" s="1233"/>
      <c r="EY178" s="860"/>
      <c r="EZ178" s="860"/>
      <c r="FA178" s="860"/>
      <c r="FB178" s="1754"/>
      <c r="FC178" s="1233"/>
      <c r="FD178" s="860"/>
      <c r="FE178" s="860"/>
      <c r="FF178" s="860"/>
      <c r="FG178" s="860"/>
      <c r="FH178" s="860"/>
      <c r="FI178" s="860"/>
      <c r="FJ178" s="860"/>
      <c r="FK178" s="860"/>
      <c r="FL178" s="860"/>
      <c r="FM178" s="860"/>
      <c r="FN178" s="860"/>
      <c r="FO178" s="860"/>
      <c r="FP178" s="860"/>
      <c r="FQ178" s="860"/>
      <c r="FR178" s="860"/>
      <c r="FS178" s="860"/>
      <c r="FT178" s="860"/>
      <c r="FU178" s="860"/>
      <c r="FV178" s="860"/>
      <c r="FW178" s="860"/>
      <c r="FX178" s="860"/>
      <c r="FY178" s="860"/>
      <c r="FZ178" s="860"/>
      <c r="GA178" s="860"/>
      <c r="GB178" s="860"/>
      <c r="GC178" s="860"/>
      <c r="GD178" s="860"/>
      <c r="GE178" s="860"/>
      <c r="GF178" s="860"/>
      <c r="GG178" s="860"/>
      <c r="GH178" s="860"/>
      <c r="GI178" s="860"/>
      <c r="GJ178" s="860"/>
      <c r="GK178" s="860"/>
      <c r="GL178" s="860"/>
      <c r="GM178" s="860"/>
      <c r="GN178" s="860"/>
      <c r="GO178" s="860"/>
      <c r="GP178" s="860"/>
      <c r="GQ178" s="860"/>
      <c r="GR178" s="1286">
        <v>62935.56</v>
      </c>
      <c r="GS178" s="1218"/>
      <c r="GT178" s="1286">
        <v>62850.820312906406</v>
      </c>
      <c r="GU178" s="1218"/>
      <c r="GV178" s="1299">
        <v>61000</v>
      </c>
      <c r="GW178" s="1218"/>
      <c r="GX178" s="1218"/>
      <c r="GY178" s="1299">
        <v>59103.822153856614</v>
      </c>
      <c r="GZ178" s="1218"/>
      <c r="HA178" s="1218"/>
      <c r="HB178" s="1299">
        <v>60516.200000000004</v>
      </c>
      <c r="HC178" s="1218"/>
      <c r="HD178" s="2000"/>
      <c r="HE178" s="1299">
        <v>65998.217929979932</v>
      </c>
      <c r="HF178" s="1218"/>
      <c r="HG178" s="2000"/>
      <c r="HH178" s="1218">
        <v>56000</v>
      </c>
      <c r="HI178" s="1299">
        <v>56500</v>
      </c>
      <c r="HJ178" s="1218"/>
      <c r="HK178" s="2000"/>
      <c r="HL178" s="1299">
        <v>58000</v>
      </c>
      <c r="HM178" s="1218"/>
      <c r="HN178" s="2000"/>
      <c r="HO178" s="1299">
        <v>54487.064688239036</v>
      </c>
      <c r="HP178" s="1218"/>
      <c r="HQ178" s="2000"/>
      <c r="HR178" s="1299">
        <f>CB178-59</f>
        <v>49056.2</v>
      </c>
    </row>
    <row r="179" spans="1:226">
      <c r="A179" s="1290" t="s">
        <v>791</v>
      </c>
      <c r="B179" s="1233"/>
      <c r="C179" s="860"/>
      <c r="D179" s="860"/>
      <c r="E179" s="860"/>
      <c r="F179" s="1232"/>
      <c r="G179" s="1233"/>
      <c r="H179" s="860"/>
      <c r="I179" s="860"/>
      <c r="J179" s="860"/>
      <c r="K179" s="1232"/>
      <c r="L179" s="1233"/>
      <c r="M179" s="860"/>
      <c r="N179" s="860"/>
      <c r="O179" s="860"/>
      <c r="P179" s="1232"/>
      <c r="Q179" s="1233"/>
      <c r="R179" s="860"/>
      <c r="S179" s="860"/>
      <c r="T179" s="860"/>
      <c r="U179" s="1232"/>
      <c r="V179" s="1233"/>
      <c r="W179" s="860"/>
      <c r="X179" s="860"/>
      <c r="Y179" s="860"/>
      <c r="Z179" s="1261"/>
      <c r="AA179" s="1233"/>
      <c r="AB179" s="860"/>
      <c r="AC179" s="860"/>
      <c r="AD179" s="966"/>
      <c r="AE179" s="1261"/>
      <c r="AF179" s="1663"/>
      <c r="AG179" s="966"/>
      <c r="AH179" s="1274"/>
      <c r="AI179" s="1274"/>
      <c r="AJ179" s="1327"/>
      <c r="AK179" s="1326"/>
      <c r="AL179" s="1274"/>
      <c r="AM179" s="1274"/>
      <c r="AN179" s="1274"/>
      <c r="AO179" s="1333"/>
      <c r="AP179" s="1332"/>
      <c r="AQ179" s="1285"/>
      <c r="AR179" s="1285"/>
      <c r="AS179" s="1285"/>
      <c r="AT179" s="1333"/>
      <c r="AU179" s="1336">
        <f>AU178/19</f>
        <v>4961.894736842105</v>
      </c>
      <c r="AV179" s="1291">
        <f>AV178/19</f>
        <v>4920.8</v>
      </c>
      <c r="AW179" s="1291">
        <f>AW178/19</f>
        <v>4999.7210526315785</v>
      </c>
      <c r="AX179" s="1291">
        <f>AX178/19</f>
        <v>4933.3210526315788</v>
      </c>
      <c r="AY179" s="1333"/>
      <c r="AZ179" s="1332"/>
      <c r="BA179" s="1285"/>
      <c r="BB179" s="1285"/>
      <c r="BC179" s="1285"/>
      <c r="BD179" s="1333"/>
      <c r="BE179" s="1332">
        <f>BE178-BC178</f>
        <v>3175.8000000000029</v>
      </c>
      <c r="BF179" s="1285">
        <f>BF178-BE178</f>
        <v>794.39999999999418</v>
      </c>
      <c r="BG179" s="1285">
        <f>BG178-BF178</f>
        <v>8668.6999999999971</v>
      </c>
      <c r="BH179" s="1285">
        <f>BH178-BG178</f>
        <v>-3562</v>
      </c>
      <c r="BI179" s="1333"/>
      <c r="BJ179" s="1336">
        <f>BJ178-BH178</f>
        <v>-48271.7</v>
      </c>
      <c r="BK179" s="1291">
        <f>BK178-BJ178</f>
        <v>2150.5</v>
      </c>
      <c r="BL179" s="1291">
        <f>BL178-BK178</f>
        <v>260</v>
      </c>
      <c r="BM179" s="1291">
        <f>BM178-BL178</f>
        <v>-264.29999999999563</v>
      </c>
      <c r="BN179" s="1341"/>
      <c r="BO179" s="1336">
        <f>BO178-BM178</f>
        <v>1288.7999999999956</v>
      </c>
      <c r="BP179" s="1291">
        <f>BP178-BO178</f>
        <v>1201</v>
      </c>
      <c r="BQ179" s="1291">
        <f>BQ178-BP178</f>
        <v>1305.2000000000044</v>
      </c>
      <c r="BR179" s="1291">
        <f>BR178-BQ178</f>
        <v>-2234.9000000000015</v>
      </c>
      <c r="BS179" s="1341"/>
      <c r="BT179" s="1336">
        <f>BT178-BR178</f>
        <v>-3198.1999999999971</v>
      </c>
      <c r="BU179" s="1291">
        <f>BU178-BT178</f>
        <v>1820.0999999999985</v>
      </c>
      <c r="BV179" s="1291">
        <f>BV178-BU178</f>
        <v>752.5</v>
      </c>
      <c r="BW179" s="1291">
        <f>BW178-BV178</f>
        <v>-381</v>
      </c>
      <c r="BX179" s="1341"/>
      <c r="BY179" s="1336">
        <f>BY178-BW178</f>
        <v>-4180.5999999999985</v>
      </c>
      <c r="BZ179" s="1291">
        <f>BZ178-BY178</f>
        <v>-3897.1000000000058</v>
      </c>
      <c r="CA179" s="1291">
        <f>CA178-BZ178</f>
        <v>-1483.8999999999942</v>
      </c>
      <c r="CB179" s="1291">
        <f>CB178-CA178</f>
        <v>-971.10000000000582</v>
      </c>
      <c r="CC179" s="1762"/>
      <c r="CD179" s="1336">
        <f>CD178-CB178</f>
        <v>637.20000000000437</v>
      </c>
      <c r="CE179" s="2039">
        <f>CE178-CD178</f>
        <v>1247.5999999999985</v>
      </c>
      <c r="CF179" s="2039">
        <f>CF178-CE178</f>
        <v>1500</v>
      </c>
      <c r="CG179" s="2039">
        <f ca="1">CG178-CF178</f>
        <v>2153.4949287806157</v>
      </c>
      <c r="CH179" s="1762"/>
      <c r="CI179" s="1291"/>
      <c r="CJ179" s="860"/>
      <c r="CK179" s="1233"/>
      <c r="CL179" s="860"/>
      <c r="CM179" s="860"/>
      <c r="CN179" s="860"/>
      <c r="CO179" s="1232"/>
      <c r="CP179" s="1233"/>
      <c r="CQ179" s="860"/>
      <c r="CR179" s="860"/>
      <c r="CS179" s="860"/>
      <c r="CT179" s="1232"/>
      <c r="CU179" s="1233"/>
      <c r="CV179" s="860"/>
      <c r="CW179" s="860"/>
      <c r="CX179" s="860"/>
      <c r="CY179" s="1232"/>
      <c r="CZ179" s="1233"/>
      <c r="DA179" s="860"/>
      <c r="DB179" s="860"/>
      <c r="DC179" s="860"/>
      <c r="DD179" s="1232"/>
      <c r="DE179" s="1233"/>
      <c r="DF179" s="860"/>
      <c r="DG179" s="860"/>
      <c r="DH179" s="860"/>
      <c r="DI179" s="1232"/>
      <c r="DJ179" s="1233"/>
      <c r="DK179" s="860"/>
      <c r="DL179" s="860"/>
      <c r="DM179" s="860"/>
      <c r="DN179" s="1232"/>
      <c r="DO179" s="1233"/>
      <c r="DP179" s="860"/>
      <c r="DQ179" s="860"/>
      <c r="DR179" s="860"/>
      <c r="DS179" s="1232"/>
      <c r="DT179" s="1233"/>
      <c r="DU179" s="860"/>
      <c r="DV179" s="860"/>
      <c r="DW179" s="860"/>
      <c r="DX179" s="1232"/>
      <c r="DY179" s="1233"/>
      <c r="DZ179" s="860"/>
      <c r="EA179" s="860"/>
      <c r="EB179" s="860"/>
      <c r="EC179" s="1232"/>
      <c r="ED179" s="860"/>
      <c r="EE179" s="860"/>
      <c r="EF179" s="860"/>
      <c r="EG179" s="860"/>
      <c r="EH179" s="860"/>
      <c r="EI179" s="1233"/>
      <c r="EJ179" s="860"/>
      <c r="EK179" s="860"/>
      <c r="EL179" s="860"/>
      <c r="EM179" s="1232"/>
      <c r="EN179" s="1233"/>
      <c r="EO179" s="860"/>
      <c r="EP179" s="860"/>
      <c r="EQ179" s="860"/>
      <c r="ER179" s="1232"/>
      <c r="ES179" s="860"/>
      <c r="ET179" s="860"/>
      <c r="EU179" s="860"/>
      <c r="EV179" s="860"/>
      <c r="EW179" s="1232"/>
      <c r="EX179" s="1233"/>
      <c r="EY179" s="860"/>
      <c r="EZ179" s="860"/>
      <c r="FA179" s="860"/>
      <c r="FB179" s="1754"/>
      <c r="FC179" s="1233"/>
      <c r="FD179" s="860"/>
      <c r="FE179" s="860"/>
      <c r="FF179" s="860"/>
      <c r="FG179" s="860"/>
      <c r="FH179" s="860"/>
      <c r="FI179" s="860"/>
      <c r="FJ179" s="860"/>
      <c r="FK179" s="860"/>
      <c r="FL179" s="860"/>
      <c r="FM179" s="860"/>
      <c r="FN179" s="860"/>
      <c r="FO179" s="860"/>
      <c r="FP179" s="860"/>
      <c r="FQ179" s="860"/>
      <c r="FR179" s="860"/>
      <c r="FS179" s="860"/>
      <c r="FT179" s="860"/>
      <c r="FU179" s="860"/>
      <c r="FV179" s="860"/>
      <c r="FW179" s="860"/>
      <c r="FX179" s="860"/>
      <c r="FY179" s="860"/>
      <c r="FZ179" s="860"/>
      <c r="GA179" s="860"/>
      <c r="GB179" s="860"/>
      <c r="GC179" s="860"/>
      <c r="GD179" s="860"/>
      <c r="GE179" s="860"/>
      <c r="GF179" s="860"/>
      <c r="GG179" s="860"/>
      <c r="GH179" s="860"/>
      <c r="GI179" s="860"/>
      <c r="GJ179" s="860"/>
      <c r="GK179" s="860"/>
      <c r="GL179" s="860"/>
      <c r="GM179" s="860"/>
      <c r="GN179" s="860"/>
      <c r="GO179" s="860"/>
      <c r="GP179" s="860"/>
      <c r="GQ179" s="860"/>
      <c r="GR179" s="1286">
        <v>1351.3600000000006</v>
      </c>
      <c r="GS179" s="1218"/>
      <c r="GT179" s="1286">
        <v>-0.94168709358928027</v>
      </c>
      <c r="GU179" s="1218"/>
      <c r="GV179" s="1299">
        <v>345.5</v>
      </c>
      <c r="GW179" s="1218"/>
      <c r="GX179" s="1218"/>
      <c r="GY179" s="1299">
        <v>1647.5221538566111</v>
      </c>
      <c r="GZ179" s="1218"/>
      <c r="HA179" s="1218"/>
      <c r="HB179" s="1299">
        <v>1239.8000000000029</v>
      </c>
      <c r="HC179" s="1218"/>
      <c r="HD179" s="2000"/>
      <c r="HE179" s="1299">
        <v>5969.3179299799303</v>
      </c>
      <c r="HF179" s="1218"/>
      <c r="HG179" s="2000"/>
      <c r="HH179" s="1286"/>
      <c r="HI179" s="1299">
        <v>1032.6999999999971</v>
      </c>
      <c r="HJ179" s="1218"/>
      <c r="HK179" s="2000"/>
      <c r="HL179" s="1299">
        <v>6429.8000000000029</v>
      </c>
      <c r="HM179" s="1218"/>
      <c r="HN179" s="2000"/>
      <c r="HO179" s="1299">
        <v>4400.7646882390327</v>
      </c>
      <c r="HP179" s="1218"/>
      <c r="HQ179" s="2000"/>
      <c r="HR179" s="1299">
        <v>637.20000000000437</v>
      </c>
    </row>
    <row r="180" spans="1:226">
      <c r="A180" s="1290"/>
      <c r="B180" s="1233"/>
      <c r="C180" s="860"/>
      <c r="D180" s="860"/>
      <c r="E180" s="860"/>
      <c r="F180" s="1232"/>
      <c r="G180" s="1233"/>
      <c r="H180" s="860"/>
      <c r="I180" s="860"/>
      <c r="J180" s="860"/>
      <c r="K180" s="1232"/>
      <c r="L180" s="1233"/>
      <c r="M180" s="860"/>
      <c r="N180" s="860"/>
      <c r="O180" s="860"/>
      <c r="P180" s="1232"/>
      <c r="Q180" s="1233"/>
      <c r="R180" s="860"/>
      <c r="S180" s="860"/>
      <c r="T180" s="860"/>
      <c r="U180" s="1232"/>
      <c r="V180" s="1233"/>
      <c r="W180" s="860"/>
      <c r="X180" s="860"/>
      <c r="Y180" s="860"/>
      <c r="Z180" s="1261"/>
      <c r="AA180" s="1233"/>
      <c r="AB180" s="860"/>
      <c r="AC180" s="860"/>
      <c r="AD180" s="966"/>
      <c r="AE180" s="1261"/>
      <c r="AF180" s="1663"/>
      <c r="AG180" s="966"/>
      <c r="AH180" s="1274"/>
      <c r="AI180" s="1274"/>
      <c r="AJ180" s="1327"/>
      <c r="AK180" s="1326"/>
      <c r="AL180" s="1274"/>
      <c r="AM180" s="1274"/>
      <c r="AN180" s="1274"/>
      <c r="AO180" s="1333"/>
      <c r="AP180" s="1332"/>
      <c r="AQ180" s="1285"/>
      <c r="AR180" s="1285"/>
      <c r="AS180" s="1285"/>
      <c r="AT180" s="1333"/>
      <c r="AU180" s="1332"/>
      <c r="AV180" s="1285"/>
      <c r="AW180" s="1285"/>
      <c r="AX180" s="1285"/>
      <c r="AY180" s="1333"/>
      <c r="AZ180" s="1332"/>
      <c r="BA180" s="1285"/>
      <c r="BB180" s="1285"/>
      <c r="BC180" s="1285"/>
      <c r="BD180" s="1333"/>
      <c r="BE180" s="1332"/>
      <c r="BF180" s="1285"/>
      <c r="BG180" s="1285"/>
      <c r="BH180" s="1285"/>
      <c r="BI180" s="1333"/>
      <c r="BJ180" s="1336"/>
      <c r="BK180" s="1291"/>
      <c r="BL180" s="1291"/>
      <c r="BM180" s="1291"/>
      <c r="BN180" s="1341"/>
      <c r="BO180" s="1336"/>
      <c r="BP180" s="1291"/>
      <c r="BQ180" s="1291"/>
      <c r="BR180" s="1291"/>
      <c r="BS180" s="1341"/>
      <c r="BT180" s="1336"/>
      <c r="BU180" s="1291"/>
      <c r="BV180" s="1291"/>
      <c r="BW180" s="1291"/>
      <c r="BX180" s="1392"/>
      <c r="BY180" s="1336"/>
      <c r="BZ180" s="1291"/>
      <c r="CA180" s="1291"/>
      <c r="CB180" s="1291"/>
      <c r="CC180" s="1800"/>
      <c r="CD180" s="1336"/>
      <c r="CE180" s="2039"/>
      <c r="CF180" s="2039"/>
      <c r="CG180" s="2039"/>
      <c r="CH180" s="1800"/>
      <c r="CI180" s="1619"/>
      <c r="CJ180" s="860"/>
      <c r="CK180" s="1233"/>
      <c r="CL180" s="860"/>
      <c r="CM180" s="860"/>
      <c r="CN180" s="860"/>
      <c r="CO180" s="1232"/>
      <c r="CP180" s="1233"/>
      <c r="CQ180" s="860"/>
      <c r="CR180" s="860"/>
      <c r="CS180" s="860"/>
      <c r="CT180" s="1232"/>
      <c r="CU180" s="1233"/>
      <c r="CV180" s="860"/>
      <c r="CW180" s="860"/>
      <c r="CX180" s="860"/>
      <c r="CY180" s="1232"/>
      <c r="CZ180" s="1233"/>
      <c r="DA180" s="860"/>
      <c r="DB180" s="860"/>
      <c r="DC180" s="860"/>
      <c r="DD180" s="1232"/>
      <c r="DE180" s="1233"/>
      <c r="DF180" s="860"/>
      <c r="DG180" s="860"/>
      <c r="DH180" s="860"/>
      <c r="DI180" s="1232"/>
      <c r="DJ180" s="1233"/>
      <c r="DK180" s="860"/>
      <c r="DL180" s="860"/>
      <c r="DM180" s="860"/>
      <c r="DN180" s="1232"/>
      <c r="DO180" s="1233"/>
      <c r="DP180" s="860"/>
      <c r="DQ180" s="860"/>
      <c r="DR180" s="860"/>
      <c r="DS180" s="1232"/>
      <c r="DT180" s="1233"/>
      <c r="DU180" s="860"/>
      <c r="DV180" s="860"/>
      <c r="DW180" s="860"/>
      <c r="DX180" s="1232"/>
      <c r="DY180" s="1233"/>
      <c r="DZ180" s="860"/>
      <c r="EA180" s="860"/>
      <c r="EB180" s="860"/>
      <c r="EC180" s="1232"/>
      <c r="ED180" s="860"/>
      <c r="EE180" s="860"/>
      <c r="EF180" s="860"/>
      <c r="EG180" s="860"/>
      <c r="EH180" s="860"/>
      <c r="EI180" s="1233"/>
      <c r="EJ180" s="860"/>
      <c r="EK180" s="860"/>
      <c r="EL180" s="860"/>
      <c r="EM180" s="1232"/>
      <c r="EN180" s="1233"/>
      <c r="EO180" s="860"/>
      <c r="EP180" s="860"/>
      <c r="EQ180" s="860"/>
      <c r="ER180" s="1232"/>
      <c r="ES180" s="860"/>
      <c r="ET180" s="860"/>
      <c r="EU180" s="860"/>
      <c r="EV180" s="860"/>
      <c r="EW180" s="1232"/>
      <c r="EX180" s="1233"/>
      <c r="EY180" s="860"/>
      <c r="EZ180" s="860"/>
      <c r="FA180" s="860"/>
      <c r="FB180" s="1754"/>
      <c r="FC180" s="1233"/>
      <c r="FD180" s="860"/>
      <c r="FE180" s="860"/>
      <c r="FF180" s="860"/>
      <c r="FG180" s="860"/>
      <c r="FH180" s="860"/>
      <c r="FI180" s="860"/>
      <c r="FJ180" s="860"/>
      <c r="FK180" s="860"/>
      <c r="FL180" s="860"/>
      <c r="FM180" s="860"/>
      <c r="FN180" s="860"/>
      <c r="FO180" s="860"/>
      <c r="FP180" s="860"/>
      <c r="FQ180" s="860"/>
      <c r="FR180" s="860"/>
      <c r="FS180" s="860"/>
      <c r="FT180" s="860"/>
      <c r="FU180" s="860"/>
      <c r="FV180" s="860"/>
      <c r="FW180" s="860"/>
      <c r="FX180" s="860"/>
      <c r="FY180" s="860"/>
      <c r="FZ180" s="860"/>
      <c r="GA180" s="860"/>
      <c r="GB180" s="860"/>
      <c r="GC180" s="860"/>
      <c r="GD180" s="860"/>
      <c r="GE180" s="860"/>
      <c r="GF180" s="860"/>
      <c r="GG180" s="860"/>
      <c r="GH180" s="860"/>
      <c r="GI180" s="860"/>
      <c r="GJ180" s="860"/>
      <c r="GK180" s="860"/>
      <c r="GL180" s="860"/>
      <c r="GM180" s="860"/>
      <c r="GN180" s="860"/>
      <c r="GO180" s="860"/>
      <c r="GP180" s="860"/>
      <c r="GQ180" s="860"/>
      <c r="GR180" s="1247"/>
      <c r="GS180" s="1218"/>
      <c r="GT180" s="1286"/>
      <c r="GU180" s="1218"/>
      <c r="GV180" s="1299"/>
      <c r="GW180" s="1218"/>
      <c r="GX180" s="1218"/>
      <c r="GY180" s="1299"/>
      <c r="GZ180" s="1218"/>
      <c r="HA180" s="1218"/>
      <c r="HB180" s="1299"/>
      <c r="HC180" s="1218"/>
      <c r="HD180" s="2000"/>
      <c r="HE180" s="1299"/>
      <c r="HF180" s="1218"/>
      <c r="HG180" s="2000"/>
      <c r="HH180" s="1286"/>
      <c r="HI180" s="1299"/>
      <c r="HJ180" s="1218"/>
      <c r="HK180" s="2000"/>
      <c r="HL180" s="1299"/>
      <c r="HM180" s="1218"/>
      <c r="HN180" s="2000"/>
      <c r="HO180" s="1299"/>
      <c r="HP180" s="1218"/>
      <c r="HQ180" s="2000"/>
      <c r="HR180" s="1299"/>
    </row>
    <row r="181" spans="1:226">
      <c r="A181" s="1308" t="s">
        <v>792</v>
      </c>
      <c r="B181" s="1233"/>
      <c r="C181" s="860"/>
      <c r="D181" s="860"/>
      <c r="E181" s="860"/>
      <c r="F181" s="1232"/>
      <c r="G181" s="1233"/>
      <c r="H181" s="860"/>
      <c r="I181" s="860"/>
      <c r="J181" s="860"/>
      <c r="K181" s="1232"/>
      <c r="L181" s="1233"/>
      <c r="M181" s="860"/>
      <c r="N181" s="860"/>
      <c r="O181" s="860"/>
      <c r="P181" s="1232"/>
      <c r="Q181" s="1233"/>
      <c r="R181" s="860"/>
      <c r="S181" s="860"/>
      <c r="T181" s="860">
        <f>T178+T184</f>
        <v>60839.9</v>
      </c>
      <c r="U181" s="1232"/>
      <c r="V181" s="1233">
        <f>V178+V184</f>
        <v>59965.8</v>
      </c>
      <c r="W181" s="860">
        <f>W178+W184</f>
        <v>68532.399999999994</v>
      </c>
      <c r="X181" s="860">
        <v>77041</v>
      </c>
      <c r="Y181" s="860">
        <v>80998</v>
      </c>
      <c r="Z181" s="1261"/>
      <c r="AA181" s="1233">
        <v>83390</v>
      </c>
      <c r="AB181" s="860">
        <v>84858</v>
      </c>
      <c r="AC181" s="860">
        <v>88819</v>
      </c>
      <c r="AD181" s="860">
        <v>110410.6</v>
      </c>
      <c r="AE181" s="1261"/>
      <c r="AF181" s="1233">
        <v>112882.4</v>
      </c>
      <c r="AG181" s="860">
        <v>116773.5</v>
      </c>
      <c r="AH181" s="860">
        <v>121776</v>
      </c>
      <c r="AI181" s="860">
        <v>126997.6</v>
      </c>
      <c r="AJ181" s="1261"/>
      <c r="AK181" s="1242"/>
      <c r="AL181" s="860">
        <v>116393.2</v>
      </c>
      <c r="AM181" s="860">
        <v>116170.1</v>
      </c>
      <c r="AN181" s="860">
        <v>122300.1</v>
      </c>
      <c r="AO181" s="1261"/>
      <c r="AP181" s="1233">
        <v>116950</v>
      </c>
      <c r="AQ181" s="860">
        <v>122558.39999999999</v>
      </c>
      <c r="AR181" s="860">
        <v>118358.39999999999</v>
      </c>
      <c r="AS181" s="860">
        <v>121972</v>
      </c>
      <c r="AT181" s="1261"/>
      <c r="AU181" s="1233">
        <v>121002</v>
      </c>
      <c r="AV181" s="860">
        <v>133988.9</v>
      </c>
      <c r="AW181" s="860">
        <v>134767.70000000001</v>
      </c>
      <c r="AX181" s="860">
        <v>120936.6</v>
      </c>
      <c r="AY181" s="1261"/>
      <c r="AZ181" s="1350">
        <v>157783.79999999999</v>
      </c>
      <c r="BA181" s="1298">
        <v>153821.70000000001</v>
      </c>
      <c r="BB181" s="1298">
        <v>146920.29999999999</v>
      </c>
      <c r="BC181" s="1298">
        <v>122553</v>
      </c>
      <c r="BD181" s="1261"/>
      <c r="BE181" s="1350">
        <v>124835.2</v>
      </c>
      <c r="BF181" s="1298">
        <v>122201.1</v>
      </c>
      <c r="BG181" s="1298">
        <v>125434.7</v>
      </c>
      <c r="BH181" s="1298">
        <v>125792.1</v>
      </c>
      <c r="BI181" s="1261"/>
      <c r="BJ181" s="1350">
        <v>113002.7</v>
      </c>
      <c r="BK181" s="1298">
        <v>113720.2</v>
      </c>
      <c r="BL181" s="1298">
        <v>116025</v>
      </c>
      <c r="BM181" s="1298">
        <v>105240.7</v>
      </c>
      <c r="BN181" s="1341"/>
      <c r="BO181" s="1350">
        <v>98911.5</v>
      </c>
      <c r="BP181" s="1298">
        <v>95420</v>
      </c>
      <c r="BQ181" s="1298">
        <v>90704</v>
      </c>
      <c r="BR181" s="1298">
        <v>88535.9</v>
      </c>
      <c r="BS181" s="1341"/>
      <c r="BT181" s="1350">
        <v>87149.1</v>
      </c>
      <c r="BU181" s="1298">
        <v>93674.7</v>
      </c>
      <c r="BV181" s="1298">
        <v>98540.1</v>
      </c>
      <c r="BW181" s="1298">
        <v>102949.1</v>
      </c>
      <c r="BX181" s="1392"/>
      <c r="BY181" s="1350">
        <v>96922.9</v>
      </c>
      <c r="BZ181" s="1298">
        <v>88864.5</v>
      </c>
      <c r="CA181" s="1298">
        <v>87061.1</v>
      </c>
      <c r="CB181" s="1298">
        <v>85994.2</v>
      </c>
      <c r="CC181" s="1800">
        <f>Master!X306+Master!X323</f>
        <v>96866.187999999995</v>
      </c>
      <c r="CD181" s="1350">
        <v>82048.100000000006</v>
      </c>
      <c r="CE181" s="2039">
        <v>85000</v>
      </c>
      <c r="CF181" s="2039">
        <v>90000</v>
      </c>
      <c r="CG181" s="2039">
        <f>CH181</f>
        <v>97737.390734149056</v>
      </c>
      <c r="CH181" s="1800">
        <f>Master!Y306+Master!Y323</f>
        <v>97737.390734149056</v>
      </c>
      <c r="CI181" s="1619"/>
      <c r="CJ181" s="860"/>
      <c r="CK181" s="1233"/>
      <c r="CL181" s="860"/>
      <c r="CM181" s="860"/>
      <c r="CN181" s="860"/>
      <c r="CO181" s="1232"/>
      <c r="CP181" s="1233"/>
      <c r="CQ181" s="860"/>
      <c r="CR181" s="860"/>
      <c r="CS181" s="860"/>
      <c r="CT181" s="1232"/>
      <c r="CU181" s="1233"/>
      <c r="CV181" s="860"/>
      <c r="CW181" s="860"/>
      <c r="CX181" s="860"/>
      <c r="CY181" s="1232"/>
      <c r="CZ181" s="1233"/>
      <c r="DA181" s="860"/>
      <c r="DB181" s="860"/>
      <c r="DC181" s="860"/>
      <c r="DD181" s="1232"/>
      <c r="DE181" s="1233"/>
      <c r="DF181" s="860"/>
      <c r="DG181" s="860"/>
      <c r="DH181" s="860"/>
      <c r="DI181" s="1232"/>
      <c r="DJ181" s="1233"/>
      <c r="DK181" s="860"/>
      <c r="DL181" s="860"/>
      <c r="DM181" s="860"/>
      <c r="DN181" s="1232"/>
      <c r="DO181" s="1233"/>
      <c r="DP181" s="860"/>
      <c r="DQ181" s="860"/>
      <c r="DR181" s="860"/>
      <c r="DS181" s="1232"/>
      <c r="DT181" s="1233"/>
      <c r="DU181" s="860"/>
      <c r="DV181" s="860"/>
      <c r="DW181" s="860"/>
      <c r="DX181" s="1232"/>
      <c r="DY181" s="1233"/>
      <c r="DZ181" s="860"/>
      <c r="EA181" s="860"/>
      <c r="EB181" s="860"/>
      <c r="EC181" s="1232"/>
      <c r="ED181" s="860"/>
      <c r="EE181" s="860"/>
      <c r="EF181" s="860"/>
      <c r="EG181" s="860"/>
      <c r="EH181" s="860"/>
      <c r="EI181" s="1233"/>
      <c r="EJ181" s="860"/>
      <c r="EK181" s="860"/>
      <c r="EL181" s="860"/>
      <c r="EM181" s="1232"/>
      <c r="EN181" s="1233"/>
      <c r="EO181" s="860"/>
      <c r="EP181" s="860"/>
      <c r="EQ181" s="860"/>
      <c r="ER181" s="1232"/>
      <c r="ES181" s="860"/>
      <c r="ET181" s="860"/>
      <c r="EU181" s="860"/>
      <c r="EV181" s="860"/>
      <c r="EW181" s="1232"/>
      <c r="EX181" s="1233"/>
      <c r="EY181" s="860"/>
      <c r="EZ181" s="860"/>
      <c r="FA181" s="860"/>
      <c r="FB181" s="1754"/>
      <c r="FC181" s="1233"/>
      <c r="FD181" s="860"/>
      <c r="FE181" s="860"/>
      <c r="FF181" s="860"/>
      <c r="FG181" s="860"/>
      <c r="FH181" s="860"/>
      <c r="FI181" s="860"/>
      <c r="FJ181" s="860"/>
      <c r="FK181" s="860"/>
      <c r="FL181" s="860"/>
      <c r="FM181" s="860"/>
      <c r="FN181" s="860"/>
      <c r="FO181" s="860"/>
      <c r="FP181" s="860"/>
      <c r="FQ181" s="860"/>
      <c r="FR181" s="860"/>
      <c r="FS181" s="860"/>
      <c r="FT181" s="860"/>
      <c r="FU181" s="860"/>
      <c r="FV181" s="860"/>
      <c r="FW181" s="860"/>
      <c r="FX181" s="860"/>
      <c r="FY181" s="860"/>
      <c r="FZ181" s="860"/>
      <c r="GA181" s="860"/>
      <c r="GB181" s="860"/>
      <c r="GC181" s="860"/>
      <c r="GD181" s="860"/>
      <c r="GE181" s="860"/>
      <c r="GF181" s="860"/>
      <c r="GG181" s="860"/>
      <c r="GH181" s="860"/>
      <c r="GI181" s="860"/>
      <c r="GJ181" s="860"/>
      <c r="GK181" s="860"/>
      <c r="GL181" s="860"/>
      <c r="GM181" s="860"/>
      <c r="GN181" s="860"/>
      <c r="GO181" s="860"/>
      <c r="GP181" s="860"/>
      <c r="GQ181" s="860"/>
      <c r="GR181" s="1279">
        <v>1573.3890000000001</v>
      </c>
      <c r="GS181" s="1218"/>
      <c r="GT181" s="1241"/>
      <c r="GU181" s="1218"/>
      <c r="GV181" s="1299">
        <v>88800</v>
      </c>
      <c r="GW181" s="1218"/>
      <c r="GX181" s="1218"/>
      <c r="GY181" s="1299">
        <v>92103.822153856614</v>
      </c>
      <c r="GZ181" s="1218"/>
      <c r="HA181" s="1218"/>
      <c r="HB181" s="1299">
        <v>92016.200000000012</v>
      </c>
      <c r="HC181" s="1218"/>
      <c r="HD181" s="2000"/>
      <c r="HE181" s="1299">
        <v>107636.03532202789</v>
      </c>
      <c r="HF181" s="1218"/>
      <c r="HG181" s="2000"/>
      <c r="HH181" s="1241"/>
      <c r="HI181" s="1299">
        <v>100000</v>
      </c>
      <c r="HJ181" s="1218"/>
      <c r="HK181" s="2000"/>
      <c r="HL181" s="1299">
        <v>104000</v>
      </c>
      <c r="HM181" s="1218"/>
      <c r="HN181" s="2000"/>
      <c r="HO181" s="1299">
        <v>98677.090771206975</v>
      </c>
      <c r="HP181" s="1218"/>
      <c r="HQ181" s="2000"/>
      <c r="HR181" s="1299">
        <v>82048.100000000006</v>
      </c>
    </row>
    <row r="182" spans="1:226">
      <c r="A182" s="1308" t="s">
        <v>793</v>
      </c>
      <c r="B182" s="1233"/>
      <c r="C182" s="860"/>
      <c r="D182" s="860"/>
      <c r="E182" s="860"/>
      <c r="F182" s="1232"/>
      <c r="G182" s="1233"/>
      <c r="H182" s="860"/>
      <c r="I182" s="860"/>
      <c r="J182" s="860"/>
      <c r="K182" s="1232"/>
      <c r="L182" s="1233"/>
      <c r="M182" s="860"/>
      <c r="N182" s="860"/>
      <c r="O182" s="860"/>
      <c r="P182" s="1232"/>
      <c r="Q182" s="1233"/>
      <c r="R182" s="860"/>
      <c r="S182" s="860"/>
      <c r="T182" s="860"/>
      <c r="U182" s="1232"/>
      <c r="V182" s="1233"/>
      <c r="W182" s="860"/>
      <c r="X182" s="860"/>
      <c r="Y182" s="860"/>
      <c r="Z182" s="1261"/>
      <c r="AA182" s="1233"/>
      <c r="AB182" s="860"/>
      <c r="AC182" s="860"/>
      <c r="AD182" s="1274">
        <v>5805.2</v>
      </c>
      <c r="AE182" s="1261"/>
      <c r="AF182" s="1233">
        <v>5747.8</v>
      </c>
      <c r="AG182" s="860">
        <v>5954</v>
      </c>
      <c r="AH182" s="860">
        <v>6093.9</v>
      </c>
      <c r="AI182" s="860">
        <v>5816.2</v>
      </c>
      <c r="AJ182" s="1261"/>
      <c r="AK182" s="1242"/>
      <c r="AL182" s="860">
        <v>4988.6000000000004</v>
      </c>
      <c r="AM182" s="860">
        <v>4810.8</v>
      </c>
      <c r="AN182" s="860">
        <v>5041.8999999999996</v>
      </c>
      <c r="AO182" s="1261"/>
      <c r="AP182" s="1233">
        <v>4610.5</v>
      </c>
      <c r="AQ182" s="860">
        <v>5580.5</v>
      </c>
      <c r="AR182" s="860">
        <v>5206.8999999999996</v>
      </c>
      <c r="AS182" s="860">
        <v>5317.9</v>
      </c>
      <c r="AT182" s="1261"/>
      <c r="AU182" s="1233">
        <v>9897.5</v>
      </c>
      <c r="AV182" s="860">
        <v>9612.5</v>
      </c>
      <c r="AW182" s="860">
        <v>9656.6</v>
      </c>
      <c r="AX182" s="860">
        <v>9363.6</v>
      </c>
      <c r="AY182" s="1261"/>
      <c r="AZ182" s="1350">
        <v>10627.5</v>
      </c>
      <c r="BA182" s="1298">
        <v>10079.299999999999</v>
      </c>
      <c r="BB182" s="1298">
        <v>9840</v>
      </c>
      <c r="BC182" s="1298">
        <v>9292.2999999999993</v>
      </c>
      <c r="BD182" s="1261"/>
      <c r="BE182" s="1350">
        <v>9024.2000000000007</v>
      </c>
      <c r="BF182" s="1298">
        <v>8903.2000000000007</v>
      </c>
      <c r="BG182" s="1298">
        <v>9208.5</v>
      </c>
      <c r="BH182" s="1298">
        <v>9680.6</v>
      </c>
      <c r="BI182" s="1261"/>
      <c r="BJ182" s="1350">
        <v>8874.4</v>
      </c>
      <c r="BK182" s="1298">
        <v>8586.7999999999993</v>
      </c>
      <c r="BL182" s="1298">
        <v>8357</v>
      </c>
      <c r="BM182" s="1298">
        <v>8369</v>
      </c>
      <c r="BN182" s="1341"/>
      <c r="BO182" s="1350">
        <v>8052.2</v>
      </c>
      <c r="BP182" s="1298">
        <v>7730.4</v>
      </c>
      <c r="BQ182" s="1298">
        <v>7518</v>
      </c>
      <c r="BR182" s="1298">
        <v>7291.5</v>
      </c>
      <c r="BS182" s="1341"/>
      <c r="BT182" s="1350">
        <v>5935.7</v>
      </c>
      <c r="BU182" s="1298">
        <v>5746.2</v>
      </c>
      <c r="BV182" s="1298">
        <v>5336.6</v>
      </c>
      <c r="BW182" s="1298">
        <v>5386.7</v>
      </c>
      <c r="BX182" s="1392"/>
      <c r="BY182" s="1350">
        <v>5050.5</v>
      </c>
      <c r="BZ182" s="1298">
        <v>4639.2</v>
      </c>
      <c r="CA182" s="1298">
        <v>4702.7</v>
      </c>
      <c r="CB182" s="1298">
        <v>5436</v>
      </c>
      <c r="CC182" s="1800">
        <f>Master!X323</f>
        <v>5435.9880000000003</v>
      </c>
      <c r="CD182" s="1350">
        <v>6509.7</v>
      </c>
      <c r="CE182" s="2039">
        <v>6000</v>
      </c>
      <c r="CF182" s="2039">
        <v>5700</v>
      </c>
      <c r="CG182" s="2039">
        <f>CH182</f>
        <v>5435.9880000000003</v>
      </c>
      <c r="CH182" s="1800">
        <f>Master!Y323</f>
        <v>5435.9880000000003</v>
      </c>
      <c r="CI182" s="1619"/>
      <c r="CJ182" s="860"/>
      <c r="CK182" s="1233"/>
      <c r="CL182" s="860"/>
      <c r="CM182" s="860"/>
      <c r="CN182" s="860"/>
      <c r="CO182" s="1232"/>
      <c r="CP182" s="1233"/>
      <c r="CQ182" s="860"/>
      <c r="CR182" s="860"/>
      <c r="CS182" s="860"/>
      <c r="CT182" s="1232"/>
      <c r="CU182" s="1233"/>
      <c r="CV182" s="860"/>
      <c r="CW182" s="860"/>
      <c r="CX182" s="860"/>
      <c r="CY182" s="1232"/>
      <c r="CZ182" s="1233"/>
      <c r="DA182" s="860"/>
      <c r="DB182" s="860"/>
      <c r="DC182" s="860"/>
      <c r="DD182" s="1232"/>
      <c r="DE182" s="1233"/>
      <c r="DF182" s="860"/>
      <c r="DG182" s="860"/>
      <c r="DH182" s="860"/>
      <c r="DI182" s="1232"/>
      <c r="DJ182" s="1233"/>
      <c r="DK182" s="860"/>
      <c r="DL182" s="860"/>
      <c r="DM182" s="860"/>
      <c r="DN182" s="1232"/>
      <c r="DO182" s="1233"/>
      <c r="DP182" s="860"/>
      <c r="DQ182" s="860"/>
      <c r="DR182" s="860"/>
      <c r="DS182" s="1232"/>
      <c r="DT182" s="1233"/>
      <c r="DU182" s="860"/>
      <c r="DV182" s="860"/>
      <c r="DW182" s="860"/>
      <c r="DX182" s="1232"/>
      <c r="DY182" s="1233"/>
      <c r="DZ182" s="860"/>
      <c r="EA182" s="860"/>
      <c r="EB182" s="860"/>
      <c r="EC182" s="1232"/>
      <c r="ED182" s="860"/>
      <c r="EE182" s="860"/>
      <c r="EF182" s="860"/>
      <c r="EG182" s="860"/>
      <c r="EH182" s="860"/>
      <c r="EI182" s="1233"/>
      <c r="EJ182" s="860"/>
      <c r="EK182" s="860"/>
      <c r="EL182" s="860"/>
      <c r="EM182" s="1232"/>
      <c r="EN182" s="1233"/>
      <c r="EO182" s="860"/>
      <c r="EP182" s="860"/>
      <c r="EQ182" s="860"/>
      <c r="ER182" s="1232"/>
      <c r="ES182" s="860"/>
      <c r="ET182" s="860"/>
      <c r="EU182" s="860"/>
      <c r="EV182" s="860"/>
      <c r="EW182" s="1232"/>
      <c r="EX182" s="1233"/>
      <c r="EY182" s="860"/>
      <c r="EZ182" s="860"/>
      <c r="FA182" s="860"/>
      <c r="FB182" s="1754"/>
      <c r="FC182" s="1233"/>
      <c r="FD182" s="860"/>
      <c r="FE182" s="860"/>
      <c r="FF182" s="860"/>
      <c r="FG182" s="860"/>
      <c r="FH182" s="860"/>
      <c r="FI182" s="860"/>
      <c r="FJ182" s="860"/>
      <c r="FK182" s="860"/>
      <c r="FL182" s="860"/>
      <c r="FM182" s="860"/>
      <c r="FN182" s="860"/>
      <c r="FO182" s="860"/>
      <c r="FP182" s="860"/>
      <c r="FQ182" s="860"/>
      <c r="FR182" s="860"/>
      <c r="FS182" s="860"/>
      <c r="FT182" s="860"/>
      <c r="FU182" s="860"/>
      <c r="FV182" s="860"/>
      <c r="FW182" s="860"/>
      <c r="FX182" s="860"/>
      <c r="FY182" s="860"/>
      <c r="FZ182" s="860"/>
      <c r="GA182" s="860"/>
      <c r="GB182" s="860"/>
      <c r="GC182" s="860"/>
      <c r="GD182" s="860"/>
      <c r="GE182" s="860"/>
      <c r="GF182" s="860"/>
      <c r="GG182" s="860"/>
      <c r="GH182" s="860"/>
      <c r="GI182" s="860"/>
      <c r="GJ182" s="860"/>
      <c r="GK182" s="860"/>
      <c r="GL182" s="860"/>
      <c r="GM182" s="860"/>
      <c r="GN182" s="860"/>
      <c r="GO182" s="860"/>
      <c r="GP182" s="860"/>
      <c r="GQ182" s="860"/>
      <c r="GR182" s="1241"/>
      <c r="GS182" s="1218"/>
      <c r="GT182" s="1241"/>
      <c r="GU182" s="1218"/>
      <c r="GV182" s="1299">
        <v>6000</v>
      </c>
      <c r="GW182" s="1218"/>
      <c r="GX182" s="1218"/>
      <c r="GY182" s="1299">
        <v>6000</v>
      </c>
      <c r="GZ182" s="1218"/>
      <c r="HA182" s="1218"/>
      <c r="HB182" s="1299">
        <v>6000</v>
      </c>
      <c r="HC182" s="1218"/>
      <c r="HD182" s="2000"/>
      <c r="HE182" s="1299">
        <v>6000</v>
      </c>
      <c r="HF182" s="1218"/>
      <c r="HG182" s="2000"/>
      <c r="HH182" s="1241"/>
      <c r="HI182" s="1299">
        <v>5100</v>
      </c>
      <c r="HJ182" s="1218"/>
      <c r="HK182" s="2000"/>
      <c r="HL182" s="1299">
        <v>5200</v>
      </c>
      <c r="HM182" s="1218"/>
      <c r="HN182" s="2000"/>
      <c r="HO182" s="1299">
        <v>5386.6390000000001</v>
      </c>
      <c r="HP182" s="1218"/>
      <c r="HQ182" s="2000"/>
      <c r="HR182" s="1299">
        <v>6509.7</v>
      </c>
    </row>
    <row r="183" spans="1:226">
      <c r="A183" s="1308" t="s">
        <v>794</v>
      </c>
      <c r="B183" s="1233"/>
      <c r="C183" s="860"/>
      <c r="D183" s="860"/>
      <c r="E183" s="860"/>
      <c r="F183" s="1232"/>
      <c r="G183" s="1233"/>
      <c r="H183" s="860"/>
      <c r="I183" s="860"/>
      <c r="J183" s="860"/>
      <c r="K183" s="1232"/>
      <c r="L183" s="1233"/>
      <c r="M183" s="860"/>
      <c r="N183" s="860"/>
      <c r="O183" s="860"/>
      <c r="P183" s="1232"/>
      <c r="Q183" s="1233"/>
      <c r="R183" s="860"/>
      <c r="S183" s="860"/>
      <c r="T183" s="860"/>
      <c r="U183" s="1232"/>
      <c r="V183" s="1233"/>
      <c r="W183" s="860"/>
      <c r="X183" s="860"/>
      <c r="Y183" s="860"/>
      <c r="Z183" s="1261"/>
      <c r="AA183" s="1233"/>
      <c r="AB183" s="860"/>
      <c r="AC183" s="860"/>
      <c r="AD183" s="1274"/>
      <c r="AE183" s="1261"/>
      <c r="AF183" s="1233"/>
      <c r="AG183" s="860"/>
      <c r="AH183" s="860">
        <v>4817.3999999999996</v>
      </c>
      <c r="AI183" s="860"/>
      <c r="AJ183" s="1261"/>
      <c r="AK183" s="1242"/>
      <c r="AL183" s="860"/>
      <c r="AM183" s="860"/>
      <c r="AN183" s="860"/>
      <c r="AO183" s="1261"/>
      <c r="AP183" s="1242"/>
      <c r="AQ183" s="1162"/>
      <c r="AR183" s="1162"/>
      <c r="AS183" s="1162"/>
      <c r="AT183" s="1261"/>
      <c r="AU183" s="1242"/>
      <c r="AV183" s="1162"/>
      <c r="AW183" s="1162"/>
      <c r="AX183" s="1162"/>
      <c r="AY183" s="1261"/>
      <c r="AZ183" s="1242"/>
      <c r="BA183" s="1162"/>
      <c r="BB183" s="1162"/>
      <c r="BC183" s="1162"/>
      <c r="BD183" s="1261"/>
      <c r="BE183" s="1242"/>
      <c r="BF183" s="1162"/>
      <c r="BG183" s="1162"/>
      <c r="BH183" s="1162"/>
      <c r="BI183" s="1261"/>
      <c r="BJ183" s="1336"/>
      <c r="BK183" s="1291"/>
      <c r="BL183" s="1291"/>
      <c r="BM183" s="1291"/>
      <c r="BN183" s="1341"/>
      <c r="BO183" s="1336"/>
      <c r="BP183" s="1291"/>
      <c r="BQ183" s="1291"/>
      <c r="BR183" s="1291"/>
      <c r="BS183" s="1341"/>
      <c r="BT183" s="1336"/>
      <c r="BU183" s="1291"/>
      <c r="BV183" s="1291"/>
      <c r="BW183" s="1291"/>
      <c r="BX183" s="1341"/>
      <c r="BY183" s="1336"/>
      <c r="BZ183" s="1291"/>
      <c r="CA183" s="1291"/>
      <c r="CB183" s="1291"/>
      <c r="CC183" s="1762"/>
      <c r="CD183" s="1336"/>
      <c r="CE183" s="2039"/>
      <c r="CF183" s="2039"/>
      <c r="CG183" s="2039"/>
      <c r="CH183" s="1762"/>
      <c r="CI183" s="1291"/>
      <c r="CJ183" s="860"/>
      <c r="CK183" s="1233"/>
      <c r="CL183" s="860"/>
      <c r="CM183" s="860"/>
      <c r="CN183" s="860"/>
      <c r="CO183" s="1232"/>
      <c r="CP183" s="1233"/>
      <c r="CQ183" s="860"/>
      <c r="CR183" s="860"/>
      <c r="CS183" s="860"/>
      <c r="CT183" s="1232"/>
      <c r="CU183" s="1233"/>
      <c r="CV183" s="860"/>
      <c r="CW183" s="860"/>
      <c r="CX183" s="860"/>
      <c r="CY183" s="1232"/>
      <c r="CZ183" s="1233"/>
      <c r="DA183" s="860"/>
      <c r="DB183" s="860"/>
      <c r="DC183" s="860"/>
      <c r="DD183" s="1232"/>
      <c r="DE183" s="1233"/>
      <c r="DF183" s="860"/>
      <c r="DG183" s="860"/>
      <c r="DH183" s="860"/>
      <c r="DI183" s="1232"/>
      <c r="DJ183" s="1233"/>
      <c r="DK183" s="860"/>
      <c r="DL183" s="860"/>
      <c r="DM183" s="860"/>
      <c r="DN183" s="1232"/>
      <c r="DO183" s="1233"/>
      <c r="DP183" s="860"/>
      <c r="DQ183" s="860"/>
      <c r="DR183" s="860"/>
      <c r="DS183" s="1232"/>
      <c r="DT183" s="1233"/>
      <c r="DU183" s="860"/>
      <c r="DV183" s="860"/>
      <c r="DW183" s="860"/>
      <c r="DX183" s="1232"/>
      <c r="DY183" s="1233"/>
      <c r="DZ183" s="860"/>
      <c r="EA183" s="860"/>
      <c r="EB183" s="860"/>
      <c r="EC183" s="1232"/>
      <c r="ED183" s="860"/>
      <c r="EE183" s="860"/>
      <c r="EF183" s="860"/>
      <c r="EG183" s="860"/>
      <c r="EH183" s="860"/>
      <c r="EI183" s="1233"/>
      <c r="EJ183" s="860"/>
      <c r="EK183" s="860"/>
      <c r="EL183" s="860"/>
      <c r="EM183" s="1232"/>
      <c r="EN183" s="1233"/>
      <c r="EO183" s="860"/>
      <c r="EP183" s="860"/>
      <c r="EQ183" s="860"/>
      <c r="ER183" s="1232"/>
      <c r="ES183" s="860"/>
      <c r="ET183" s="860"/>
      <c r="EU183" s="860"/>
      <c r="EV183" s="860"/>
      <c r="EW183" s="1232"/>
      <c r="EX183" s="1233"/>
      <c r="EY183" s="860"/>
      <c r="EZ183" s="860"/>
      <c r="FA183" s="860"/>
      <c r="FB183" s="1754"/>
      <c r="FC183" s="1233"/>
      <c r="FD183" s="860"/>
      <c r="FE183" s="860"/>
      <c r="FF183" s="860"/>
      <c r="FG183" s="860"/>
      <c r="FH183" s="860"/>
      <c r="FI183" s="860"/>
      <c r="FJ183" s="860"/>
      <c r="FK183" s="860"/>
      <c r="FL183" s="860"/>
      <c r="FM183" s="860"/>
      <c r="FN183" s="860"/>
      <c r="FO183" s="860"/>
      <c r="FP183" s="860"/>
      <c r="FQ183" s="860"/>
      <c r="FR183" s="860"/>
      <c r="FS183" s="860"/>
      <c r="FT183" s="860"/>
      <c r="FU183" s="860"/>
      <c r="FV183" s="860"/>
      <c r="FW183" s="860"/>
      <c r="FX183" s="860"/>
      <c r="FY183" s="860"/>
      <c r="FZ183" s="860"/>
      <c r="GA183" s="860"/>
      <c r="GB183" s="860"/>
      <c r="GC183" s="860"/>
      <c r="GD183" s="860"/>
      <c r="GE183" s="860"/>
      <c r="GF183" s="860"/>
      <c r="GG183" s="860"/>
      <c r="GH183" s="860"/>
      <c r="GI183" s="860"/>
      <c r="GJ183" s="860"/>
      <c r="GK183" s="860"/>
      <c r="GL183" s="860"/>
      <c r="GM183" s="860"/>
      <c r="GN183" s="860"/>
      <c r="GO183" s="860"/>
      <c r="GP183" s="860"/>
      <c r="GQ183" s="860"/>
      <c r="GR183" s="1241"/>
      <c r="GS183" s="1218"/>
      <c r="GT183" s="1241"/>
      <c r="GU183" s="1218"/>
      <c r="GV183" s="1299"/>
      <c r="GW183" s="1218"/>
      <c r="GX183" s="1218"/>
      <c r="GY183" s="1299"/>
      <c r="GZ183" s="1218"/>
      <c r="HA183" s="1218"/>
      <c r="HB183" s="1299"/>
      <c r="HC183" s="1218"/>
      <c r="HD183" s="2000"/>
      <c r="HE183" s="1299"/>
      <c r="HF183" s="1218"/>
      <c r="HG183" s="2000"/>
      <c r="HH183" s="1241"/>
      <c r="HI183" s="1299"/>
      <c r="HJ183" s="1218"/>
      <c r="HK183" s="2000"/>
      <c r="HL183" s="1299"/>
      <c r="HM183" s="1218"/>
      <c r="HN183" s="2000"/>
      <c r="HO183" s="1299"/>
      <c r="HP183" s="1218"/>
      <c r="HQ183" s="2000"/>
      <c r="HR183" s="1299"/>
    </row>
    <row r="184" spans="1:226">
      <c r="A184" s="1308" t="s">
        <v>795</v>
      </c>
      <c r="B184" s="1233"/>
      <c r="C184" s="860"/>
      <c r="D184" s="860"/>
      <c r="E184" s="860"/>
      <c r="F184" s="1232"/>
      <c r="G184" s="1233"/>
      <c r="H184" s="860"/>
      <c r="I184" s="860"/>
      <c r="J184" s="860"/>
      <c r="K184" s="1232"/>
      <c r="L184" s="1233"/>
      <c r="M184" s="860"/>
      <c r="N184" s="860"/>
      <c r="O184" s="860"/>
      <c r="P184" s="1232"/>
      <c r="Q184" s="1233"/>
      <c r="R184" s="860"/>
      <c r="S184" s="860"/>
      <c r="T184" s="860">
        <f>16692+3723+5431.9</f>
        <v>25846.9</v>
      </c>
      <c r="U184" s="1232"/>
      <c r="V184" s="1233">
        <f>18416+3761+4747</f>
        <v>26924</v>
      </c>
      <c r="W184" s="860">
        <f>31962.6+5072.8</f>
        <v>37035.4</v>
      </c>
      <c r="X184" s="860">
        <f>X181-X178</f>
        <v>37293</v>
      </c>
      <c r="Y184" s="860">
        <f>Y181-Y178</f>
        <v>40491</v>
      </c>
      <c r="Z184" s="1261"/>
      <c r="AA184" s="1233">
        <f>AA181-AA178</f>
        <v>44129</v>
      </c>
      <c r="AB184" s="860">
        <f>AB181-AB178</f>
        <v>41425</v>
      </c>
      <c r="AC184" s="860">
        <f>AC181-AC178</f>
        <v>41092</v>
      </c>
      <c r="AD184" s="860">
        <f>AD181-AD178</f>
        <v>54929.600000000006</v>
      </c>
      <c r="AE184" s="1261"/>
      <c r="AF184" s="1326">
        <f>AF181-AF178</f>
        <v>59916.399999999994</v>
      </c>
      <c r="AG184" s="1274">
        <f>AG181-AG178</f>
        <v>54459.3</v>
      </c>
      <c r="AH184" s="1274">
        <f>AH181+AH182+AH183-AH178</f>
        <v>58944.399999999994</v>
      </c>
      <c r="AI184" s="1274">
        <f>AI181+AI182+AI183-AI178</f>
        <v>54407.900000000023</v>
      </c>
      <c r="AJ184" s="1261"/>
      <c r="AK184" s="1242"/>
      <c r="AL184" s="1274">
        <f>AL181+AL182+AL183-AL178</f>
        <v>49297.7</v>
      </c>
      <c r="AM184" s="1274">
        <f>AM181+AM182+AM183-AM178</f>
        <v>47027.900000000009</v>
      </c>
      <c r="AN184" s="1274">
        <f>AN181+AN182+AN183-AN178</f>
        <v>48068.899999999994</v>
      </c>
      <c r="AO184" s="1261"/>
      <c r="AP184" s="1326">
        <f>AP181+AP182+AP183-AP178</f>
        <v>48221.2</v>
      </c>
      <c r="AQ184" s="1274">
        <f>AQ181+AQ182+AQ183-AQ178</f>
        <v>55962</v>
      </c>
      <c r="AR184" s="1274">
        <f>AR181+AR182+AR183-AR178</f>
        <v>54934.899999999994</v>
      </c>
      <c r="AS184" s="1274">
        <f>AS181+AS182+AS183-AS178</f>
        <v>43971.399999999994</v>
      </c>
      <c r="AT184" s="1261"/>
      <c r="AU184" s="1326">
        <f>AU181+AU182+AU183-AU178</f>
        <v>36623.5</v>
      </c>
      <c r="AV184" s="1274">
        <f>AV181+AV182+AV183-AV178</f>
        <v>50106.2</v>
      </c>
      <c r="AW184" s="1274">
        <f>AW181+AW182+AW183-AW178</f>
        <v>49429.60000000002</v>
      </c>
      <c r="AX184" s="1274">
        <f>AX181+AX182+AX183-AX178</f>
        <v>36567.100000000006</v>
      </c>
      <c r="AY184" s="1261"/>
      <c r="AZ184" s="1291">
        <f>AZ181+AZ182-AZ178</f>
        <v>54754.499999999985</v>
      </c>
      <c r="BA184" s="1291">
        <f>BA181+BA182-BA178</f>
        <v>54863.5</v>
      </c>
      <c r="BB184" s="1291">
        <f>BB181+BB182-BB178</f>
        <v>52072.099999999991</v>
      </c>
      <c r="BC184" s="1291">
        <f>BC181+BC182-BC178</f>
        <v>35702.299999999988</v>
      </c>
      <c r="BD184" s="1261"/>
      <c r="BE184" s="1291">
        <f>BE181+BE182-BE178</f>
        <v>34540.599999999991</v>
      </c>
      <c r="BF184" s="1291">
        <f>BF181+BF182-BF178</f>
        <v>30991.10000000002</v>
      </c>
      <c r="BG184" s="1291">
        <f>BG181+BG182-BG178</f>
        <v>25861.300000000017</v>
      </c>
      <c r="BH184" s="1291">
        <f>BH181+BH182-BH178</f>
        <v>30252.800000000017</v>
      </c>
      <c r="BI184" s="1261"/>
      <c r="BJ184" s="1291">
        <f>BJ181+BJ182-BJ178</f>
        <v>64928.899999999994</v>
      </c>
      <c r="BK184" s="1291">
        <f>BK181+BK182-BK178</f>
        <v>63208.3</v>
      </c>
      <c r="BL184" s="1291">
        <f>BL181+BL182-BL178</f>
        <v>65023.3</v>
      </c>
      <c r="BM184" s="1291">
        <f>BM181+BM182-BM178</f>
        <v>54515.299999999996</v>
      </c>
      <c r="BN184" s="1341"/>
      <c r="BO184" s="1336">
        <f>BO181+BO182-BO178</f>
        <v>46580.5</v>
      </c>
      <c r="BP184" s="1291">
        <f>BP181+BP182-BP178</f>
        <v>41566.199999999997</v>
      </c>
      <c r="BQ184" s="1291">
        <f>BQ181+BQ182-BQ178</f>
        <v>35332.6</v>
      </c>
      <c r="BR184" s="1291">
        <f>BR181+BR182-BR178</f>
        <v>35172.899999999994</v>
      </c>
      <c r="BS184" s="1341"/>
      <c r="BT184" s="1336">
        <f>BT181+BT182-BT178</f>
        <v>35628.5</v>
      </c>
      <c r="BU184" s="1291">
        <f>BU181+BU182-BU178</f>
        <v>40144.499999999993</v>
      </c>
      <c r="BV184" s="1291">
        <f>BV181+BV182-BV178</f>
        <v>43847.80000000001</v>
      </c>
      <c r="BW184" s="1291">
        <f>BW181+BW182-BW178</f>
        <v>48687.9</v>
      </c>
      <c r="BX184" s="1341"/>
      <c r="BY184" s="1336">
        <f>BY181+BY182-BY178</f>
        <v>46506.099999999991</v>
      </c>
      <c r="BZ184" s="1291">
        <f>BZ181+BZ182-BZ178</f>
        <v>41933.5</v>
      </c>
      <c r="CA184" s="1291">
        <f>CA181+CA182-CA178</f>
        <v>41677.5</v>
      </c>
      <c r="CB184" s="1291">
        <f>CB181+CB182-CB178</f>
        <v>42315</v>
      </c>
      <c r="CC184" s="1762">
        <f>Master!X307</f>
        <v>36375.699999999997</v>
      </c>
      <c r="CD184" s="1336">
        <f>CD181+CD182-CD178</f>
        <v>38805.4</v>
      </c>
      <c r="CE184" s="2039">
        <f>CE181+CE182-CE178</f>
        <v>40000</v>
      </c>
      <c r="CF184" s="2039">
        <f>CF181+CF182-CF178</f>
        <v>43200</v>
      </c>
      <c r="CG184" s="2039">
        <f ca="1">CG181+CG182-CG178</f>
        <v>48519.883805368438</v>
      </c>
      <c r="CH184" s="1762">
        <f ca="1">Master!Y307</f>
        <v>37647.907805368442</v>
      </c>
      <c r="CI184" s="1291"/>
      <c r="CJ184" s="860"/>
      <c r="CK184" s="1233"/>
      <c r="CL184" s="860"/>
      <c r="CM184" s="860"/>
      <c r="CN184" s="860"/>
      <c r="CO184" s="1232"/>
      <c r="CP184" s="1233"/>
      <c r="CQ184" s="860"/>
      <c r="CR184" s="860"/>
      <c r="CS184" s="860"/>
      <c r="CT184" s="1232"/>
      <c r="CU184" s="1233"/>
      <c r="CV184" s="860"/>
      <c r="CW184" s="860"/>
      <c r="CX184" s="860"/>
      <c r="CY184" s="1232"/>
      <c r="CZ184" s="1233"/>
      <c r="DA184" s="860"/>
      <c r="DB184" s="860"/>
      <c r="DC184" s="860"/>
      <c r="DD184" s="1232"/>
      <c r="DE184" s="1233"/>
      <c r="DF184" s="860"/>
      <c r="DG184" s="860"/>
      <c r="DH184" s="860"/>
      <c r="DI184" s="1232"/>
      <c r="DJ184" s="1233"/>
      <c r="DK184" s="860"/>
      <c r="DL184" s="860"/>
      <c r="DM184" s="860"/>
      <c r="DN184" s="1232"/>
      <c r="DO184" s="1233"/>
      <c r="DP184" s="860"/>
      <c r="DQ184" s="860"/>
      <c r="DR184" s="860"/>
      <c r="DS184" s="1232"/>
      <c r="DT184" s="1233"/>
      <c r="DU184" s="860"/>
      <c r="DV184" s="860"/>
      <c r="DW184" s="860"/>
      <c r="DX184" s="1232"/>
      <c r="DY184" s="1233"/>
      <c r="DZ184" s="860"/>
      <c r="EA184" s="860"/>
      <c r="EB184" s="860"/>
      <c r="EC184" s="1232"/>
      <c r="ED184" s="860"/>
      <c r="EE184" s="860"/>
      <c r="EF184" s="860"/>
      <c r="EG184" s="860"/>
      <c r="EH184" s="860"/>
      <c r="EI184" s="1233"/>
      <c r="EJ184" s="860"/>
      <c r="EK184" s="860"/>
      <c r="EL184" s="860"/>
      <c r="EM184" s="1232"/>
      <c r="EN184" s="1233"/>
      <c r="EO184" s="860"/>
      <c r="EP184" s="860"/>
      <c r="EQ184" s="860"/>
      <c r="ER184" s="1232"/>
      <c r="ES184" s="860"/>
      <c r="ET184" s="860"/>
      <c r="EU184" s="860"/>
      <c r="EV184" s="860"/>
      <c r="EW184" s="1232"/>
      <c r="EX184" s="1233"/>
      <c r="EY184" s="860"/>
      <c r="EZ184" s="860"/>
      <c r="FA184" s="860"/>
      <c r="FB184" s="1754"/>
      <c r="FC184" s="1233"/>
      <c r="FD184" s="860"/>
      <c r="FE184" s="860"/>
      <c r="FF184" s="860"/>
      <c r="FG184" s="860"/>
      <c r="FH184" s="860"/>
      <c r="FI184" s="860"/>
      <c r="FJ184" s="860"/>
      <c r="FK184" s="860"/>
      <c r="FL184" s="860"/>
      <c r="FM184" s="860"/>
      <c r="FN184" s="860"/>
      <c r="FO184" s="860"/>
      <c r="FP184" s="860"/>
      <c r="FQ184" s="860"/>
      <c r="FR184" s="860"/>
      <c r="FS184" s="860"/>
      <c r="FT184" s="860"/>
      <c r="FU184" s="860"/>
      <c r="FV184" s="860"/>
      <c r="FW184" s="860"/>
      <c r="FX184" s="860"/>
      <c r="FY184" s="860"/>
      <c r="FZ184" s="860"/>
      <c r="GA184" s="860"/>
      <c r="GB184" s="860"/>
      <c r="GC184" s="860"/>
      <c r="GD184" s="860"/>
      <c r="GE184" s="860"/>
      <c r="GF184" s="860"/>
      <c r="GG184" s="860"/>
      <c r="GH184" s="860"/>
      <c r="GI184" s="860"/>
      <c r="GJ184" s="860"/>
      <c r="GK184" s="860"/>
      <c r="GL184" s="860"/>
      <c r="GM184" s="860"/>
      <c r="GN184" s="860"/>
      <c r="GO184" s="860"/>
      <c r="GP184" s="860"/>
      <c r="GQ184" s="860"/>
      <c r="GR184" s="1241"/>
      <c r="GS184" s="1218"/>
      <c r="GT184" s="1241"/>
      <c r="GU184" s="1218"/>
      <c r="GV184" s="1299">
        <v>33800</v>
      </c>
      <c r="GW184" s="1218"/>
      <c r="GX184" s="1218"/>
      <c r="GY184" s="1299">
        <v>33000</v>
      </c>
      <c r="GZ184" s="1218"/>
      <c r="HA184" s="1218"/>
      <c r="HB184" s="1299">
        <v>31500</v>
      </c>
      <c r="HC184" s="1218"/>
      <c r="HD184" s="2000"/>
      <c r="HE184" s="1299">
        <v>35637.81739204796</v>
      </c>
      <c r="HF184" s="1218"/>
      <c r="HG184" s="2000"/>
      <c r="HH184" s="1241"/>
      <c r="HI184" s="1299">
        <v>48600</v>
      </c>
      <c r="HJ184" s="1218"/>
      <c r="HK184" s="2000"/>
      <c r="HL184" s="1299">
        <v>51200</v>
      </c>
      <c r="HM184" s="1218"/>
      <c r="HN184" s="2000"/>
      <c r="HO184" s="1299">
        <v>49576.665082967935</v>
      </c>
      <c r="HP184" s="1218"/>
      <c r="HQ184" s="2000"/>
      <c r="HR184" s="1299">
        <v>38805.4</v>
      </c>
    </row>
    <row r="185" spans="1:226">
      <c r="A185" s="1308" t="s">
        <v>796</v>
      </c>
      <c r="B185" s="1233"/>
      <c r="C185" s="860"/>
      <c r="D185" s="860"/>
      <c r="E185" s="860"/>
      <c r="F185" s="1232"/>
      <c r="G185" s="1233"/>
      <c r="H185" s="860"/>
      <c r="I185" s="860"/>
      <c r="J185" s="860"/>
      <c r="K185" s="1232"/>
      <c r="L185" s="1233"/>
      <c r="M185" s="860"/>
      <c r="N185" s="860"/>
      <c r="O185" s="860"/>
      <c r="P185" s="1232"/>
      <c r="Q185" s="1233"/>
      <c r="R185" s="860"/>
      <c r="S185" s="860"/>
      <c r="T185" s="860"/>
      <c r="U185" s="1232"/>
      <c r="V185" s="1233"/>
      <c r="W185" s="860"/>
      <c r="X185" s="860"/>
      <c r="Y185" s="860"/>
      <c r="Z185" s="1261"/>
      <c r="AA185" s="1326">
        <f>AA184/AA199</f>
        <v>2961.6778523489934</v>
      </c>
      <c r="AB185" s="1274">
        <f>AB184/AB199</f>
        <v>2703.9817232375976</v>
      </c>
      <c r="AC185" s="1274">
        <f>AC184/AC199</f>
        <v>2499.5133819951338</v>
      </c>
      <c r="AD185" s="1274">
        <f>AD184/17.3</f>
        <v>3175.1213872832373</v>
      </c>
      <c r="AE185" s="1261"/>
      <c r="AF185" s="1326">
        <f>AF184/17.3</f>
        <v>3463.3757225433519</v>
      </c>
      <c r="AG185" s="1274">
        <f>AG184/17.3</f>
        <v>3147.9364161849712</v>
      </c>
      <c r="AH185" s="1274">
        <f>AH184/17.3</f>
        <v>3407.1907514450863</v>
      </c>
      <c r="AI185" s="1274">
        <f>AI184/20.7</f>
        <v>2628.4009661835762</v>
      </c>
      <c r="AJ185" s="1261"/>
      <c r="AK185" s="1242"/>
      <c r="AL185" s="1274">
        <f>AL184/20.7</f>
        <v>2381.5314009661834</v>
      </c>
      <c r="AM185" s="1274">
        <f>AM184/19</f>
        <v>2475.1526315789479</v>
      </c>
      <c r="AN185" s="1274">
        <f>AN184/19</f>
        <v>2529.9421052631574</v>
      </c>
      <c r="AO185" s="1261"/>
      <c r="AP185" s="1326">
        <f>AP184/19</f>
        <v>2537.9578947368418</v>
      </c>
      <c r="AQ185" s="1274">
        <f>AQ184/19</f>
        <v>2945.3684210526317</v>
      </c>
      <c r="AR185" s="1274">
        <f>AR184/19</f>
        <v>2891.310526315789</v>
      </c>
      <c r="AS185" s="1274">
        <f>AS184/19</f>
        <v>2314.2842105263153</v>
      </c>
      <c r="AT185" s="1261"/>
      <c r="AU185" s="1326">
        <f>AU184/19</f>
        <v>1927.5526315789473</v>
      </c>
      <c r="AV185" s="1274">
        <f>AV184/19</f>
        <v>2637.1684210526314</v>
      </c>
      <c r="AW185" s="1274">
        <f>AW184/19</f>
        <v>2601.5578947368431</v>
      </c>
      <c r="AX185" s="1274">
        <f>AX184/19</f>
        <v>1924.5842105263162</v>
      </c>
      <c r="AY185" s="1261"/>
      <c r="AZ185" s="1291">
        <f>AZ184/AZ199</f>
        <v>2737.7073101989185</v>
      </c>
      <c r="BA185" s="1291">
        <f>BA184/BA199</f>
        <v>2352.9869560372044</v>
      </c>
      <c r="BB185" s="1291">
        <f>BB184/BB199</f>
        <v>2358.0546912254576</v>
      </c>
      <c r="BC185" s="1291">
        <f>BC184/BC199</f>
        <v>1738.6141831142602</v>
      </c>
      <c r="BD185" s="1261"/>
      <c r="BE185" s="1291">
        <f>BE184/BE199</f>
        <v>1698.1364732416168</v>
      </c>
      <c r="BF185" s="1291">
        <f>BF184/BF199</f>
        <v>1547.9705925611838</v>
      </c>
      <c r="BG185" s="1291">
        <f>BG184/BG199</f>
        <v>1290.9193355891803</v>
      </c>
      <c r="BH185" s="1291">
        <f>BH184/BH199</f>
        <v>1458.1015879604465</v>
      </c>
      <c r="BI185" s="1261"/>
      <c r="BJ185" s="1291">
        <f>BJ184/BJ199</f>
        <v>3166.9206979627434</v>
      </c>
      <c r="BK185" s="1291">
        <f>BK184/BK199</f>
        <v>3154.0520638901867</v>
      </c>
      <c r="BL185" s="1291">
        <f>BL184/BL199</f>
        <v>3213.6591629777745</v>
      </c>
      <c r="BM185" s="1291">
        <f>BM184/BM199</f>
        <v>2782.35816507768</v>
      </c>
      <c r="BN185" s="1341"/>
      <c r="BO185" s="1336">
        <f>BO184/BO199</f>
        <v>2496.2754555198285</v>
      </c>
      <c r="BP185" s="1291">
        <f>BP184/BP199</f>
        <v>2352.3599320882849</v>
      </c>
      <c r="BQ185" s="1291">
        <f>BQ184/BQ199</f>
        <v>2069.865260691271</v>
      </c>
      <c r="BR185" s="1291">
        <f>BR184/BR199</f>
        <v>2004.1538461538457</v>
      </c>
      <c r="BS185" s="1341"/>
      <c r="BT185" s="1336">
        <f>BT184/BT199</f>
        <v>2099.4991160872128</v>
      </c>
      <c r="BU185" s="1291">
        <f>BU184/BU199</f>
        <v>2327.2173913043475</v>
      </c>
      <c r="BV185" s="1291">
        <f>BV184/BV199</f>
        <v>2317.5369978858353</v>
      </c>
      <c r="BW185" s="1291">
        <f>BW184/BW199</f>
        <v>2427.1136590229316</v>
      </c>
      <c r="BX185" s="1341"/>
      <c r="BY185" s="1336">
        <f>BY184/BY199</f>
        <v>2276.3631913852173</v>
      </c>
      <c r="BZ185" s="1291">
        <f>BZ184/BZ199</f>
        <v>2151.5392508978966</v>
      </c>
      <c r="CA185" s="1291">
        <f>CA184/CA199</f>
        <v>2240.7258064516127</v>
      </c>
      <c r="CB185" s="1291">
        <f>CB184/CB199</f>
        <v>2312.2950819672128</v>
      </c>
      <c r="CC185" s="1762"/>
      <c r="CD185" s="1336">
        <f>CD184/CD199</f>
        <v>2208.9941367336482</v>
      </c>
      <c r="CE185" s="2039">
        <f>CE184/CE199</f>
        <v>2298.8505747126437</v>
      </c>
      <c r="CF185" s="2039">
        <f>CF184/CF199</f>
        <v>2497.1098265895953</v>
      </c>
      <c r="CG185" s="2039">
        <f ca="1">CG184/CG199</f>
        <v>2822.0719947285788</v>
      </c>
      <c r="CH185" s="1762"/>
      <c r="CI185" s="1291"/>
      <c r="CJ185" s="860"/>
      <c r="CK185" s="1233"/>
      <c r="CL185" s="860"/>
      <c r="CM185" s="860"/>
      <c r="CN185" s="860"/>
      <c r="CO185" s="1232"/>
      <c r="CP185" s="1233"/>
      <c r="CQ185" s="860"/>
      <c r="CR185" s="860"/>
      <c r="CS185" s="860"/>
      <c r="CT185" s="1232"/>
      <c r="CU185" s="1233"/>
      <c r="CV185" s="860"/>
      <c r="CW185" s="860"/>
      <c r="CX185" s="860"/>
      <c r="CY185" s="1232"/>
      <c r="CZ185" s="1233"/>
      <c r="DA185" s="860"/>
      <c r="DB185" s="860"/>
      <c r="DC185" s="860"/>
      <c r="DD185" s="1232"/>
      <c r="DE185" s="1233"/>
      <c r="DF185" s="860"/>
      <c r="DG185" s="860"/>
      <c r="DH185" s="860"/>
      <c r="DI185" s="1232"/>
      <c r="DJ185" s="1233"/>
      <c r="DK185" s="860"/>
      <c r="DL185" s="860"/>
      <c r="DM185" s="860"/>
      <c r="DN185" s="1232"/>
      <c r="DO185" s="1233"/>
      <c r="DP185" s="860"/>
      <c r="DQ185" s="860"/>
      <c r="DR185" s="860"/>
      <c r="DS185" s="1232"/>
      <c r="DT185" s="1233"/>
      <c r="DU185" s="860"/>
      <c r="DV185" s="860"/>
      <c r="DW185" s="860"/>
      <c r="DX185" s="1232"/>
      <c r="DY185" s="1233"/>
      <c r="DZ185" s="860"/>
      <c r="EA185" s="860"/>
      <c r="EB185" s="860"/>
      <c r="EC185" s="1232"/>
      <c r="ED185" s="860"/>
      <c r="EE185" s="860"/>
      <c r="EF185" s="860"/>
      <c r="EG185" s="860"/>
      <c r="EH185" s="860"/>
      <c r="EI185" s="1233"/>
      <c r="EJ185" s="860"/>
      <c r="EK185" s="860"/>
      <c r="EL185" s="860"/>
      <c r="EM185" s="1232"/>
      <c r="EN185" s="1233"/>
      <c r="EO185" s="860"/>
      <c r="EP185" s="860"/>
      <c r="EQ185" s="860"/>
      <c r="ER185" s="1232"/>
      <c r="ES185" s="860"/>
      <c r="ET185" s="860"/>
      <c r="EU185" s="860"/>
      <c r="EV185" s="860"/>
      <c r="EW185" s="1232"/>
      <c r="EX185" s="1233"/>
      <c r="EY185" s="860"/>
      <c r="EZ185" s="860"/>
      <c r="FA185" s="860"/>
      <c r="FB185" s="1754"/>
      <c r="FC185" s="1233"/>
      <c r="FD185" s="860"/>
      <c r="FE185" s="860"/>
      <c r="FF185" s="860"/>
      <c r="FG185" s="860"/>
      <c r="FH185" s="860"/>
      <c r="FI185" s="860"/>
      <c r="FJ185" s="860"/>
      <c r="FK185" s="860"/>
      <c r="FL185" s="860"/>
      <c r="FM185" s="860"/>
      <c r="FN185" s="860"/>
      <c r="FO185" s="860"/>
      <c r="FP185" s="860"/>
      <c r="FQ185" s="860"/>
      <c r="FR185" s="860"/>
      <c r="FS185" s="860"/>
      <c r="FT185" s="860"/>
      <c r="FU185" s="860"/>
      <c r="FV185" s="860"/>
      <c r="FW185" s="860"/>
      <c r="FX185" s="860"/>
      <c r="FY185" s="860"/>
      <c r="FZ185" s="860"/>
      <c r="GA185" s="860"/>
      <c r="GB185" s="860"/>
      <c r="GC185" s="860"/>
      <c r="GD185" s="860"/>
      <c r="GE185" s="860"/>
      <c r="GF185" s="860"/>
      <c r="GG185" s="860"/>
      <c r="GH185" s="860"/>
      <c r="GI185" s="860"/>
      <c r="GJ185" s="860"/>
      <c r="GK185" s="860"/>
      <c r="GL185" s="860"/>
      <c r="GM185" s="860"/>
      <c r="GN185" s="860"/>
      <c r="GO185" s="860"/>
      <c r="GP185" s="860"/>
      <c r="GQ185" s="860"/>
      <c r="GR185" s="1241"/>
      <c r="GS185" s="1218"/>
      <c r="GT185" s="1241"/>
      <c r="GU185" s="1218"/>
      <c r="GV185" s="1299">
        <v>1991.7501473187981</v>
      </c>
      <c r="GW185" s="1218"/>
      <c r="GX185" s="1218"/>
      <c r="GY185" s="1299">
        <v>1913.0434782608695</v>
      </c>
      <c r="GZ185" s="1218"/>
      <c r="HA185" s="1218"/>
      <c r="HB185" s="1299">
        <v>1664.9048625792811</v>
      </c>
      <c r="HC185" s="1218"/>
      <c r="HD185" s="2000"/>
      <c r="HE185" s="1299">
        <v>1776.5611860442652</v>
      </c>
      <c r="HF185" s="1218"/>
      <c r="HG185" s="2000"/>
      <c r="HH185" s="1241"/>
      <c r="HI185" s="1299">
        <v>2493.5864545920986</v>
      </c>
      <c r="HJ185" s="1218"/>
      <c r="HK185" s="2000"/>
      <c r="HL185" s="1299">
        <v>2752.6881720430106</v>
      </c>
      <c r="HM185" s="1218"/>
      <c r="HN185" s="2000"/>
      <c r="HO185" s="1299">
        <v>2718.0189190223646</v>
      </c>
      <c r="HP185" s="1218"/>
      <c r="HQ185" s="2000"/>
      <c r="HR185" s="1299">
        <v>2208.9941367336482</v>
      </c>
    </row>
    <row r="186" spans="1:226">
      <c r="A186" s="1290"/>
      <c r="B186" s="1233"/>
      <c r="C186" s="860"/>
      <c r="D186" s="860"/>
      <c r="E186" s="860"/>
      <c r="F186" s="1232"/>
      <c r="G186" s="1233"/>
      <c r="H186" s="860"/>
      <c r="I186" s="860"/>
      <c r="J186" s="860"/>
      <c r="K186" s="1232"/>
      <c r="L186" s="1233"/>
      <c r="M186" s="860"/>
      <c r="N186" s="860"/>
      <c r="O186" s="860"/>
      <c r="P186" s="1232"/>
      <c r="Q186" s="1233"/>
      <c r="R186" s="860"/>
      <c r="S186" s="860"/>
      <c r="T186" s="860"/>
      <c r="U186" s="1232"/>
      <c r="V186" s="1233"/>
      <c r="W186" s="860"/>
      <c r="X186" s="860"/>
      <c r="Y186" s="860"/>
      <c r="Z186" s="1261"/>
      <c r="AA186" s="1326"/>
      <c r="AB186" s="1274"/>
      <c r="AC186" s="1274"/>
      <c r="AD186" s="1274"/>
      <c r="AE186" s="1261"/>
      <c r="AF186" s="1242"/>
      <c r="AG186" s="1162"/>
      <c r="AH186" s="1162"/>
      <c r="AI186" s="1162"/>
      <c r="AJ186" s="1261"/>
      <c r="AK186" s="1242"/>
      <c r="AL186" s="1162"/>
      <c r="AM186" s="1162"/>
      <c r="AN186" s="1162"/>
      <c r="AO186" s="1261"/>
      <c r="AP186" s="1242"/>
      <c r="AQ186" s="1162"/>
      <c r="AR186" s="1162"/>
      <c r="AS186" s="1162"/>
      <c r="AT186" s="1261"/>
      <c r="AU186" s="1242"/>
      <c r="AV186" s="1162"/>
      <c r="AW186" s="1162"/>
      <c r="AX186" s="1162"/>
      <c r="AY186" s="1261"/>
      <c r="AZ186" s="1242"/>
      <c r="BA186" s="1162"/>
      <c r="BB186" s="1162"/>
      <c r="BC186" s="1162"/>
      <c r="BD186" s="1261"/>
      <c r="BE186" s="1242"/>
      <c r="BF186" s="1162"/>
      <c r="BG186" s="1162"/>
      <c r="BH186" s="1162"/>
      <c r="BI186" s="1261"/>
      <c r="BJ186" s="1242"/>
      <c r="BK186" s="1162"/>
      <c r="BL186" s="1162"/>
      <c r="BM186" s="1162"/>
      <c r="BN186" s="1261"/>
      <c r="BO186" s="1242"/>
      <c r="BP186" s="1162"/>
      <c r="BQ186" s="1162"/>
      <c r="BR186" s="1162"/>
      <c r="BS186" s="1261"/>
      <c r="BT186" s="1242"/>
      <c r="BU186" s="1162"/>
      <c r="BV186" s="1162"/>
      <c r="BW186" s="1162"/>
      <c r="BX186" s="1261"/>
      <c r="BY186" s="1242"/>
      <c r="BZ186" s="1162"/>
      <c r="CA186" s="1162"/>
      <c r="CB186" s="1162"/>
      <c r="CC186" s="1757"/>
      <c r="CD186" s="1242"/>
      <c r="CE186" s="2058"/>
      <c r="CF186" s="2058"/>
      <c r="CG186" s="2058"/>
      <c r="CH186" s="1757"/>
      <c r="CI186" s="1162"/>
      <c r="CJ186" s="860"/>
      <c r="CK186" s="1233"/>
      <c r="CL186" s="860"/>
      <c r="CM186" s="860"/>
      <c r="CN186" s="860"/>
      <c r="CO186" s="1232"/>
      <c r="CP186" s="1233"/>
      <c r="CQ186" s="860"/>
      <c r="CR186" s="860"/>
      <c r="CS186" s="860"/>
      <c r="CT186" s="1232"/>
      <c r="CU186" s="1233"/>
      <c r="CV186" s="860"/>
      <c r="CW186" s="860"/>
      <c r="CX186" s="860"/>
      <c r="CY186" s="1232"/>
      <c r="CZ186" s="1233"/>
      <c r="DA186" s="860"/>
      <c r="DB186" s="860"/>
      <c r="DC186" s="860"/>
      <c r="DD186" s="1232"/>
      <c r="DE186" s="1233"/>
      <c r="DF186" s="860"/>
      <c r="DG186" s="860"/>
      <c r="DH186" s="860"/>
      <c r="DI186" s="1232"/>
      <c r="DJ186" s="1233"/>
      <c r="DK186" s="860"/>
      <c r="DL186" s="860"/>
      <c r="DM186" s="860"/>
      <c r="DN186" s="1232"/>
      <c r="DO186" s="1233"/>
      <c r="DP186" s="860"/>
      <c r="DQ186" s="860"/>
      <c r="DR186" s="860"/>
      <c r="DS186" s="1232"/>
      <c r="DT186" s="1233"/>
      <c r="DU186" s="860"/>
      <c r="DV186" s="860"/>
      <c r="DW186" s="860"/>
      <c r="DX186" s="1232"/>
      <c r="DY186" s="1233"/>
      <c r="DZ186" s="860"/>
      <c r="EA186" s="860"/>
      <c r="EB186" s="860"/>
      <c r="EC186" s="1232"/>
      <c r="ED186" s="860"/>
      <c r="EE186" s="860"/>
      <c r="EF186" s="860"/>
      <c r="EG186" s="860"/>
      <c r="EH186" s="860"/>
      <c r="EI186" s="1233"/>
      <c r="EJ186" s="860"/>
      <c r="EK186" s="860"/>
      <c r="EL186" s="860"/>
      <c r="EM186" s="1232"/>
      <c r="EN186" s="1233"/>
      <c r="EO186" s="860"/>
      <c r="EP186" s="860"/>
      <c r="EQ186" s="860"/>
      <c r="ER186" s="1232"/>
      <c r="ES186" s="860"/>
      <c r="ET186" s="860"/>
      <c r="EU186" s="860"/>
      <c r="EV186" s="860"/>
      <c r="EW186" s="1232"/>
      <c r="EX186" s="1233"/>
      <c r="EY186" s="860"/>
      <c r="EZ186" s="860"/>
      <c r="FA186" s="860"/>
      <c r="FB186" s="1754"/>
      <c r="FC186" s="1233"/>
      <c r="FD186" s="860"/>
      <c r="FE186" s="860"/>
      <c r="FF186" s="860"/>
      <c r="FG186" s="860"/>
      <c r="FH186" s="860"/>
      <c r="FI186" s="860"/>
      <c r="FJ186" s="860"/>
      <c r="FK186" s="860"/>
      <c r="FL186" s="860"/>
      <c r="FM186" s="860"/>
      <c r="FN186" s="860"/>
      <c r="FO186" s="860"/>
      <c r="FP186" s="860"/>
      <c r="FQ186" s="860"/>
      <c r="FR186" s="860"/>
      <c r="FS186" s="860"/>
      <c r="FT186" s="860"/>
      <c r="FU186" s="860"/>
      <c r="FV186" s="860"/>
      <c r="FW186" s="860"/>
      <c r="FX186" s="860"/>
      <c r="FY186" s="860"/>
      <c r="FZ186" s="860"/>
      <c r="GA186" s="860"/>
      <c r="GB186" s="860"/>
      <c r="GC186" s="860"/>
      <c r="GD186" s="860"/>
      <c r="GE186" s="860"/>
      <c r="GF186" s="860"/>
      <c r="GG186" s="860"/>
      <c r="GH186" s="860"/>
      <c r="GI186" s="860"/>
      <c r="GJ186" s="860"/>
      <c r="GK186" s="860"/>
      <c r="GL186" s="860"/>
      <c r="GM186" s="860"/>
      <c r="GN186" s="860"/>
      <c r="GO186" s="860"/>
      <c r="GP186" s="860"/>
      <c r="GQ186" s="860"/>
      <c r="GR186" s="1241"/>
      <c r="GS186" s="1218"/>
      <c r="GT186" s="1241"/>
      <c r="GU186" s="1218"/>
      <c r="GV186" s="1241"/>
      <c r="GW186" s="1218"/>
      <c r="GX186" s="1218"/>
      <c r="GY186" s="1241"/>
      <c r="GZ186" s="1218"/>
      <c r="HA186" s="1218"/>
      <c r="HB186" s="1241"/>
      <c r="HC186" s="1218"/>
      <c r="HD186" s="2000"/>
      <c r="HE186" s="1241"/>
      <c r="HF186" s="1218"/>
      <c r="HG186" s="2000"/>
      <c r="HH186" s="1241"/>
      <c r="HI186" s="1241"/>
      <c r="HJ186" s="1218"/>
      <c r="HK186" s="2000"/>
      <c r="HL186" s="1241"/>
      <c r="HM186" s="1218"/>
      <c r="HN186" s="2000"/>
      <c r="HO186" s="1241"/>
      <c r="HP186" s="1218"/>
      <c r="HQ186" s="2000"/>
      <c r="HR186" s="1241"/>
    </row>
    <row r="187" spans="1:226">
      <c r="A187" s="1292" t="s">
        <v>797</v>
      </c>
      <c r="B187" s="1669"/>
      <c r="C187" s="1264"/>
      <c r="D187" s="1264"/>
      <c r="E187" s="1264"/>
      <c r="F187" s="1219"/>
      <c r="G187" s="1669"/>
      <c r="H187" s="1264"/>
      <c r="I187" s="1264"/>
      <c r="J187" s="1264"/>
      <c r="K187" s="1219"/>
      <c r="L187" s="1669"/>
      <c r="M187" s="1264"/>
      <c r="N187" s="1264"/>
      <c r="O187" s="1264"/>
      <c r="P187" s="1219"/>
      <c r="Q187" s="1669"/>
      <c r="R187" s="1264"/>
      <c r="S187" s="1264"/>
      <c r="T187" s="1264"/>
      <c r="U187" s="1219"/>
      <c r="V187" s="1669"/>
      <c r="W187" s="1264"/>
      <c r="X187" s="1264"/>
      <c r="Y187" s="1264"/>
      <c r="Z187" s="1345"/>
      <c r="AA187" s="1343">
        <f>AA178/(W38+X38+Y38+AA38)</f>
        <v>1.2455861497901339</v>
      </c>
      <c r="AB187" s="1309">
        <f>AB178/(X38+Y38+AA38+AB38)</f>
        <v>1.366647053085678</v>
      </c>
      <c r="AC187" s="1309">
        <f>AC178/(Y38+AA38+AB38+AC38)</f>
        <v>1.4653803995738373</v>
      </c>
      <c r="AD187" s="1309">
        <f>AD178/(AA38+AB38+AC38+AD38)</f>
        <v>1.7136829620111627</v>
      </c>
      <c r="AE187" s="1667"/>
      <c r="AF187" s="1343">
        <f>AF178/(AB38+AC38+AD38+AF38)</f>
        <v>1.6261405641724693</v>
      </c>
      <c r="AG187" s="1309">
        <f>AG178/(AC38+AD38+AF38+AG38)</f>
        <v>1.8553413615876433</v>
      </c>
      <c r="AH187" s="1309">
        <f>AH178/(AD38+AF38+AG38+AH38)</f>
        <v>2.1797253902305793</v>
      </c>
      <c r="AI187" s="1309">
        <f>AI178/(AF38+AG38+AH38+AI38)</f>
        <v>2.3062268144580127</v>
      </c>
      <c r="AJ187" s="1345"/>
      <c r="AK187" s="1343">
        <f>AK178/(AG38+AH38+AI38+AK38)</f>
        <v>2.1190615726223525</v>
      </c>
      <c r="AL187" s="1309">
        <f>AL178/(AH38+AI38+AK38+AL38)</f>
        <v>2.1257789115144727</v>
      </c>
      <c r="AM187" s="1309">
        <f>AM178/(AI38+AK38+AL38+AM38)</f>
        <v>2.203388820527183</v>
      </c>
      <c r="AN187" s="1309">
        <f>AN178/(AK38+AL38+AM38+AN38)</f>
        <v>2.4183742888085544</v>
      </c>
      <c r="AO187" s="1345"/>
      <c r="AP187" s="1343">
        <f>AP178/(AL38+AM38+AN38+AP38)</f>
        <v>2.1814317753228756</v>
      </c>
      <c r="AQ187" s="1309">
        <f>AQ178/(AM38+AN38+AP38+AQ38)</f>
        <v>2.057388731479</v>
      </c>
      <c r="AR187" s="1309">
        <f>AR178/(AN38+AP38+AQ38+AR38)</f>
        <v>1.8975447909754477</v>
      </c>
      <c r="AS187" s="1309">
        <f>AS178/(AP38+AQ38+AR38+AS38)</f>
        <v>2.2781423454460943</v>
      </c>
      <c r="AT187" s="1345"/>
      <c r="AU187" s="1343">
        <f>AU178/(AQ38*1.02+AR38*1.02+AS38*1.02+AU38)</f>
        <v>2.5209266108623711</v>
      </c>
      <c r="AV187" s="1309">
        <f>AV178/(AR38*1.02+AS38*1.02+AU38+AV38)</f>
        <v>2.5652000322216635</v>
      </c>
      <c r="AW187" s="1309">
        <f>AW178/(AS38*1.02+AU38+AV38+AW38)</f>
        <v>2.5815646002199721</v>
      </c>
      <c r="AX187" s="1309">
        <f>AX178/(AU38+AV38+AW38+AX38)</f>
        <v>2.4438236375345128</v>
      </c>
      <c r="AY187" s="1345"/>
      <c r="AZ187" s="1343">
        <f>AZ178/(AV38+AW38+AX38+AZ38)</f>
        <v>3.0019650931834509</v>
      </c>
      <c r="BA187" s="1309">
        <f>BA178/(AW38+AX38+AZ38+BA38)</f>
        <v>2.9806162559933518</v>
      </c>
      <c r="BB187" s="1309">
        <f>BB178/(AX38+AZ38+BA38+BB38)</f>
        <v>2.8639171422162155</v>
      </c>
      <c r="BC187" s="1309">
        <f>BC178/(AZ38+BA38+BB38+BC38)</f>
        <v>2.5632323340042924</v>
      </c>
      <c r="BD187" s="1345"/>
      <c r="BE187" s="1343">
        <f>BE178/(BA38+BB38+BC38+BE38)</f>
        <v>2.6118106177748328</v>
      </c>
      <c r="BF187" s="1309">
        <f>BF178/(BB38+BC38+BE38+BF38)</f>
        <v>2.5468069896945509</v>
      </c>
      <c r="BG187" s="1309">
        <f>BG178/(BC38+BE38+BF38+BG38)</f>
        <v>2.7470662360193234</v>
      </c>
      <c r="BH187" s="1344">
        <f>BH178/(BE38+BF38+BG38+BH38-4547)</f>
        <v>2.6941674113486975</v>
      </c>
      <c r="BI187" s="1345"/>
      <c r="BJ187" s="1343">
        <f>BJ178/(BJ38*4)</f>
        <v>2.1202493000536129</v>
      </c>
      <c r="BK187" s="1309">
        <f>BK178/(BK38*4)</f>
        <v>2.1988741219192756</v>
      </c>
      <c r="BL187" s="1309">
        <f>BL178/(BL38*4)</f>
        <v>2.2718424678505817</v>
      </c>
      <c r="BM187" s="1309">
        <f>BM178/(BM38*4)</f>
        <v>2.6523995044794342</v>
      </c>
      <c r="BN187" s="1345"/>
      <c r="BO187" s="1343">
        <f>BO178/(BK38+BL38+BM38+BO38)</f>
        <v>2.3832494622382727</v>
      </c>
      <c r="BP187" s="1309">
        <f>BP178/(BL38+BM38+BO38+BP38)</f>
        <v>2.46690060166158</v>
      </c>
      <c r="BQ187" s="1309">
        <f>BQ178/(BM38+BO38+BP38+BQ38)</f>
        <v>2.6314437303340701</v>
      </c>
      <c r="BR187" s="1309">
        <f>BR178/(BO38+BP38+BQ38+BR38)</f>
        <v>2.5045110888137385</v>
      </c>
      <c r="BS187" s="1261"/>
      <c r="BT187" s="1343">
        <f>BT178/(BP38+BQ38+BR38+BT38)</f>
        <v>2.2387984678867987</v>
      </c>
      <c r="BU187" s="1309">
        <f>BU178/(BQ38+BR38+BT38+BU38)</f>
        <v>2.408092462066584</v>
      </c>
      <c r="BV187" s="1309">
        <f>BV178/(BR38+BT38+BU38+BV38)</f>
        <v>2.4581154512360417</v>
      </c>
      <c r="BW187" s="1309">
        <f>BW178/(BT38+BU38+BV38+BW38)</f>
        <v>3.3760223227172133</v>
      </c>
      <c r="BX187" s="1261"/>
      <c r="BY187" s="1343">
        <f>BY178/(BU38+BV38+BW38+BY38)</f>
        <v>3.6858532630725578</v>
      </c>
      <c r="BZ187" s="1309">
        <f>BZ178/(BV38+BW38+BY38+BZ38)</f>
        <v>3.4138207238039757</v>
      </c>
      <c r="CA187" s="1309">
        <f>CA178/(BW38+BY38+BZ38+CA38)</f>
        <v>3.259256608144514</v>
      </c>
      <c r="CB187" s="1309">
        <f>CB178/(BY38+BZ38+CA38+CB38)</f>
        <v>2.2966696905365338</v>
      </c>
      <c r="CC187" s="1757"/>
      <c r="CD187" s="1343">
        <f>CD178/(BZ38+CA38+CB38+CD38)</f>
        <v>2.2772686910112871</v>
      </c>
      <c r="CE187" s="2059">
        <f>CE178/(CA38+CB38+CD38+CE38)</f>
        <v>2.3334233150167227</v>
      </c>
      <c r="CF187" s="2059">
        <f>CF178/(CB38+CD38+CE38+CF38)</f>
        <v>2.4062700522504352</v>
      </c>
      <c r="CG187" s="2059">
        <f ca="1">CG178/(CD38+CE38+CF38+CG38)</f>
        <v>2.5205645237098402</v>
      </c>
      <c r="CH187" s="1757"/>
      <c r="CI187" s="1162"/>
      <c r="CJ187" s="860"/>
      <c r="CK187" s="1233"/>
      <c r="CL187" s="860"/>
      <c r="CM187" s="860"/>
      <c r="CN187" s="860"/>
      <c r="CO187" s="1232"/>
      <c r="CP187" s="1233"/>
      <c r="CQ187" s="860"/>
      <c r="CR187" s="860"/>
      <c r="CS187" s="860"/>
      <c r="CT187" s="1232"/>
      <c r="CU187" s="1233"/>
      <c r="CV187" s="860"/>
      <c r="CW187" s="860"/>
      <c r="CX187" s="860"/>
      <c r="CY187" s="1232"/>
      <c r="CZ187" s="1233"/>
      <c r="DA187" s="860"/>
      <c r="DB187" s="860"/>
      <c r="DC187" s="860"/>
      <c r="DD187" s="1232"/>
      <c r="DE187" s="1233"/>
      <c r="DF187" s="860"/>
      <c r="DG187" s="860"/>
      <c r="DH187" s="860"/>
      <c r="DI187" s="1232"/>
      <c r="DJ187" s="1233"/>
      <c r="DK187" s="860"/>
      <c r="DL187" s="860"/>
      <c r="DM187" s="860"/>
      <c r="DN187" s="1232"/>
      <c r="DO187" s="1233"/>
      <c r="DP187" s="860"/>
      <c r="DQ187" s="860"/>
      <c r="DR187" s="860"/>
      <c r="DS187" s="1232"/>
      <c r="DT187" s="1233"/>
      <c r="DU187" s="860"/>
      <c r="DV187" s="860"/>
      <c r="DW187" s="860"/>
      <c r="DX187" s="1232"/>
      <c r="DY187" s="1233"/>
      <c r="DZ187" s="860"/>
      <c r="EA187" s="860"/>
      <c r="EB187" s="860"/>
      <c r="EC187" s="1232"/>
      <c r="ED187" s="860"/>
      <c r="EE187" s="860"/>
      <c r="EF187" s="860"/>
      <c r="EG187" s="860"/>
      <c r="EH187" s="860"/>
      <c r="EI187" s="1233"/>
      <c r="EJ187" s="860"/>
      <c r="EK187" s="860"/>
      <c r="EL187" s="860"/>
      <c r="EM187" s="1232"/>
      <c r="EN187" s="1233"/>
      <c r="EO187" s="860"/>
      <c r="EP187" s="860"/>
      <c r="EQ187" s="860"/>
      <c r="ER187" s="1232"/>
      <c r="ES187" s="860"/>
      <c r="ET187" s="860"/>
      <c r="EU187" s="860"/>
      <c r="EV187" s="860"/>
      <c r="EW187" s="1232"/>
      <c r="EX187" s="1233"/>
      <c r="EY187" s="860"/>
      <c r="EZ187" s="860"/>
      <c r="FA187" s="860"/>
      <c r="FB187" s="1754"/>
      <c r="FC187" s="1233"/>
      <c r="FD187" s="860"/>
      <c r="FE187" s="860"/>
      <c r="FF187" s="860"/>
      <c r="FG187" s="860"/>
      <c r="FH187" s="860"/>
      <c r="FI187" s="860"/>
      <c r="FJ187" s="860"/>
      <c r="FK187" s="860"/>
      <c r="FL187" s="860"/>
      <c r="FM187" s="860"/>
      <c r="FN187" s="860"/>
      <c r="FO187" s="860"/>
      <c r="FP187" s="860"/>
      <c r="FQ187" s="860"/>
      <c r="FR187" s="860"/>
      <c r="FS187" s="860"/>
      <c r="FT187" s="860"/>
      <c r="FU187" s="860"/>
      <c r="FV187" s="860"/>
      <c r="FW187" s="860"/>
      <c r="FX187" s="860"/>
      <c r="FY187" s="860"/>
      <c r="FZ187" s="860"/>
      <c r="GA187" s="860"/>
      <c r="GB187" s="860"/>
      <c r="GC187" s="860"/>
      <c r="GD187" s="860"/>
      <c r="GE187" s="860"/>
      <c r="GF187" s="860"/>
      <c r="GG187" s="860"/>
      <c r="GH187" s="860"/>
      <c r="GI187" s="860"/>
      <c r="GJ187" s="860"/>
      <c r="GK187" s="860"/>
      <c r="GL187" s="860"/>
      <c r="GM187" s="860"/>
      <c r="GN187" s="860"/>
      <c r="GO187" s="860"/>
      <c r="GP187" s="860"/>
      <c r="GQ187" s="860"/>
      <c r="GR187" s="1311">
        <v>2.5520382467793148</v>
      </c>
      <c r="GS187" s="1218"/>
      <c r="GT187" s="1310">
        <v>2.6801166481462428</v>
      </c>
      <c r="GU187" s="1218"/>
      <c r="GV187" s="1310">
        <v>2.5783815304697915</v>
      </c>
      <c r="GW187" s="1218"/>
      <c r="GX187" s="1218"/>
      <c r="GY187" s="1310">
        <v>2.4275131299983332</v>
      </c>
      <c r="GZ187" s="1218"/>
      <c r="HA187" s="1218"/>
      <c r="HB187" s="1310">
        <v>2.4358967134260472</v>
      </c>
      <c r="HC187" s="1218"/>
      <c r="HD187" s="2000"/>
      <c r="HE187" s="1310">
        <v>2.7841446729774244</v>
      </c>
      <c r="HF187" s="1218"/>
      <c r="HG187" s="2000"/>
      <c r="HH187" s="1241"/>
      <c r="HI187" s="1310">
        <v>3.7534557535660316</v>
      </c>
      <c r="HJ187" s="1218"/>
      <c r="HK187" s="2000"/>
      <c r="HL187" s="1310">
        <v>3.8590291334743037</v>
      </c>
      <c r="HM187" s="1218"/>
      <c r="HN187" s="2000"/>
      <c r="HO187" s="1310">
        <v>2.5378917218032715</v>
      </c>
      <c r="HP187" s="1218"/>
      <c r="HQ187" s="2000"/>
      <c r="HR187" s="1310">
        <v>2.2772686910112871</v>
      </c>
    </row>
    <row r="188" spans="1:226">
      <c r="A188" s="1290" t="s">
        <v>798</v>
      </c>
      <c r="B188" s="1233"/>
      <c r="C188" s="860"/>
      <c r="D188" s="860"/>
      <c r="E188" s="860"/>
      <c r="F188" s="1232"/>
      <c r="G188" s="1233"/>
      <c r="H188" s="860"/>
      <c r="I188" s="860"/>
      <c r="J188" s="860"/>
      <c r="K188" s="1232"/>
      <c r="L188" s="1233"/>
      <c r="M188" s="860"/>
      <c r="N188" s="860"/>
      <c r="O188" s="860"/>
      <c r="P188" s="1232"/>
      <c r="Q188" s="1233"/>
      <c r="R188" s="860"/>
      <c r="S188" s="860"/>
      <c r="T188" s="860"/>
      <c r="U188" s="1232"/>
      <c r="V188" s="1233"/>
      <c r="W188" s="860"/>
      <c r="X188" s="860"/>
      <c r="Y188" s="860"/>
      <c r="Z188" s="1261"/>
      <c r="AA188" s="1326"/>
      <c r="AB188" s="1274"/>
      <c r="AC188" s="1274"/>
      <c r="AD188" s="1274"/>
      <c r="AE188" s="1261"/>
      <c r="AF188" s="1242"/>
      <c r="AG188" s="1162"/>
      <c r="AH188" s="1162"/>
      <c r="AI188" s="1162"/>
      <c r="AJ188" s="1261"/>
      <c r="AK188" s="1242"/>
      <c r="AL188" s="1162"/>
      <c r="AM188" s="1162"/>
      <c r="AN188" s="1162"/>
      <c r="AO188" s="1261"/>
      <c r="AP188" s="1242"/>
      <c r="AQ188" s="1162"/>
      <c r="AR188" s="1162"/>
      <c r="AS188" s="1162"/>
      <c r="AT188" s="1261"/>
      <c r="AU188" s="1242"/>
      <c r="AV188" s="1162"/>
      <c r="AW188" s="1162"/>
      <c r="AX188" s="1162"/>
      <c r="AY188" s="1261"/>
      <c r="AZ188" s="1242"/>
      <c r="BA188" s="1162"/>
      <c r="BB188" s="1162"/>
      <c r="BC188" s="1162"/>
      <c r="BD188" s="1261"/>
      <c r="BE188" s="1346">
        <f>BE178/(BE38*4)</f>
        <v>2.8505809147685524</v>
      </c>
      <c r="BF188" s="1307">
        <f>BF178/(BF38*4)</f>
        <v>2.7175725857239024</v>
      </c>
      <c r="BG188" s="1307">
        <f>BG178/(BG38*4)</f>
        <v>2.6717236467236467</v>
      </c>
      <c r="BH188" s="1347">
        <f>BH178/((BH38-4547)*4)</f>
        <v>2.4010748026105606</v>
      </c>
      <c r="BI188" s="1261"/>
      <c r="BJ188" s="1346"/>
      <c r="BK188" s="1307"/>
      <c r="BL188" s="1307"/>
      <c r="BM188" s="1307"/>
      <c r="BN188" s="1261"/>
      <c r="BO188" s="1346">
        <f>BO178/(BO38*4)</f>
        <v>2.3169414003744975</v>
      </c>
      <c r="BP188" s="1307">
        <f>BP178/(BP38*4)</f>
        <v>2.4257590319683628</v>
      </c>
      <c r="BQ188" s="1307">
        <f>BQ178/(BQ38*4)</f>
        <v>2.8758642765685019</v>
      </c>
      <c r="BR188" s="1307">
        <f>BR178/(BR38*4)</f>
        <v>2.5749940565140603</v>
      </c>
      <c r="BS188" s="1261"/>
      <c r="BT188" s="1346">
        <f>BT178/(BT38*4)</f>
        <v>1.8042600361754513</v>
      </c>
      <c r="BU188" s="1307">
        <f>BU178/(BU38*4)</f>
        <v>2.7968481645748793</v>
      </c>
      <c r="BV188" s="1307">
        <f>BV178/(BV38*4)</f>
        <v>2.8464824930768935</v>
      </c>
      <c r="BW188" s="1307">
        <f>BW178/(BW38*4)</f>
        <v>-17.263226441305854</v>
      </c>
      <c r="BX188" s="1261"/>
      <c r="BY188" s="1346">
        <f>BY178/(BY38*4)</f>
        <v>2.5959086824665842</v>
      </c>
      <c r="BZ188" s="1307">
        <f>BZ178/(BZ38*4)</f>
        <v>2.4070779111667071</v>
      </c>
      <c r="CA188" s="1307">
        <f>CA178/(CA38*4)</f>
        <v>2.2629488731859828</v>
      </c>
      <c r="CB188" s="1307">
        <f>CB178/(CB38*4)</f>
        <v>2.3822901711225795</v>
      </c>
      <c r="CC188" s="1757"/>
      <c r="CD188" s="1346">
        <f>CD178/(CD38*4)</f>
        <v>2.1430959026844483</v>
      </c>
      <c r="CE188" s="2060">
        <f>CE178/(CE38*4)</f>
        <v>2.3765144454799629</v>
      </c>
      <c r="CF188" s="2060">
        <f>CF178/(CF38*4)</f>
        <v>2.3885350318471339</v>
      </c>
      <c r="CG188" s="2060">
        <f ca="1">CG178/(CG38*4)</f>
        <v>2.7222011122173941</v>
      </c>
      <c r="CH188" s="1757"/>
      <c r="CI188" s="1162"/>
      <c r="CJ188" s="860"/>
      <c r="CK188" s="1233"/>
      <c r="CL188" s="860"/>
      <c r="CM188" s="860"/>
      <c r="CN188" s="860"/>
      <c r="CO188" s="1232"/>
      <c r="CP188" s="1233"/>
      <c r="CQ188" s="860"/>
      <c r="CR188" s="860"/>
      <c r="CS188" s="860"/>
      <c r="CT188" s="1232"/>
      <c r="CU188" s="1233"/>
      <c r="CV188" s="860"/>
      <c r="CW188" s="860"/>
      <c r="CX188" s="860"/>
      <c r="CY188" s="1232"/>
      <c r="CZ188" s="1233"/>
      <c r="DA188" s="860"/>
      <c r="DB188" s="860"/>
      <c r="DC188" s="860"/>
      <c r="DD188" s="1232"/>
      <c r="DE188" s="1233"/>
      <c r="DF188" s="860"/>
      <c r="DG188" s="860"/>
      <c r="DH188" s="860"/>
      <c r="DI188" s="1232"/>
      <c r="DJ188" s="1233"/>
      <c r="DK188" s="860"/>
      <c r="DL188" s="860"/>
      <c r="DM188" s="860"/>
      <c r="DN188" s="1232"/>
      <c r="DO188" s="1233"/>
      <c r="DP188" s="860"/>
      <c r="DQ188" s="860"/>
      <c r="DR188" s="860"/>
      <c r="DS188" s="1232"/>
      <c r="DT188" s="1413" t="s">
        <v>745</v>
      </c>
      <c r="DU188" s="1240" t="s">
        <v>746</v>
      </c>
      <c r="DV188" s="1240" t="s">
        <v>747</v>
      </c>
      <c r="DW188" s="1240" t="s">
        <v>748</v>
      </c>
      <c r="DX188" s="1414" t="s">
        <v>749</v>
      </c>
      <c r="DY188" s="1413"/>
      <c r="DZ188" s="1240"/>
      <c r="EA188" s="1240"/>
      <c r="EB188" s="1240"/>
      <c r="EC188" s="1414"/>
      <c r="ED188" s="1240"/>
      <c r="EE188" s="1240"/>
      <c r="EF188" s="1240"/>
      <c r="EG188" s="1240"/>
      <c r="EH188" s="1240"/>
      <c r="EI188" s="1233"/>
      <c r="EJ188" s="860"/>
      <c r="EK188" s="860"/>
      <c r="EL188" s="860"/>
      <c r="EM188" s="1232"/>
      <c r="EN188" s="1413"/>
      <c r="EO188" s="1240"/>
      <c r="EP188" s="1240"/>
      <c r="EQ188" s="1240"/>
      <c r="ER188" s="1414"/>
      <c r="ES188" s="1240"/>
      <c r="ET188" s="1240"/>
      <c r="EU188" s="1240"/>
      <c r="EV188" s="1240"/>
      <c r="EW188" s="1414"/>
      <c r="EX188" s="1413"/>
      <c r="EY188" s="1240"/>
      <c r="EZ188" s="1240"/>
      <c r="FA188" s="1240"/>
      <c r="FB188" s="1792"/>
      <c r="FC188" s="1413"/>
      <c r="FD188" s="1240"/>
      <c r="FE188" s="1240"/>
      <c r="FF188" s="1240"/>
      <c r="FG188" s="1240"/>
      <c r="FH188" s="1240"/>
      <c r="FI188" s="1240"/>
      <c r="FJ188" s="1240"/>
      <c r="FK188" s="1240"/>
      <c r="FL188" s="860"/>
      <c r="FM188" s="860"/>
      <c r="FN188" s="860"/>
      <c r="FO188" s="860"/>
      <c r="FP188" s="860"/>
      <c r="FQ188" s="860"/>
      <c r="FR188" s="860"/>
      <c r="FS188" s="860"/>
      <c r="FT188" s="860"/>
      <c r="FU188" s="860"/>
      <c r="FV188" s="860"/>
      <c r="FW188" s="860"/>
      <c r="FX188" s="860"/>
      <c r="FY188" s="860"/>
      <c r="FZ188" s="860"/>
      <c r="GA188" s="860"/>
      <c r="GB188" s="860"/>
      <c r="GC188" s="860"/>
      <c r="GD188" s="860"/>
      <c r="GE188" s="860"/>
      <c r="GF188" s="860"/>
      <c r="GG188" s="860"/>
      <c r="GH188" s="860"/>
      <c r="GI188" s="860"/>
      <c r="GJ188" s="860"/>
      <c r="GK188" s="860"/>
      <c r="GL188" s="860"/>
      <c r="GM188" s="860"/>
      <c r="GN188" s="860"/>
      <c r="GO188" s="860"/>
      <c r="GP188" s="860"/>
      <c r="GQ188" s="860"/>
      <c r="GR188" s="1311">
        <v>2.5255040128410915</v>
      </c>
      <c r="GS188" s="1312"/>
      <c r="GT188" s="1311"/>
      <c r="GU188" s="1312"/>
      <c r="GV188" s="1311">
        <v>2.5606358570960337</v>
      </c>
      <c r="GW188" s="1312"/>
      <c r="GX188" s="1218"/>
      <c r="GY188" s="1311">
        <v>2.9372866734304637</v>
      </c>
      <c r="GZ188" s="1312"/>
      <c r="HA188" s="1218"/>
      <c r="HB188" s="1311">
        <v>2.6565496049165938</v>
      </c>
      <c r="HC188" s="1312"/>
      <c r="HD188" s="2000"/>
      <c r="HE188" s="1311">
        <v>3.1894755676665736</v>
      </c>
      <c r="HF188" s="1312"/>
      <c r="HG188" s="2000"/>
      <c r="HH188" s="1241"/>
      <c r="HI188" s="1311">
        <v>2.6637900876834832</v>
      </c>
      <c r="HJ188" s="1312"/>
      <c r="HK188" s="2000"/>
      <c r="HL188" s="1311">
        <v>2.7908299870640216</v>
      </c>
      <c r="HM188" s="1312"/>
      <c r="HN188" s="2000"/>
      <c r="HO188" s="1311">
        <v>2.6004567847983422</v>
      </c>
      <c r="HP188" s="1312"/>
      <c r="HQ188" s="2000"/>
      <c r="HR188" s="1311">
        <v>2.1430959026844483</v>
      </c>
    </row>
    <row r="189" spans="1:226">
      <c r="A189" s="1290"/>
      <c r="B189" s="1233"/>
      <c r="C189" s="860"/>
      <c r="D189" s="860"/>
      <c r="E189" s="860"/>
      <c r="F189" s="1232"/>
      <c r="G189" s="1233"/>
      <c r="H189" s="860"/>
      <c r="I189" s="860"/>
      <c r="J189" s="860"/>
      <c r="K189" s="1232"/>
      <c r="L189" s="1233"/>
      <c r="M189" s="860"/>
      <c r="N189" s="860"/>
      <c r="O189" s="860"/>
      <c r="P189" s="1232"/>
      <c r="Q189" s="1233"/>
      <c r="R189" s="860"/>
      <c r="S189" s="860"/>
      <c r="T189" s="860"/>
      <c r="U189" s="1232"/>
      <c r="V189" s="1233"/>
      <c r="W189" s="860"/>
      <c r="X189" s="860"/>
      <c r="Y189" s="860"/>
      <c r="Z189" s="1261"/>
      <c r="AA189" s="1326"/>
      <c r="AB189" s="1274"/>
      <c r="AC189" s="1274"/>
      <c r="AD189" s="1274"/>
      <c r="AE189" s="1261"/>
      <c r="AF189" s="1242"/>
      <c r="AG189" s="1162"/>
      <c r="AH189" s="1162"/>
      <c r="AI189" s="1162"/>
      <c r="AJ189" s="1261"/>
      <c r="AK189" s="1242"/>
      <c r="AL189" s="1162"/>
      <c r="AM189" s="1162"/>
      <c r="AN189" s="1162"/>
      <c r="AO189" s="1261"/>
      <c r="AP189" s="1242"/>
      <c r="AQ189" s="1162"/>
      <c r="AR189" s="1162"/>
      <c r="AS189" s="1162"/>
      <c r="AT189" s="1261"/>
      <c r="AU189" s="1242"/>
      <c r="AV189" s="1162"/>
      <c r="AW189" s="1162"/>
      <c r="AX189" s="1162"/>
      <c r="AY189" s="1261"/>
      <c r="AZ189" s="1242"/>
      <c r="BA189" s="1162"/>
      <c r="BB189" s="1162"/>
      <c r="BC189" s="1162"/>
      <c r="BD189" s="1261"/>
      <c r="BE189" s="1346"/>
      <c r="BF189" s="1307"/>
      <c r="BG189" s="1307"/>
      <c r="BH189" s="1347"/>
      <c r="BI189" s="1261"/>
      <c r="BJ189" s="1346"/>
      <c r="BK189" s="1307"/>
      <c r="BL189" s="1307"/>
      <c r="BM189" s="1307"/>
      <c r="BN189" s="1261"/>
      <c r="BO189" s="1346"/>
      <c r="BP189" s="1307"/>
      <c r="BQ189" s="1307"/>
      <c r="BR189" s="1307"/>
      <c r="BS189" s="1261"/>
      <c r="BT189" s="1346"/>
      <c r="BU189" s="1307"/>
      <c r="BV189" s="1307"/>
      <c r="BW189" s="1307"/>
      <c r="BX189" s="1261"/>
      <c r="BY189" s="1346"/>
      <c r="BZ189" s="1307"/>
      <c r="CA189" s="1307"/>
      <c r="CB189" s="1307"/>
      <c r="CC189" s="1757"/>
      <c r="CD189" s="1346"/>
      <c r="CE189" s="2060"/>
      <c r="CF189" s="2060"/>
      <c r="CG189" s="2060"/>
      <c r="CH189" s="1757"/>
      <c r="CI189" s="1162"/>
      <c r="CJ189" s="860"/>
      <c r="CK189" s="1233"/>
      <c r="CL189" s="860"/>
      <c r="CM189" s="860"/>
      <c r="CN189" s="860"/>
      <c r="CO189" s="1232"/>
      <c r="CP189" s="1233"/>
      <c r="CQ189" s="860"/>
      <c r="CR189" s="860"/>
      <c r="CS189" s="860"/>
      <c r="CT189" s="1232"/>
      <c r="CU189" s="1233"/>
      <c r="CV189" s="860"/>
      <c r="CW189" s="860"/>
      <c r="CX189" s="860"/>
      <c r="CY189" s="1232"/>
      <c r="CZ189" s="1233"/>
      <c r="DA189" s="860"/>
      <c r="DB189" s="860"/>
      <c r="DC189" s="860"/>
      <c r="DD189" s="1232"/>
      <c r="DE189" s="1233"/>
      <c r="DF189" s="860"/>
      <c r="DG189" s="860"/>
      <c r="DH189" s="860"/>
      <c r="DI189" s="1232"/>
      <c r="DJ189" s="1233"/>
      <c r="DK189" s="860"/>
      <c r="DL189" s="860"/>
      <c r="DM189" s="860"/>
      <c r="DN189" s="1232"/>
      <c r="DO189" s="1233"/>
      <c r="DP189" s="860"/>
      <c r="DQ189" s="860"/>
      <c r="DR189" s="860"/>
      <c r="DS189" s="1232"/>
      <c r="DT189" s="1413"/>
      <c r="DU189" s="1240"/>
      <c r="DV189" s="1240"/>
      <c r="DW189" s="1240"/>
      <c r="DX189" s="1414"/>
      <c r="DY189" s="1413"/>
      <c r="DZ189" s="1240"/>
      <c r="EA189" s="1240"/>
      <c r="EB189" s="1240"/>
      <c r="EC189" s="1414"/>
      <c r="ED189" s="1240"/>
      <c r="EE189" s="1240"/>
      <c r="EF189" s="1240"/>
      <c r="EG189" s="1240"/>
      <c r="EH189" s="1240"/>
      <c r="EI189" s="1233"/>
      <c r="EJ189" s="860"/>
      <c r="EK189" s="860"/>
      <c r="EL189" s="860"/>
      <c r="EM189" s="1232"/>
      <c r="EN189" s="1413"/>
      <c r="EO189" s="1240"/>
      <c r="EP189" s="1240"/>
      <c r="EQ189" s="1240"/>
      <c r="ER189" s="1414"/>
      <c r="ES189" s="1240"/>
      <c r="ET189" s="1240"/>
      <c r="EU189" s="1240"/>
      <c r="EV189" s="1240"/>
      <c r="EW189" s="1414"/>
      <c r="EX189" s="1413"/>
      <c r="EY189" s="1240"/>
      <c r="EZ189" s="1240"/>
      <c r="FA189" s="1240"/>
      <c r="FB189" s="1792"/>
      <c r="FC189" s="1413"/>
      <c r="FD189" s="1240"/>
      <c r="FE189" s="1240"/>
      <c r="FF189" s="1240"/>
      <c r="FG189" s="1240"/>
      <c r="FH189" s="1240"/>
      <c r="FI189" s="1240"/>
      <c r="FJ189" s="1240"/>
      <c r="FK189" s="1240"/>
      <c r="FL189" s="860"/>
      <c r="FM189" s="860"/>
      <c r="FN189" s="860"/>
      <c r="FO189" s="860"/>
      <c r="FP189" s="860"/>
      <c r="FQ189" s="860"/>
      <c r="FR189" s="860"/>
      <c r="FS189" s="860"/>
      <c r="FT189" s="860"/>
      <c r="FU189" s="860"/>
      <c r="FV189" s="860"/>
      <c r="FW189" s="860"/>
      <c r="FX189" s="860"/>
      <c r="FY189" s="860"/>
      <c r="FZ189" s="860"/>
      <c r="GA189" s="860"/>
      <c r="GB189" s="860"/>
      <c r="GC189" s="860"/>
      <c r="GD189" s="860"/>
      <c r="GE189" s="860"/>
      <c r="GF189" s="860"/>
      <c r="GG189" s="860"/>
      <c r="GH189" s="860"/>
      <c r="GI189" s="860"/>
      <c r="GJ189" s="860"/>
      <c r="GK189" s="860"/>
      <c r="GL189" s="860"/>
      <c r="GM189" s="860"/>
      <c r="GN189" s="860"/>
      <c r="GO189" s="860"/>
      <c r="GP189" s="860"/>
      <c r="GQ189" s="860"/>
      <c r="GR189" s="1311"/>
      <c r="GS189" s="1312"/>
      <c r="GT189" s="1311"/>
      <c r="GU189" s="1312"/>
      <c r="GV189" s="1311"/>
      <c r="GW189" s="1312"/>
      <c r="GX189" s="1218"/>
      <c r="GY189" s="1311"/>
      <c r="GZ189" s="1312"/>
      <c r="HA189" s="1218"/>
      <c r="HB189" s="1311"/>
      <c r="HC189" s="1312"/>
      <c r="HD189" s="2000"/>
      <c r="HE189" s="1311"/>
      <c r="HF189" s="1312"/>
      <c r="HG189" s="2000"/>
      <c r="HH189" s="1241"/>
      <c r="HI189" s="1311"/>
      <c r="HJ189" s="1312"/>
      <c r="HK189" s="2000"/>
      <c r="HL189" s="1311"/>
      <c r="HM189" s="1312"/>
      <c r="HN189" s="2000"/>
      <c r="HO189" s="1311"/>
      <c r="HP189" s="1312"/>
      <c r="HQ189" s="2000"/>
      <c r="HR189" s="1311"/>
    </row>
    <row r="190" spans="1:226">
      <c r="A190" s="1290" t="s">
        <v>799</v>
      </c>
      <c r="B190" s="1233"/>
      <c r="C190" s="860"/>
      <c r="D190" s="860"/>
      <c r="E190" s="860"/>
      <c r="F190" s="1232"/>
      <c r="G190" s="1233"/>
      <c r="H190" s="860"/>
      <c r="I190" s="860"/>
      <c r="J190" s="860"/>
      <c r="K190" s="1232"/>
      <c r="L190" s="1233"/>
      <c r="M190" s="860"/>
      <c r="N190" s="860"/>
      <c r="O190" s="860"/>
      <c r="P190" s="1232"/>
      <c r="Q190" s="1233"/>
      <c r="R190" s="860"/>
      <c r="S190" s="860"/>
      <c r="T190" s="860"/>
      <c r="U190" s="1232"/>
      <c r="V190" s="1233"/>
      <c r="W190" s="860"/>
      <c r="X190" s="860"/>
      <c r="Y190" s="860"/>
      <c r="Z190" s="1261"/>
      <c r="AA190" s="1326"/>
      <c r="AB190" s="1274"/>
      <c r="AC190" s="1274"/>
      <c r="AD190" s="1274"/>
      <c r="AE190" s="1261"/>
      <c r="AF190" s="1242"/>
      <c r="AG190" s="1162"/>
      <c r="AH190" s="1162"/>
      <c r="AI190" s="1162"/>
      <c r="AJ190" s="1261"/>
      <c r="AK190" s="1242"/>
      <c r="AL190" s="1162"/>
      <c r="AM190" s="1162"/>
      <c r="AN190" s="1162"/>
      <c r="AO190" s="1261"/>
      <c r="AP190" s="1242"/>
      <c r="AQ190" s="1162"/>
      <c r="AR190" s="1162"/>
      <c r="AS190" s="1162"/>
      <c r="AT190" s="1261"/>
      <c r="AU190" s="1242"/>
      <c r="AV190" s="1162"/>
      <c r="AW190" s="1162"/>
      <c r="AX190" s="1162"/>
      <c r="AY190" s="1261"/>
      <c r="AZ190" s="1242"/>
      <c r="BA190" s="1162"/>
      <c r="BB190" s="1162"/>
      <c r="BC190" s="1162"/>
      <c r="BD190" s="1261"/>
      <c r="BE190" s="1346"/>
      <c r="BF190" s="1307"/>
      <c r="BG190" s="1307"/>
      <c r="BH190" s="1347"/>
      <c r="BI190" s="1261"/>
      <c r="BJ190" s="1346"/>
      <c r="BK190" s="1307"/>
      <c r="BL190" s="1307"/>
      <c r="BM190" s="1307"/>
      <c r="BN190" s="1261"/>
      <c r="BO190" s="1346">
        <f>BO178/(BK34+BL34+BM34+BO34)</f>
        <v>2.1749757768516753</v>
      </c>
      <c r="BP190" s="1307">
        <f>BP178/(BL34+BM34+BO34+BP34)</f>
        <v>2.2369038538374921</v>
      </c>
      <c r="BQ190" s="1307">
        <f>BQ178/(BM34+BO34+BP34+BQ34)</f>
        <v>2.3371226620188863</v>
      </c>
      <c r="BR190" s="1307">
        <f>BR178/(BO34+BP34+BQ34+BR34)</f>
        <v>2.2884518159112006</v>
      </c>
      <c r="BS190" s="1261"/>
      <c r="BT190" s="1346">
        <f>BT178/(BP34+BQ34+BR34+BT34)</f>
        <v>2.2604393702150425</v>
      </c>
      <c r="BU190" s="1307">
        <f>BU178/(BQ34+BR34+BT34+BU34)</f>
        <v>2.4140944763239025</v>
      </c>
      <c r="BV190" s="1307">
        <f>BV178/(BR34+BT34+BU34+BV34)</f>
        <v>2.5162597877299171</v>
      </c>
      <c r="BW190" s="1307">
        <f>BW178/(BT34+BU34+BV34+BW34)</f>
        <v>2.5757041873399578</v>
      </c>
      <c r="BX190" s="1261"/>
      <c r="BY190" s="1346">
        <f>BY178/(BU34+BV34+BW34+BY34)</f>
        <v>2.4140778008930828</v>
      </c>
      <c r="BZ190" s="1307">
        <f>BZ178/(BV34+BW34+BY34+BZ34)</f>
        <v>2.2697352205908241</v>
      </c>
      <c r="CA190" s="1307">
        <f>CA178/(BW34+BY34+BZ34+CA34)</f>
        <v>2.20831275792741</v>
      </c>
      <c r="CB190" s="1307">
        <f>CB178/(BX34+BZ34+CA34+CB34)</f>
        <v>1.2133886210378075</v>
      </c>
      <c r="CC190" s="1757"/>
      <c r="CD190" s="1346">
        <f>CD178/(BZ34+CA34+CB34+CD34)</f>
        <v>2.1333733544873716</v>
      </c>
      <c r="CE190" s="2060">
        <f>CE178/(CA34+CB34+CD34+CE34)</f>
        <v>2.182593177470503</v>
      </c>
      <c r="CF190" s="2060">
        <f>CF178/(CB34+CD34+CE34+CF34)</f>
        <v>2.2474699909245022</v>
      </c>
      <c r="CG190" s="2060">
        <f ca="1">CG178/(CC34+CE34+CF34+CG34)</f>
        <v>1.3616077112935516</v>
      </c>
      <c r="CH190" s="1757"/>
      <c r="CI190" s="1162"/>
      <c r="CJ190" s="860"/>
      <c r="CK190" s="1233"/>
      <c r="CL190" s="860"/>
      <c r="CM190" s="860"/>
      <c r="CN190" s="860"/>
      <c r="CO190" s="1232"/>
      <c r="CP190" s="1233"/>
      <c r="CQ190" s="860"/>
      <c r="CR190" s="860"/>
      <c r="CS190" s="860"/>
      <c r="CT190" s="1232"/>
      <c r="CU190" s="1233"/>
      <c r="CV190" s="860"/>
      <c r="CW190" s="860"/>
      <c r="CX190" s="860"/>
      <c r="CY190" s="1232"/>
      <c r="CZ190" s="1233"/>
      <c r="DA190" s="860"/>
      <c r="DB190" s="860"/>
      <c r="DC190" s="860"/>
      <c r="DD190" s="1232"/>
      <c r="DE190" s="1233"/>
      <c r="DF190" s="860"/>
      <c r="DG190" s="860"/>
      <c r="DH190" s="860"/>
      <c r="DI190" s="1232"/>
      <c r="DJ190" s="1233"/>
      <c r="DK190" s="860"/>
      <c r="DL190" s="860"/>
      <c r="DM190" s="860"/>
      <c r="DN190" s="1232"/>
      <c r="DO190" s="1233"/>
      <c r="DP190" s="860"/>
      <c r="DQ190" s="860"/>
      <c r="DR190" s="860"/>
      <c r="DS190" s="1232"/>
      <c r="DT190" s="1413"/>
      <c r="DU190" s="1240"/>
      <c r="DV190" s="1240"/>
      <c r="DW190" s="1240"/>
      <c r="DX190" s="1414"/>
      <c r="DY190" s="1413"/>
      <c r="DZ190" s="1240"/>
      <c r="EA190" s="1240"/>
      <c r="EB190" s="1240"/>
      <c r="EC190" s="1414"/>
      <c r="ED190" s="1240"/>
      <c r="EE190" s="1240"/>
      <c r="EF190" s="1240"/>
      <c r="EG190" s="1240"/>
      <c r="EH190" s="1240"/>
      <c r="EI190" s="1233"/>
      <c r="EJ190" s="860"/>
      <c r="EK190" s="860"/>
      <c r="EL190" s="860"/>
      <c r="EM190" s="1232"/>
      <c r="EN190" s="1413"/>
      <c r="EO190" s="1240"/>
      <c r="EP190" s="1240"/>
      <c r="EQ190" s="1240"/>
      <c r="ER190" s="1414"/>
      <c r="ES190" s="1240"/>
      <c r="ET190" s="1240"/>
      <c r="EU190" s="1240"/>
      <c r="EV190" s="1240"/>
      <c r="EW190" s="1414"/>
      <c r="EX190" s="1413"/>
      <c r="EY190" s="1240"/>
      <c r="EZ190" s="1240"/>
      <c r="FA190" s="1240"/>
      <c r="FB190" s="1792"/>
      <c r="FC190" s="1413"/>
      <c r="FD190" s="1240"/>
      <c r="FE190" s="1240"/>
      <c r="FF190" s="1240"/>
      <c r="FG190" s="1240"/>
      <c r="FH190" s="1240"/>
      <c r="FI190" s="1240"/>
      <c r="FJ190" s="1240"/>
      <c r="FK190" s="1240"/>
      <c r="FL190" s="860"/>
      <c r="FM190" s="860"/>
      <c r="FN190" s="860"/>
      <c r="FO190" s="860"/>
      <c r="FP190" s="860"/>
      <c r="FQ190" s="860"/>
      <c r="FR190" s="860"/>
      <c r="FS190" s="860"/>
      <c r="FT190" s="860"/>
      <c r="FU190" s="860"/>
      <c r="FV190" s="860"/>
      <c r="FW190" s="860"/>
      <c r="FX190" s="860"/>
      <c r="FY190" s="860"/>
      <c r="FZ190" s="860"/>
      <c r="GA190" s="860"/>
      <c r="GB190" s="860"/>
      <c r="GC190" s="860"/>
      <c r="GD190" s="860"/>
      <c r="GE190" s="860"/>
      <c r="GF190" s="860"/>
      <c r="GG190" s="860"/>
      <c r="GH190" s="860"/>
      <c r="GI190" s="860"/>
      <c r="GJ190" s="860"/>
      <c r="GK190" s="860"/>
      <c r="GL190" s="860"/>
      <c r="GM190" s="860"/>
      <c r="GN190" s="860"/>
      <c r="GO190" s="860"/>
      <c r="GP190" s="860"/>
      <c r="GQ190" s="860"/>
      <c r="GR190" s="1311"/>
      <c r="GS190" s="1312"/>
      <c r="GT190" s="1311"/>
      <c r="GU190" s="1312"/>
      <c r="GV190" s="1311"/>
      <c r="GW190" s="1312"/>
      <c r="GX190" s="1218"/>
      <c r="GY190" s="1311"/>
      <c r="GZ190" s="1312"/>
      <c r="HA190" s="1218"/>
      <c r="HB190" s="1311"/>
      <c r="HC190" s="1312"/>
      <c r="HD190" s="2000"/>
      <c r="HE190" s="1311"/>
      <c r="HF190" s="1312"/>
      <c r="HG190" s="2000"/>
      <c r="HH190" s="1241"/>
      <c r="HI190" s="1311">
        <v>2.4912810674323644</v>
      </c>
      <c r="HJ190" s="1312"/>
      <c r="HK190" s="2000"/>
      <c r="HL190" s="1311">
        <v>2.5721434118959059</v>
      </c>
      <c r="HM190" s="1312"/>
      <c r="HN190" s="2000"/>
      <c r="HO190" s="1311">
        <v>2.4035490702425291</v>
      </c>
      <c r="HP190" s="1312"/>
      <c r="HQ190" s="2000"/>
      <c r="HR190" s="1311">
        <v>2.1333733544873716</v>
      </c>
    </row>
    <row r="191" spans="1:226">
      <c r="A191" s="1290"/>
      <c r="B191" s="1233"/>
      <c r="C191" s="860"/>
      <c r="D191" s="860"/>
      <c r="E191" s="860"/>
      <c r="F191" s="1232"/>
      <c r="G191" s="1233"/>
      <c r="H191" s="860"/>
      <c r="I191" s="860"/>
      <c r="J191" s="860"/>
      <c r="K191" s="1232"/>
      <c r="L191" s="1233"/>
      <c r="M191" s="860"/>
      <c r="N191" s="860"/>
      <c r="O191" s="860"/>
      <c r="P191" s="1232"/>
      <c r="Q191" s="1233"/>
      <c r="R191" s="860"/>
      <c r="S191" s="860"/>
      <c r="T191" s="860"/>
      <c r="U191" s="1232"/>
      <c r="V191" s="1233"/>
      <c r="W191" s="860"/>
      <c r="X191" s="860"/>
      <c r="Y191" s="860"/>
      <c r="Z191" s="1261"/>
      <c r="AA191" s="1326"/>
      <c r="AB191" s="1274"/>
      <c r="AC191" s="1274"/>
      <c r="AD191" s="1274"/>
      <c r="AE191" s="1261"/>
      <c r="AF191" s="1242"/>
      <c r="AG191" s="1162"/>
      <c r="AH191" s="1162"/>
      <c r="AI191" s="1162"/>
      <c r="AJ191" s="1261"/>
      <c r="AK191" s="1242"/>
      <c r="AL191" s="1162"/>
      <c r="AM191" s="1162"/>
      <c r="AN191" s="1162"/>
      <c r="AO191" s="1261"/>
      <c r="AP191" s="1242"/>
      <c r="AQ191" s="1162"/>
      <c r="AR191" s="1162"/>
      <c r="AS191" s="1162"/>
      <c r="AT191" s="1261"/>
      <c r="AU191" s="1242"/>
      <c r="AV191" s="1162"/>
      <c r="AW191" s="1162"/>
      <c r="AX191" s="1162"/>
      <c r="AY191" s="1261"/>
      <c r="AZ191" s="1242"/>
      <c r="BA191" s="1162"/>
      <c r="BB191" s="1162"/>
      <c r="BC191" s="1162"/>
      <c r="BD191" s="1261"/>
      <c r="BE191" s="1346"/>
      <c r="BF191" s="1307"/>
      <c r="BG191" s="1307"/>
      <c r="BH191" s="1347"/>
      <c r="BI191" s="1261"/>
      <c r="BJ191" s="1346"/>
      <c r="BK191" s="1307"/>
      <c r="BL191" s="1307"/>
      <c r="BM191" s="1307"/>
      <c r="BN191" s="1261"/>
      <c r="BO191" s="1346"/>
      <c r="BP191" s="1307"/>
      <c r="BQ191" s="1307"/>
      <c r="BR191" s="1307"/>
      <c r="BS191" s="1261"/>
      <c r="BT191" s="1346"/>
      <c r="BU191" s="1307"/>
      <c r="BV191" s="1307"/>
      <c r="BW191" s="1307"/>
      <c r="BX191" s="1261"/>
      <c r="BY191" s="1346"/>
      <c r="BZ191" s="1307"/>
      <c r="CA191" s="1307"/>
      <c r="CB191" s="1307"/>
      <c r="CC191" s="1757"/>
      <c r="CD191" s="1346"/>
      <c r="CE191" s="2060"/>
      <c r="CF191" s="2060"/>
      <c r="CG191" s="2060"/>
      <c r="CH191" s="1757"/>
      <c r="CI191" s="1162"/>
      <c r="CJ191" s="860"/>
      <c r="CK191" s="1233"/>
      <c r="CL191" s="860"/>
      <c r="CM191" s="860"/>
      <c r="CN191" s="860"/>
      <c r="CO191" s="1232"/>
      <c r="CP191" s="1233"/>
      <c r="CQ191" s="860"/>
      <c r="CR191" s="860"/>
      <c r="CS191" s="860"/>
      <c r="CT191" s="1232"/>
      <c r="CU191" s="1233"/>
      <c r="CV191" s="860"/>
      <c r="CW191" s="860"/>
      <c r="CX191" s="860"/>
      <c r="CY191" s="1232"/>
      <c r="CZ191" s="1233"/>
      <c r="DA191" s="860"/>
      <c r="DB191" s="860"/>
      <c r="DC191" s="860"/>
      <c r="DD191" s="1232"/>
      <c r="DE191" s="1233"/>
      <c r="DF191" s="860"/>
      <c r="DG191" s="860"/>
      <c r="DH191" s="860"/>
      <c r="DI191" s="1232"/>
      <c r="DJ191" s="1233"/>
      <c r="DK191" s="860"/>
      <c r="DL191" s="860"/>
      <c r="DM191" s="860"/>
      <c r="DN191" s="1232"/>
      <c r="DO191" s="1233"/>
      <c r="DP191" s="860"/>
      <c r="DQ191" s="860"/>
      <c r="DR191" s="860"/>
      <c r="DS191" s="1232"/>
      <c r="DT191" s="1413"/>
      <c r="DU191" s="1240"/>
      <c r="DV191" s="1240"/>
      <c r="DW191" s="1240"/>
      <c r="DX191" s="1414"/>
      <c r="DY191" s="1413"/>
      <c r="DZ191" s="1240"/>
      <c r="EA191" s="1240"/>
      <c r="EB191" s="1240"/>
      <c r="EC191" s="1414"/>
      <c r="ED191" s="1240"/>
      <c r="EE191" s="1240"/>
      <c r="EF191" s="1240"/>
      <c r="EG191" s="1240"/>
      <c r="EH191" s="1240"/>
      <c r="EI191" s="1233"/>
      <c r="EJ191" s="860"/>
      <c r="EK191" s="860"/>
      <c r="EL191" s="860"/>
      <c r="EM191" s="1232"/>
      <c r="EN191" s="1413"/>
      <c r="EO191" s="1240"/>
      <c r="EP191" s="1240"/>
      <c r="EQ191" s="1240"/>
      <c r="ER191" s="1414"/>
      <c r="ES191" s="1240"/>
      <c r="ET191" s="1240"/>
      <c r="EU191" s="1240"/>
      <c r="EV191" s="1240"/>
      <c r="EW191" s="1414"/>
      <c r="EX191" s="1413"/>
      <c r="EY191" s="1240"/>
      <c r="EZ191" s="1240"/>
      <c r="FA191" s="1240"/>
      <c r="FB191" s="1792"/>
      <c r="FC191" s="1413"/>
      <c r="FD191" s="1240"/>
      <c r="FE191" s="1240"/>
      <c r="FF191" s="1240"/>
      <c r="FG191" s="1240"/>
      <c r="FH191" s="1240"/>
      <c r="FI191" s="1240"/>
      <c r="FJ191" s="1240"/>
      <c r="FK191" s="1240"/>
      <c r="FL191" s="860"/>
      <c r="FM191" s="860"/>
      <c r="FN191" s="860"/>
      <c r="FO191" s="860"/>
      <c r="FP191" s="860"/>
      <c r="FQ191" s="860"/>
      <c r="FR191" s="860"/>
      <c r="FS191" s="860"/>
      <c r="FT191" s="860"/>
      <c r="FU191" s="860"/>
      <c r="FV191" s="860"/>
      <c r="FW191" s="860"/>
      <c r="FX191" s="860"/>
      <c r="FY191" s="860"/>
      <c r="FZ191" s="860"/>
      <c r="GA191" s="860"/>
      <c r="GB191" s="860"/>
      <c r="GC191" s="860"/>
      <c r="GD191" s="860"/>
      <c r="GE191" s="860"/>
      <c r="GF191" s="860"/>
      <c r="GG191" s="860"/>
      <c r="GH191" s="860"/>
      <c r="GI191" s="860"/>
      <c r="GJ191" s="860"/>
      <c r="GK191" s="860"/>
      <c r="GL191" s="860"/>
      <c r="GM191" s="860"/>
      <c r="GN191" s="860"/>
      <c r="GO191" s="860"/>
      <c r="GP191" s="860"/>
      <c r="GQ191" s="860"/>
      <c r="GR191" s="1311"/>
      <c r="GS191" s="1312"/>
      <c r="GT191" s="1311"/>
      <c r="GU191" s="1312"/>
      <c r="GV191" s="1311"/>
      <c r="GW191" s="1312"/>
      <c r="GX191" s="1218"/>
      <c r="GY191" s="1311"/>
      <c r="GZ191" s="1312"/>
      <c r="HA191" s="1218"/>
      <c r="HB191" s="1311"/>
      <c r="HC191" s="1312"/>
      <c r="HD191" s="2000"/>
      <c r="HE191" s="1311"/>
      <c r="HF191" s="1312"/>
      <c r="HG191" s="2000"/>
      <c r="HH191" s="1241"/>
      <c r="HI191" s="1311"/>
      <c r="HJ191" s="1312"/>
      <c r="HK191" s="2000"/>
      <c r="HL191" s="1311"/>
      <c r="HM191" s="1312"/>
      <c r="HN191" s="2000"/>
      <c r="HO191" s="1311"/>
      <c r="HP191" s="1312"/>
      <c r="HQ191" s="2000"/>
      <c r="HR191" s="1311"/>
    </row>
    <row r="192" spans="1:226" hidden="1">
      <c r="A192" s="1290" t="s">
        <v>800</v>
      </c>
      <c r="B192" s="1233"/>
      <c r="C192" s="860"/>
      <c r="D192" s="860"/>
      <c r="E192" s="860"/>
      <c r="F192" s="1232"/>
      <c r="G192" s="1233"/>
      <c r="H192" s="860"/>
      <c r="I192" s="860"/>
      <c r="J192" s="860"/>
      <c r="K192" s="1232"/>
      <c r="L192" s="1233"/>
      <c r="M192" s="860"/>
      <c r="N192" s="860"/>
      <c r="O192" s="860"/>
      <c r="P192" s="1232"/>
      <c r="Q192" s="1233"/>
      <c r="R192" s="860"/>
      <c r="S192" s="860"/>
      <c r="T192" s="860"/>
      <c r="U192" s="1232"/>
      <c r="V192" s="1233"/>
      <c r="W192" s="860"/>
      <c r="X192" s="860"/>
      <c r="Y192" s="860">
        <v>20150.7</v>
      </c>
      <c r="Z192" s="1261"/>
      <c r="AA192" s="1326"/>
      <c r="AB192" s="1274">
        <v>15257.8</v>
      </c>
      <c r="AC192" s="1274">
        <v>12057.5</v>
      </c>
      <c r="AD192" s="1274">
        <v>20470.400000000001</v>
      </c>
      <c r="AE192" s="1261"/>
      <c r="AF192" s="1326">
        <v>18602.3</v>
      </c>
      <c r="AG192" s="1274">
        <v>13760.8</v>
      </c>
      <c r="AH192" s="1274">
        <v>11802.2</v>
      </c>
      <c r="AI192" s="1274">
        <v>21709.4</v>
      </c>
      <c r="AJ192" s="1261"/>
      <c r="AK192" s="1242"/>
      <c r="AL192" s="1162"/>
      <c r="AM192" s="1274">
        <v>10412.1</v>
      </c>
      <c r="AN192" s="1274">
        <v>18798.3</v>
      </c>
      <c r="AO192" s="1261"/>
      <c r="AP192" s="1326">
        <v>19341.8</v>
      </c>
      <c r="AQ192" s="1274">
        <v>14095.2</v>
      </c>
      <c r="AR192" s="1274"/>
      <c r="AS192" s="1274"/>
      <c r="AT192" s="1261"/>
      <c r="AU192" s="1242"/>
      <c r="AV192" s="1162"/>
      <c r="AW192" s="1162"/>
      <c r="AX192" s="1162"/>
      <c r="AY192" s="1261"/>
      <c r="AZ192" s="1242"/>
      <c r="BA192" s="1162"/>
      <c r="BB192" s="1162"/>
      <c r="BC192" s="1162"/>
      <c r="BD192" s="1261"/>
      <c r="BE192" s="1242"/>
      <c r="BF192" s="1162"/>
      <c r="BG192" s="1162"/>
      <c r="BH192" s="1162"/>
      <c r="BI192" s="1261"/>
      <c r="BJ192" s="1242"/>
      <c r="BK192" s="1162"/>
      <c r="BL192" s="1162"/>
      <c r="BM192" s="1162"/>
      <c r="BN192" s="1261"/>
      <c r="BO192" s="1242"/>
      <c r="BP192" s="1162"/>
      <c r="BQ192" s="1162"/>
      <c r="BR192" s="1162"/>
      <c r="BS192" s="1261"/>
      <c r="BT192" s="1242"/>
      <c r="BU192" s="1162"/>
      <c r="BV192" s="1162"/>
      <c r="BW192" s="1162"/>
      <c r="BX192" s="1261"/>
      <c r="BY192" s="1242"/>
      <c r="BZ192" s="1162"/>
      <c r="CA192" s="1162"/>
      <c r="CB192" s="1162"/>
      <c r="CC192" s="1757"/>
      <c r="CD192" s="1242"/>
      <c r="CE192" s="2058"/>
      <c r="CF192" s="2058"/>
      <c r="CG192" s="2058"/>
      <c r="CH192" s="1757"/>
      <c r="CI192" s="1162"/>
      <c r="CJ192" s="860"/>
      <c r="CK192" s="1233"/>
      <c r="CL192" s="860"/>
      <c r="CM192" s="860"/>
      <c r="CN192" s="860"/>
      <c r="CO192" s="1232"/>
      <c r="CP192" s="1233"/>
      <c r="CQ192" s="860"/>
      <c r="CR192" s="860"/>
      <c r="CS192" s="860"/>
      <c r="CT192" s="1232"/>
      <c r="CU192" s="1233"/>
      <c r="CV192" s="860"/>
      <c r="CW192" s="860"/>
      <c r="CX192" s="860"/>
      <c r="CY192" s="1232"/>
      <c r="CZ192" s="1233"/>
      <c r="DA192" s="860"/>
      <c r="DB192" s="860"/>
      <c r="DC192" s="860"/>
      <c r="DD192" s="1232"/>
      <c r="DE192" s="1233"/>
      <c r="DF192" s="860"/>
      <c r="DG192" s="860"/>
      <c r="DH192" s="860"/>
      <c r="DI192" s="1232"/>
      <c r="DJ192" s="1233"/>
      <c r="DK192" s="860"/>
      <c r="DL192" s="860"/>
      <c r="DM192" s="860"/>
      <c r="DN192" s="1232"/>
      <c r="DO192" s="1233"/>
      <c r="DP192" s="860"/>
      <c r="DQ192" s="860"/>
      <c r="DR192" s="860"/>
      <c r="DS192" s="1232"/>
      <c r="DT192" s="1346">
        <f>AP187</f>
        <v>2.1814317753228756</v>
      </c>
      <c r="DU192" s="1307">
        <f>AQ187</f>
        <v>2.057388731479</v>
      </c>
      <c r="DV192" s="1307">
        <f>AR187</f>
        <v>1.8975447909754477</v>
      </c>
      <c r="DW192" s="1307">
        <f>AS187</f>
        <v>2.2781423454460943</v>
      </c>
      <c r="DX192" s="1415">
        <f>AU187</f>
        <v>2.5209266108623711</v>
      </c>
      <c r="DY192" s="1346"/>
      <c r="DZ192" s="1307"/>
      <c r="EA192" s="1307"/>
      <c r="EB192" s="1307"/>
      <c r="EC192" s="1415"/>
      <c r="ED192" s="1307"/>
      <c r="EE192" s="1307"/>
      <c r="EF192" s="1307"/>
      <c r="EG192" s="1307"/>
      <c r="EH192" s="1307"/>
      <c r="EI192" s="1233"/>
      <c r="EJ192" s="860"/>
      <c r="EK192" s="860"/>
      <c r="EL192" s="860"/>
      <c r="EM192" s="1232"/>
      <c r="EN192" s="1346"/>
      <c r="EO192" s="1307"/>
      <c r="EP192" s="1307"/>
      <c r="EQ192" s="1307"/>
      <c r="ER192" s="1415"/>
      <c r="ES192" s="1307"/>
      <c r="ET192" s="1307"/>
      <c r="EU192" s="1307"/>
      <c r="EV192" s="1307"/>
      <c r="EW192" s="1415"/>
      <c r="EX192" s="1346"/>
      <c r="EY192" s="1307"/>
      <c r="EZ192" s="1307"/>
      <c r="FA192" s="1307"/>
      <c r="FB192" s="1793"/>
      <c r="FC192" s="1346"/>
      <c r="FD192" s="1307"/>
      <c r="FE192" s="1307"/>
      <c r="FF192" s="1307"/>
      <c r="FG192" s="1307"/>
      <c r="FH192" s="1307"/>
      <c r="FI192" s="1307"/>
      <c r="FJ192" s="1307"/>
      <c r="FK192" s="1307"/>
      <c r="FL192" s="860"/>
      <c r="FM192" s="860"/>
      <c r="FN192" s="860"/>
      <c r="FO192" s="860"/>
      <c r="FP192" s="860"/>
      <c r="FQ192" s="860"/>
      <c r="FR192" s="860"/>
      <c r="FS192" s="860"/>
      <c r="FT192" s="860"/>
      <c r="FU192" s="860"/>
      <c r="FV192" s="860"/>
      <c r="FW192" s="860"/>
      <c r="FX192" s="860"/>
      <c r="FY192" s="860"/>
      <c r="FZ192" s="860"/>
      <c r="GA192" s="860"/>
      <c r="GB192" s="860"/>
      <c r="GC192" s="860"/>
      <c r="GD192" s="860"/>
      <c r="GE192" s="860"/>
      <c r="GF192" s="860"/>
      <c r="GG192" s="860"/>
      <c r="GH192" s="860"/>
      <c r="GI192" s="860"/>
      <c r="GJ192" s="860"/>
      <c r="GK192" s="860"/>
      <c r="GL192" s="860"/>
      <c r="GM192" s="860"/>
      <c r="GN192" s="860"/>
      <c r="GO192" s="860"/>
      <c r="GP192" s="860"/>
      <c r="GQ192" s="860"/>
      <c r="GR192" s="1241"/>
      <c r="GS192" s="1311"/>
      <c r="GT192" s="1241"/>
      <c r="GU192" s="1311"/>
      <c r="GV192" s="1241"/>
      <c r="GW192" s="1311"/>
      <c r="GX192" s="1218"/>
      <c r="GY192" s="1241"/>
      <c r="GZ192" s="1311"/>
      <c r="HA192" s="1218"/>
      <c r="HB192" s="1241"/>
      <c r="HC192" s="1311"/>
      <c r="HD192" s="2000"/>
      <c r="HE192" s="1241"/>
      <c r="HF192" s="1311"/>
      <c r="HG192" s="2000"/>
      <c r="HH192" s="1241"/>
      <c r="HI192" s="1241"/>
      <c r="HJ192" s="1311"/>
      <c r="HK192" s="2000"/>
      <c r="HL192" s="1241"/>
      <c r="HM192" s="1311"/>
      <c r="HN192" s="2000"/>
      <c r="HO192" s="1241"/>
      <c r="HP192" s="1311"/>
      <c r="HQ192" s="2000"/>
      <c r="HR192" s="1241"/>
    </row>
    <row r="193" spans="1:226" hidden="1">
      <c r="A193" s="1290" t="s">
        <v>205</v>
      </c>
      <c r="B193" s="1233"/>
      <c r="C193" s="860"/>
      <c r="D193" s="860"/>
      <c r="E193" s="860"/>
      <c r="F193" s="1232"/>
      <c r="G193" s="1233"/>
      <c r="H193" s="860"/>
      <c r="I193" s="860"/>
      <c r="J193" s="860"/>
      <c r="K193" s="1232"/>
      <c r="L193" s="1233"/>
      <c r="M193" s="860"/>
      <c r="N193" s="860"/>
      <c r="O193" s="860"/>
      <c r="P193" s="1232"/>
      <c r="Q193" s="1233"/>
      <c r="R193" s="860"/>
      <c r="S193" s="860"/>
      <c r="T193" s="860"/>
      <c r="U193" s="1232"/>
      <c r="V193" s="1233"/>
      <c r="W193" s="860"/>
      <c r="X193" s="860"/>
      <c r="Y193" s="860"/>
      <c r="Z193" s="1261"/>
      <c r="AA193" s="1326"/>
      <c r="AB193" s="1274"/>
      <c r="AC193" s="1274">
        <f>AC192-AB192</f>
        <v>-3200.2999999999993</v>
      </c>
      <c r="AD193" s="1274">
        <f>AD192-AC192</f>
        <v>8412.9000000000015</v>
      </c>
      <c r="AE193" s="1261"/>
      <c r="AF193" s="1326">
        <f>AF192-AD192</f>
        <v>-1868.1000000000022</v>
      </c>
      <c r="AG193" s="1274">
        <f>AG192-AF192</f>
        <v>-4841.5</v>
      </c>
      <c r="AH193" s="1274">
        <f>AH192-AG192</f>
        <v>-1958.5999999999985</v>
      </c>
      <c r="AI193" s="1274">
        <f>AI192-AH192</f>
        <v>9907.2000000000007</v>
      </c>
      <c r="AJ193" s="1261"/>
      <c r="AK193" s="1242"/>
      <c r="AL193" s="1162"/>
      <c r="AM193" s="1162"/>
      <c r="AN193" s="1274">
        <f>AN192-AM192</f>
        <v>8386.1999999999989</v>
      </c>
      <c r="AO193" s="1261"/>
      <c r="AP193" s="1242"/>
      <c r="AQ193" s="1162"/>
      <c r="AR193" s="1162"/>
      <c r="AS193" s="1162"/>
      <c r="AT193" s="1261"/>
      <c r="AU193" s="1242"/>
      <c r="AV193" s="1162"/>
      <c r="AW193" s="1162"/>
      <c r="AX193" s="1162"/>
      <c r="AY193" s="1261"/>
      <c r="AZ193" s="1242"/>
      <c r="BA193" s="1162"/>
      <c r="BB193" s="1162"/>
      <c r="BC193" s="1162"/>
      <c r="BD193" s="1261"/>
      <c r="BE193" s="1242"/>
      <c r="BF193" s="1162"/>
      <c r="BG193" s="1162"/>
      <c r="BH193" s="1162"/>
      <c r="BI193" s="1261"/>
      <c r="BJ193" s="1242"/>
      <c r="BK193" s="1162"/>
      <c r="BL193" s="1162"/>
      <c r="BM193" s="1162"/>
      <c r="BN193" s="1261"/>
      <c r="BO193" s="1242"/>
      <c r="BP193" s="1162"/>
      <c r="BQ193" s="1162"/>
      <c r="BR193" s="1162"/>
      <c r="BS193" s="1261"/>
      <c r="BT193" s="1242"/>
      <c r="BU193" s="1162"/>
      <c r="BV193" s="1162"/>
      <c r="BW193" s="1162"/>
      <c r="BX193" s="1261"/>
      <c r="BY193" s="1242"/>
      <c r="BZ193" s="1162"/>
      <c r="CA193" s="1162"/>
      <c r="CB193" s="1162"/>
      <c r="CC193" s="1757"/>
      <c r="CD193" s="1242"/>
      <c r="CE193" s="2058"/>
      <c r="CF193" s="2058"/>
      <c r="CG193" s="2058"/>
      <c r="CH193" s="1757"/>
      <c r="CI193" s="1162"/>
      <c r="CJ193" s="860"/>
      <c r="CK193" s="1233"/>
      <c r="CL193" s="860"/>
      <c r="CM193" s="860"/>
      <c r="CN193" s="860"/>
      <c r="CO193" s="1232"/>
      <c r="CP193" s="1233"/>
      <c r="CQ193" s="860"/>
      <c r="CR193" s="860"/>
      <c r="CS193" s="860"/>
      <c r="CT193" s="1232"/>
      <c r="CU193" s="1233"/>
      <c r="CV193" s="860"/>
      <c r="CW193" s="860"/>
      <c r="CX193" s="860"/>
      <c r="CY193" s="1232"/>
      <c r="CZ193" s="1233"/>
      <c r="DA193" s="860"/>
      <c r="DB193" s="860"/>
      <c r="DC193" s="860"/>
      <c r="DD193" s="1232"/>
      <c r="DE193" s="1233"/>
      <c r="DF193" s="860"/>
      <c r="DG193" s="860"/>
      <c r="DH193" s="860"/>
      <c r="DI193" s="1232"/>
      <c r="DJ193" s="1233"/>
      <c r="DK193" s="860"/>
      <c r="DL193" s="860"/>
      <c r="DM193" s="860"/>
      <c r="DN193" s="1232"/>
      <c r="DO193" s="1233"/>
      <c r="DP193" s="860"/>
      <c r="DQ193" s="860"/>
      <c r="DR193" s="860"/>
      <c r="DS193" s="1232"/>
      <c r="DT193" s="1233"/>
      <c r="DU193" s="860"/>
      <c r="DV193" s="860"/>
      <c r="DW193" s="860"/>
      <c r="DX193" s="1232"/>
      <c r="DY193" s="1233"/>
      <c r="DZ193" s="860"/>
      <c r="EA193" s="860"/>
      <c r="EB193" s="860"/>
      <c r="EC193" s="1232"/>
      <c r="ED193" s="860"/>
      <c r="EE193" s="860"/>
      <c r="EF193" s="860"/>
      <c r="EG193" s="860"/>
      <c r="EH193" s="860"/>
      <c r="EI193" s="1233"/>
      <c r="EJ193" s="860"/>
      <c r="EK193" s="860"/>
      <c r="EL193" s="860"/>
      <c r="EM193" s="1232"/>
      <c r="EN193" s="1233"/>
      <c r="EO193" s="860"/>
      <c r="EP193" s="860"/>
      <c r="EQ193" s="860"/>
      <c r="ER193" s="1232"/>
      <c r="ES193" s="860"/>
      <c r="ET193" s="860"/>
      <c r="EU193" s="860"/>
      <c r="EV193" s="860"/>
      <c r="EW193" s="1232"/>
      <c r="EX193" s="1233"/>
      <c r="EY193" s="860"/>
      <c r="EZ193" s="860"/>
      <c r="FA193" s="860"/>
      <c r="FB193" s="1754"/>
      <c r="FC193" s="1233"/>
      <c r="FD193" s="860"/>
      <c r="FE193" s="860"/>
      <c r="FF193" s="860"/>
      <c r="FG193" s="860"/>
      <c r="FH193" s="860"/>
      <c r="FI193" s="860"/>
      <c r="FJ193" s="860"/>
      <c r="FK193" s="860"/>
      <c r="FL193" s="860"/>
      <c r="FM193" s="860"/>
      <c r="FN193" s="860"/>
      <c r="FO193" s="860"/>
      <c r="FP193" s="860"/>
      <c r="FQ193" s="860"/>
      <c r="FR193" s="860"/>
      <c r="FS193" s="860"/>
      <c r="FT193" s="860"/>
      <c r="FU193" s="860"/>
      <c r="FV193" s="860"/>
      <c r="FW193" s="860"/>
      <c r="FX193" s="860"/>
      <c r="FY193" s="860"/>
      <c r="FZ193" s="860"/>
      <c r="GA193" s="860"/>
      <c r="GB193" s="860"/>
      <c r="GC193" s="860"/>
      <c r="GD193" s="860"/>
      <c r="GE193" s="860"/>
      <c r="GF193" s="860"/>
      <c r="GG193" s="860"/>
      <c r="GH193" s="860"/>
      <c r="GI193" s="860"/>
      <c r="GJ193" s="860"/>
      <c r="GK193" s="860"/>
      <c r="GL193" s="860"/>
      <c r="GM193" s="860"/>
      <c r="GN193" s="860"/>
      <c r="GO193" s="860"/>
      <c r="GP193" s="860"/>
      <c r="GQ193" s="860"/>
      <c r="GR193" s="1241"/>
      <c r="GS193" s="1218"/>
      <c r="GT193" s="1241"/>
      <c r="GU193" s="1218"/>
      <c r="GV193" s="1241"/>
      <c r="GW193" s="1218"/>
      <c r="GX193" s="1218"/>
      <c r="GY193" s="1241"/>
      <c r="GZ193" s="1218"/>
      <c r="HA193" s="1218"/>
      <c r="HB193" s="1241"/>
      <c r="HC193" s="1218"/>
      <c r="HD193" s="2000"/>
      <c r="HE193" s="1241"/>
      <c r="HF193" s="1218"/>
      <c r="HG193" s="2000"/>
      <c r="HH193" s="1241"/>
      <c r="HI193" s="1241"/>
      <c r="HJ193" s="1218"/>
      <c r="HK193" s="2000"/>
      <c r="HL193" s="1241"/>
      <c r="HM193" s="1218"/>
      <c r="HN193" s="2000"/>
      <c r="HO193" s="1241"/>
      <c r="HP193" s="1218"/>
      <c r="HQ193" s="2000"/>
      <c r="HR193" s="1241"/>
    </row>
    <row r="194" spans="1:226" hidden="1">
      <c r="A194" s="1290"/>
      <c r="B194" s="1233"/>
      <c r="C194" s="860"/>
      <c r="D194" s="860"/>
      <c r="E194" s="860"/>
      <c r="F194" s="1232"/>
      <c r="G194" s="1233"/>
      <c r="H194" s="860"/>
      <c r="I194" s="860"/>
      <c r="J194" s="860"/>
      <c r="K194" s="1232"/>
      <c r="L194" s="1233"/>
      <c r="M194" s="860"/>
      <c r="N194" s="860"/>
      <c r="O194" s="860"/>
      <c r="P194" s="1232"/>
      <c r="Q194" s="1233"/>
      <c r="R194" s="860"/>
      <c r="S194" s="860"/>
      <c r="T194" s="860"/>
      <c r="U194" s="1232"/>
      <c r="V194" s="1233"/>
      <c r="W194" s="860"/>
      <c r="X194" s="860"/>
      <c r="Y194" s="860"/>
      <c r="Z194" s="1261"/>
      <c r="AA194" s="1326"/>
      <c r="AB194" s="1274"/>
      <c r="AC194" s="1274"/>
      <c r="AD194" s="1274"/>
      <c r="AE194" s="1261"/>
      <c r="AF194" s="1242"/>
      <c r="AG194" s="1162"/>
      <c r="AH194" s="1162"/>
      <c r="AI194" s="1162"/>
      <c r="AJ194" s="1261"/>
      <c r="AK194" s="1242"/>
      <c r="AL194" s="1162"/>
      <c r="AM194" s="1162"/>
      <c r="AN194" s="1162">
        <f>AN192/AI192-1</f>
        <v>-0.13409398693653451</v>
      </c>
      <c r="AO194" s="1261"/>
      <c r="AP194" s="1242"/>
      <c r="AQ194" s="1162"/>
      <c r="AR194" s="1162"/>
      <c r="AS194" s="1162"/>
      <c r="AT194" s="1261"/>
      <c r="AU194" s="1242"/>
      <c r="AV194" s="1162"/>
      <c r="AW194" s="1162"/>
      <c r="AX194" s="1162"/>
      <c r="AY194" s="1261"/>
      <c r="AZ194" s="1242"/>
      <c r="BA194" s="1162"/>
      <c r="BB194" s="1162"/>
      <c r="BC194" s="1162"/>
      <c r="BD194" s="1261"/>
      <c r="BE194" s="1242"/>
      <c r="BF194" s="1162"/>
      <c r="BG194" s="1162"/>
      <c r="BH194" s="1162"/>
      <c r="BI194" s="1261"/>
      <c r="BJ194" s="1242"/>
      <c r="BK194" s="1162"/>
      <c r="BL194" s="1162"/>
      <c r="BM194" s="1162"/>
      <c r="BN194" s="1261"/>
      <c r="BO194" s="1242"/>
      <c r="BP194" s="1162"/>
      <c r="BQ194" s="1162"/>
      <c r="BR194" s="1162"/>
      <c r="BS194" s="1261"/>
      <c r="BT194" s="1242"/>
      <c r="BU194" s="1162"/>
      <c r="BV194" s="1162"/>
      <c r="BW194" s="1162"/>
      <c r="BX194" s="1261"/>
      <c r="BY194" s="1242"/>
      <c r="BZ194" s="1162"/>
      <c r="CA194" s="1162"/>
      <c r="CB194" s="1162"/>
      <c r="CC194" s="1757"/>
      <c r="CD194" s="1242"/>
      <c r="CE194" s="2058"/>
      <c r="CF194" s="2058"/>
      <c r="CG194" s="2058"/>
      <c r="CH194" s="1757"/>
      <c r="CI194" s="1162"/>
      <c r="CJ194" s="860"/>
      <c r="CK194" s="1233"/>
      <c r="CL194" s="860"/>
      <c r="CM194" s="860"/>
      <c r="CN194" s="860"/>
      <c r="CO194" s="1232"/>
      <c r="CP194" s="1233"/>
      <c r="CQ194" s="860"/>
      <c r="CR194" s="860"/>
      <c r="CS194" s="860"/>
      <c r="CT194" s="1232"/>
      <c r="CU194" s="1233"/>
      <c r="CV194" s="860"/>
      <c r="CW194" s="860"/>
      <c r="CX194" s="860"/>
      <c r="CY194" s="1232"/>
      <c r="CZ194" s="1233"/>
      <c r="DA194" s="860"/>
      <c r="DB194" s="860"/>
      <c r="DC194" s="860"/>
      <c r="DD194" s="1232"/>
      <c r="DE194" s="1233"/>
      <c r="DF194" s="860"/>
      <c r="DG194" s="860"/>
      <c r="DH194" s="860"/>
      <c r="DI194" s="1232"/>
      <c r="DJ194" s="1233"/>
      <c r="DK194" s="860"/>
      <c r="DL194" s="860"/>
      <c r="DM194" s="860"/>
      <c r="DN194" s="1232"/>
      <c r="DO194" s="1233"/>
      <c r="DP194" s="860"/>
      <c r="DQ194" s="860"/>
      <c r="DR194" s="860"/>
      <c r="DS194" s="1232"/>
      <c r="DT194" s="1233"/>
      <c r="DU194" s="860"/>
      <c r="DV194" s="860"/>
      <c r="DW194" s="860"/>
      <c r="DX194" s="1232"/>
      <c r="DY194" s="1233"/>
      <c r="DZ194" s="860"/>
      <c r="EA194" s="860"/>
      <c r="EB194" s="860"/>
      <c r="EC194" s="1232"/>
      <c r="ED194" s="860"/>
      <c r="EE194" s="860"/>
      <c r="EF194" s="860"/>
      <c r="EG194" s="860"/>
      <c r="EH194" s="860"/>
      <c r="EI194" s="1233"/>
      <c r="EJ194" s="860"/>
      <c r="EK194" s="860"/>
      <c r="EL194" s="860"/>
      <c r="EM194" s="1232"/>
      <c r="EN194" s="1233"/>
      <c r="EO194" s="860"/>
      <c r="EP194" s="860"/>
      <c r="EQ194" s="860"/>
      <c r="ER194" s="1232"/>
      <c r="ES194" s="860"/>
      <c r="ET194" s="860"/>
      <c r="EU194" s="860"/>
      <c r="EV194" s="860"/>
      <c r="EW194" s="1232"/>
      <c r="EX194" s="1233"/>
      <c r="EY194" s="860"/>
      <c r="EZ194" s="860"/>
      <c r="FA194" s="860"/>
      <c r="FB194" s="1754"/>
      <c r="FC194" s="1233"/>
      <c r="FD194" s="860"/>
      <c r="FE194" s="860"/>
      <c r="FF194" s="860"/>
      <c r="FG194" s="860"/>
      <c r="FH194" s="860"/>
      <c r="FI194" s="860"/>
      <c r="FJ194" s="860"/>
      <c r="FK194" s="860"/>
      <c r="FL194" s="860"/>
      <c r="FM194" s="860"/>
      <c r="FN194" s="860"/>
      <c r="FO194" s="860"/>
      <c r="FP194" s="860"/>
      <c r="FQ194" s="860"/>
      <c r="FR194" s="860"/>
      <c r="FS194" s="860"/>
      <c r="FT194" s="860"/>
      <c r="FU194" s="860"/>
      <c r="FV194" s="860"/>
      <c r="FW194" s="860"/>
      <c r="FX194" s="860"/>
      <c r="FY194" s="860"/>
      <c r="FZ194" s="860"/>
      <c r="GA194" s="860"/>
      <c r="GB194" s="860"/>
      <c r="GC194" s="860"/>
      <c r="GD194" s="860"/>
      <c r="GE194" s="860"/>
      <c r="GF194" s="860"/>
      <c r="GG194" s="860"/>
      <c r="GH194" s="860"/>
      <c r="GI194" s="860"/>
      <c r="GJ194" s="860"/>
      <c r="GK194" s="860"/>
      <c r="GL194" s="860"/>
      <c r="GM194" s="860"/>
      <c r="GN194" s="860"/>
      <c r="GO194" s="860"/>
      <c r="GP194" s="860"/>
      <c r="GQ194" s="860"/>
      <c r="GR194" s="1241"/>
      <c r="GS194" s="1218"/>
      <c r="GT194" s="1241"/>
      <c r="GU194" s="1218"/>
      <c r="GV194" s="1241"/>
      <c r="GW194" s="1218"/>
      <c r="GX194" s="1218"/>
      <c r="GY194" s="1241"/>
      <c r="GZ194" s="1218"/>
      <c r="HA194" s="1218"/>
      <c r="HB194" s="1241"/>
      <c r="HC194" s="1218"/>
      <c r="HD194" s="2000"/>
      <c r="HE194" s="1241"/>
      <c r="HF194" s="1218"/>
      <c r="HG194" s="2000"/>
      <c r="HH194" s="1241"/>
      <c r="HI194" s="1241"/>
      <c r="HJ194" s="1218"/>
      <c r="HK194" s="2000"/>
      <c r="HL194" s="1241"/>
      <c r="HM194" s="1218"/>
      <c r="HN194" s="2000"/>
      <c r="HO194" s="1241"/>
      <c r="HP194" s="1218"/>
      <c r="HQ194" s="2000"/>
      <c r="HR194" s="1241"/>
    </row>
    <row r="195" spans="1:226" hidden="1">
      <c r="A195" s="1290" t="s">
        <v>801</v>
      </c>
      <c r="B195" s="1233"/>
      <c r="C195" s="860"/>
      <c r="D195" s="860"/>
      <c r="E195" s="860"/>
      <c r="F195" s="1232"/>
      <c r="G195" s="1233"/>
      <c r="H195" s="860"/>
      <c r="I195" s="860"/>
      <c r="J195" s="860"/>
      <c r="K195" s="1232"/>
      <c r="L195" s="1233"/>
      <c r="M195" s="860"/>
      <c r="N195" s="860"/>
      <c r="O195" s="860"/>
      <c r="P195" s="1232"/>
      <c r="Q195" s="1233"/>
      <c r="R195" s="860"/>
      <c r="S195" s="860"/>
      <c r="T195" s="860"/>
      <c r="U195" s="1232"/>
      <c r="V195" s="1233"/>
      <c r="W195" s="860"/>
      <c r="X195" s="860"/>
      <c r="Y195" s="860"/>
      <c r="Z195" s="1261"/>
      <c r="AA195" s="1233"/>
      <c r="AB195" s="860"/>
      <c r="AC195" s="860"/>
      <c r="AD195" s="860"/>
      <c r="AE195" s="1261"/>
      <c r="AF195" s="1242"/>
      <c r="AG195" s="1162"/>
      <c r="AH195" s="1162"/>
      <c r="AI195" s="1162"/>
      <c r="AJ195" s="1261"/>
      <c r="AK195" s="1242"/>
      <c r="AL195" s="1162"/>
      <c r="AM195" s="1162"/>
      <c r="AN195" s="1162"/>
      <c r="AO195" s="1261"/>
      <c r="AP195" s="1242"/>
      <c r="AQ195" s="1162"/>
      <c r="AR195" s="1162"/>
      <c r="AS195" s="1162"/>
      <c r="AT195" s="1261"/>
      <c r="AU195" s="1242"/>
      <c r="AV195" s="1162"/>
      <c r="AW195" s="1162"/>
      <c r="AX195" s="1162"/>
      <c r="AY195" s="1261"/>
      <c r="AZ195" s="1242"/>
      <c r="BA195" s="1162"/>
      <c r="BB195" s="1162"/>
      <c r="BC195" s="1162"/>
      <c r="BD195" s="1261"/>
      <c r="BE195" s="1242"/>
      <c r="BF195" s="1162"/>
      <c r="BG195" s="1162"/>
      <c r="BH195" s="1162"/>
      <c r="BI195" s="1261"/>
      <c r="BJ195" s="1242"/>
      <c r="BK195" s="1162"/>
      <c r="BL195" s="1162"/>
      <c r="BM195" s="1162"/>
      <c r="BN195" s="1261"/>
      <c r="BO195" s="1242"/>
      <c r="BP195" s="1162"/>
      <c r="BQ195" s="1162"/>
      <c r="BR195" s="1162"/>
      <c r="BS195" s="1261"/>
      <c r="BT195" s="1242"/>
      <c r="BU195" s="1162"/>
      <c r="BV195" s="1162"/>
      <c r="BW195" s="1162"/>
      <c r="BX195" s="1261"/>
      <c r="BY195" s="1242"/>
      <c r="BZ195" s="1162"/>
      <c r="CA195" s="1162"/>
      <c r="CB195" s="1162"/>
      <c r="CC195" s="1757"/>
      <c r="CD195" s="1242"/>
      <c r="CE195" s="2058"/>
      <c r="CF195" s="2058"/>
      <c r="CG195" s="2058"/>
      <c r="CH195" s="1757"/>
      <c r="CI195" s="1162"/>
      <c r="CJ195" s="860"/>
      <c r="CK195" s="1233"/>
      <c r="CL195" s="860"/>
      <c r="CM195" s="860"/>
      <c r="CN195" s="860"/>
      <c r="CO195" s="1232"/>
      <c r="CP195" s="1233"/>
      <c r="CQ195" s="860"/>
      <c r="CR195" s="860"/>
      <c r="CS195" s="860"/>
      <c r="CT195" s="1232"/>
      <c r="CU195" s="1233"/>
      <c r="CV195" s="860"/>
      <c r="CW195" s="860"/>
      <c r="CX195" s="860"/>
      <c r="CY195" s="1232"/>
      <c r="CZ195" s="1233"/>
      <c r="DA195" s="860"/>
      <c r="DB195" s="860"/>
      <c r="DC195" s="860"/>
      <c r="DD195" s="1232"/>
      <c r="DE195" s="1233"/>
      <c r="DF195" s="860"/>
      <c r="DG195" s="860"/>
      <c r="DH195" s="860"/>
      <c r="DI195" s="1232"/>
      <c r="DJ195" s="1233"/>
      <c r="DK195" s="860"/>
      <c r="DL195" s="860"/>
      <c r="DM195" s="860"/>
      <c r="DN195" s="1232"/>
      <c r="DO195" s="1233"/>
      <c r="DP195" s="860"/>
      <c r="DQ195" s="860"/>
      <c r="DR195" s="860"/>
      <c r="DS195" s="1232"/>
      <c r="DT195" s="1233"/>
      <c r="DU195" s="860"/>
      <c r="DV195" s="860"/>
      <c r="DW195" s="860"/>
      <c r="DX195" s="1232"/>
      <c r="DY195" s="1233"/>
      <c r="DZ195" s="860"/>
      <c r="EA195" s="860"/>
      <c r="EB195" s="860"/>
      <c r="EC195" s="1232"/>
      <c r="ED195" s="860"/>
      <c r="EE195" s="860"/>
      <c r="EF195" s="860"/>
      <c r="EG195" s="860"/>
      <c r="EH195" s="860"/>
      <c r="EI195" s="1233"/>
      <c r="EJ195" s="860"/>
      <c r="EK195" s="860"/>
      <c r="EL195" s="860"/>
      <c r="EM195" s="1232"/>
      <c r="EN195" s="1233"/>
      <c r="EO195" s="860"/>
      <c r="EP195" s="860"/>
      <c r="EQ195" s="860"/>
      <c r="ER195" s="1232"/>
      <c r="ES195" s="860"/>
      <c r="ET195" s="860"/>
      <c r="EU195" s="860"/>
      <c r="EV195" s="860"/>
      <c r="EW195" s="1232"/>
      <c r="EX195" s="1233"/>
      <c r="EY195" s="860"/>
      <c r="EZ195" s="860"/>
      <c r="FA195" s="860"/>
      <c r="FB195" s="1754"/>
      <c r="FC195" s="1233"/>
      <c r="FD195" s="860"/>
      <c r="FE195" s="860"/>
      <c r="FF195" s="860"/>
      <c r="FG195" s="860"/>
      <c r="FH195" s="860"/>
      <c r="FI195" s="860"/>
      <c r="FJ195" s="860"/>
      <c r="FK195" s="860"/>
      <c r="FL195" s="860"/>
      <c r="FM195" s="860"/>
      <c r="FN195" s="860"/>
      <c r="FO195" s="860"/>
      <c r="FP195" s="860"/>
      <c r="FQ195" s="860"/>
      <c r="FR195" s="860"/>
      <c r="FS195" s="860"/>
      <c r="FT195" s="860"/>
      <c r="FU195" s="860"/>
      <c r="FV195" s="860"/>
      <c r="FW195" s="860"/>
      <c r="FX195" s="860"/>
      <c r="FY195" s="860"/>
      <c r="FZ195" s="860"/>
      <c r="GA195" s="860"/>
      <c r="GB195" s="860"/>
      <c r="GC195" s="860"/>
      <c r="GD195" s="860"/>
      <c r="GE195" s="860"/>
      <c r="GF195" s="860"/>
      <c r="GG195" s="860"/>
      <c r="GH195" s="860"/>
      <c r="GI195" s="860"/>
      <c r="GJ195" s="860"/>
      <c r="GK195" s="860"/>
      <c r="GL195" s="860"/>
      <c r="GM195" s="860"/>
      <c r="GN195" s="860"/>
      <c r="GO195" s="860"/>
      <c r="GP195" s="860"/>
      <c r="GQ195" s="860"/>
      <c r="GR195" s="1241"/>
      <c r="GS195" s="1218"/>
      <c r="GT195" s="1241"/>
      <c r="GU195" s="1218"/>
      <c r="GV195" s="1241"/>
      <c r="GW195" s="1218"/>
      <c r="GX195" s="1218"/>
      <c r="GY195" s="1241"/>
      <c r="GZ195" s="1218"/>
      <c r="HA195" s="1218"/>
      <c r="HB195" s="1241"/>
      <c r="HC195" s="1218"/>
      <c r="HD195" s="2000"/>
      <c r="HE195" s="1241"/>
      <c r="HF195" s="1218"/>
      <c r="HG195" s="2000"/>
      <c r="HH195" s="1241"/>
      <c r="HI195" s="1241"/>
      <c r="HJ195" s="1218"/>
      <c r="HK195" s="2000"/>
      <c r="HL195" s="1241"/>
      <c r="HM195" s="1218"/>
      <c r="HN195" s="2000"/>
      <c r="HO195" s="1241"/>
      <c r="HP195" s="1218"/>
      <c r="HQ195" s="2000"/>
      <c r="HR195" s="1241"/>
    </row>
    <row r="196" spans="1:226" hidden="1">
      <c r="A196" s="1290" t="s">
        <v>802</v>
      </c>
      <c r="B196" s="1233"/>
      <c r="C196" s="860"/>
      <c r="D196" s="860"/>
      <c r="E196" s="860"/>
      <c r="F196" s="1232"/>
      <c r="G196" s="1233"/>
      <c r="H196" s="860"/>
      <c r="I196" s="860"/>
      <c r="J196" s="860"/>
      <c r="K196" s="1232"/>
      <c r="L196" s="1233"/>
      <c r="M196" s="860"/>
      <c r="N196" s="860"/>
      <c r="O196" s="860"/>
      <c r="P196" s="1232"/>
      <c r="Q196" s="1233"/>
      <c r="R196" s="860"/>
      <c r="S196" s="860"/>
      <c r="T196" s="860"/>
      <c r="U196" s="1232"/>
      <c r="V196" s="1233"/>
      <c r="W196" s="860"/>
      <c r="X196" s="860"/>
      <c r="Y196" s="860"/>
      <c r="Z196" s="1261"/>
      <c r="AA196" s="1242"/>
      <c r="AB196" s="1162"/>
      <c r="AC196" s="1162"/>
      <c r="AD196" s="1162"/>
      <c r="AE196" s="1261"/>
      <c r="AF196" s="1242"/>
      <c r="AG196" s="1162"/>
      <c r="AH196" s="1162"/>
      <c r="AI196" s="1162"/>
      <c r="AJ196" s="1261"/>
      <c r="AK196" s="1242"/>
      <c r="AL196" s="1162"/>
      <c r="AM196" s="1162"/>
      <c r="AN196" s="1162"/>
      <c r="AO196" s="1261"/>
      <c r="AP196" s="1242"/>
      <c r="AQ196" s="1162"/>
      <c r="AR196" s="1162"/>
      <c r="AS196" s="1162"/>
      <c r="AT196" s="1261"/>
      <c r="AU196" s="1242"/>
      <c r="AV196" s="1162"/>
      <c r="AW196" s="1162"/>
      <c r="AX196" s="1162"/>
      <c r="AY196" s="1261"/>
      <c r="AZ196" s="1242"/>
      <c r="BA196" s="1162"/>
      <c r="BB196" s="1162"/>
      <c r="BC196" s="1162"/>
      <c r="BD196" s="1261"/>
      <c r="BE196" s="1242"/>
      <c r="BF196" s="1162"/>
      <c r="BG196" s="1162"/>
      <c r="BH196" s="1162"/>
      <c r="BI196" s="1261"/>
      <c r="BJ196" s="1242"/>
      <c r="BK196" s="1162"/>
      <c r="BL196" s="1162"/>
      <c r="BM196" s="1162"/>
      <c r="BN196" s="1261"/>
      <c r="BO196" s="1242"/>
      <c r="BP196" s="1162"/>
      <c r="BQ196" s="1162"/>
      <c r="BR196" s="1162"/>
      <c r="BS196" s="1261"/>
      <c r="BT196" s="1242"/>
      <c r="BU196" s="1162"/>
      <c r="BV196" s="1162"/>
      <c r="BW196" s="1162"/>
      <c r="BX196" s="1261"/>
      <c r="BY196" s="1242"/>
      <c r="BZ196" s="1162"/>
      <c r="CA196" s="1162"/>
      <c r="CB196" s="1162"/>
      <c r="CC196" s="1757"/>
      <c r="CD196" s="1242"/>
      <c r="CE196" s="2058"/>
      <c r="CF196" s="2058"/>
      <c r="CG196" s="2058"/>
      <c r="CH196" s="1757"/>
      <c r="CI196" s="1162"/>
      <c r="CJ196" s="860"/>
      <c r="CK196" s="1233"/>
      <c r="CL196" s="860"/>
      <c r="CM196" s="860"/>
      <c r="CN196" s="860"/>
      <c r="CO196" s="1232"/>
      <c r="CP196" s="1233"/>
      <c r="CQ196" s="860"/>
      <c r="CR196" s="860"/>
      <c r="CS196" s="860"/>
      <c r="CT196" s="1232"/>
      <c r="CU196" s="1233"/>
      <c r="CV196" s="860"/>
      <c r="CW196" s="860"/>
      <c r="CX196" s="860"/>
      <c r="CY196" s="1232"/>
      <c r="CZ196" s="1233"/>
      <c r="DA196" s="860"/>
      <c r="DB196" s="860"/>
      <c r="DC196" s="860"/>
      <c r="DD196" s="1232"/>
      <c r="DE196" s="1233"/>
      <c r="DF196" s="860"/>
      <c r="DG196" s="860"/>
      <c r="DH196" s="860"/>
      <c r="DI196" s="1232"/>
      <c r="DJ196" s="1233"/>
      <c r="DK196" s="860"/>
      <c r="DL196" s="860"/>
      <c r="DM196" s="860"/>
      <c r="DN196" s="1232"/>
      <c r="DO196" s="1233"/>
      <c r="DP196" s="860"/>
      <c r="DQ196" s="860"/>
      <c r="DR196" s="860"/>
      <c r="DS196" s="1232"/>
      <c r="DT196" s="1233"/>
      <c r="DU196" s="860"/>
      <c r="DV196" s="860"/>
      <c r="DW196" s="860"/>
      <c r="DX196" s="1232"/>
      <c r="DY196" s="1233"/>
      <c r="DZ196" s="860"/>
      <c r="EA196" s="860"/>
      <c r="EB196" s="860"/>
      <c r="EC196" s="1232"/>
      <c r="ED196" s="860"/>
      <c r="EE196" s="860"/>
      <c r="EF196" s="860"/>
      <c r="EG196" s="860"/>
      <c r="EH196" s="860"/>
      <c r="EI196" s="1233"/>
      <c r="EJ196" s="860"/>
      <c r="EK196" s="860"/>
      <c r="EL196" s="860"/>
      <c r="EM196" s="1232"/>
      <c r="EN196" s="1233"/>
      <c r="EO196" s="860"/>
      <c r="EP196" s="860"/>
      <c r="EQ196" s="860"/>
      <c r="ER196" s="1232"/>
      <c r="ES196" s="860"/>
      <c r="ET196" s="860"/>
      <c r="EU196" s="860"/>
      <c r="EV196" s="860"/>
      <c r="EW196" s="1232"/>
      <c r="EX196" s="1233"/>
      <c r="EY196" s="860"/>
      <c r="EZ196" s="860"/>
      <c r="FA196" s="860"/>
      <c r="FB196" s="1754"/>
      <c r="FC196" s="1233"/>
      <c r="FD196" s="860"/>
      <c r="FE196" s="860"/>
      <c r="FF196" s="860"/>
      <c r="FG196" s="860"/>
      <c r="FH196" s="860"/>
      <c r="FI196" s="860"/>
      <c r="FJ196" s="860"/>
      <c r="FK196" s="860"/>
      <c r="FL196" s="860"/>
      <c r="FM196" s="860"/>
      <c r="FN196" s="860"/>
      <c r="FO196" s="860"/>
      <c r="FP196" s="860"/>
      <c r="FQ196" s="860"/>
      <c r="FR196" s="860"/>
      <c r="FS196" s="860"/>
      <c r="FT196" s="860"/>
      <c r="FU196" s="860"/>
      <c r="FV196" s="860"/>
      <c r="FW196" s="860"/>
      <c r="FX196" s="860"/>
      <c r="FY196" s="860"/>
      <c r="FZ196" s="860"/>
      <c r="GA196" s="860"/>
      <c r="GB196" s="860"/>
      <c r="GC196" s="860"/>
      <c r="GD196" s="860"/>
      <c r="GE196" s="860"/>
      <c r="GF196" s="860"/>
      <c r="GG196" s="860"/>
      <c r="GH196" s="860"/>
      <c r="GI196" s="860"/>
      <c r="GJ196" s="860"/>
      <c r="GK196" s="860"/>
      <c r="GL196" s="860"/>
      <c r="GM196" s="860"/>
      <c r="GN196" s="860"/>
      <c r="GO196" s="860"/>
      <c r="GP196" s="860"/>
      <c r="GQ196" s="860"/>
      <c r="GR196" s="1241"/>
      <c r="GS196" s="1218"/>
      <c r="GT196" s="1241"/>
      <c r="GU196" s="1218"/>
      <c r="GV196" s="1241"/>
      <c r="GW196" s="1218"/>
      <c r="GX196" s="1218"/>
      <c r="GY196" s="1241"/>
      <c r="GZ196" s="1218"/>
      <c r="HA196" s="1218"/>
      <c r="HB196" s="1241"/>
      <c r="HC196" s="1218"/>
      <c r="HD196" s="2000"/>
      <c r="HE196" s="1241"/>
      <c r="HF196" s="1218"/>
      <c r="HG196" s="2000"/>
      <c r="HH196" s="1241"/>
      <c r="HI196" s="1241"/>
      <c r="HJ196" s="1218"/>
      <c r="HK196" s="2000"/>
      <c r="HL196" s="1241"/>
      <c r="HM196" s="1218"/>
      <c r="HN196" s="2000"/>
      <c r="HO196" s="1241"/>
      <c r="HP196" s="1218"/>
      <c r="HQ196" s="2000"/>
      <c r="HR196" s="1241"/>
    </row>
    <row r="197" spans="1:226" hidden="1">
      <c r="A197" s="1290" t="s">
        <v>803</v>
      </c>
      <c r="B197" s="1233"/>
      <c r="C197" s="860"/>
      <c r="D197" s="860"/>
      <c r="E197" s="860"/>
      <c r="F197" s="1232"/>
      <c r="G197" s="1233"/>
      <c r="H197" s="860"/>
      <c r="I197" s="860"/>
      <c r="J197" s="860"/>
      <c r="K197" s="1232"/>
      <c r="L197" s="1233"/>
      <c r="M197" s="860"/>
      <c r="N197" s="860"/>
      <c r="O197" s="860"/>
      <c r="P197" s="1232"/>
      <c r="Q197" s="1233"/>
      <c r="R197" s="1162"/>
      <c r="S197" s="1162"/>
      <c r="T197" s="1162"/>
      <c r="U197" s="1261"/>
      <c r="V197" s="1242"/>
      <c r="W197" s="1162"/>
      <c r="X197" s="1162"/>
      <c r="Y197" s="1162"/>
      <c r="Z197" s="1261"/>
      <c r="AA197" s="1242"/>
      <c r="AB197" s="1162"/>
      <c r="AC197" s="1162"/>
      <c r="AD197" s="1162"/>
      <c r="AE197" s="1261"/>
      <c r="AF197" s="1242"/>
      <c r="AG197" s="1162"/>
      <c r="AH197" s="1162"/>
      <c r="AI197" s="1162"/>
      <c r="AJ197" s="1261"/>
      <c r="AK197" s="1242"/>
      <c r="AL197" s="1162"/>
      <c r="AM197" s="1162"/>
      <c r="AN197" s="1162"/>
      <c r="AO197" s="1261"/>
      <c r="AP197" s="1242"/>
      <c r="AQ197" s="1162"/>
      <c r="AR197" s="1162"/>
      <c r="AS197" s="1162"/>
      <c r="AT197" s="1261"/>
      <c r="AU197" s="1242"/>
      <c r="AV197" s="1162"/>
      <c r="AW197" s="1162"/>
      <c r="AX197" s="1162"/>
      <c r="AY197" s="1261"/>
      <c r="AZ197" s="1242"/>
      <c r="BA197" s="1162"/>
      <c r="BB197" s="1162"/>
      <c r="BC197" s="1162"/>
      <c r="BD197" s="1261"/>
      <c r="BE197" s="1242"/>
      <c r="BF197" s="1162"/>
      <c r="BG197" s="1162"/>
      <c r="BH197" s="1162"/>
      <c r="BI197" s="1261"/>
      <c r="BJ197" s="1242"/>
      <c r="BK197" s="1162"/>
      <c r="BL197" s="1162"/>
      <c r="BM197" s="1162"/>
      <c r="BN197" s="1261"/>
      <c r="BO197" s="1242"/>
      <c r="BP197" s="1162"/>
      <c r="BQ197" s="1162"/>
      <c r="BR197" s="1162"/>
      <c r="BS197" s="1261"/>
      <c r="BT197" s="1242"/>
      <c r="BU197" s="1162"/>
      <c r="BV197" s="1162"/>
      <c r="BW197" s="1162"/>
      <c r="BX197" s="1261"/>
      <c r="BY197" s="1242"/>
      <c r="BZ197" s="1162"/>
      <c r="CA197" s="1162"/>
      <c r="CB197" s="1162"/>
      <c r="CC197" s="1757"/>
      <c r="CD197" s="1242"/>
      <c r="CE197" s="2058"/>
      <c r="CF197" s="2058"/>
      <c r="CG197" s="2058"/>
      <c r="CH197" s="1757"/>
      <c r="CI197" s="1162"/>
      <c r="CJ197" s="860"/>
      <c r="CK197" s="1233"/>
      <c r="CL197" s="860"/>
      <c r="CM197" s="860"/>
      <c r="CN197" s="860"/>
      <c r="CO197" s="1232"/>
      <c r="CP197" s="1233"/>
      <c r="CQ197" s="860"/>
      <c r="CR197" s="860"/>
      <c r="CS197" s="860"/>
      <c r="CT197" s="1232"/>
      <c r="CU197" s="1233"/>
      <c r="CV197" s="860"/>
      <c r="CW197" s="860"/>
      <c r="CX197" s="860"/>
      <c r="CY197" s="1232"/>
      <c r="CZ197" s="1233"/>
      <c r="DA197" s="860"/>
      <c r="DB197" s="860"/>
      <c r="DC197" s="860"/>
      <c r="DD197" s="1232"/>
      <c r="DE197" s="1233"/>
      <c r="DF197" s="860"/>
      <c r="DG197" s="860"/>
      <c r="DH197" s="860"/>
      <c r="DI197" s="1232"/>
      <c r="DJ197" s="1233"/>
      <c r="DK197" s="860"/>
      <c r="DL197" s="860"/>
      <c r="DM197" s="860"/>
      <c r="DN197" s="1232"/>
      <c r="DO197" s="1233"/>
      <c r="DP197" s="860"/>
      <c r="DQ197" s="860"/>
      <c r="DR197" s="860"/>
      <c r="DS197" s="1232"/>
      <c r="DT197" s="1233"/>
      <c r="DU197" s="860"/>
      <c r="DV197" s="860"/>
      <c r="DW197" s="860"/>
      <c r="DX197" s="1232"/>
      <c r="DY197" s="1233"/>
      <c r="DZ197" s="860"/>
      <c r="EA197" s="860"/>
      <c r="EB197" s="860"/>
      <c r="EC197" s="1232"/>
      <c r="ED197" s="860"/>
      <c r="EE197" s="860"/>
      <c r="EF197" s="860"/>
      <c r="EG197" s="860"/>
      <c r="EH197" s="860"/>
      <c r="EI197" s="1233"/>
      <c r="EJ197" s="860"/>
      <c r="EK197" s="860"/>
      <c r="EL197" s="860"/>
      <c r="EM197" s="1232"/>
      <c r="EN197" s="1233"/>
      <c r="EO197" s="860"/>
      <c r="EP197" s="860"/>
      <c r="EQ197" s="860"/>
      <c r="ER197" s="1232"/>
      <c r="ES197" s="860"/>
      <c r="ET197" s="860"/>
      <c r="EU197" s="860"/>
      <c r="EV197" s="860"/>
      <c r="EW197" s="1232"/>
      <c r="EX197" s="1233"/>
      <c r="EY197" s="860"/>
      <c r="EZ197" s="860"/>
      <c r="FA197" s="860"/>
      <c r="FB197" s="1754"/>
      <c r="FC197" s="1233"/>
      <c r="FD197" s="860"/>
      <c r="FE197" s="860"/>
      <c r="FF197" s="860"/>
      <c r="FG197" s="860"/>
      <c r="FH197" s="860"/>
      <c r="FI197" s="860"/>
      <c r="FJ197" s="860"/>
      <c r="FK197" s="860"/>
      <c r="FL197" s="860"/>
      <c r="FM197" s="860"/>
      <c r="FN197" s="860"/>
      <c r="FO197" s="860"/>
      <c r="FP197" s="860"/>
      <c r="FQ197" s="860"/>
      <c r="FR197" s="860"/>
      <c r="FS197" s="860"/>
      <c r="FT197" s="860"/>
      <c r="FU197" s="860"/>
      <c r="FV197" s="860"/>
      <c r="FW197" s="860"/>
      <c r="FX197" s="860"/>
      <c r="FY197" s="860"/>
      <c r="FZ197" s="860"/>
      <c r="GA197" s="860"/>
      <c r="GB197" s="860"/>
      <c r="GC197" s="860"/>
      <c r="GD197" s="860"/>
      <c r="GE197" s="860"/>
      <c r="GF197" s="860"/>
      <c r="GG197" s="860"/>
      <c r="GH197" s="860"/>
      <c r="GI197" s="860"/>
      <c r="GJ197" s="860"/>
      <c r="GK197" s="860"/>
      <c r="GL197" s="860"/>
      <c r="GM197" s="860"/>
      <c r="GN197" s="860"/>
      <c r="GO197" s="860"/>
      <c r="GP197" s="860"/>
      <c r="GQ197" s="860"/>
      <c r="GR197" s="1241"/>
      <c r="GS197" s="1218"/>
      <c r="GT197" s="1241"/>
      <c r="GU197" s="1218"/>
      <c r="GV197" s="1241"/>
      <c r="GW197" s="1218"/>
      <c r="GX197" s="1218"/>
      <c r="GY197" s="1241"/>
      <c r="GZ197" s="1218"/>
      <c r="HA197" s="1218"/>
      <c r="HB197" s="1241"/>
      <c r="HC197" s="1218"/>
      <c r="HD197" s="2000"/>
      <c r="HE197" s="1241"/>
      <c r="HF197" s="1218"/>
      <c r="HG197" s="2000"/>
      <c r="HH197" s="1241"/>
      <c r="HI197" s="1241"/>
      <c r="HJ197" s="1218"/>
      <c r="HK197" s="2000"/>
      <c r="HL197" s="1241"/>
      <c r="HM197" s="1218"/>
      <c r="HN197" s="2000"/>
      <c r="HO197" s="1241"/>
      <c r="HP197" s="1218"/>
      <c r="HQ197" s="2000"/>
      <c r="HR197" s="1241"/>
    </row>
    <row r="198" spans="1:226">
      <c r="A198" s="860"/>
      <c r="B198" s="1233"/>
      <c r="C198" s="860"/>
      <c r="D198" s="860"/>
      <c r="E198" s="860"/>
      <c r="F198" s="1232"/>
      <c r="G198" s="1233"/>
      <c r="H198" s="860"/>
      <c r="I198" s="860"/>
      <c r="J198" s="860"/>
      <c r="K198" s="1232"/>
      <c r="L198" s="1233"/>
      <c r="M198" s="860"/>
      <c r="N198" s="860"/>
      <c r="O198" s="860"/>
      <c r="P198" s="1232"/>
      <c r="Q198" s="1233"/>
      <c r="R198" s="860"/>
      <c r="S198" s="860"/>
      <c r="T198" s="860"/>
      <c r="U198" s="1232"/>
      <c r="V198" s="1233"/>
      <c r="W198" s="860"/>
      <c r="X198" s="860"/>
      <c r="Y198" s="860"/>
      <c r="Z198" s="1261"/>
      <c r="AA198" s="1242"/>
      <c r="AB198" s="1162"/>
      <c r="AC198" s="1162"/>
      <c r="AD198" s="1162"/>
      <c r="AE198" s="1261"/>
      <c r="AF198" s="1242"/>
      <c r="AG198" s="1162"/>
      <c r="AH198" s="1162"/>
      <c r="AI198" s="1162"/>
      <c r="AJ198" s="1261"/>
      <c r="AK198" s="1242"/>
      <c r="AL198" s="1162"/>
      <c r="AM198" s="1162"/>
      <c r="AN198" s="1162"/>
      <c r="AO198" s="1261"/>
      <c r="AP198" s="1242"/>
      <c r="AQ198" s="1162"/>
      <c r="AR198" s="1162"/>
      <c r="AS198" s="1162"/>
      <c r="AT198" s="1261"/>
      <c r="AU198" s="1242"/>
      <c r="AV198" s="1162"/>
      <c r="AW198" s="1162"/>
      <c r="AX198" s="1162"/>
      <c r="AY198" s="1261"/>
      <c r="AZ198" s="1242"/>
      <c r="BA198" s="1162"/>
      <c r="BB198" s="1162"/>
      <c r="BC198" s="1162"/>
      <c r="BD198" s="1261"/>
      <c r="BE198" s="1242"/>
      <c r="BF198" s="1162"/>
      <c r="BG198" s="1162"/>
      <c r="BH198" s="1162"/>
      <c r="BI198" s="1261"/>
      <c r="BJ198" s="1242"/>
      <c r="BK198" s="1162"/>
      <c r="BL198" s="1162"/>
      <c r="BM198" s="1162"/>
      <c r="BN198" s="1261"/>
      <c r="BO198" s="1242"/>
      <c r="BP198" s="1162"/>
      <c r="BQ198" s="1162"/>
      <c r="BR198" s="1162"/>
      <c r="BS198" s="1261"/>
      <c r="BT198" s="1242"/>
      <c r="BU198" s="1162"/>
      <c r="BV198" s="1162"/>
      <c r="BW198" s="1162"/>
      <c r="BX198" s="1261"/>
      <c r="BY198" s="1242"/>
      <c r="BZ198" s="1162"/>
      <c r="CA198" s="1162"/>
      <c r="CB198" s="1162"/>
      <c r="CC198" s="1757"/>
      <c r="CD198" s="1242"/>
      <c r="CE198" s="2058"/>
      <c r="CF198" s="2058"/>
      <c r="CG198" s="2058"/>
      <c r="CH198" s="1757"/>
      <c r="CI198" s="1162"/>
      <c r="CJ198" s="860"/>
      <c r="CK198" s="1233"/>
      <c r="CL198" s="860"/>
      <c r="CM198" s="860"/>
      <c r="CN198" s="860"/>
      <c r="CO198" s="1232"/>
      <c r="CP198" s="1233"/>
      <c r="CQ198" s="860"/>
      <c r="CR198" s="860"/>
      <c r="CS198" s="860"/>
      <c r="CT198" s="1232"/>
      <c r="CU198" s="1233"/>
      <c r="CV198" s="860"/>
      <c r="CW198" s="860"/>
      <c r="CX198" s="860"/>
      <c r="CY198" s="1232"/>
      <c r="CZ198" s="1233"/>
      <c r="DA198" s="860"/>
      <c r="DB198" s="860"/>
      <c r="DC198" s="860"/>
      <c r="DD198" s="1232"/>
      <c r="DE198" s="1233"/>
      <c r="DF198" s="860"/>
      <c r="DG198" s="860"/>
      <c r="DH198" s="860"/>
      <c r="DI198" s="1232"/>
      <c r="DJ198" s="1233"/>
      <c r="DK198" s="860"/>
      <c r="DL198" s="860"/>
      <c r="DM198" s="860"/>
      <c r="DN198" s="1232"/>
      <c r="DO198" s="1233"/>
      <c r="DP198" s="860"/>
      <c r="DQ198" s="860"/>
      <c r="DR198" s="860"/>
      <c r="DS198" s="1232"/>
      <c r="DT198" s="1233"/>
      <c r="DU198" s="860"/>
      <c r="DV198" s="860"/>
      <c r="DW198" s="860"/>
      <c r="DX198" s="1232"/>
      <c r="DY198" s="1233"/>
      <c r="DZ198" s="860"/>
      <c r="EA198" s="860"/>
      <c r="EB198" s="860"/>
      <c r="EC198" s="1232"/>
      <c r="ED198" s="860"/>
      <c r="EE198" s="860"/>
      <c r="EF198" s="860"/>
      <c r="EG198" s="860"/>
      <c r="EH198" s="860"/>
      <c r="EI198" s="1233"/>
      <c r="EJ198" s="860"/>
      <c r="EK198" s="860"/>
      <c r="EL198" s="860"/>
      <c r="EM198" s="1232"/>
      <c r="EN198" s="1233"/>
      <c r="EO198" s="860"/>
      <c r="EP198" s="860"/>
      <c r="EQ198" s="860"/>
      <c r="ER198" s="1232"/>
      <c r="ES198" s="860"/>
      <c r="ET198" s="860"/>
      <c r="EU198" s="860"/>
      <c r="EV198" s="860"/>
      <c r="EW198" s="1232"/>
      <c r="EX198" s="1233"/>
      <c r="EY198" s="860"/>
      <c r="EZ198" s="860"/>
      <c r="FA198" s="860"/>
      <c r="FB198" s="1754"/>
      <c r="FC198" s="1233"/>
      <c r="FD198" s="860"/>
      <c r="FE198" s="860"/>
      <c r="FF198" s="860"/>
      <c r="FG198" s="860"/>
      <c r="FH198" s="860"/>
      <c r="FI198" s="860"/>
      <c r="FJ198" s="860"/>
      <c r="FK198" s="860"/>
      <c r="FL198" s="860"/>
      <c r="FM198" s="860"/>
      <c r="FN198" s="860"/>
      <c r="FO198" s="860"/>
      <c r="FP198" s="860"/>
      <c r="FQ198" s="860"/>
      <c r="FR198" s="860"/>
      <c r="FS198" s="860"/>
      <c r="FT198" s="860"/>
      <c r="FU198" s="860"/>
      <c r="FV198" s="860"/>
      <c r="FW198" s="860"/>
      <c r="FX198" s="860"/>
      <c r="FY198" s="860"/>
      <c r="FZ198" s="860"/>
      <c r="GA198" s="860"/>
      <c r="GB198" s="860"/>
      <c r="GC198" s="860"/>
      <c r="GD198" s="860"/>
      <c r="GE198" s="860"/>
      <c r="GF198" s="860"/>
      <c r="GG198" s="860"/>
      <c r="GH198" s="860"/>
      <c r="GI198" s="860"/>
      <c r="GJ198" s="860"/>
      <c r="GK198" s="860"/>
      <c r="GL198" s="860"/>
      <c r="GM198" s="860"/>
      <c r="GN198" s="860"/>
      <c r="GO198" s="860"/>
      <c r="GP198" s="860"/>
      <c r="GQ198" s="860"/>
      <c r="GR198" s="1241"/>
      <c r="GS198" s="1218"/>
      <c r="GT198" s="1241"/>
      <c r="GU198" s="1218"/>
      <c r="GV198" s="1241"/>
      <c r="GW198" s="1218"/>
      <c r="GX198" s="1218"/>
      <c r="GY198" s="1241"/>
      <c r="GZ198" s="1218"/>
      <c r="HA198" s="1218"/>
      <c r="HB198" s="1241"/>
      <c r="HC198" s="1218"/>
      <c r="HD198" s="2000"/>
      <c r="HE198" s="1241"/>
      <c r="HF198" s="1218"/>
      <c r="HG198" s="2000"/>
      <c r="HH198" s="1241"/>
      <c r="HI198" s="1241"/>
      <c r="HJ198" s="1218"/>
      <c r="HK198" s="2000"/>
      <c r="HL198" s="1241"/>
      <c r="HM198" s="1218"/>
      <c r="HN198" s="2000"/>
      <c r="HO198" s="1241"/>
      <c r="HP198" s="1218"/>
      <c r="HQ198" s="2000"/>
      <c r="HR198" s="1241"/>
    </row>
    <row r="199" spans="1:226">
      <c r="A199" s="860" t="s">
        <v>804</v>
      </c>
      <c r="B199" s="1233"/>
      <c r="C199" s="860"/>
      <c r="D199" s="860"/>
      <c r="E199" s="860"/>
      <c r="F199" s="1232"/>
      <c r="G199" s="1332">
        <v>12.061984375000002</v>
      </c>
      <c r="H199" s="1285">
        <v>11.721963076923075</v>
      </c>
      <c r="I199" s="1285">
        <v>12.328425757575765</v>
      </c>
      <c r="J199" s="1285">
        <v>13.646186153846156</v>
      </c>
      <c r="K199" s="1333"/>
      <c r="L199" s="1332">
        <v>12.979218461538462</v>
      </c>
      <c r="M199" s="1285">
        <v>13.53778</v>
      </c>
      <c r="N199" s="1285">
        <v>13.164943076923075</v>
      </c>
      <c r="O199" s="1285">
        <v>12.94324242424242</v>
      </c>
      <c r="P199" s="1232"/>
      <c r="Q199" s="1332">
        <v>12.640770312500003</v>
      </c>
      <c r="R199" s="1285">
        <v>12.475727692307697</v>
      </c>
      <c r="S199" s="1285">
        <v>12.913087878787879</v>
      </c>
      <c r="T199" s="1285">
        <v>13</v>
      </c>
      <c r="U199" s="1333"/>
      <c r="V199" s="1332">
        <v>13.23</v>
      </c>
      <c r="W199" s="1285">
        <v>13</v>
      </c>
      <c r="X199" s="1285">
        <v>13.119150000000001</v>
      </c>
      <c r="Y199" s="1285">
        <v>13.9</v>
      </c>
      <c r="Z199" s="1261"/>
      <c r="AA199" s="1332">
        <v>14.9</v>
      </c>
      <c r="AB199" s="1285">
        <v>15.32</v>
      </c>
      <c r="AC199" s="1285">
        <v>16.440000000000001</v>
      </c>
      <c r="AD199" s="1285">
        <v>16.489999999999998</v>
      </c>
      <c r="AE199" s="1261"/>
      <c r="AF199" s="1332">
        <v>18.031743076923085</v>
      </c>
      <c r="AG199" s="1285">
        <v>17.8</v>
      </c>
      <c r="AH199" s="1289">
        <v>18.760000000000002</v>
      </c>
      <c r="AI199" s="1289">
        <v>19.850000000000001</v>
      </c>
      <c r="AJ199" s="1261"/>
      <c r="AK199" s="1349">
        <v>20.3</v>
      </c>
      <c r="AL199" s="1289">
        <v>18.55</v>
      </c>
      <c r="AM199" s="1289">
        <v>17.818892307692316</v>
      </c>
      <c r="AN199" s="1289">
        <v>18.989999999999998</v>
      </c>
      <c r="AO199" s="1261"/>
      <c r="AP199" s="1349">
        <v>18.732804615384612</v>
      </c>
      <c r="AQ199" s="1289">
        <v>19.420000000000002</v>
      </c>
      <c r="AR199" s="1289">
        <v>18.940000000000001</v>
      </c>
      <c r="AS199" s="1289">
        <v>19.899999999999999</v>
      </c>
      <c r="AT199" s="1261"/>
      <c r="AU199" s="1349">
        <v>19.200492187500004</v>
      </c>
      <c r="AV199" s="1289">
        <v>19.11</v>
      </c>
      <c r="AW199" s="1289">
        <v>19.399999999999999</v>
      </c>
      <c r="AX199" s="1289">
        <v>19.25</v>
      </c>
      <c r="AY199" s="1261"/>
      <c r="AZ199" s="1349">
        <v>20.000129230769225</v>
      </c>
      <c r="BA199" s="1289">
        <v>23.316533846153849</v>
      </c>
      <c r="BB199" s="1289">
        <v>22.082651515151515</v>
      </c>
      <c r="BC199" s="1289">
        <v>20.534918181818181</v>
      </c>
      <c r="BD199" s="1261"/>
      <c r="BE199" s="1349">
        <v>20.340296875000007</v>
      </c>
      <c r="BF199" s="1289">
        <v>20.020470769230773</v>
      </c>
      <c r="BG199" s="1289">
        <v>20.033242424242431</v>
      </c>
      <c r="BH199" s="1289">
        <v>20.748074242424238</v>
      </c>
      <c r="BI199" s="1261"/>
      <c r="BJ199" s="1349">
        <v>20.502218461538451</v>
      </c>
      <c r="BK199" s="1289">
        <v>20.040347692307687</v>
      </c>
      <c r="BL199" s="1289">
        <v>20.233415151515153</v>
      </c>
      <c r="BM199" s="1289">
        <v>19.5932</v>
      </c>
      <c r="BN199" s="1261"/>
      <c r="BO199" s="1349">
        <v>18.66</v>
      </c>
      <c r="BP199" s="1289">
        <v>17.670000000000002</v>
      </c>
      <c r="BQ199" s="1289">
        <v>17.07</v>
      </c>
      <c r="BR199" s="1289">
        <v>17.55</v>
      </c>
      <c r="BS199" s="1261"/>
      <c r="BT199" s="1349">
        <v>16.97</v>
      </c>
      <c r="BU199" s="1289">
        <v>17.25</v>
      </c>
      <c r="BV199" s="1289">
        <v>18.920000000000002</v>
      </c>
      <c r="BW199" s="1289">
        <v>20.059999999999999</v>
      </c>
      <c r="BX199" s="1261"/>
      <c r="BY199" s="1349">
        <v>20.43</v>
      </c>
      <c r="BZ199" s="1289">
        <v>19.489999999999998</v>
      </c>
      <c r="CA199" s="1289">
        <v>18.600000000000001</v>
      </c>
      <c r="CB199" s="1289">
        <v>18.3</v>
      </c>
      <c r="CC199" s="1801">
        <f>Master!X7</f>
        <v>19.190000000000001</v>
      </c>
      <c r="CD199" s="1349">
        <v>17.567</v>
      </c>
      <c r="CE199" s="2061">
        <v>17.399999999999999</v>
      </c>
      <c r="CF199" s="2061">
        <v>17.3</v>
      </c>
      <c r="CG199" s="2061">
        <f>4*CH199-CD199-CE199-CF199</f>
        <v>17.192999999999994</v>
      </c>
      <c r="CH199" s="1801">
        <f>Master!Y7</f>
        <v>17.364999999999998</v>
      </c>
      <c r="CI199" s="1162"/>
      <c r="CJ199" s="860"/>
      <c r="CK199" s="1242">
        <f>L199/G199-1</f>
        <v>7.6043382085583255E-2</v>
      </c>
      <c r="CL199" s="1162">
        <f>M199/H199-1</f>
        <v>0.15490723790554406</v>
      </c>
      <c r="CM199" s="1162">
        <f>N199/I199-1</f>
        <v>6.7852727979748284E-2</v>
      </c>
      <c r="CN199" s="1162">
        <f>O199/J199-1</f>
        <v>-5.1512101746143291E-2</v>
      </c>
      <c r="CO199" s="1232"/>
      <c r="CP199" s="1242">
        <f>Q199/L199-1</f>
        <v>-2.6076157824247215E-2</v>
      </c>
      <c r="CQ199" s="1162">
        <f>R199/M199-1</f>
        <v>-7.8450994748939906E-2</v>
      </c>
      <c r="CR199" s="1162">
        <f>S199/N199-1</f>
        <v>-1.913074721733321E-2</v>
      </c>
      <c r="CS199" s="1162">
        <f>T199/O199-1</f>
        <v>4.3851126245826322E-3</v>
      </c>
      <c r="CT199" s="1232"/>
      <c r="CU199" s="1233"/>
      <c r="CV199" s="860"/>
      <c r="CW199" s="860"/>
      <c r="CX199" s="860"/>
      <c r="CY199" s="1232"/>
      <c r="CZ199" s="1242">
        <f>AA199/V199-1</f>
        <v>0.12622826908541196</v>
      </c>
      <c r="DA199" s="1162"/>
      <c r="DB199" s="1162"/>
      <c r="DC199" s="1162"/>
      <c r="DD199" s="1232"/>
      <c r="DE199" s="1242"/>
      <c r="DF199" s="1162"/>
      <c r="DG199" s="1162"/>
      <c r="DH199" s="1162"/>
      <c r="DI199" s="1232"/>
      <c r="DJ199" s="1233"/>
      <c r="DK199" s="860"/>
      <c r="DL199" s="860"/>
      <c r="DM199" s="860"/>
      <c r="DN199" s="1232"/>
      <c r="DO199" s="1233"/>
      <c r="DP199" s="860"/>
      <c r="DQ199" s="860"/>
      <c r="DR199" s="860"/>
      <c r="DS199" s="1232"/>
      <c r="DT199" s="1233"/>
      <c r="DU199" s="860"/>
      <c r="DV199" s="860"/>
      <c r="DW199" s="860"/>
      <c r="DX199" s="1232"/>
      <c r="DY199" s="1233"/>
      <c r="DZ199" s="860"/>
      <c r="EA199" s="860"/>
      <c r="EB199" s="860"/>
      <c r="EC199" s="1232"/>
      <c r="ED199" s="860"/>
      <c r="EE199" s="860"/>
      <c r="EF199" s="860"/>
      <c r="EG199" s="860"/>
      <c r="EH199" s="860"/>
      <c r="EI199" s="1233"/>
      <c r="EJ199" s="860"/>
      <c r="EK199" s="860"/>
      <c r="EL199" s="860"/>
      <c r="EM199" s="1232"/>
      <c r="EN199" s="1233"/>
      <c r="EO199" s="860"/>
      <c r="EP199" s="860"/>
      <c r="EQ199" s="860"/>
      <c r="ER199" s="1232"/>
      <c r="ES199" s="860"/>
      <c r="ET199" s="860"/>
      <c r="EU199" s="860"/>
      <c r="EV199" s="860"/>
      <c r="EW199" s="1232"/>
      <c r="EX199" s="1233"/>
      <c r="EY199" s="860"/>
      <c r="EZ199" s="860"/>
      <c r="FA199" s="860"/>
      <c r="FB199" s="1754"/>
      <c r="FC199" s="1233"/>
      <c r="FD199" s="860"/>
      <c r="FE199" s="860"/>
      <c r="FF199" s="860"/>
      <c r="FG199" s="860"/>
      <c r="FH199" s="860"/>
      <c r="FI199" s="860"/>
      <c r="FJ199" s="860"/>
      <c r="FK199" s="860"/>
      <c r="FL199" s="860"/>
      <c r="FM199" s="860"/>
      <c r="FN199" s="860"/>
      <c r="FO199" s="860"/>
      <c r="FP199" s="860"/>
      <c r="FQ199" s="860"/>
      <c r="FR199" s="860"/>
      <c r="FS199" s="860"/>
      <c r="FT199" s="860"/>
      <c r="FU199" s="860"/>
      <c r="FV199" s="860"/>
      <c r="FW199" s="860"/>
      <c r="FX199" s="860"/>
      <c r="FY199" s="860"/>
      <c r="FZ199" s="860"/>
      <c r="GA199" s="860"/>
      <c r="GB199" s="860"/>
      <c r="GC199" s="860"/>
      <c r="GD199" s="860"/>
      <c r="GE199" s="860"/>
      <c r="GF199" s="860"/>
      <c r="GG199" s="860"/>
      <c r="GH199" s="860"/>
      <c r="GI199" s="860"/>
      <c r="GJ199" s="860"/>
      <c r="GK199" s="860"/>
      <c r="GL199" s="860"/>
      <c r="GM199" s="860"/>
      <c r="GN199" s="860"/>
      <c r="GO199" s="860"/>
      <c r="GP199" s="860"/>
      <c r="GQ199" s="860"/>
      <c r="GR199" s="1286">
        <v>17.04</v>
      </c>
      <c r="GS199" s="1218"/>
      <c r="GT199" s="1286">
        <v>17.55</v>
      </c>
      <c r="GU199" s="1218"/>
      <c r="GV199" s="1286">
        <v>16.97</v>
      </c>
      <c r="GW199" s="1218"/>
      <c r="GX199" s="1218"/>
      <c r="GY199" s="1286">
        <v>17.25</v>
      </c>
      <c r="GZ199" s="1218"/>
      <c r="HA199" s="1218"/>
      <c r="HB199" s="1286">
        <v>18.920000000000002</v>
      </c>
      <c r="HC199" s="1218"/>
      <c r="HD199" s="2000"/>
      <c r="HE199" s="1286">
        <v>20.059999999999999</v>
      </c>
      <c r="HF199" s="1218"/>
      <c r="HG199" s="2000"/>
      <c r="HH199" s="1241"/>
      <c r="HI199" s="2023">
        <v>19.489999999999998</v>
      </c>
      <c r="HJ199" s="1218"/>
      <c r="HK199" s="2000"/>
      <c r="HL199" s="2023">
        <v>18.600000000000001</v>
      </c>
      <c r="HM199" s="1218"/>
      <c r="HN199" s="2000"/>
      <c r="HO199" s="1286">
        <v>18.2</v>
      </c>
      <c r="HP199" s="1218"/>
      <c r="HQ199" s="2000"/>
      <c r="HR199" s="1286">
        <v>17.567</v>
      </c>
    </row>
    <row r="200" spans="1:226">
      <c r="A200" s="860"/>
      <c r="B200" s="1233"/>
      <c r="C200" s="860"/>
      <c r="D200" s="860"/>
      <c r="E200" s="860"/>
      <c r="F200" s="1232"/>
      <c r="G200" s="1332"/>
      <c r="H200" s="1285"/>
      <c r="I200" s="1285"/>
      <c r="J200" s="1285"/>
      <c r="K200" s="1333"/>
      <c r="L200" s="1332"/>
      <c r="M200" s="1285"/>
      <c r="N200" s="1285"/>
      <c r="O200" s="1285"/>
      <c r="P200" s="1232"/>
      <c r="Q200" s="1332"/>
      <c r="R200" s="1285"/>
      <c r="S200" s="1285"/>
      <c r="T200" s="1285"/>
      <c r="U200" s="1333"/>
      <c r="V200" s="1332"/>
      <c r="W200" s="1285"/>
      <c r="X200" s="1285"/>
      <c r="Y200" s="1285"/>
      <c r="Z200" s="1261"/>
      <c r="AA200" s="1332"/>
      <c r="AB200" s="1285"/>
      <c r="AC200" s="1285"/>
      <c r="AD200" s="1285"/>
      <c r="AE200" s="1261"/>
      <c r="AF200" s="1332"/>
      <c r="AG200" s="1285"/>
      <c r="AH200" s="1289"/>
      <c r="AI200" s="1289"/>
      <c r="AJ200" s="1261"/>
      <c r="AK200" s="1349"/>
      <c r="AL200" s="1289"/>
      <c r="AM200" s="1289"/>
      <c r="AN200" s="1289"/>
      <c r="AO200" s="1261"/>
      <c r="AP200" s="1349"/>
      <c r="AQ200" s="1289"/>
      <c r="AR200" s="1289"/>
      <c r="AS200" s="1289"/>
      <c r="AT200" s="1261"/>
      <c r="AU200" s="1349"/>
      <c r="AV200" s="1289"/>
      <c r="AW200" s="1289"/>
      <c r="AX200" s="1289"/>
      <c r="AY200" s="1261"/>
      <c r="AZ200" s="1349"/>
      <c r="BA200" s="1289"/>
      <c r="BB200" s="1289"/>
      <c r="BC200" s="1289"/>
      <c r="BD200" s="1261"/>
      <c r="BE200" s="1349"/>
      <c r="BF200" s="1289"/>
      <c r="BG200" s="1289"/>
      <c r="BH200" s="1289"/>
      <c r="BI200" s="1261"/>
      <c r="BJ200" s="1349"/>
      <c r="BK200" s="1289"/>
      <c r="BL200" s="1289"/>
      <c r="BM200" s="1289"/>
      <c r="BN200" s="1261"/>
      <c r="BO200" s="1349"/>
      <c r="BP200" s="1289"/>
      <c r="BQ200" s="1289"/>
      <c r="BR200" s="1289"/>
      <c r="BS200" s="1261"/>
      <c r="BT200" s="1349"/>
      <c r="BU200" s="1289"/>
      <c r="BV200" s="1624"/>
      <c r="BW200" s="1624"/>
      <c r="BX200" s="1261"/>
      <c r="BY200" s="1349"/>
      <c r="BZ200" s="1289"/>
      <c r="CA200" s="1289"/>
      <c r="CB200" s="1289"/>
      <c r="CC200" s="1757"/>
      <c r="CD200" s="1349"/>
      <c r="CE200" s="1289"/>
      <c r="CF200" s="1289"/>
      <c r="CG200" s="1289"/>
      <c r="CH200" s="1757"/>
      <c r="CI200" s="1162"/>
      <c r="CJ200" s="860"/>
      <c r="CK200" s="1242"/>
      <c r="CL200" s="1162"/>
      <c r="CM200" s="1162"/>
      <c r="CN200" s="1162"/>
      <c r="CO200" s="1232"/>
      <c r="CP200" s="1242"/>
      <c r="CQ200" s="1162"/>
      <c r="CR200" s="1162"/>
      <c r="CS200" s="1162"/>
      <c r="CT200" s="1232"/>
      <c r="CU200" s="1233"/>
      <c r="CV200" s="860"/>
      <c r="CW200" s="860"/>
      <c r="CX200" s="860"/>
      <c r="CY200" s="1232"/>
      <c r="CZ200" s="1242"/>
      <c r="DA200" s="1162"/>
      <c r="DB200" s="1162"/>
      <c r="DC200" s="1162"/>
      <c r="DD200" s="1232"/>
      <c r="DE200" s="1242"/>
      <c r="DF200" s="1162"/>
      <c r="DG200" s="1162"/>
      <c r="DH200" s="1162"/>
      <c r="DI200" s="1232"/>
      <c r="DJ200" s="1233"/>
      <c r="DK200" s="860"/>
      <c r="DL200" s="860"/>
      <c r="DM200" s="860"/>
      <c r="DN200" s="1232"/>
      <c r="DO200" s="1233"/>
      <c r="DP200" s="860"/>
      <c r="DQ200" s="860"/>
      <c r="DR200" s="860"/>
      <c r="DS200" s="1232"/>
      <c r="DT200" s="1233"/>
      <c r="DU200" s="860"/>
      <c r="DV200" s="860"/>
      <c r="DW200" s="860"/>
      <c r="DX200" s="1232"/>
      <c r="DY200" s="1233"/>
      <c r="DZ200" s="860"/>
      <c r="EA200" s="860"/>
      <c r="EB200" s="860"/>
      <c r="EC200" s="1232"/>
      <c r="ED200" s="860"/>
      <c r="EE200" s="860"/>
      <c r="EF200" s="860"/>
      <c r="EG200" s="860"/>
      <c r="EH200" s="860"/>
      <c r="EI200" s="1233"/>
      <c r="EJ200" s="860"/>
      <c r="EK200" s="860"/>
      <c r="EL200" s="860"/>
      <c r="EM200" s="1232"/>
      <c r="EN200" s="1233"/>
      <c r="EO200" s="860"/>
      <c r="EP200" s="860"/>
      <c r="EQ200" s="860"/>
      <c r="ER200" s="1232"/>
      <c r="ES200" s="860"/>
      <c r="ET200" s="860"/>
      <c r="EU200" s="860"/>
      <c r="EV200" s="860"/>
      <c r="EW200" s="1232"/>
      <c r="EX200" s="1233"/>
      <c r="EY200" s="860"/>
      <c r="EZ200" s="860"/>
      <c r="FA200" s="860"/>
      <c r="FB200" s="1754"/>
      <c r="FC200" s="1233"/>
      <c r="FD200" s="860"/>
      <c r="FE200" s="860"/>
      <c r="FF200" s="860"/>
      <c r="FG200" s="860"/>
      <c r="FH200" s="860"/>
      <c r="FI200" s="860"/>
      <c r="FJ200" s="860"/>
      <c r="FK200" s="860"/>
      <c r="FL200" s="860"/>
      <c r="FM200" s="860"/>
      <c r="FN200" s="860"/>
      <c r="FO200" s="860"/>
      <c r="FP200" s="860"/>
      <c r="FQ200" s="860"/>
      <c r="FR200" s="860"/>
      <c r="FS200" s="860"/>
      <c r="FT200" s="860"/>
      <c r="FU200" s="860"/>
      <c r="FV200" s="860"/>
      <c r="FW200" s="860"/>
      <c r="FX200" s="860"/>
      <c r="FY200" s="860"/>
      <c r="FZ200" s="860"/>
      <c r="GA200" s="860"/>
      <c r="GB200" s="860"/>
      <c r="GC200" s="860"/>
      <c r="GD200" s="860"/>
      <c r="GE200" s="860"/>
      <c r="GF200" s="860"/>
      <c r="GG200" s="860"/>
      <c r="GH200" s="860"/>
      <c r="GI200" s="860"/>
      <c r="GJ200" s="860"/>
      <c r="GK200" s="860"/>
      <c r="GL200" s="860"/>
      <c r="GM200" s="860"/>
      <c r="GN200" s="860"/>
      <c r="GO200" s="860"/>
      <c r="GP200" s="860"/>
      <c r="GQ200" s="860"/>
      <c r="GR200" s="1286"/>
      <c r="GS200" s="1218"/>
      <c r="GT200" s="1286"/>
      <c r="GU200" s="1218"/>
      <c r="GV200" s="1286"/>
      <c r="GW200" s="1218"/>
      <c r="GX200" s="1218"/>
      <c r="GY200" s="1286"/>
      <c r="GZ200" s="1218"/>
      <c r="HA200" s="1218"/>
      <c r="HB200" s="1286"/>
      <c r="HC200" s="1218"/>
      <c r="HD200" s="2000"/>
      <c r="HE200" s="1286"/>
      <c r="HF200" s="1218"/>
      <c r="HG200" s="2000"/>
      <c r="HH200" s="1241"/>
      <c r="HI200" s="1286"/>
      <c r="HJ200" s="1218"/>
      <c r="HK200" s="2000"/>
      <c r="HL200" s="1286"/>
      <c r="HM200" s="1218"/>
      <c r="HN200" s="2000"/>
      <c r="HO200" s="1286"/>
      <c r="HP200" s="1218"/>
      <c r="HQ200" s="2000"/>
      <c r="HR200" s="1286"/>
    </row>
    <row r="201" spans="1:226" hidden="1">
      <c r="A201" s="1294"/>
      <c r="B201" s="1348" t="str">
        <f t="shared" ref="B201:T201" si="253">B4</f>
        <v>1Q</v>
      </c>
      <c r="C201" s="1313" t="str">
        <f t="shared" si="253"/>
        <v>2Q</v>
      </c>
      <c r="D201" s="1313" t="str">
        <f t="shared" si="253"/>
        <v>3Q</v>
      </c>
      <c r="E201" s="1313" t="str">
        <f t="shared" si="253"/>
        <v>4Q</v>
      </c>
      <c r="F201" s="1353" t="str">
        <f t="shared" si="253"/>
        <v>FY</v>
      </c>
      <c r="G201" s="1348" t="str">
        <f t="shared" si="253"/>
        <v>1Q</v>
      </c>
      <c r="H201" s="1313" t="str">
        <f t="shared" si="253"/>
        <v>2Q</v>
      </c>
      <c r="I201" s="1313" t="str">
        <f t="shared" si="253"/>
        <v>3Q</v>
      </c>
      <c r="J201" s="1313" t="str">
        <f t="shared" si="253"/>
        <v>4Q</v>
      </c>
      <c r="K201" s="1353" t="str">
        <f t="shared" si="253"/>
        <v>FY</v>
      </c>
      <c r="L201" s="1348" t="str">
        <f t="shared" si="253"/>
        <v>1Q</v>
      </c>
      <c r="M201" s="1313" t="str">
        <f t="shared" si="253"/>
        <v>2Q</v>
      </c>
      <c r="N201" s="1313" t="str">
        <f t="shared" si="253"/>
        <v>3Q</v>
      </c>
      <c r="O201" s="1313" t="str">
        <f t="shared" si="253"/>
        <v>4Q</v>
      </c>
      <c r="P201" s="1353" t="str">
        <f t="shared" si="253"/>
        <v>FY</v>
      </c>
      <c r="Q201" s="1348" t="str">
        <f t="shared" si="253"/>
        <v>1Q</v>
      </c>
      <c r="R201" s="1313" t="str">
        <f t="shared" si="253"/>
        <v>2Q</v>
      </c>
      <c r="S201" s="1313" t="str">
        <f t="shared" si="253"/>
        <v>3Q</v>
      </c>
      <c r="T201" s="1313" t="str">
        <f t="shared" si="253"/>
        <v>4Q</v>
      </c>
      <c r="U201" s="1353"/>
      <c r="V201" s="1348" t="str">
        <f>V4</f>
        <v>1Q</v>
      </c>
      <c r="W201" s="1313" t="str">
        <f>W4</f>
        <v>2Q</v>
      </c>
      <c r="X201" s="1313" t="str">
        <f>X4</f>
        <v>3Q</v>
      </c>
      <c r="Y201" s="1313" t="str">
        <f>Y4</f>
        <v>4Q</v>
      </c>
      <c r="Z201" s="1335"/>
      <c r="AA201" s="1348" t="str">
        <f>AA4</f>
        <v>1Q</v>
      </c>
      <c r="AB201" s="1313" t="str">
        <f>AB4</f>
        <v>2Q</v>
      </c>
      <c r="AC201" s="1313" t="str">
        <f>AC4</f>
        <v>3Q</v>
      </c>
      <c r="AD201" s="1313" t="str">
        <f>AD4</f>
        <v>4Q</v>
      </c>
      <c r="AE201" s="1335"/>
      <c r="AF201" s="1348" t="str">
        <f>AF4</f>
        <v>1Q</v>
      </c>
      <c r="AG201" s="1313" t="str">
        <f>AG4</f>
        <v>2Q</v>
      </c>
      <c r="AH201" s="1313" t="str">
        <f>AH4</f>
        <v>3Q</v>
      </c>
      <c r="AI201" s="1313" t="str">
        <f>AI4</f>
        <v>4Q</v>
      </c>
      <c r="AJ201" s="1335"/>
      <c r="AK201" s="1348" t="str">
        <f>AK4</f>
        <v>1Q</v>
      </c>
      <c r="AL201" s="1313" t="str">
        <f>AL4</f>
        <v>2Q</v>
      </c>
      <c r="AM201" s="1313" t="str">
        <f>AM4</f>
        <v>3Q</v>
      </c>
      <c r="AN201" s="1313" t="str">
        <f>AN4</f>
        <v>4Q</v>
      </c>
      <c r="AO201" s="1335"/>
      <c r="AP201" s="1348" t="str">
        <f>AP4</f>
        <v>1Q</v>
      </c>
      <c r="AQ201" s="1313" t="str">
        <f>AQ4</f>
        <v>2Q</v>
      </c>
      <c r="AR201" s="1313" t="str">
        <f>AR4</f>
        <v>3Q</v>
      </c>
      <c r="AS201" s="1313" t="str">
        <f>AS4</f>
        <v>4Q</v>
      </c>
      <c r="AT201" s="1335"/>
      <c r="AU201" s="1348" t="str">
        <f>AU4</f>
        <v>1Q</v>
      </c>
      <c r="AV201" s="1313" t="str">
        <f>AV4</f>
        <v>2Q</v>
      </c>
      <c r="AW201" s="1313" t="str">
        <f>AW4</f>
        <v>3Q</v>
      </c>
      <c r="AX201" s="1313" t="str">
        <f>AX4</f>
        <v>4Q</v>
      </c>
      <c r="AY201" s="1335"/>
      <c r="AZ201" s="1348" t="str">
        <f>AZ4</f>
        <v>1Q</v>
      </c>
      <c r="BA201" s="1313" t="str">
        <f>BA4</f>
        <v>2Q</v>
      </c>
      <c r="BB201" s="1313" t="str">
        <f>BB4</f>
        <v>3Q</v>
      </c>
      <c r="BC201" s="1313" t="str">
        <f>BC4</f>
        <v>4Q</v>
      </c>
      <c r="BD201" s="1335"/>
      <c r="BE201" s="1348" t="str">
        <f>BE4</f>
        <v>1Q</v>
      </c>
      <c r="BF201" s="1313" t="str">
        <f>BF4</f>
        <v>2Q</v>
      </c>
      <c r="BG201" s="1313" t="s">
        <v>690</v>
      </c>
      <c r="BH201" s="1313" t="str">
        <f>BH4</f>
        <v>4Q</v>
      </c>
      <c r="BI201" s="1335"/>
      <c r="BJ201" s="1348" t="str">
        <f>BJ4</f>
        <v>1Q</v>
      </c>
      <c r="BK201" s="1313" t="str">
        <f>BK4</f>
        <v>2Q</v>
      </c>
      <c r="BL201" s="1313" t="str">
        <f>BL4</f>
        <v>3Q</v>
      </c>
      <c r="BM201" s="1313" t="str">
        <f>BM4</f>
        <v>4Q</v>
      </c>
      <c r="BN201" s="1335"/>
      <c r="BO201" s="1348" t="str">
        <f>BO4</f>
        <v>1Q</v>
      </c>
      <c r="BP201" s="1313" t="str">
        <f>BP4</f>
        <v>2Q</v>
      </c>
      <c r="BQ201" s="1313" t="str">
        <f>BQ4</f>
        <v>3Q</v>
      </c>
      <c r="BR201" s="1313" t="str">
        <f>BR4</f>
        <v>4Q</v>
      </c>
      <c r="BS201" s="1335"/>
      <c r="BT201" s="1348" t="str">
        <f>BT4</f>
        <v>1Q</v>
      </c>
      <c r="BU201" s="1313" t="str">
        <f>BU4</f>
        <v>2Q</v>
      </c>
      <c r="BV201" s="1313" t="str">
        <f>BV4</f>
        <v>3Q</v>
      </c>
      <c r="BW201" s="1313" t="str">
        <f>BW4</f>
        <v>4Q</v>
      </c>
      <c r="BX201" s="1335"/>
      <c r="BY201" s="1348" t="str">
        <f>BY4</f>
        <v>1Q</v>
      </c>
      <c r="BZ201" s="1313" t="str">
        <f>BZ4</f>
        <v>2Q</v>
      </c>
      <c r="CA201" s="1313" t="str">
        <f>CA4</f>
        <v>3Q</v>
      </c>
      <c r="CB201" s="1774" t="str">
        <f>CB4</f>
        <v>4Q</v>
      </c>
      <c r="CC201" s="1775"/>
      <c r="CD201" s="1348" t="str">
        <f>CD4</f>
        <v>1Q</v>
      </c>
      <c r="CE201" s="1314"/>
      <c r="CF201" s="1314"/>
      <c r="CG201" s="1314"/>
      <c r="CH201" s="1775"/>
      <c r="CI201" s="1162"/>
      <c r="CJ201" s="860"/>
      <c r="CK201" s="1233"/>
      <c r="CL201" s="860"/>
      <c r="CM201" s="860"/>
      <c r="CN201" s="860"/>
      <c r="CO201" s="1232"/>
      <c r="CP201" s="1233"/>
      <c r="CQ201" s="860"/>
      <c r="CR201" s="860"/>
      <c r="CS201" s="860"/>
      <c r="CT201" s="1232"/>
      <c r="CU201" s="1233"/>
      <c r="CV201" s="860"/>
      <c r="CW201" s="860"/>
      <c r="CX201" s="860"/>
      <c r="CY201" s="1232"/>
      <c r="CZ201" s="1233"/>
      <c r="DA201" s="860"/>
      <c r="DB201" s="860"/>
      <c r="DC201" s="860"/>
      <c r="DD201" s="1232"/>
      <c r="DE201" s="1233"/>
      <c r="DF201" s="860"/>
      <c r="DG201" s="860"/>
      <c r="DH201" s="860"/>
      <c r="DI201" s="1232"/>
      <c r="DJ201" s="1233"/>
      <c r="DK201" s="860"/>
      <c r="DL201" s="860"/>
      <c r="DM201" s="860"/>
      <c r="DN201" s="1232"/>
      <c r="DO201" s="1233"/>
      <c r="DP201" s="860"/>
      <c r="DQ201" s="860"/>
      <c r="DR201" s="860"/>
      <c r="DS201" s="1232"/>
      <c r="DT201" s="1233"/>
      <c r="DU201" s="860"/>
      <c r="DV201" s="860"/>
      <c r="DW201" s="860"/>
      <c r="DX201" s="1232"/>
      <c r="DY201" s="1233"/>
      <c r="DZ201" s="860"/>
      <c r="EA201" s="860"/>
      <c r="EB201" s="860"/>
      <c r="EC201" s="1232"/>
      <c r="ED201" s="860"/>
      <c r="EE201" s="860"/>
      <c r="EF201" s="860"/>
      <c r="EG201" s="860"/>
      <c r="EH201" s="860"/>
      <c r="EI201" s="1233"/>
      <c r="EJ201" s="860"/>
      <c r="EK201" s="860"/>
      <c r="EL201" s="860"/>
      <c r="EM201" s="1232"/>
      <c r="EN201" s="1233"/>
      <c r="EO201" s="860"/>
      <c r="EP201" s="860"/>
      <c r="EQ201" s="860"/>
      <c r="ER201" s="1232"/>
      <c r="ES201" s="860"/>
      <c r="ET201" s="860"/>
      <c r="EU201" s="860"/>
      <c r="EV201" s="860"/>
      <c r="EW201" s="1232"/>
      <c r="EX201" s="1233"/>
      <c r="EY201" s="860"/>
      <c r="EZ201" s="860"/>
      <c r="FA201" s="860"/>
      <c r="FB201" s="1754"/>
      <c r="FC201" s="1233"/>
      <c r="FD201" s="860"/>
      <c r="FE201" s="860"/>
      <c r="FF201" s="860"/>
      <c r="FG201" s="860"/>
      <c r="FH201" s="860"/>
      <c r="FI201" s="860"/>
      <c r="FJ201" s="860"/>
      <c r="FK201" s="860"/>
      <c r="FL201" s="860"/>
      <c r="FM201" s="860"/>
      <c r="FN201" s="860"/>
      <c r="FO201" s="860"/>
      <c r="FP201" s="860"/>
      <c r="FQ201" s="860"/>
      <c r="FR201" s="860"/>
      <c r="FS201" s="860"/>
      <c r="FT201" s="860"/>
      <c r="FU201" s="860"/>
      <c r="FV201" s="860"/>
      <c r="FW201" s="860"/>
      <c r="FX201" s="860"/>
      <c r="FY201" s="860"/>
      <c r="FZ201" s="860"/>
      <c r="GA201" s="860"/>
      <c r="GB201" s="860"/>
      <c r="GC201" s="860"/>
      <c r="GD201" s="860"/>
      <c r="GE201" s="860"/>
      <c r="GF201" s="860"/>
      <c r="GG201" s="860"/>
      <c r="GH201" s="860"/>
      <c r="GI201" s="860"/>
      <c r="GJ201" s="860"/>
      <c r="GK201" s="860"/>
      <c r="GL201" s="860"/>
      <c r="GM201" s="860"/>
      <c r="GN201" s="860"/>
      <c r="GO201" s="860"/>
      <c r="GP201" s="860"/>
      <c r="GQ201" s="860"/>
      <c r="GR201" s="1640" t="s">
        <v>693</v>
      </c>
      <c r="GS201" s="1218"/>
      <c r="GT201" s="1315" t="s">
        <v>694</v>
      </c>
      <c r="GU201" s="1218"/>
      <c r="GV201" s="1640" t="s">
        <v>688</v>
      </c>
      <c r="GW201" s="1218"/>
      <c r="GX201" s="1218"/>
      <c r="GY201" s="1640" t="s">
        <v>689</v>
      </c>
      <c r="GZ201" s="1218"/>
      <c r="HA201" s="1218"/>
      <c r="HB201" s="1640" t="s">
        <v>690</v>
      </c>
      <c r="HC201" s="1218"/>
      <c r="HD201" s="2000"/>
      <c r="HE201" s="1640" t="s">
        <v>691</v>
      </c>
      <c r="HF201" s="1218"/>
      <c r="HG201" s="2000"/>
      <c r="HH201" s="1241"/>
      <c r="HI201" s="1640" t="s">
        <v>689</v>
      </c>
      <c r="HJ201" s="1218"/>
      <c r="HK201" s="2000"/>
      <c r="HL201" s="1640" t="s">
        <v>690</v>
      </c>
      <c r="HM201" s="1218"/>
      <c r="HN201" s="2000"/>
      <c r="HO201" s="1640" t="s">
        <v>691</v>
      </c>
      <c r="HP201" s="1218"/>
      <c r="HQ201" s="2000"/>
      <c r="HR201" s="1315" t="s">
        <v>688</v>
      </c>
    </row>
    <row r="202" spans="1:226" hidden="1">
      <c r="A202" s="860"/>
      <c r="B202" s="1514"/>
      <c r="C202" s="1314"/>
      <c r="D202" s="1314"/>
      <c r="E202" s="1314"/>
      <c r="F202" s="1672"/>
      <c r="G202" s="1514"/>
      <c r="H202" s="1314"/>
      <c r="I202" s="1314"/>
      <c r="J202" s="1314"/>
      <c r="K202" s="1672"/>
      <c r="L202" s="1514"/>
      <c r="M202" s="1314"/>
      <c r="N202" s="1314"/>
      <c r="O202" s="1314"/>
      <c r="P202" s="1672"/>
      <c r="Q202" s="1514"/>
      <c r="R202" s="1314"/>
      <c r="S202" s="1314"/>
      <c r="T202" s="1314"/>
      <c r="U202" s="1672"/>
      <c r="V202" s="1514"/>
      <c r="W202" s="1314"/>
      <c r="X202" s="1314"/>
      <c r="Y202" s="1314"/>
      <c r="Z202" s="1261"/>
      <c r="AA202" s="1514"/>
      <c r="AB202" s="1314"/>
      <c r="AC202" s="1314"/>
      <c r="AD202" s="1314"/>
      <c r="AE202" s="1261"/>
      <c r="AF202" s="1514"/>
      <c r="AG202" s="1314"/>
      <c r="AH202" s="1314"/>
      <c r="AI202" s="1314"/>
      <c r="AJ202" s="1261"/>
      <c r="AK202" s="1514"/>
      <c r="AL202" s="1314"/>
      <c r="AM202" s="1314"/>
      <c r="AN202" s="1314"/>
      <c r="AO202" s="1261"/>
      <c r="AP202" s="1514"/>
      <c r="AQ202" s="1314"/>
      <c r="AR202" s="1314"/>
      <c r="AS202" s="1314"/>
      <c r="AT202" s="1261"/>
      <c r="AU202" s="1514"/>
      <c r="AV202" s="1314"/>
      <c r="AW202" s="1314"/>
      <c r="AX202" s="1314"/>
      <c r="AY202" s="1261"/>
      <c r="AZ202" s="1514"/>
      <c r="BA202" s="1314"/>
      <c r="BB202" s="1314"/>
      <c r="BC202" s="1314"/>
      <c r="BD202" s="1261"/>
      <c r="BE202" s="1514"/>
      <c r="BF202" s="1314"/>
      <c r="BG202" s="1314"/>
      <c r="BH202" s="1314"/>
      <c r="BI202" s="1261"/>
      <c r="BJ202" s="1514"/>
      <c r="BK202" s="1314"/>
      <c r="BL202" s="1314"/>
      <c r="BM202" s="1314"/>
      <c r="BN202" s="1261"/>
      <c r="BO202" s="1514"/>
      <c r="BP202" s="1314"/>
      <c r="BQ202" s="1314"/>
      <c r="BR202" s="1314"/>
      <c r="BS202" s="1261"/>
      <c r="BT202" s="1514"/>
      <c r="BU202" s="1314"/>
      <c r="BV202" s="1314"/>
      <c r="BW202" s="1314"/>
      <c r="BX202" s="1261"/>
      <c r="BY202" s="1514"/>
      <c r="BZ202" s="1314"/>
      <c r="CA202" s="1314"/>
      <c r="CB202" s="1776"/>
      <c r="CC202" s="1757"/>
      <c r="CD202" s="1514"/>
      <c r="CE202" s="1314"/>
      <c r="CF202" s="1314"/>
      <c r="CG202" s="1314"/>
      <c r="CH202" s="1757"/>
      <c r="CI202" s="1162"/>
      <c r="CJ202" s="860"/>
      <c r="CK202" s="1233"/>
      <c r="CL202" s="860"/>
      <c r="CM202" s="860"/>
      <c r="CN202" s="860"/>
      <c r="CO202" s="1232"/>
      <c r="CP202" s="1233"/>
      <c r="CQ202" s="860"/>
      <c r="CR202" s="860"/>
      <c r="CS202" s="860"/>
      <c r="CT202" s="1232"/>
      <c r="CU202" s="1233"/>
      <c r="CV202" s="860"/>
      <c r="CW202" s="860"/>
      <c r="CX202" s="860"/>
      <c r="CY202" s="1232"/>
      <c r="CZ202" s="1233"/>
      <c r="DA202" s="860"/>
      <c r="DB202" s="860"/>
      <c r="DC202" s="860"/>
      <c r="DD202" s="1232"/>
      <c r="DE202" s="1233"/>
      <c r="DF202" s="860"/>
      <c r="DG202" s="860"/>
      <c r="DH202" s="860"/>
      <c r="DI202" s="1232"/>
      <c r="DJ202" s="1233"/>
      <c r="DK202" s="860"/>
      <c r="DL202" s="860"/>
      <c r="DM202" s="860"/>
      <c r="DN202" s="1232"/>
      <c r="DO202" s="1233"/>
      <c r="DP202" s="860"/>
      <c r="DQ202" s="860"/>
      <c r="DR202" s="860"/>
      <c r="DS202" s="1232"/>
      <c r="DT202" s="1233"/>
      <c r="DU202" s="860"/>
      <c r="DV202" s="860"/>
      <c r="DW202" s="860"/>
      <c r="DX202" s="1232"/>
      <c r="DY202" s="1233"/>
      <c r="DZ202" s="860"/>
      <c r="EA202" s="860"/>
      <c r="EB202" s="860"/>
      <c r="EC202" s="1232"/>
      <c r="ED202" s="860"/>
      <c r="EE202" s="860"/>
      <c r="EF202" s="860"/>
      <c r="EG202" s="860"/>
      <c r="EH202" s="860"/>
      <c r="EI202" s="1233"/>
      <c r="EJ202" s="860"/>
      <c r="EK202" s="860"/>
      <c r="EL202" s="860"/>
      <c r="EM202" s="1232"/>
      <c r="EN202" s="1233"/>
      <c r="EO202" s="860"/>
      <c r="EP202" s="860"/>
      <c r="EQ202" s="860"/>
      <c r="ER202" s="1232"/>
      <c r="ES202" s="860"/>
      <c r="ET202" s="860"/>
      <c r="EU202" s="860"/>
      <c r="EV202" s="860"/>
      <c r="EW202" s="1232"/>
      <c r="EX202" s="1233"/>
      <c r="EY202" s="860"/>
      <c r="EZ202" s="860"/>
      <c r="FA202" s="860"/>
      <c r="FB202" s="1754"/>
      <c r="FC202" s="1233"/>
      <c r="FD202" s="860"/>
      <c r="FE202" s="860"/>
      <c r="FF202" s="860"/>
      <c r="FG202" s="860"/>
      <c r="FH202" s="860"/>
      <c r="FI202" s="860"/>
      <c r="FJ202" s="860"/>
      <c r="FK202" s="860"/>
      <c r="FL202" s="860"/>
      <c r="FM202" s="860"/>
      <c r="FN202" s="860"/>
      <c r="FO202" s="860"/>
      <c r="FP202" s="860"/>
      <c r="FQ202" s="860"/>
      <c r="FR202" s="860"/>
      <c r="FS202" s="860"/>
      <c r="FT202" s="860"/>
      <c r="FU202" s="860"/>
      <c r="FV202" s="860"/>
      <c r="FW202" s="860"/>
      <c r="FX202" s="860"/>
      <c r="FY202" s="860"/>
      <c r="FZ202" s="860"/>
      <c r="GA202" s="860"/>
      <c r="GB202" s="860"/>
      <c r="GC202" s="860"/>
      <c r="GD202" s="860"/>
      <c r="GE202" s="860"/>
      <c r="GF202" s="860"/>
      <c r="GG202" s="860"/>
      <c r="GH202" s="860"/>
      <c r="GI202" s="860"/>
      <c r="GJ202" s="860"/>
      <c r="GK202" s="860"/>
      <c r="GL202" s="860"/>
      <c r="GM202" s="860"/>
      <c r="GN202" s="860"/>
      <c r="GO202" s="860"/>
      <c r="GP202" s="860"/>
      <c r="GQ202" s="860"/>
      <c r="GR202" s="1315"/>
      <c r="GS202" s="1218"/>
      <c r="GT202" s="1315"/>
      <c r="GU202" s="1218"/>
      <c r="GV202" s="1315"/>
      <c r="GW202" s="1218"/>
      <c r="GX202" s="1218"/>
      <c r="GY202" s="1315"/>
      <c r="GZ202" s="1218"/>
      <c r="HA202" s="1218"/>
      <c r="HB202" s="1315"/>
      <c r="HC202" s="1218"/>
      <c r="HD202" s="2000"/>
      <c r="HE202" s="1315"/>
      <c r="HF202" s="1218"/>
      <c r="HG202" s="2000"/>
      <c r="HH202" s="1241"/>
      <c r="HI202" s="1315"/>
      <c r="HJ202" s="1218"/>
      <c r="HK202" s="2000"/>
      <c r="HL202" s="1315"/>
      <c r="HM202" s="1218"/>
      <c r="HN202" s="2000"/>
      <c r="HO202" s="1315"/>
      <c r="HP202" s="1218"/>
      <c r="HQ202" s="2000"/>
      <c r="HR202" s="1315"/>
    </row>
    <row r="203" spans="1:226" hidden="1">
      <c r="A203" s="1678" t="s">
        <v>94</v>
      </c>
      <c r="B203" s="1233"/>
      <c r="C203" s="860"/>
      <c r="D203" s="860"/>
      <c r="E203" s="860"/>
      <c r="F203" s="1232"/>
      <c r="G203" s="1233"/>
      <c r="H203" s="860"/>
      <c r="I203" s="860"/>
      <c r="J203" s="860"/>
      <c r="K203" s="1232"/>
      <c r="L203" s="1233"/>
      <c r="M203" s="860"/>
      <c r="N203" s="860"/>
      <c r="O203" s="860"/>
      <c r="P203" s="1232"/>
      <c r="Q203" s="1233"/>
      <c r="R203" s="860"/>
      <c r="S203" s="860"/>
      <c r="T203" s="860"/>
      <c r="U203" s="1232"/>
      <c r="V203" s="1233"/>
      <c r="W203" s="860"/>
      <c r="X203" s="860"/>
      <c r="Y203" s="860"/>
      <c r="Z203" s="1261"/>
      <c r="AA203" s="1242"/>
      <c r="AB203" s="1162"/>
      <c r="AC203" s="1162"/>
      <c r="AD203" s="1162"/>
      <c r="AE203" s="1261"/>
      <c r="AF203" s="1242"/>
      <c r="AG203" s="1162"/>
      <c r="AH203" s="1162"/>
      <c r="AI203" s="1162"/>
      <c r="AJ203" s="1261"/>
      <c r="AK203" s="1242"/>
      <c r="AL203" s="1162"/>
      <c r="AM203" s="1162"/>
      <c r="AN203" s="1162"/>
      <c r="AO203" s="1261"/>
      <c r="AP203" s="1242"/>
      <c r="AQ203" s="1162"/>
      <c r="AR203" s="1162"/>
      <c r="AS203" s="1162"/>
      <c r="AT203" s="1261"/>
      <c r="AU203" s="1242"/>
      <c r="AV203" s="1162"/>
      <c r="AW203" s="1162"/>
      <c r="AX203" s="1162"/>
      <c r="AY203" s="1261"/>
      <c r="AZ203" s="1242"/>
      <c r="BA203" s="1162"/>
      <c r="BB203" s="1162"/>
      <c r="BC203" s="1162"/>
      <c r="BD203" s="1261"/>
      <c r="BE203" s="1242"/>
      <c r="BF203" s="1162"/>
      <c r="BG203" s="1162"/>
      <c r="BH203" s="1162"/>
      <c r="BI203" s="1261"/>
      <c r="BJ203" s="1242"/>
      <c r="BK203" s="1162"/>
      <c r="BL203" s="1162"/>
      <c r="BM203" s="1162"/>
      <c r="BN203" s="1261"/>
      <c r="BO203" s="1242"/>
      <c r="BP203" s="1162"/>
      <c r="BQ203" s="1162"/>
      <c r="BR203" s="1162"/>
      <c r="BS203" s="1261"/>
      <c r="BT203" s="1242"/>
      <c r="BU203" s="1162"/>
      <c r="BV203" s="1162"/>
      <c r="BW203" s="1162"/>
      <c r="BX203" s="1261"/>
      <c r="BY203" s="1242"/>
      <c r="BZ203" s="1162"/>
      <c r="CA203" s="1162"/>
      <c r="CB203" s="1756"/>
      <c r="CC203" s="1757"/>
      <c r="CD203" s="1242"/>
      <c r="CE203" s="1162"/>
      <c r="CF203" s="1162"/>
      <c r="CG203" s="1162"/>
      <c r="CH203" s="1757"/>
      <c r="CI203" s="1162"/>
      <c r="CJ203" s="860"/>
      <c r="CK203" s="1233"/>
      <c r="CL203" s="860"/>
      <c r="CM203" s="860"/>
      <c r="CN203" s="860"/>
      <c r="CO203" s="1232"/>
      <c r="CP203" s="1233"/>
      <c r="CQ203" s="860"/>
      <c r="CR203" s="860"/>
      <c r="CS203" s="860"/>
      <c r="CT203" s="1232"/>
      <c r="CU203" s="1233"/>
      <c r="CV203" s="860"/>
      <c r="CW203" s="860"/>
      <c r="CX203" s="860"/>
      <c r="CY203" s="1232"/>
      <c r="CZ203" s="1233"/>
      <c r="DA203" s="860"/>
      <c r="DB203" s="860"/>
      <c r="DC203" s="860"/>
      <c r="DD203" s="1232"/>
      <c r="DE203" s="1233"/>
      <c r="DF203" s="860"/>
      <c r="DG203" s="860"/>
      <c r="DH203" s="860"/>
      <c r="DI203" s="1232"/>
      <c r="DJ203" s="1233"/>
      <c r="DK203" s="860"/>
      <c r="DL203" s="860"/>
      <c r="DM203" s="860"/>
      <c r="DN203" s="1232"/>
      <c r="DO203" s="1233"/>
      <c r="DP203" s="860"/>
      <c r="DQ203" s="860"/>
      <c r="DR203" s="860"/>
      <c r="DS203" s="1232"/>
      <c r="DT203" s="1233"/>
      <c r="DU203" s="860"/>
      <c r="DV203" s="860"/>
      <c r="DW203" s="860"/>
      <c r="DX203" s="1232"/>
      <c r="DY203" s="1233"/>
      <c r="DZ203" s="860"/>
      <c r="EA203" s="860"/>
      <c r="EB203" s="860"/>
      <c r="EC203" s="1232"/>
      <c r="ED203" s="860"/>
      <c r="EE203" s="860"/>
      <c r="EF203" s="860"/>
      <c r="EG203" s="860"/>
      <c r="EH203" s="860"/>
      <c r="EI203" s="1233"/>
      <c r="EJ203" s="860"/>
      <c r="EK203" s="860"/>
      <c r="EL203" s="860"/>
      <c r="EM203" s="1232"/>
      <c r="EN203" s="1233"/>
      <c r="EO203" s="860"/>
      <c r="EP203" s="860"/>
      <c r="EQ203" s="860"/>
      <c r="ER203" s="1232"/>
      <c r="ES203" s="860"/>
      <c r="ET203" s="860"/>
      <c r="EU203" s="860"/>
      <c r="EV203" s="860"/>
      <c r="EW203" s="1232"/>
      <c r="EX203" s="1233"/>
      <c r="EY203" s="860"/>
      <c r="EZ203" s="860"/>
      <c r="FA203" s="860"/>
      <c r="FB203" s="1754"/>
      <c r="FC203" s="1233"/>
      <c r="FD203" s="860"/>
      <c r="FE203" s="860"/>
      <c r="FF203" s="860"/>
      <c r="FG203" s="860"/>
      <c r="FH203" s="860"/>
      <c r="FI203" s="860"/>
      <c r="FJ203" s="860"/>
      <c r="FK203" s="860"/>
      <c r="FL203" s="860"/>
      <c r="FM203" s="860"/>
      <c r="FN203" s="860"/>
      <c r="FO203" s="860"/>
      <c r="FP203" s="860"/>
      <c r="FQ203" s="860"/>
      <c r="FR203" s="860"/>
      <c r="FS203" s="860"/>
      <c r="FT203" s="860"/>
      <c r="FU203" s="860"/>
      <c r="FV203" s="860"/>
      <c r="FW203" s="860"/>
      <c r="FX203" s="860"/>
      <c r="FY203" s="860"/>
      <c r="FZ203" s="860"/>
      <c r="GA203" s="860"/>
      <c r="GB203" s="860"/>
      <c r="GC203" s="860"/>
      <c r="GD203" s="860"/>
      <c r="GE203" s="860"/>
      <c r="GF203" s="860"/>
      <c r="GG203" s="860"/>
      <c r="GH203" s="860"/>
      <c r="GI203" s="860"/>
      <c r="GJ203" s="860"/>
      <c r="GK203" s="860"/>
      <c r="GL203" s="860"/>
      <c r="GM203" s="860"/>
      <c r="GN203" s="860"/>
      <c r="GO203" s="860"/>
      <c r="GP203" s="860"/>
      <c r="GQ203" s="860"/>
      <c r="GR203" s="1241"/>
      <c r="GS203" s="1218"/>
      <c r="GT203" s="1241"/>
      <c r="GU203" s="1218"/>
      <c r="GV203" s="1241"/>
      <c r="GW203" s="1218"/>
      <c r="GX203" s="1218"/>
      <c r="GY203" s="1241"/>
      <c r="GZ203" s="1218"/>
      <c r="HA203" s="1218"/>
      <c r="HB203" s="1241"/>
      <c r="HC203" s="1218"/>
      <c r="HD203" s="2000"/>
      <c r="HE203" s="1241"/>
      <c r="HF203" s="1218"/>
      <c r="HG203" s="2000"/>
      <c r="HH203" s="1241"/>
      <c r="HI203" s="1241"/>
      <c r="HJ203" s="1218"/>
      <c r="HK203" s="2000"/>
      <c r="HL203" s="1241"/>
      <c r="HM203" s="1218"/>
      <c r="HN203" s="2000"/>
      <c r="HO203" s="1241"/>
      <c r="HP203" s="1218"/>
      <c r="HQ203" s="2000"/>
      <c r="HR203" s="1241"/>
    </row>
    <row r="204" spans="1:226" ht="15.75" hidden="1">
      <c r="B204" s="1625"/>
      <c r="F204" s="1518"/>
      <c r="G204" s="1625"/>
      <c r="K204" s="1518"/>
      <c r="L204" s="1625"/>
      <c r="P204" s="1518"/>
      <c r="Q204" s="1625"/>
      <c r="U204" s="1518"/>
      <c r="V204" s="1625"/>
      <c r="Z204" s="1518"/>
      <c r="AA204" s="1625"/>
      <c r="AE204" s="1518"/>
      <c r="AF204" s="1625"/>
      <c r="AJ204" s="1518"/>
      <c r="AK204" s="1625"/>
      <c r="AO204" s="1518"/>
      <c r="AP204" s="1625"/>
      <c r="AT204" s="1518"/>
      <c r="AU204" s="1625"/>
      <c r="AY204" s="1518"/>
      <c r="AZ204" s="1625"/>
      <c r="BD204" s="1518"/>
      <c r="BI204" s="1518"/>
      <c r="BN204" s="1518"/>
      <c r="BS204" s="1518"/>
      <c r="BT204" s="1625"/>
      <c r="BX204" s="1518"/>
      <c r="BY204" s="1625"/>
      <c r="CB204" s="1777"/>
      <c r="CC204" s="1778"/>
      <c r="CD204" s="1625"/>
      <c r="CH204" s="1778"/>
      <c r="CK204" s="1625"/>
      <c r="CO204" s="1518"/>
      <c r="CP204" s="1625"/>
      <c r="CT204" s="1518"/>
      <c r="CU204" s="1625"/>
      <c r="CY204" s="1518"/>
      <c r="CZ204" s="1625"/>
      <c r="DD204" s="1518"/>
      <c r="DE204" s="1625"/>
      <c r="DI204" s="1518"/>
      <c r="DJ204" s="1625"/>
      <c r="DN204" s="1518"/>
      <c r="DO204" s="1625"/>
      <c r="DS204" s="1518"/>
      <c r="DT204" s="1625"/>
      <c r="DX204" s="1518"/>
      <c r="DY204" s="1625"/>
      <c r="EC204" s="1518"/>
      <c r="EI204" s="1233"/>
      <c r="EJ204" s="860"/>
      <c r="EK204" s="860"/>
      <c r="EL204" s="860"/>
      <c r="EM204" s="1232"/>
      <c r="EN204" s="1233"/>
      <c r="EO204" s="860"/>
      <c r="EP204" s="860"/>
      <c r="EQ204" s="860"/>
      <c r="ER204" s="1232"/>
      <c r="ES204" s="860"/>
      <c r="ET204" s="860"/>
      <c r="EU204" s="860"/>
      <c r="EV204" s="860"/>
      <c r="EW204" s="1232"/>
      <c r="EX204" s="1233"/>
      <c r="EY204" s="860"/>
      <c r="EZ204" s="860"/>
      <c r="FA204" s="860"/>
      <c r="FB204" s="1794"/>
      <c r="FC204" s="1233"/>
      <c r="FD204" s="860"/>
      <c r="FE204" s="860"/>
      <c r="FF204" s="860"/>
      <c r="FG204" s="860"/>
      <c r="GR204" s="2000"/>
      <c r="GS204" s="1641"/>
      <c r="GT204" s="2000"/>
      <c r="GU204" s="1641"/>
      <c r="GV204" s="2000"/>
      <c r="GW204" s="1641"/>
      <c r="GX204" s="2000"/>
      <c r="GY204" s="2000"/>
      <c r="GZ204" s="1641"/>
      <c r="HA204" s="2000"/>
      <c r="HB204" s="2000"/>
      <c r="HC204" s="1218"/>
      <c r="HD204" s="2000"/>
      <c r="HE204" s="2000"/>
      <c r="HF204" s="1218"/>
      <c r="HG204" s="2000"/>
      <c r="HH204" s="2000"/>
      <c r="HI204" s="2000"/>
      <c r="HJ204" s="1218"/>
      <c r="HK204" s="2000"/>
      <c r="HL204" s="2000"/>
      <c r="HM204" s="1218"/>
      <c r="HN204" s="2000"/>
      <c r="HO204" s="2000"/>
      <c r="HP204" s="1218"/>
      <c r="HQ204" s="2000"/>
      <c r="HR204" s="2000"/>
    </row>
    <row r="205" spans="1:226" hidden="1">
      <c r="A205" s="860" t="s">
        <v>805</v>
      </c>
      <c r="B205" s="1233"/>
      <c r="C205" s="860"/>
      <c r="D205" s="860"/>
      <c r="E205" s="860"/>
      <c r="F205" s="1232"/>
      <c r="G205" s="1332"/>
      <c r="H205" s="1285"/>
      <c r="I205" s="1285"/>
      <c r="J205" s="1285"/>
      <c r="K205" s="1333"/>
      <c r="L205" s="1332"/>
      <c r="M205" s="1285"/>
      <c r="N205" s="1285"/>
      <c r="O205" s="1285"/>
      <c r="P205" s="1232"/>
      <c r="Q205" s="1233"/>
      <c r="R205" s="860"/>
      <c r="S205" s="860"/>
      <c r="T205" s="860"/>
      <c r="U205" s="1232"/>
      <c r="V205" s="1233"/>
      <c r="W205" s="860"/>
      <c r="X205" s="860"/>
      <c r="Y205" s="860"/>
      <c r="Z205" s="1261"/>
      <c r="AA205" s="1242"/>
      <c r="AB205" s="1162"/>
      <c r="AC205" s="1162"/>
      <c r="AD205" s="1162"/>
      <c r="AE205" s="1261"/>
      <c r="AF205" s="1242"/>
      <c r="AG205" s="1162"/>
      <c r="AH205" s="1162"/>
      <c r="AI205" s="1162"/>
      <c r="AJ205" s="1261"/>
      <c r="AK205" s="1242"/>
      <c r="AL205" s="1162"/>
      <c r="AM205" s="1162"/>
      <c r="AN205" s="1162"/>
      <c r="AO205" s="1261"/>
      <c r="AP205" s="1242"/>
      <c r="AQ205" s="1162"/>
      <c r="AR205" s="1162"/>
      <c r="AS205" s="1162"/>
      <c r="AT205" s="1261"/>
      <c r="AU205" s="1242"/>
      <c r="AV205" s="1162"/>
      <c r="AW205" s="1162"/>
      <c r="AX205" s="1162"/>
      <c r="AY205" s="1261"/>
      <c r="AZ205" s="1242"/>
      <c r="BA205" s="1162"/>
      <c r="BB205" s="1162"/>
      <c r="BC205" s="1162"/>
      <c r="BD205" s="1261"/>
      <c r="BE205" s="1242"/>
      <c r="BF205" s="1162"/>
      <c r="BG205" s="1162"/>
      <c r="BH205" s="1162"/>
      <c r="BI205" s="1261"/>
      <c r="BJ205" s="1242"/>
      <c r="BK205" s="1162"/>
      <c r="BL205" s="1162"/>
      <c r="BM205" s="1162"/>
      <c r="BN205" s="1261"/>
      <c r="BO205" s="1242"/>
      <c r="BP205" s="1162"/>
      <c r="BQ205" s="1162"/>
      <c r="BR205" s="1162"/>
      <c r="BS205" s="1261"/>
      <c r="BT205" s="1242"/>
      <c r="BU205" s="1162"/>
      <c r="BV205" s="1162"/>
      <c r="BW205" s="1162"/>
      <c r="BX205" s="1261"/>
      <c r="BY205" s="1242"/>
      <c r="BZ205" s="1162"/>
      <c r="CA205" s="1162"/>
      <c r="CB205" s="1756"/>
      <c r="CC205" s="1757"/>
      <c r="CD205" s="1242"/>
      <c r="CE205" s="1162"/>
      <c r="CF205" s="1162"/>
      <c r="CG205" s="1162"/>
      <c r="CH205" s="1757"/>
      <c r="CI205" s="1162"/>
      <c r="CJ205" s="860"/>
      <c r="CK205" s="1233"/>
      <c r="CL205" s="860"/>
      <c r="CM205" s="860"/>
      <c r="CN205" s="860"/>
      <c r="CO205" s="1232"/>
      <c r="CP205" s="1233"/>
      <c r="CQ205" s="860"/>
      <c r="CR205" s="860"/>
      <c r="CS205" s="860"/>
      <c r="CT205" s="1232"/>
      <c r="CU205" s="1233"/>
      <c r="CV205" s="860"/>
      <c r="CW205" s="860"/>
      <c r="CX205" s="860"/>
      <c r="CY205" s="1232"/>
      <c r="CZ205" s="1233"/>
      <c r="DA205" s="860"/>
      <c r="DB205" s="860"/>
      <c r="DC205" s="860"/>
      <c r="DD205" s="1232"/>
      <c r="DE205" s="1233"/>
      <c r="DF205" s="860"/>
      <c r="DG205" s="860"/>
      <c r="DH205" s="860"/>
      <c r="DI205" s="1232"/>
      <c r="DJ205" s="1233"/>
      <c r="DK205" s="860"/>
      <c r="DL205" s="860"/>
      <c r="DM205" s="860"/>
      <c r="DN205" s="1232"/>
      <c r="DO205" s="1233"/>
      <c r="DP205" s="860"/>
      <c r="DQ205" s="860"/>
      <c r="DR205" s="860"/>
      <c r="DS205" s="1232"/>
      <c r="DT205" s="1233"/>
      <c r="DU205" s="860"/>
      <c r="DV205" s="860"/>
      <c r="DW205" s="860"/>
      <c r="DX205" s="1232"/>
      <c r="DY205" s="1233"/>
      <c r="DZ205" s="860"/>
      <c r="EA205" s="860"/>
      <c r="EB205" s="860"/>
      <c r="EC205" s="1232"/>
      <c r="ED205" s="860"/>
      <c r="EE205" s="860"/>
      <c r="EF205" s="860"/>
      <c r="EG205" s="860"/>
      <c r="EH205" s="860"/>
      <c r="EI205" s="1233"/>
      <c r="EJ205" s="860"/>
      <c r="EK205" s="860"/>
      <c r="EL205" s="860"/>
      <c r="EM205" s="1232"/>
      <c r="EN205" s="1233"/>
      <c r="EO205" s="860"/>
      <c r="EP205" s="860"/>
      <c r="EQ205" s="860"/>
      <c r="ER205" s="1232"/>
      <c r="ES205" s="860"/>
      <c r="ET205" s="860"/>
      <c r="EU205" s="860"/>
      <c r="EV205" s="860"/>
      <c r="EW205" s="1232"/>
      <c r="EX205" s="1233"/>
      <c r="EY205" s="860"/>
      <c r="EZ205" s="860"/>
      <c r="FA205" s="860"/>
      <c r="FB205" s="1754"/>
      <c r="FC205" s="1233"/>
      <c r="FD205" s="860"/>
      <c r="FE205" s="860"/>
      <c r="FF205" s="860"/>
      <c r="FG205" s="860"/>
      <c r="FH205" s="860"/>
      <c r="FI205" s="860"/>
      <c r="FJ205" s="860"/>
      <c r="FK205" s="860"/>
      <c r="FL205" s="860"/>
      <c r="FM205" s="860"/>
      <c r="FN205" s="860"/>
      <c r="FO205" s="860"/>
      <c r="FP205" s="860"/>
      <c r="FQ205" s="860"/>
      <c r="FR205" s="860"/>
      <c r="FS205" s="860"/>
      <c r="FT205" s="860"/>
      <c r="FU205" s="860"/>
      <c r="FV205" s="860"/>
      <c r="FW205" s="860"/>
      <c r="FX205" s="860"/>
      <c r="FY205" s="860"/>
      <c r="FZ205" s="860"/>
      <c r="GA205" s="860"/>
      <c r="GB205" s="860"/>
      <c r="GC205" s="860"/>
      <c r="GD205" s="860"/>
      <c r="GE205" s="860"/>
      <c r="GF205" s="860"/>
      <c r="GG205" s="860"/>
      <c r="GH205" s="860"/>
      <c r="GI205" s="860"/>
      <c r="GJ205" s="860"/>
      <c r="GK205" s="860"/>
      <c r="GL205" s="860"/>
      <c r="GM205" s="860"/>
      <c r="GN205" s="860"/>
      <c r="GO205" s="860"/>
      <c r="GP205" s="860"/>
      <c r="GQ205" s="860"/>
      <c r="GR205" s="1241"/>
      <c r="GS205" s="1218"/>
      <c r="GT205" s="1241"/>
      <c r="GU205" s="1218"/>
      <c r="GV205" s="1241"/>
      <c r="GW205" s="1218"/>
      <c r="GX205" s="1218"/>
      <c r="GY205" s="1241"/>
      <c r="GZ205" s="1218"/>
      <c r="HA205" s="1218"/>
      <c r="HB205" s="1241"/>
      <c r="HC205" s="1218"/>
      <c r="HD205" s="2000"/>
      <c r="HE205" s="1241"/>
      <c r="HF205" s="1218"/>
      <c r="HG205" s="2000"/>
      <c r="HH205" s="1241"/>
      <c r="HI205" s="1241"/>
      <c r="HJ205" s="1218"/>
      <c r="HK205" s="2000"/>
      <c r="HL205" s="1241"/>
      <c r="HM205" s="1218"/>
      <c r="HN205" s="2000"/>
      <c r="HO205" s="1241"/>
      <c r="HP205" s="1218"/>
      <c r="HQ205" s="2000"/>
      <c r="HR205" s="1241"/>
    </row>
    <row r="206" spans="1:226" hidden="1">
      <c r="A206" s="1275" t="str">
        <f>A9</f>
        <v>Network Subscription Revenue</v>
      </c>
      <c r="B206" s="1233"/>
      <c r="C206" s="860"/>
      <c r="D206" s="860"/>
      <c r="E206" s="860"/>
      <c r="F206" s="1232"/>
      <c r="G206" s="1332">
        <f>G9/G$199</f>
        <v>50.273651593915275</v>
      </c>
      <c r="H206" s="1285">
        <f>H9/H$199</f>
        <v>52.312056946093051</v>
      </c>
      <c r="I206" s="1285">
        <f>I9/I$199</f>
        <v>54.556843933353797</v>
      </c>
      <c r="J206" s="1285">
        <f>J9/J$199</f>
        <v>51.193790860247113</v>
      </c>
      <c r="K206" s="1333"/>
      <c r="L206" s="1332">
        <f>L9/L$199</f>
        <v>57.222243558104481</v>
      </c>
      <c r="M206" s="1285">
        <f>M9/M$199</f>
        <v>59.492767647280424</v>
      </c>
      <c r="N206" s="1285">
        <f>N9/N$199</f>
        <v>62.415765506830333</v>
      </c>
      <c r="O206" s="1285">
        <f>O9/O$199</f>
        <v>63.307166252660231</v>
      </c>
      <c r="P206" s="1232"/>
      <c r="Q206" s="1326">
        <f>Q9/Q$199</f>
        <v>68.89611775785518</v>
      </c>
      <c r="R206" s="1274">
        <f>R9/R$199</f>
        <v>70.673232194995734</v>
      </c>
      <c r="S206" s="966">
        <f>S9/S$199</f>
        <v>67.551619580697903</v>
      </c>
      <c r="T206" s="1274">
        <f>T9/T$199</f>
        <v>49.284615384615371</v>
      </c>
      <c r="U206" s="1327"/>
      <c r="V206" s="1326">
        <f>V9/V$199</f>
        <v>52.010582010582013</v>
      </c>
      <c r="W206" s="1274">
        <f>W9/W$199</f>
        <v>51.692307692307693</v>
      </c>
      <c r="X206" s="1274">
        <f>X9/X$199</f>
        <v>54.767267696458987</v>
      </c>
      <c r="Y206" s="1274">
        <f>Y9/Y$199</f>
        <v>55.812949640287783</v>
      </c>
      <c r="Z206" s="1261"/>
      <c r="AA206" s="1326">
        <f>AA9/AA$199</f>
        <v>55.154362416107375</v>
      </c>
      <c r="AB206" s="1274">
        <f>AB9/AB$199</f>
        <v>55.750652741514358</v>
      </c>
      <c r="AC206" s="1274">
        <f>AC9/AC$199</f>
        <v>56.873479318734788</v>
      </c>
      <c r="AD206" s="1274">
        <f>AD9/AD$199</f>
        <v>59.702850212249885</v>
      </c>
      <c r="AE206" s="1261"/>
      <c r="AF206" s="1326">
        <f>AF9/AF$199</f>
        <v>59.777914725254149</v>
      </c>
      <c r="AG206" s="1274">
        <f>AG9/AG$199</f>
        <v>64.623595505617971</v>
      </c>
      <c r="AH206" s="1274">
        <f>AH9/AH$199</f>
        <v>60.010660980810229</v>
      </c>
      <c r="AI206" s="1274">
        <f>AI9/AI$199</f>
        <v>52.659949622166266</v>
      </c>
      <c r="AJ206" s="1261"/>
      <c r="AK206" s="1326">
        <f>AK9/AK$199</f>
        <v>51.34482758620689</v>
      </c>
      <c r="AL206" s="1274">
        <f>AL9/AL$199</f>
        <v>50.733153638814017</v>
      </c>
      <c r="AM206" s="1274">
        <f>AM9/AM$199</f>
        <v>52.174960370496976</v>
      </c>
      <c r="AN206" s="1274">
        <f>AN9/AN$199</f>
        <v>60.300157977883096</v>
      </c>
      <c r="AO206" s="1261"/>
      <c r="AP206" s="1326">
        <f>AP9/AP$199</f>
        <v>62.943057604500147</v>
      </c>
      <c r="AQ206" s="1274">
        <f>AQ9/AQ$199</f>
        <v>61.833161688980425</v>
      </c>
      <c r="AR206" s="1274">
        <f>AR9/AR$199</f>
        <v>62.449841605068634</v>
      </c>
      <c r="AS206" s="1274">
        <f>AS9/AS$199</f>
        <v>62.894472361809079</v>
      </c>
      <c r="AT206" s="1261"/>
      <c r="AU206" s="1326">
        <f>AU9/AU$199</f>
        <v>63.451498435709034</v>
      </c>
      <c r="AV206" s="1274">
        <f>AV9/AV$199</f>
        <v>63.108320251177396</v>
      </c>
      <c r="AW206" s="1274">
        <f>AW9/AW$199</f>
        <v>63.860824742268051</v>
      </c>
      <c r="AX206" s="1274">
        <f>AX9/AX$199</f>
        <v>69.090909090909093</v>
      </c>
      <c r="AY206" s="1261"/>
      <c r="AZ206" s="1326">
        <f>AZ9/AZ$199</f>
        <v>66.604569632011618</v>
      </c>
      <c r="BA206" s="1274">
        <f>BA9/BA$199</f>
        <v>60.07325142073168</v>
      </c>
      <c r="BB206" s="1274">
        <f>BB9/BB$199</f>
        <v>60.305258138330174</v>
      </c>
      <c r="BC206" s="1274">
        <f>BC9/BC$199</f>
        <v>68.259341848319579</v>
      </c>
      <c r="BD206" s="1261"/>
      <c r="BE206" s="1326">
        <f>BE9/BE$199</f>
        <v>66.115062541337636</v>
      </c>
      <c r="BF206" s="1274">
        <f>BF9/BF$199</f>
        <v>66.382055413128668</v>
      </c>
      <c r="BG206" s="1274">
        <f>BG9/BG$199</f>
        <v>66.085158456323342</v>
      </c>
      <c r="BH206" s="1274">
        <f>BH9/BH$199</f>
        <v>67.114662485287994</v>
      </c>
      <c r="BI206" s="1261"/>
      <c r="BJ206" s="1326">
        <f>BJ9/BJ$199</f>
        <v>0</v>
      </c>
      <c r="BK206" s="1274">
        <f>BK9/BK$199</f>
        <v>0</v>
      </c>
      <c r="BL206" s="1274">
        <f>BL9/BL$199</f>
        <v>0</v>
      </c>
      <c r="BM206" s="1274">
        <f>BM9/BM$199</f>
        <v>0</v>
      </c>
      <c r="BN206" s="1261"/>
      <c r="BO206" s="1326">
        <f>BO9/BO$199</f>
        <v>0</v>
      </c>
      <c r="BP206" s="1274">
        <f>BP9/BP$199</f>
        <v>0</v>
      </c>
      <c r="BQ206" s="1274">
        <f>BQ9/BQ$199</f>
        <v>0</v>
      </c>
      <c r="BR206" s="1274">
        <f>BR9/BR$199</f>
        <v>0</v>
      </c>
      <c r="BS206" s="1261"/>
      <c r="BT206" s="1326">
        <f>BT9/BT$199</f>
        <v>0</v>
      </c>
      <c r="BU206" s="1274">
        <f>BU9/BU$199</f>
        <v>0</v>
      </c>
      <c r="BV206" s="1274">
        <f>BV9/BV$199</f>
        <v>0</v>
      </c>
      <c r="BW206" s="1274">
        <f>BW9/BW$199</f>
        <v>0</v>
      </c>
      <c r="BX206" s="1261"/>
      <c r="BY206" s="1326">
        <f>BY9/BY$199</f>
        <v>0</v>
      </c>
      <c r="BZ206" s="1274">
        <f>BZ9/BZ$199</f>
        <v>0</v>
      </c>
      <c r="CA206" s="1274">
        <f>CA9/CA$199</f>
        <v>0</v>
      </c>
      <c r="CB206" s="1768">
        <f>CB9/CB$199</f>
        <v>0</v>
      </c>
      <c r="CC206" s="1757"/>
      <c r="CD206" s="1326">
        <f>CD9/CD$199</f>
        <v>0</v>
      </c>
      <c r="CE206" s="1274"/>
      <c r="CF206" s="1274"/>
      <c r="CG206" s="1274"/>
      <c r="CH206" s="1757"/>
      <c r="CI206" s="1162"/>
      <c r="CJ206" s="860"/>
      <c r="CK206" s="1242">
        <f>L206/G206-1</f>
        <v>0.13821538209152506</v>
      </c>
      <c r="CL206" s="1162">
        <f>M206/H206-1</f>
        <v>0.13726683904987724</v>
      </c>
      <c r="CM206" s="1162">
        <f>N206/I206-1</f>
        <v>0.14405015039134095</v>
      </c>
      <c r="CN206" s="1162">
        <f>O206/J206-1</f>
        <v>0.23661805833994931</v>
      </c>
      <c r="CO206" s="1232"/>
      <c r="CP206" s="1242">
        <f>Q206/L206-1</f>
        <v>0.20400937596752633</v>
      </c>
      <c r="CQ206" s="1162">
        <f>R206/M206-1</f>
        <v>0.1879298104603544</v>
      </c>
      <c r="CR206" s="1162">
        <f>S206/N206-1</f>
        <v>8.2284564359072609E-2</v>
      </c>
      <c r="CS206" s="1162">
        <f>T206/O206-1</f>
        <v>-0.22150021392650188</v>
      </c>
      <c r="CT206" s="1232"/>
      <c r="CU206" s="1242">
        <f>V206/Q206-1</f>
        <v>-0.24508689744492851</v>
      </c>
      <c r="CV206" s="1162">
        <f>W206/R206-1</f>
        <v>-0.26857303554926493</v>
      </c>
      <c r="CW206" s="1162">
        <f>X206/S206-1</f>
        <v>-0.18925307732950192</v>
      </c>
      <c r="CX206" s="1162">
        <f>Y206/T206-1</f>
        <v>0.1324619093549888</v>
      </c>
      <c r="CY206" s="1232"/>
      <c r="CZ206" s="1242">
        <f>AA206/V206-1</f>
        <v>6.0445014918036E-2</v>
      </c>
      <c r="DA206" s="1162">
        <f>AB206/W206-1</f>
        <v>7.8509651249533796E-2</v>
      </c>
      <c r="DB206" s="1162">
        <f>AC206/X206-1</f>
        <v>3.845748949809269E-2</v>
      </c>
      <c r="DC206" s="1162"/>
      <c r="DD206" s="1232"/>
      <c r="DE206" s="1242"/>
      <c r="DF206" s="1162"/>
      <c r="DG206" s="1162"/>
      <c r="DH206" s="1162"/>
      <c r="DI206" s="1232"/>
      <c r="DJ206" s="1239">
        <f>AK206/AF206-1</f>
        <v>-0.14107362523110167</v>
      </c>
      <c r="DK206" s="1217">
        <f>AL206/AG206-1</f>
        <v>-0.21494381050952827</v>
      </c>
      <c r="DL206" s="1217">
        <f>AM206/AH206-1</f>
        <v>-0.13057180977924732</v>
      </c>
      <c r="DM206" s="1217">
        <f>AN206/AI206-1</f>
        <v>0.14508575132591517</v>
      </c>
      <c r="DN206" s="1232"/>
      <c r="DO206" s="1239">
        <f>AP206/AK206-1</f>
        <v>0.22588896610510711</v>
      </c>
      <c r="DP206" s="1217">
        <f>AQ206/AL206-1</f>
        <v>0.21879199801358706</v>
      </c>
      <c r="DQ206" s="1217">
        <f>AR206/AM206-1</f>
        <v>0.19693127051001502</v>
      </c>
      <c r="DR206" s="1217">
        <f>AS206/AN206-1</f>
        <v>4.3023343071133091E-2</v>
      </c>
      <c r="DS206" s="1232"/>
      <c r="DT206" s="1239">
        <f>AU206/AP206-1</f>
        <v>8.0777904753794871E-3</v>
      </c>
      <c r="DU206" s="1217"/>
      <c r="DV206" s="1217"/>
      <c r="DW206" s="1217"/>
      <c r="DX206" s="1232"/>
      <c r="DY206" s="1233"/>
      <c r="DZ206" s="860"/>
      <c r="EA206" s="860"/>
      <c r="EB206" s="860"/>
      <c r="EC206" s="1232"/>
      <c r="ED206" s="860"/>
      <c r="EE206" s="860"/>
      <c r="EF206" s="860"/>
      <c r="EG206" s="860"/>
      <c r="EH206" s="860"/>
      <c r="EI206" s="1233"/>
      <c r="EJ206" s="860"/>
      <c r="EK206" s="860"/>
      <c r="EL206" s="860"/>
      <c r="EM206" s="1232"/>
      <c r="EN206" s="1233"/>
      <c r="EO206" s="860"/>
      <c r="EP206" s="860"/>
      <c r="EQ206" s="860"/>
      <c r="ER206" s="1232"/>
      <c r="ES206" s="860"/>
      <c r="ET206" s="860"/>
      <c r="EU206" s="860"/>
      <c r="EV206" s="860"/>
      <c r="EW206" s="1232"/>
      <c r="EX206" s="1233"/>
      <c r="EY206" s="860"/>
      <c r="EZ206" s="860"/>
      <c r="FA206" s="860"/>
      <c r="FB206" s="1754"/>
      <c r="FC206" s="1233"/>
      <c r="FD206" s="860"/>
      <c r="FE206" s="860"/>
      <c r="FF206" s="860"/>
      <c r="FG206" s="860"/>
      <c r="FH206" s="860"/>
      <c r="FI206" s="860"/>
      <c r="FJ206" s="860"/>
      <c r="FK206" s="860"/>
      <c r="FL206" s="860"/>
      <c r="FM206" s="860"/>
      <c r="FN206" s="860"/>
      <c r="FO206" s="860"/>
      <c r="FP206" s="860"/>
      <c r="FQ206" s="860"/>
      <c r="FR206" s="860"/>
      <c r="FS206" s="860"/>
      <c r="FT206" s="860"/>
      <c r="FU206" s="860"/>
      <c r="FV206" s="860"/>
      <c r="FW206" s="860"/>
      <c r="FX206" s="860"/>
      <c r="FY206" s="860"/>
      <c r="FZ206" s="860"/>
      <c r="GA206" s="860"/>
      <c r="GB206" s="860"/>
      <c r="GC206" s="860"/>
      <c r="GD206" s="860"/>
      <c r="GE206" s="860"/>
      <c r="GF206" s="860"/>
      <c r="GG206" s="860"/>
      <c r="GH206" s="860"/>
      <c r="GI206" s="860"/>
      <c r="GJ206" s="860"/>
      <c r="GK206" s="860"/>
      <c r="GL206" s="860"/>
      <c r="GM206" s="860"/>
      <c r="GN206" s="860"/>
      <c r="GO206" s="860"/>
      <c r="GP206" s="860"/>
      <c r="GQ206" s="860"/>
      <c r="GR206" s="1279">
        <v>0</v>
      </c>
      <c r="GS206" s="1218"/>
      <c r="GT206" s="1279">
        <v>0</v>
      </c>
      <c r="GU206" s="1218"/>
      <c r="GV206" s="1279">
        <v>0</v>
      </c>
      <c r="GW206" s="1218"/>
      <c r="GX206" s="1218"/>
      <c r="GY206" s="1279">
        <v>0</v>
      </c>
      <c r="GZ206" s="1218"/>
      <c r="HA206" s="1218"/>
      <c r="HB206" s="1279">
        <v>0</v>
      </c>
      <c r="HC206" s="1218"/>
      <c r="HD206" s="2000"/>
      <c r="HE206" s="1279">
        <v>0</v>
      </c>
      <c r="HF206" s="1218"/>
      <c r="HG206" s="2000"/>
      <c r="HH206" s="1241"/>
      <c r="HI206" s="1279">
        <v>0</v>
      </c>
      <c r="HJ206" s="1218"/>
      <c r="HK206" s="2000"/>
      <c r="HL206" s="1279">
        <v>0</v>
      </c>
      <c r="HM206" s="1218"/>
      <c r="HN206" s="2000"/>
      <c r="HO206" s="1279">
        <v>0</v>
      </c>
      <c r="HP206" s="1218"/>
      <c r="HQ206" s="2000"/>
      <c r="HR206" s="1279">
        <v>0</v>
      </c>
    </row>
    <row r="207" spans="1:226" hidden="1">
      <c r="A207" s="1316" t="s">
        <v>806</v>
      </c>
      <c r="B207" s="1233"/>
      <c r="C207" s="860"/>
      <c r="D207" s="860"/>
      <c r="E207" s="860"/>
      <c r="F207" s="1232"/>
      <c r="G207" s="1332">
        <f>G206/(1.96*3*90%+1.7*3*10%)</f>
        <v>8.6648830737530638</v>
      </c>
      <c r="H207" s="1285">
        <f>H206/(1.96*3*90%+1.7*3*10%)</f>
        <v>9.0162111248005949</v>
      </c>
      <c r="I207" s="1285">
        <f>I206/(1.96*3*90%+1.7*3*10%)</f>
        <v>9.4031099505952778</v>
      </c>
      <c r="J207" s="1285">
        <f>J206/(1.96*3*90%+1.7*3*10%)</f>
        <v>8.8234730886327331</v>
      </c>
      <c r="K207" s="1333"/>
      <c r="L207" s="1332">
        <f>L206/(1.96*3*90%+1.7*3*10%)</f>
        <v>9.8625031985702325</v>
      </c>
      <c r="M207" s="1285">
        <f>M206/(1.96*3*90%+1.7*3*10%)</f>
        <v>10.253837926108313</v>
      </c>
      <c r="N207" s="1285">
        <f>N206/(1.96*3*90%+1.7*3*10%)</f>
        <v>10.757629353124843</v>
      </c>
      <c r="O207" s="1285">
        <f>O206/(1.96*3*90%+1.7*3*10%)</f>
        <v>10.911266158679807</v>
      </c>
      <c r="P207" s="1232"/>
      <c r="Q207" s="1332">
        <f>Q206/(1.96*3*90%+1.7*3*10%)</f>
        <v>11.874546321588276</v>
      </c>
      <c r="R207" s="1285">
        <f>R206/(1.96*3*90%+1.7*3*10%)</f>
        <v>12.18083974405304</v>
      </c>
      <c r="S207" s="1285">
        <f>(S206+4)/(1.96*3*90%+1.7*3*10%)</f>
        <v>12.332233640244382</v>
      </c>
      <c r="T207" s="1285">
        <f>T206/(1.35*3)</f>
        <v>12.169040835707497</v>
      </c>
      <c r="U207" s="1333"/>
      <c r="V207" s="1332">
        <f>V206/(1.35*3)</f>
        <v>12.84211901495852</v>
      </c>
      <c r="W207" s="1285">
        <f>W206/(1.35*3)</f>
        <v>12.763532763532762</v>
      </c>
      <c r="X207" s="1285"/>
      <c r="Y207" s="1285"/>
      <c r="Z207" s="1261"/>
      <c r="AA207" s="1242"/>
      <c r="AB207" s="1162"/>
      <c r="AC207" s="1162"/>
      <c r="AD207" s="1162"/>
      <c r="AE207" s="1261"/>
      <c r="AF207" s="1242"/>
      <c r="AG207" s="1162"/>
      <c r="AH207" s="1162"/>
      <c r="AI207" s="1162"/>
      <c r="AJ207" s="1261"/>
      <c r="AK207" s="1242"/>
      <c r="AL207" s="1162"/>
      <c r="AM207" s="1162"/>
      <c r="AN207" s="1162"/>
      <c r="AO207" s="1261"/>
      <c r="AP207" s="1242"/>
      <c r="AQ207" s="1162"/>
      <c r="AR207" s="1162"/>
      <c r="AS207" s="1162"/>
      <c r="AT207" s="1261"/>
      <c r="AU207" s="1242"/>
      <c r="AV207" s="1162"/>
      <c r="AW207" s="1162"/>
      <c r="AX207" s="1162"/>
      <c r="AY207" s="1261"/>
      <c r="AZ207" s="1326">
        <f>AZ9-(AZ206*AZ199)</f>
        <v>0</v>
      </c>
      <c r="BA207" s="1274">
        <f>BA9-(BA206*BA199)</f>
        <v>0</v>
      </c>
      <c r="BB207" s="1274">
        <f>BB9-(BB206*BB199)</f>
        <v>0</v>
      </c>
      <c r="BC207" s="1274">
        <f>BC9-(BC206*BC199)</f>
        <v>0</v>
      </c>
      <c r="BD207" s="1261"/>
      <c r="BE207" s="1242"/>
      <c r="BF207" s="1162"/>
      <c r="BG207" s="1162"/>
      <c r="BH207" s="1162"/>
      <c r="BI207" s="1261"/>
      <c r="BJ207" s="1242"/>
      <c r="BK207" s="1162"/>
      <c r="BL207" s="1162"/>
      <c r="BM207" s="1162"/>
      <c r="BN207" s="1261"/>
      <c r="BO207" s="1242"/>
      <c r="BP207" s="1162"/>
      <c r="BQ207" s="1162"/>
      <c r="BR207" s="1162"/>
      <c r="BS207" s="1261"/>
      <c r="BT207" s="1242"/>
      <c r="BU207" s="1162"/>
      <c r="BV207" s="1162"/>
      <c r="BW207" s="1162"/>
      <c r="BX207" s="1261"/>
      <c r="BY207" s="1242"/>
      <c r="BZ207" s="1162"/>
      <c r="CA207" s="1162"/>
      <c r="CB207" s="1756"/>
      <c r="CC207" s="1757"/>
      <c r="CD207" s="1242"/>
      <c r="CE207" s="1162"/>
      <c r="CF207" s="1162"/>
      <c r="CG207" s="1162"/>
      <c r="CH207" s="1757"/>
      <c r="CI207" s="1162"/>
      <c r="CJ207" s="860"/>
      <c r="CK207" s="1242"/>
      <c r="CL207" s="1162"/>
      <c r="CM207" s="1162"/>
      <c r="CN207" s="1162"/>
      <c r="CO207" s="1232"/>
      <c r="CP207" s="1242"/>
      <c r="CQ207" s="1162"/>
      <c r="CR207" s="1162"/>
      <c r="CS207" s="1162"/>
      <c r="CT207" s="1232"/>
      <c r="CU207" s="1233"/>
      <c r="CV207" s="860"/>
      <c r="CW207" s="860"/>
      <c r="CX207" s="860"/>
      <c r="CY207" s="1232"/>
      <c r="CZ207" s="1233"/>
      <c r="DA207" s="860"/>
      <c r="DB207" s="860"/>
      <c r="DC207" s="860"/>
      <c r="DD207" s="1232"/>
      <c r="DE207" s="1233"/>
      <c r="DF207" s="860"/>
      <c r="DG207" s="860"/>
      <c r="DH207" s="860"/>
      <c r="DI207" s="1232"/>
      <c r="DJ207" s="1233"/>
      <c r="DK207" s="860"/>
      <c r="DL207" s="860"/>
      <c r="DM207" s="860"/>
      <c r="DN207" s="1232"/>
      <c r="DO207" s="1233"/>
      <c r="DP207" s="860"/>
      <c r="DQ207" s="860"/>
      <c r="DR207" s="860"/>
      <c r="DS207" s="1232"/>
      <c r="DT207" s="1233"/>
      <c r="DU207" s="860"/>
      <c r="DV207" s="860"/>
      <c r="DW207" s="860"/>
      <c r="DX207" s="1232"/>
      <c r="DY207" s="1233"/>
      <c r="DZ207" s="860"/>
      <c r="EA207" s="860"/>
      <c r="EB207" s="860"/>
      <c r="EC207" s="1232"/>
      <c r="ED207" s="860"/>
      <c r="EE207" s="860"/>
      <c r="EF207" s="860"/>
      <c r="EG207" s="860"/>
      <c r="EH207" s="860"/>
      <c r="EI207" s="1233"/>
      <c r="EJ207" s="860"/>
      <c r="EK207" s="860"/>
      <c r="EL207" s="860"/>
      <c r="EM207" s="1232"/>
      <c r="EN207" s="1233"/>
      <c r="EO207" s="860"/>
      <c r="EP207" s="860"/>
      <c r="EQ207" s="860"/>
      <c r="ER207" s="1232"/>
      <c r="ES207" s="860"/>
      <c r="ET207" s="860"/>
      <c r="EU207" s="860"/>
      <c r="EV207" s="860"/>
      <c r="EW207" s="1232"/>
      <c r="EX207" s="1233"/>
      <c r="EY207" s="860"/>
      <c r="EZ207" s="860"/>
      <c r="FA207" s="860"/>
      <c r="FB207" s="1754"/>
      <c r="FC207" s="1233"/>
      <c r="FD207" s="860"/>
      <c r="FE207" s="860"/>
      <c r="FF207" s="860"/>
      <c r="FG207" s="860"/>
      <c r="FH207" s="860"/>
      <c r="FI207" s="860"/>
      <c r="FJ207" s="860"/>
      <c r="FK207" s="860"/>
      <c r="FL207" s="860"/>
      <c r="FM207" s="860"/>
      <c r="FN207" s="860"/>
      <c r="FO207" s="860"/>
      <c r="FP207" s="860"/>
      <c r="FQ207" s="860"/>
      <c r="FR207" s="860"/>
      <c r="FS207" s="860"/>
      <c r="FT207" s="860"/>
      <c r="FU207" s="860"/>
      <c r="FV207" s="860"/>
      <c r="FW207" s="860"/>
      <c r="FX207" s="860"/>
      <c r="FY207" s="860"/>
      <c r="FZ207" s="860"/>
      <c r="GA207" s="860"/>
      <c r="GB207" s="860"/>
      <c r="GC207" s="860"/>
      <c r="GD207" s="860"/>
      <c r="GE207" s="860"/>
      <c r="GF207" s="860"/>
      <c r="GG207" s="860"/>
      <c r="GH207" s="860"/>
      <c r="GI207" s="860"/>
      <c r="GJ207" s="860"/>
      <c r="GK207" s="860"/>
      <c r="GL207" s="860"/>
      <c r="GM207" s="860"/>
      <c r="GN207" s="860"/>
      <c r="GO207" s="860"/>
      <c r="GP207" s="860"/>
      <c r="GQ207" s="860"/>
      <c r="GR207" s="1241"/>
      <c r="GS207" s="1218"/>
      <c r="GT207" s="1241"/>
      <c r="GU207" s="1218"/>
      <c r="GV207" s="1241"/>
      <c r="GW207" s="1218"/>
      <c r="GX207" s="1218"/>
      <c r="GY207" s="1241"/>
      <c r="GZ207" s="1218"/>
      <c r="HA207" s="1218"/>
      <c r="HB207" s="1241"/>
      <c r="HC207" s="1218"/>
      <c r="HD207" s="2000"/>
      <c r="HE207" s="1241"/>
      <c r="HF207" s="1218"/>
      <c r="HG207" s="2000"/>
      <c r="HH207" s="1241"/>
      <c r="HI207" s="1241"/>
      <c r="HJ207" s="1218"/>
      <c r="HK207" s="2000"/>
      <c r="HL207" s="1241"/>
      <c r="HM207" s="1218"/>
      <c r="HN207" s="2000"/>
      <c r="HO207" s="1241"/>
      <c r="HP207" s="1218"/>
      <c r="HQ207" s="2000"/>
      <c r="HR207" s="1241"/>
    </row>
    <row r="208" spans="1:226" hidden="1">
      <c r="A208" s="1275"/>
      <c r="B208" s="1233"/>
      <c r="C208" s="860"/>
      <c r="D208" s="860"/>
      <c r="E208" s="860"/>
      <c r="F208" s="1232"/>
      <c r="G208" s="1332"/>
      <c r="H208" s="1285"/>
      <c r="I208" s="1285"/>
      <c r="J208" s="1285"/>
      <c r="K208" s="1333"/>
      <c r="L208" s="1332"/>
      <c r="M208" s="1285"/>
      <c r="N208" s="1285"/>
      <c r="O208" s="1285"/>
      <c r="P208" s="1232"/>
      <c r="Q208" s="1326"/>
      <c r="R208" s="1274"/>
      <c r="S208" s="1274"/>
      <c r="T208" s="1274"/>
      <c r="U208" s="1327"/>
      <c r="V208" s="1326"/>
      <c r="W208" s="1274"/>
      <c r="X208" s="1274"/>
      <c r="Y208" s="1274"/>
      <c r="Z208" s="1261"/>
      <c r="AA208" s="1242"/>
      <c r="AB208" s="1162"/>
      <c r="AC208" s="1162"/>
      <c r="AD208" s="1162"/>
      <c r="AE208" s="1261"/>
      <c r="AF208" s="1242"/>
      <c r="AG208" s="1162"/>
      <c r="AH208" s="1162"/>
      <c r="AI208" s="1162"/>
      <c r="AJ208" s="1261"/>
      <c r="AK208" s="1242"/>
      <c r="AL208" s="1162"/>
      <c r="AM208" s="1162"/>
      <c r="AN208" s="1162"/>
      <c r="AO208" s="1261"/>
      <c r="AP208" s="1242"/>
      <c r="AQ208" s="1162"/>
      <c r="AR208" s="1162"/>
      <c r="AS208" s="1162"/>
      <c r="AT208" s="1261"/>
      <c r="AU208" s="1242"/>
      <c r="AV208" s="1162"/>
      <c r="AW208" s="1162"/>
      <c r="AX208" s="1162"/>
      <c r="AY208" s="1261"/>
      <c r="AZ208" s="1242"/>
      <c r="BA208" s="1162"/>
      <c r="BB208" s="1162"/>
      <c r="BC208" s="1162"/>
      <c r="BD208" s="1261"/>
      <c r="BE208" s="1242"/>
      <c r="BF208" s="1162"/>
      <c r="BG208" s="1162"/>
      <c r="BH208" s="1162"/>
      <c r="BI208" s="1261"/>
      <c r="BJ208" s="1242"/>
      <c r="BK208" s="1162"/>
      <c r="BL208" s="1162"/>
      <c r="BM208" s="1162"/>
      <c r="BN208" s="1261"/>
      <c r="BO208" s="1242"/>
      <c r="BP208" s="1162"/>
      <c r="BQ208" s="1162"/>
      <c r="BR208" s="1162"/>
      <c r="BS208" s="1261"/>
      <c r="BT208" s="1242"/>
      <c r="BU208" s="1162"/>
      <c r="BV208" s="1162"/>
      <c r="BW208" s="1162"/>
      <c r="BX208" s="1261"/>
      <c r="BY208" s="1242"/>
      <c r="BZ208" s="1162"/>
      <c r="CA208" s="1162"/>
      <c r="CB208" s="1756"/>
      <c r="CC208" s="1757"/>
      <c r="CD208" s="1242"/>
      <c r="CE208" s="1162"/>
      <c r="CF208" s="1162"/>
      <c r="CG208" s="1162"/>
      <c r="CH208" s="1757"/>
      <c r="CI208" s="1162"/>
      <c r="CJ208" s="860"/>
      <c r="CK208" s="1242"/>
      <c r="CL208" s="1162"/>
      <c r="CM208" s="1162"/>
      <c r="CN208" s="1162"/>
      <c r="CO208" s="1232"/>
      <c r="CP208" s="1242"/>
      <c r="CQ208" s="1162"/>
      <c r="CR208" s="1162"/>
      <c r="CS208" s="1162"/>
      <c r="CT208" s="1232"/>
      <c r="CU208" s="1233"/>
      <c r="CV208" s="860"/>
      <c r="CW208" s="860"/>
      <c r="CX208" s="860"/>
      <c r="CY208" s="1232"/>
      <c r="CZ208" s="1233"/>
      <c r="DA208" s="860"/>
      <c r="DB208" s="860"/>
      <c r="DC208" s="860"/>
      <c r="DD208" s="1232"/>
      <c r="DE208" s="1233"/>
      <c r="DF208" s="860"/>
      <c r="DG208" s="860"/>
      <c r="DH208" s="860"/>
      <c r="DI208" s="1232"/>
      <c r="DJ208" s="1233"/>
      <c r="DK208" s="860"/>
      <c r="DL208" s="860"/>
      <c r="DM208" s="860"/>
      <c r="DN208" s="1232"/>
      <c r="DO208" s="1233"/>
      <c r="DP208" s="860"/>
      <c r="DQ208" s="860"/>
      <c r="DR208" s="860"/>
      <c r="DS208" s="1232"/>
      <c r="DT208" s="1233"/>
      <c r="DU208" s="860"/>
      <c r="DV208" s="860"/>
      <c r="DW208" s="860"/>
      <c r="DX208" s="1232"/>
      <c r="DY208" s="1233"/>
      <c r="DZ208" s="860"/>
      <c r="EA208" s="860"/>
      <c r="EB208" s="860"/>
      <c r="EC208" s="1232"/>
      <c r="ED208" s="860"/>
      <c r="EE208" s="860"/>
      <c r="EF208" s="860"/>
      <c r="EG208" s="860"/>
      <c r="EH208" s="860"/>
      <c r="EI208" s="1233"/>
      <c r="EJ208" s="860"/>
      <c r="EK208" s="860"/>
      <c r="EL208" s="860"/>
      <c r="EM208" s="1232"/>
      <c r="EN208" s="1233"/>
      <c r="EO208" s="860"/>
      <c r="EP208" s="860"/>
      <c r="EQ208" s="860"/>
      <c r="ER208" s="1232"/>
      <c r="ES208" s="860"/>
      <c r="ET208" s="860"/>
      <c r="EU208" s="860"/>
      <c r="EV208" s="860"/>
      <c r="EW208" s="1232"/>
      <c r="EX208" s="1233"/>
      <c r="EY208" s="860"/>
      <c r="EZ208" s="860"/>
      <c r="FA208" s="860"/>
      <c r="FB208" s="1754"/>
      <c r="FC208" s="1233"/>
      <c r="FD208" s="860"/>
      <c r="FE208" s="860"/>
      <c r="FF208" s="860"/>
      <c r="FG208" s="860"/>
      <c r="FH208" s="860"/>
      <c r="FI208" s="860"/>
      <c r="FJ208" s="860"/>
      <c r="FK208" s="860"/>
      <c r="FL208" s="860"/>
      <c r="FM208" s="860"/>
      <c r="FN208" s="860"/>
      <c r="FO208" s="860"/>
      <c r="FP208" s="860"/>
      <c r="FQ208" s="860"/>
      <c r="FR208" s="860"/>
      <c r="FS208" s="860"/>
      <c r="FT208" s="860"/>
      <c r="FU208" s="860"/>
      <c r="FV208" s="860"/>
      <c r="FW208" s="860"/>
      <c r="FX208" s="860"/>
      <c r="FY208" s="860"/>
      <c r="FZ208" s="860"/>
      <c r="GA208" s="860"/>
      <c r="GB208" s="860"/>
      <c r="GC208" s="860"/>
      <c r="GD208" s="860"/>
      <c r="GE208" s="860"/>
      <c r="GF208" s="860"/>
      <c r="GG208" s="860"/>
      <c r="GH208" s="860"/>
      <c r="GI208" s="860"/>
      <c r="GJ208" s="860"/>
      <c r="GK208" s="860"/>
      <c r="GL208" s="860"/>
      <c r="GM208" s="860"/>
      <c r="GN208" s="860"/>
      <c r="GO208" s="860"/>
      <c r="GP208" s="860"/>
      <c r="GQ208" s="860"/>
      <c r="GR208" s="1241"/>
      <c r="GS208" s="1218"/>
      <c r="GT208" s="1241"/>
      <c r="GU208" s="1218"/>
      <c r="GV208" s="1241"/>
      <c r="GW208" s="1218"/>
      <c r="GX208" s="1218"/>
      <c r="GY208" s="1241"/>
      <c r="GZ208" s="1218"/>
      <c r="HA208" s="1218"/>
      <c r="HB208" s="1241"/>
      <c r="HC208" s="1218"/>
      <c r="HD208" s="2000"/>
      <c r="HE208" s="1241"/>
      <c r="HF208" s="1218"/>
      <c r="HG208" s="2000"/>
      <c r="HH208" s="1241"/>
      <c r="HI208" s="1241"/>
      <c r="HJ208" s="1218"/>
      <c r="HK208" s="2000"/>
      <c r="HL208" s="1241"/>
      <c r="HM208" s="1218"/>
      <c r="HN208" s="2000"/>
      <c r="HO208" s="1241"/>
      <c r="HP208" s="1218"/>
      <c r="HQ208" s="2000"/>
      <c r="HR208" s="1241"/>
    </row>
    <row r="209" spans="1:226" hidden="1">
      <c r="A209" s="1275" t="str">
        <f>A10</f>
        <v>Licensing and Syndication</v>
      </c>
      <c r="B209" s="1233"/>
      <c r="C209" s="860"/>
      <c r="D209" s="860"/>
      <c r="E209" s="860"/>
      <c r="F209" s="1232"/>
      <c r="G209" s="1332">
        <f>G10/G$199</f>
        <v>79.481117716171795</v>
      </c>
      <c r="H209" s="1285">
        <f>H10/H$199</f>
        <v>91.221921872891869</v>
      </c>
      <c r="I209" s="1285">
        <f>I10/I$199</f>
        <v>102.63273064060742</v>
      </c>
      <c r="J209" s="1285">
        <f>J10/J$199</f>
        <v>116.91178634188125</v>
      </c>
      <c r="K209" s="1333"/>
      <c r="L209" s="1332">
        <f>L10/L$199</f>
        <v>92.016326217105401</v>
      </c>
      <c r="M209" s="1285">
        <f>M10/M$199</f>
        <v>108.81400052298086</v>
      </c>
      <c r="N209" s="1285">
        <f>N10/N$199</f>
        <v>106.98109302643282</v>
      </c>
      <c r="O209" s="1285">
        <f>O10/O$199</f>
        <v>130.03696792757194</v>
      </c>
      <c r="P209" s="1232"/>
      <c r="Q209" s="1326">
        <f>Q10/Q$199</f>
        <v>100.42900619313026</v>
      </c>
      <c r="R209" s="1274">
        <f>R10/R$199</f>
        <v>116.11346734452853</v>
      </c>
      <c r="S209" s="1274">
        <f>S10/S$199</f>
        <v>115.77401269419164</v>
      </c>
      <c r="T209" s="1274">
        <f>T10/T$199</f>
        <v>113.56923076923077</v>
      </c>
      <c r="U209" s="1327"/>
      <c r="V209" s="1326">
        <f>V10/V$199</f>
        <v>105.90325018896446</v>
      </c>
      <c r="W209" s="1274">
        <f>W10/W$199</f>
        <v>137.45941153846155</v>
      </c>
      <c r="X209" s="1274">
        <f>X10/X$199</f>
        <v>124.92635955835553</v>
      </c>
      <c r="Y209" s="1274">
        <f>Y10/Y$199</f>
        <v>123.81294964028774</v>
      </c>
      <c r="Z209" s="1327">
        <f>Z210+Z211</f>
        <v>491.96093163035312</v>
      </c>
      <c r="AA209" s="1326">
        <f>AA10/AA$199</f>
        <v>105.7248322147651</v>
      </c>
      <c r="AB209" s="1274">
        <f>AB10/AB$199</f>
        <v>119.47780678851176</v>
      </c>
      <c r="AC209" s="1274">
        <f>AC10/AC$199</f>
        <v>134.4890510948905</v>
      </c>
      <c r="AD209" s="1274">
        <f>AD10/AD$199</f>
        <v>126.81625227410547</v>
      </c>
      <c r="AE209" s="1261"/>
      <c r="AF209" s="1326">
        <f>AF10/AF$199</f>
        <v>109.24068691511793</v>
      </c>
      <c r="AG209" s="1274">
        <f>AG10/AG$199</f>
        <v>128.74719101123594</v>
      </c>
      <c r="AH209" s="1274">
        <f>AH10/AH$199</f>
        <v>114.74413646055436</v>
      </c>
      <c r="AI209" s="1274">
        <f>AI10/AI$199</f>
        <v>133.50629722921917</v>
      </c>
      <c r="AJ209" s="1261"/>
      <c r="AK209" s="1326">
        <f>AK10/AK$199</f>
        <v>104.44334975369456</v>
      </c>
      <c r="AL209" s="1274">
        <f>AL10/AL$199</f>
        <v>124.43126684636117</v>
      </c>
      <c r="AM209" s="1274">
        <f>AM10/AM$199</f>
        <v>120.74263443812438</v>
      </c>
      <c r="AN209" s="1274">
        <f>AN10/AN$199</f>
        <v>139.03106898367562</v>
      </c>
      <c r="AO209" s="1261"/>
      <c r="AP209" s="1326">
        <f>AP10/AP$199</f>
        <v>130.65849189447422</v>
      </c>
      <c r="AQ209" s="1274">
        <f>AQ10/AQ$199</f>
        <v>143.2183316168898</v>
      </c>
      <c r="AR209" s="1274">
        <f>AR10/AR$199</f>
        <v>130.20063357972543</v>
      </c>
      <c r="AS209" s="1274">
        <f>AS10/AS$199</f>
        <v>142.01005025125625</v>
      </c>
      <c r="AT209" s="1261"/>
      <c r="AU209" s="1326">
        <f>AU10/AU$199</f>
        <v>118.99174134126604</v>
      </c>
      <c r="AV209" s="1274">
        <f>AV10/AV$199</f>
        <v>129.44531658817374</v>
      </c>
      <c r="AW209" s="1274">
        <f>AW10/AW$199</f>
        <v>135.74742268041237</v>
      </c>
      <c r="AX209" s="1274">
        <f>AX10/AX$199</f>
        <v>167.06493506493507</v>
      </c>
      <c r="AY209" s="1261"/>
      <c r="AZ209" s="1326">
        <f>AZ10/AZ$199</f>
        <v>138.01910818422408</v>
      </c>
      <c r="BA209" s="1274">
        <f>BA10/BA$199</f>
        <v>103.69036907253728</v>
      </c>
      <c r="BB209" s="1274">
        <f>BB10/BB$199</f>
        <v>114.90015129112049</v>
      </c>
      <c r="BC209" s="1274">
        <f>BC10/BC$199</f>
        <v>150.06633933065677</v>
      </c>
      <c r="BD209" s="1261"/>
      <c r="BE209" s="1326">
        <f>BE10/BE$199</f>
        <v>132.5644368206892</v>
      </c>
      <c r="BF209" s="1274">
        <f>BF10/BF$199</f>
        <v>133.21365070490157</v>
      </c>
      <c r="BG209" s="1274">
        <f>BG10/BG$199</f>
        <v>147.85924002075333</v>
      </c>
      <c r="BH209" s="1274">
        <f>BH10/BH$199</f>
        <v>147.65707719204903</v>
      </c>
      <c r="BI209" s="1261"/>
      <c r="BJ209" s="1326">
        <f>BJ10/BJ$199</f>
        <v>0</v>
      </c>
      <c r="BK209" s="1274">
        <f>BK10/BK$199</f>
        <v>0</v>
      </c>
      <c r="BL209" s="1274">
        <f>BL10/BL$199</f>
        <v>0</v>
      </c>
      <c r="BM209" s="1274">
        <f>BM10/BM$199</f>
        <v>0</v>
      </c>
      <c r="BN209" s="1261"/>
      <c r="BO209" s="1326">
        <f>BO10/BO$199</f>
        <v>0</v>
      </c>
      <c r="BP209" s="1274">
        <f>BP10/BP$199</f>
        <v>0</v>
      </c>
      <c r="BQ209" s="1274">
        <f>BQ10/BQ$199</f>
        <v>0</v>
      </c>
      <c r="BR209" s="1274">
        <f>BR10/BR$199</f>
        <v>0</v>
      </c>
      <c r="BS209" s="1261"/>
      <c r="BT209" s="1326">
        <f>BT10/BT$199</f>
        <v>0</v>
      </c>
      <c r="BU209" s="1274">
        <f>BU10/BU$199</f>
        <v>0</v>
      </c>
      <c r="BV209" s="1274">
        <f>BV10/BV$199</f>
        <v>0</v>
      </c>
      <c r="BW209" s="1274">
        <f>BW10/BW$199</f>
        <v>0</v>
      </c>
      <c r="BX209" s="1261"/>
      <c r="BY209" s="1326">
        <f>BY10/BY$199</f>
        <v>0</v>
      </c>
      <c r="BZ209" s="1274">
        <f>BZ10/BZ$199</f>
        <v>0</v>
      </c>
      <c r="CA209" s="1274">
        <f>CA10/CA$199</f>
        <v>0</v>
      </c>
      <c r="CB209" s="1768">
        <f>CB10/CB$199</f>
        <v>0</v>
      </c>
      <c r="CC209" s="1757"/>
      <c r="CD209" s="1326">
        <f>CD10/CD$199</f>
        <v>0</v>
      </c>
      <c r="CE209" s="1274"/>
      <c r="CF209" s="1274"/>
      <c r="CG209" s="1274"/>
      <c r="CH209" s="1757"/>
      <c r="CI209" s="1162"/>
      <c r="CJ209" s="860"/>
      <c r="CK209" s="1242">
        <f t="shared" ref="CK209:CN211" si="254">L209/G209-1</f>
        <v>0.15771303752542853</v>
      </c>
      <c r="CL209" s="1162">
        <f t="shared" si="254"/>
        <v>0.19284924378815105</v>
      </c>
      <c r="CM209" s="1162">
        <f t="shared" si="254"/>
        <v>4.2368183704009743E-2</v>
      </c>
      <c r="CN209" s="1162">
        <f t="shared" si="254"/>
        <v>0.11226568335299536</v>
      </c>
      <c r="CO209" s="1232"/>
      <c r="CP209" s="1242">
        <f t="shared" ref="CP209:CS211" si="255">Q209/L209-1</f>
        <v>9.1425949305733001E-2</v>
      </c>
      <c r="CQ209" s="1162">
        <f t="shared" si="255"/>
        <v>6.7082055493457027E-2</v>
      </c>
      <c r="CR209" s="1162">
        <f t="shared" si="255"/>
        <v>8.2191342591594996E-2</v>
      </c>
      <c r="CS209" s="1162">
        <f t="shared" si="255"/>
        <v>-0.1266388890850898</v>
      </c>
      <c r="CT209" s="1232"/>
      <c r="CU209" s="1242">
        <f t="shared" ref="CU209:CX211" si="256">V209/Q209-1</f>
        <v>5.4508594711242475E-2</v>
      </c>
      <c r="CV209" s="1162">
        <f t="shared" si="256"/>
        <v>0.18383693711079996</v>
      </c>
      <c r="CW209" s="1162">
        <f t="shared" si="256"/>
        <v>7.9053551407422651E-2</v>
      </c>
      <c r="CX209" s="1162">
        <f t="shared" si="256"/>
        <v>9.019801227563029E-2</v>
      </c>
      <c r="CY209" s="1232"/>
      <c r="CZ209" s="1242">
        <f t="shared" ref="CZ209:DC211" si="257">AA209/V209-1</f>
        <v>-1.6847261427860305E-3</v>
      </c>
      <c r="DA209" s="1162">
        <f t="shared" si="257"/>
        <v>-0.13081392207850739</v>
      </c>
      <c r="DB209" s="1162">
        <f t="shared" si="257"/>
        <v>7.6546627712048565E-2</v>
      </c>
      <c r="DC209" s="1162">
        <f t="shared" si="257"/>
        <v>2.4256773160991507E-2</v>
      </c>
      <c r="DD209" s="1232"/>
      <c r="DE209" s="1239">
        <f t="shared" ref="DE209:DH211" si="258">AF209/AA209-1</f>
        <v>3.32547673682837E-2</v>
      </c>
      <c r="DF209" s="1217">
        <f t="shared" si="258"/>
        <v>7.7582477213797185E-2</v>
      </c>
      <c r="DG209" s="1217">
        <f t="shared" si="258"/>
        <v>-0.14681429063251294</v>
      </c>
      <c r="DH209" s="1217">
        <f t="shared" si="258"/>
        <v>5.2753845308829872E-2</v>
      </c>
      <c r="DI209" s="1232"/>
      <c r="DJ209" s="1239">
        <f t="shared" ref="DJ209:DM211" si="259">AK209/AF209-1</f>
        <v>-4.3915296552016314E-2</v>
      </c>
      <c r="DK209" s="1217">
        <f t="shared" si="259"/>
        <v>-3.3522472459209696E-2</v>
      </c>
      <c r="DL209" s="1217">
        <f t="shared" si="259"/>
        <v>5.2277163457778331E-2</v>
      </c>
      <c r="DM209" s="1217">
        <f t="shared" si="259"/>
        <v>4.1382106081265135E-2</v>
      </c>
      <c r="DN209" s="1232"/>
      <c r="DO209" s="1233"/>
      <c r="DP209" s="860"/>
      <c r="DQ209" s="860"/>
      <c r="DR209" s="860"/>
      <c r="DS209" s="1232"/>
      <c r="DT209" s="1233"/>
      <c r="DU209" s="860"/>
      <c r="DV209" s="860"/>
      <c r="DW209" s="860"/>
      <c r="DX209" s="1232"/>
      <c r="DY209" s="1233"/>
      <c r="DZ209" s="860"/>
      <c r="EA209" s="860"/>
      <c r="EB209" s="860"/>
      <c r="EC209" s="1232"/>
      <c r="ED209" s="860"/>
      <c r="EE209" s="860"/>
      <c r="EF209" s="860"/>
      <c r="EG209" s="860"/>
      <c r="EH209" s="860"/>
      <c r="EI209" s="1233"/>
      <c r="EJ209" s="860"/>
      <c r="EK209" s="860"/>
      <c r="EL209" s="860"/>
      <c r="EM209" s="1232"/>
      <c r="EN209" s="1233"/>
      <c r="EO209" s="860"/>
      <c r="EP209" s="860"/>
      <c r="EQ209" s="860"/>
      <c r="ER209" s="1232"/>
      <c r="ES209" s="860"/>
      <c r="ET209" s="860"/>
      <c r="EU209" s="860"/>
      <c r="EV209" s="860"/>
      <c r="EW209" s="1232"/>
      <c r="EX209" s="1233"/>
      <c r="EY209" s="860"/>
      <c r="EZ209" s="860"/>
      <c r="FA209" s="860"/>
      <c r="FB209" s="1754"/>
      <c r="FC209" s="1233"/>
      <c r="FD209" s="860"/>
      <c r="FE209" s="860"/>
      <c r="FF209" s="860"/>
      <c r="FG209" s="860"/>
      <c r="FH209" s="860"/>
      <c r="FI209" s="860"/>
      <c r="FJ209" s="860"/>
      <c r="FK209" s="860"/>
      <c r="FL209" s="860"/>
      <c r="FM209" s="860"/>
      <c r="FN209" s="860"/>
      <c r="FO209" s="860"/>
      <c r="FP209" s="860"/>
      <c r="FQ209" s="860"/>
      <c r="FR209" s="860"/>
      <c r="FS209" s="860"/>
      <c r="FT209" s="860"/>
      <c r="FU209" s="860"/>
      <c r="FV209" s="860"/>
      <c r="FW209" s="860"/>
      <c r="FX209" s="860"/>
      <c r="FY209" s="860"/>
      <c r="FZ209" s="860"/>
      <c r="GA209" s="860"/>
      <c r="GB209" s="860"/>
      <c r="GC209" s="860"/>
      <c r="GD209" s="860"/>
      <c r="GE209" s="860"/>
      <c r="GF209" s="860"/>
      <c r="GG209" s="860"/>
      <c r="GH209" s="860"/>
      <c r="GI209" s="860"/>
      <c r="GJ209" s="860"/>
      <c r="GK209" s="860"/>
      <c r="GL209" s="860"/>
      <c r="GM209" s="860"/>
      <c r="GN209" s="860"/>
      <c r="GO209" s="860"/>
      <c r="GP209" s="860"/>
      <c r="GQ209" s="860"/>
      <c r="GR209" s="1279">
        <v>0</v>
      </c>
      <c r="GS209" s="1218"/>
      <c r="GT209" s="1279">
        <v>0</v>
      </c>
      <c r="GU209" s="1218"/>
      <c r="GV209" s="1279">
        <v>0</v>
      </c>
      <c r="GW209" s="1218"/>
      <c r="GX209" s="1218"/>
      <c r="GY209" s="1279">
        <v>0</v>
      </c>
      <c r="GZ209" s="1218"/>
      <c r="HA209" s="1218"/>
      <c r="HB209" s="1279">
        <v>0</v>
      </c>
      <c r="HC209" s="1218"/>
      <c r="HD209" s="2000"/>
      <c r="HE209" s="1279">
        <v>0</v>
      </c>
      <c r="HF209" s="1218"/>
      <c r="HG209" s="2000"/>
      <c r="HH209" s="1241"/>
      <c r="HI209" s="1279">
        <v>0</v>
      </c>
      <c r="HJ209" s="1218"/>
      <c r="HK209" s="2000"/>
      <c r="HL209" s="1279">
        <v>0</v>
      </c>
      <c r="HM209" s="1218"/>
      <c r="HN209" s="2000"/>
      <c r="HO209" s="1279">
        <v>0</v>
      </c>
      <c r="HP209" s="1218"/>
      <c r="HQ209" s="2000"/>
      <c r="HR209" s="1279">
        <v>0</v>
      </c>
    </row>
    <row r="210" spans="1:226" hidden="1">
      <c r="A210" s="1316" t="s">
        <v>807</v>
      </c>
      <c r="B210" s="1233"/>
      <c r="C210" s="860"/>
      <c r="D210" s="860"/>
      <c r="E210" s="860"/>
      <c r="F210" s="1232"/>
      <c r="G210" s="1332">
        <v>46.5</v>
      </c>
      <c r="H210" s="1285">
        <v>60.2</v>
      </c>
      <c r="I210" s="1285">
        <v>58.2</v>
      </c>
      <c r="J210" s="1285">
        <f>224.9-G210-H210-I210</f>
        <v>60</v>
      </c>
      <c r="K210" s="1333"/>
      <c r="L210" s="1332">
        <v>53.5</v>
      </c>
      <c r="M210" s="1285">
        <v>64.2</v>
      </c>
      <c r="N210" s="1285">
        <v>62</v>
      </c>
      <c r="O210" s="1285">
        <f>247.6-L210-M210-N210</f>
        <v>67.899999999999977</v>
      </c>
      <c r="P210" s="1232"/>
      <c r="Q210" s="1332">
        <v>57.3</v>
      </c>
      <c r="R210" s="1285">
        <v>70.5</v>
      </c>
      <c r="S210" s="1285">
        <v>71.400000000000006</v>
      </c>
      <c r="T210" s="1285">
        <v>74</v>
      </c>
      <c r="U210" s="1333">
        <f>Univision!F146</f>
        <v>273.2</v>
      </c>
      <c r="V210" s="1332">
        <v>64.3</v>
      </c>
      <c r="W210" s="1288">
        <f>84</f>
        <v>84</v>
      </c>
      <c r="X210" s="1288">
        <f>87.4</f>
        <v>87.4</v>
      </c>
      <c r="Y210" s="1285">
        <f>313.7-V210-W210-X210</f>
        <v>77.999999999999972</v>
      </c>
      <c r="Z210" s="1333">
        <f>Univision!G146</f>
        <v>313.7</v>
      </c>
      <c r="AA210" s="1332">
        <v>65.599999999999994</v>
      </c>
      <c r="AB210" s="1285">
        <v>75</v>
      </c>
      <c r="AC210" s="1285">
        <v>89.6</v>
      </c>
      <c r="AD210" s="1285">
        <v>80.900000000000006</v>
      </c>
      <c r="AE210" s="1333">
        <f>Univision!H146</f>
        <v>311.5</v>
      </c>
      <c r="AF210" s="1332">
        <v>70.7</v>
      </c>
      <c r="AG210" s="1285">
        <v>83.3</v>
      </c>
      <c r="AH210" s="1285">
        <v>80.900000000000006</v>
      </c>
      <c r="AI210" s="1285">
        <v>90.4</v>
      </c>
      <c r="AJ210" s="1333">
        <f>Univision!I146</f>
        <v>324.60000000000002</v>
      </c>
      <c r="AK210" s="1332">
        <v>72.599999999999994</v>
      </c>
      <c r="AL210" s="1285">
        <v>81.900000000000006</v>
      </c>
      <c r="AM210" s="1285">
        <v>80.599999999999994</v>
      </c>
      <c r="AN210" s="1285">
        <v>78.8</v>
      </c>
      <c r="AO210" s="1333">
        <f>Univision!J146</f>
        <v>313.89999999999998</v>
      </c>
      <c r="AP210" s="1332">
        <v>95.5</v>
      </c>
      <c r="AQ210" s="1285">
        <v>102.6</v>
      </c>
      <c r="AR210" s="1285">
        <v>97.6</v>
      </c>
      <c r="AS210" s="1285">
        <v>88</v>
      </c>
      <c r="AT210" s="1333">
        <f>Univision!K146</f>
        <v>383.6</v>
      </c>
      <c r="AU210" s="1332">
        <v>88</v>
      </c>
      <c r="AV210" s="1285">
        <v>99.6</v>
      </c>
      <c r="AW210" s="1285">
        <v>100.2</v>
      </c>
      <c r="AX210" s="1285">
        <v>101.3</v>
      </c>
      <c r="AY210" s="1333"/>
      <c r="AZ210" s="1332">
        <v>97.6</v>
      </c>
      <c r="BA210" s="1285">
        <v>79.7</v>
      </c>
      <c r="BB210" s="1285">
        <v>92.1</v>
      </c>
      <c r="BC210" s="1285">
        <f>BD210-AZ210-BA210-BB210</f>
        <v>87.790438868008067</v>
      </c>
      <c r="BD210" s="1333">
        <f>Univision!M146</f>
        <v>357.19043886800802</v>
      </c>
      <c r="BE210" s="1332">
        <v>96.5</v>
      </c>
      <c r="BF210" s="1285">
        <v>100.6</v>
      </c>
      <c r="BG210" s="1285">
        <v>110.7</v>
      </c>
      <c r="BH210" s="1285">
        <v>110</v>
      </c>
      <c r="BI210" s="1333">
        <f>Univision!N146</f>
        <v>406.00549372650903</v>
      </c>
      <c r="BJ210" s="1332"/>
      <c r="BK210" s="1285"/>
      <c r="BL210" s="1285"/>
      <c r="BM210" s="1285"/>
      <c r="BN210" s="1333">
        <f>Univision!O146</f>
        <v>471.90581778548534</v>
      </c>
      <c r="BO210" s="1332"/>
      <c r="BP210" s="1285"/>
      <c r="BQ210" s="1285"/>
      <c r="BR210" s="1361"/>
      <c r="BS210" s="1333">
        <f>Univision!P146</f>
        <v>497.16760867475961</v>
      </c>
      <c r="BT210" s="1332"/>
      <c r="BU210" s="1285"/>
      <c r="BV210" s="1285"/>
      <c r="BW210" s="1361"/>
      <c r="BX210" s="1333">
        <f>Univision!Q146</f>
        <v>513.08253693500251</v>
      </c>
      <c r="BY210" s="1332"/>
      <c r="BZ210" s="1285"/>
      <c r="CA210" s="1285"/>
      <c r="CB210" s="1780"/>
      <c r="CC210" s="1771">
        <f>Univision!R146</f>
        <v>524.01078767370257</v>
      </c>
      <c r="CD210" s="1332"/>
      <c r="CE210" s="1285"/>
      <c r="CF210" s="1285"/>
      <c r="CG210" s="1285"/>
      <c r="CH210" s="1771">
        <f>Univision!S146</f>
        <v>0</v>
      </c>
      <c r="CI210" s="1285"/>
      <c r="CJ210" s="860"/>
      <c r="CK210" s="1242">
        <f t="shared" si="254"/>
        <v>0.15053763440860224</v>
      </c>
      <c r="CL210" s="1162">
        <f t="shared" si="254"/>
        <v>6.6445182724252483E-2</v>
      </c>
      <c r="CM210" s="1162">
        <f t="shared" si="254"/>
        <v>6.5292096219931262E-2</v>
      </c>
      <c r="CN210" s="1162">
        <f t="shared" si="254"/>
        <v>0.13166666666666638</v>
      </c>
      <c r="CO210" s="1232"/>
      <c r="CP210" s="1242">
        <f t="shared" si="255"/>
        <v>7.1028037383177534E-2</v>
      </c>
      <c r="CQ210" s="1162">
        <f t="shared" si="255"/>
        <v>9.8130841121495171E-2</v>
      </c>
      <c r="CR210" s="1162">
        <f t="shared" si="255"/>
        <v>0.15161290322580645</v>
      </c>
      <c r="CS210" s="1162">
        <f t="shared" si="255"/>
        <v>8.9837997054492247E-2</v>
      </c>
      <c r="CT210" s="1232"/>
      <c r="CU210" s="1242">
        <f t="shared" si="256"/>
        <v>0.12216404886561949</v>
      </c>
      <c r="CV210" s="1162">
        <f t="shared" si="256"/>
        <v>0.1914893617021276</v>
      </c>
      <c r="CW210" s="1162">
        <f t="shared" si="256"/>
        <v>0.22408963585434183</v>
      </c>
      <c r="CX210" s="1162">
        <f t="shared" si="256"/>
        <v>5.4054054054053724E-2</v>
      </c>
      <c r="CY210" s="1232"/>
      <c r="CZ210" s="1242">
        <f t="shared" si="257"/>
        <v>2.0217729393467998E-2</v>
      </c>
      <c r="DA210" s="1162">
        <f t="shared" si="257"/>
        <v>-0.1071428571428571</v>
      </c>
      <c r="DB210" s="1162">
        <f t="shared" si="257"/>
        <v>2.5171624713958618E-2</v>
      </c>
      <c r="DC210" s="1162">
        <f t="shared" si="257"/>
        <v>3.7179487179487714E-2</v>
      </c>
      <c r="DD210" s="1232"/>
      <c r="DE210" s="1239">
        <f t="shared" si="258"/>
        <v>7.7743902439024515E-2</v>
      </c>
      <c r="DF210" s="1217">
        <f t="shared" si="258"/>
        <v>0.11066666666666669</v>
      </c>
      <c r="DG210" s="1217">
        <f t="shared" si="258"/>
        <v>-9.7098214285714191E-2</v>
      </c>
      <c r="DH210" s="1217">
        <f t="shared" si="258"/>
        <v>0.11742892459826937</v>
      </c>
      <c r="DI210" s="1232"/>
      <c r="DJ210" s="1239">
        <f t="shared" si="259"/>
        <v>2.6874115983026803E-2</v>
      </c>
      <c r="DK210" s="1217">
        <f t="shared" si="259"/>
        <v>-1.6806722689075571E-2</v>
      </c>
      <c r="DL210" s="1217">
        <f t="shared" si="259"/>
        <v>-3.7082818294191799E-3</v>
      </c>
      <c r="DM210" s="1217">
        <f t="shared" si="259"/>
        <v>-0.12831858407079655</v>
      </c>
      <c r="DN210" s="1232"/>
      <c r="DO210" s="1239">
        <f>AP210/AK210-1</f>
        <v>0.31542699724517909</v>
      </c>
      <c r="DP210" s="1217">
        <f>AQ210/AL210-1</f>
        <v>0.25274725274725252</v>
      </c>
      <c r="DQ210" s="1217">
        <f>AR210/AM210-1</f>
        <v>0.2109181141439207</v>
      </c>
      <c r="DR210" s="1217">
        <f>AS210/AN210-1</f>
        <v>0.11675126903553301</v>
      </c>
      <c r="DS210" s="1232"/>
      <c r="DT210" s="1239">
        <f>AU210/AP210-1</f>
        <v>-7.8534031413612593E-2</v>
      </c>
      <c r="DU210" s="1217">
        <f>AV210/AQ210-1</f>
        <v>-2.9239766081871399E-2</v>
      </c>
      <c r="DV210" s="1217"/>
      <c r="DW210" s="1217"/>
      <c r="DX210" s="1232"/>
      <c r="DY210" s="1239">
        <f>AZ210/AU210-1</f>
        <v>0.10909090909090913</v>
      </c>
      <c r="DZ210" s="1217">
        <f>BA210/AV210-1</f>
        <v>-0.19979919678714853</v>
      </c>
      <c r="EA210" s="1217">
        <f>BB210/AW210-1</f>
        <v>-8.0838323353293551E-2</v>
      </c>
      <c r="EB210" s="1217">
        <f>BC210/AX210-1</f>
        <v>-0.13336190653496471</v>
      </c>
      <c r="EC210" s="1232"/>
      <c r="ED210" s="1162">
        <f>BE210/AZ210-1</f>
        <v>-1.1270491803278659E-2</v>
      </c>
      <c r="EE210" s="1162">
        <f>BF210/BA210-1</f>
        <v>0.26223337515683798</v>
      </c>
      <c r="EF210" s="1162">
        <f>BG210/BB210-1</f>
        <v>0.2019543973941369</v>
      </c>
      <c r="EG210" s="1162">
        <f>BH210/BC210-1</f>
        <v>0.25298382623856974</v>
      </c>
      <c r="EH210" s="860"/>
      <c r="EI210" s="1233"/>
      <c r="EJ210" s="860"/>
      <c r="EK210" s="860"/>
      <c r="EL210" s="860"/>
      <c r="EM210" s="1232"/>
      <c r="EN210" s="1233"/>
      <c r="EO210" s="860"/>
      <c r="EP210" s="860"/>
      <c r="EQ210" s="860"/>
      <c r="ER210" s="1232"/>
      <c r="ES210" s="860"/>
      <c r="ET210" s="860"/>
      <c r="EU210" s="860"/>
      <c r="EV210" s="860"/>
      <c r="EW210" s="1232"/>
      <c r="EX210" s="1233"/>
      <c r="EY210" s="860"/>
      <c r="EZ210" s="860"/>
      <c r="FA210" s="860"/>
      <c r="FB210" s="1754"/>
      <c r="FC210" s="1233"/>
      <c r="FD210" s="860"/>
      <c r="FE210" s="860"/>
      <c r="FF210" s="860"/>
      <c r="FG210" s="860"/>
      <c r="FH210" s="860"/>
      <c r="FI210" s="860"/>
      <c r="FJ210" s="860"/>
      <c r="FK210" s="860"/>
      <c r="FL210" s="860"/>
      <c r="FM210" s="860"/>
      <c r="FN210" s="860"/>
      <c r="FO210" s="860"/>
      <c r="FP210" s="860"/>
      <c r="FQ210" s="860"/>
      <c r="FR210" s="860"/>
      <c r="FS210" s="860"/>
      <c r="FT210" s="860"/>
      <c r="FU210" s="860"/>
      <c r="FV210" s="860"/>
      <c r="FW210" s="860"/>
      <c r="FX210" s="860"/>
      <c r="FY210" s="860"/>
      <c r="FZ210" s="860"/>
      <c r="GA210" s="860"/>
      <c r="GB210" s="860"/>
      <c r="GC210" s="860"/>
      <c r="GD210" s="860"/>
      <c r="GE210" s="860"/>
      <c r="GF210" s="860"/>
      <c r="GG210" s="860"/>
      <c r="GH210" s="860"/>
      <c r="GI210" s="860"/>
      <c r="GJ210" s="860"/>
      <c r="GK210" s="860"/>
      <c r="GL210" s="860"/>
      <c r="GM210" s="860"/>
      <c r="GN210" s="860"/>
      <c r="GO210" s="860"/>
      <c r="GP210" s="860"/>
      <c r="GQ210" s="860"/>
      <c r="GR210" s="1286"/>
      <c r="GS210" s="1218"/>
      <c r="GT210" s="1286"/>
      <c r="GU210" s="1218"/>
      <c r="GV210" s="1286"/>
      <c r="GW210" s="1218"/>
      <c r="GX210" s="1218"/>
      <c r="GY210" s="1286"/>
      <c r="GZ210" s="1218"/>
      <c r="HA210" s="1218"/>
      <c r="HB210" s="1286"/>
      <c r="HC210" s="1218"/>
      <c r="HD210" s="2000"/>
      <c r="HE210" s="1286"/>
      <c r="HF210" s="1218"/>
      <c r="HG210" s="2000"/>
      <c r="HH210" s="1286"/>
      <c r="HI210" s="1286"/>
      <c r="HJ210" s="1218"/>
      <c r="HK210" s="2000"/>
      <c r="HL210" s="1286"/>
      <c r="HM210" s="1218"/>
      <c r="HN210" s="2000"/>
      <c r="HO210" s="1286"/>
      <c r="HP210" s="1218"/>
      <c r="HQ210" s="2000"/>
      <c r="HR210" s="1286"/>
    </row>
    <row r="211" spans="1:226" hidden="1">
      <c r="A211" s="1316" t="s">
        <v>808</v>
      </c>
      <c r="B211" s="1233"/>
      <c r="C211" s="860"/>
      <c r="D211" s="860"/>
      <c r="E211" s="860"/>
      <c r="F211" s="1232"/>
      <c r="G211" s="1332">
        <f>G209-G210</f>
        <v>32.981117716171795</v>
      </c>
      <c r="H211" s="1285">
        <f>H209-H210</f>
        <v>31.021921872891866</v>
      </c>
      <c r="I211" s="1285">
        <f>I209-I210</f>
        <v>44.432730640607417</v>
      </c>
      <c r="J211" s="1285">
        <f>J209-J210</f>
        <v>56.911786341881253</v>
      </c>
      <c r="K211" s="1333"/>
      <c r="L211" s="1332">
        <f>L209-L210</f>
        <v>38.516326217105401</v>
      </c>
      <c r="M211" s="1285">
        <f>M209-M210</f>
        <v>44.614000522980859</v>
      </c>
      <c r="N211" s="1285">
        <f>N209-N210</f>
        <v>44.981093026432816</v>
      </c>
      <c r="O211" s="1285">
        <f>O209-O210</f>
        <v>62.136967927571959</v>
      </c>
      <c r="P211" s="1232"/>
      <c r="Q211" s="1332">
        <f>Q209-Q210</f>
        <v>43.129006193130266</v>
      </c>
      <c r="R211" s="1285">
        <f>R209-R210</f>
        <v>45.61346734452853</v>
      </c>
      <c r="S211" s="1285">
        <f>S209-S210</f>
        <v>44.374012694191634</v>
      </c>
      <c r="T211" s="1285">
        <f>T209-T210</f>
        <v>39.569230769230771</v>
      </c>
      <c r="U211" s="1333"/>
      <c r="V211" s="1332">
        <f>V209-V210</f>
        <v>41.603250188964466</v>
      </c>
      <c r="W211" s="1285">
        <f>W209-W210</f>
        <v>53.459411538461552</v>
      </c>
      <c r="X211" s="1285">
        <f>X209-X210</f>
        <v>37.526359558355523</v>
      </c>
      <c r="Y211" s="1285">
        <f>Y209-Y210</f>
        <v>45.812949640287769</v>
      </c>
      <c r="Z211" s="1333">
        <f>Content!H59</f>
        <v>178.26093163035313</v>
      </c>
      <c r="AA211" s="1332">
        <f>AA209-AA210</f>
        <v>40.124832214765107</v>
      </c>
      <c r="AB211" s="1285">
        <f>AB209-AB210</f>
        <v>44.477806788511757</v>
      </c>
      <c r="AC211" s="1285">
        <f>AC209-AC210</f>
        <v>44.889051094890505</v>
      </c>
      <c r="AD211" s="1285">
        <f>AD209-AD210</f>
        <v>45.91625227410546</v>
      </c>
      <c r="AE211" s="1333">
        <f>Content!I59</f>
        <v>174.1899810964083</v>
      </c>
      <c r="AF211" s="1332">
        <f>AF209-AF210</f>
        <v>38.540686915117931</v>
      </c>
      <c r="AG211" s="1285">
        <f>AG209-AG210</f>
        <v>45.447191011235944</v>
      </c>
      <c r="AH211" s="1285">
        <f>AH209-AH210</f>
        <v>33.844136460554353</v>
      </c>
      <c r="AI211" s="1285">
        <f>AI209-AI210</f>
        <v>43.106297229219166</v>
      </c>
      <c r="AJ211" s="1333">
        <f>Content!J59</f>
        <v>156.25941644562334</v>
      </c>
      <c r="AK211" s="1332">
        <f>AK209-AK210</f>
        <v>31.843349753694568</v>
      </c>
      <c r="AL211" s="1285">
        <f>AL209-AL210</f>
        <v>42.531266846361163</v>
      </c>
      <c r="AM211" s="1285">
        <f>AM209-AM210</f>
        <v>40.142634438124389</v>
      </c>
      <c r="AN211" s="1285">
        <f>AN209-AN210</f>
        <v>60.231068983675627</v>
      </c>
      <c r="AO211" s="1333">
        <f>Content!K59</f>
        <v>173.93068783068787</v>
      </c>
      <c r="AP211" s="1332">
        <f>AP209-AP210</f>
        <v>35.158491894474224</v>
      </c>
      <c r="AQ211" s="1285">
        <f>AQ209-AQ210</f>
        <v>40.618331616889805</v>
      </c>
      <c r="AR211" s="1285">
        <f>AR209-AR210</f>
        <v>32.600633579725439</v>
      </c>
      <c r="AS211" s="1285">
        <f>AS209-AS210</f>
        <v>54.010050251256246</v>
      </c>
      <c r="AT211" s="1333">
        <f>Content!L59</f>
        <v>162.94545454545448</v>
      </c>
      <c r="AU211" s="1332">
        <f>AU209-AU210</f>
        <v>30.991741341266035</v>
      </c>
      <c r="AV211" s="1285">
        <f>AV209-AV210</f>
        <v>29.845316588173745</v>
      </c>
      <c r="AW211" s="1285">
        <f>AW209-AW210</f>
        <v>35.547422680412367</v>
      </c>
      <c r="AX211" s="1285">
        <f>AX209-AX210</f>
        <v>65.764935064935074</v>
      </c>
      <c r="AY211" s="1333"/>
      <c r="AZ211" s="1332">
        <f>AZ209-AZ210</f>
        <v>40.419108184224086</v>
      </c>
      <c r="BA211" s="1285">
        <f>BA209-BA210</f>
        <v>23.990369072537277</v>
      </c>
      <c r="BB211" s="1285">
        <f>BB209-BB210</f>
        <v>22.8001512911205</v>
      </c>
      <c r="BC211" s="1285">
        <f>BC209-BC210</f>
        <v>62.275900462648707</v>
      </c>
      <c r="BD211" s="1333"/>
      <c r="BE211" s="1332">
        <f>BE209-BE210</f>
        <v>36.064436820689195</v>
      </c>
      <c r="BF211" s="1285">
        <f>BF209-BF210</f>
        <v>32.613650704901573</v>
      </c>
      <c r="BG211" s="1285">
        <f>BG209-BG210</f>
        <v>37.15924002075333</v>
      </c>
      <c r="BH211" s="1285">
        <f>BH209-BH210</f>
        <v>37.65707719204903</v>
      </c>
      <c r="BI211" s="1333"/>
      <c r="BJ211" s="1332">
        <f>BJ209-BJ210</f>
        <v>0</v>
      </c>
      <c r="BK211" s="1285">
        <f>BK209-BK210</f>
        <v>0</v>
      </c>
      <c r="BL211" s="1285">
        <f>BL209-BL210</f>
        <v>0</v>
      </c>
      <c r="BM211" s="1285">
        <f>BM209-BM210</f>
        <v>0</v>
      </c>
      <c r="BN211" s="1333"/>
      <c r="BO211" s="1332">
        <f>BO209-BO210</f>
        <v>0</v>
      </c>
      <c r="BP211" s="1285">
        <f>BP209-BP210</f>
        <v>0</v>
      </c>
      <c r="BQ211" s="1285">
        <f>BQ209-BQ210</f>
        <v>0</v>
      </c>
      <c r="BR211" s="1285">
        <f>BR209-BR210</f>
        <v>0</v>
      </c>
      <c r="BS211" s="1333"/>
      <c r="BT211" s="1332">
        <f>BT209-BT210</f>
        <v>0</v>
      </c>
      <c r="BU211" s="1285">
        <f>BU209-BU210</f>
        <v>0</v>
      </c>
      <c r="BV211" s="1285">
        <f>BV209-BV210</f>
        <v>0</v>
      </c>
      <c r="BW211" s="1285">
        <f>BW209-BW210</f>
        <v>0</v>
      </c>
      <c r="BX211" s="1333"/>
      <c r="BY211" s="1332">
        <f>BY209-BY210</f>
        <v>0</v>
      </c>
      <c r="BZ211" s="1285">
        <f>BZ209-BZ210</f>
        <v>0</v>
      </c>
      <c r="CA211" s="1285">
        <f>CA209-CA210</f>
        <v>0</v>
      </c>
      <c r="CB211" s="1779">
        <f>CB209-CB210</f>
        <v>0</v>
      </c>
      <c r="CC211" s="1771"/>
      <c r="CD211" s="1332">
        <f>CD209-CD210</f>
        <v>0</v>
      </c>
      <c r="CE211" s="1285"/>
      <c r="CF211" s="1285"/>
      <c r="CG211" s="1285"/>
      <c r="CH211" s="1771"/>
      <c r="CI211" s="1285"/>
      <c r="CJ211" s="860"/>
      <c r="CK211" s="1242">
        <f t="shared" si="254"/>
        <v>0.16782962143879976</v>
      </c>
      <c r="CL211" s="1162">
        <f t="shared" si="254"/>
        <v>0.43814431310157698</v>
      </c>
      <c r="CM211" s="1162">
        <f t="shared" si="254"/>
        <v>1.2341406389375642E-2</v>
      </c>
      <c r="CN211" s="1162">
        <f t="shared" si="254"/>
        <v>9.1811941278769904E-2</v>
      </c>
      <c r="CO211" s="1232"/>
      <c r="CP211" s="1242">
        <f t="shared" si="255"/>
        <v>0.11975908475861696</v>
      </c>
      <c r="CQ211" s="1162">
        <f t="shared" si="255"/>
        <v>2.2402537540493483E-2</v>
      </c>
      <c r="CR211" s="1162">
        <f t="shared" si="255"/>
        <v>-1.3496344606042321E-2</v>
      </c>
      <c r="CS211" s="1162">
        <f t="shared" si="255"/>
        <v>-0.36319340822433721</v>
      </c>
      <c r="CT211" s="1232"/>
      <c r="CU211" s="1242">
        <f t="shared" si="256"/>
        <v>-3.537656298718117E-2</v>
      </c>
      <c r="CV211" s="1162">
        <f t="shared" si="256"/>
        <v>0.17200937904305502</v>
      </c>
      <c r="CW211" s="1162">
        <f t="shared" si="256"/>
        <v>-0.15431674351894797</v>
      </c>
      <c r="CX211" s="1162">
        <f t="shared" si="256"/>
        <v>0.15779227317990085</v>
      </c>
      <c r="CY211" s="1232"/>
      <c r="CZ211" s="1242">
        <f t="shared" si="257"/>
        <v>-3.5536117189986283E-2</v>
      </c>
      <c r="DA211" s="1162">
        <f t="shared" si="257"/>
        <v>-0.16800792398337472</v>
      </c>
      <c r="DB211" s="1162">
        <f t="shared" si="257"/>
        <v>0.19620052739423333</v>
      </c>
      <c r="DC211" s="1162">
        <f t="shared" si="257"/>
        <v>2.2548784705809233E-3</v>
      </c>
      <c r="DD211" s="1232"/>
      <c r="DE211" s="1242">
        <f t="shared" si="258"/>
        <v>-3.9480421778916308E-2</v>
      </c>
      <c r="DF211" s="1162">
        <f t="shared" si="258"/>
        <v>2.1794784696411051E-2</v>
      </c>
      <c r="DG211" s="1162">
        <f t="shared" si="258"/>
        <v>-0.24604918938893183</v>
      </c>
      <c r="DH211" s="1162">
        <f t="shared" si="258"/>
        <v>-6.1197395382178721E-2</v>
      </c>
      <c r="DI211" s="1232"/>
      <c r="DJ211" s="1239">
        <f t="shared" si="259"/>
        <v>-0.17377316538684395</v>
      </c>
      <c r="DK211" s="1217">
        <f t="shared" si="259"/>
        <v>-6.4160712686376464E-2</v>
      </c>
      <c r="DL211" s="1217">
        <f t="shared" si="259"/>
        <v>0.18610307829573358</v>
      </c>
      <c r="DM211" s="1217">
        <f t="shared" si="259"/>
        <v>0.39726844696019503</v>
      </c>
      <c r="DN211" s="1232"/>
      <c r="DO211" s="1233"/>
      <c r="DP211" s="860"/>
      <c r="DQ211" s="860"/>
      <c r="DR211" s="860"/>
      <c r="DS211" s="1232"/>
      <c r="DT211" s="1233"/>
      <c r="DU211" s="860"/>
      <c r="DV211" s="860"/>
      <c r="DW211" s="860"/>
      <c r="DX211" s="1232"/>
      <c r="DY211" s="1233"/>
      <c r="DZ211" s="860"/>
      <c r="EA211" s="860"/>
      <c r="EB211" s="860"/>
      <c r="EC211" s="1232"/>
      <c r="ED211" s="860"/>
      <c r="EE211" s="860"/>
      <c r="EF211" s="860"/>
      <c r="EG211" s="860"/>
      <c r="EH211" s="860"/>
      <c r="EI211" s="1233"/>
      <c r="EJ211" s="860"/>
      <c r="EK211" s="860"/>
      <c r="EL211" s="860"/>
      <c r="EM211" s="1232"/>
      <c r="EN211" s="1233"/>
      <c r="EO211" s="860"/>
      <c r="EP211" s="860"/>
      <c r="EQ211" s="860"/>
      <c r="ER211" s="1232"/>
      <c r="ES211" s="860"/>
      <c r="ET211" s="860"/>
      <c r="EU211" s="860"/>
      <c r="EV211" s="860"/>
      <c r="EW211" s="1232"/>
      <c r="EX211" s="1233"/>
      <c r="EY211" s="860"/>
      <c r="EZ211" s="860"/>
      <c r="FA211" s="860"/>
      <c r="FB211" s="1754"/>
      <c r="FC211" s="1233"/>
      <c r="FD211" s="860"/>
      <c r="FE211" s="860"/>
      <c r="FF211" s="860"/>
      <c r="FG211" s="860"/>
      <c r="FH211" s="860"/>
      <c r="FI211" s="860"/>
      <c r="FJ211" s="860"/>
      <c r="FK211" s="860"/>
      <c r="FL211" s="860"/>
      <c r="FM211" s="860"/>
      <c r="FN211" s="860"/>
      <c r="FO211" s="860"/>
      <c r="FP211" s="860"/>
      <c r="FQ211" s="860"/>
      <c r="FR211" s="860"/>
      <c r="FS211" s="860"/>
      <c r="FT211" s="860"/>
      <c r="FU211" s="860"/>
      <c r="FV211" s="860"/>
      <c r="FW211" s="860"/>
      <c r="FX211" s="860"/>
      <c r="FY211" s="860"/>
      <c r="FZ211" s="860"/>
      <c r="GA211" s="860"/>
      <c r="GB211" s="860"/>
      <c r="GC211" s="860"/>
      <c r="GD211" s="860"/>
      <c r="GE211" s="860"/>
      <c r="GF211" s="860"/>
      <c r="GG211" s="860"/>
      <c r="GH211" s="860"/>
      <c r="GI211" s="860"/>
      <c r="GJ211" s="860"/>
      <c r="GK211" s="860"/>
      <c r="GL211" s="860"/>
      <c r="GM211" s="860"/>
      <c r="GN211" s="860"/>
      <c r="GO211" s="860"/>
      <c r="GP211" s="860"/>
      <c r="GQ211" s="860"/>
      <c r="GR211" s="1286">
        <v>0</v>
      </c>
      <c r="GS211" s="1218"/>
      <c r="GT211" s="1286">
        <v>0</v>
      </c>
      <c r="GU211" s="1218"/>
      <c r="GV211" s="1286">
        <v>0</v>
      </c>
      <c r="GW211" s="1218"/>
      <c r="GX211" s="1218"/>
      <c r="GY211" s="1286">
        <v>0</v>
      </c>
      <c r="GZ211" s="1218"/>
      <c r="HA211" s="1218"/>
      <c r="HB211" s="1286">
        <v>0</v>
      </c>
      <c r="HC211" s="1218"/>
      <c r="HD211" s="2000"/>
      <c r="HE211" s="1286">
        <v>0</v>
      </c>
      <c r="HF211" s="1218"/>
      <c r="HG211" s="2000"/>
      <c r="HH211" s="1286"/>
      <c r="HI211" s="1286">
        <v>0</v>
      </c>
      <c r="HJ211" s="1218"/>
      <c r="HK211" s="2000"/>
      <c r="HL211" s="1286">
        <v>0</v>
      </c>
      <c r="HM211" s="1218"/>
      <c r="HN211" s="2000"/>
      <c r="HO211" s="1286">
        <v>0</v>
      </c>
      <c r="HP211" s="1218"/>
      <c r="HQ211" s="2000"/>
      <c r="HR211" s="1286">
        <v>0</v>
      </c>
    </row>
    <row r="212" spans="1:226" hidden="1">
      <c r="A212" s="1275" t="s">
        <v>809</v>
      </c>
      <c r="B212" s="1233"/>
      <c r="C212" s="860"/>
      <c r="D212" s="860"/>
      <c r="E212" s="860"/>
      <c r="F212" s="1232"/>
      <c r="G212" s="1332"/>
      <c r="H212" s="1285"/>
      <c r="I212" s="1285"/>
      <c r="J212" s="1285"/>
      <c r="K212" s="1333"/>
      <c r="L212" s="1326">
        <f>L8+L206*G199+L209*G199</f>
        <v>6333.2132967759298</v>
      </c>
      <c r="M212" s="1274">
        <f>M8+M206*H199+M209*H199</f>
        <v>7539.7857220880542</v>
      </c>
      <c r="N212" s="1274">
        <f>N8+N206*I199+N209*I199</f>
        <v>8208.0965939938997</v>
      </c>
      <c r="O212" s="1274">
        <f>O8+O206/2*J199+O206/2*O199+O209*J199</f>
        <v>10332.359358999513</v>
      </c>
      <c r="P212" s="1327"/>
      <c r="Q212" s="1326">
        <f>Q8+(Q206*L199*0.35+Q206*Q199*0.65)+Q210*L199+(Q211*L199*0.5+Q211*Q199*0.5)</f>
        <v>6382.952762333749</v>
      </c>
      <c r="R212" s="1274">
        <f>R8+(R206*M199*0.35+R206*R199*0.65)+R210*M199+(R211*M199*0.5+R211*R199*0.5)</f>
        <v>8367.0671660905282</v>
      </c>
      <c r="S212" s="1274">
        <f>S8+(S206*N199*0.35+S206*S199*0.65)+S210*N199+(S211*N199*0.5+S211*S199*0.5)</f>
        <v>8823.5250033132761</v>
      </c>
      <c r="T212" s="1274">
        <f>T8+(T206*O199*0.35+T206*T199*0.65)+T210*O199+(T211*O199*0.5+T211*T199*0.5)</f>
        <v>10430.497966235431</v>
      </c>
      <c r="U212" s="1327"/>
      <c r="V212" s="1326">
        <f>V8+(V206*Q199*0.35+V206*V199*0.65)+V210*Q199+(V211*Q199*0.5+V211*V199*0.5)</f>
        <v>6580.9294333951602</v>
      </c>
      <c r="W212" s="1274">
        <f>W8+(W206*R199*0.35+W206*W199*0.65)+W210*R199+(W211*R199*0.5+W211*W199*0.5)</f>
        <v>8656.1345357209502</v>
      </c>
      <c r="X212" s="1274">
        <f>X8+(X206*S199*0.35+X206*X199*0.65)+X210*S199+(X211*S199*0.5+X211*X199*0.5)</f>
        <v>8347.0015292059961</v>
      </c>
      <c r="Y212" s="1274">
        <f>Y8+(Y206*T199*0.35+Y206*Y199*0.65)+Y210*T199+(Y211*T199*0.5+Y211*Y199*0.5)</f>
        <v>11021.403093525179</v>
      </c>
      <c r="Z212" s="1261"/>
      <c r="AA212" s="1326">
        <f>AA8+(AA206*V199*0.35+AA206*AA199*0.65)+AA210*V199+(AA211*V199*0.5+AA211*AA199*0.5)</f>
        <v>6845.7060402684565</v>
      </c>
      <c r="AB212" s="1274">
        <f>AB8+(AB206*W199*0.35+AB206*AB199*0.65)+AB210*W199+(AB211*W199*0.5+AB211*AB199*0.5)</f>
        <v>7652.1362140992169</v>
      </c>
      <c r="AC212" s="1274">
        <f>AC8+(AC206*X199*0.35+AC206*AC199*0.65)+AC210*X199+(AC211*X199*0.5+AC211*AC199*0.5)</f>
        <v>8187.8130345072996</v>
      </c>
      <c r="AD212" s="1274">
        <f>AD8+(AD206*Y199*0.35+AD206*AD199*0.65)+AD210*Y199+(AD211*Y199*0.5+AD211*AD199*0.5)</f>
        <v>10439.48681958763</v>
      </c>
      <c r="AE212" s="1261"/>
      <c r="AF212" s="1326">
        <f>AF8+(AF206*AA199*0.35+AF206*AF199*0.65)+AF210*AA199+(AF211*AA199*0.5+AF211*AF199*0.5)</f>
        <v>7179.1128250405982</v>
      </c>
      <c r="AG212" s="1274">
        <f>AG8+(AG206*AB199*0.35+AG206*AG199*0.65)+AG210*AB199+(AG211*AB199*0.5+AG211*AG199*0.5)</f>
        <v>8473.9682022471916</v>
      </c>
      <c r="AH212" s="1274">
        <f>AH8+(AH206*AC199*0.35+AH206*AH199*0.65)+AH210*AC199+(AH211*AC199*0.5+AH211*AH199*0.5)</f>
        <v>8400.4241449893379</v>
      </c>
      <c r="AI212" s="1274">
        <f>AI8+(AI206*AD199*0.35+AI206*AI199*0.65)+AI210*AD199+(AI211*AD199*0.5+AI211*AI199*0.5)</f>
        <v>11253.109319899246</v>
      </c>
      <c r="AJ212" s="1261"/>
      <c r="AK212" s="1326">
        <f>AK8+(AK206*AF199*0.35+AK206*AK199*0.65)+AK210*AF199+(AK211*AF199*0.5+AK211*AK199*0.5)</f>
        <v>7049.1479568954155</v>
      </c>
      <c r="AL212" s="1274">
        <f>AL8+(AL206*AG199*0.35+AL206*AL199*0.65)+AL210*AG199+(AL211*AG199*0.5+AL211*AL199*0.5)</f>
        <v>7985.2083221024268</v>
      </c>
      <c r="AM212" s="1274">
        <f>AM8+(AM206*AH199*0.35+AM206*AM199*0.65)+AM210*AH199+(AM211*AH199*0.5+AM211*AM199*0.5)</f>
        <v>8136.9283408222909</v>
      </c>
      <c r="AN212" s="1274">
        <f>AN8+(AN206*AI199*0.35+AN206*AN199*0.65)+AN210*AI199+(AN211*AI199*0.5+AN211*AN199*0.5)</f>
        <v>10717.617707214324</v>
      </c>
      <c r="AO212" s="1261"/>
      <c r="AP212" s="1326">
        <f>AP8+(AP206*AJ199*0.35+AP206*AP199*0.65)+AP210*AJ199+(AP211*AJ199*0.5+AP211*AP199*0.5)</f>
        <v>5368.4235796153844</v>
      </c>
      <c r="AQ212" s="1274">
        <f>AQ8+(AQ206*AK199*0.35+AQ206*AQ199*0.65)+AQ210*AK199+(AQ211*AK199*0.5+AQ211*AQ199*0.5)</f>
        <v>9375.1046797116378</v>
      </c>
      <c r="AR212" s="1274">
        <f>AR8+(AR206*AL199*0.35+AR206*AR199*0.65)+AR210*AL199+(AR211*AL199*0.5+AR211*AR199*0.5)</f>
        <v>8647.0544730728616</v>
      </c>
      <c r="AS212" s="1274">
        <f>AS8+(AS206*AM199*0.35+AS206*AS199*0.65)+AS210*AM199+(AS211*AM199*0.5+AS211*AS199*0.5)</f>
        <v>10357.650597974491</v>
      </c>
      <c r="AT212" s="1261"/>
      <c r="AU212" s="1242"/>
      <c r="AV212" s="1162"/>
      <c r="AW212" s="1162"/>
      <c r="AX212" s="1162"/>
      <c r="AY212" s="1261"/>
      <c r="AZ212" s="1242"/>
      <c r="BA212" s="1162"/>
      <c r="BB212" s="1162"/>
      <c r="BC212" s="1162"/>
      <c r="BD212" s="1261"/>
      <c r="BE212" s="1242"/>
      <c r="BF212" s="1162"/>
      <c r="BG212" s="1162"/>
      <c r="BH212" s="1162"/>
      <c r="BI212" s="1261"/>
      <c r="BJ212" s="1242"/>
      <c r="BK212" s="1162"/>
      <c r="BL212" s="1162"/>
      <c r="BM212" s="1162"/>
      <c r="BN212" s="1261"/>
      <c r="BO212" s="1242"/>
      <c r="BP212" s="1162"/>
      <c r="BQ212" s="1162"/>
      <c r="BR212" s="1162"/>
      <c r="BS212" s="1261"/>
      <c r="BT212" s="1242"/>
      <c r="BU212" s="1162"/>
      <c r="BV212" s="1162"/>
      <c r="BW212" s="1162"/>
      <c r="BX212" s="1261"/>
      <c r="BY212" s="1242"/>
      <c r="BZ212" s="1162"/>
      <c r="CA212" s="1162"/>
      <c r="CB212" s="1756"/>
      <c r="CC212" s="1757"/>
      <c r="CD212" s="1242"/>
      <c r="CE212" s="1162"/>
      <c r="CF212" s="1162"/>
      <c r="CG212" s="1162"/>
      <c r="CH212" s="1757"/>
      <c r="CI212" s="1162"/>
      <c r="CJ212" s="860"/>
      <c r="CK212" s="1242"/>
      <c r="CL212" s="1162"/>
      <c r="CM212" s="1162"/>
      <c r="CN212" s="1162"/>
      <c r="CO212" s="1232"/>
      <c r="CP212" s="1233"/>
      <c r="CQ212" s="860"/>
      <c r="CR212" s="860"/>
      <c r="CS212" s="860"/>
      <c r="CT212" s="1232"/>
      <c r="CU212" s="1233"/>
      <c r="CV212" s="860"/>
      <c r="CW212" s="860"/>
      <c r="CX212" s="860"/>
      <c r="CY212" s="1232"/>
      <c r="CZ212" s="1233"/>
      <c r="DA212" s="860"/>
      <c r="DB212" s="860"/>
      <c r="DC212" s="860"/>
      <c r="DD212" s="1232"/>
      <c r="DE212" s="1233"/>
      <c r="DF212" s="860"/>
      <c r="DG212" s="860"/>
      <c r="DH212" s="860"/>
      <c r="DI212" s="1232"/>
      <c r="DJ212" s="1233"/>
      <c r="DK212" s="860"/>
      <c r="DL212" s="860"/>
      <c r="DM212" s="860"/>
      <c r="DN212" s="1232"/>
      <c r="DO212" s="1233"/>
      <c r="DP212" s="860"/>
      <c r="DQ212" s="860"/>
      <c r="DR212" s="1217">
        <f>(AS210+10)/AN210-1</f>
        <v>0.24365482233502544</v>
      </c>
      <c r="DS212" s="1232"/>
      <c r="DT212" s="1233"/>
      <c r="DU212" s="860"/>
      <c r="DV212" s="860"/>
      <c r="DW212" s="860"/>
      <c r="DX212" s="1232"/>
      <c r="DY212" s="1233"/>
      <c r="DZ212" s="860"/>
      <c r="EA212" s="860"/>
      <c r="EB212" s="860"/>
      <c r="EC212" s="1232"/>
      <c r="ED212" s="860"/>
      <c r="EE212" s="860"/>
      <c r="EF212" s="860"/>
      <c r="EG212" s="860"/>
      <c r="EH212" s="860"/>
      <c r="EI212" s="1233"/>
      <c r="EJ212" s="860"/>
      <c r="EK212" s="860"/>
      <c r="EL212" s="860"/>
      <c r="EM212" s="1232"/>
      <c r="EN212" s="1233"/>
      <c r="EO212" s="860"/>
      <c r="EP212" s="860"/>
      <c r="EQ212" s="860"/>
      <c r="ER212" s="1232"/>
      <c r="ES212" s="860"/>
      <c r="ET212" s="860"/>
      <c r="EU212" s="860"/>
      <c r="EV212" s="860"/>
      <c r="EW212" s="1232"/>
      <c r="EX212" s="1233"/>
      <c r="EY212" s="860"/>
      <c r="EZ212" s="860"/>
      <c r="FA212" s="860"/>
      <c r="FB212" s="1754"/>
      <c r="FC212" s="1233"/>
      <c r="FD212" s="860"/>
      <c r="FE212" s="860"/>
      <c r="FF212" s="860"/>
      <c r="FG212" s="860"/>
      <c r="FH212" s="860"/>
      <c r="FI212" s="860"/>
      <c r="FJ212" s="860"/>
      <c r="FK212" s="860"/>
      <c r="FL212" s="860"/>
      <c r="FM212" s="860"/>
      <c r="FN212" s="860"/>
      <c r="FO212" s="860"/>
      <c r="FP212" s="860"/>
      <c r="FQ212" s="860"/>
      <c r="FR212" s="860"/>
      <c r="FS212" s="860"/>
      <c r="FT212" s="860"/>
      <c r="FU212" s="860"/>
      <c r="FV212" s="860"/>
      <c r="FW212" s="860"/>
      <c r="FX212" s="860"/>
      <c r="FY212" s="860"/>
      <c r="FZ212" s="860"/>
      <c r="GA212" s="860"/>
      <c r="GB212" s="860"/>
      <c r="GC212" s="860"/>
      <c r="GD212" s="860"/>
      <c r="GE212" s="860"/>
      <c r="GF212" s="860"/>
      <c r="GG212" s="860"/>
      <c r="GH212" s="860"/>
      <c r="GI212" s="860"/>
      <c r="GJ212" s="860"/>
      <c r="GK212" s="860"/>
      <c r="GL212" s="860"/>
      <c r="GM212" s="860"/>
      <c r="GN212" s="860"/>
      <c r="GO212" s="860"/>
      <c r="GP212" s="860"/>
      <c r="GQ212" s="860"/>
      <c r="GR212" s="1241"/>
      <c r="GS212" s="1218"/>
      <c r="GT212" s="1241"/>
      <c r="GU212" s="1218"/>
      <c r="GV212" s="1241"/>
      <c r="GW212" s="1218"/>
      <c r="GX212" s="1218"/>
      <c r="GY212" s="1241"/>
      <c r="GZ212" s="1218"/>
      <c r="HA212" s="1218"/>
      <c r="HB212" s="1241"/>
      <c r="HC212" s="1218"/>
      <c r="HD212" s="2000"/>
      <c r="HE212" s="1241"/>
      <c r="HF212" s="1218"/>
      <c r="HG212" s="2000"/>
      <c r="HH212" s="1241"/>
      <c r="HI212" s="1241"/>
      <c r="HJ212" s="1218"/>
      <c r="HK212" s="2000"/>
      <c r="HL212" s="1241"/>
      <c r="HM212" s="1218"/>
      <c r="HN212" s="2000"/>
      <c r="HO212" s="1241"/>
      <c r="HP212" s="1218"/>
      <c r="HQ212" s="2000"/>
      <c r="HR212" s="1241"/>
    </row>
    <row r="213" spans="1:226" hidden="1">
      <c r="A213" s="1275" t="s">
        <v>192</v>
      </c>
      <c r="B213" s="1233"/>
      <c r="C213" s="860"/>
      <c r="D213" s="860"/>
      <c r="E213" s="860"/>
      <c r="F213" s="1232"/>
      <c r="G213" s="1332"/>
      <c r="H213" s="1285"/>
      <c r="I213" s="1285"/>
      <c r="J213" s="1285"/>
      <c r="K213" s="1333"/>
      <c r="L213" s="1239">
        <f>L212/G7-1</f>
        <v>0.11177271952531043</v>
      </c>
      <c r="M213" s="1217">
        <f>M212/H7-1</f>
        <v>3.9511625501579273E-2</v>
      </c>
      <c r="N213" s="1217">
        <f>N212/I7-1</f>
        <v>2.6358470232941134E-2</v>
      </c>
      <c r="O213" s="1217">
        <f>O212/J7-1</f>
        <v>6.0969683424672239E-2</v>
      </c>
      <c r="P213" s="1232"/>
      <c r="Q213" s="1239">
        <f>Q212/L7-1</f>
        <v>-1.3469225771819859E-2</v>
      </c>
      <c r="R213" s="1217">
        <f>R212/M7-1</f>
        <v>6.6493380336315466E-2</v>
      </c>
      <c r="S213" s="1217">
        <f>S212/N7-1</f>
        <v>5.6734892250506208E-2</v>
      </c>
      <c r="T213" s="1217">
        <f>T212/O7-1</f>
        <v>2.0726507895860502E-2</v>
      </c>
      <c r="U213" s="1276"/>
      <c r="V213" s="1239">
        <f>V212/Q7-1</f>
        <v>3.6693357497662227E-2</v>
      </c>
      <c r="W213" s="1217">
        <f>W212/R7-1</f>
        <v>5.0285079015366829E-2</v>
      </c>
      <c r="X213" s="1217">
        <f>X212/S7-1</f>
        <v>-5.0829937547646531E-2</v>
      </c>
      <c r="Y213" s="1217">
        <f>Y212/T7-1</f>
        <v>5.6013633826956344E-2</v>
      </c>
      <c r="Z213" s="1261"/>
      <c r="AA213" s="1239">
        <f>AA212/V7-1</f>
        <v>3.0700418601652624E-2</v>
      </c>
      <c r="AB213" s="1217">
        <f>AB212/W7-1</f>
        <v>-0.12283085527630844</v>
      </c>
      <c r="AC213" s="1217">
        <f>AC212/X7-1</f>
        <v>-2.2097029011781899E-2</v>
      </c>
      <c r="AD213" s="1217">
        <f>AD212/Y7-1</f>
        <v>-6.2023862101059257E-2</v>
      </c>
      <c r="AE213" s="1261"/>
      <c r="AF213" s="1242"/>
      <c r="AG213" s="1162"/>
      <c r="AH213" s="1162"/>
      <c r="AI213" s="1162"/>
      <c r="AJ213" s="1261"/>
      <c r="AK213" s="1242"/>
      <c r="AL213" s="1162"/>
      <c r="AM213" s="1162"/>
      <c r="AN213" s="1162"/>
      <c r="AO213" s="1261"/>
      <c r="AP213" s="1242"/>
      <c r="AQ213" s="1162"/>
      <c r="AR213" s="1162"/>
      <c r="AS213" s="1162"/>
      <c r="AT213" s="1261"/>
      <c r="AU213" s="1242"/>
      <c r="AV213" s="1162"/>
      <c r="AW213" s="1162"/>
      <c r="AX213" s="1162"/>
      <c r="AY213" s="1261"/>
      <c r="AZ213" s="1242"/>
      <c r="BA213" s="1162"/>
      <c r="BB213" s="1162"/>
      <c r="BC213" s="1162"/>
      <c r="BD213" s="1261"/>
      <c r="BE213" s="1242"/>
      <c r="BF213" s="1162"/>
      <c r="BG213" s="1162"/>
      <c r="BH213" s="1162"/>
      <c r="BI213" s="1261"/>
      <c r="BJ213" s="1242"/>
      <c r="BK213" s="1162"/>
      <c r="BL213" s="1162"/>
      <c r="BM213" s="1162"/>
      <c r="BN213" s="1261"/>
      <c r="BO213" s="1242"/>
      <c r="BP213" s="1162"/>
      <c r="BQ213" s="1162"/>
      <c r="BR213" s="1162"/>
      <c r="BS213" s="1261"/>
      <c r="BT213" s="1242"/>
      <c r="BU213" s="1162"/>
      <c r="BV213" s="1162"/>
      <c r="BW213" s="1162"/>
      <c r="BX213" s="1261"/>
      <c r="BY213" s="1242"/>
      <c r="BZ213" s="1162"/>
      <c r="CA213" s="1162"/>
      <c r="CB213" s="1756"/>
      <c r="CC213" s="1757"/>
      <c r="CD213" s="1242"/>
      <c r="CE213" s="1162"/>
      <c r="CF213" s="1162"/>
      <c r="CG213" s="1162"/>
      <c r="CH213" s="1757"/>
      <c r="CI213" s="1162"/>
      <c r="CJ213" s="860"/>
      <c r="CK213" s="1242"/>
      <c r="CL213" s="1162"/>
      <c r="CM213" s="1162"/>
      <c r="CN213" s="1162"/>
      <c r="CO213" s="1232"/>
      <c r="CP213" s="1233"/>
      <c r="CQ213" s="860"/>
      <c r="CR213" s="860"/>
      <c r="CS213" s="860"/>
      <c r="CT213" s="1232"/>
      <c r="CU213" s="1233"/>
      <c r="CV213" s="860"/>
      <c r="CW213" s="860"/>
      <c r="CX213" s="860"/>
      <c r="CY213" s="1232"/>
      <c r="CZ213" s="1233"/>
      <c r="DA213" s="860"/>
      <c r="DB213" s="860"/>
      <c r="DC213" s="860"/>
      <c r="DD213" s="1232"/>
      <c r="DE213" s="1233"/>
      <c r="DF213" s="860"/>
      <c r="DG213" s="860"/>
      <c r="DH213" s="860"/>
      <c r="DI213" s="1232"/>
      <c r="DJ213" s="1233"/>
      <c r="DK213" s="860"/>
      <c r="DL213" s="860"/>
      <c r="DM213" s="860"/>
      <c r="DN213" s="1232"/>
      <c r="DO213" s="1239">
        <f>DO210-36%</f>
        <v>-4.4573002754820901E-2</v>
      </c>
      <c r="DP213" s="1217">
        <f>DP210-36%</f>
        <v>-0.10725274725274747</v>
      </c>
      <c r="DQ213" s="1217">
        <f>DQ210-36%</f>
        <v>-0.14908188585607929</v>
      </c>
      <c r="DR213" s="1796">
        <f>DR212-36%</f>
        <v>-0.11634517766497454</v>
      </c>
      <c r="DS213" s="1232"/>
      <c r="DT213" s="1233"/>
      <c r="DU213" s="860"/>
      <c r="DV213" s="860"/>
      <c r="DW213" s="860"/>
      <c r="DX213" s="1232"/>
      <c r="DY213" s="1233"/>
      <c r="DZ213" s="860"/>
      <c r="EA213" s="860"/>
      <c r="EB213" s="860"/>
      <c r="EC213" s="1232"/>
      <c r="ED213" s="860"/>
      <c r="EE213" s="860"/>
      <c r="EF213" s="860"/>
      <c r="EG213" s="860"/>
      <c r="EH213" s="860"/>
      <c r="EI213" s="1233"/>
      <c r="EJ213" s="860"/>
      <c r="EK213" s="860"/>
      <c r="EL213" s="860"/>
      <c r="EM213" s="1232"/>
      <c r="EN213" s="1233"/>
      <c r="EO213" s="860"/>
      <c r="EP213" s="860"/>
      <c r="EQ213" s="860"/>
      <c r="ER213" s="1232"/>
      <c r="ES213" s="860"/>
      <c r="ET213" s="860"/>
      <c r="EU213" s="860"/>
      <c r="EV213" s="860"/>
      <c r="EW213" s="1232"/>
      <c r="EX213" s="1233"/>
      <c r="EY213" s="860"/>
      <c r="EZ213" s="860"/>
      <c r="FA213" s="860"/>
      <c r="FB213" s="1754"/>
      <c r="FC213" s="1233"/>
      <c r="FD213" s="860"/>
      <c r="FE213" s="860"/>
      <c r="FF213" s="860"/>
      <c r="FG213" s="860"/>
      <c r="FH213" s="860"/>
      <c r="FI213" s="860"/>
      <c r="FJ213" s="860"/>
      <c r="FK213" s="860"/>
      <c r="FL213" s="860"/>
      <c r="FM213" s="860"/>
      <c r="FN213" s="860"/>
      <c r="FO213" s="860"/>
      <c r="FP213" s="860"/>
      <c r="FQ213" s="860"/>
      <c r="FR213" s="860"/>
      <c r="FS213" s="860"/>
      <c r="FT213" s="860"/>
      <c r="FU213" s="860"/>
      <c r="FV213" s="860"/>
      <c r="FW213" s="860"/>
      <c r="FX213" s="860"/>
      <c r="FY213" s="860"/>
      <c r="FZ213" s="860"/>
      <c r="GA213" s="860"/>
      <c r="GB213" s="860"/>
      <c r="GC213" s="860"/>
      <c r="GD213" s="860"/>
      <c r="GE213" s="860"/>
      <c r="GF213" s="860"/>
      <c r="GG213" s="860"/>
      <c r="GH213" s="860"/>
      <c r="GI213" s="860"/>
      <c r="GJ213" s="860"/>
      <c r="GK213" s="860"/>
      <c r="GL213" s="860"/>
      <c r="GM213" s="860"/>
      <c r="GN213" s="860"/>
      <c r="GO213" s="860"/>
      <c r="GP213" s="860"/>
      <c r="GQ213" s="860"/>
      <c r="GR213" s="1241"/>
      <c r="GS213" s="1218"/>
      <c r="GT213" s="1241"/>
      <c r="GU213" s="1218"/>
      <c r="GV213" s="1241"/>
      <c r="GW213" s="1218"/>
      <c r="GX213" s="1218"/>
      <c r="GY213" s="1241"/>
      <c r="GZ213" s="1218"/>
      <c r="HA213" s="1218"/>
      <c r="HB213" s="1241"/>
      <c r="HC213" s="1218"/>
      <c r="HD213" s="2000"/>
      <c r="HE213" s="1241"/>
      <c r="HF213" s="1218"/>
      <c r="HG213" s="2000"/>
      <c r="HH213" s="1241"/>
      <c r="HI213" s="1241"/>
      <c r="HJ213" s="1218"/>
      <c r="HK213" s="2000"/>
      <c r="HL213" s="1241"/>
      <c r="HM213" s="1218"/>
      <c r="HN213" s="2000"/>
      <c r="HO213" s="1241"/>
      <c r="HP213" s="1218"/>
      <c r="HQ213" s="2000"/>
      <c r="HR213" s="1241"/>
    </row>
    <row r="214" spans="1:226" hidden="1">
      <c r="A214" s="1275" t="s">
        <v>222</v>
      </c>
      <c r="B214" s="1233"/>
      <c r="C214" s="860"/>
      <c r="D214" s="860"/>
      <c r="E214" s="860"/>
      <c r="F214" s="1232"/>
      <c r="G214" s="1332"/>
      <c r="H214" s="1285"/>
      <c r="I214" s="1285"/>
      <c r="J214" s="1285"/>
      <c r="K214" s="1333"/>
      <c r="L214" s="1239">
        <f>(L21-L7+L212)/G21-1</f>
        <v>0.13789154949967664</v>
      </c>
      <c r="M214" s="1217">
        <f>(M21-M7+M212)/H21-1</f>
        <v>0.10263893387334511</v>
      </c>
      <c r="N214" s="1217">
        <f>(N21-N7+N212)/I21-1</f>
        <v>7.8447495473667583E-2</v>
      </c>
      <c r="O214" s="1217">
        <f>(O21-O7+O212)/J21-1</f>
        <v>8.820236263643455E-2</v>
      </c>
      <c r="P214" s="1232"/>
      <c r="Q214" s="1239">
        <f>(Q21-Q7+Q212)/L21-1</f>
        <v>2.6242875205108485E-2</v>
      </c>
      <c r="R214" s="1217">
        <f>(R21-R7+R212)/M21-1</f>
        <v>7.1036350292074113E-2</v>
      </c>
      <c r="S214" s="1217">
        <f>(S21-S7+S212)/N21-1</f>
        <v>8.2680397713569276E-2</v>
      </c>
      <c r="T214" s="1217">
        <f>(T21-T7+T212)/O21-1</f>
        <v>8.3233445306829967E-2</v>
      </c>
      <c r="U214" s="1276"/>
      <c r="V214" s="1239">
        <f>(V21-V7+V212)/Q21-1</f>
        <v>8.6583852042937171E-2</v>
      </c>
      <c r="W214" s="1217">
        <f>(W21-W7+W212)/R21-1</f>
        <v>7.3625347260209084E-2</v>
      </c>
      <c r="X214" s="1217">
        <f>(X21-X7+X212)/S21-1</f>
        <v>4.9128423832202728E-2</v>
      </c>
      <c r="Y214" s="1217">
        <f>(Y21-Y7+Y212)/T21-1</f>
        <v>0.11501352656998276</v>
      </c>
      <c r="Z214" s="1261"/>
      <c r="AA214" s="1239">
        <f>(AA21-AA7+AA212)/V21-1</f>
        <v>0.16308827938244264</v>
      </c>
      <c r="AB214" s="1217">
        <f>(AB21-AB7+AB212)/W21-1</f>
        <v>6.4347624576032603E-2</v>
      </c>
      <c r="AC214" s="1217">
        <f>(AC21-AC7+AC212)/X21-1</f>
        <v>0.10692580314290434</v>
      </c>
      <c r="AD214" s="1217">
        <f>(AD21-AD7+AD212)/Y21-1</f>
        <v>2.5223003829435431E-2</v>
      </c>
      <c r="AE214" s="1261"/>
      <c r="AF214" s="1239">
        <f>(AF21-AF7+AF212)/AA21-1</f>
        <v>7.725877040799789E-2</v>
      </c>
      <c r="AG214" s="1217"/>
      <c r="AH214" s="1285">
        <f>AH210/Univision!H133</f>
        <v>679.26112510495386</v>
      </c>
      <c r="AI214" s="1285"/>
      <c r="AJ214" s="1261"/>
      <c r="AK214" s="1242"/>
      <c r="AL214" s="1162"/>
      <c r="AM214" s="1162"/>
      <c r="AN214" s="1162"/>
      <c r="AO214" s="1261"/>
      <c r="AP214" s="1242"/>
      <c r="AQ214" s="1162"/>
      <c r="AR214" s="1162"/>
      <c r="AS214" s="1162"/>
      <c r="AT214" s="1261"/>
      <c r="AU214" s="1332">
        <f>AU210*AU199</f>
        <v>1689.6433125000003</v>
      </c>
      <c r="AV214" s="1285">
        <f>AV210*AV199</f>
        <v>1903.3559999999998</v>
      </c>
      <c r="AW214" s="1285">
        <f>AW210*AW199</f>
        <v>1943.8799999999999</v>
      </c>
      <c r="AX214" s="1285">
        <f>AX210*AX199</f>
        <v>1950.0249999999999</v>
      </c>
      <c r="AY214" s="1261"/>
      <c r="AZ214" s="1242"/>
      <c r="BA214" s="1162"/>
      <c r="BB214" s="1162"/>
      <c r="BC214" s="1162"/>
      <c r="BD214" s="1261"/>
      <c r="BE214" s="1242"/>
      <c r="BF214" s="1162"/>
      <c r="BG214" s="1162"/>
      <c r="BH214" s="1162"/>
      <c r="BI214" s="1261"/>
      <c r="BJ214" s="1242"/>
      <c r="BK214" s="1162"/>
      <c r="BL214" s="1162"/>
      <c r="BM214" s="1162"/>
      <c r="BN214" s="1261"/>
      <c r="BO214" s="1242"/>
      <c r="BP214" s="1162"/>
      <c r="BQ214" s="1162"/>
      <c r="BR214" s="1162"/>
      <c r="BS214" s="1261"/>
      <c r="BT214" s="1242"/>
      <c r="BU214" s="1162"/>
      <c r="BV214" s="1162"/>
      <c r="BW214" s="1162"/>
      <c r="BX214" s="1261"/>
      <c r="BY214" s="1242"/>
      <c r="BZ214" s="1162"/>
      <c r="CA214" s="1162"/>
      <c r="CB214" s="1756"/>
      <c r="CC214" s="1757"/>
      <c r="CD214" s="1242"/>
      <c r="CE214" s="1162"/>
      <c r="CF214" s="1162"/>
      <c r="CG214" s="1162"/>
      <c r="CH214" s="1757"/>
      <c r="CI214" s="1162"/>
      <c r="CJ214" s="1162"/>
      <c r="CK214" s="1242"/>
      <c r="CL214" s="1162"/>
      <c r="CM214" s="1162"/>
      <c r="CN214" s="1162"/>
      <c r="CO214" s="1232"/>
      <c r="CP214" s="1233"/>
      <c r="CQ214" s="860"/>
      <c r="CR214" s="860"/>
      <c r="CS214" s="860"/>
      <c r="CT214" s="1232"/>
      <c r="CU214" s="1233"/>
      <c r="CV214" s="860"/>
      <c r="CW214" s="860"/>
      <c r="CX214" s="860"/>
      <c r="CY214" s="1232"/>
      <c r="CZ214" s="1233"/>
      <c r="DA214" s="860"/>
      <c r="DB214" s="860"/>
      <c r="DC214" s="860"/>
      <c r="DD214" s="1232"/>
      <c r="DE214" s="1233"/>
      <c r="DF214" s="860"/>
      <c r="DG214" s="860"/>
      <c r="DH214" s="860"/>
      <c r="DI214" s="1232"/>
      <c r="DJ214" s="1233"/>
      <c r="DK214" s="860"/>
      <c r="DL214" s="860"/>
      <c r="DM214" s="860"/>
      <c r="DN214" s="1232"/>
      <c r="DO214" s="1233"/>
      <c r="DP214" s="860"/>
      <c r="DQ214" s="860"/>
      <c r="DR214" s="860"/>
      <c r="DS214" s="1232"/>
      <c r="DT214" s="1233"/>
      <c r="DU214" s="860"/>
      <c r="DV214" s="860"/>
      <c r="DW214" s="860"/>
      <c r="DX214" s="1232"/>
      <c r="DY214" s="1233"/>
      <c r="DZ214" s="860"/>
      <c r="EA214" s="860"/>
      <c r="EB214" s="860"/>
      <c r="EC214" s="1232"/>
      <c r="ED214" s="860"/>
      <c r="EE214" s="860"/>
      <c r="EF214" s="860"/>
      <c r="EG214" s="860"/>
      <c r="EH214" s="860"/>
      <c r="EI214" s="1233"/>
      <c r="EJ214" s="860"/>
      <c r="EK214" s="860"/>
      <c r="EL214" s="860"/>
      <c r="EM214" s="1232"/>
      <c r="EN214" s="1233"/>
      <c r="EO214" s="860"/>
      <c r="EP214" s="860"/>
      <c r="EQ214" s="860"/>
      <c r="ER214" s="1232"/>
      <c r="ES214" s="860"/>
      <c r="ET214" s="860"/>
      <c r="EU214" s="860"/>
      <c r="EV214" s="860"/>
      <c r="EW214" s="1232"/>
      <c r="EX214" s="1233"/>
      <c r="EY214" s="860"/>
      <c r="EZ214" s="860"/>
      <c r="FA214" s="860"/>
      <c r="FB214" s="1754"/>
      <c r="FC214" s="1233"/>
      <c r="FD214" s="860"/>
      <c r="FE214" s="860"/>
      <c r="FF214" s="860"/>
      <c r="FG214" s="860"/>
      <c r="FH214" s="860"/>
      <c r="FI214" s="860"/>
      <c r="FJ214" s="860"/>
      <c r="FK214" s="860"/>
      <c r="FL214" s="860"/>
      <c r="FM214" s="860"/>
      <c r="FN214" s="860"/>
      <c r="FO214" s="860"/>
      <c r="FP214" s="860"/>
      <c r="FQ214" s="860"/>
      <c r="FR214" s="860"/>
      <c r="FS214" s="860"/>
      <c r="FT214" s="860"/>
      <c r="FU214" s="860"/>
      <c r="FV214" s="860"/>
      <c r="FW214" s="860"/>
      <c r="FX214" s="860"/>
      <c r="FY214" s="860"/>
      <c r="FZ214" s="860"/>
      <c r="GA214" s="860"/>
      <c r="GB214" s="860"/>
      <c r="GC214" s="860"/>
      <c r="GD214" s="860"/>
      <c r="GE214" s="860"/>
      <c r="GF214" s="860"/>
      <c r="GG214" s="860"/>
      <c r="GH214" s="860"/>
      <c r="GI214" s="860"/>
      <c r="GJ214" s="860"/>
      <c r="GK214" s="860"/>
      <c r="GL214" s="860"/>
      <c r="GM214" s="860"/>
      <c r="GN214" s="860"/>
      <c r="GO214" s="860"/>
      <c r="GP214" s="860"/>
      <c r="GQ214" s="860"/>
      <c r="GR214" s="1241"/>
      <c r="GS214" s="1218"/>
      <c r="GT214" s="1241"/>
      <c r="GU214" s="1218"/>
      <c r="GV214" s="1241"/>
      <c r="GW214" s="1218"/>
      <c r="GX214" s="1218"/>
      <c r="GY214" s="1241"/>
      <c r="GZ214" s="1218"/>
      <c r="HA214" s="1218"/>
      <c r="HB214" s="1241"/>
      <c r="HC214" s="1218"/>
      <c r="HD214" s="2000"/>
      <c r="HE214" s="1241"/>
      <c r="HF214" s="1218"/>
      <c r="HG214" s="2000"/>
      <c r="HH214" s="1241"/>
      <c r="HI214" s="1241"/>
      <c r="HJ214" s="1218"/>
      <c r="HK214" s="2000"/>
      <c r="HL214" s="1241"/>
      <c r="HM214" s="1218"/>
      <c r="HN214" s="2000"/>
      <c r="HO214" s="1241"/>
      <c r="HP214" s="1218"/>
      <c r="HQ214" s="2000"/>
      <c r="HR214" s="1241"/>
    </row>
    <row r="215" spans="1:226" hidden="1">
      <c r="A215" s="1275"/>
      <c r="B215" s="1233"/>
      <c r="C215" s="860"/>
      <c r="D215" s="860"/>
      <c r="E215" s="860"/>
      <c r="F215" s="1232"/>
      <c r="G215" s="1332"/>
      <c r="H215" s="1285"/>
      <c r="I215" s="1285"/>
      <c r="J215" s="1285"/>
      <c r="K215" s="1333"/>
      <c r="L215" s="1239"/>
      <c r="M215" s="1217"/>
      <c r="N215" s="1217"/>
      <c r="O215" s="1217"/>
      <c r="P215" s="1232"/>
      <c r="Q215" s="1233"/>
      <c r="R215" s="860"/>
      <c r="S215" s="860"/>
      <c r="T215" s="860"/>
      <c r="U215" s="1232"/>
      <c r="V215" s="1233"/>
      <c r="W215" s="860"/>
      <c r="X215" s="860"/>
      <c r="Y215" s="860"/>
      <c r="Z215" s="1261"/>
      <c r="AA215" s="1242"/>
      <c r="AB215" s="1162"/>
      <c r="AC215" s="1162"/>
      <c r="AD215" s="1274">
        <f>SUM(AA211:AD211)</f>
        <v>175.40794237227283</v>
      </c>
      <c r="AE215" s="1327">
        <f>AD215-20</f>
        <v>155.40794237227283</v>
      </c>
      <c r="AF215" s="1242"/>
      <c r="AG215" s="1162"/>
      <c r="AH215" s="1162"/>
      <c r="AI215" s="1162"/>
      <c r="AJ215" s="1261"/>
      <c r="AK215" s="1242"/>
      <c r="AL215" s="1162"/>
      <c r="AM215" s="1162"/>
      <c r="AN215" s="1162"/>
      <c r="AO215" s="1261"/>
      <c r="AP215" s="1242"/>
      <c r="AQ215" s="1162"/>
      <c r="AR215" s="1162"/>
      <c r="AS215" s="1162"/>
      <c r="AT215" s="1261"/>
      <c r="AU215" s="1242"/>
      <c r="AV215" s="1162"/>
      <c r="AW215" s="1162"/>
      <c r="AX215" s="1162">
        <f>SUM(AU214:AX214)/SUM(AU7:AX7)</f>
        <v>0.21354060125553326</v>
      </c>
      <c r="AY215" s="1261"/>
      <c r="AZ215" s="1242"/>
      <c r="BA215" s="1162"/>
      <c r="BB215" s="1162"/>
      <c r="BC215" s="1162"/>
      <c r="BD215" s="1261"/>
      <c r="BE215" s="1242"/>
      <c r="BF215" s="1162"/>
      <c r="BG215" s="1162"/>
      <c r="BH215" s="1162"/>
      <c r="BI215" s="1261"/>
      <c r="BJ215" s="1242"/>
      <c r="BK215" s="1162"/>
      <c r="BL215" s="1162"/>
      <c r="BM215" s="1162"/>
      <c r="BN215" s="1261"/>
      <c r="BO215" s="1242"/>
      <c r="BP215" s="1162"/>
      <c r="BQ215" s="1162"/>
      <c r="BR215" s="1162"/>
      <c r="BS215" s="1261"/>
      <c r="BT215" s="1242"/>
      <c r="BU215" s="1162"/>
      <c r="BV215" s="1162"/>
      <c r="BW215" s="1162"/>
      <c r="BX215" s="1261"/>
      <c r="BY215" s="1242"/>
      <c r="BZ215" s="1162"/>
      <c r="CA215" s="1162"/>
      <c r="CB215" s="1756"/>
      <c r="CC215" s="1757"/>
      <c r="CD215" s="1242"/>
      <c r="CE215" s="1162"/>
      <c r="CF215" s="1162"/>
      <c r="CG215" s="1162"/>
      <c r="CH215" s="1757"/>
      <c r="CI215" s="1162"/>
      <c r="CJ215" s="1162"/>
      <c r="CK215" s="1242"/>
      <c r="CL215" s="1162"/>
      <c r="CM215" s="1162"/>
      <c r="CN215" s="1162"/>
      <c r="CO215" s="1232"/>
      <c r="CP215" s="1233"/>
      <c r="CQ215" s="860"/>
      <c r="CR215" s="860"/>
      <c r="CS215" s="860"/>
      <c r="CT215" s="1232"/>
      <c r="CU215" s="1233"/>
      <c r="CV215" s="860"/>
      <c r="CW215" s="860"/>
      <c r="CX215" s="860"/>
      <c r="CY215" s="1232"/>
      <c r="CZ215" s="1233"/>
      <c r="DA215" s="860"/>
      <c r="DB215" s="860"/>
      <c r="DC215" s="860"/>
      <c r="DD215" s="1232"/>
      <c r="DE215" s="1233"/>
      <c r="DF215" s="860"/>
      <c r="DG215" s="860"/>
      <c r="DH215" s="860"/>
      <c r="DI215" s="1232"/>
      <c r="DJ215" s="1233"/>
      <c r="DK215" s="860"/>
      <c r="DL215" s="860"/>
      <c r="DM215" s="860"/>
      <c r="DN215" s="1232"/>
      <c r="DO215" s="1233"/>
      <c r="DP215" s="860"/>
      <c r="DQ215" s="860"/>
      <c r="DR215" s="860"/>
      <c r="DS215" s="1232"/>
      <c r="DT215" s="1233"/>
      <c r="DU215" s="860"/>
      <c r="DV215" s="860"/>
      <c r="DW215" s="860"/>
      <c r="DX215" s="1232"/>
      <c r="DY215" s="1233"/>
      <c r="DZ215" s="860"/>
      <c r="EA215" s="860"/>
      <c r="EB215" s="860"/>
      <c r="EC215" s="1232"/>
      <c r="ED215" s="860"/>
      <c r="EE215" s="860"/>
      <c r="EF215" s="860"/>
      <c r="EG215" s="860"/>
      <c r="EH215" s="860"/>
      <c r="EI215" s="1233"/>
      <c r="EJ215" s="860"/>
      <c r="EK215" s="860"/>
      <c r="EL215" s="860"/>
      <c r="EM215" s="1232"/>
      <c r="EN215" s="1233"/>
      <c r="EO215" s="860"/>
      <c r="EP215" s="860"/>
      <c r="EQ215" s="860"/>
      <c r="ER215" s="1232"/>
      <c r="ES215" s="860"/>
      <c r="ET215" s="860"/>
      <c r="EU215" s="860"/>
      <c r="EV215" s="860"/>
      <c r="EW215" s="1232"/>
      <c r="EX215" s="1233"/>
      <c r="EY215" s="860"/>
      <c r="EZ215" s="860"/>
      <c r="FA215" s="860"/>
      <c r="FB215" s="1754"/>
      <c r="FC215" s="1233"/>
      <c r="FD215" s="860"/>
      <c r="FE215" s="860"/>
      <c r="FF215" s="860"/>
      <c r="FG215" s="860"/>
      <c r="FH215" s="860"/>
      <c r="FI215" s="860"/>
      <c r="FJ215" s="860"/>
      <c r="FK215" s="860"/>
      <c r="FL215" s="860"/>
      <c r="FM215" s="860"/>
      <c r="FN215" s="860"/>
      <c r="FO215" s="860"/>
      <c r="FP215" s="860"/>
      <c r="FQ215" s="860"/>
      <c r="FR215" s="860"/>
      <c r="FS215" s="860"/>
      <c r="FT215" s="860"/>
      <c r="FU215" s="860"/>
      <c r="FV215" s="860"/>
      <c r="FW215" s="860"/>
      <c r="FX215" s="860"/>
      <c r="FY215" s="860"/>
      <c r="FZ215" s="860"/>
      <c r="GA215" s="860"/>
      <c r="GB215" s="860"/>
      <c r="GC215" s="860"/>
      <c r="GD215" s="860"/>
      <c r="GE215" s="860"/>
      <c r="GF215" s="860"/>
      <c r="GG215" s="860"/>
      <c r="GH215" s="860"/>
      <c r="GI215" s="860"/>
      <c r="GJ215" s="860"/>
      <c r="GK215" s="860"/>
      <c r="GL215" s="860"/>
      <c r="GM215" s="860"/>
      <c r="GN215" s="860"/>
      <c r="GO215" s="860"/>
      <c r="GP215" s="860"/>
      <c r="GQ215" s="860"/>
      <c r="GR215" s="1241"/>
      <c r="GS215" s="1218"/>
      <c r="GT215" s="1241"/>
      <c r="GU215" s="1218"/>
      <c r="GV215" s="1241"/>
      <c r="GW215" s="1218"/>
      <c r="GX215" s="1218"/>
      <c r="GY215" s="1241"/>
      <c r="GZ215" s="1218"/>
      <c r="HA215" s="1218"/>
      <c r="HB215" s="1241"/>
      <c r="HC215" s="1218"/>
      <c r="HD215" s="2000"/>
      <c r="HE215" s="1241"/>
      <c r="HF215" s="1218"/>
      <c r="HG215" s="2000"/>
      <c r="HH215" s="1241"/>
      <c r="HI215" s="1241"/>
      <c r="HJ215" s="1218"/>
      <c r="HK215" s="2000"/>
      <c r="HL215" s="1241"/>
      <c r="HM215" s="1218"/>
      <c r="HN215" s="2000"/>
      <c r="HO215" s="1241"/>
      <c r="HP215" s="1218"/>
      <c r="HQ215" s="2000"/>
      <c r="HR215" s="1241"/>
    </row>
    <row r="216" spans="1:226" hidden="1">
      <c r="A216" s="1275" t="s">
        <v>810</v>
      </c>
      <c r="B216" s="1233"/>
      <c r="C216" s="860"/>
      <c r="D216" s="860"/>
      <c r="E216" s="860"/>
      <c r="F216" s="1232"/>
      <c r="G216" s="1332">
        <f>0.119*Univision!G218*0.9</f>
        <v>51.60078</v>
      </c>
      <c r="H216" s="1285">
        <f>0.119*Univision!H218*0.9</f>
        <v>63.231840000000012</v>
      </c>
      <c r="I216" s="1285">
        <f>0.119*Univision!I218*0.9</f>
        <v>62.61066000000001</v>
      </c>
      <c r="J216" s="1285">
        <f>0.119*Univision!J218*0.9</f>
        <v>66.048569999999984</v>
      </c>
      <c r="K216" s="1333"/>
      <c r="L216" s="1332">
        <f>0.119*Univision!K218*0.865</f>
        <v>54.390853999999997</v>
      </c>
      <c r="M216" s="1285">
        <f>0.119*Univision!L218*0.865</f>
        <v>63.099155000000017</v>
      </c>
      <c r="N216" s="1285">
        <f>0.119*Univision!M218*0.865</f>
        <v>64.735821499999986</v>
      </c>
      <c r="O216" s="1285">
        <f>0.119*Univision!N218*0.865</f>
        <v>69.141439500000004</v>
      </c>
      <c r="P216" s="1232"/>
      <c r="Q216" s="1332">
        <f>0.119*Univision!O218*0.865</f>
        <v>57.849469999999997</v>
      </c>
      <c r="R216" s="1285">
        <f>0.119*Univision!P218*0.865</f>
        <v>69.635527499999995</v>
      </c>
      <c r="S216" s="1285">
        <f>0.119*Univision!Q218*0.865</f>
        <v>71.3236615</v>
      </c>
      <c r="T216" s="1285">
        <f>0.119*Univision!R218*0.865</f>
        <v>71.663346999999987</v>
      </c>
      <c r="U216" s="1333"/>
      <c r="V216" s="1332">
        <f>0.119*Univision!S218*0.865</f>
        <v>63.932928499999989</v>
      </c>
      <c r="W216" s="1285">
        <f>0.119*Univision!AH218*0.865</f>
        <v>77.7673925</v>
      </c>
      <c r="X216" s="1285"/>
      <c r="Y216" s="1285"/>
      <c r="Z216" s="1261"/>
      <c r="AA216" s="1242"/>
      <c r="AB216" s="1162"/>
      <c r="AC216" s="1162"/>
      <c r="AD216" s="860"/>
      <c r="AE216" s="1261">
        <f>AE215/4</f>
        <v>38.851985593068207</v>
      </c>
      <c r="AF216" s="1242"/>
      <c r="AG216" s="1162"/>
      <c r="AH216" s="1162"/>
      <c r="AI216" s="1162"/>
      <c r="AJ216" s="1261"/>
      <c r="AK216" s="1242"/>
      <c r="AL216" s="1162"/>
      <c r="AM216" s="1162"/>
      <c r="AN216" s="1162"/>
      <c r="AO216" s="1261"/>
      <c r="AP216" s="1242"/>
      <c r="AQ216" s="1162"/>
      <c r="AR216" s="1162"/>
      <c r="AS216" s="1162"/>
      <c r="AT216" s="1261"/>
      <c r="AU216" s="1242"/>
      <c r="AV216" s="1162"/>
      <c r="AW216" s="1162"/>
      <c r="AX216" s="1162">
        <f>SUM(AU214:AX214)/SUM(AU29:AX29)</f>
        <v>0.58250700717347825</v>
      </c>
      <c r="AY216" s="1261"/>
      <c r="AZ216" s="1242"/>
      <c r="BA216" s="1162"/>
      <c r="BB216" s="1162"/>
      <c r="BC216" s="1162"/>
      <c r="BD216" s="1261"/>
      <c r="BE216" s="1242"/>
      <c r="BF216" s="1162"/>
      <c r="BG216" s="1162"/>
      <c r="BH216" s="1162"/>
      <c r="BI216" s="1261"/>
      <c r="BJ216" s="1242"/>
      <c r="BK216" s="1162"/>
      <c r="BL216" s="1162"/>
      <c r="BM216" s="1162"/>
      <c r="BN216" s="1261"/>
      <c r="BO216" s="1242"/>
      <c r="BP216" s="1162"/>
      <c r="BQ216" s="1162"/>
      <c r="BR216" s="1162"/>
      <c r="BS216" s="1261"/>
      <c r="BT216" s="1242"/>
      <c r="BU216" s="1162"/>
      <c r="BV216" s="1162"/>
      <c r="BW216" s="1162"/>
      <c r="BX216" s="1261"/>
      <c r="BY216" s="1242"/>
      <c r="BZ216" s="1162"/>
      <c r="CA216" s="1162"/>
      <c r="CB216" s="1756"/>
      <c r="CC216" s="1757"/>
      <c r="CD216" s="1242"/>
      <c r="CE216" s="1162"/>
      <c r="CF216" s="1162"/>
      <c r="CG216" s="1162"/>
      <c r="CH216" s="1757"/>
      <c r="CI216" s="1162"/>
      <c r="CJ216" s="1162"/>
      <c r="CK216" s="1242">
        <f>L216/G216-1</f>
        <v>5.4070384207370426E-2</v>
      </c>
      <c r="CL216" s="1162">
        <f>M216/H216-1</f>
        <v>-2.0983890394459248E-3</v>
      </c>
      <c r="CM216" s="1162">
        <f>N216/I216-1</f>
        <v>3.3942486790587756E-2</v>
      </c>
      <c r="CN216" s="1162">
        <f>O216/J216-1</f>
        <v>4.6827198529809433E-2</v>
      </c>
      <c r="CO216" s="1232"/>
      <c r="CP216" s="1233"/>
      <c r="CQ216" s="860"/>
      <c r="CR216" s="860"/>
      <c r="CS216" s="860"/>
      <c r="CT216" s="1232"/>
      <c r="CU216" s="1233"/>
      <c r="CV216" s="860"/>
      <c r="CW216" s="860"/>
      <c r="CX216" s="860"/>
      <c r="CY216" s="1232"/>
      <c r="CZ216" s="1233"/>
      <c r="DA216" s="860"/>
      <c r="DB216" s="860"/>
      <c r="DC216" s="860"/>
      <c r="DD216" s="1232"/>
      <c r="DE216" s="1233"/>
      <c r="DF216" s="860"/>
      <c r="DG216" s="860"/>
      <c r="DH216" s="860"/>
      <c r="DI216" s="1232"/>
      <c r="DJ216" s="1233"/>
      <c r="DK216" s="860"/>
      <c r="DL216" s="860"/>
      <c r="DM216" s="860"/>
      <c r="DN216" s="1232"/>
      <c r="DO216" s="1233"/>
      <c r="DP216" s="860"/>
      <c r="DQ216" s="860"/>
      <c r="DR216" s="860"/>
      <c r="DS216" s="1232"/>
      <c r="DT216" s="1233"/>
      <c r="DU216" s="860"/>
      <c r="DV216" s="860"/>
      <c r="DW216" s="860"/>
      <c r="DX216" s="1232"/>
      <c r="DY216" s="1233"/>
      <c r="DZ216" s="860"/>
      <c r="EA216" s="860"/>
      <c r="EB216" s="860"/>
      <c r="EC216" s="1232"/>
      <c r="ED216" s="860"/>
      <c r="EE216" s="860"/>
      <c r="EF216" s="860"/>
      <c r="EG216" s="860"/>
      <c r="EH216" s="860"/>
      <c r="EI216" s="1233"/>
      <c r="EJ216" s="860"/>
      <c r="EK216" s="860"/>
      <c r="EL216" s="860"/>
      <c r="EM216" s="1232"/>
      <c r="EN216" s="1233"/>
      <c r="EO216" s="860"/>
      <c r="EP216" s="860"/>
      <c r="EQ216" s="860"/>
      <c r="ER216" s="1232"/>
      <c r="ES216" s="860"/>
      <c r="ET216" s="860"/>
      <c r="EU216" s="860"/>
      <c r="EV216" s="860"/>
      <c r="EW216" s="1232"/>
      <c r="EX216" s="1233"/>
      <c r="EY216" s="860"/>
      <c r="EZ216" s="860"/>
      <c r="FA216" s="860"/>
      <c r="FB216" s="1754"/>
      <c r="FC216" s="1233"/>
      <c r="FD216" s="860"/>
      <c r="FE216" s="860"/>
      <c r="FF216" s="860"/>
      <c r="FG216" s="860"/>
      <c r="FH216" s="860"/>
      <c r="FI216" s="860"/>
      <c r="FJ216" s="860"/>
      <c r="FK216" s="860"/>
      <c r="FL216" s="860"/>
      <c r="FM216" s="860"/>
      <c r="FN216" s="860"/>
      <c r="FO216" s="860"/>
      <c r="FP216" s="860"/>
      <c r="FQ216" s="860"/>
      <c r="FR216" s="860"/>
      <c r="FS216" s="860"/>
      <c r="FT216" s="860"/>
      <c r="FU216" s="860"/>
      <c r="FV216" s="860"/>
      <c r="FW216" s="860"/>
      <c r="FX216" s="860"/>
      <c r="FY216" s="860"/>
      <c r="FZ216" s="860"/>
      <c r="GA216" s="860"/>
      <c r="GB216" s="860"/>
      <c r="GC216" s="860"/>
      <c r="GD216" s="860"/>
      <c r="GE216" s="860"/>
      <c r="GF216" s="860"/>
      <c r="GG216" s="860"/>
      <c r="GH216" s="860"/>
      <c r="GI216" s="860"/>
      <c r="GJ216" s="860"/>
      <c r="GK216" s="860"/>
      <c r="GL216" s="860"/>
      <c r="GM216" s="860"/>
      <c r="GN216" s="860"/>
      <c r="GO216" s="860"/>
      <c r="GP216" s="860"/>
      <c r="GQ216" s="860"/>
      <c r="GR216" s="1241"/>
      <c r="GS216" s="1218"/>
      <c r="GT216" s="1241"/>
      <c r="GU216" s="1218"/>
      <c r="GV216" s="1241"/>
      <c r="GW216" s="1218"/>
      <c r="GX216" s="1218"/>
      <c r="GY216" s="1241"/>
      <c r="GZ216" s="1218"/>
      <c r="HA216" s="1218"/>
      <c r="HB216" s="1241"/>
      <c r="HC216" s="1218"/>
      <c r="HD216" s="2000"/>
      <c r="HE216" s="1241"/>
      <c r="HF216" s="1218"/>
      <c r="HG216" s="2000"/>
      <c r="HH216" s="1241"/>
      <c r="HI216" s="1241"/>
      <c r="HJ216" s="1218"/>
      <c r="HK216" s="2000"/>
      <c r="HL216" s="1241"/>
      <c r="HM216" s="1218"/>
      <c r="HN216" s="2000"/>
      <c r="HO216" s="1241"/>
      <c r="HP216" s="1218"/>
      <c r="HQ216" s="2000"/>
      <c r="HR216" s="1241"/>
    </row>
    <row r="217" spans="1:226" hidden="1">
      <c r="A217" s="860"/>
      <c r="B217" s="1233"/>
      <c r="C217" s="860"/>
      <c r="D217" s="860"/>
      <c r="E217" s="860"/>
      <c r="F217" s="1232"/>
      <c r="G217" s="1233"/>
      <c r="H217" s="860"/>
      <c r="I217" s="860"/>
      <c r="J217" s="860"/>
      <c r="K217" s="1232"/>
      <c r="L217" s="1233"/>
      <c r="M217" s="860"/>
      <c r="N217" s="860"/>
      <c r="O217" s="860"/>
      <c r="P217" s="1232"/>
      <c r="Q217" s="1233"/>
      <c r="R217" s="860"/>
      <c r="S217" s="860"/>
      <c r="T217" s="860"/>
      <c r="U217" s="1232"/>
      <c r="V217" s="1233"/>
      <c r="W217" s="860"/>
      <c r="X217" s="860"/>
      <c r="Y217" s="860"/>
      <c r="Z217" s="1261"/>
      <c r="AA217" s="1242"/>
      <c r="AB217" s="1162"/>
      <c r="AC217" s="1162"/>
      <c r="AD217" s="1162"/>
      <c r="AE217" s="1261"/>
      <c r="AF217" s="1242"/>
      <c r="AG217" s="1162"/>
      <c r="AH217" s="1162"/>
      <c r="AI217" s="1162"/>
      <c r="AJ217" s="1261"/>
      <c r="AK217" s="1242"/>
      <c r="AL217" s="1162"/>
      <c r="AM217" s="1162"/>
      <c r="AN217" s="1162"/>
      <c r="AO217" s="1261"/>
      <c r="AP217" s="1242"/>
      <c r="AQ217" s="1162"/>
      <c r="AR217" s="1162"/>
      <c r="AS217" s="1162"/>
      <c r="AT217" s="1261"/>
      <c r="AU217" s="1242"/>
      <c r="AV217" s="1162"/>
      <c r="AW217" s="1162"/>
      <c r="AX217" s="1162"/>
      <c r="AY217" s="1261"/>
      <c r="AZ217" s="1242"/>
      <c r="BA217" s="1162"/>
      <c r="BB217" s="1162"/>
      <c r="BC217" s="1162"/>
      <c r="BD217" s="1261"/>
      <c r="BE217" s="1242"/>
      <c r="BF217" s="1162"/>
      <c r="BG217" s="1162"/>
      <c r="BH217" s="1162"/>
      <c r="BI217" s="1261"/>
      <c r="BJ217" s="1242"/>
      <c r="BK217" s="1162"/>
      <c r="BL217" s="1162"/>
      <c r="BM217" s="1162"/>
      <c r="BN217" s="1261"/>
      <c r="BO217" s="1242"/>
      <c r="BP217" s="1162"/>
      <c r="BQ217" s="1162"/>
      <c r="BR217" s="1162"/>
      <c r="BS217" s="1261"/>
      <c r="BT217" s="1242"/>
      <c r="BU217" s="1162"/>
      <c r="BV217" s="1162"/>
      <c r="BW217" s="1162"/>
      <c r="BX217" s="1261"/>
      <c r="BY217" s="1242"/>
      <c r="BZ217" s="1162"/>
      <c r="CA217" s="1162"/>
      <c r="CB217" s="1756"/>
      <c r="CC217" s="1757"/>
      <c r="CD217" s="1242"/>
      <c r="CE217" s="1162"/>
      <c r="CF217" s="1162"/>
      <c r="CG217" s="1162"/>
      <c r="CH217" s="1757"/>
      <c r="CI217" s="1162"/>
      <c r="CJ217" s="1162"/>
      <c r="CK217" s="1233"/>
      <c r="CL217" s="860"/>
      <c r="CM217" s="860"/>
      <c r="CN217" s="860"/>
      <c r="CO217" s="1232"/>
      <c r="CP217" s="1233"/>
      <c r="CQ217" s="860"/>
      <c r="CR217" s="860"/>
      <c r="CS217" s="860"/>
      <c r="CT217" s="1232"/>
      <c r="CU217" s="1233"/>
      <c r="CV217" s="860"/>
      <c r="CW217" s="860"/>
      <c r="CX217" s="860"/>
      <c r="CY217" s="1232"/>
      <c r="CZ217" s="1233"/>
      <c r="DA217" s="860"/>
      <c r="DB217" s="860"/>
      <c r="DC217" s="860"/>
      <c r="DD217" s="1232"/>
      <c r="DE217" s="1233"/>
      <c r="DF217" s="860"/>
      <c r="DG217" s="860"/>
      <c r="DH217" s="860"/>
      <c r="DI217" s="1232"/>
      <c r="DJ217" s="1233"/>
      <c r="DK217" s="860"/>
      <c r="DL217" s="860"/>
      <c r="DM217" s="860"/>
      <c r="DN217" s="1232"/>
      <c r="DO217" s="1233"/>
      <c r="DP217" s="860"/>
      <c r="DQ217" s="860"/>
      <c r="DR217" s="860"/>
      <c r="DS217" s="1232"/>
      <c r="DT217" s="1233"/>
      <c r="DU217" s="860"/>
      <c r="DV217" s="860"/>
      <c r="DW217" s="860"/>
      <c r="DX217" s="1232"/>
      <c r="DY217" s="1233"/>
      <c r="DZ217" s="860"/>
      <c r="EA217" s="860"/>
      <c r="EB217" s="860"/>
      <c r="EC217" s="1232"/>
      <c r="ED217" s="860"/>
      <c r="EE217" s="860"/>
      <c r="EF217" s="860"/>
      <c r="EG217" s="860"/>
      <c r="EH217" s="860"/>
      <c r="EI217" s="1233"/>
      <c r="EJ217" s="860"/>
      <c r="EK217" s="860"/>
      <c r="EL217" s="860"/>
      <c r="EM217" s="1232"/>
      <c r="EN217" s="1233"/>
      <c r="EO217" s="860"/>
      <c r="EP217" s="860"/>
      <c r="EQ217" s="860"/>
      <c r="ER217" s="1232"/>
      <c r="ES217" s="860"/>
      <c r="ET217" s="860"/>
      <c r="EU217" s="860"/>
      <c r="EV217" s="860"/>
      <c r="EW217" s="1232"/>
      <c r="EX217" s="1233"/>
      <c r="EY217" s="860"/>
      <c r="EZ217" s="860"/>
      <c r="FA217" s="860"/>
      <c r="FB217" s="1754"/>
      <c r="FC217" s="1233"/>
      <c r="FD217" s="860"/>
      <c r="FE217" s="860"/>
      <c r="FF217" s="860"/>
      <c r="FG217" s="860"/>
      <c r="FH217" s="860"/>
      <c r="FI217" s="860"/>
      <c r="FJ217" s="860"/>
      <c r="FK217" s="860"/>
      <c r="FL217" s="860"/>
      <c r="FM217" s="860"/>
      <c r="FN217" s="860"/>
      <c r="FO217" s="860"/>
      <c r="FP217" s="860"/>
      <c r="FQ217" s="860"/>
      <c r="FR217" s="860"/>
      <c r="FS217" s="860"/>
      <c r="FT217" s="860"/>
      <c r="FU217" s="860"/>
      <c r="FV217" s="860"/>
      <c r="FW217" s="860"/>
      <c r="FX217" s="860"/>
      <c r="FY217" s="860"/>
      <c r="FZ217" s="860"/>
      <c r="GA217" s="860"/>
      <c r="GB217" s="860"/>
      <c r="GC217" s="860"/>
      <c r="GD217" s="860"/>
      <c r="GE217" s="860"/>
      <c r="GF217" s="860"/>
      <c r="GG217" s="860"/>
      <c r="GH217" s="860"/>
      <c r="GI217" s="860"/>
      <c r="GJ217" s="860"/>
      <c r="GK217" s="860"/>
      <c r="GL217" s="860"/>
      <c r="GM217" s="860"/>
      <c r="GN217" s="860"/>
      <c r="GO217" s="860"/>
      <c r="GP217" s="860"/>
      <c r="GQ217" s="860"/>
      <c r="GR217" s="1241"/>
      <c r="GS217" s="1218"/>
      <c r="GT217" s="1241"/>
      <c r="GU217" s="1218"/>
      <c r="GV217" s="1241"/>
      <c r="GW217" s="1218"/>
      <c r="GX217" s="1218"/>
      <c r="GY217" s="1241"/>
      <c r="GZ217" s="1218"/>
      <c r="HA217" s="1218"/>
      <c r="HB217" s="1241"/>
      <c r="HC217" s="1218"/>
      <c r="HD217" s="2000"/>
      <c r="HE217" s="1241"/>
      <c r="HF217" s="1218"/>
      <c r="HG217" s="2000"/>
      <c r="HH217" s="1241"/>
      <c r="HI217" s="1241"/>
      <c r="HJ217" s="1218"/>
      <c r="HK217" s="2000"/>
      <c r="HL217" s="1241"/>
      <c r="HM217" s="1218"/>
      <c r="HN217" s="2000"/>
      <c r="HO217" s="1241"/>
      <c r="HP217" s="1218"/>
      <c r="HQ217" s="2000"/>
      <c r="HR217" s="1241"/>
    </row>
    <row r="218" spans="1:226" hidden="1">
      <c r="A218" s="860" t="s">
        <v>811</v>
      </c>
      <c r="B218" s="1233"/>
      <c r="C218" s="860"/>
      <c r="D218" s="860"/>
      <c r="E218" s="860"/>
      <c r="F218" s="1232"/>
      <c r="G218" s="1233"/>
      <c r="H218" s="1285">
        <f>H206-G206</f>
        <v>2.0384053521777759</v>
      </c>
      <c r="I218" s="1285">
        <f>I206-H206</f>
        <v>2.2447869872607455</v>
      </c>
      <c r="J218" s="1285">
        <f>J206-I206</f>
        <v>-3.3630530731066841</v>
      </c>
      <c r="K218" s="1232"/>
      <c r="L218" s="1332">
        <f>L206-J206</f>
        <v>6.028452697857368</v>
      </c>
      <c r="M218" s="1285">
        <f>M206-L206</f>
        <v>2.2705240891759431</v>
      </c>
      <c r="N218" s="1285">
        <f>N206-M206</f>
        <v>2.9229978595499091</v>
      </c>
      <c r="O218" s="1285">
        <f>O206-N206</f>
        <v>0.89140074582989826</v>
      </c>
      <c r="P218" s="1232"/>
      <c r="Q218" s="1332">
        <f>Q206-O206</f>
        <v>5.5889515051949488</v>
      </c>
      <c r="R218" s="1285">
        <f>R206-Q206</f>
        <v>1.7771144371405541</v>
      </c>
      <c r="S218" s="1285">
        <f>S206-R206</f>
        <v>-3.1216126142978311</v>
      </c>
      <c r="T218" s="1285"/>
      <c r="U218" s="1333"/>
      <c r="V218" s="1332"/>
      <c r="W218" s="1285"/>
      <c r="X218" s="1285"/>
      <c r="Y218" s="1285"/>
      <c r="Z218" s="1261"/>
      <c r="AA218" s="1242"/>
      <c r="AB218" s="1162"/>
      <c r="AC218" s="1162"/>
      <c r="AD218" s="1162"/>
      <c r="AE218" s="1261"/>
      <c r="AF218" s="1242"/>
      <c r="AG218" s="1162"/>
      <c r="AH218" s="1162"/>
      <c r="AI218" s="1162"/>
      <c r="AJ218" s="1261"/>
      <c r="AK218" s="1242"/>
      <c r="AL218" s="1162"/>
      <c r="AM218" s="1162"/>
      <c r="AN218" s="1162"/>
      <c r="AO218" s="1261"/>
      <c r="AP218" s="1242"/>
      <c r="AQ218" s="1162"/>
      <c r="AR218" s="1162"/>
      <c r="AS218" s="1162"/>
      <c r="AT218" s="1261"/>
      <c r="AU218" s="1242"/>
      <c r="AV218" s="1162"/>
      <c r="AW218" s="1162"/>
      <c r="AX218" s="1162"/>
      <c r="AY218" s="1261"/>
      <c r="AZ218" s="1242"/>
      <c r="BA218" s="1162"/>
      <c r="BB218" s="1162"/>
      <c r="BC218" s="1162"/>
      <c r="BD218" s="1261"/>
      <c r="BE218" s="1242"/>
      <c r="BF218" s="1162"/>
      <c r="BG218" s="1162"/>
      <c r="BH218" s="1162"/>
      <c r="BI218" s="1261"/>
      <c r="BJ218" s="1242"/>
      <c r="BK218" s="1162"/>
      <c r="BL218" s="1162"/>
      <c r="BM218" s="1162"/>
      <c r="BN218" s="1261"/>
      <c r="BO218" s="1242"/>
      <c r="BP218" s="1162"/>
      <c r="BQ218" s="1162"/>
      <c r="BR218" s="1162"/>
      <c r="BS218" s="1261"/>
      <c r="BT218" s="1242"/>
      <c r="BU218" s="1162"/>
      <c r="BV218" s="1162"/>
      <c r="BW218" s="1162"/>
      <c r="BX218" s="1261"/>
      <c r="BY218" s="1242"/>
      <c r="BZ218" s="1162"/>
      <c r="CA218" s="1162"/>
      <c r="CB218" s="1756"/>
      <c r="CC218" s="1757"/>
      <c r="CD218" s="1242"/>
      <c r="CE218" s="1162"/>
      <c r="CF218" s="1162"/>
      <c r="CG218" s="1162"/>
      <c r="CH218" s="1757"/>
      <c r="CI218" s="1162"/>
      <c r="CJ218" s="1162"/>
      <c r="CK218" s="1233"/>
      <c r="CL218" s="860"/>
      <c r="CM218" s="860"/>
      <c r="CN218" s="860"/>
      <c r="CO218" s="1232"/>
      <c r="CP218" s="1233"/>
      <c r="CQ218" s="860"/>
      <c r="CR218" s="860"/>
      <c r="CS218" s="860"/>
      <c r="CT218" s="1232"/>
      <c r="CU218" s="1233"/>
      <c r="CV218" s="860"/>
      <c r="CW218" s="860"/>
      <c r="CX218" s="860"/>
      <c r="CY218" s="1232"/>
      <c r="CZ218" s="1233"/>
      <c r="DA218" s="860"/>
      <c r="DB218" s="860"/>
      <c r="DC218" s="860"/>
      <c r="DD218" s="1232"/>
      <c r="DE218" s="1233"/>
      <c r="DF218" s="860"/>
      <c r="DG218" s="860"/>
      <c r="DH218" s="860"/>
      <c r="DI218" s="1232"/>
      <c r="DJ218" s="1233"/>
      <c r="DK218" s="860"/>
      <c r="DL218" s="860"/>
      <c r="DM218" s="860"/>
      <c r="DN218" s="1232"/>
      <c r="DO218" s="1233"/>
      <c r="DP218" s="860"/>
      <c r="DQ218" s="860"/>
      <c r="DR218" s="860"/>
      <c r="DS218" s="1232"/>
      <c r="DT218" s="1233"/>
      <c r="DU218" s="860"/>
      <c r="DV218" s="860"/>
      <c r="DW218" s="860"/>
      <c r="DX218" s="1232"/>
      <c r="DY218" s="1233"/>
      <c r="DZ218" s="860"/>
      <c r="EA218" s="860"/>
      <c r="EB218" s="860"/>
      <c r="EC218" s="1232"/>
      <c r="ED218" s="860"/>
      <c r="EE218" s="860"/>
      <c r="EF218" s="860"/>
      <c r="EG218" s="860"/>
      <c r="EH218" s="860"/>
      <c r="EI218" s="1233"/>
      <c r="EJ218" s="860"/>
      <c r="EK218" s="860"/>
      <c r="EL218" s="860"/>
      <c r="EM218" s="1232"/>
      <c r="EN218" s="1233"/>
      <c r="EO218" s="860"/>
      <c r="EP218" s="860"/>
      <c r="EQ218" s="860"/>
      <c r="ER218" s="1232"/>
      <c r="ES218" s="860"/>
      <c r="ET218" s="860"/>
      <c r="EU218" s="860"/>
      <c r="EV218" s="860"/>
      <c r="EW218" s="1232"/>
      <c r="EX218" s="1233"/>
      <c r="EY218" s="860"/>
      <c r="EZ218" s="860"/>
      <c r="FA218" s="860"/>
      <c r="FB218" s="1754"/>
      <c r="FC218" s="1233"/>
      <c r="FD218" s="860"/>
      <c r="FE218" s="860"/>
      <c r="FF218" s="860"/>
      <c r="FG218" s="860"/>
      <c r="FH218" s="860"/>
      <c r="FI218" s="860"/>
      <c r="FJ218" s="860"/>
      <c r="FK218" s="860"/>
      <c r="FL218" s="860"/>
      <c r="FM218" s="860"/>
      <c r="FN218" s="860"/>
      <c r="FO218" s="860"/>
      <c r="FP218" s="860"/>
      <c r="FQ218" s="860"/>
      <c r="FR218" s="860"/>
      <c r="FS218" s="860"/>
      <c r="FT218" s="860"/>
      <c r="FU218" s="860"/>
      <c r="FV218" s="860"/>
      <c r="FW218" s="860"/>
      <c r="FX218" s="860"/>
      <c r="FY218" s="860"/>
      <c r="FZ218" s="860"/>
      <c r="GA218" s="860"/>
      <c r="GB218" s="860"/>
      <c r="GC218" s="860"/>
      <c r="GD218" s="860"/>
      <c r="GE218" s="860"/>
      <c r="GF218" s="860"/>
      <c r="GG218" s="860"/>
      <c r="GH218" s="860"/>
      <c r="GI218" s="860"/>
      <c r="GJ218" s="860"/>
      <c r="GK218" s="860"/>
      <c r="GL218" s="860"/>
      <c r="GM218" s="860"/>
      <c r="GN218" s="860"/>
      <c r="GO218" s="860"/>
      <c r="GP218" s="860"/>
      <c r="GQ218" s="860"/>
      <c r="GR218" s="1241"/>
      <c r="GS218" s="1218"/>
      <c r="GT218" s="1241"/>
      <c r="GU218" s="1218"/>
      <c r="GV218" s="1241"/>
      <c r="GW218" s="1218"/>
      <c r="GX218" s="1218"/>
      <c r="GY218" s="1241"/>
      <c r="GZ218" s="1218"/>
      <c r="HA218" s="1218"/>
      <c r="HB218" s="1241"/>
      <c r="HC218" s="1218"/>
      <c r="HD218" s="2000"/>
      <c r="HE218" s="1241"/>
      <c r="HF218" s="1218"/>
      <c r="HG218" s="2000"/>
      <c r="HH218" s="1241"/>
      <c r="HI218" s="1241"/>
      <c r="HJ218" s="1218"/>
      <c r="HK218" s="2000"/>
      <c r="HL218" s="1241"/>
      <c r="HM218" s="1218"/>
      <c r="HN218" s="2000"/>
      <c r="HO218" s="1241"/>
      <c r="HP218" s="1218"/>
      <c r="HQ218" s="2000"/>
      <c r="HR218" s="1241"/>
    </row>
    <row r="219" spans="1:226" hidden="1">
      <c r="A219" s="860" t="s">
        <v>812</v>
      </c>
      <c r="B219" s="1233"/>
      <c r="C219" s="860"/>
      <c r="D219" s="860"/>
      <c r="E219" s="860"/>
      <c r="F219" s="1232"/>
      <c r="G219" s="1233"/>
      <c r="H219" s="1285"/>
      <c r="I219" s="1285"/>
      <c r="J219" s="1285"/>
      <c r="K219" s="1232"/>
      <c r="L219" s="1332"/>
      <c r="M219" s="1285"/>
      <c r="N219" s="1285"/>
      <c r="O219" s="1285"/>
      <c r="P219" s="1232"/>
      <c r="Q219" s="1332"/>
      <c r="R219" s="1285"/>
      <c r="S219" s="1285">
        <v>2</v>
      </c>
      <c r="T219" s="1285"/>
      <c r="U219" s="1333"/>
      <c r="V219" s="1332"/>
      <c r="W219" s="1285"/>
      <c r="X219" s="1285"/>
      <c r="Y219" s="1285"/>
      <c r="Z219" s="1261"/>
      <c r="AA219" s="1242"/>
      <c r="AB219" s="1162"/>
      <c r="AC219" s="1162"/>
      <c r="AD219" s="1162"/>
      <c r="AE219" s="1261"/>
      <c r="AF219" s="1242"/>
      <c r="AG219" s="1162"/>
      <c r="AH219" s="1162"/>
      <c r="AI219" s="1162"/>
      <c r="AJ219" s="1261"/>
      <c r="AK219" s="1242"/>
      <c r="AL219" s="1162"/>
      <c r="AM219" s="1162"/>
      <c r="AN219" s="1162"/>
      <c r="AO219" s="1261"/>
      <c r="AP219" s="1242"/>
      <c r="AQ219" s="1162"/>
      <c r="AR219" s="1162"/>
      <c r="AS219" s="1162"/>
      <c r="AT219" s="1261"/>
      <c r="AU219" s="1242"/>
      <c r="AV219" s="1162"/>
      <c r="AW219" s="1162"/>
      <c r="AX219" s="1162"/>
      <c r="AY219" s="1261"/>
      <c r="AZ219" s="1242"/>
      <c r="BA219" s="1162"/>
      <c r="BB219" s="1162"/>
      <c r="BC219" s="1162"/>
      <c r="BD219" s="1261"/>
      <c r="BE219" s="1242"/>
      <c r="BF219" s="1162"/>
      <c r="BG219" s="1162"/>
      <c r="BH219" s="1162"/>
      <c r="BI219" s="1261"/>
      <c r="BJ219" s="1242"/>
      <c r="BK219" s="1162"/>
      <c r="BL219" s="1162"/>
      <c r="BM219" s="1162"/>
      <c r="BN219" s="1261"/>
      <c r="BO219" s="1242"/>
      <c r="BP219" s="1162"/>
      <c r="BQ219" s="1162"/>
      <c r="BR219" s="1162"/>
      <c r="BS219" s="1261"/>
      <c r="BT219" s="1242"/>
      <c r="BU219" s="1162"/>
      <c r="BV219" s="1162"/>
      <c r="BW219" s="1162"/>
      <c r="BX219" s="1261"/>
      <c r="BY219" s="1242"/>
      <c r="BZ219" s="1162"/>
      <c r="CA219" s="1162"/>
      <c r="CB219" s="1756"/>
      <c r="CC219" s="1757"/>
      <c r="CD219" s="1242"/>
      <c r="CE219" s="1162"/>
      <c r="CF219" s="1162"/>
      <c r="CG219" s="1162"/>
      <c r="CH219" s="1757"/>
      <c r="CI219" s="1162"/>
      <c r="CJ219" s="1162"/>
      <c r="CK219" s="1233"/>
      <c r="CL219" s="860"/>
      <c r="CM219" s="860"/>
      <c r="CN219" s="860"/>
      <c r="CO219" s="1232"/>
      <c r="CP219" s="1233"/>
      <c r="CQ219" s="860"/>
      <c r="CR219" s="860"/>
      <c r="CS219" s="860"/>
      <c r="CT219" s="1232"/>
      <c r="CU219" s="1233"/>
      <c r="CV219" s="860"/>
      <c r="CW219" s="860"/>
      <c r="CX219" s="860"/>
      <c r="CY219" s="1232"/>
      <c r="CZ219" s="1233"/>
      <c r="DA219" s="860"/>
      <c r="DB219" s="860"/>
      <c r="DC219" s="860"/>
      <c r="DD219" s="1232"/>
      <c r="DE219" s="1233"/>
      <c r="DF219" s="860"/>
      <c r="DG219" s="860"/>
      <c r="DH219" s="860"/>
      <c r="DI219" s="1232"/>
      <c r="DJ219" s="1233"/>
      <c r="DK219" s="860"/>
      <c r="DL219" s="860"/>
      <c r="DM219" s="860"/>
      <c r="DN219" s="1232"/>
      <c r="DO219" s="1233"/>
      <c r="DP219" s="860"/>
      <c r="DQ219" s="860"/>
      <c r="DR219" s="860"/>
      <c r="DS219" s="1232"/>
      <c r="DT219" s="1233"/>
      <c r="DU219" s="860"/>
      <c r="DV219" s="860"/>
      <c r="DW219" s="860"/>
      <c r="DX219" s="1232"/>
      <c r="DY219" s="1233"/>
      <c r="DZ219" s="860"/>
      <c r="EA219" s="860"/>
      <c r="EB219" s="860"/>
      <c r="EC219" s="1232"/>
      <c r="ED219" s="860"/>
      <c r="EE219" s="860"/>
      <c r="EF219" s="860"/>
      <c r="EG219" s="860"/>
      <c r="EH219" s="860"/>
      <c r="EI219" s="1233"/>
      <c r="EJ219" s="860"/>
      <c r="EK219" s="860"/>
      <c r="EL219" s="860"/>
      <c r="EM219" s="1232"/>
      <c r="EN219" s="1233"/>
      <c r="EO219" s="860"/>
      <c r="EP219" s="860"/>
      <c r="EQ219" s="860"/>
      <c r="ER219" s="1232"/>
      <c r="ES219" s="860"/>
      <c r="ET219" s="860"/>
      <c r="EU219" s="860"/>
      <c r="EV219" s="860"/>
      <c r="EW219" s="1232"/>
      <c r="EX219" s="1233"/>
      <c r="EY219" s="860"/>
      <c r="EZ219" s="860"/>
      <c r="FA219" s="860"/>
      <c r="FB219" s="1754"/>
      <c r="FC219" s="1233"/>
      <c r="FD219" s="860"/>
      <c r="FE219" s="860"/>
      <c r="FF219" s="860"/>
      <c r="FG219" s="860"/>
      <c r="FH219" s="860"/>
      <c r="FI219" s="860"/>
      <c r="FJ219" s="860"/>
      <c r="FK219" s="860"/>
      <c r="FL219" s="860"/>
      <c r="FM219" s="860"/>
      <c r="FN219" s="860"/>
      <c r="FO219" s="860"/>
      <c r="FP219" s="860"/>
      <c r="FQ219" s="860"/>
      <c r="FR219" s="860"/>
      <c r="FS219" s="860"/>
      <c r="FT219" s="860"/>
      <c r="FU219" s="860"/>
      <c r="FV219" s="860"/>
      <c r="FW219" s="860"/>
      <c r="FX219" s="860"/>
      <c r="FY219" s="860"/>
      <c r="FZ219" s="860"/>
      <c r="GA219" s="860"/>
      <c r="GB219" s="860"/>
      <c r="GC219" s="860"/>
      <c r="GD219" s="860"/>
      <c r="GE219" s="860"/>
      <c r="GF219" s="860"/>
      <c r="GG219" s="860"/>
      <c r="GH219" s="860"/>
      <c r="GI219" s="860"/>
      <c r="GJ219" s="860"/>
      <c r="GK219" s="860"/>
      <c r="GL219" s="860"/>
      <c r="GM219" s="860"/>
      <c r="GN219" s="860"/>
      <c r="GO219" s="860"/>
      <c r="GP219" s="860"/>
      <c r="GQ219" s="860"/>
      <c r="GR219" s="1241"/>
      <c r="GS219" s="1218"/>
      <c r="GT219" s="1241"/>
      <c r="GU219" s="1218"/>
      <c r="GV219" s="1241"/>
      <c r="GW219" s="1218"/>
      <c r="GX219" s="1218"/>
      <c r="GY219" s="1241"/>
      <c r="GZ219" s="1218"/>
      <c r="HA219" s="1218"/>
      <c r="HB219" s="1241"/>
      <c r="HC219" s="1218"/>
      <c r="HD219" s="2000"/>
      <c r="HE219" s="1241"/>
      <c r="HF219" s="1218"/>
      <c r="HG219" s="2000"/>
      <c r="HH219" s="1241"/>
      <c r="HI219" s="1241"/>
      <c r="HJ219" s="1218"/>
      <c r="HK219" s="2000"/>
      <c r="HL219" s="1241"/>
      <c r="HM219" s="1218"/>
      <c r="HN219" s="2000"/>
      <c r="HO219" s="1241"/>
      <c r="HP219" s="1218"/>
      <c r="HQ219" s="2000"/>
      <c r="HR219" s="1241"/>
    </row>
    <row r="220" spans="1:226" hidden="1">
      <c r="A220" s="860" t="s">
        <v>813</v>
      </c>
      <c r="B220" s="1233"/>
      <c r="C220" s="860"/>
      <c r="D220" s="860"/>
      <c r="E220" s="860"/>
      <c r="F220" s="1232"/>
      <c r="G220" s="1233"/>
      <c r="H220" s="860"/>
      <c r="I220" s="860"/>
      <c r="J220" s="860"/>
      <c r="K220" s="1232"/>
      <c r="L220" s="1233"/>
      <c r="M220" s="860"/>
      <c r="N220" s="860"/>
      <c r="O220" s="860"/>
      <c r="P220" s="1232"/>
      <c r="Q220" s="1233"/>
      <c r="R220" s="860"/>
      <c r="S220" s="1285">
        <f>R206+S219</f>
        <v>72.673232194995734</v>
      </c>
      <c r="T220" s="1285"/>
      <c r="U220" s="1333"/>
      <c r="V220" s="1332"/>
      <c r="W220" s="1285"/>
      <c r="X220" s="1285"/>
      <c r="Y220" s="1285"/>
      <c r="Z220" s="1261"/>
      <c r="AA220" s="1242"/>
      <c r="AB220" s="1162"/>
      <c r="AC220" s="1162"/>
      <c r="AD220" s="1162"/>
      <c r="AE220" s="1261"/>
      <c r="AF220" s="1242"/>
      <c r="AG220" s="1162"/>
      <c r="AH220" s="1162"/>
      <c r="AI220" s="1162"/>
      <c r="AJ220" s="1261"/>
      <c r="AK220" s="1242"/>
      <c r="AL220" s="1162"/>
      <c r="AM220" s="1162"/>
      <c r="AN220" s="1162"/>
      <c r="AO220" s="1261"/>
      <c r="AP220" s="1242"/>
      <c r="AQ220" s="1162"/>
      <c r="AR220" s="1162"/>
      <c r="AS220" s="1162"/>
      <c r="AT220" s="1261"/>
      <c r="AU220" s="1242"/>
      <c r="AV220" s="1162"/>
      <c r="AW220" s="1162"/>
      <c r="AX220" s="1162"/>
      <c r="AY220" s="1261"/>
      <c r="AZ220" s="1242"/>
      <c r="BA220" s="1162"/>
      <c r="BB220" s="1162"/>
      <c r="BC220" s="1162"/>
      <c r="BD220" s="1261"/>
      <c r="BE220" s="1242"/>
      <c r="BF220" s="1162"/>
      <c r="BG220" s="1162"/>
      <c r="BH220" s="1162"/>
      <c r="BI220" s="1261"/>
      <c r="BJ220" s="1242"/>
      <c r="BK220" s="1162"/>
      <c r="BL220" s="1162"/>
      <c r="BM220" s="1162"/>
      <c r="BN220" s="1261"/>
      <c r="BO220" s="1242"/>
      <c r="BP220" s="1162"/>
      <c r="BQ220" s="1162"/>
      <c r="BR220" s="1162"/>
      <c r="BS220" s="1261"/>
      <c r="BT220" s="1242"/>
      <c r="BU220" s="1162"/>
      <c r="BV220" s="1162"/>
      <c r="BW220" s="1162"/>
      <c r="BX220" s="1261"/>
      <c r="BY220" s="1242"/>
      <c r="BZ220" s="1162"/>
      <c r="CA220" s="1162"/>
      <c r="CB220" s="1756"/>
      <c r="CC220" s="1757"/>
      <c r="CD220" s="1242"/>
      <c r="CE220" s="1162"/>
      <c r="CF220" s="1162"/>
      <c r="CG220" s="1162"/>
      <c r="CH220" s="1757"/>
      <c r="CI220" s="1162"/>
      <c r="CJ220" s="1162"/>
      <c r="CK220" s="1233"/>
      <c r="CL220" s="860"/>
      <c r="CM220" s="860"/>
      <c r="CN220" s="860"/>
      <c r="CO220" s="1232"/>
      <c r="CP220" s="1233"/>
      <c r="CQ220" s="860"/>
      <c r="CR220" s="860"/>
      <c r="CS220" s="860"/>
      <c r="CT220" s="1232"/>
      <c r="CU220" s="1233"/>
      <c r="CV220" s="860"/>
      <c r="CW220" s="860"/>
      <c r="CX220" s="860"/>
      <c r="CY220" s="1232"/>
      <c r="CZ220" s="1233"/>
      <c r="DA220" s="860"/>
      <c r="DB220" s="860"/>
      <c r="DC220" s="860"/>
      <c r="DD220" s="1232"/>
      <c r="DE220" s="1233"/>
      <c r="DF220" s="860"/>
      <c r="DG220" s="860"/>
      <c r="DH220" s="860"/>
      <c r="DI220" s="1232"/>
      <c r="DJ220" s="1233"/>
      <c r="DK220" s="860"/>
      <c r="DL220" s="860"/>
      <c r="DM220" s="860"/>
      <c r="DN220" s="1232"/>
      <c r="DO220" s="1233"/>
      <c r="DP220" s="860"/>
      <c r="DQ220" s="860"/>
      <c r="DR220" s="860"/>
      <c r="DS220" s="1232"/>
      <c r="DT220" s="1233"/>
      <c r="DU220" s="860"/>
      <c r="DV220" s="860"/>
      <c r="DW220" s="860"/>
      <c r="DX220" s="1232"/>
      <c r="DY220" s="1233"/>
      <c r="DZ220" s="860"/>
      <c r="EA220" s="860"/>
      <c r="EB220" s="860"/>
      <c r="EC220" s="1232"/>
      <c r="ED220" s="860"/>
      <c r="EE220" s="860"/>
      <c r="EF220" s="860"/>
      <c r="EG220" s="860"/>
      <c r="EH220" s="860"/>
      <c r="EI220" s="1233"/>
      <c r="EJ220" s="860"/>
      <c r="EK220" s="860"/>
      <c r="EL220" s="860"/>
      <c r="EM220" s="1232"/>
      <c r="EN220" s="1233"/>
      <c r="EO220" s="860"/>
      <c r="EP220" s="860"/>
      <c r="EQ220" s="860"/>
      <c r="ER220" s="1232"/>
      <c r="ES220" s="860"/>
      <c r="ET220" s="860"/>
      <c r="EU220" s="860"/>
      <c r="EV220" s="860"/>
      <c r="EW220" s="1232"/>
      <c r="EX220" s="1233"/>
      <c r="EY220" s="860"/>
      <c r="EZ220" s="860"/>
      <c r="FA220" s="860"/>
      <c r="FB220" s="1754"/>
      <c r="FC220" s="1233"/>
      <c r="FD220" s="860"/>
      <c r="FE220" s="860"/>
      <c r="FF220" s="860"/>
      <c r="FG220" s="860"/>
      <c r="FH220" s="860"/>
      <c r="FI220" s="860"/>
      <c r="FJ220" s="860"/>
      <c r="FK220" s="860"/>
      <c r="FL220" s="860"/>
      <c r="FM220" s="860"/>
      <c r="FN220" s="860"/>
      <c r="FO220" s="860"/>
      <c r="FP220" s="860"/>
      <c r="FQ220" s="860"/>
      <c r="FR220" s="860"/>
      <c r="FS220" s="860"/>
      <c r="FT220" s="860"/>
      <c r="FU220" s="860"/>
      <c r="FV220" s="860"/>
      <c r="FW220" s="860"/>
      <c r="FX220" s="860"/>
      <c r="FY220" s="860"/>
      <c r="FZ220" s="860"/>
      <c r="GA220" s="860"/>
      <c r="GB220" s="860"/>
      <c r="GC220" s="860"/>
      <c r="GD220" s="860"/>
      <c r="GE220" s="860"/>
      <c r="GF220" s="860"/>
      <c r="GG220" s="860"/>
      <c r="GH220" s="860"/>
      <c r="GI220" s="860"/>
      <c r="GJ220" s="860"/>
      <c r="GK220" s="860"/>
      <c r="GL220" s="860"/>
      <c r="GM220" s="860"/>
      <c r="GN220" s="860"/>
      <c r="GO220" s="860"/>
      <c r="GP220" s="860"/>
      <c r="GQ220" s="860"/>
      <c r="GR220" s="1241"/>
      <c r="GS220" s="1218"/>
      <c r="GT220" s="1241"/>
      <c r="GU220" s="1218"/>
      <c r="GV220" s="1241"/>
      <c r="GW220" s="1218"/>
      <c r="GX220" s="1218"/>
      <c r="GY220" s="1241"/>
      <c r="GZ220" s="1218"/>
      <c r="HA220" s="1218"/>
      <c r="HB220" s="1241"/>
      <c r="HC220" s="1218"/>
      <c r="HD220" s="2000"/>
      <c r="HE220" s="1241"/>
      <c r="HF220" s="1218"/>
      <c r="HG220" s="2000"/>
      <c r="HH220" s="1241"/>
      <c r="HI220" s="1241"/>
      <c r="HJ220" s="1218"/>
      <c r="HK220" s="2000"/>
      <c r="HL220" s="1241"/>
      <c r="HM220" s="1218"/>
      <c r="HN220" s="2000"/>
      <c r="HO220" s="1241"/>
      <c r="HP220" s="1218"/>
      <c r="HQ220" s="2000"/>
      <c r="HR220" s="1241"/>
    </row>
    <row r="221" spans="1:226" hidden="1">
      <c r="A221" s="860" t="s">
        <v>814</v>
      </c>
      <c r="B221" s="1233"/>
      <c r="C221" s="860"/>
      <c r="D221" s="860"/>
      <c r="E221" s="860"/>
      <c r="F221" s="1232"/>
      <c r="G221" s="1233"/>
      <c r="H221" s="860"/>
      <c r="I221" s="860"/>
      <c r="J221" s="860"/>
      <c r="K221" s="1232"/>
      <c r="L221" s="1233"/>
      <c r="M221" s="860"/>
      <c r="N221" s="860"/>
      <c r="O221" s="860"/>
      <c r="P221" s="1232"/>
      <c r="Q221" s="1233"/>
      <c r="R221" s="860"/>
      <c r="S221" s="1285">
        <f>S220-S206</f>
        <v>5.1216126142978311</v>
      </c>
      <c r="T221" s="1285"/>
      <c r="U221" s="1333"/>
      <c r="V221" s="1332"/>
      <c r="W221" s="1285"/>
      <c r="X221" s="1285"/>
      <c r="Y221" s="1285"/>
      <c r="Z221" s="1261"/>
      <c r="AA221" s="1242"/>
      <c r="AB221" s="1162"/>
      <c r="AC221" s="1162"/>
      <c r="AD221" s="1162"/>
      <c r="AE221" s="1261"/>
      <c r="AF221" s="1242"/>
      <c r="AG221" s="1162"/>
      <c r="AH221" s="1162"/>
      <c r="AI221" s="1162"/>
      <c r="AJ221" s="1261"/>
      <c r="AK221" s="1242"/>
      <c r="AL221" s="1162"/>
      <c r="AM221" s="1162"/>
      <c r="AN221" s="1162"/>
      <c r="AO221" s="1261"/>
      <c r="AP221" s="1242"/>
      <c r="AQ221" s="1162"/>
      <c r="AR221" s="1162"/>
      <c r="AS221" s="1162"/>
      <c r="AT221" s="1261"/>
      <c r="AU221" s="1242"/>
      <c r="AV221" s="1162"/>
      <c r="AW221" s="1162"/>
      <c r="AX221" s="1162"/>
      <c r="AY221" s="1261"/>
      <c r="AZ221" s="1242"/>
      <c r="BA221" s="1162"/>
      <c r="BB221" s="1162"/>
      <c r="BC221" s="1162"/>
      <c r="BD221" s="1261"/>
      <c r="BE221" s="1242"/>
      <c r="BF221" s="1162"/>
      <c r="BG221" s="1162"/>
      <c r="BH221" s="1162"/>
      <c r="BI221" s="1261"/>
      <c r="BJ221" s="1242"/>
      <c r="BK221" s="1162"/>
      <c r="BL221" s="1162"/>
      <c r="BM221" s="1162"/>
      <c r="BN221" s="1261"/>
      <c r="BO221" s="1242"/>
      <c r="BP221" s="1162"/>
      <c r="BQ221" s="1162"/>
      <c r="BR221" s="1162"/>
      <c r="BS221" s="1261"/>
      <c r="BT221" s="1242"/>
      <c r="BU221" s="1162"/>
      <c r="BV221" s="1162"/>
      <c r="BW221" s="1162"/>
      <c r="BX221" s="1261"/>
      <c r="BY221" s="1242"/>
      <c r="BZ221" s="1162"/>
      <c r="CA221" s="1162"/>
      <c r="CB221" s="1756"/>
      <c r="CC221" s="1757"/>
      <c r="CD221" s="1242"/>
      <c r="CE221" s="1162"/>
      <c r="CF221" s="1162"/>
      <c r="CG221" s="1162"/>
      <c r="CH221" s="1757"/>
      <c r="CI221" s="1162"/>
      <c r="CJ221" s="1162"/>
      <c r="CK221" s="1233"/>
      <c r="CL221" s="860"/>
      <c r="CM221" s="860"/>
      <c r="CN221" s="860"/>
      <c r="CO221" s="1232"/>
      <c r="CP221" s="1233"/>
      <c r="CQ221" s="860"/>
      <c r="CR221" s="860"/>
      <c r="CS221" s="860"/>
      <c r="CT221" s="1232"/>
      <c r="CU221" s="1233"/>
      <c r="CV221" s="860"/>
      <c r="CW221" s="860"/>
      <c r="CX221" s="860"/>
      <c r="CY221" s="1232"/>
      <c r="CZ221" s="1233"/>
      <c r="DA221" s="860"/>
      <c r="DB221" s="860"/>
      <c r="DC221" s="860"/>
      <c r="DD221" s="1232"/>
      <c r="DE221" s="1233"/>
      <c r="DF221" s="860"/>
      <c r="DG221" s="860"/>
      <c r="DH221" s="860"/>
      <c r="DI221" s="1232"/>
      <c r="DJ221" s="1233"/>
      <c r="DK221" s="860"/>
      <c r="DL221" s="860"/>
      <c r="DM221" s="860"/>
      <c r="DN221" s="1232"/>
      <c r="DO221" s="1233"/>
      <c r="DP221" s="860"/>
      <c r="DQ221" s="860"/>
      <c r="DR221" s="860"/>
      <c r="DS221" s="1232"/>
      <c r="DT221" s="1233"/>
      <c r="DU221" s="860"/>
      <c r="DV221" s="860"/>
      <c r="DW221" s="860"/>
      <c r="DX221" s="1232"/>
      <c r="DY221" s="1233"/>
      <c r="DZ221" s="860"/>
      <c r="EA221" s="860"/>
      <c r="EB221" s="860"/>
      <c r="EC221" s="1232"/>
      <c r="ED221" s="860"/>
      <c r="EE221" s="860"/>
      <c r="EF221" s="860"/>
      <c r="EG221" s="860"/>
      <c r="EH221" s="860"/>
      <c r="EI221" s="1233"/>
      <c r="EJ221" s="860"/>
      <c r="EK221" s="860"/>
      <c r="EL221" s="860"/>
      <c r="EM221" s="1232"/>
      <c r="EN221" s="1233"/>
      <c r="EO221" s="860"/>
      <c r="EP221" s="860"/>
      <c r="EQ221" s="860"/>
      <c r="ER221" s="1232"/>
      <c r="ES221" s="860"/>
      <c r="ET221" s="860"/>
      <c r="EU221" s="860"/>
      <c r="EV221" s="860"/>
      <c r="EW221" s="1232"/>
      <c r="EX221" s="1233"/>
      <c r="EY221" s="860"/>
      <c r="EZ221" s="860"/>
      <c r="FA221" s="860"/>
      <c r="FB221" s="1754"/>
      <c r="FC221" s="1233"/>
      <c r="FD221" s="860"/>
      <c r="FE221" s="860"/>
      <c r="FF221" s="860"/>
      <c r="FG221" s="860"/>
      <c r="FH221" s="860"/>
      <c r="FI221" s="860"/>
      <c r="FJ221" s="860"/>
      <c r="FK221" s="860"/>
      <c r="FL221" s="860"/>
      <c r="FM221" s="860"/>
      <c r="FN221" s="860"/>
      <c r="FO221" s="860"/>
      <c r="FP221" s="860"/>
      <c r="FQ221" s="860"/>
      <c r="FR221" s="860"/>
      <c r="FS221" s="860"/>
      <c r="FT221" s="860"/>
      <c r="FU221" s="860"/>
      <c r="FV221" s="860"/>
      <c r="FW221" s="860"/>
      <c r="FX221" s="860"/>
      <c r="FY221" s="860"/>
      <c r="FZ221" s="860"/>
      <c r="GA221" s="860"/>
      <c r="GB221" s="860"/>
      <c r="GC221" s="860"/>
      <c r="GD221" s="860"/>
      <c r="GE221" s="860"/>
      <c r="GF221" s="860"/>
      <c r="GG221" s="860"/>
      <c r="GH221" s="860"/>
      <c r="GI221" s="860"/>
      <c r="GJ221" s="860"/>
      <c r="GK221" s="860"/>
      <c r="GL221" s="860"/>
      <c r="GM221" s="860"/>
      <c r="GN221" s="860"/>
      <c r="GO221" s="860"/>
      <c r="GP221" s="860"/>
      <c r="GQ221" s="860"/>
      <c r="GR221" s="1241"/>
      <c r="GS221" s="1218"/>
      <c r="GT221" s="1241"/>
      <c r="GU221" s="1218"/>
      <c r="GV221" s="1241"/>
      <c r="GW221" s="1218"/>
      <c r="GX221" s="1218"/>
      <c r="GY221" s="1241"/>
      <c r="GZ221" s="1218"/>
      <c r="HA221" s="1218"/>
      <c r="HB221" s="1241"/>
      <c r="HC221" s="1218"/>
      <c r="HD221" s="2000"/>
      <c r="HE221" s="1241"/>
      <c r="HF221" s="1218"/>
      <c r="HG221" s="2000"/>
      <c r="HH221" s="1241"/>
      <c r="HI221" s="1241"/>
      <c r="HJ221" s="1218"/>
      <c r="HK221" s="2000"/>
      <c r="HL221" s="1241"/>
      <c r="HM221" s="1218"/>
      <c r="HN221" s="2000"/>
      <c r="HO221" s="1241"/>
      <c r="HP221" s="1218"/>
      <c r="HQ221" s="2000"/>
      <c r="HR221" s="1241"/>
    </row>
    <row r="222" spans="1:226" hidden="1">
      <c r="A222" s="860" t="s">
        <v>815</v>
      </c>
      <c r="B222" s="1233"/>
      <c r="C222" s="860"/>
      <c r="D222" s="860"/>
      <c r="E222" s="860"/>
      <c r="F222" s="1232"/>
      <c r="G222" s="1233"/>
      <c r="H222" s="860"/>
      <c r="I222" s="860"/>
      <c r="J222" s="860"/>
      <c r="K222" s="1232"/>
      <c r="L222" s="1233"/>
      <c r="M222" s="860"/>
      <c r="N222" s="860"/>
      <c r="O222" s="860"/>
      <c r="P222" s="1232"/>
      <c r="Q222" s="1233"/>
      <c r="R222" s="860"/>
      <c r="S222" s="1285">
        <f>S221/(15/90)</f>
        <v>30.729675685786987</v>
      </c>
      <c r="T222" s="1285"/>
      <c r="U222" s="1333"/>
      <c r="V222" s="1332"/>
      <c r="W222" s="1285"/>
      <c r="X222" s="1285"/>
      <c r="Y222" s="1285"/>
      <c r="Z222" s="1261"/>
      <c r="AA222" s="1242"/>
      <c r="AB222" s="1162"/>
      <c r="AC222" s="1162"/>
      <c r="AD222" s="1162"/>
      <c r="AE222" s="1261"/>
      <c r="AF222" s="1242"/>
      <c r="AG222" s="1162"/>
      <c r="AH222" s="1162"/>
      <c r="AI222" s="1162"/>
      <c r="AJ222" s="1261"/>
      <c r="AK222" s="1242"/>
      <c r="AL222" s="1162"/>
      <c r="AM222" s="1162"/>
      <c r="AN222" s="1162"/>
      <c r="AO222" s="1261"/>
      <c r="AP222" s="1242"/>
      <c r="AQ222" s="1162"/>
      <c r="AR222" s="1162"/>
      <c r="AS222" s="1162"/>
      <c r="AT222" s="1261"/>
      <c r="AU222" s="1242"/>
      <c r="AV222" s="1162"/>
      <c r="AW222" s="1162"/>
      <c r="AX222" s="1162"/>
      <c r="AY222" s="1261"/>
      <c r="AZ222" s="1242"/>
      <c r="BA222" s="1162"/>
      <c r="BB222" s="1162"/>
      <c r="BC222" s="1162"/>
      <c r="BD222" s="1261"/>
      <c r="BE222" s="1242"/>
      <c r="BF222" s="1162"/>
      <c r="BG222" s="1162"/>
      <c r="BH222" s="1162"/>
      <c r="BI222" s="1261"/>
      <c r="BJ222" s="1242"/>
      <c r="BK222" s="1162"/>
      <c r="BL222" s="1162"/>
      <c r="BM222" s="1162"/>
      <c r="BN222" s="1261"/>
      <c r="BO222" s="1242"/>
      <c r="BP222" s="1162"/>
      <c r="BQ222" s="1162"/>
      <c r="BR222" s="1162"/>
      <c r="BS222" s="1261"/>
      <c r="BT222" s="1242"/>
      <c r="BU222" s="1162"/>
      <c r="BV222" s="1162"/>
      <c r="BW222" s="1162"/>
      <c r="BX222" s="1261"/>
      <c r="BY222" s="1242"/>
      <c r="BZ222" s="1162"/>
      <c r="CA222" s="1162"/>
      <c r="CB222" s="1756"/>
      <c r="CC222" s="1757"/>
      <c r="CD222" s="1242"/>
      <c r="CE222" s="1162"/>
      <c r="CF222" s="1162"/>
      <c r="CG222" s="1162"/>
      <c r="CH222" s="1757"/>
      <c r="CI222" s="1162"/>
      <c r="CJ222" s="1162"/>
      <c r="CK222" s="1233"/>
      <c r="CL222" s="860"/>
      <c r="CM222" s="860"/>
      <c r="CN222" s="860"/>
      <c r="CO222" s="1232"/>
      <c r="CP222" s="1233"/>
      <c r="CQ222" s="860"/>
      <c r="CR222" s="860"/>
      <c r="CS222" s="860"/>
      <c r="CT222" s="1232"/>
      <c r="CU222" s="1233"/>
      <c r="CV222" s="860"/>
      <c r="CW222" s="860"/>
      <c r="CX222" s="860"/>
      <c r="CY222" s="1232"/>
      <c r="CZ222" s="1233"/>
      <c r="DA222" s="860"/>
      <c r="DB222" s="860"/>
      <c r="DC222" s="860"/>
      <c r="DD222" s="1232"/>
      <c r="DE222" s="1233"/>
      <c r="DF222" s="860"/>
      <c r="DG222" s="860"/>
      <c r="DH222" s="860"/>
      <c r="DI222" s="1232"/>
      <c r="DJ222" s="1233"/>
      <c r="DK222" s="860"/>
      <c r="DL222" s="860"/>
      <c r="DM222" s="860"/>
      <c r="DN222" s="1232"/>
      <c r="DO222" s="1233"/>
      <c r="DP222" s="860"/>
      <c r="DQ222" s="860"/>
      <c r="DR222" s="860"/>
      <c r="DS222" s="1232"/>
      <c r="DT222" s="1233"/>
      <c r="DU222" s="860"/>
      <c r="DV222" s="860"/>
      <c r="DW222" s="860"/>
      <c r="DX222" s="1232"/>
      <c r="DY222" s="1233"/>
      <c r="DZ222" s="860"/>
      <c r="EA222" s="860"/>
      <c r="EB222" s="860"/>
      <c r="EC222" s="1232"/>
      <c r="ED222" s="860"/>
      <c r="EE222" s="860"/>
      <c r="EF222" s="860"/>
      <c r="EG222" s="860"/>
      <c r="EH222" s="860"/>
      <c r="EI222" s="1233"/>
      <c r="EJ222" s="860"/>
      <c r="EK222" s="860"/>
      <c r="EL222" s="860"/>
      <c r="EM222" s="1232"/>
      <c r="EN222" s="1233"/>
      <c r="EO222" s="860"/>
      <c r="EP222" s="860"/>
      <c r="EQ222" s="860"/>
      <c r="ER222" s="1232"/>
      <c r="ES222" s="860"/>
      <c r="ET222" s="860"/>
      <c r="EU222" s="860"/>
      <c r="EV222" s="860"/>
      <c r="EW222" s="1232"/>
      <c r="EX222" s="1233"/>
      <c r="EY222" s="860"/>
      <c r="EZ222" s="860"/>
      <c r="FA222" s="860"/>
      <c r="FB222" s="1754"/>
      <c r="FC222" s="1233"/>
      <c r="FD222" s="860"/>
      <c r="FE222" s="860"/>
      <c r="FF222" s="860"/>
      <c r="FG222" s="860"/>
      <c r="FH222" s="860"/>
      <c r="FI222" s="860"/>
      <c r="FJ222" s="860"/>
      <c r="FK222" s="860"/>
      <c r="FL222" s="860"/>
      <c r="FM222" s="860"/>
      <c r="FN222" s="860"/>
      <c r="FO222" s="860"/>
      <c r="FP222" s="860"/>
      <c r="FQ222" s="860"/>
      <c r="FR222" s="860"/>
      <c r="FS222" s="860"/>
      <c r="FT222" s="860"/>
      <c r="FU222" s="860"/>
      <c r="FV222" s="860"/>
      <c r="FW222" s="860"/>
      <c r="FX222" s="860"/>
      <c r="FY222" s="860"/>
      <c r="FZ222" s="860"/>
      <c r="GA222" s="860"/>
      <c r="GB222" s="860"/>
      <c r="GC222" s="860"/>
      <c r="GD222" s="860"/>
      <c r="GE222" s="860"/>
      <c r="GF222" s="860"/>
      <c r="GG222" s="860"/>
      <c r="GH222" s="860"/>
      <c r="GI222" s="860"/>
      <c r="GJ222" s="860"/>
      <c r="GK222" s="860"/>
      <c r="GL222" s="860"/>
      <c r="GM222" s="860"/>
      <c r="GN222" s="860"/>
      <c r="GO222" s="860"/>
      <c r="GP222" s="860"/>
      <c r="GQ222" s="860"/>
      <c r="GR222" s="1241"/>
      <c r="GS222" s="1218"/>
      <c r="GT222" s="1241"/>
      <c r="GU222" s="1218"/>
      <c r="GV222" s="1241"/>
      <c r="GW222" s="1218"/>
      <c r="GX222" s="1218"/>
      <c r="GY222" s="1241"/>
      <c r="GZ222" s="1218"/>
      <c r="HA222" s="1218"/>
      <c r="HB222" s="1241"/>
      <c r="HC222" s="1218"/>
      <c r="HD222" s="2000"/>
      <c r="HE222" s="1241"/>
      <c r="HF222" s="1218"/>
      <c r="HG222" s="2000"/>
      <c r="HH222" s="1241"/>
      <c r="HI222" s="1241"/>
      <c r="HJ222" s="1218"/>
      <c r="HK222" s="2000"/>
      <c r="HL222" s="1241"/>
      <c r="HM222" s="1218"/>
      <c r="HN222" s="2000"/>
      <c r="HO222" s="1241"/>
      <c r="HP222" s="1218"/>
      <c r="HQ222" s="2000"/>
      <c r="HR222" s="1241"/>
    </row>
    <row r="223" spans="1:226" hidden="1">
      <c r="A223" s="860" t="s">
        <v>816</v>
      </c>
      <c r="B223" s="1233"/>
      <c r="C223" s="860"/>
      <c r="D223" s="860"/>
      <c r="E223" s="860"/>
      <c r="F223" s="1232"/>
      <c r="G223" s="1233"/>
      <c r="H223" s="860"/>
      <c r="I223" s="860"/>
      <c r="J223" s="860"/>
      <c r="K223" s="1232"/>
      <c r="L223" s="1233"/>
      <c r="M223" s="860"/>
      <c r="N223" s="860"/>
      <c r="O223" s="860"/>
      <c r="P223" s="1232"/>
      <c r="Q223" s="1233"/>
      <c r="R223" s="860"/>
      <c r="S223" s="1285"/>
      <c r="T223" s="1285"/>
      <c r="U223" s="1333"/>
      <c r="V223" s="1332"/>
      <c r="W223" s="1285"/>
      <c r="X223" s="1285"/>
      <c r="Y223" s="1285"/>
      <c r="Z223" s="1261"/>
      <c r="AA223" s="1242"/>
      <c r="AB223" s="1162"/>
      <c r="AC223" s="1162"/>
      <c r="AD223" s="1162"/>
      <c r="AE223" s="1261"/>
      <c r="AF223" s="1242"/>
      <c r="AG223" s="1162"/>
      <c r="AH223" s="1162"/>
      <c r="AI223" s="1162"/>
      <c r="AJ223" s="1261"/>
      <c r="AK223" s="1242"/>
      <c r="AL223" s="1162"/>
      <c r="AM223" s="1162"/>
      <c r="AN223" s="1162"/>
      <c r="AO223" s="1261"/>
      <c r="AP223" s="1242"/>
      <c r="AQ223" s="1162"/>
      <c r="AR223" s="1162"/>
      <c r="AS223" s="1162"/>
      <c r="AT223" s="1261"/>
      <c r="AU223" s="1242"/>
      <c r="AV223" s="1162"/>
      <c r="AW223" s="1162"/>
      <c r="AX223" s="1162"/>
      <c r="AY223" s="1261"/>
      <c r="AZ223" s="1242"/>
      <c r="BA223" s="1162"/>
      <c r="BB223" s="1162"/>
      <c r="BC223" s="1162"/>
      <c r="BD223" s="1261"/>
      <c r="BE223" s="1242"/>
      <c r="BF223" s="1162"/>
      <c r="BG223" s="1162"/>
      <c r="BH223" s="1162"/>
      <c r="BI223" s="1261"/>
      <c r="BJ223" s="1242"/>
      <c r="BK223" s="1162"/>
      <c r="BL223" s="1162"/>
      <c r="BM223" s="1162"/>
      <c r="BN223" s="1261"/>
      <c r="BO223" s="1242"/>
      <c r="BP223" s="1162"/>
      <c r="BQ223" s="1162"/>
      <c r="BR223" s="1162"/>
      <c r="BS223" s="1261"/>
      <c r="BT223" s="1242"/>
      <c r="BU223" s="1162"/>
      <c r="BV223" s="1162"/>
      <c r="BW223" s="1162"/>
      <c r="BX223" s="1261"/>
      <c r="BY223" s="1242"/>
      <c r="BZ223" s="1162"/>
      <c r="CA223" s="1162"/>
      <c r="CB223" s="1756"/>
      <c r="CC223" s="1757"/>
      <c r="CD223" s="1242"/>
      <c r="CE223" s="1162"/>
      <c r="CF223" s="1162"/>
      <c r="CG223" s="1162"/>
      <c r="CH223" s="1757"/>
      <c r="CI223" s="1162"/>
      <c r="CJ223" s="1162"/>
      <c r="CK223" s="1233"/>
      <c r="CL223" s="860"/>
      <c r="CM223" s="860"/>
      <c r="CN223" s="860"/>
      <c r="CO223" s="1232"/>
      <c r="CP223" s="1233"/>
      <c r="CQ223" s="860"/>
      <c r="CR223" s="860"/>
      <c r="CS223" s="860"/>
      <c r="CT223" s="1232"/>
      <c r="CU223" s="1233"/>
      <c r="CV223" s="860"/>
      <c r="CW223" s="860"/>
      <c r="CX223" s="860"/>
      <c r="CY223" s="1232"/>
      <c r="CZ223" s="1233"/>
      <c r="DA223" s="860"/>
      <c r="DB223" s="860"/>
      <c r="DC223" s="860"/>
      <c r="DD223" s="1232"/>
      <c r="DE223" s="1233"/>
      <c r="DF223" s="860"/>
      <c r="DG223" s="860"/>
      <c r="DH223" s="860"/>
      <c r="DI223" s="1232"/>
      <c r="DJ223" s="1233"/>
      <c r="DK223" s="860"/>
      <c r="DL223" s="860"/>
      <c r="DM223" s="860"/>
      <c r="DN223" s="1232"/>
      <c r="DO223" s="1233"/>
      <c r="DP223" s="860"/>
      <c r="DQ223" s="860"/>
      <c r="DR223" s="860"/>
      <c r="DS223" s="1232"/>
      <c r="DT223" s="1233"/>
      <c r="DU223" s="860"/>
      <c r="DV223" s="860"/>
      <c r="DW223" s="860"/>
      <c r="DX223" s="1232"/>
      <c r="DY223" s="1233"/>
      <c r="DZ223" s="860"/>
      <c r="EA223" s="860"/>
      <c r="EB223" s="860"/>
      <c r="EC223" s="1232"/>
      <c r="ED223" s="860"/>
      <c r="EE223" s="860"/>
      <c r="EF223" s="860"/>
      <c r="EG223" s="860"/>
      <c r="EH223" s="860"/>
      <c r="EI223" s="1233"/>
      <c r="EJ223" s="860"/>
      <c r="EK223" s="860"/>
      <c r="EL223" s="860"/>
      <c r="EM223" s="1232"/>
      <c r="EN223" s="1233"/>
      <c r="EO223" s="860"/>
      <c r="EP223" s="860"/>
      <c r="EQ223" s="860"/>
      <c r="ER223" s="1232"/>
      <c r="ES223" s="860"/>
      <c r="ET223" s="860"/>
      <c r="EU223" s="860"/>
      <c r="EV223" s="860"/>
      <c r="EW223" s="1232"/>
      <c r="EX223" s="1233"/>
      <c r="EY223" s="860"/>
      <c r="EZ223" s="860"/>
      <c r="FA223" s="860"/>
      <c r="FB223" s="1754"/>
      <c r="FC223" s="1233"/>
      <c r="FD223" s="860"/>
      <c r="FE223" s="860"/>
      <c r="FF223" s="860"/>
      <c r="FG223" s="860"/>
      <c r="FH223" s="860"/>
      <c r="FI223" s="860"/>
      <c r="FJ223" s="860"/>
      <c r="FK223" s="860"/>
      <c r="FL223" s="860"/>
      <c r="FM223" s="860"/>
      <c r="FN223" s="860"/>
      <c r="FO223" s="860"/>
      <c r="FP223" s="860"/>
      <c r="FQ223" s="860"/>
      <c r="FR223" s="860"/>
      <c r="FS223" s="860"/>
      <c r="FT223" s="860"/>
      <c r="FU223" s="860"/>
      <c r="FV223" s="860"/>
      <c r="FW223" s="860"/>
      <c r="FX223" s="860"/>
      <c r="FY223" s="860"/>
      <c r="FZ223" s="860"/>
      <c r="GA223" s="860"/>
      <c r="GB223" s="860"/>
      <c r="GC223" s="860"/>
      <c r="GD223" s="860"/>
      <c r="GE223" s="860"/>
      <c r="GF223" s="860"/>
      <c r="GG223" s="860"/>
      <c r="GH223" s="860"/>
      <c r="GI223" s="860"/>
      <c r="GJ223" s="860"/>
      <c r="GK223" s="860"/>
      <c r="GL223" s="860"/>
      <c r="GM223" s="860"/>
      <c r="GN223" s="860"/>
      <c r="GO223" s="860"/>
      <c r="GP223" s="860"/>
      <c r="GQ223" s="860"/>
      <c r="GR223" s="1241"/>
      <c r="GS223" s="1218"/>
      <c r="GT223" s="1241"/>
      <c r="GU223" s="1218"/>
      <c r="GV223" s="1241"/>
      <c r="GW223" s="1218"/>
      <c r="GX223" s="1218"/>
      <c r="GY223" s="1241"/>
      <c r="GZ223" s="1218"/>
      <c r="HA223" s="1218"/>
      <c r="HB223" s="1241"/>
      <c r="HC223" s="1218"/>
      <c r="HD223" s="2000"/>
      <c r="HE223" s="1241"/>
      <c r="HF223" s="1218"/>
      <c r="HG223" s="2000"/>
      <c r="HH223" s="1241"/>
      <c r="HI223" s="1241"/>
      <c r="HJ223" s="1218"/>
      <c r="HK223" s="2000"/>
      <c r="HL223" s="1241"/>
      <c r="HM223" s="1218"/>
      <c r="HN223" s="2000"/>
      <c r="HO223" s="1241"/>
      <c r="HP223" s="1218"/>
      <c r="HQ223" s="2000"/>
      <c r="HR223" s="1241"/>
    </row>
    <row r="224" spans="1:226" hidden="1">
      <c r="A224" s="860"/>
      <c r="B224" s="1233"/>
      <c r="C224" s="860"/>
      <c r="D224" s="860"/>
      <c r="E224" s="860"/>
      <c r="F224" s="1232"/>
      <c r="G224" s="1233"/>
      <c r="H224" s="860"/>
      <c r="I224" s="860"/>
      <c r="J224" s="860"/>
      <c r="K224" s="1232"/>
      <c r="L224" s="1233"/>
      <c r="M224" s="860"/>
      <c r="N224" s="860"/>
      <c r="O224" s="860"/>
      <c r="P224" s="1232"/>
      <c r="Q224" s="1233"/>
      <c r="R224" s="860"/>
      <c r="S224" s="860"/>
      <c r="T224" s="860"/>
      <c r="U224" s="1232"/>
      <c r="V224" s="1233"/>
      <c r="W224" s="860"/>
      <c r="X224" s="860"/>
      <c r="Y224" s="860"/>
      <c r="Z224" s="1261"/>
      <c r="AA224" s="1242"/>
      <c r="AB224" s="1162"/>
      <c r="AC224" s="1162"/>
      <c r="AD224" s="1162"/>
      <c r="AE224" s="1261"/>
      <c r="AF224" s="1242"/>
      <c r="AG224" s="1162"/>
      <c r="AH224" s="1162"/>
      <c r="AI224" s="1162"/>
      <c r="AJ224" s="1261"/>
      <c r="AK224" s="1242"/>
      <c r="AL224" s="1162"/>
      <c r="AM224" s="1162"/>
      <c r="AN224" s="1162"/>
      <c r="AO224" s="1261"/>
      <c r="AP224" s="1242"/>
      <c r="AQ224" s="1162"/>
      <c r="AR224" s="1162"/>
      <c r="AS224" s="1162"/>
      <c r="AT224" s="1261"/>
      <c r="AU224" s="1242"/>
      <c r="AV224" s="1162"/>
      <c r="AW224" s="1162"/>
      <c r="AX224" s="1162"/>
      <c r="AY224" s="1261"/>
      <c r="AZ224" s="1242"/>
      <c r="BA224" s="1162"/>
      <c r="BB224" s="1162"/>
      <c r="BC224" s="1162"/>
      <c r="BD224" s="1261"/>
      <c r="BE224" s="1242"/>
      <c r="BF224" s="1162"/>
      <c r="BG224" s="1162"/>
      <c r="BH224" s="1162"/>
      <c r="BI224" s="1261"/>
      <c r="BJ224" s="1242"/>
      <c r="BK224" s="1162"/>
      <c r="BL224" s="1162"/>
      <c r="BM224" s="1162"/>
      <c r="BN224" s="1261"/>
      <c r="BO224" s="1242"/>
      <c r="BP224" s="1162"/>
      <c r="BQ224" s="1162"/>
      <c r="BR224" s="1162"/>
      <c r="BS224" s="1261"/>
      <c r="BT224" s="1242"/>
      <c r="BU224" s="1162"/>
      <c r="BV224" s="1162"/>
      <c r="BW224" s="1162"/>
      <c r="BX224" s="1261"/>
      <c r="BY224" s="1242"/>
      <c r="BZ224" s="1162"/>
      <c r="CA224" s="1162"/>
      <c r="CB224" s="1756"/>
      <c r="CC224" s="1757"/>
      <c r="CD224" s="1242"/>
      <c r="CE224" s="1162"/>
      <c r="CF224" s="1162"/>
      <c r="CG224" s="1162"/>
      <c r="CH224" s="1757"/>
      <c r="CI224" s="1162"/>
      <c r="CJ224" s="1162"/>
      <c r="CK224" s="1233"/>
      <c r="CL224" s="860"/>
      <c r="CM224" s="860"/>
      <c r="CN224" s="860"/>
      <c r="CO224" s="1232"/>
      <c r="CP224" s="1233"/>
      <c r="CQ224" s="860"/>
      <c r="CR224" s="860"/>
      <c r="CS224" s="860"/>
      <c r="CT224" s="1232"/>
      <c r="CU224" s="1233"/>
      <c r="CV224" s="860"/>
      <c r="CW224" s="860"/>
      <c r="CX224" s="860"/>
      <c r="CY224" s="1232"/>
      <c r="CZ224" s="1233"/>
      <c r="DA224" s="860"/>
      <c r="DB224" s="860"/>
      <c r="DC224" s="860"/>
      <c r="DD224" s="1232"/>
      <c r="DE224" s="1233"/>
      <c r="DF224" s="860"/>
      <c r="DG224" s="860"/>
      <c r="DH224" s="860"/>
      <c r="DI224" s="1232"/>
      <c r="DJ224" s="1233"/>
      <c r="DK224" s="860"/>
      <c r="DL224" s="860"/>
      <c r="DM224" s="860"/>
      <c r="DN224" s="1232"/>
      <c r="DO224" s="1233"/>
      <c r="DP224" s="860"/>
      <c r="DQ224" s="860"/>
      <c r="DR224" s="860"/>
      <c r="DS224" s="1232"/>
      <c r="DT224" s="1233"/>
      <c r="DU224" s="860"/>
      <c r="DV224" s="860"/>
      <c r="DW224" s="860"/>
      <c r="DX224" s="1232"/>
      <c r="DY224" s="1233"/>
      <c r="DZ224" s="860"/>
      <c r="EA224" s="860"/>
      <c r="EB224" s="860"/>
      <c r="EC224" s="1232"/>
      <c r="ED224" s="860"/>
      <c r="EE224" s="860"/>
      <c r="EF224" s="860"/>
      <c r="EG224" s="860"/>
      <c r="EH224" s="860"/>
      <c r="EI224" s="1233"/>
      <c r="EJ224" s="860"/>
      <c r="EK224" s="860"/>
      <c r="EL224" s="860"/>
      <c r="EM224" s="1232"/>
      <c r="EN224" s="1233"/>
      <c r="EO224" s="860"/>
      <c r="EP224" s="860"/>
      <c r="EQ224" s="860"/>
      <c r="ER224" s="1232"/>
      <c r="ES224" s="860"/>
      <c r="ET224" s="860"/>
      <c r="EU224" s="860"/>
      <c r="EV224" s="860"/>
      <c r="EW224" s="1232"/>
      <c r="EX224" s="1233"/>
      <c r="EY224" s="860"/>
      <c r="EZ224" s="860"/>
      <c r="FA224" s="860"/>
      <c r="FB224" s="1754"/>
      <c r="FC224" s="1233"/>
      <c r="FD224" s="860"/>
      <c r="FE224" s="860"/>
      <c r="FF224" s="860"/>
      <c r="FG224" s="860"/>
      <c r="FH224" s="860"/>
      <c r="FI224" s="860"/>
      <c r="FJ224" s="860"/>
      <c r="FK224" s="860"/>
      <c r="FL224" s="860"/>
      <c r="FM224" s="860"/>
      <c r="FN224" s="860"/>
      <c r="FO224" s="860"/>
      <c r="FP224" s="860"/>
      <c r="FQ224" s="860"/>
      <c r="FR224" s="860"/>
      <c r="FS224" s="860"/>
      <c r="FT224" s="860"/>
      <c r="FU224" s="860"/>
      <c r="FV224" s="860"/>
      <c r="FW224" s="860"/>
      <c r="FX224" s="860"/>
      <c r="FY224" s="860"/>
      <c r="FZ224" s="860"/>
      <c r="GA224" s="860"/>
      <c r="GB224" s="860"/>
      <c r="GC224" s="860"/>
      <c r="GD224" s="860"/>
      <c r="GE224" s="860"/>
      <c r="GF224" s="860"/>
      <c r="GG224" s="860"/>
      <c r="GH224" s="860"/>
      <c r="GI224" s="860"/>
      <c r="GJ224" s="860"/>
      <c r="GK224" s="860"/>
      <c r="GL224" s="860"/>
      <c r="GM224" s="860"/>
      <c r="GN224" s="860"/>
      <c r="GO224" s="860"/>
      <c r="GP224" s="860"/>
      <c r="GQ224" s="860"/>
      <c r="GR224" s="1241"/>
      <c r="GS224" s="1218"/>
      <c r="GT224" s="1241"/>
      <c r="GU224" s="1218"/>
      <c r="GV224" s="1241"/>
      <c r="GW224" s="1218"/>
      <c r="GX224" s="1218"/>
      <c r="GY224" s="1241"/>
      <c r="GZ224" s="1218"/>
      <c r="HA224" s="1218"/>
      <c r="HB224" s="1241"/>
      <c r="HC224" s="1218"/>
      <c r="HD224" s="2000"/>
      <c r="HE224" s="1241"/>
      <c r="HF224" s="1218"/>
      <c r="HG224" s="2000"/>
      <c r="HH224" s="1241"/>
      <c r="HI224" s="1241"/>
      <c r="HJ224" s="1218"/>
      <c r="HK224" s="2000"/>
      <c r="HL224" s="1241"/>
      <c r="HM224" s="1218"/>
      <c r="HN224" s="2000"/>
      <c r="HO224" s="1241"/>
      <c r="HP224" s="1218"/>
      <c r="HQ224" s="2000"/>
      <c r="HR224" s="1241"/>
    </row>
    <row r="225" spans="1:226" hidden="1">
      <c r="A225" s="1678" t="str">
        <f>A14</f>
        <v>Cable and Telecom (old disclosure)</v>
      </c>
      <c r="B225" s="1233"/>
      <c r="C225" s="860"/>
      <c r="D225" s="860"/>
      <c r="E225" s="860"/>
      <c r="F225" s="1232"/>
      <c r="G225" s="1233"/>
      <c r="H225" s="860"/>
      <c r="I225" s="860"/>
      <c r="J225" s="860"/>
      <c r="K225" s="1232"/>
      <c r="L225" s="1233"/>
      <c r="M225" s="860"/>
      <c r="N225" s="860"/>
      <c r="O225" s="860"/>
      <c r="P225" s="1232"/>
      <c r="Q225" s="1233"/>
      <c r="R225" s="860"/>
      <c r="S225" s="860"/>
      <c r="T225" s="860"/>
      <c r="U225" s="1232"/>
      <c r="V225" s="1233"/>
      <c r="W225" s="860"/>
      <c r="X225" s="860"/>
      <c r="Y225" s="860"/>
      <c r="Z225" s="1261"/>
      <c r="AA225" s="1242"/>
      <c r="AB225" s="1162"/>
      <c r="AC225" s="1162"/>
      <c r="AD225" s="1162"/>
      <c r="AE225" s="1261"/>
      <c r="AF225" s="1242"/>
      <c r="AG225" s="1162"/>
      <c r="AH225" s="1162"/>
      <c r="AI225" s="1162"/>
      <c r="AJ225" s="1261"/>
      <c r="AK225" s="1242"/>
      <c r="AL225" s="1162"/>
      <c r="AM225" s="1162"/>
      <c r="AN225" s="1162"/>
      <c r="AO225" s="1261"/>
      <c r="AP225" s="1242"/>
      <c r="AQ225" s="1162"/>
      <c r="AR225" s="1162"/>
      <c r="AS225" s="1162"/>
      <c r="AT225" s="1261"/>
      <c r="AU225" s="1242"/>
      <c r="AV225" s="1162"/>
      <c r="AW225" s="1162"/>
      <c r="AX225" s="1162"/>
      <c r="AY225" s="1261"/>
      <c r="AZ225" s="1242"/>
      <c r="BA225" s="1162"/>
      <c r="BB225" s="1162"/>
      <c r="BC225" s="1162"/>
      <c r="BD225" s="1261"/>
      <c r="BE225" s="1242"/>
      <c r="BF225" s="1162"/>
      <c r="BG225" s="1162"/>
      <c r="BH225" s="1162"/>
      <c r="BI225" s="1261"/>
      <c r="BJ225" s="1242"/>
      <c r="BK225" s="1162"/>
      <c r="BL225" s="1162"/>
      <c r="BM225" s="1162"/>
      <c r="BN225" s="1261"/>
      <c r="BO225" s="1242"/>
      <c r="BP225" s="1162"/>
      <c r="BQ225" s="1162"/>
      <c r="BR225" s="1162"/>
      <c r="BS225" s="1261"/>
      <c r="BT225" s="1242"/>
      <c r="BU225" s="1162"/>
      <c r="BV225" s="1162"/>
      <c r="BW225" s="1162"/>
      <c r="BX225" s="1261"/>
      <c r="BY225" s="1242"/>
      <c r="BZ225" s="1162"/>
      <c r="CA225" s="1162"/>
      <c r="CB225" s="1756"/>
      <c r="CC225" s="1757"/>
      <c r="CD225" s="1242"/>
      <c r="CE225" s="1162"/>
      <c r="CF225" s="1162"/>
      <c r="CG225" s="1162"/>
      <c r="CH225" s="1757"/>
      <c r="CI225" s="1162"/>
      <c r="CJ225" s="1162"/>
      <c r="CK225" s="1233"/>
      <c r="CL225" s="860"/>
      <c r="CM225" s="860"/>
      <c r="CN225" s="860"/>
      <c r="CO225" s="1232"/>
      <c r="CP225" s="1233"/>
      <c r="CQ225" s="860"/>
      <c r="CR225" s="860"/>
      <c r="CS225" s="860"/>
      <c r="CT225" s="1232"/>
      <c r="CU225" s="1233"/>
      <c r="CV225" s="860"/>
      <c r="CW225" s="860"/>
      <c r="CX225" s="860"/>
      <c r="CY225" s="1232"/>
      <c r="CZ225" s="1233"/>
      <c r="DA225" s="860"/>
      <c r="DB225" s="860"/>
      <c r="DC225" s="860"/>
      <c r="DD225" s="1232"/>
      <c r="DE225" s="1233"/>
      <c r="DF225" s="860"/>
      <c r="DG225" s="860"/>
      <c r="DH225" s="860"/>
      <c r="DI225" s="1232"/>
      <c r="DJ225" s="1233"/>
      <c r="DK225" s="860"/>
      <c r="DL225" s="860"/>
      <c r="DM225" s="860"/>
      <c r="DN225" s="1232"/>
      <c r="DO225" s="1233"/>
      <c r="DP225" s="860"/>
      <c r="DQ225" s="860"/>
      <c r="DR225" s="860"/>
      <c r="DS225" s="1232"/>
      <c r="DT225" s="1233"/>
      <c r="DU225" s="860"/>
      <c r="DV225" s="860"/>
      <c r="DW225" s="860"/>
      <c r="DX225" s="1232"/>
      <c r="DY225" s="1233"/>
      <c r="DZ225" s="860"/>
      <c r="EA225" s="860"/>
      <c r="EB225" s="860"/>
      <c r="EC225" s="1232"/>
      <c r="ED225" s="860"/>
      <c r="EE225" s="860"/>
      <c r="EF225" s="860"/>
      <c r="EG225" s="860"/>
      <c r="EH225" s="860"/>
      <c r="EI225" s="1233"/>
      <c r="EJ225" s="860"/>
      <c r="EK225" s="860"/>
      <c r="EL225" s="860"/>
      <c r="EM225" s="1232"/>
      <c r="EN225" s="1233"/>
      <c r="EO225" s="860"/>
      <c r="EP225" s="860"/>
      <c r="EQ225" s="860"/>
      <c r="ER225" s="1232"/>
      <c r="ES225" s="860"/>
      <c r="ET225" s="860"/>
      <c r="EU225" s="860"/>
      <c r="EV225" s="860"/>
      <c r="EW225" s="1232"/>
      <c r="EX225" s="1233"/>
      <c r="EY225" s="860"/>
      <c r="EZ225" s="860"/>
      <c r="FA225" s="860"/>
      <c r="FB225" s="1754"/>
      <c r="FC225" s="1233"/>
      <c r="FD225" s="860"/>
      <c r="FE225" s="860"/>
      <c r="FF225" s="860"/>
      <c r="FG225" s="860"/>
      <c r="FH225" s="860"/>
      <c r="FI225" s="860"/>
      <c r="FJ225" s="860"/>
      <c r="FK225" s="860"/>
      <c r="FL225" s="860"/>
      <c r="FM225" s="860"/>
      <c r="FN225" s="860"/>
      <c r="FO225" s="860"/>
      <c r="FP225" s="860"/>
      <c r="FQ225" s="860"/>
      <c r="FR225" s="860"/>
      <c r="FS225" s="860"/>
      <c r="FT225" s="860"/>
      <c r="FU225" s="860"/>
      <c r="FV225" s="860"/>
      <c r="FW225" s="860"/>
      <c r="FX225" s="860"/>
      <c r="FY225" s="860"/>
      <c r="FZ225" s="860"/>
      <c r="GA225" s="860"/>
      <c r="GB225" s="860"/>
      <c r="GC225" s="860"/>
      <c r="GD225" s="860"/>
      <c r="GE225" s="860"/>
      <c r="GF225" s="860"/>
      <c r="GG225" s="860"/>
      <c r="GH225" s="860"/>
      <c r="GI225" s="860"/>
      <c r="GJ225" s="860"/>
      <c r="GK225" s="860"/>
      <c r="GL225" s="860"/>
      <c r="GM225" s="860"/>
      <c r="GN225" s="860"/>
      <c r="GO225" s="860"/>
      <c r="GP225" s="860"/>
      <c r="GQ225" s="860"/>
      <c r="GR225" s="1241"/>
      <c r="GS225" s="1218"/>
      <c r="GT225" s="1241"/>
      <c r="GU225" s="1218"/>
      <c r="GV225" s="1241"/>
      <c r="GW225" s="1218"/>
      <c r="GX225" s="1218"/>
      <c r="GY225" s="1241"/>
      <c r="GZ225" s="1218"/>
      <c r="HA225" s="1218"/>
      <c r="HB225" s="1241"/>
      <c r="HC225" s="1218"/>
      <c r="HD225" s="2000"/>
      <c r="HE225" s="1241"/>
      <c r="HF225" s="1218"/>
      <c r="HG225" s="2000"/>
      <c r="HH225" s="1241"/>
      <c r="HI225" s="1241"/>
      <c r="HJ225" s="1218"/>
      <c r="HK225" s="2000"/>
      <c r="HL225" s="1241"/>
      <c r="HM225" s="1218"/>
      <c r="HN225" s="2000"/>
      <c r="HO225" s="1241"/>
      <c r="HP225" s="1218"/>
      <c r="HQ225" s="2000"/>
      <c r="HR225" s="1241"/>
    </row>
    <row r="226" spans="1:226" hidden="1">
      <c r="A226" s="1509"/>
      <c r="B226" s="1233"/>
      <c r="C226" s="860"/>
      <c r="D226" s="860"/>
      <c r="E226" s="860"/>
      <c r="F226" s="1232"/>
      <c r="G226" s="1233"/>
      <c r="H226" s="860"/>
      <c r="I226" s="860"/>
      <c r="J226" s="860"/>
      <c r="K226" s="1232"/>
      <c r="L226" s="1233"/>
      <c r="M226" s="860"/>
      <c r="N226" s="860"/>
      <c r="O226" s="860"/>
      <c r="P226" s="1232"/>
      <c r="Q226" s="1233"/>
      <c r="R226" s="860"/>
      <c r="S226" s="860"/>
      <c r="T226" s="860"/>
      <c r="U226" s="1232"/>
      <c r="V226" s="1233"/>
      <c r="W226" s="860"/>
      <c r="X226" s="860"/>
      <c r="Y226" s="860"/>
      <c r="Z226" s="1261"/>
      <c r="AA226" s="1242"/>
      <c r="AB226" s="1162"/>
      <c r="AC226" s="1162"/>
      <c r="AD226" s="1162"/>
      <c r="AE226" s="1261"/>
      <c r="AF226" s="1242"/>
      <c r="AG226" s="1162"/>
      <c r="AH226" s="1162"/>
      <c r="AI226" s="1162"/>
      <c r="AJ226" s="1261"/>
      <c r="AK226" s="1242"/>
      <c r="AL226" s="1162"/>
      <c r="AM226" s="1162"/>
      <c r="AN226" s="1162"/>
      <c r="AO226" s="1261"/>
      <c r="AP226" s="1242"/>
      <c r="AQ226" s="1162"/>
      <c r="AR226" s="1162"/>
      <c r="AS226" s="1162"/>
      <c r="AT226" s="1261"/>
      <c r="AU226" s="1242"/>
      <c r="AV226" s="1162"/>
      <c r="AW226" s="1162"/>
      <c r="AX226" s="1162"/>
      <c r="AY226" s="1261"/>
      <c r="AZ226" s="1242"/>
      <c r="BA226" s="1162"/>
      <c r="BB226" s="1162"/>
      <c r="BC226" s="1162"/>
      <c r="BD226" s="1261"/>
      <c r="BE226" s="1242"/>
      <c r="BF226" s="1162"/>
      <c r="BG226" s="1162"/>
      <c r="BH226" s="1162"/>
      <c r="BI226" s="1261"/>
      <c r="BJ226" s="1242"/>
      <c r="BK226" s="1162"/>
      <c r="BL226" s="1162"/>
      <c r="BM226" s="1162"/>
      <c r="BN226" s="1261"/>
      <c r="BO226" s="1242"/>
      <c r="BP226" s="1162"/>
      <c r="BQ226" s="1162"/>
      <c r="BR226" s="1162"/>
      <c r="BS226" s="1261"/>
      <c r="BT226" s="1242"/>
      <c r="BU226" s="1162"/>
      <c r="BV226" s="1162"/>
      <c r="BW226" s="1162"/>
      <c r="BX226" s="1261"/>
      <c r="BY226" s="1242"/>
      <c r="BZ226" s="1162"/>
      <c r="CA226" s="1162"/>
      <c r="CB226" s="1756"/>
      <c r="CC226" s="1757"/>
      <c r="CD226" s="1242"/>
      <c r="CE226" s="1162"/>
      <c r="CF226" s="1162"/>
      <c r="CG226" s="1162"/>
      <c r="CH226" s="1757"/>
      <c r="CI226" s="1162"/>
      <c r="CJ226" s="1162"/>
      <c r="CK226" s="1233"/>
      <c r="CL226" s="860"/>
      <c r="CM226" s="860"/>
      <c r="CN226" s="860"/>
      <c r="CO226" s="1232"/>
      <c r="CP226" s="1233"/>
      <c r="CQ226" s="860"/>
      <c r="CR226" s="860"/>
      <c r="CS226" s="860"/>
      <c r="CT226" s="1232"/>
      <c r="CU226" s="1233"/>
      <c r="CV226" s="860"/>
      <c r="CW226" s="860"/>
      <c r="CX226" s="860"/>
      <c r="CY226" s="1232"/>
      <c r="CZ226" s="1233"/>
      <c r="DA226" s="860"/>
      <c r="DB226" s="860"/>
      <c r="DC226" s="860"/>
      <c r="DD226" s="1232"/>
      <c r="DE226" s="1233"/>
      <c r="DF226" s="860"/>
      <c r="DG226" s="860"/>
      <c r="DH226" s="860"/>
      <c r="DI226" s="1232"/>
      <c r="DJ226" s="1233"/>
      <c r="DK226" s="860"/>
      <c r="DL226" s="860"/>
      <c r="DM226" s="860"/>
      <c r="DN226" s="1232"/>
      <c r="DO226" s="1233"/>
      <c r="DP226" s="860"/>
      <c r="DQ226" s="860"/>
      <c r="DR226" s="860"/>
      <c r="DS226" s="1232"/>
      <c r="DT226" s="1233"/>
      <c r="DU226" s="860"/>
      <c r="DV226" s="860"/>
      <c r="DW226" s="860"/>
      <c r="DX226" s="1232"/>
      <c r="DY226" s="1233"/>
      <c r="DZ226" s="860"/>
      <c r="EA226" s="860"/>
      <c r="EB226" s="860"/>
      <c r="EC226" s="1232"/>
      <c r="ED226" s="860"/>
      <c r="EE226" s="860"/>
      <c r="EF226" s="860"/>
      <c r="EG226" s="860"/>
      <c r="EH226" s="860"/>
      <c r="EI226" s="1233"/>
      <c r="EJ226" s="860"/>
      <c r="EK226" s="860"/>
      <c r="EL226" s="860"/>
      <c r="EM226" s="1232"/>
      <c r="EN226" s="1233"/>
      <c r="EO226" s="860"/>
      <c r="EP226" s="860"/>
      <c r="EQ226" s="860"/>
      <c r="ER226" s="1232"/>
      <c r="ES226" s="860"/>
      <c r="ET226" s="860"/>
      <c r="EU226" s="860"/>
      <c r="EV226" s="860"/>
      <c r="EW226" s="1232"/>
      <c r="EX226" s="1233"/>
      <c r="EY226" s="860"/>
      <c r="EZ226" s="860"/>
      <c r="FA226" s="860"/>
      <c r="FB226" s="1754"/>
      <c r="FC226" s="1233"/>
      <c r="FD226" s="860"/>
      <c r="FE226" s="860"/>
      <c r="FF226" s="860"/>
      <c r="FG226" s="860"/>
      <c r="FH226" s="860"/>
      <c r="FI226" s="860"/>
      <c r="FJ226" s="860"/>
      <c r="FK226" s="860"/>
      <c r="FL226" s="860"/>
      <c r="FM226" s="860"/>
      <c r="FN226" s="860"/>
      <c r="FO226" s="860"/>
      <c r="FP226" s="860"/>
      <c r="FQ226" s="860"/>
      <c r="FR226" s="860"/>
      <c r="FS226" s="860"/>
      <c r="FT226" s="860"/>
      <c r="FU226" s="860"/>
      <c r="FV226" s="860"/>
      <c r="FW226" s="860"/>
      <c r="FX226" s="860"/>
      <c r="FY226" s="860"/>
      <c r="FZ226" s="860"/>
      <c r="GA226" s="860"/>
      <c r="GB226" s="860"/>
      <c r="GC226" s="860"/>
      <c r="GD226" s="860"/>
      <c r="GE226" s="860"/>
      <c r="GF226" s="860"/>
      <c r="GG226" s="860"/>
      <c r="GH226" s="860"/>
      <c r="GI226" s="860"/>
      <c r="GJ226" s="860"/>
      <c r="GK226" s="860"/>
      <c r="GL226" s="860"/>
      <c r="GM226" s="860"/>
      <c r="GN226" s="860"/>
      <c r="GO226" s="860"/>
      <c r="GP226" s="860"/>
      <c r="GQ226" s="860"/>
      <c r="GR226" s="1241"/>
      <c r="GS226" s="1218"/>
      <c r="GT226" s="1241"/>
      <c r="GU226" s="1218"/>
      <c r="GV226" s="1241"/>
      <c r="GW226" s="1218"/>
      <c r="GX226" s="1218"/>
      <c r="GY226" s="1241"/>
      <c r="GZ226" s="1218"/>
      <c r="HA226" s="1218"/>
      <c r="HB226" s="1241"/>
      <c r="HC226" s="1218"/>
      <c r="HD226" s="2000"/>
      <c r="HE226" s="1241"/>
      <c r="HF226" s="1218"/>
      <c r="HG226" s="2000"/>
      <c r="HH226" s="1241"/>
      <c r="HI226" s="1241"/>
      <c r="HJ226" s="1218"/>
      <c r="HK226" s="2000"/>
      <c r="HL226" s="1241"/>
      <c r="HM226" s="1218"/>
      <c r="HN226" s="2000"/>
      <c r="HO226" s="1241"/>
      <c r="HP226" s="1218"/>
      <c r="HQ226" s="2000"/>
      <c r="HR226" s="1241"/>
    </row>
    <row r="227" spans="1:226" hidden="1">
      <c r="A227" s="1509" t="s">
        <v>483</v>
      </c>
      <c r="B227" s="1233"/>
      <c r="C227" s="860"/>
      <c r="D227" s="860"/>
      <c r="E227" s="860"/>
      <c r="F227" s="1232"/>
      <c r="G227" s="1233"/>
      <c r="H227" s="860"/>
      <c r="I227" s="860"/>
      <c r="J227" s="860"/>
      <c r="K227" s="1232"/>
      <c r="L227" s="1233"/>
      <c r="M227" s="860"/>
      <c r="N227" s="860"/>
      <c r="O227" s="860"/>
      <c r="P227" s="1232"/>
      <c r="Q227" s="1233"/>
      <c r="R227" s="860"/>
      <c r="S227" s="860"/>
      <c r="T227" s="860"/>
      <c r="U227" s="1232"/>
      <c r="V227" s="1233"/>
      <c r="W227" s="860"/>
      <c r="X227" s="860"/>
      <c r="Y227" s="860"/>
      <c r="Z227" s="1261"/>
      <c r="AA227" s="1242"/>
      <c r="AB227" s="1162"/>
      <c r="AC227" s="1162"/>
      <c r="AD227" s="1162"/>
      <c r="AE227" s="1261"/>
      <c r="AF227" s="1242"/>
      <c r="AG227" s="1162"/>
      <c r="AH227" s="1162"/>
      <c r="AI227" s="1162"/>
      <c r="AJ227" s="1261"/>
      <c r="AK227" s="1242"/>
      <c r="AL227" s="1162"/>
      <c r="AM227" s="1162"/>
      <c r="AN227" s="1162"/>
      <c r="AO227" s="1261"/>
      <c r="AP227" s="1242"/>
      <c r="AQ227" s="1162"/>
      <c r="AR227" s="1162"/>
      <c r="AS227" s="1162"/>
      <c r="AT227" s="1261"/>
      <c r="AU227" s="1242"/>
      <c r="AV227" s="1162"/>
      <c r="AW227" s="1162"/>
      <c r="AX227" s="1162"/>
      <c r="AY227" s="1261"/>
      <c r="AZ227" s="1242"/>
      <c r="BA227" s="1162"/>
      <c r="BB227" s="1162"/>
      <c r="BC227" s="1162"/>
      <c r="BD227" s="1261"/>
      <c r="BE227" s="1242"/>
      <c r="BF227" s="1162"/>
      <c r="BG227" s="1162"/>
      <c r="BH227" s="1162"/>
      <c r="BI227" s="1261"/>
      <c r="BJ227" s="1242"/>
      <c r="BK227" s="1162"/>
      <c r="BL227" s="1162"/>
      <c r="BM227" s="1162"/>
      <c r="BN227" s="1261"/>
      <c r="BO227" s="1242"/>
      <c r="BP227" s="1162"/>
      <c r="BQ227" s="1162"/>
      <c r="BR227" s="1162"/>
      <c r="BS227" s="1261"/>
      <c r="BT227" s="1242"/>
      <c r="BU227" s="1162"/>
      <c r="BV227" s="1162"/>
      <c r="BW227" s="1162"/>
      <c r="BX227" s="1261"/>
      <c r="BY227" s="1242"/>
      <c r="BZ227" s="1162"/>
      <c r="CA227" s="1162"/>
      <c r="CB227" s="1756"/>
      <c r="CC227" s="1757"/>
      <c r="CD227" s="1242"/>
      <c r="CE227" s="1162"/>
      <c r="CF227" s="1162"/>
      <c r="CG227" s="1162"/>
      <c r="CH227" s="1757"/>
      <c r="CI227" s="1162"/>
      <c r="CJ227" s="1162"/>
      <c r="CK227" s="1233"/>
      <c r="CL227" s="860"/>
      <c r="CM227" s="860"/>
      <c r="CN227" s="860"/>
      <c r="CO227" s="1232"/>
      <c r="CP227" s="1233"/>
      <c r="CQ227" s="860"/>
      <c r="CR227" s="860"/>
      <c r="CS227" s="860"/>
      <c r="CT227" s="1232"/>
      <c r="CU227" s="1233"/>
      <c r="CV227" s="860"/>
      <c r="CW227" s="860"/>
      <c r="CX227" s="860"/>
      <c r="CY227" s="1232"/>
      <c r="CZ227" s="1233"/>
      <c r="DA227" s="860"/>
      <c r="DB227" s="860"/>
      <c r="DC227" s="860"/>
      <c r="DD227" s="1232"/>
      <c r="DE227" s="1233"/>
      <c r="DF227" s="860"/>
      <c r="DG227" s="860"/>
      <c r="DH227" s="860"/>
      <c r="DI227" s="1232"/>
      <c r="DJ227" s="1233"/>
      <c r="DK227" s="860"/>
      <c r="DL227" s="860"/>
      <c r="DM227" s="860"/>
      <c r="DN227" s="1232"/>
      <c r="DO227" s="1233"/>
      <c r="DP227" s="860"/>
      <c r="DQ227" s="860"/>
      <c r="DR227" s="860"/>
      <c r="DS227" s="1232"/>
      <c r="DT227" s="1233"/>
      <c r="DU227" s="860"/>
      <c r="DV227" s="860"/>
      <c r="DW227" s="860"/>
      <c r="DX227" s="1232"/>
      <c r="DY227" s="1233"/>
      <c r="DZ227" s="860"/>
      <c r="EA227" s="860"/>
      <c r="EB227" s="860"/>
      <c r="EC227" s="1232"/>
      <c r="ED227" s="860"/>
      <c r="EE227" s="860"/>
      <c r="EF227" s="860"/>
      <c r="EG227" s="860"/>
      <c r="EH227" s="860"/>
      <c r="EI227" s="1233"/>
      <c r="EJ227" s="860"/>
      <c r="EK227" s="860"/>
      <c r="EL227" s="860"/>
      <c r="EM227" s="1232"/>
      <c r="EN227" s="1233"/>
      <c r="EO227" s="860"/>
      <c r="EP227" s="860"/>
      <c r="EQ227" s="860"/>
      <c r="ER227" s="1232"/>
      <c r="ES227" s="860"/>
      <c r="ET227" s="860"/>
      <c r="EU227" s="860"/>
      <c r="EV227" s="860"/>
      <c r="EW227" s="1232"/>
      <c r="EX227" s="1233"/>
      <c r="EY227" s="860"/>
      <c r="EZ227" s="860"/>
      <c r="FA227" s="860"/>
      <c r="FB227" s="1754"/>
      <c r="FC227" s="1233"/>
      <c r="FD227" s="860"/>
      <c r="FE227" s="860"/>
      <c r="FF227" s="860"/>
      <c r="FG227" s="860"/>
      <c r="FH227" s="860"/>
      <c r="FI227" s="860"/>
      <c r="FJ227" s="860"/>
      <c r="FK227" s="860"/>
      <c r="FL227" s="860"/>
      <c r="FM227" s="860"/>
      <c r="FN227" s="860"/>
      <c r="FO227" s="860"/>
      <c r="FP227" s="860"/>
      <c r="FQ227" s="860"/>
      <c r="FR227" s="860"/>
      <c r="FS227" s="860"/>
      <c r="FT227" s="860"/>
      <c r="FU227" s="860"/>
      <c r="FV227" s="860"/>
      <c r="FW227" s="860"/>
      <c r="FX227" s="860"/>
      <c r="FY227" s="860"/>
      <c r="FZ227" s="860"/>
      <c r="GA227" s="860"/>
      <c r="GB227" s="860"/>
      <c r="GC227" s="860"/>
      <c r="GD227" s="860"/>
      <c r="GE227" s="860"/>
      <c r="GF227" s="860"/>
      <c r="GG227" s="860"/>
      <c r="GH227" s="860"/>
      <c r="GI227" s="860"/>
      <c r="GJ227" s="860"/>
      <c r="GK227" s="860"/>
      <c r="GL227" s="860"/>
      <c r="GM227" s="860"/>
      <c r="GN227" s="860"/>
      <c r="GO227" s="860"/>
      <c r="GP227" s="860"/>
      <c r="GQ227" s="860"/>
      <c r="GR227" s="1241"/>
      <c r="GS227" s="1218"/>
      <c r="GT227" s="1241"/>
      <c r="GU227" s="1218"/>
      <c r="GV227" s="1241"/>
      <c r="GW227" s="1218"/>
      <c r="GX227" s="1218"/>
      <c r="GY227" s="1241"/>
      <c r="GZ227" s="1218"/>
      <c r="HA227" s="1218"/>
      <c r="HB227" s="1241"/>
      <c r="HC227" s="1218"/>
      <c r="HD227" s="2000"/>
      <c r="HE227" s="1241"/>
      <c r="HF227" s="1218"/>
      <c r="HG227" s="2000"/>
      <c r="HH227" s="1241"/>
      <c r="HI227" s="1241"/>
      <c r="HJ227" s="1218"/>
      <c r="HK227" s="2000"/>
      <c r="HL227" s="1241"/>
      <c r="HM227" s="1218"/>
      <c r="HN227" s="2000"/>
      <c r="HO227" s="1241"/>
      <c r="HP227" s="1218"/>
      <c r="HQ227" s="2000"/>
      <c r="HR227" s="1241"/>
    </row>
    <row r="228" spans="1:226" hidden="1">
      <c r="A228" s="1132" t="s">
        <v>817</v>
      </c>
      <c r="B228" s="1233"/>
      <c r="C228" s="860"/>
      <c r="D228" s="860"/>
      <c r="E228" s="860"/>
      <c r="F228" s="1232"/>
      <c r="G228" s="1233"/>
      <c r="H228" s="860"/>
      <c r="I228" s="860"/>
      <c r="J228" s="860">
        <v>2400</v>
      </c>
      <c r="K228" s="1232"/>
      <c r="L228" s="1233"/>
      <c r="M228" s="860"/>
      <c r="N228" s="860"/>
      <c r="O228" s="860"/>
      <c r="P228" s="1232"/>
      <c r="Q228" s="1233"/>
      <c r="R228" s="860"/>
      <c r="S228" s="860"/>
      <c r="T228" s="860"/>
      <c r="U228" s="1232"/>
      <c r="V228" s="1233"/>
      <c r="W228" s="860"/>
      <c r="X228" s="860"/>
      <c r="Y228" s="860"/>
      <c r="Z228" s="1261"/>
      <c r="AA228" s="1242"/>
      <c r="AB228" s="1162"/>
      <c r="AC228" s="1162"/>
      <c r="AD228" s="1162"/>
      <c r="AE228" s="1261"/>
      <c r="AF228" s="1242"/>
      <c r="AG228" s="1162"/>
      <c r="AH228" s="1162"/>
      <c r="AI228" s="1162"/>
      <c r="AJ228" s="1261"/>
      <c r="AK228" s="1242"/>
      <c r="AL228" s="1162"/>
      <c r="AM228" s="1162"/>
      <c r="AN228" s="1162"/>
      <c r="AO228" s="1261"/>
      <c r="AP228" s="1242"/>
      <c r="AQ228" s="1162"/>
      <c r="AR228" s="1162"/>
      <c r="AS228" s="1162"/>
      <c r="AT228" s="1261"/>
      <c r="AU228" s="1242"/>
      <c r="AV228" s="1162"/>
      <c r="AW228" s="1162"/>
      <c r="AX228" s="1162"/>
      <c r="AY228" s="1261"/>
      <c r="AZ228" s="1242"/>
      <c r="BA228" s="1162"/>
      <c r="BB228" s="1162"/>
      <c r="BC228" s="1162"/>
      <c r="BD228" s="1261"/>
      <c r="BE228" s="1242"/>
      <c r="BF228" s="1162"/>
      <c r="BG228" s="1162"/>
      <c r="BH228" s="1162"/>
      <c r="BI228" s="1261"/>
      <c r="BJ228" s="1242"/>
      <c r="BK228" s="1162"/>
      <c r="BL228" s="1162"/>
      <c r="BM228" s="1162"/>
      <c r="BN228" s="1261"/>
      <c r="BO228" s="1242"/>
      <c r="BP228" s="1162"/>
      <c r="BQ228" s="1162"/>
      <c r="BR228" s="1162"/>
      <c r="BS228" s="1261"/>
      <c r="BT228" s="1242"/>
      <c r="BU228" s="1162"/>
      <c r="BV228" s="1162"/>
      <c r="BW228" s="1162"/>
      <c r="BX228" s="1261"/>
      <c r="BY228" s="1242"/>
      <c r="BZ228" s="1162"/>
      <c r="CA228" s="1162"/>
      <c r="CB228" s="1756"/>
      <c r="CC228" s="1757"/>
      <c r="CD228" s="1242"/>
      <c r="CE228" s="1162"/>
      <c r="CF228" s="1162"/>
      <c r="CG228" s="1162"/>
      <c r="CH228" s="1757"/>
      <c r="CI228" s="1162"/>
      <c r="CJ228" s="1162"/>
      <c r="CK228" s="1233"/>
      <c r="CL228" s="860"/>
      <c r="CM228" s="860"/>
      <c r="CN228" s="860"/>
      <c r="CO228" s="1232"/>
      <c r="CP228" s="1233"/>
      <c r="CQ228" s="860"/>
      <c r="CR228" s="860"/>
      <c r="CS228" s="860"/>
      <c r="CT228" s="1232"/>
      <c r="CU228" s="1233"/>
      <c r="CV228" s="860"/>
      <c r="CW228" s="860"/>
      <c r="CX228" s="860"/>
      <c r="CY228" s="1232"/>
      <c r="CZ228" s="1233"/>
      <c r="DA228" s="860"/>
      <c r="DB228" s="860"/>
      <c r="DC228" s="860"/>
      <c r="DD228" s="1232"/>
      <c r="DE228" s="1233"/>
      <c r="DF228" s="860"/>
      <c r="DG228" s="860"/>
      <c r="DH228" s="860"/>
      <c r="DI228" s="1232"/>
      <c r="DJ228" s="1233"/>
      <c r="DK228" s="860"/>
      <c r="DL228" s="860"/>
      <c r="DM228" s="860"/>
      <c r="DN228" s="1232"/>
      <c r="DO228" s="1233"/>
      <c r="DP228" s="860"/>
      <c r="DQ228" s="860"/>
      <c r="DR228" s="860"/>
      <c r="DS228" s="1232"/>
      <c r="DT228" s="1233"/>
      <c r="DU228" s="860"/>
      <c r="DV228" s="860"/>
      <c r="DW228" s="860"/>
      <c r="DX228" s="1232"/>
      <c r="DY228" s="1233"/>
      <c r="DZ228" s="860"/>
      <c r="EA228" s="860"/>
      <c r="EB228" s="860"/>
      <c r="EC228" s="1232"/>
      <c r="ED228" s="860"/>
      <c r="EE228" s="860"/>
      <c r="EF228" s="860"/>
      <c r="EG228" s="860"/>
      <c r="EH228" s="860"/>
      <c r="EI228" s="1233"/>
      <c r="EJ228" s="860"/>
      <c r="EK228" s="860"/>
      <c r="EL228" s="860"/>
      <c r="EM228" s="1232"/>
      <c r="EN228" s="1233"/>
      <c r="EO228" s="860"/>
      <c r="EP228" s="860"/>
      <c r="EQ228" s="860"/>
      <c r="ER228" s="1232"/>
      <c r="ES228" s="860"/>
      <c r="ET228" s="860"/>
      <c r="EU228" s="860"/>
      <c r="EV228" s="860"/>
      <c r="EW228" s="1232"/>
      <c r="EX228" s="1233"/>
      <c r="EY228" s="860"/>
      <c r="EZ228" s="860"/>
      <c r="FA228" s="860"/>
      <c r="FB228" s="1754"/>
      <c r="FC228" s="1233"/>
      <c r="FD228" s="860"/>
      <c r="FE228" s="860"/>
      <c r="FF228" s="860"/>
      <c r="FG228" s="860"/>
      <c r="FH228" s="860"/>
      <c r="FI228" s="860"/>
      <c r="FJ228" s="860"/>
      <c r="FK228" s="860"/>
      <c r="FL228" s="860"/>
      <c r="FM228" s="860"/>
      <c r="FN228" s="860"/>
      <c r="FO228" s="860"/>
      <c r="FP228" s="860"/>
      <c r="FQ228" s="860"/>
      <c r="FR228" s="860"/>
      <c r="FS228" s="860"/>
      <c r="FT228" s="860"/>
      <c r="FU228" s="860"/>
      <c r="FV228" s="860"/>
      <c r="FW228" s="860"/>
      <c r="FX228" s="860"/>
      <c r="FY228" s="860"/>
      <c r="FZ228" s="860"/>
      <c r="GA228" s="860"/>
      <c r="GB228" s="860"/>
      <c r="GC228" s="860"/>
      <c r="GD228" s="860"/>
      <c r="GE228" s="860"/>
      <c r="GF228" s="860"/>
      <c r="GG228" s="860"/>
      <c r="GH228" s="860"/>
      <c r="GI228" s="860"/>
      <c r="GJ228" s="860"/>
      <c r="GK228" s="860"/>
      <c r="GL228" s="860"/>
      <c r="GM228" s="860"/>
      <c r="GN228" s="860"/>
      <c r="GO228" s="860"/>
      <c r="GP228" s="860"/>
      <c r="GQ228" s="860"/>
      <c r="GR228" s="1241"/>
      <c r="GS228" s="1218"/>
      <c r="GT228" s="1241"/>
      <c r="GU228" s="1218"/>
      <c r="GV228" s="1241"/>
      <c r="GW228" s="1218"/>
      <c r="GX228" s="1218"/>
      <c r="GY228" s="1241"/>
      <c r="GZ228" s="1218"/>
      <c r="HA228" s="1218"/>
      <c r="HB228" s="1241"/>
      <c r="HC228" s="1218"/>
      <c r="HD228" s="2000"/>
      <c r="HE228" s="1241"/>
      <c r="HF228" s="1218"/>
      <c r="HG228" s="2000"/>
      <c r="HH228" s="1241"/>
      <c r="HI228" s="1241"/>
      <c r="HJ228" s="1218"/>
      <c r="HK228" s="2000"/>
      <c r="HL228" s="1241"/>
      <c r="HM228" s="1218"/>
      <c r="HN228" s="2000"/>
      <c r="HO228" s="1241"/>
      <c r="HP228" s="1218"/>
      <c r="HQ228" s="2000"/>
      <c r="HR228" s="1241"/>
    </row>
    <row r="229" spans="1:226" hidden="1">
      <c r="A229" s="1132" t="s">
        <v>6</v>
      </c>
      <c r="B229" s="1233">
        <v>636</v>
      </c>
      <c r="C229" s="860">
        <v>654</v>
      </c>
      <c r="D229" s="860">
        <v>662</v>
      </c>
      <c r="E229" s="860">
        <v>669</v>
      </c>
      <c r="F229" s="1232"/>
      <c r="G229" s="1233">
        <v>680</v>
      </c>
      <c r="H229" s="860">
        <v>695</v>
      </c>
      <c r="I229" s="860">
        <v>705</v>
      </c>
      <c r="J229" s="860">
        <v>727</v>
      </c>
      <c r="K229" s="1232"/>
      <c r="L229" s="1233">
        <v>741</v>
      </c>
      <c r="M229" s="860">
        <v>754</v>
      </c>
      <c r="N229" s="1274">
        <v>774.01499999999999</v>
      </c>
      <c r="O229" s="860">
        <v>787</v>
      </c>
      <c r="P229" s="1232"/>
      <c r="Q229" s="1326">
        <v>802.5</v>
      </c>
      <c r="R229" s="1274">
        <v>820.9</v>
      </c>
      <c r="S229" s="1274">
        <v>847.66</v>
      </c>
      <c r="T229" s="1274">
        <v>868</v>
      </c>
      <c r="U229" s="1327"/>
      <c r="V229" s="1326">
        <v>863.64099999999996</v>
      </c>
      <c r="W229" s="1274">
        <v>883.47799999999995</v>
      </c>
      <c r="X229" s="1274">
        <v>883.1</v>
      </c>
      <c r="Y229" s="1274"/>
      <c r="Z229" s="1261"/>
      <c r="AA229" s="1242"/>
      <c r="AB229" s="1162"/>
      <c r="AC229" s="1162"/>
      <c r="AD229" s="1162"/>
      <c r="AE229" s="1261"/>
      <c r="AF229" s="1242"/>
      <c r="AG229" s="1162"/>
      <c r="AH229" s="1162"/>
      <c r="AI229" s="1162"/>
      <c r="AJ229" s="1261"/>
      <c r="AK229" s="1242"/>
      <c r="AL229" s="1162"/>
      <c r="AM229" s="1162"/>
      <c r="AN229" s="1162"/>
      <c r="AO229" s="1261"/>
      <c r="AP229" s="1242"/>
      <c r="AQ229" s="1162"/>
      <c r="AR229" s="1162"/>
      <c r="AS229" s="1162"/>
      <c r="AT229" s="1261"/>
      <c r="AU229" s="1242"/>
      <c r="AV229" s="1162"/>
      <c r="AW229" s="1162"/>
      <c r="AX229" s="1162"/>
      <c r="AY229" s="1261"/>
      <c r="AZ229" s="1242"/>
      <c r="BA229" s="1162"/>
      <c r="BB229" s="1162"/>
      <c r="BC229" s="1162"/>
      <c r="BD229" s="1261"/>
      <c r="BE229" s="1242"/>
      <c r="BF229" s="1162"/>
      <c r="BG229" s="1162"/>
      <c r="BH229" s="1162"/>
      <c r="BI229" s="1261"/>
      <c r="BJ229" s="1242"/>
      <c r="BK229" s="1162"/>
      <c r="BL229" s="1162"/>
      <c r="BM229" s="1162"/>
      <c r="BN229" s="1261"/>
      <c r="BO229" s="1242"/>
      <c r="BP229" s="1162"/>
      <c r="BQ229" s="1162"/>
      <c r="BR229" s="1162"/>
      <c r="BS229" s="1261"/>
      <c r="BT229" s="1242"/>
      <c r="BU229" s="1162"/>
      <c r="BV229" s="1162"/>
      <c r="BW229" s="1162"/>
      <c r="BX229" s="1261"/>
      <c r="BY229" s="1242"/>
      <c r="BZ229" s="1162"/>
      <c r="CA229" s="1162"/>
      <c r="CB229" s="1756"/>
      <c r="CC229" s="1757"/>
      <c r="CD229" s="1242"/>
      <c r="CE229" s="1162"/>
      <c r="CF229" s="1162"/>
      <c r="CG229" s="1162"/>
      <c r="CH229" s="1757"/>
      <c r="CI229" s="1162"/>
      <c r="CJ229" s="1162"/>
      <c r="CK229" s="1233"/>
      <c r="CL229" s="860"/>
      <c r="CM229" s="860"/>
      <c r="CN229" s="860"/>
      <c r="CO229" s="1232"/>
      <c r="CP229" s="1233"/>
      <c r="CQ229" s="860"/>
      <c r="CR229" s="860"/>
      <c r="CS229" s="860"/>
      <c r="CT229" s="1232"/>
      <c r="CU229" s="1233"/>
      <c r="CV229" s="860"/>
      <c r="CW229" s="860"/>
      <c r="CX229" s="860"/>
      <c r="CY229" s="1232"/>
      <c r="CZ229" s="1233"/>
      <c r="DA229" s="860"/>
      <c r="DB229" s="860"/>
      <c r="DC229" s="860"/>
      <c r="DD229" s="1232"/>
      <c r="DE229" s="1233"/>
      <c r="DF229" s="860"/>
      <c r="DG229" s="860"/>
      <c r="DH229" s="860"/>
      <c r="DI229" s="1232"/>
      <c r="DJ229" s="1233"/>
      <c r="DK229" s="860"/>
      <c r="DL229" s="860"/>
      <c r="DM229" s="860"/>
      <c r="DN229" s="1232"/>
      <c r="DO229" s="1233"/>
      <c r="DP229" s="860"/>
      <c r="DQ229" s="860"/>
      <c r="DR229" s="860"/>
      <c r="DS229" s="1232"/>
      <c r="DT229" s="1233"/>
      <c r="DU229" s="860"/>
      <c r="DV229" s="860"/>
      <c r="DW229" s="860"/>
      <c r="DX229" s="1232"/>
      <c r="DY229" s="1233"/>
      <c r="DZ229" s="860"/>
      <c r="EA229" s="860"/>
      <c r="EB229" s="860"/>
      <c r="EC229" s="1232"/>
      <c r="ED229" s="860"/>
      <c r="EE229" s="860"/>
      <c r="EF229" s="860"/>
      <c r="EG229" s="860"/>
      <c r="EH229" s="860"/>
      <c r="EI229" s="1233"/>
      <c r="EJ229" s="860"/>
      <c r="EK229" s="860"/>
      <c r="EL229" s="860"/>
      <c r="EM229" s="1232"/>
      <c r="EN229" s="1233"/>
      <c r="EO229" s="860"/>
      <c r="EP229" s="860"/>
      <c r="EQ229" s="860"/>
      <c r="ER229" s="1232"/>
      <c r="ES229" s="860"/>
      <c r="ET229" s="860"/>
      <c r="EU229" s="860"/>
      <c r="EV229" s="860"/>
      <c r="EW229" s="1232"/>
      <c r="EX229" s="1233"/>
      <c r="EY229" s="860"/>
      <c r="EZ229" s="860"/>
      <c r="FA229" s="860"/>
      <c r="FB229" s="1754"/>
      <c r="FC229" s="1233"/>
      <c r="FD229" s="860"/>
      <c r="FE229" s="860"/>
      <c r="FF229" s="860"/>
      <c r="FG229" s="860"/>
      <c r="FH229" s="860"/>
      <c r="FI229" s="860"/>
      <c r="FJ229" s="860"/>
      <c r="FK229" s="860"/>
      <c r="FL229" s="860"/>
      <c r="FM229" s="860"/>
      <c r="FN229" s="860"/>
      <c r="FO229" s="860"/>
      <c r="FP229" s="860"/>
      <c r="FQ229" s="860"/>
      <c r="FR229" s="860"/>
      <c r="FS229" s="860"/>
      <c r="FT229" s="860"/>
      <c r="FU229" s="860"/>
      <c r="FV229" s="860"/>
      <c r="FW229" s="860"/>
      <c r="FX229" s="860"/>
      <c r="FY229" s="860"/>
      <c r="FZ229" s="860"/>
      <c r="GA229" s="860"/>
      <c r="GB229" s="860"/>
      <c r="GC229" s="860"/>
      <c r="GD229" s="860"/>
      <c r="GE229" s="860"/>
      <c r="GF229" s="860"/>
      <c r="GG229" s="860"/>
      <c r="GH229" s="860"/>
      <c r="GI229" s="860"/>
      <c r="GJ229" s="860"/>
      <c r="GK229" s="860"/>
      <c r="GL229" s="860"/>
      <c r="GM229" s="860"/>
      <c r="GN229" s="860"/>
      <c r="GO229" s="860"/>
      <c r="GP229" s="860"/>
      <c r="GQ229" s="860"/>
      <c r="GR229" s="1241"/>
      <c r="GS229" s="1218"/>
      <c r="GT229" s="1241"/>
      <c r="GU229" s="1218"/>
      <c r="GV229" s="1241"/>
      <c r="GW229" s="1218"/>
      <c r="GX229" s="1218"/>
      <c r="GY229" s="1241"/>
      <c r="GZ229" s="1218"/>
      <c r="HA229" s="1218"/>
      <c r="HB229" s="1241"/>
      <c r="HC229" s="1218"/>
      <c r="HD229" s="2000"/>
      <c r="HE229" s="1241"/>
      <c r="HF229" s="1218"/>
      <c r="HG229" s="2000"/>
      <c r="HH229" s="1241"/>
      <c r="HI229" s="1241"/>
      <c r="HJ229" s="1218"/>
      <c r="HK229" s="2000"/>
      <c r="HL229" s="1241"/>
      <c r="HM229" s="1218"/>
      <c r="HN229" s="2000"/>
      <c r="HO229" s="1241"/>
      <c r="HP229" s="1218"/>
      <c r="HQ229" s="2000"/>
      <c r="HR229" s="1241"/>
    </row>
    <row r="230" spans="1:226" hidden="1">
      <c r="A230" s="1132" t="s">
        <v>519</v>
      </c>
      <c r="B230" s="1233">
        <v>262</v>
      </c>
      <c r="C230" s="860">
        <v>277</v>
      </c>
      <c r="D230" s="860">
        <v>290</v>
      </c>
      <c r="E230" s="860">
        <v>299</v>
      </c>
      <c r="F230" s="1232"/>
      <c r="G230" s="1233">
        <v>311</v>
      </c>
      <c r="H230" s="860">
        <v>329</v>
      </c>
      <c r="I230" s="860">
        <v>368</v>
      </c>
      <c r="J230" s="860">
        <v>408</v>
      </c>
      <c r="K230" s="1232"/>
      <c r="L230" s="1233">
        <v>436</v>
      </c>
      <c r="M230" s="860">
        <v>455</v>
      </c>
      <c r="N230" s="1274">
        <v>488.42200000000003</v>
      </c>
      <c r="O230" s="860">
        <v>509</v>
      </c>
      <c r="P230" s="1232"/>
      <c r="Q230" s="1326">
        <v>542.4</v>
      </c>
      <c r="R230" s="1274">
        <v>580.9</v>
      </c>
      <c r="S230" s="1274">
        <v>627.29999999999995</v>
      </c>
      <c r="T230" s="1274">
        <v>666</v>
      </c>
      <c r="U230" s="1327"/>
      <c r="V230" s="1326">
        <v>684.96500000000003</v>
      </c>
      <c r="W230" s="1274">
        <v>717.64300000000003</v>
      </c>
      <c r="X230" s="1274">
        <v>739</v>
      </c>
      <c r="Y230" s="1274"/>
      <c r="Z230" s="1261"/>
      <c r="AA230" s="1242"/>
      <c r="AB230" s="1162"/>
      <c r="AC230" s="1162"/>
      <c r="AD230" s="1162"/>
      <c r="AE230" s="1261"/>
      <c r="AF230" s="1242"/>
      <c r="AG230" s="1162"/>
      <c r="AH230" s="1162"/>
      <c r="AI230" s="1162"/>
      <c r="AJ230" s="1261"/>
      <c r="AK230" s="1242"/>
      <c r="AL230" s="1162"/>
      <c r="AM230" s="1162"/>
      <c r="AN230" s="1162"/>
      <c r="AO230" s="1261"/>
      <c r="AP230" s="1242"/>
      <c r="AQ230" s="1162"/>
      <c r="AR230" s="1162"/>
      <c r="AS230" s="1162"/>
      <c r="AT230" s="1261"/>
      <c r="AU230" s="1242"/>
      <c r="AV230" s="1162"/>
      <c r="AW230" s="1162"/>
      <c r="AX230" s="1162"/>
      <c r="AY230" s="1261"/>
      <c r="AZ230" s="1242"/>
      <c r="BA230" s="1162"/>
      <c r="BB230" s="1162"/>
      <c r="BC230" s="1162"/>
      <c r="BD230" s="1261"/>
      <c r="BE230" s="1242"/>
      <c r="BF230" s="1162"/>
      <c r="BG230" s="1162"/>
      <c r="BH230" s="1162"/>
      <c r="BI230" s="1261"/>
      <c r="BJ230" s="1242"/>
      <c r="BK230" s="1162"/>
      <c r="BL230" s="1162"/>
      <c r="BM230" s="1162"/>
      <c r="BN230" s="1261"/>
      <c r="BO230" s="1242"/>
      <c r="BP230" s="1162"/>
      <c r="BQ230" s="1162"/>
      <c r="BR230" s="1162"/>
      <c r="BS230" s="1261"/>
      <c r="BT230" s="1242"/>
      <c r="BU230" s="1162"/>
      <c r="BV230" s="1162"/>
      <c r="BW230" s="1162"/>
      <c r="BX230" s="1261"/>
      <c r="BY230" s="1242"/>
      <c r="BZ230" s="1162"/>
      <c r="CA230" s="1162"/>
      <c r="CB230" s="1756"/>
      <c r="CC230" s="1757"/>
      <c r="CD230" s="1242"/>
      <c r="CE230" s="1162"/>
      <c r="CF230" s="1162"/>
      <c r="CG230" s="1162"/>
      <c r="CH230" s="1757"/>
      <c r="CI230" s="1162"/>
      <c r="CJ230" s="1162"/>
      <c r="CK230" s="1233"/>
      <c r="CL230" s="860"/>
      <c r="CM230" s="860"/>
      <c r="CN230" s="860"/>
      <c r="CO230" s="1232"/>
      <c r="CP230" s="1233"/>
      <c r="CQ230" s="860"/>
      <c r="CR230" s="860"/>
      <c r="CS230" s="860"/>
      <c r="CT230" s="1232"/>
      <c r="CU230" s="1233"/>
      <c r="CV230" s="860"/>
      <c r="CW230" s="860"/>
      <c r="CX230" s="860"/>
      <c r="CY230" s="1232"/>
      <c r="CZ230" s="1233"/>
      <c r="DA230" s="860"/>
      <c r="DB230" s="860"/>
      <c r="DC230" s="860"/>
      <c r="DD230" s="1232"/>
      <c r="DE230" s="1233"/>
      <c r="DF230" s="860"/>
      <c r="DG230" s="860"/>
      <c r="DH230" s="860"/>
      <c r="DI230" s="1232"/>
      <c r="DJ230" s="1233"/>
      <c r="DK230" s="860"/>
      <c r="DL230" s="860"/>
      <c r="DM230" s="860"/>
      <c r="DN230" s="1232"/>
      <c r="DO230" s="1233"/>
      <c r="DP230" s="860"/>
      <c r="DQ230" s="860"/>
      <c r="DR230" s="860"/>
      <c r="DS230" s="1232"/>
      <c r="DT230" s="1233"/>
      <c r="DU230" s="860"/>
      <c r="DV230" s="860"/>
      <c r="DW230" s="860"/>
      <c r="DX230" s="1232"/>
      <c r="DY230" s="1233"/>
      <c r="DZ230" s="860"/>
      <c r="EA230" s="860"/>
      <c r="EB230" s="860"/>
      <c r="EC230" s="1232"/>
      <c r="ED230" s="860"/>
      <c r="EE230" s="860"/>
      <c r="EF230" s="860"/>
      <c r="EG230" s="860"/>
      <c r="EH230" s="860"/>
      <c r="EI230" s="1233"/>
      <c r="EJ230" s="860"/>
      <c r="EK230" s="860"/>
      <c r="EL230" s="860"/>
      <c r="EM230" s="1232"/>
      <c r="EN230" s="1233"/>
      <c r="EO230" s="860"/>
      <c r="EP230" s="860"/>
      <c r="EQ230" s="860"/>
      <c r="ER230" s="1232"/>
      <c r="ES230" s="860"/>
      <c r="ET230" s="860"/>
      <c r="EU230" s="860"/>
      <c r="EV230" s="860"/>
      <c r="EW230" s="1232"/>
      <c r="EX230" s="1233"/>
      <c r="EY230" s="860"/>
      <c r="EZ230" s="860"/>
      <c r="FA230" s="860"/>
      <c r="FB230" s="1754"/>
      <c r="FC230" s="1233"/>
      <c r="FD230" s="860"/>
      <c r="FE230" s="860"/>
      <c r="FF230" s="860"/>
      <c r="FG230" s="860"/>
      <c r="FH230" s="860"/>
      <c r="FI230" s="860"/>
      <c r="FJ230" s="860"/>
      <c r="FK230" s="860"/>
      <c r="FL230" s="860"/>
      <c r="FM230" s="860"/>
      <c r="FN230" s="860"/>
      <c r="FO230" s="860"/>
      <c r="FP230" s="860"/>
      <c r="FQ230" s="860"/>
      <c r="FR230" s="860"/>
      <c r="FS230" s="860"/>
      <c r="FT230" s="860"/>
      <c r="FU230" s="860"/>
      <c r="FV230" s="860"/>
      <c r="FW230" s="860"/>
      <c r="FX230" s="860"/>
      <c r="FY230" s="860"/>
      <c r="FZ230" s="860"/>
      <c r="GA230" s="860"/>
      <c r="GB230" s="860"/>
      <c r="GC230" s="860"/>
      <c r="GD230" s="860"/>
      <c r="GE230" s="860"/>
      <c r="GF230" s="860"/>
      <c r="GG230" s="860"/>
      <c r="GH230" s="860"/>
      <c r="GI230" s="860"/>
      <c r="GJ230" s="860"/>
      <c r="GK230" s="860"/>
      <c r="GL230" s="860"/>
      <c r="GM230" s="860"/>
      <c r="GN230" s="860"/>
      <c r="GO230" s="860"/>
      <c r="GP230" s="860"/>
      <c r="GQ230" s="860"/>
      <c r="GR230" s="1241"/>
      <c r="GS230" s="1218"/>
      <c r="GT230" s="1241"/>
      <c r="GU230" s="1218"/>
      <c r="GV230" s="1241"/>
      <c r="GW230" s="1218"/>
      <c r="GX230" s="1218"/>
      <c r="GY230" s="1241"/>
      <c r="GZ230" s="1218"/>
      <c r="HA230" s="1218"/>
      <c r="HB230" s="1241"/>
      <c r="HC230" s="1218"/>
      <c r="HD230" s="2000"/>
      <c r="HE230" s="1241"/>
      <c r="HF230" s="1218"/>
      <c r="HG230" s="2000"/>
      <c r="HH230" s="1241"/>
      <c r="HI230" s="1241"/>
      <c r="HJ230" s="1218"/>
      <c r="HK230" s="2000"/>
      <c r="HL230" s="1241"/>
      <c r="HM230" s="1218"/>
      <c r="HN230" s="2000"/>
      <c r="HO230" s="1241"/>
      <c r="HP230" s="1218"/>
      <c r="HQ230" s="2000"/>
      <c r="HR230" s="1241"/>
    </row>
    <row r="231" spans="1:226" hidden="1">
      <c r="A231" s="1141" t="s">
        <v>518</v>
      </c>
      <c r="B231" s="1354">
        <v>151</v>
      </c>
      <c r="C231" s="1294">
        <v>166</v>
      </c>
      <c r="D231" s="1294">
        <v>181</v>
      </c>
      <c r="E231" s="1294">
        <v>190</v>
      </c>
      <c r="F231" s="1269"/>
      <c r="G231" s="1354">
        <v>200</v>
      </c>
      <c r="H231" s="1294">
        <v>219</v>
      </c>
      <c r="I231" s="1294">
        <v>232</v>
      </c>
      <c r="J231" s="1294">
        <v>251</v>
      </c>
      <c r="K231" s="1269"/>
      <c r="L231" s="1354">
        <v>268</v>
      </c>
      <c r="M231" s="1294">
        <v>282</v>
      </c>
      <c r="N231" s="967">
        <v>303.19</v>
      </c>
      <c r="O231" s="1294">
        <v>319</v>
      </c>
      <c r="P231" s="1232"/>
      <c r="Q231" s="1511">
        <v>337.6</v>
      </c>
      <c r="R231" s="967">
        <v>359.5</v>
      </c>
      <c r="S231" s="967">
        <v>392.7</v>
      </c>
      <c r="T231" s="967">
        <v>415</v>
      </c>
      <c r="U231" s="1327"/>
      <c r="V231" s="1511">
        <v>419.27199999999999</v>
      </c>
      <c r="W231" s="967">
        <v>436.47300000000001</v>
      </c>
      <c r="X231" s="967">
        <v>439</v>
      </c>
      <c r="Y231" s="1274"/>
      <c r="Z231" s="1261"/>
      <c r="AA231" s="1242"/>
      <c r="AB231" s="1162"/>
      <c r="AC231" s="1162"/>
      <c r="AD231" s="1162"/>
      <c r="AE231" s="1261"/>
      <c r="AF231" s="1242"/>
      <c r="AG231" s="1162"/>
      <c r="AH231" s="1162"/>
      <c r="AI231" s="1162"/>
      <c r="AJ231" s="1261"/>
      <c r="AK231" s="1242"/>
      <c r="AL231" s="1162"/>
      <c r="AM231" s="1162"/>
      <c r="AN231" s="1162"/>
      <c r="AO231" s="1261"/>
      <c r="AP231" s="1242"/>
      <c r="AQ231" s="1162"/>
      <c r="AR231" s="1162"/>
      <c r="AS231" s="1162"/>
      <c r="AT231" s="1261"/>
      <c r="AU231" s="1242"/>
      <c r="AV231" s="1162"/>
      <c r="AW231" s="1162"/>
      <c r="AX231" s="1162"/>
      <c r="AY231" s="1261"/>
      <c r="AZ231" s="1242"/>
      <c r="BA231" s="1162"/>
      <c r="BB231" s="1162"/>
      <c r="BC231" s="1162"/>
      <c r="BD231" s="1261"/>
      <c r="BE231" s="1242"/>
      <c r="BF231" s="1162"/>
      <c r="BG231" s="1162"/>
      <c r="BH231" s="1162"/>
      <c r="BI231" s="1261"/>
      <c r="BJ231" s="1242"/>
      <c r="BK231" s="1162"/>
      <c r="BL231" s="1162"/>
      <c r="BM231" s="1162"/>
      <c r="BN231" s="1261"/>
      <c r="BO231" s="1242"/>
      <c r="BP231" s="1162"/>
      <c r="BQ231" s="1162"/>
      <c r="BR231" s="1162"/>
      <c r="BS231" s="1261"/>
      <c r="BT231" s="1242"/>
      <c r="BU231" s="1162"/>
      <c r="BV231" s="1162"/>
      <c r="BW231" s="1162"/>
      <c r="BX231" s="1261"/>
      <c r="BY231" s="1242"/>
      <c r="BZ231" s="1162"/>
      <c r="CA231" s="1162"/>
      <c r="CB231" s="1756"/>
      <c r="CC231" s="1757"/>
      <c r="CD231" s="1242"/>
      <c r="CE231" s="1162"/>
      <c r="CF231" s="1162"/>
      <c r="CG231" s="1162"/>
      <c r="CH231" s="1757"/>
      <c r="CI231" s="1162"/>
      <c r="CJ231" s="1162"/>
      <c r="CK231" s="1233"/>
      <c r="CL231" s="860"/>
      <c r="CM231" s="860"/>
      <c r="CN231" s="860"/>
      <c r="CO231" s="1232"/>
      <c r="CP231" s="1233"/>
      <c r="CQ231" s="860"/>
      <c r="CR231" s="860"/>
      <c r="CS231" s="860"/>
      <c r="CT231" s="1232"/>
      <c r="CU231" s="1233"/>
      <c r="CV231" s="860"/>
      <c r="CW231" s="860"/>
      <c r="CX231" s="860"/>
      <c r="CY231" s="1232"/>
      <c r="CZ231" s="1233"/>
      <c r="DA231" s="860"/>
      <c r="DB231" s="860"/>
      <c r="DC231" s="860"/>
      <c r="DD231" s="1232"/>
      <c r="DE231" s="1233"/>
      <c r="DF231" s="860"/>
      <c r="DG231" s="860"/>
      <c r="DH231" s="860"/>
      <c r="DI231" s="1232"/>
      <c r="DJ231" s="1233"/>
      <c r="DK231" s="860"/>
      <c r="DL231" s="860"/>
      <c r="DM231" s="860"/>
      <c r="DN231" s="1232"/>
      <c r="DO231" s="1233"/>
      <c r="DP231" s="860"/>
      <c r="DQ231" s="860"/>
      <c r="DR231" s="860"/>
      <c r="DS231" s="1232"/>
      <c r="DT231" s="1233"/>
      <c r="DU231" s="860"/>
      <c r="DV231" s="860"/>
      <c r="DW231" s="860"/>
      <c r="DX231" s="1232"/>
      <c r="DY231" s="1233"/>
      <c r="DZ231" s="860"/>
      <c r="EA231" s="860"/>
      <c r="EB231" s="860"/>
      <c r="EC231" s="1232"/>
      <c r="ED231" s="860"/>
      <c r="EE231" s="860"/>
      <c r="EF231" s="860"/>
      <c r="EG231" s="860"/>
      <c r="EH231" s="860"/>
      <c r="EI231" s="1233"/>
      <c r="EJ231" s="860"/>
      <c r="EK231" s="860"/>
      <c r="EL231" s="860"/>
      <c r="EM231" s="1232"/>
      <c r="EN231" s="1233"/>
      <c r="EO231" s="860"/>
      <c r="EP231" s="860"/>
      <c r="EQ231" s="860"/>
      <c r="ER231" s="1232"/>
      <c r="ES231" s="860"/>
      <c r="ET231" s="860"/>
      <c r="EU231" s="860"/>
      <c r="EV231" s="860"/>
      <c r="EW231" s="1232"/>
      <c r="EX231" s="1233"/>
      <c r="EY231" s="860"/>
      <c r="EZ231" s="860"/>
      <c r="FA231" s="860"/>
      <c r="FB231" s="1754"/>
      <c r="FC231" s="1233"/>
      <c r="FD231" s="860"/>
      <c r="FE231" s="860"/>
      <c r="FF231" s="860"/>
      <c r="FG231" s="860"/>
      <c r="FH231" s="860"/>
      <c r="FI231" s="860"/>
      <c r="FJ231" s="860"/>
      <c r="FK231" s="860"/>
      <c r="FL231" s="860"/>
      <c r="FM231" s="860"/>
      <c r="FN231" s="860"/>
      <c r="FO231" s="860"/>
      <c r="FP231" s="860"/>
      <c r="FQ231" s="860"/>
      <c r="FR231" s="860"/>
      <c r="FS231" s="860"/>
      <c r="FT231" s="860"/>
      <c r="FU231" s="860"/>
      <c r="FV231" s="860"/>
      <c r="FW231" s="860"/>
      <c r="FX231" s="860"/>
      <c r="FY231" s="860"/>
      <c r="FZ231" s="860"/>
      <c r="GA231" s="860"/>
      <c r="GB231" s="860"/>
      <c r="GC231" s="860"/>
      <c r="GD231" s="860"/>
      <c r="GE231" s="860"/>
      <c r="GF231" s="860"/>
      <c r="GG231" s="860"/>
      <c r="GH231" s="860"/>
      <c r="GI231" s="860"/>
      <c r="GJ231" s="860"/>
      <c r="GK231" s="860"/>
      <c r="GL231" s="860"/>
      <c r="GM231" s="860"/>
      <c r="GN231" s="860"/>
      <c r="GO231" s="860"/>
      <c r="GP231" s="860"/>
      <c r="GQ231" s="860"/>
      <c r="GR231" s="1241"/>
      <c r="GS231" s="1218"/>
      <c r="GT231" s="1241"/>
      <c r="GU231" s="1218"/>
      <c r="GV231" s="1241"/>
      <c r="GW231" s="1218"/>
      <c r="GX231" s="1218"/>
      <c r="GY231" s="1241"/>
      <c r="GZ231" s="1218"/>
      <c r="HA231" s="1218"/>
      <c r="HB231" s="1241"/>
      <c r="HC231" s="1218"/>
      <c r="HD231" s="2000"/>
      <c r="HE231" s="1241"/>
      <c r="HF231" s="1218"/>
      <c r="HG231" s="2000"/>
      <c r="HH231" s="1241"/>
      <c r="HI231" s="1241"/>
      <c r="HJ231" s="1218"/>
      <c r="HK231" s="2000"/>
      <c r="HL231" s="1241"/>
      <c r="HM231" s="1218"/>
      <c r="HN231" s="2000"/>
      <c r="HO231" s="1241"/>
      <c r="HP231" s="1218"/>
      <c r="HQ231" s="2000"/>
      <c r="HR231" s="1241"/>
    </row>
    <row r="232" spans="1:226" hidden="1">
      <c r="A232" s="1132" t="s">
        <v>85</v>
      </c>
      <c r="B232" s="1233">
        <f>SUM(B229:B231)</f>
        <v>1049</v>
      </c>
      <c r="C232" s="860">
        <f>SUM(C229:C231)</f>
        <v>1097</v>
      </c>
      <c r="D232" s="860">
        <f>SUM(D229:D231)</f>
        <v>1133</v>
      </c>
      <c r="E232" s="860">
        <f>SUM(E229:E231)</f>
        <v>1158</v>
      </c>
      <c r="F232" s="1232"/>
      <c r="G232" s="1233">
        <f>SUM(G229:G231)</f>
        <v>1191</v>
      </c>
      <c r="H232" s="860">
        <f>SUM(H229:H231)</f>
        <v>1243</v>
      </c>
      <c r="I232" s="860">
        <f>SUM(I229:I231)</f>
        <v>1305</v>
      </c>
      <c r="J232" s="860">
        <f>SUM(J229:J231)</f>
        <v>1386</v>
      </c>
      <c r="K232" s="1232"/>
      <c r="L232" s="1233">
        <f>SUM(L229:L231)</f>
        <v>1445</v>
      </c>
      <c r="M232" s="860">
        <f>SUM(M229:M231)</f>
        <v>1491</v>
      </c>
      <c r="N232" s="860">
        <f>SUM(N229:N231)</f>
        <v>1565.627</v>
      </c>
      <c r="O232" s="860">
        <f>SUM(O229:O231)</f>
        <v>1615</v>
      </c>
      <c r="P232" s="1232"/>
      <c r="Q232" s="1326">
        <f>SUM(Q229:Q231)</f>
        <v>1682.5</v>
      </c>
      <c r="R232" s="1274">
        <f>SUM(R229:R231)</f>
        <v>1761.3</v>
      </c>
      <c r="S232" s="1274">
        <f>SUM(S229:S231)</f>
        <v>1867.66</v>
      </c>
      <c r="T232" s="1274">
        <f>SUM(T229:T231)</f>
        <v>1949</v>
      </c>
      <c r="U232" s="1327"/>
      <c r="V232" s="1326">
        <f>SUM(V229:V231)</f>
        <v>1967.8779999999999</v>
      </c>
      <c r="W232" s="1274">
        <f>SUM(W229:W231)</f>
        <v>2037.5940000000001</v>
      </c>
      <c r="X232" s="1274">
        <f>SUM(X229:X231)</f>
        <v>2061.1</v>
      </c>
      <c r="Y232" s="1274"/>
      <c r="Z232" s="1261"/>
      <c r="AA232" s="1242"/>
      <c r="AB232" s="1162"/>
      <c r="AC232" s="1162"/>
      <c r="AD232" s="1162"/>
      <c r="AE232" s="1261"/>
      <c r="AF232" s="1242"/>
      <c r="AG232" s="1162"/>
      <c r="AH232" s="1162"/>
      <c r="AI232" s="1162"/>
      <c r="AJ232" s="1261"/>
      <c r="AK232" s="1242"/>
      <c r="AL232" s="1162"/>
      <c r="AM232" s="1162"/>
      <c r="AN232" s="1162"/>
      <c r="AO232" s="1261"/>
      <c r="AP232" s="1242"/>
      <c r="AQ232" s="1162"/>
      <c r="AR232" s="1162"/>
      <c r="AS232" s="1162"/>
      <c r="AT232" s="1261"/>
      <c r="AU232" s="1242"/>
      <c r="AV232" s="1162"/>
      <c r="AW232" s="1162"/>
      <c r="AX232" s="1162"/>
      <c r="AY232" s="1261"/>
      <c r="AZ232" s="1242"/>
      <c r="BA232" s="1162"/>
      <c r="BB232" s="1162"/>
      <c r="BC232" s="1162"/>
      <c r="BD232" s="1261"/>
      <c r="BE232" s="1242"/>
      <c r="BF232" s="1162"/>
      <c r="BG232" s="1162"/>
      <c r="BH232" s="1162"/>
      <c r="BI232" s="1261"/>
      <c r="BJ232" s="1242"/>
      <c r="BK232" s="1162"/>
      <c r="BL232" s="1162"/>
      <c r="BM232" s="1162"/>
      <c r="BN232" s="1261"/>
      <c r="BO232" s="1242"/>
      <c r="BP232" s="1162"/>
      <c r="BQ232" s="1162"/>
      <c r="BR232" s="1162"/>
      <c r="BS232" s="1261"/>
      <c r="BT232" s="1242"/>
      <c r="BU232" s="1162"/>
      <c r="BV232" s="1162"/>
      <c r="BW232" s="1162"/>
      <c r="BX232" s="1261"/>
      <c r="BY232" s="1242"/>
      <c r="BZ232" s="1162"/>
      <c r="CA232" s="1162"/>
      <c r="CB232" s="1756"/>
      <c r="CC232" s="1757"/>
      <c r="CD232" s="1242"/>
      <c r="CE232" s="1162"/>
      <c r="CF232" s="1162"/>
      <c r="CG232" s="1162"/>
      <c r="CH232" s="1757"/>
      <c r="CI232" s="1162"/>
      <c r="CJ232" s="1162"/>
      <c r="CK232" s="1233"/>
      <c r="CL232" s="860"/>
      <c r="CM232" s="860"/>
      <c r="CN232" s="860"/>
      <c r="CO232" s="1232"/>
      <c r="CP232" s="1233"/>
      <c r="CQ232" s="860"/>
      <c r="CR232" s="860"/>
      <c r="CS232" s="860"/>
      <c r="CT232" s="1232"/>
      <c r="CU232" s="1233"/>
      <c r="CV232" s="860"/>
      <c r="CW232" s="860"/>
      <c r="CX232" s="860"/>
      <c r="CY232" s="1232"/>
      <c r="CZ232" s="1233"/>
      <c r="DA232" s="860"/>
      <c r="DB232" s="860"/>
      <c r="DC232" s="860"/>
      <c r="DD232" s="1232"/>
      <c r="DE232" s="1233"/>
      <c r="DF232" s="860"/>
      <c r="DG232" s="860"/>
      <c r="DH232" s="860"/>
      <c r="DI232" s="1232"/>
      <c r="DJ232" s="1233"/>
      <c r="DK232" s="860"/>
      <c r="DL232" s="860"/>
      <c r="DM232" s="860"/>
      <c r="DN232" s="1232"/>
      <c r="DO232" s="1233"/>
      <c r="DP232" s="860"/>
      <c r="DQ232" s="860"/>
      <c r="DR232" s="860"/>
      <c r="DS232" s="1232"/>
      <c r="DT232" s="1233"/>
      <c r="DU232" s="860"/>
      <c r="DV232" s="860"/>
      <c r="DW232" s="860"/>
      <c r="DX232" s="1232"/>
      <c r="DY232" s="1233"/>
      <c r="DZ232" s="860"/>
      <c r="EA232" s="860"/>
      <c r="EB232" s="860"/>
      <c r="EC232" s="1232"/>
      <c r="ED232" s="860"/>
      <c r="EE232" s="860"/>
      <c r="EF232" s="860"/>
      <c r="EG232" s="860"/>
      <c r="EH232" s="860"/>
      <c r="EI232" s="1233"/>
      <c r="EJ232" s="860"/>
      <c r="EK232" s="860"/>
      <c r="EL232" s="860"/>
      <c r="EM232" s="1232"/>
      <c r="EN232" s="1233"/>
      <c r="EO232" s="860"/>
      <c r="EP232" s="860"/>
      <c r="EQ232" s="860"/>
      <c r="ER232" s="1232"/>
      <c r="ES232" s="860"/>
      <c r="ET232" s="860"/>
      <c r="EU232" s="860"/>
      <c r="EV232" s="860"/>
      <c r="EW232" s="1232"/>
      <c r="EX232" s="1233"/>
      <c r="EY232" s="860"/>
      <c r="EZ232" s="860"/>
      <c r="FA232" s="860"/>
      <c r="FB232" s="1754"/>
      <c r="FC232" s="1233"/>
      <c r="FD232" s="860"/>
      <c r="FE232" s="860"/>
      <c r="FF232" s="860"/>
      <c r="FG232" s="860"/>
      <c r="FH232" s="860"/>
      <c r="FI232" s="860"/>
      <c r="FJ232" s="860"/>
      <c r="FK232" s="860"/>
      <c r="FL232" s="860"/>
      <c r="FM232" s="860"/>
      <c r="FN232" s="860"/>
      <c r="FO232" s="860"/>
      <c r="FP232" s="860"/>
      <c r="FQ232" s="860"/>
      <c r="FR232" s="860"/>
      <c r="FS232" s="860"/>
      <c r="FT232" s="860"/>
      <c r="FU232" s="860"/>
      <c r="FV232" s="860"/>
      <c r="FW232" s="860"/>
      <c r="FX232" s="860"/>
      <c r="FY232" s="860"/>
      <c r="FZ232" s="860"/>
      <c r="GA232" s="860"/>
      <c r="GB232" s="860"/>
      <c r="GC232" s="860"/>
      <c r="GD232" s="860"/>
      <c r="GE232" s="860"/>
      <c r="GF232" s="860"/>
      <c r="GG232" s="860"/>
      <c r="GH232" s="860"/>
      <c r="GI232" s="860"/>
      <c r="GJ232" s="860"/>
      <c r="GK232" s="860"/>
      <c r="GL232" s="860"/>
      <c r="GM232" s="860"/>
      <c r="GN232" s="860"/>
      <c r="GO232" s="860"/>
      <c r="GP232" s="860"/>
      <c r="GQ232" s="860"/>
      <c r="GR232" s="1241"/>
      <c r="GS232" s="1218"/>
      <c r="GT232" s="1241"/>
      <c r="GU232" s="1218"/>
      <c r="GV232" s="1241"/>
      <c r="GW232" s="1218"/>
      <c r="GX232" s="1218"/>
      <c r="GY232" s="1241"/>
      <c r="GZ232" s="1218"/>
      <c r="HA232" s="1218"/>
      <c r="HB232" s="1241"/>
      <c r="HC232" s="1218"/>
      <c r="HD232" s="2000"/>
      <c r="HE232" s="1241"/>
      <c r="HF232" s="1218"/>
      <c r="HG232" s="2000"/>
      <c r="HH232" s="1241"/>
      <c r="HI232" s="1241"/>
      <c r="HJ232" s="1218"/>
      <c r="HK232" s="2000"/>
      <c r="HL232" s="1241"/>
      <c r="HM232" s="1218"/>
      <c r="HN232" s="2000"/>
      <c r="HO232" s="1241"/>
      <c r="HP232" s="1218"/>
      <c r="HQ232" s="2000"/>
      <c r="HR232" s="1241"/>
    </row>
    <row r="233" spans="1:226" hidden="1">
      <c r="A233" s="1132"/>
      <c r="B233" s="1233"/>
      <c r="C233" s="860"/>
      <c r="D233" s="860"/>
      <c r="E233" s="860"/>
      <c r="F233" s="1232"/>
      <c r="G233" s="1233"/>
      <c r="H233" s="860"/>
      <c r="I233" s="860"/>
      <c r="J233" s="860"/>
      <c r="K233" s="1232"/>
      <c r="L233" s="1233"/>
      <c r="M233" s="860"/>
      <c r="N233" s="860"/>
      <c r="O233" s="860"/>
      <c r="P233" s="1232"/>
      <c r="Q233" s="1233"/>
      <c r="R233" s="860"/>
      <c r="S233" s="860"/>
      <c r="T233" s="860"/>
      <c r="U233" s="1232"/>
      <c r="V233" s="1233"/>
      <c r="W233" s="860"/>
      <c r="X233" s="860"/>
      <c r="Y233" s="860"/>
      <c r="Z233" s="1261"/>
      <c r="AA233" s="1242"/>
      <c r="AB233" s="1162"/>
      <c r="AC233" s="1162"/>
      <c r="AD233" s="1162"/>
      <c r="AE233" s="1261"/>
      <c r="AF233" s="1242"/>
      <c r="AG233" s="1162"/>
      <c r="AH233" s="1162"/>
      <c r="AI233" s="1162"/>
      <c r="AJ233" s="1261"/>
      <c r="AK233" s="1242"/>
      <c r="AL233" s="1162"/>
      <c r="AM233" s="1162"/>
      <c r="AN233" s="1162"/>
      <c r="AO233" s="1261"/>
      <c r="AP233" s="1242"/>
      <c r="AQ233" s="1162"/>
      <c r="AR233" s="1162"/>
      <c r="AS233" s="1162"/>
      <c r="AT233" s="1261"/>
      <c r="AU233" s="1242"/>
      <c r="AV233" s="1162"/>
      <c r="AW233" s="1162"/>
      <c r="AX233" s="1162"/>
      <c r="AY233" s="1261"/>
      <c r="AZ233" s="1242"/>
      <c r="BA233" s="1162"/>
      <c r="BB233" s="1162"/>
      <c r="BC233" s="1162"/>
      <c r="BD233" s="1261"/>
      <c r="BE233" s="1242"/>
      <c r="BF233" s="1162"/>
      <c r="BG233" s="1162"/>
      <c r="BH233" s="1162"/>
      <c r="BI233" s="1261"/>
      <c r="BJ233" s="1242"/>
      <c r="BK233" s="1162"/>
      <c r="BL233" s="1162"/>
      <c r="BM233" s="1162"/>
      <c r="BN233" s="1261"/>
      <c r="BO233" s="1242"/>
      <c r="BP233" s="1162"/>
      <c r="BQ233" s="1162"/>
      <c r="BR233" s="1162"/>
      <c r="BS233" s="1261"/>
      <c r="BT233" s="1242"/>
      <c r="BU233" s="1162"/>
      <c r="BV233" s="1162"/>
      <c r="BW233" s="1162"/>
      <c r="BX233" s="1261"/>
      <c r="BY233" s="1242"/>
      <c r="BZ233" s="1162"/>
      <c r="CA233" s="1162"/>
      <c r="CB233" s="1756"/>
      <c r="CC233" s="1757"/>
      <c r="CD233" s="1242"/>
      <c r="CE233" s="1162"/>
      <c r="CF233" s="1162"/>
      <c r="CG233" s="1162"/>
      <c r="CH233" s="1757"/>
      <c r="CI233" s="1162"/>
      <c r="CJ233" s="1162"/>
      <c r="CK233" s="1233"/>
      <c r="CL233" s="860"/>
      <c r="CM233" s="860"/>
      <c r="CN233" s="860"/>
      <c r="CO233" s="1232"/>
      <c r="CP233" s="1233"/>
      <c r="CQ233" s="860"/>
      <c r="CR233" s="860"/>
      <c r="CS233" s="860"/>
      <c r="CT233" s="1232"/>
      <c r="CU233" s="1233"/>
      <c r="CV233" s="860"/>
      <c r="CW233" s="860"/>
      <c r="CX233" s="860"/>
      <c r="CY233" s="1232"/>
      <c r="CZ233" s="1233"/>
      <c r="DA233" s="860"/>
      <c r="DB233" s="860"/>
      <c r="DC233" s="860"/>
      <c r="DD233" s="1232"/>
      <c r="DE233" s="1233"/>
      <c r="DF233" s="860"/>
      <c r="DG233" s="860"/>
      <c r="DH233" s="860"/>
      <c r="DI233" s="1232"/>
      <c r="DJ233" s="1233"/>
      <c r="DK233" s="860"/>
      <c r="DL233" s="860"/>
      <c r="DM233" s="860"/>
      <c r="DN233" s="1232"/>
      <c r="DO233" s="1233"/>
      <c r="DP233" s="860"/>
      <c r="DQ233" s="860"/>
      <c r="DR233" s="860"/>
      <c r="DS233" s="1232"/>
      <c r="DT233" s="1233"/>
      <c r="DU233" s="860"/>
      <c r="DV233" s="860"/>
      <c r="DW233" s="860"/>
      <c r="DX233" s="1232"/>
      <c r="DY233" s="1233"/>
      <c r="DZ233" s="860"/>
      <c r="EA233" s="860"/>
      <c r="EB233" s="860"/>
      <c r="EC233" s="1232"/>
      <c r="ED233" s="860"/>
      <c r="EE233" s="860"/>
      <c r="EF233" s="860"/>
      <c r="EG233" s="860"/>
      <c r="EH233" s="860"/>
      <c r="EI233" s="1233"/>
      <c r="EJ233" s="860"/>
      <c r="EK233" s="860"/>
      <c r="EL233" s="860"/>
      <c r="EM233" s="1232"/>
      <c r="EN233" s="1233"/>
      <c r="EO233" s="860"/>
      <c r="EP233" s="860"/>
      <c r="EQ233" s="860"/>
      <c r="ER233" s="1232"/>
      <c r="ES233" s="860"/>
      <c r="ET233" s="860"/>
      <c r="EU233" s="860"/>
      <c r="EV233" s="860"/>
      <c r="EW233" s="1232"/>
      <c r="EX233" s="1233"/>
      <c r="EY233" s="860"/>
      <c r="EZ233" s="860"/>
      <c r="FA233" s="860"/>
      <c r="FB233" s="1754"/>
      <c r="FC233" s="1233"/>
      <c r="FD233" s="860"/>
      <c r="FE233" s="860"/>
      <c r="FF233" s="860"/>
      <c r="FG233" s="860"/>
      <c r="FH233" s="860"/>
      <c r="FI233" s="860"/>
      <c r="FJ233" s="860"/>
      <c r="FK233" s="860"/>
      <c r="FL233" s="860"/>
      <c r="FM233" s="860"/>
      <c r="FN233" s="860"/>
      <c r="FO233" s="860"/>
      <c r="FP233" s="860"/>
      <c r="FQ233" s="860"/>
      <c r="FR233" s="860"/>
      <c r="FS233" s="860"/>
      <c r="FT233" s="860"/>
      <c r="FU233" s="860"/>
      <c r="FV233" s="860"/>
      <c r="FW233" s="860"/>
      <c r="FX233" s="860"/>
      <c r="FY233" s="860"/>
      <c r="FZ233" s="860"/>
      <c r="GA233" s="860"/>
      <c r="GB233" s="860"/>
      <c r="GC233" s="860"/>
      <c r="GD233" s="860"/>
      <c r="GE233" s="860"/>
      <c r="GF233" s="860"/>
      <c r="GG233" s="860"/>
      <c r="GH233" s="860"/>
      <c r="GI233" s="860"/>
      <c r="GJ233" s="860"/>
      <c r="GK233" s="860"/>
      <c r="GL233" s="860"/>
      <c r="GM233" s="860"/>
      <c r="GN233" s="860"/>
      <c r="GO233" s="860"/>
      <c r="GP233" s="860"/>
      <c r="GQ233" s="860"/>
      <c r="GR233" s="1241"/>
      <c r="GS233" s="1218"/>
      <c r="GT233" s="1241"/>
      <c r="GU233" s="1218"/>
      <c r="GV233" s="1241"/>
      <c r="GW233" s="1218"/>
      <c r="GX233" s="1218"/>
      <c r="GY233" s="1241"/>
      <c r="GZ233" s="1218"/>
      <c r="HA233" s="1218"/>
      <c r="HB233" s="1241"/>
      <c r="HC233" s="1218"/>
      <c r="HD233" s="2000"/>
      <c r="HE233" s="1241"/>
      <c r="HF233" s="1218"/>
      <c r="HG233" s="2000"/>
      <c r="HH233" s="1241"/>
      <c r="HI233" s="1241"/>
      <c r="HJ233" s="1218"/>
      <c r="HK233" s="2000"/>
      <c r="HL233" s="1241"/>
      <c r="HM233" s="1218"/>
      <c r="HN233" s="2000"/>
      <c r="HO233" s="1241"/>
      <c r="HP233" s="1218"/>
      <c r="HQ233" s="2000"/>
      <c r="HR233" s="1241"/>
    </row>
    <row r="234" spans="1:226" hidden="1">
      <c r="A234" s="1509" t="s">
        <v>484</v>
      </c>
      <c r="B234" s="1233"/>
      <c r="C234" s="860"/>
      <c r="D234" s="860"/>
      <c r="E234" s="860"/>
      <c r="F234" s="1232"/>
      <c r="G234" s="1233"/>
      <c r="H234" s="860"/>
      <c r="I234" s="860"/>
      <c r="J234" s="860"/>
      <c r="K234" s="1232"/>
      <c r="L234" s="1233"/>
      <c r="M234" s="860"/>
      <c r="N234" s="1274"/>
      <c r="O234" s="860"/>
      <c r="P234" s="1232"/>
      <c r="Q234" s="1233"/>
      <c r="R234" s="860"/>
      <c r="S234" s="860"/>
      <c r="T234" s="860"/>
      <c r="U234" s="1232"/>
      <c r="V234" s="1233"/>
      <c r="W234" s="860"/>
      <c r="X234" s="860"/>
      <c r="Y234" s="860"/>
      <c r="Z234" s="1261"/>
      <c r="AA234" s="1242"/>
      <c r="AB234" s="1162"/>
      <c r="AC234" s="1162"/>
      <c r="AD234" s="1162"/>
      <c r="AE234" s="1261"/>
      <c r="AF234" s="1242"/>
      <c r="AG234" s="1162"/>
      <c r="AH234" s="1162"/>
      <c r="AI234" s="1162"/>
      <c r="AJ234" s="1261"/>
      <c r="AK234" s="1242"/>
      <c r="AL234" s="1162"/>
      <c r="AM234" s="1162"/>
      <c r="AN234" s="1162"/>
      <c r="AO234" s="1261"/>
      <c r="AP234" s="1242"/>
      <c r="AQ234" s="1162"/>
      <c r="AR234" s="1162"/>
      <c r="AS234" s="1162"/>
      <c r="AT234" s="1261"/>
      <c r="AU234" s="1242"/>
      <c r="AV234" s="1162"/>
      <c r="AW234" s="1162"/>
      <c r="AX234" s="1162"/>
      <c r="AY234" s="1261"/>
      <c r="AZ234" s="1242"/>
      <c r="BA234" s="1162"/>
      <c r="BB234" s="1162"/>
      <c r="BC234" s="1162"/>
      <c r="BD234" s="1261"/>
      <c r="BE234" s="1242"/>
      <c r="BF234" s="1162"/>
      <c r="BG234" s="1162"/>
      <c r="BH234" s="1162"/>
      <c r="BI234" s="1261"/>
      <c r="BJ234" s="1242"/>
      <c r="BK234" s="1162"/>
      <c r="BL234" s="1162"/>
      <c r="BM234" s="1162"/>
      <c r="BN234" s="1261"/>
      <c r="BO234" s="1242"/>
      <c r="BP234" s="1162"/>
      <c r="BQ234" s="1162"/>
      <c r="BR234" s="1162"/>
      <c r="BS234" s="1261"/>
      <c r="BT234" s="1242"/>
      <c r="BU234" s="1162"/>
      <c r="BV234" s="1162"/>
      <c r="BW234" s="1162"/>
      <c r="BX234" s="1261"/>
      <c r="BY234" s="1242"/>
      <c r="BZ234" s="1162"/>
      <c r="CA234" s="1162"/>
      <c r="CB234" s="1756"/>
      <c r="CC234" s="1757"/>
      <c r="CD234" s="1242"/>
      <c r="CE234" s="1162"/>
      <c r="CF234" s="1162"/>
      <c r="CG234" s="1162"/>
      <c r="CH234" s="1757"/>
      <c r="CI234" s="1162"/>
      <c r="CJ234" s="1162"/>
      <c r="CK234" s="1233"/>
      <c r="CL234" s="860"/>
      <c r="CM234" s="860"/>
      <c r="CN234" s="860"/>
      <c r="CO234" s="1232"/>
      <c r="CP234" s="1233"/>
      <c r="CQ234" s="860"/>
      <c r="CR234" s="860"/>
      <c r="CS234" s="860"/>
      <c r="CT234" s="1232"/>
      <c r="CU234" s="1233"/>
      <c r="CV234" s="860"/>
      <c r="CW234" s="860"/>
      <c r="CX234" s="860"/>
      <c r="CY234" s="1232"/>
      <c r="CZ234" s="1233"/>
      <c r="DA234" s="860"/>
      <c r="DB234" s="860"/>
      <c r="DC234" s="860"/>
      <c r="DD234" s="1232"/>
      <c r="DE234" s="1233"/>
      <c r="DF234" s="860"/>
      <c r="DG234" s="860"/>
      <c r="DH234" s="860"/>
      <c r="DI234" s="1232"/>
      <c r="DJ234" s="1233"/>
      <c r="DK234" s="860"/>
      <c r="DL234" s="860"/>
      <c r="DM234" s="860"/>
      <c r="DN234" s="1232"/>
      <c r="DO234" s="1233"/>
      <c r="DP234" s="860"/>
      <c r="DQ234" s="860"/>
      <c r="DR234" s="860"/>
      <c r="DS234" s="1232"/>
      <c r="DT234" s="1233"/>
      <c r="DU234" s="860"/>
      <c r="DV234" s="860"/>
      <c r="DW234" s="860"/>
      <c r="DX234" s="1232"/>
      <c r="DY234" s="1233"/>
      <c r="DZ234" s="860"/>
      <c r="EA234" s="860"/>
      <c r="EB234" s="860"/>
      <c r="EC234" s="1232"/>
      <c r="ED234" s="860"/>
      <c r="EE234" s="860"/>
      <c r="EF234" s="860"/>
      <c r="EG234" s="860"/>
      <c r="EH234" s="860"/>
      <c r="EI234" s="1233"/>
      <c r="EJ234" s="860"/>
      <c r="EK234" s="860"/>
      <c r="EL234" s="860"/>
      <c r="EM234" s="1232"/>
      <c r="EN234" s="1233"/>
      <c r="EO234" s="860"/>
      <c r="EP234" s="860"/>
      <c r="EQ234" s="860"/>
      <c r="ER234" s="1232"/>
      <c r="ES234" s="860"/>
      <c r="ET234" s="860"/>
      <c r="EU234" s="860"/>
      <c r="EV234" s="860"/>
      <c r="EW234" s="1232"/>
      <c r="EX234" s="1233"/>
      <c r="EY234" s="860"/>
      <c r="EZ234" s="860"/>
      <c r="FA234" s="860"/>
      <c r="FB234" s="1754"/>
      <c r="FC234" s="1233"/>
      <c r="FD234" s="860"/>
      <c r="FE234" s="860"/>
      <c r="FF234" s="860"/>
      <c r="FG234" s="860"/>
      <c r="FH234" s="860"/>
      <c r="FI234" s="860"/>
      <c r="FJ234" s="860"/>
      <c r="FK234" s="860"/>
      <c r="FL234" s="860"/>
      <c r="FM234" s="860"/>
      <c r="FN234" s="860"/>
      <c r="FO234" s="860"/>
      <c r="FP234" s="860"/>
      <c r="FQ234" s="860"/>
      <c r="FR234" s="860"/>
      <c r="FS234" s="860"/>
      <c r="FT234" s="860"/>
      <c r="FU234" s="860"/>
      <c r="FV234" s="860"/>
      <c r="FW234" s="860"/>
      <c r="FX234" s="860"/>
      <c r="FY234" s="860"/>
      <c r="FZ234" s="860"/>
      <c r="GA234" s="860"/>
      <c r="GB234" s="860"/>
      <c r="GC234" s="860"/>
      <c r="GD234" s="860"/>
      <c r="GE234" s="860"/>
      <c r="GF234" s="860"/>
      <c r="GG234" s="860"/>
      <c r="GH234" s="860"/>
      <c r="GI234" s="860"/>
      <c r="GJ234" s="860"/>
      <c r="GK234" s="860"/>
      <c r="GL234" s="860"/>
      <c r="GM234" s="860"/>
      <c r="GN234" s="860"/>
      <c r="GO234" s="860"/>
      <c r="GP234" s="860"/>
      <c r="GQ234" s="860"/>
      <c r="GR234" s="1241"/>
      <c r="GS234" s="1218"/>
      <c r="GT234" s="1241"/>
      <c r="GU234" s="1218"/>
      <c r="GV234" s="1241"/>
      <c r="GW234" s="1218"/>
      <c r="GX234" s="1218"/>
      <c r="GY234" s="1241"/>
      <c r="GZ234" s="1218"/>
      <c r="HA234" s="1218"/>
      <c r="HB234" s="1241"/>
      <c r="HC234" s="1218"/>
      <c r="HD234" s="2000"/>
      <c r="HE234" s="1241"/>
      <c r="HF234" s="1218"/>
      <c r="HG234" s="2000"/>
      <c r="HH234" s="1241"/>
      <c r="HI234" s="1241"/>
      <c r="HJ234" s="1218"/>
      <c r="HK234" s="2000"/>
      <c r="HL234" s="1241"/>
      <c r="HM234" s="1218"/>
      <c r="HN234" s="2000"/>
      <c r="HO234" s="1241"/>
      <c r="HP234" s="1218"/>
      <c r="HQ234" s="2000"/>
      <c r="HR234" s="1241"/>
    </row>
    <row r="235" spans="1:226" hidden="1">
      <c r="A235" s="1132" t="s">
        <v>817</v>
      </c>
      <c r="B235" s="1233"/>
      <c r="C235" s="860"/>
      <c r="D235" s="860"/>
      <c r="E235" s="860"/>
      <c r="F235" s="1232"/>
      <c r="G235" s="1233"/>
      <c r="H235" s="860"/>
      <c r="I235" s="860"/>
      <c r="J235" s="860">
        <v>3000</v>
      </c>
      <c r="K235" s="1232"/>
      <c r="L235" s="1233"/>
      <c r="M235" s="860"/>
      <c r="N235" s="1274"/>
      <c r="O235" s="860"/>
      <c r="P235" s="1232"/>
      <c r="Q235" s="1233"/>
      <c r="R235" s="860"/>
      <c r="S235" s="860"/>
      <c r="T235" s="860"/>
      <c r="U235" s="1232"/>
      <c r="V235" s="1233"/>
      <c r="W235" s="860"/>
      <c r="X235" s="860"/>
      <c r="Y235" s="860"/>
      <c r="Z235" s="1261"/>
      <c r="AA235" s="1242"/>
      <c r="AB235" s="1162"/>
      <c r="AC235" s="1162"/>
      <c r="AD235" s="1162"/>
      <c r="AE235" s="1261"/>
      <c r="AF235" s="1242"/>
      <c r="AG235" s="1162"/>
      <c r="AH235" s="1162"/>
      <c r="AI235" s="1162"/>
      <c r="AJ235" s="1261"/>
      <c r="AK235" s="1242"/>
      <c r="AL235" s="1162"/>
      <c r="AM235" s="1162"/>
      <c r="AN235" s="1162"/>
      <c r="AO235" s="1261"/>
      <c r="AP235" s="1242"/>
      <c r="AQ235" s="1162"/>
      <c r="AR235" s="1162"/>
      <c r="AS235" s="1162"/>
      <c r="AT235" s="1261"/>
      <c r="AU235" s="1242"/>
      <c r="AV235" s="1162"/>
      <c r="AW235" s="1162"/>
      <c r="AX235" s="1162"/>
      <c r="AY235" s="1261"/>
      <c r="AZ235" s="1242"/>
      <c r="BA235" s="1162"/>
      <c r="BB235" s="1162"/>
      <c r="BC235" s="1162"/>
      <c r="BD235" s="1261"/>
      <c r="BE235" s="1242"/>
      <c r="BF235" s="1162"/>
      <c r="BG235" s="1162"/>
      <c r="BH235" s="1162"/>
      <c r="BI235" s="1261"/>
      <c r="BJ235" s="1242"/>
      <c r="BK235" s="1162"/>
      <c r="BL235" s="1162"/>
      <c r="BM235" s="1162"/>
      <c r="BN235" s="1261"/>
      <c r="BO235" s="1242"/>
      <c r="BP235" s="1162"/>
      <c r="BQ235" s="1162"/>
      <c r="BR235" s="1162"/>
      <c r="BS235" s="1261"/>
      <c r="BT235" s="1242"/>
      <c r="BU235" s="1162"/>
      <c r="BV235" s="1162"/>
      <c r="BW235" s="1162"/>
      <c r="BX235" s="1261"/>
      <c r="BY235" s="1242"/>
      <c r="BZ235" s="1162"/>
      <c r="CA235" s="1162"/>
      <c r="CB235" s="1756"/>
      <c r="CC235" s="1757"/>
      <c r="CD235" s="1242"/>
      <c r="CE235" s="1162"/>
      <c r="CF235" s="1162"/>
      <c r="CG235" s="1162"/>
      <c r="CH235" s="1757"/>
      <c r="CI235" s="1162"/>
      <c r="CJ235" s="1162"/>
      <c r="CK235" s="1233"/>
      <c r="CL235" s="860"/>
      <c r="CM235" s="860"/>
      <c r="CN235" s="860"/>
      <c r="CO235" s="1232"/>
      <c r="CP235" s="1233"/>
      <c r="CQ235" s="860"/>
      <c r="CR235" s="860"/>
      <c r="CS235" s="860"/>
      <c r="CT235" s="1232"/>
      <c r="CU235" s="1233"/>
      <c r="CV235" s="860"/>
      <c r="CW235" s="860"/>
      <c r="CX235" s="860"/>
      <c r="CY235" s="1232"/>
      <c r="CZ235" s="1233"/>
      <c r="DA235" s="860"/>
      <c r="DB235" s="860"/>
      <c r="DC235" s="860"/>
      <c r="DD235" s="1232"/>
      <c r="DE235" s="1233"/>
      <c r="DF235" s="860"/>
      <c r="DG235" s="860"/>
      <c r="DH235" s="860"/>
      <c r="DI235" s="1232"/>
      <c r="DJ235" s="1233"/>
      <c r="DK235" s="860"/>
      <c r="DL235" s="860"/>
      <c r="DM235" s="860"/>
      <c r="DN235" s="1232"/>
      <c r="DO235" s="1233"/>
      <c r="DP235" s="860"/>
      <c r="DQ235" s="860"/>
      <c r="DR235" s="860"/>
      <c r="DS235" s="1232"/>
      <c r="DT235" s="1233"/>
      <c r="DU235" s="860"/>
      <c r="DV235" s="860"/>
      <c r="DW235" s="860"/>
      <c r="DX235" s="1232"/>
      <c r="DY235" s="1233"/>
      <c r="DZ235" s="860"/>
      <c r="EA235" s="860"/>
      <c r="EB235" s="860"/>
      <c r="EC235" s="1232"/>
      <c r="ED235" s="860"/>
      <c r="EE235" s="860"/>
      <c r="EF235" s="860"/>
      <c r="EG235" s="860"/>
      <c r="EH235" s="860"/>
      <c r="EI235" s="1233"/>
      <c r="EJ235" s="860"/>
      <c r="EK235" s="860"/>
      <c r="EL235" s="860"/>
      <c r="EM235" s="1232"/>
      <c r="EN235" s="1233"/>
      <c r="EO235" s="860"/>
      <c r="EP235" s="860"/>
      <c r="EQ235" s="860"/>
      <c r="ER235" s="1232"/>
      <c r="ES235" s="860"/>
      <c r="ET235" s="860"/>
      <c r="EU235" s="860"/>
      <c r="EV235" s="860"/>
      <c r="EW235" s="1232"/>
      <c r="EX235" s="1233"/>
      <c r="EY235" s="860"/>
      <c r="EZ235" s="860"/>
      <c r="FA235" s="860"/>
      <c r="FB235" s="1754"/>
      <c r="FC235" s="1233"/>
      <c r="FD235" s="860"/>
      <c r="FE235" s="860"/>
      <c r="FF235" s="860"/>
      <c r="FG235" s="860"/>
      <c r="FH235" s="860"/>
      <c r="FI235" s="860"/>
      <c r="FJ235" s="860"/>
      <c r="FK235" s="860"/>
      <c r="FL235" s="860"/>
      <c r="FM235" s="860"/>
      <c r="FN235" s="860"/>
      <c r="FO235" s="860"/>
      <c r="FP235" s="860"/>
      <c r="FQ235" s="860"/>
      <c r="FR235" s="860"/>
      <c r="FS235" s="860"/>
      <c r="FT235" s="860"/>
      <c r="FU235" s="860"/>
      <c r="FV235" s="860"/>
      <c r="FW235" s="860"/>
      <c r="FX235" s="860"/>
      <c r="FY235" s="860"/>
      <c r="FZ235" s="860"/>
      <c r="GA235" s="860"/>
      <c r="GB235" s="860"/>
      <c r="GC235" s="860"/>
      <c r="GD235" s="860"/>
      <c r="GE235" s="860"/>
      <c r="GF235" s="860"/>
      <c r="GG235" s="860"/>
      <c r="GH235" s="860"/>
      <c r="GI235" s="860"/>
      <c r="GJ235" s="860"/>
      <c r="GK235" s="860"/>
      <c r="GL235" s="860"/>
      <c r="GM235" s="860"/>
      <c r="GN235" s="860"/>
      <c r="GO235" s="860"/>
      <c r="GP235" s="860"/>
      <c r="GQ235" s="860"/>
      <c r="GR235" s="1241"/>
      <c r="GS235" s="1218"/>
      <c r="GT235" s="1241"/>
      <c r="GU235" s="1218"/>
      <c r="GV235" s="1241"/>
      <c r="GW235" s="1218"/>
      <c r="GX235" s="1218"/>
      <c r="GY235" s="1241"/>
      <c r="GZ235" s="1218"/>
      <c r="HA235" s="1218"/>
      <c r="HB235" s="1241"/>
      <c r="HC235" s="1218"/>
      <c r="HD235" s="2000"/>
      <c r="HE235" s="1241"/>
      <c r="HF235" s="1218"/>
      <c r="HG235" s="2000"/>
      <c r="HH235" s="1241"/>
      <c r="HI235" s="1241"/>
      <c r="HJ235" s="1218"/>
      <c r="HK235" s="2000"/>
      <c r="HL235" s="1241"/>
      <c r="HM235" s="1218"/>
      <c r="HN235" s="2000"/>
      <c r="HO235" s="1241"/>
      <c r="HP235" s="1218"/>
      <c r="HQ235" s="2000"/>
      <c r="HR235" s="1241"/>
    </row>
    <row r="236" spans="1:226" hidden="1">
      <c r="A236" s="1132" t="s">
        <v>6</v>
      </c>
      <c r="B236" s="1233">
        <v>935</v>
      </c>
      <c r="C236" s="860">
        <v>954</v>
      </c>
      <c r="D236" s="860">
        <v>964</v>
      </c>
      <c r="E236" s="860">
        <v>997</v>
      </c>
      <c r="F236" s="1232"/>
      <c r="G236" s="1233">
        <v>1019</v>
      </c>
      <c r="H236" s="860">
        <v>1027</v>
      </c>
      <c r="I236" s="860">
        <v>1050</v>
      </c>
      <c r="J236" s="860">
        <v>1085</v>
      </c>
      <c r="K236" s="1232"/>
      <c r="L236" s="1233">
        <v>1094</v>
      </c>
      <c r="M236" s="860">
        <v>1096</v>
      </c>
      <c r="N236" s="1274">
        <v>1108.432</v>
      </c>
      <c r="O236" s="860">
        <v>1147</v>
      </c>
      <c r="P236" s="1232"/>
      <c r="Q236" s="1326">
        <v>1159.3</v>
      </c>
      <c r="R236" s="1274">
        <v>1171.7</v>
      </c>
      <c r="S236" s="1274">
        <v>1189.8</v>
      </c>
      <c r="T236" s="1274">
        <v>1185</v>
      </c>
      <c r="U236" s="1327"/>
      <c r="V236" s="1326">
        <v>1195.8009999999999</v>
      </c>
      <c r="W236" s="1274">
        <v>1212.79</v>
      </c>
      <c r="X236" s="1274">
        <v>1204</v>
      </c>
      <c r="Y236" s="1274"/>
      <c r="Z236" s="1261"/>
      <c r="AA236" s="1242"/>
      <c r="AB236" s="1162"/>
      <c r="AC236" s="1162"/>
      <c r="AD236" s="1162"/>
      <c r="AE236" s="1261"/>
      <c r="AF236" s="1242"/>
      <c r="AG236" s="1162"/>
      <c r="AH236" s="1162"/>
      <c r="AI236" s="1162"/>
      <c r="AJ236" s="1261"/>
      <c r="AK236" s="1242"/>
      <c r="AL236" s="1162"/>
      <c r="AM236" s="1162"/>
      <c r="AN236" s="1162"/>
      <c r="AO236" s="1261"/>
      <c r="AP236" s="1242"/>
      <c r="AQ236" s="1162"/>
      <c r="AR236" s="1162"/>
      <c r="AS236" s="1162"/>
      <c r="AT236" s="1261"/>
      <c r="AU236" s="1242"/>
      <c r="AV236" s="1162"/>
      <c r="AW236" s="1162"/>
      <c r="AX236" s="1162"/>
      <c r="AY236" s="1261"/>
      <c r="AZ236" s="1242"/>
      <c r="BA236" s="1162"/>
      <c r="BB236" s="1162"/>
      <c r="BC236" s="1162"/>
      <c r="BD236" s="1261"/>
      <c r="BE236" s="1242"/>
      <c r="BF236" s="1162"/>
      <c r="BG236" s="1162"/>
      <c r="BH236" s="1162"/>
      <c r="BI236" s="1261"/>
      <c r="BJ236" s="1242"/>
      <c r="BK236" s="1162"/>
      <c r="BL236" s="1162"/>
      <c r="BM236" s="1162"/>
      <c r="BN236" s="1261"/>
      <c r="BO236" s="1242"/>
      <c r="BP236" s="1162"/>
      <c r="BQ236" s="1162"/>
      <c r="BR236" s="1162"/>
      <c r="BS236" s="1261"/>
      <c r="BT236" s="1242"/>
      <c r="BU236" s="1162"/>
      <c r="BV236" s="1162"/>
      <c r="BW236" s="1162"/>
      <c r="BX236" s="1261"/>
      <c r="BY236" s="1242"/>
      <c r="BZ236" s="1162"/>
      <c r="CA236" s="1162"/>
      <c r="CB236" s="1756"/>
      <c r="CC236" s="1757"/>
      <c r="CD236" s="1242"/>
      <c r="CE236" s="1162"/>
      <c r="CF236" s="1162"/>
      <c r="CG236" s="1162"/>
      <c r="CH236" s="1757"/>
      <c r="CI236" s="1162"/>
      <c r="CJ236" s="1162"/>
      <c r="CK236" s="1233"/>
      <c r="CL236" s="860"/>
      <c r="CM236" s="860"/>
      <c r="CN236" s="860"/>
      <c r="CO236" s="1232"/>
      <c r="CP236" s="1233"/>
      <c r="CQ236" s="860"/>
      <c r="CR236" s="860"/>
      <c r="CS236" s="860"/>
      <c r="CT236" s="1232"/>
      <c r="CU236" s="1233"/>
      <c r="CV236" s="860"/>
      <c r="CW236" s="860"/>
      <c r="CX236" s="860"/>
      <c r="CY236" s="1232"/>
      <c r="CZ236" s="1233"/>
      <c r="DA236" s="860"/>
      <c r="DB236" s="860"/>
      <c r="DC236" s="860"/>
      <c r="DD236" s="1232"/>
      <c r="DE236" s="1233"/>
      <c r="DF236" s="860"/>
      <c r="DG236" s="860"/>
      <c r="DH236" s="860"/>
      <c r="DI236" s="1232"/>
      <c r="DJ236" s="1233"/>
      <c r="DK236" s="860"/>
      <c r="DL236" s="860"/>
      <c r="DM236" s="860"/>
      <c r="DN236" s="1232"/>
      <c r="DO236" s="1233"/>
      <c r="DP236" s="860"/>
      <c r="DQ236" s="860"/>
      <c r="DR236" s="860"/>
      <c r="DS236" s="1232"/>
      <c r="DT236" s="1233"/>
      <c r="DU236" s="860"/>
      <c r="DV236" s="860"/>
      <c r="DW236" s="860"/>
      <c r="DX236" s="1232"/>
      <c r="DY236" s="1233"/>
      <c r="DZ236" s="860"/>
      <c r="EA236" s="860"/>
      <c r="EB236" s="860"/>
      <c r="EC236" s="1232"/>
      <c r="ED236" s="860"/>
      <c r="EE236" s="860"/>
      <c r="EF236" s="860"/>
      <c r="EG236" s="860"/>
      <c r="EH236" s="860"/>
      <c r="EI236" s="1233"/>
      <c r="EJ236" s="860"/>
      <c r="EK236" s="860"/>
      <c r="EL236" s="860"/>
      <c r="EM236" s="1232"/>
      <c r="EN236" s="1233"/>
      <c r="EO236" s="860"/>
      <c r="EP236" s="860"/>
      <c r="EQ236" s="860"/>
      <c r="ER236" s="1232"/>
      <c r="ES236" s="860"/>
      <c r="ET236" s="860"/>
      <c r="EU236" s="860"/>
      <c r="EV236" s="860"/>
      <c r="EW236" s="1232"/>
      <c r="EX236" s="1233"/>
      <c r="EY236" s="860"/>
      <c r="EZ236" s="860"/>
      <c r="FA236" s="860"/>
      <c r="FB236" s="1754"/>
      <c r="FC236" s="1233"/>
      <c r="FD236" s="860"/>
      <c r="FE236" s="860"/>
      <c r="FF236" s="860"/>
      <c r="FG236" s="860"/>
      <c r="FH236" s="860"/>
      <c r="FI236" s="860"/>
      <c r="FJ236" s="860"/>
      <c r="FK236" s="860"/>
      <c r="FL236" s="860"/>
      <c r="FM236" s="860"/>
      <c r="FN236" s="860"/>
      <c r="FO236" s="860"/>
      <c r="FP236" s="860"/>
      <c r="FQ236" s="860"/>
      <c r="FR236" s="860"/>
      <c r="FS236" s="860"/>
      <c r="FT236" s="860"/>
      <c r="FU236" s="860"/>
      <c r="FV236" s="860"/>
      <c r="FW236" s="860"/>
      <c r="FX236" s="860"/>
      <c r="FY236" s="860"/>
      <c r="FZ236" s="860"/>
      <c r="GA236" s="860"/>
      <c r="GB236" s="860"/>
      <c r="GC236" s="860"/>
      <c r="GD236" s="860"/>
      <c r="GE236" s="860"/>
      <c r="GF236" s="860"/>
      <c r="GG236" s="860"/>
      <c r="GH236" s="860"/>
      <c r="GI236" s="860"/>
      <c r="GJ236" s="860"/>
      <c r="GK236" s="860"/>
      <c r="GL236" s="860"/>
      <c r="GM236" s="860"/>
      <c r="GN236" s="860"/>
      <c r="GO236" s="860"/>
      <c r="GP236" s="860"/>
      <c r="GQ236" s="860"/>
      <c r="GR236" s="1241"/>
      <c r="GS236" s="1218"/>
      <c r="GT236" s="1241"/>
      <c r="GU236" s="1218"/>
      <c r="GV236" s="1241"/>
      <c r="GW236" s="1218"/>
      <c r="GX236" s="1218"/>
      <c r="GY236" s="1241"/>
      <c r="GZ236" s="1218"/>
      <c r="HA236" s="1218"/>
      <c r="HB236" s="1241"/>
      <c r="HC236" s="1218"/>
      <c r="HD236" s="2000"/>
      <c r="HE236" s="1241"/>
      <c r="HF236" s="1218"/>
      <c r="HG236" s="2000"/>
      <c r="HH236" s="1241"/>
      <c r="HI236" s="1241"/>
      <c r="HJ236" s="1218"/>
      <c r="HK236" s="2000"/>
      <c r="HL236" s="1241"/>
      <c r="HM236" s="1218"/>
      <c r="HN236" s="2000"/>
      <c r="HO236" s="1241"/>
      <c r="HP236" s="1218"/>
      <c r="HQ236" s="2000"/>
      <c r="HR236" s="1241"/>
    </row>
    <row r="237" spans="1:226" hidden="1">
      <c r="A237" s="1132" t="s">
        <v>519</v>
      </c>
      <c r="B237" s="1233">
        <v>311</v>
      </c>
      <c r="C237" s="860">
        <v>325</v>
      </c>
      <c r="D237" s="860">
        <v>339</v>
      </c>
      <c r="E237" s="860">
        <v>360</v>
      </c>
      <c r="F237" s="1232"/>
      <c r="G237" s="1233">
        <v>384</v>
      </c>
      <c r="H237" s="860">
        <v>397</v>
      </c>
      <c r="I237" s="860">
        <v>425</v>
      </c>
      <c r="J237" s="860">
        <v>467</v>
      </c>
      <c r="K237" s="1232"/>
      <c r="L237" s="1233">
        <v>499</v>
      </c>
      <c r="M237" s="860">
        <v>510</v>
      </c>
      <c r="N237" s="1274">
        <v>538.16399999999999</v>
      </c>
      <c r="O237" s="860">
        <v>567</v>
      </c>
      <c r="P237" s="1232"/>
      <c r="Q237" s="1326">
        <v>602</v>
      </c>
      <c r="R237" s="1274">
        <v>622.9</v>
      </c>
      <c r="S237" s="1274">
        <v>668.5</v>
      </c>
      <c r="T237" s="1274">
        <v>705</v>
      </c>
      <c r="U237" s="1327"/>
      <c r="V237" s="1326">
        <v>743.75300000000004</v>
      </c>
      <c r="W237" s="1274">
        <v>780.55399999999997</v>
      </c>
      <c r="X237" s="1274">
        <v>813</v>
      </c>
      <c r="Y237" s="1274"/>
      <c r="Z237" s="1261"/>
      <c r="AA237" s="1242"/>
      <c r="AB237" s="1162"/>
      <c r="AC237" s="1162"/>
      <c r="AD237" s="1162"/>
      <c r="AE237" s="1261"/>
      <c r="AF237" s="1242"/>
      <c r="AG237" s="1162"/>
      <c r="AH237" s="1162"/>
      <c r="AI237" s="1162"/>
      <c r="AJ237" s="1261"/>
      <c r="AK237" s="1242"/>
      <c r="AL237" s="1162"/>
      <c r="AM237" s="1162"/>
      <c r="AN237" s="1162"/>
      <c r="AO237" s="1261"/>
      <c r="AP237" s="1242"/>
      <c r="AQ237" s="1162"/>
      <c r="AR237" s="1162"/>
      <c r="AS237" s="1162"/>
      <c r="AT237" s="1261"/>
      <c r="AU237" s="1242"/>
      <c r="AV237" s="1162"/>
      <c r="AW237" s="1162"/>
      <c r="AX237" s="1162"/>
      <c r="AY237" s="1261"/>
      <c r="AZ237" s="1242"/>
      <c r="BA237" s="1162"/>
      <c r="BB237" s="1162"/>
      <c r="BC237" s="1162"/>
      <c r="BD237" s="1261"/>
      <c r="BE237" s="1242"/>
      <c r="BF237" s="1162"/>
      <c r="BG237" s="1162"/>
      <c r="BH237" s="1162"/>
      <c r="BI237" s="1261"/>
      <c r="BJ237" s="1242"/>
      <c r="BK237" s="1162"/>
      <c r="BL237" s="1162"/>
      <c r="BM237" s="1162"/>
      <c r="BN237" s="1261"/>
      <c r="BO237" s="1242"/>
      <c r="BP237" s="1162"/>
      <c r="BQ237" s="1162"/>
      <c r="BR237" s="1162"/>
      <c r="BS237" s="1261"/>
      <c r="BT237" s="1242"/>
      <c r="BU237" s="1162"/>
      <c r="BV237" s="1162"/>
      <c r="BW237" s="1162"/>
      <c r="BX237" s="1261"/>
      <c r="BY237" s="1242"/>
      <c r="BZ237" s="1162"/>
      <c r="CA237" s="1162"/>
      <c r="CB237" s="1756"/>
      <c r="CC237" s="1757"/>
      <c r="CD237" s="1242"/>
      <c r="CE237" s="1162"/>
      <c r="CF237" s="1162"/>
      <c r="CG237" s="1162"/>
      <c r="CH237" s="1757"/>
      <c r="CI237" s="1162"/>
      <c r="CJ237" s="1162"/>
      <c r="CK237" s="1233"/>
      <c r="CL237" s="860"/>
      <c r="CM237" s="860"/>
      <c r="CN237" s="860"/>
      <c r="CO237" s="1232"/>
      <c r="CP237" s="1233"/>
      <c r="CQ237" s="860"/>
      <c r="CR237" s="860"/>
      <c r="CS237" s="860"/>
      <c r="CT237" s="1232"/>
      <c r="CU237" s="1233"/>
      <c r="CV237" s="860"/>
      <c r="CW237" s="860"/>
      <c r="CX237" s="860"/>
      <c r="CY237" s="1232"/>
      <c r="CZ237" s="1233"/>
      <c r="DA237" s="860"/>
      <c r="DB237" s="860"/>
      <c r="DC237" s="860"/>
      <c r="DD237" s="1232"/>
      <c r="DE237" s="1233"/>
      <c r="DF237" s="860"/>
      <c r="DG237" s="860"/>
      <c r="DH237" s="860"/>
      <c r="DI237" s="1232"/>
      <c r="DJ237" s="1233"/>
      <c r="DK237" s="860"/>
      <c r="DL237" s="860"/>
      <c r="DM237" s="860"/>
      <c r="DN237" s="1232"/>
      <c r="DO237" s="1233"/>
      <c r="DP237" s="860"/>
      <c r="DQ237" s="860"/>
      <c r="DR237" s="860"/>
      <c r="DS237" s="1232"/>
      <c r="DT237" s="1233"/>
      <c r="DU237" s="860"/>
      <c r="DV237" s="860"/>
      <c r="DW237" s="860"/>
      <c r="DX237" s="1232"/>
      <c r="DY237" s="1233"/>
      <c r="DZ237" s="860"/>
      <c r="EA237" s="860"/>
      <c r="EB237" s="860"/>
      <c r="EC237" s="1232"/>
      <c r="ED237" s="860"/>
      <c r="EE237" s="860"/>
      <c r="EF237" s="860"/>
      <c r="EG237" s="860"/>
      <c r="EH237" s="860"/>
      <c r="EI237" s="1233"/>
      <c r="EJ237" s="860"/>
      <c r="EK237" s="860"/>
      <c r="EL237" s="860"/>
      <c r="EM237" s="1232"/>
      <c r="EN237" s="1233"/>
      <c r="EO237" s="860"/>
      <c r="EP237" s="860"/>
      <c r="EQ237" s="860"/>
      <c r="ER237" s="1232"/>
      <c r="ES237" s="860"/>
      <c r="ET237" s="860"/>
      <c r="EU237" s="860"/>
      <c r="EV237" s="860"/>
      <c r="EW237" s="1232"/>
      <c r="EX237" s="1233"/>
      <c r="EY237" s="860"/>
      <c r="EZ237" s="860"/>
      <c r="FA237" s="860"/>
      <c r="FB237" s="1754"/>
      <c r="FC237" s="1233"/>
      <c r="FD237" s="860"/>
      <c r="FE237" s="860"/>
      <c r="FF237" s="860"/>
      <c r="FG237" s="860"/>
      <c r="FH237" s="860"/>
      <c r="FI237" s="860"/>
      <c r="FJ237" s="860"/>
      <c r="FK237" s="860"/>
      <c r="FL237" s="860"/>
      <c r="FM237" s="860"/>
      <c r="FN237" s="860"/>
      <c r="FO237" s="860"/>
      <c r="FP237" s="860"/>
      <c r="FQ237" s="860"/>
      <c r="FR237" s="860"/>
      <c r="FS237" s="860"/>
      <c r="FT237" s="860"/>
      <c r="FU237" s="860"/>
      <c r="FV237" s="860"/>
      <c r="FW237" s="860"/>
      <c r="FX237" s="860"/>
      <c r="FY237" s="860"/>
      <c r="FZ237" s="860"/>
      <c r="GA237" s="860"/>
      <c r="GB237" s="860"/>
      <c r="GC237" s="860"/>
      <c r="GD237" s="860"/>
      <c r="GE237" s="860"/>
      <c r="GF237" s="860"/>
      <c r="GG237" s="860"/>
      <c r="GH237" s="860"/>
      <c r="GI237" s="860"/>
      <c r="GJ237" s="860"/>
      <c r="GK237" s="860"/>
      <c r="GL237" s="860"/>
      <c r="GM237" s="860"/>
      <c r="GN237" s="860"/>
      <c r="GO237" s="860"/>
      <c r="GP237" s="860"/>
      <c r="GQ237" s="860"/>
      <c r="GR237" s="1241"/>
      <c r="GS237" s="1218"/>
      <c r="GT237" s="1241"/>
      <c r="GU237" s="1218"/>
      <c r="GV237" s="1241"/>
      <c r="GW237" s="1218"/>
      <c r="GX237" s="1218"/>
      <c r="GY237" s="1241"/>
      <c r="GZ237" s="1218"/>
      <c r="HA237" s="1218"/>
      <c r="HB237" s="1241"/>
      <c r="HC237" s="1218"/>
      <c r="HD237" s="2000"/>
      <c r="HE237" s="1241"/>
      <c r="HF237" s="1218"/>
      <c r="HG237" s="2000"/>
      <c r="HH237" s="1241"/>
      <c r="HI237" s="1241"/>
      <c r="HJ237" s="1218"/>
      <c r="HK237" s="2000"/>
      <c r="HL237" s="1241"/>
      <c r="HM237" s="1218"/>
      <c r="HN237" s="2000"/>
      <c r="HO237" s="1241"/>
      <c r="HP237" s="1218"/>
      <c r="HQ237" s="2000"/>
      <c r="HR237" s="1241"/>
    </row>
    <row r="238" spans="1:226" hidden="1">
      <c r="A238" s="1141" t="s">
        <v>518</v>
      </c>
      <c r="B238" s="1354">
        <v>165</v>
      </c>
      <c r="C238" s="1294">
        <v>180</v>
      </c>
      <c r="D238" s="1294">
        <v>188</v>
      </c>
      <c r="E238" s="1294">
        <v>205</v>
      </c>
      <c r="F238" s="1269"/>
      <c r="G238" s="1354">
        <v>219</v>
      </c>
      <c r="H238" s="1294">
        <v>232</v>
      </c>
      <c r="I238" s="1294">
        <v>249</v>
      </c>
      <c r="J238" s="1294">
        <v>266</v>
      </c>
      <c r="K238" s="1269"/>
      <c r="L238" s="1354">
        <v>279</v>
      </c>
      <c r="M238" s="1294">
        <v>283</v>
      </c>
      <c r="N238" s="967">
        <v>292.10000000000002</v>
      </c>
      <c r="O238" s="1294">
        <v>302</v>
      </c>
      <c r="P238" s="1232"/>
      <c r="Q238" s="1511">
        <v>313</v>
      </c>
      <c r="R238" s="967">
        <v>315.89999999999998</v>
      </c>
      <c r="S238" s="967">
        <v>334.4</v>
      </c>
      <c r="T238" s="967">
        <v>348</v>
      </c>
      <c r="U238" s="1327"/>
      <c r="V238" s="1511">
        <v>362.89100000000002</v>
      </c>
      <c r="W238" s="967">
        <v>386.45100000000002</v>
      </c>
      <c r="X238" s="967">
        <v>403</v>
      </c>
      <c r="Y238" s="1274"/>
      <c r="Z238" s="1261"/>
      <c r="AA238" s="1242"/>
      <c r="AB238" s="1162"/>
      <c r="AC238" s="1162"/>
      <c r="AD238" s="1162"/>
      <c r="AE238" s="1261"/>
      <c r="AF238" s="1242"/>
      <c r="AG238" s="1162"/>
      <c r="AH238" s="1162"/>
      <c r="AI238" s="1162"/>
      <c r="AJ238" s="1261"/>
      <c r="AK238" s="1242"/>
      <c r="AL238" s="1162"/>
      <c r="AM238" s="1162"/>
      <c r="AN238" s="1162"/>
      <c r="AO238" s="1261"/>
      <c r="AP238" s="1242"/>
      <c r="AQ238" s="1162"/>
      <c r="AR238" s="1162"/>
      <c r="AS238" s="1162"/>
      <c r="AT238" s="1261"/>
      <c r="AU238" s="1242"/>
      <c r="AV238" s="1162"/>
      <c r="AW238" s="1162"/>
      <c r="AX238" s="1162"/>
      <c r="AY238" s="1261"/>
      <c r="AZ238" s="1242"/>
      <c r="BA238" s="1162"/>
      <c r="BB238" s="1162"/>
      <c r="BC238" s="1162"/>
      <c r="BD238" s="1261"/>
      <c r="BE238" s="1242"/>
      <c r="BF238" s="1162"/>
      <c r="BG238" s="1162"/>
      <c r="BH238" s="1162"/>
      <c r="BI238" s="1261"/>
      <c r="BJ238" s="1242"/>
      <c r="BK238" s="1162"/>
      <c r="BL238" s="1162"/>
      <c r="BM238" s="1162"/>
      <c r="BN238" s="1261"/>
      <c r="BO238" s="1242"/>
      <c r="BP238" s="1162"/>
      <c r="BQ238" s="1162"/>
      <c r="BR238" s="1162"/>
      <c r="BS238" s="1261"/>
      <c r="BT238" s="1242"/>
      <c r="BU238" s="1162"/>
      <c r="BV238" s="1162"/>
      <c r="BW238" s="1162"/>
      <c r="BX238" s="1261"/>
      <c r="BY238" s="1242"/>
      <c r="BZ238" s="1162"/>
      <c r="CA238" s="1162"/>
      <c r="CB238" s="1756"/>
      <c r="CC238" s="1757"/>
      <c r="CD238" s="1242"/>
      <c r="CE238" s="1162"/>
      <c r="CF238" s="1162"/>
      <c r="CG238" s="1162"/>
      <c r="CH238" s="1757"/>
      <c r="CI238" s="1162"/>
      <c r="CJ238" s="1162"/>
      <c r="CK238" s="1233"/>
      <c r="CL238" s="860"/>
      <c r="CM238" s="860"/>
      <c r="CN238" s="860"/>
      <c r="CO238" s="1232"/>
      <c r="CP238" s="1233"/>
      <c r="CQ238" s="860"/>
      <c r="CR238" s="860"/>
      <c r="CS238" s="860"/>
      <c r="CT238" s="1232"/>
      <c r="CU238" s="1233"/>
      <c r="CV238" s="860"/>
      <c r="CW238" s="860"/>
      <c r="CX238" s="860"/>
      <c r="CY238" s="1232"/>
      <c r="CZ238" s="1233"/>
      <c r="DA238" s="860"/>
      <c r="DB238" s="860"/>
      <c r="DC238" s="860"/>
      <c r="DD238" s="1232"/>
      <c r="DE238" s="1233"/>
      <c r="DF238" s="860"/>
      <c r="DG238" s="860"/>
      <c r="DH238" s="860"/>
      <c r="DI238" s="1232"/>
      <c r="DJ238" s="1233"/>
      <c r="DK238" s="860"/>
      <c r="DL238" s="860"/>
      <c r="DM238" s="860"/>
      <c r="DN238" s="1232"/>
      <c r="DO238" s="1233"/>
      <c r="DP238" s="860"/>
      <c r="DQ238" s="860"/>
      <c r="DR238" s="860"/>
      <c r="DS238" s="1232"/>
      <c r="DT238" s="1233"/>
      <c r="DU238" s="860"/>
      <c r="DV238" s="860"/>
      <c r="DW238" s="860"/>
      <c r="DX238" s="1232"/>
      <c r="DY238" s="1233"/>
      <c r="DZ238" s="860"/>
      <c r="EA238" s="860"/>
      <c r="EB238" s="860"/>
      <c r="EC238" s="1232"/>
      <c r="ED238" s="860"/>
      <c r="EE238" s="860"/>
      <c r="EF238" s="860"/>
      <c r="EG238" s="860"/>
      <c r="EH238" s="860"/>
      <c r="EI238" s="1233"/>
      <c r="EJ238" s="860"/>
      <c r="EK238" s="860"/>
      <c r="EL238" s="860"/>
      <c r="EM238" s="1232"/>
      <c r="EN238" s="1233"/>
      <c r="EO238" s="860"/>
      <c r="EP238" s="860"/>
      <c r="EQ238" s="860"/>
      <c r="ER238" s="1232"/>
      <c r="ES238" s="860"/>
      <c r="ET238" s="860"/>
      <c r="EU238" s="860"/>
      <c r="EV238" s="860"/>
      <c r="EW238" s="1232"/>
      <c r="EX238" s="1233"/>
      <c r="EY238" s="860"/>
      <c r="EZ238" s="860"/>
      <c r="FA238" s="860"/>
      <c r="FB238" s="1754"/>
      <c r="FC238" s="1233"/>
      <c r="FD238" s="860"/>
      <c r="FE238" s="860"/>
      <c r="FF238" s="860"/>
      <c r="FG238" s="860"/>
      <c r="FH238" s="860"/>
      <c r="FI238" s="860"/>
      <c r="FJ238" s="860"/>
      <c r="FK238" s="860"/>
      <c r="FL238" s="860"/>
      <c r="FM238" s="860"/>
      <c r="FN238" s="860"/>
      <c r="FO238" s="860"/>
      <c r="FP238" s="860"/>
      <c r="FQ238" s="860"/>
      <c r="FR238" s="860"/>
      <c r="FS238" s="860"/>
      <c r="FT238" s="860"/>
      <c r="FU238" s="860"/>
      <c r="FV238" s="860"/>
      <c r="FW238" s="860"/>
      <c r="FX238" s="860"/>
      <c r="FY238" s="860"/>
      <c r="FZ238" s="860"/>
      <c r="GA238" s="860"/>
      <c r="GB238" s="860"/>
      <c r="GC238" s="860"/>
      <c r="GD238" s="860"/>
      <c r="GE238" s="860"/>
      <c r="GF238" s="860"/>
      <c r="GG238" s="860"/>
      <c r="GH238" s="860"/>
      <c r="GI238" s="860"/>
      <c r="GJ238" s="860"/>
      <c r="GK238" s="860"/>
      <c r="GL238" s="860"/>
      <c r="GM238" s="860"/>
      <c r="GN238" s="860"/>
      <c r="GO238" s="860"/>
      <c r="GP238" s="860"/>
      <c r="GQ238" s="860"/>
      <c r="GR238" s="1241"/>
      <c r="GS238" s="1218"/>
      <c r="GT238" s="1241"/>
      <c r="GU238" s="1218"/>
      <c r="GV238" s="1241"/>
      <c r="GW238" s="1218"/>
      <c r="GX238" s="1218"/>
      <c r="GY238" s="1241"/>
      <c r="GZ238" s="1218"/>
      <c r="HA238" s="1218"/>
      <c r="HB238" s="1241"/>
      <c r="HC238" s="1218"/>
      <c r="HD238" s="2000"/>
      <c r="HE238" s="1241"/>
      <c r="HF238" s="1218"/>
      <c r="HG238" s="2000"/>
      <c r="HH238" s="1241"/>
      <c r="HI238" s="1241"/>
      <c r="HJ238" s="1218"/>
      <c r="HK238" s="2000"/>
      <c r="HL238" s="1241"/>
      <c r="HM238" s="1218"/>
      <c r="HN238" s="2000"/>
      <c r="HO238" s="1241"/>
      <c r="HP238" s="1218"/>
      <c r="HQ238" s="2000"/>
      <c r="HR238" s="1241"/>
    </row>
    <row r="239" spans="1:226" hidden="1">
      <c r="A239" s="1132" t="s">
        <v>85</v>
      </c>
      <c r="B239" s="1233">
        <f>SUM(B236:B238)</f>
        <v>1411</v>
      </c>
      <c r="C239" s="860">
        <f>SUM(C236:C238)</f>
        <v>1459</v>
      </c>
      <c r="D239" s="860">
        <f>SUM(D236:D238)</f>
        <v>1491</v>
      </c>
      <c r="E239" s="860">
        <f>SUM(E236:E238)</f>
        <v>1562</v>
      </c>
      <c r="F239" s="1232"/>
      <c r="G239" s="1233">
        <f>SUM(G236:G238)</f>
        <v>1622</v>
      </c>
      <c r="H239" s="860">
        <f>SUM(H236:H238)</f>
        <v>1656</v>
      </c>
      <c r="I239" s="860">
        <f>SUM(I236:I238)</f>
        <v>1724</v>
      </c>
      <c r="J239" s="860">
        <f>SUM(J236:J238)</f>
        <v>1818</v>
      </c>
      <c r="K239" s="1232"/>
      <c r="L239" s="1233">
        <f>SUM(L236:L238)</f>
        <v>1872</v>
      </c>
      <c r="M239" s="860">
        <f>SUM(M236:M238)</f>
        <v>1889</v>
      </c>
      <c r="N239" s="860">
        <f>SUM(N236:N238)</f>
        <v>1938.6959999999999</v>
      </c>
      <c r="O239" s="860">
        <f>SUM(O236:O238)</f>
        <v>2016</v>
      </c>
      <c r="P239" s="1232"/>
      <c r="Q239" s="1326">
        <f>SUM(Q236:Q238)</f>
        <v>2074.3000000000002</v>
      </c>
      <c r="R239" s="1274">
        <f>SUM(R236:R238)</f>
        <v>2110.5</v>
      </c>
      <c r="S239" s="1274">
        <f>SUM(S236:S238)</f>
        <v>2192.6999999999998</v>
      </c>
      <c r="T239" s="1274">
        <f>SUM(T236:T238)</f>
        <v>2238</v>
      </c>
      <c r="U239" s="1327"/>
      <c r="V239" s="1326">
        <f>SUM(V236:V238)</f>
        <v>2302.4450000000002</v>
      </c>
      <c r="W239" s="1274">
        <f>SUM(W236:W238)</f>
        <v>2379.7950000000001</v>
      </c>
      <c r="X239" s="1274">
        <f>SUM(X236:X238)</f>
        <v>2420</v>
      </c>
      <c r="Y239" s="1274"/>
      <c r="Z239" s="1261"/>
      <c r="AA239" s="1242"/>
      <c r="AB239" s="1162"/>
      <c r="AC239" s="1162"/>
      <c r="AD239" s="1162"/>
      <c r="AE239" s="1261"/>
      <c r="AF239" s="1242"/>
      <c r="AG239" s="1162"/>
      <c r="AH239" s="1162"/>
      <c r="AI239" s="1162"/>
      <c r="AJ239" s="1261"/>
      <c r="AK239" s="1242"/>
      <c r="AL239" s="1162"/>
      <c r="AM239" s="1162"/>
      <c r="AN239" s="1162"/>
      <c r="AO239" s="1261"/>
      <c r="AP239" s="1242"/>
      <c r="AQ239" s="1162"/>
      <c r="AR239" s="1162"/>
      <c r="AS239" s="1162"/>
      <c r="AT239" s="1261"/>
      <c r="AU239" s="1242"/>
      <c r="AV239" s="1162"/>
      <c r="AW239" s="1162"/>
      <c r="AX239" s="1162"/>
      <c r="AY239" s="1261"/>
      <c r="AZ239" s="1242"/>
      <c r="BA239" s="1162"/>
      <c r="BB239" s="1162"/>
      <c r="BC239" s="1162"/>
      <c r="BD239" s="1261"/>
      <c r="BE239" s="1242"/>
      <c r="BF239" s="1162"/>
      <c r="BG239" s="1162"/>
      <c r="BH239" s="1162"/>
      <c r="BI239" s="1261"/>
      <c r="BJ239" s="1242"/>
      <c r="BK239" s="1162"/>
      <c r="BL239" s="1162"/>
      <c r="BM239" s="1162"/>
      <c r="BN239" s="1261"/>
      <c r="BO239" s="1242"/>
      <c r="BP239" s="1162"/>
      <c r="BQ239" s="1162"/>
      <c r="BR239" s="1162"/>
      <c r="BS239" s="1261"/>
      <c r="BT239" s="1242"/>
      <c r="BU239" s="1162"/>
      <c r="BV239" s="1162"/>
      <c r="BW239" s="1162"/>
      <c r="BX239" s="1261"/>
      <c r="BY239" s="1242"/>
      <c r="BZ239" s="1162"/>
      <c r="CA239" s="1162"/>
      <c r="CB239" s="1756"/>
      <c r="CC239" s="1757"/>
      <c r="CD239" s="1242"/>
      <c r="CE239" s="1162"/>
      <c r="CF239" s="1162"/>
      <c r="CG239" s="1162"/>
      <c r="CH239" s="1757"/>
      <c r="CI239" s="1162"/>
      <c r="CJ239" s="1162"/>
      <c r="CK239" s="1233"/>
      <c r="CL239" s="860"/>
      <c r="CM239" s="860"/>
      <c r="CN239" s="860"/>
      <c r="CO239" s="1232"/>
      <c r="CP239" s="1233"/>
      <c r="CQ239" s="860"/>
      <c r="CR239" s="860"/>
      <c r="CS239" s="860"/>
      <c r="CT239" s="1232"/>
      <c r="CU239" s="1233"/>
      <c r="CV239" s="860"/>
      <c r="CW239" s="860"/>
      <c r="CX239" s="860"/>
      <c r="CY239" s="1232"/>
      <c r="CZ239" s="1233"/>
      <c r="DA239" s="860"/>
      <c r="DB239" s="860"/>
      <c r="DC239" s="860"/>
      <c r="DD239" s="1232"/>
      <c r="DE239" s="1233"/>
      <c r="DF239" s="860"/>
      <c r="DG239" s="860"/>
      <c r="DH239" s="860"/>
      <c r="DI239" s="1232"/>
      <c r="DJ239" s="1233"/>
      <c r="DK239" s="860"/>
      <c r="DL239" s="860"/>
      <c r="DM239" s="860"/>
      <c r="DN239" s="1232"/>
      <c r="DO239" s="1233"/>
      <c r="DP239" s="860"/>
      <c r="DQ239" s="860"/>
      <c r="DR239" s="860"/>
      <c r="DS239" s="1232"/>
      <c r="DT239" s="1233"/>
      <c r="DU239" s="860"/>
      <c r="DV239" s="860"/>
      <c r="DW239" s="860"/>
      <c r="DX239" s="1232"/>
      <c r="DY239" s="1233"/>
      <c r="DZ239" s="860"/>
      <c r="EA239" s="860"/>
      <c r="EB239" s="860"/>
      <c r="EC239" s="1232"/>
      <c r="ED239" s="860"/>
      <c r="EE239" s="860"/>
      <c r="EF239" s="860"/>
      <c r="EG239" s="860"/>
      <c r="EH239" s="860"/>
      <c r="EI239" s="1233"/>
      <c r="EJ239" s="860"/>
      <c r="EK239" s="860"/>
      <c r="EL239" s="860"/>
      <c r="EM239" s="1232"/>
      <c r="EN239" s="1233"/>
      <c r="EO239" s="860"/>
      <c r="EP239" s="860"/>
      <c r="EQ239" s="860"/>
      <c r="ER239" s="1232"/>
      <c r="ES239" s="860"/>
      <c r="ET239" s="860"/>
      <c r="EU239" s="860"/>
      <c r="EV239" s="860"/>
      <c r="EW239" s="1232"/>
      <c r="EX239" s="1233"/>
      <c r="EY239" s="860"/>
      <c r="EZ239" s="860"/>
      <c r="FA239" s="860"/>
      <c r="FB239" s="1754"/>
      <c r="FC239" s="1233"/>
      <c r="FD239" s="860"/>
      <c r="FE239" s="860"/>
      <c r="FF239" s="860"/>
      <c r="FG239" s="860"/>
      <c r="FH239" s="860"/>
      <c r="FI239" s="860"/>
      <c r="FJ239" s="860"/>
      <c r="FK239" s="860"/>
      <c r="FL239" s="860"/>
      <c r="FM239" s="860"/>
      <c r="FN239" s="860"/>
      <c r="FO239" s="860"/>
      <c r="FP239" s="860"/>
      <c r="FQ239" s="860"/>
      <c r="FR239" s="860"/>
      <c r="FS239" s="860"/>
      <c r="FT239" s="860"/>
      <c r="FU239" s="860"/>
      <c r="FV239" s="860"/>
      <c r="FW239" s="860"/>
      <c r="FX239" s="860"/>
      <c r="FY239" s="860"/>
      <c r="FZ239" s="860"/>
      <c r="GA239" s="860"/>
      <c r="GB239" s="860"/>
      <c r="GC239" s="860"/>
      <c r="GD239" s="860"/>
      <c r="GE239" s="860"/>
      <c r="GF239" s="860"/>
      <c r="GG239" s="860"/>
      <c r="GH239" s="860"/>
      <c r="GI239" s="860"/>
      <c r="GJ239" s="860"/>
      <c r="GK239" s="860"/>
      <c r="GL239" s="860"/>
      <c r="GM239" s="860"/>
      <c r="GN239" s="860"/>
      <c r="GO239" s="860"/>
      <c r="GP239" s="860"/>
      <c r="GQ239" s="860"/>
      <c r="GR239" s="1241"/>
      <c r="GS239" s="1218"/>
      <c r="GT239" s="1241"/>
      <c r="GU239" s="1218"/>
      <c r="GV239" s="1241"/>
      <c r="GW239" s="1218"/>
      <c r="GX239" s="1218"/>
      <c r="GY239" s="1241"/>
      <c r="GZ239" s="1218"/>
      <c r="HA239" s="1218"/>
      <c r="HB239" s="1241"/>
      <c r="HC239" s="1218"/>
      <c r="HD239" s="2000"/>
      <c r="HE239" s="1241"/>
      <c r="HF239" s="1218"/>
      <c r="HG239" s="2000"/>
      <c r="HH239" s="1241"/>
      <c r="HI239" s="1241"/>
      <c r="HJ239" s="1218"/>
      <c r="HK239" s="2000"/>
      <c r="HL239" s="1241"/>
      <c r="HM239" s="1218"/>
      <c r="HN239" s="2000"/>
      <c r="HO239" s="1241"/>
      <c r="HP239" s="1218"/>
      <c r="HQ239" s="2000"/>
      <c r="HR239" s="1241"/>
    </row>
    <row r="240" spans="1:226" hidden="1">
      <c r="A240" s="1132"/>
      <c r="B240" s="1233"/>
      <c r="C240" s="860"/>
      <c r="D240" s="860"/>
      <c r="E240" s="860"/>
      <c r="F240" s="1232"/>
      <c r="G240" s="1233"/>
      <c r="H240" s="860"/>
      <c r="I240" s="860"/>
      <c r="J240" s="860"/>
      <c r="K240" s="1232"/>
      <c r="L240" s="1233"/>
      <c r="M240" s="860"/>
      <c r="N240" s="860"/>
      <c r="O240" s="860"/>
      <c r="P240" s="1232"/>
      <c r="Q240" s="1233"/>
      <c r="R240" s="860"/>
      <c r="S240" s="860"/>
      <c r="T240" s="860"/>
      <c r="U240" s="1232"/>
      <c r="V240" s="1233"/>
      <c r="W240" s="860"/>
      <c r="X240" s="860"/>
      <c r="Y240" s="860"/>
      <c r="Z240" s="1261"/>
      <c r="AA240" s="1242"/>
      <c r="AB240" s="1162"/>
      <c r="AC240" s="1162"/>
      <c r="AD240" s="1162"/>
      <c r="AE240" s="1261"/>
      <c r="AF240" s="1242"/>
      <c r="AG240" s="1162"/>
      <c r="AH240" s="1162"/>
      <c r="AI240" s="1162"/>
      <c r="AJ240" s="1261"/>
      <c r="AK240" s="1242"/>
      <c r="AL240" s="1162"/>
      <c r="AM240" s="1162"/>
      <c r="AN240" s="1162"/>
      <c r="AO240" s="1261"/>
      <c r="AP240" s="1242"/>
      <c r="AQ240" s="1162"/>
      <c r="AR240" s="1162"/>
      <c r="AS240" s="1162"/>
      <c r="AT240" s="1261"/>
      <c r="AU240" s="1242"/>
      <c r="AV240" s="1162"/>
      <c r="AW240" s="1162"/>
      <c r="AX240" s="1162"/>
      <c r="AY240" s="1261"/>
      <c r="AZ240" s="1242"/>
      <c r="BA240" s="1162"/>
      <c r="BB240" s="1162"/>
      <c r="BC240" s="1162"/>
      <c r="BD240" s="1261"/>
      <c r="BE240" s="1242"/>
      <c r="BF240" s="1162"/>
      <c r="BG240" s="1162"/>
      <c r="BH240" s="1162"/>
      <c r="BI240" s="1261"/>
      <c r="BJ240" s="1242"/>
      <c r="BK240" s="1162"/>
      <c r="BL240" s="1162"/>
      <c r="BM240" s="1162"/>
      <c r="BN240" s="1261"/>
      <c r="BO240" s="1242"/>
      <c r="BP240" s="1162"/>
      <c r="BQ240" s="1162"/>
      <c r="BR240" s="1162"/>
      <c r="BS240" s="1261"/>
      <c r="BT240" s="1242"/>
      <c r="BU240" s="1162"/>
      <c r="BV240" s="1162"/>
      <c r="BW240" s="1162"/>
      <c r="BX240" s="1261"/>
      <c r="BY240" s="1242"/>
      <c r="BZ240" s="1162"/>
      <c r="CA240" s="1162"/>
      <c r="CB240" s="1756"/>
      <c r="CC240" s="1757"/>
      <c r="CD240" s="1242"/>
      <c r="CE240" s="1162"/>
      <c r="CF240" s="1162"/>
      <c r="CG240" s="1162"/>
      <c r="CH240" s="1757"/>
      <c r="CI240" s="1162"/>
      <c r="CJ240" s="1162"/>
      <c r="CK240" s="1233"/>
      <c r="CL240" s="860"/>
      <c r="CM240" s="860"/>
      <c r="CN240" s="860"/>
      <c r="CO240" s="1232"/>
      <c r="CP240" s="1233"/>
      <c r="CQ240" s="860"/>
      <c r="CR240" s="860"/>
      <c r="CS240" s="860"/>
      <c r="CT240" s="1232"/>
      <c r="CU240" s="1233"/>
      <c r="CV240" s="860"/>
      <c r="CW240" s="860"/>
      <c r="CX240" s="860"/>
      <c r="CY240" s="1232"/>
      <c r="CZ240" s="1233"/>
      <c r="DA240" s="860"/>
      <c r="DB240" s="860"/>
      <c r="DC240" s="860"/>
      <c r="DD240" s="1232"/>
      <c r="DE240" s="1233"/>
      <c r="DF240" s="860"/>
      <c r="DG240" s="860"/>
      <c r="DH240" s="860"/>
      <c r="DI240" s="1232"/>
      <c r="DJ240" s="1233"/>
      <c r="DK240" s="860"/>
      <c r="DL240" s="860"/>
      <c r="DM240" s="860"/>
      <c r="DN240" s="1232"/>
      <c r="DO240" s="1233"/>
      <c r="DP240" s="860"/>
      <c r="DQ240" s="860"/>
      <c r="DR240" s="860"/>
      <c r="DS240" s="1232"/>
      <c r="DT240" s="1233"/>
      <c r="DU240" s="860"/>
      <c r="DV240" s="860"/>
      <c r="DW240" s="860"/>
      <c r="DX240" s="1232"/>
      <c r="DY240" s="1233"/>
      <c r="DZ240" s="860"/>
      <c r="EA240" s="860"/>
      <c r="EB240" s="860"/>
      <c r="EC240" s="1232"/>
      <c r="ED240" s="860"/>
      <c r="EE240" s="860"/>
      <c r="EF240" s="860"/>
      <c r="EG240" s="860"/>
      <c r="EH240" s="860"/>
      <c r="EI240" s="1233"/>
      <c r="EJ240" s="860"/>
      <c r="EK240" s="860"/>
      <c r="EL240" s="860"/>
      <c r="EM240" s="1232"/>
      <c r="EN240" s="1233"/>
      <c r="EO240" s="860"/>
      <c r="EP240" s="860"/>
      <c r="EQ240" s="860"/>
      <c r="ER240" s="1232"/>
      <c r="ES240" s="860"/>
      <c r="ET240" s="860"/>
      <c r="EU240" s="860"/>
      <c r="EV240" s="860"/>
      <c r="EW240" s="1232"/>
      <c r="EX240" s="1233"/>
      <c r="EY240" s="860"/>
      <c r="EZ240" s="860"/>
      <c r="FA240" s="860"/>
      <c r="FB240" s="1754"/>
      <c r="FC240" s="1233"/>
      <c r="FD240" s="860"/>
      <c r="FE240" s="860"/>
      <c r="FF240" s="860"/>
      <c r="FG240" s="860"/>
      <c r="FH240" s="860"/>
      <c r="FI240" s="860"/>
      <c r="FJ240" s="860"/>
      <c r="FK240" s="860"/>
      <c r="FL240" s="860"/>
      <c r="FM240" s="860"/>
      <c r="FN240" s="860"/>
      <c r="FO240" s="860"/>
      <c r="FP240" s="860"/>
      <c r="FQ240" s="860"/>
      <c r="FR240" s="860"/>
      <c r="FS240" s="860"/>
      <c r="FT240" s="860"/>
      <c r="FU240" s="860"/>
      <c r="FV240" s="860"/>
      <c r="FW240" s="860"/>
      <c r="FX240" s="860"/>
      <c r="FY240" s="860"/>
      <c r="FZ240" s="860"/>
      <c r="GA240" s="860"/>
      <c r="GB240" s="860"/>
      <c r="GC240" s="860"/>
      <c r="GD240" s="860"/>
      <c r="GE240" s="860"/>
      <c r="GF240" s="860"/>
      <c r="GG240" s="860"/>
      <c r="GH240" s="860"/>
      <c r="GI240" s="860"/>
      <c r="GJ240" s="860"/>
      <c r="GK240" s="860"/>
      <c r="GL240" s="860"/>
      <c r="GM240" s="860"/>
      <c r="GN240" s="860"/>
      <c r="GO240" s="860"/>
      <c r="GP240" s="860"/>
      <c r="GQ240" s="860"/>
      <c r="GR240" s="1241"/>
      <c r="GS240" s="1218"/>
      <c r="GT240" s="1241"/>
      <c r="GU240" s="1218"/>
      <c r="GV240" s="1241"/>
      <c r="GW240" s="1218"/>
      <c r="GX240" s="1218"/>
      <c r="GY240" s="1241"/>
      <c r="GZ240" s="1218"/>
      <c r="HA240" s="1218"/>
      <c r="HB240" s="1241"/>
      <c r="HC240" s="1218"/>
      <c r="HD240" s="2000"/>
      <c r="HE240" s="1241"/>
      <c r="HF240" s="1218"/>
      <c r="HG240" s="2000"/>
      <c r="HH240" s="1241"/>
      <c r="HI240" s="1241"/>
      <c r="HJ240" s="1218"/>
      <c r="HK240" s="2000"/>
      <c r="HL240" s="1241"/>
      <c r="HM240" s="1218"/>
      <c r="HN240" s="2000"/>
      <c r="HO240" s="1241"/>
      <c r="HP240" s="1218"/>
      <c r="HQ240" s="2000"/>
      <c r="HR240" s="1241"/>
    </row>
    <row r="241" spans="1:226" hidden="1">
      <c r="A241" s="1509" t="s">
        <v>818</v>
      </c>
      <c r="B241" s="1233"/>
      <c r="C241" s="860"/>
      <c r="D241" s="860"/>
      <c r="E241" s="860"/>
      <c r="F241" s="1232"/>
      <c r="G241" s="1233"/>
      <c r="H241" s="860"/>
      <c r="I241" s="860"/>
      <c r="J241" s="860"/>
      <c r="K241" s="1232"/>
      <c r="L241" s="1233"/>
      <c r="M241" s="860"/>
      <c r="N241" s="1274"/>
      <c r="O241" s="860"/>
      <c r="P241" s="1232"/>
      <c r="Q241" s="1233"/>
      <c r="R241" s="860"/>
      <c r="S241" s="860"/>
      <c r="T241" s="860"/>
      <c r="U241" s="1232"/>
      <c r="V241" s="1233"/>
      <c r="W241" s="860"/>
      <c r="X241" s="860"/>
      <c r="Y241" s="860"/>
      <c r="Z241" s="1261"/>
      <c r="AA241" s="1242"/>
      <c r="AB241" s="1162"/>
      <c r="AC241" s="1162"/>
      <c r="AD241" s="1162"/>
      <c r="AE241" s="1261"/>
      <c r="AF241" s="1242"/>
      <c r="AG241" s="1162"/>
      <c r="AH241" s="1162"/>
      <c r="AI241" s="1162"/>
      <c r="AJ241" s="1261"/>
      <c r="AK241" s="1242"/>
      <c r="AL241" s="1162"/>
      <c r="AM241" s="1162"/>
      <c r="AN241" s="1162"/>
      <c r="AO241" s="1261"/>
      <c r="AP241" s="1242"/>
      <c r="AQ241" s="1162"/>
      <c r="AR241" s="1162"/>
      <c r="AS241" s="1162"/>
      <c r="AT241" s="1261"/>
      <c r="AU241" s="1242"/>
      <c r="AV241" s="1162"/>
      <c r="AW241" s="1162"/>
      <c r="AX241" s="1162"/>
      <c r="AY241" s="1261"/>
      <c r="AZ241" s="1242"/>
      <c r="BA241" s="1162"/>
      <c r="BB241" s="1162"/>
      <c r="BC241" s="1162"/>
      <c r="BD241" s="1261"/>
      <c r="BE241" s="1242"/>
      <c r="BF241" s="1162"/>
      <c r="BG241" s="1162"/>
      <c r="BH241" s="1162"/>
      <c r="BI241" s="1261"/>
      <c r="BJ241" s="1242"/>
      <c r="BK241" s="1162"/>
      <c r="BL241" s="1162"/>
      <c r="BM241" s="1162"/>
      <c r="BN241" s="1261"/>
      <c r="BO241" s="1242"/>
      <c r="BP241" s="1162"/>
      <c r="BQ241" s="1162"/>
      <c r="BR241" s="1162"/>
      <c r="BS241" s="1261"/>
      <c r="BT241" s="1242"/>
      <c r="BU241" s="1162"/>
      <c r="BV241" s="1162"/>
      <c r="BW241" s="1162"/>
      <c r="BX241" s="1261"/>
      <c r="BY241" s="1242"/>
      <c r="BZ241" s="1162"/>
      <c r="CA241" s="1162"/>
      <c r="CB241" s="1756"/>
      <c r="CC241" s="1757"/>
      <c r="CD241" s="1242"/>
      <c r="CE241" s="1162"/>
      <c r="CF241" s="1162"/>
      <c r="CG241" s="1162"/>
      <c r="CH241" s="1757"/>
      <c r="CI241" s="1162"/>
      <c r="CJ241" s="1162"/>
      <c r="CK241" s="1233"/>
      <c r="CL241" s="860"/>
      <c r="CM241" s="860"/>
      <c r="CN241" s="860"/>
      <c r="CO241" s="1232"/>
      <c r="CP241" s="1233"/>
      <c r="CQ241" s="860"/>
      <c r="CR241" s="860"/>
      <c r="CS241" s="860"/>
      <c r="CT241" s="1232"/>
      <c r="CU241" s="1233"/>
      <c r="CV241" s="860"/>
      <c r="CW241" s="860"/>
      <c r="CX241" s="860"/>
      <c r="CY241" s="1232"/>
      <c r="CZ241" s="1233"/>
      <c r="DA241" s="860"/>
      <c r="DB241" s="860"/>
      <c r="DC241" s="860"/>
      <c r="DD241" s="1232"/>
      <c r="DE241" s="1233"/>
      <c r="DF241" s="860"/>
      <c r="DG241" s="860"/>
      <c r="DH241" s="860"/>
      <c r="DI241" s="1232"/>
      <c r="DJ241" s="1233"/>
      <c r="DK241" s="860"/>
      <c r="DL241" s="860"/>
      <c r="DM241" s="860"/>
      <c r="DN241" s="1232"/>
      <c r="DO241" s="1233"/>
      <c r="DP241" s="860"/>
      <c r="DQ241" s="860"/>
      <c r="DR241" s="860"/>
      <c r="DS241" s="1232"/>
      <c r="DT241" s="1233"/>
      <c r="DU241" s="860"/>
      <c r="DV241" s="860"/>
      <c r="DW241" s="860"/>
      <c r="DX241" s="1232"/>
      <c r="DY241" s="1233"/>
      <c r="DZ241" s="860"/>
      <c r="EA241" s="860"/>
      <c r="EB241" s="860"/>
      <c r="EC241" s="1232"/>
      <c r="ED241" s="860"/>
      <c r="EE241" s="860"/>
      <c r="EF241" s="860"/>
      <c r="EG241" s="860"/>
      <c r="EH241" s="860"/>
      <c r="EI241" s="1233"/>
      <c r="EJ241" s="860"/>
      <c r="EK241" s="860"/>
      <c r="EL241" s="860"/>
      <c r="EM241" s="1232"/>
      <c r="EN241" s="1233"/>
      <c r="EO241" s="860"/>
      <c r="EP241" s="860"/>
      <c r="EQ241" s="860"/>
      <c r="ER241" s="1232"/>
      <c r="ES241" s="860"/>
      <c r="ET241" s="860"/>
      <c r="EU241" s="860"/>
      <c r="EV241" s="860"/>
      <c r="EW241" s="1232"/>
      <c r="EX241" s="1233"/>
      <c r="EY241" s="860"/>
      <c r="EZ241" s="860"/>
      <c r="FA241" s="860"/>
      <c r="FB241" s="1754"/>
      <c r="FC241" s="1233"/>
      <c r="FD241" s="860"/>
      <c r="FE241" s="860"/>
      <c r="FF241" s="860"/>
      <c r="FG241" s="860"/>
      <c r="FH241" s="860"/>
      <c r="FI241" s="860"/>
      <c r="FJ241" s="860"/>
      <c r="FK241" s="860"/>
      <c r="FL241" s="860"/>
      <c r="FM241" s="860"/>
      <c r="FN241" s="860"/>
      <c r="FO241" s="860"/>
      <c r="FP241" s="860"/>
      <c r="FQ241" s="860"/>
      <c r="FR241" s="860"/>
      <c r="FS241" s="860"/>
      <c r="FT241" s="860"/>
      <c r="FU241" s="860"/>
      <c r="FV241" s="860"/>
      <c r="FW241" s="860"/>
      <c r="FX241" s="860"/>
      <c r="FY241" s="860"/>
      <c r="FZ241" s="860"/>
      <c r="GA241" s="860"/>
      <c r="GB241" s="860"/>
      <c r="GC241" s="860"/>
      <c r="GD241" s="860"/>
      <c r="GE241" s="860"/>
      <c r="GF241" s="860"/>
      <c r="GG241" s="860"/>
      <c r="GH241" s="860"/>
      <c r="GI241" s="860"/>
      <c r="GJ241" s="860"/>
      <c r="GK241" s="860"/>
      <c r="GL241" s="860"/>
      <c r="GM241" s="860"/>
      <c r="GN241" s="860"/>
      <c r="GO241" s="860"/>
      <c r="GP241" s="860"/>
      <c r="GQ241" s="860"/>
      <c r="GR241" s="1241"/>
      <c r="GS241" s="1218"/>
      <c r="GT241" s="1241"/>
      <c r="GU241" s="1218"/>
      <c r="GV241" s="1241"/>
      <c r="GW241" s="1218"/>
      <c r="GX241" s="1218"/>
      <c r="GY241" s="1241"/>
      <c r="GZ241" s="1218"/>
      <c r="HA241" s="1218"/>
      <c r="HB241" s="1241"/>
      <c r="HC241" s="1218"/>
      <c r="HD241" s="2000"/>
      <c r="HE241" s="1241"/>
      <c r="HF241" s="1218"/>
      <c r="HG241" s="2000"/>
      <c r="HH241" s="1241"/>
      <c r="HI241" s="1241"/>
      <c r="HJ241" s="1218"/>
      <c r="HK241" s="2000"/>
      <c r="HL241" s="1241"/>
      <c r="HM241" s="1218"/>
      <c r="HN241" s="2000"/>
      <c r="HO241" s="1241"/>
      <c r="HP241" s="1218"/>
      <c r="HQ241" s="2000"/>
      <c r="HR241" s="1241"/>
    </row>
    <row r="242" spans="1:226" hidden="1">
      <c r="A242" s="1132" t="s">
        <v>817</v>
      </c>
      <c r="B242" s="1233"/>
      <c r="C242" s="860"/>
      <c r="D242" s="860"/>
      <c r="E242" s="860"/>
      <c r="F242" s="1232"/>
      <c r="G242" s="1233"/>
      <c r="H242" s="860"/>
      <c r="I242" s="860"/>
      <c r="J242" s="860">
        <v>1600</v>
      </c>
      <c r="K242" s="1232"/>
      <c r="L242" s="1233"/>
      <c r="M242" s="860"/>
      <c r="N242" s="1274"/>
      <c r="O242" s="860"/>
      <c r="P242" s="1232"/>
      <c r="Q242" s="1233"/>
      <c r="R242" s="860"/>
      <c r="S242" s="860"/>
      <c r="T242" s="860"/>
      <c r="U242" s="1232"/>
      <c r="V242" s="1233"/>
      <c r="W242" s="860"/>
      <c r="X242" s="860"/>
      <c r="Y242" s="860"/>
      <c r="Z242" s="1261"/>
      <c r="AA242" s="1242"/>
      <c r="AB242" s="1162"/>
      <c r="AC242" s="1162"/>
      <c r="AD242" s="1162"/>
      <c r="AE242" s="1261"/>
      <c r="AF242" s="1242"/>
      <c r="AG242" s="1162"/>
      <c r="AH242" s="1162"/>
      <c r="AI242" s="1162"/>
      <c r="AJ242" s="1261"/>
      <c r="AK242" s="1242"/>
      <c r="AL242" s="1162"/>
      <c r="AM242" s="1162"/>
      <c r="AN242" s="1162"/>
      <c r="AO242" s="1261"/>
      <c r="AP242" s="1242"/>
      <c r="AQ242" s="1162"/>
      <c r="AR242" s="1162"/>
      <c r="AS242" s="1162"/>
      <c r="AT242" s="1261"/>
      <c r="AU242" s="1242"/>
      <c r="AV242" s="1162"/>
      <c r="AW242" s="1162"/>
      <c r="AX242" s="1162"/>
      <c r="AY242" s="1261"/>
      <c r="AZ242" s="1242"/>
      <c r="BA242" s="1162"/>
      <c r="BB242" s="1162"/>
      <c r="BC242" s="1162"/>
      <c r="BD242" s="1261"/>
      <c r="BE242" s="1242"/>
      <c r="BF242" s="1162"/>
      <c r="BG242" s="1162"/>
      <c r="BH242" s="1162"/>
      <c r="BI242" s="1261"/>
      <c r="BJ242" s="1242"/>
      <c r="BK242" s="1162"/>
      <c r="BL242" s="1162"/>
      <c r="BM242" s="1162"/>
      <c r="BN242" s="1261"/>
      <c r="BO242" s="1242"/>
      <c r="BP242" s="1162"/>
      <c r="BQ242" s="1162"/>
      <c r="BR242" s="1162"/>
      <c r="BS242" s="1261"/>
      <c r="BT242" s="1242"/>
      <c r="BU242" s="1162"/>
      <c r="BV242" s="1162"/>
      <c r="BW242" s="1162"/>
      <c r="BX242" s="1261"/>
      <c r="BY242" s="1242"/>
      <c r="BZ242" s="1162"/>
      <c r="CA242" s="1162"/>
      <c r="CB242" s="1756"/>
      <c r="CC242" s="1757"/>
      <c r="CD242" s="1242"/>
      <c r="CE242" s="1162"/>
      <c r="CF242" s="1162"/>
      <c r="CG242" s="1162"/>
      <c r="CH242" s="1757"/>
      <c r="CI242" s="1162"/>
      <c r="CJ242" s="1162"/>
      <c r="CK242" s="1233"/>
      <c r="CL242" s="860"/>
      <c r="CM242" s="860"/>
      <c r="CN242" s="860"/>
      <c r="CO242" s="1232"/>
      <c r="CP242" s="1233"/>
      <c r="CQ242" s="860"/>
      <c r="CR242" s="860"/>
      <c r="CS242" s="860"/>
      <c r="CT242" s="1232"/>
      <c r="CU242" s="1233"/>
      <c r="CV242" s="860"/>
      <c r="CW242" s="860"/>
      <c r="CX242" s="860"/>
      <c r="CY242" s="1232"/>
      <c r="CZ242" s="1233"/>
      <c r="DA242" s="860"/>
      <c r="DB242" s="860"/>
      <c r="DC242" s="860"/>
      <c r="DD242" s="1232"/>
      <c r="DE242" s="1233"/>
      <c r="DF242" s="860"/>
      <c r="DG242" s="860"/>
      <c r="DH242" s="860"/>
      <c r="DI242" s="1232"/>
      <c r="DJ242" s="1233"/>
      <c r="DK242" s="860"/>
      <c r="DL242" s="860"/>
      <c r="DM242" s="860"/>
      <c r="DN242" s="1232"/>
      <c r="DO242" s="1233"/>
      <c r="DP242" s="860"/>
      <c r="DQ242" s="860"/>
      <c r="DR242" s="860"/>
      <c r="DS242" s="1232"/>
      <c r="DT242" s="1233"/>
      <c r="DU242" s="860"/>
      <c r="DV242" s="860"/>
      <c r="DW242" s="860"/>
      <c r="DX242" s="1232"/>
      <c r="DY242" s="1233"/>
      <c r="DZ242" s="860"/>
      <c r="EA242" s="860"/>
      <c r="EB242" s="860"/>
      <c r="EC242" s="1232"/>
      <c r="ED242" s="860"/>
      <c r="EE242" s="860"/>
      <c r="EF242" s="860"/>
      <c r="EG242" s="860"/>
      <c r="EH242" s="860"/>
      <c r="EI242" s="1233"/>
      <c r="EJ242" s="860"/>
      <c r="EK242" s="860"/>
      <c r="EL242" s="860"/>
      <c r="EM242" s="1232"/>
      <c r="EN242" s="1233"/>
      <c r="EO242" s="860"/>
      <c r="EP242" s="860"/>
      <c r="EQ242" s="860"/>
      <c r="ER242" s="1232"/>
      <c r="ES242" s="860"/>
      <c r="ET242" s="860"/>
      <c r="EU242" s="860"/>
      <c r="EV242" s="860"/>
      <c r="EW242" s="1232"/>
      <c r="EX242" s="1233"/>
      <c r="EY242" s="860"/>
      <c r="EZ242" s="860"/>
      <c r="FA242" s="860"/>
      <c r="FB242" s="1754"/>
      <c r="FC242" s="1233"/>
      <c r="FD242" s="860"/>
      <c r="FE242" s="860"/>
      <c r="FF242" s="860"/>
      <c r="FG242" s="860"/>
      <c r="FH242" s="860"/>
      <c r="FI242" s="860"/>
      <c r="FJ242" s="860"/>
      <c r="FK242" s="860"/>
      <c r="FL242" s="860"/>
      <c r="FM242" s="860"/>
      <c r="FN242" s="860"/>
      <c r="FO242" s="860"/>
      <c r="FP242" s="860"/>
      <c r="FQ242" s="860"/>
      <c r="FR242" s="860"/>
      <c r="FS242" s="860"/>
      <c r="FT242" s="860"/>
      <c r="FU242" s="860"/>
      <c r="FV242" s="860"/>
      <c r="FW242" s="860"/>
      <c r="FX242" s="860"/>
      <c r="FY242" s="860"/>
      <c r="FZ242" s="860"/>
      <c r="GA242" s="860"/>
      <c r="GB242" s="860"/>
      <c r="GC242" s="860"/>
      <c r="GD242" s="860"/>
      <c r="GE242" s="860"/>
      <c r="GF242" s="860"/>
      <c r="GG242" s="860"/>
      <c r="GH242" s="860"/>
      <c r="GI242" s="860"/>
      <c r="GJ242" s="860"/>
      <c r="GK242" s="860"/>
      <c r="GL242" s="860"/>
      <c r="GM242" s="860"/>
      <c r="GN242" s="860"/>
      <c r="GO242" s="860"/>
      <c r="GP242" s="860"/>
      <c r="GQ242" s="860"/>
      <c r="GR242" s="1241"/>
      <c r="GS242" s="1218"/>
      <c r="GT242" s="1241"/>
      <c r="GU242" s="1218"/>
      <c r="GV242" s="1241"/>
      <c r="GW242" s="1218"/>
      <c r="GX242" s="1218"/>
      <c r="GY242" s="1241"/>
      <c r="GZ242" s="1218"/>
      <c r="HA242" s="1218"/>
      <c r="HB242" s="1241"/>
      <c r="HC242" s="1218"/>
      <c r="HD242" s="2000"/>
      <c r="HE242" s="1241"/>
      <c r="HF242" s="1218"/>
      <c r="HG242" s="2000"/>
      <c r="HH242" s="1241"/>
      <c r="HI242" s="1241"/>
      <c r="HJ242" s="1218"/>
      <c r="HK242" s="2000"/>
      <c r="HL242" s="1241"/>
      <c r="HM242" s="1218"/>
      <c r="HN242" s="2000"/>
      <c r="HO242" s="1241"/>
      <c r="HP242" s="1218"/>
      <c r="HQ242" s="2000"/>
      <c r="HR242" s="1241"/>
    </row>
    <row r="243" spans="1:226" hidden="1">
      <c r="A243" s="1132" t="s">
        <v>6</v>
      </c>
      <c r="B243" s="1233">
        <v>249</v>
      </c>
      <c r="C243" s="860">
        <v>293</v>
      </c>
      <c r="D243" s="860">
        <v>299</v>
      </c>
      <c r="E243" s="860">
        <v>302</v>
      </c>
      <c r="F243" s="1232"/>
      <c r="G243" s="1233">
        <v>310</v>
      </c>
      <c r="H243" s="860">
        <v>366</v>
      </c>
      <c r="I243" s="860">
        <v>367</v>
      </c>
      <c r="J243" s="860">
        <v>370</v>
      </c>
      <c r="K243" s="1232"/>
      <c r="L243" s="1233">
        <v>383</v>
      </c>
      <c r="M243" s="860">
        <v>383</v>
      </c>
      <c r="N243" s="1274">
        <v>381.18400000000003</v>
      </c>
      <c r="O243" s="860">
        <v>375</v>
      </c>
      <c r="P243" s="1232"/>
      <c r="Q243" s="1326">
        <v>402</v>
      </c>
      <c r="R243" s="1274">
        <v>413.2</v>
      </c>
      <c r="S243" s="1274">
        <v>426.6</v>
      </c>
      <c r="T243" s="1274">
        <v>443</v>
      </c>
      <c r="U243" s="1327"/>
      <c r="V243" s="1326">
        <v>459.28800000000001</v>
      </c>
      <c r="W243" s="1274">
        <v>474.33100000000002</v>
      </c>
      <c r="X243" s="1274">
        <v>479</v>
      </c>
      <c r="Y243" s="1274"/>
      <c r="Z243" s="1261"/>
      <c r="AA243" s="1242"/>
      <c r="AB243" s="1162"/>
      <c r="AC243" s="1162"/>
      <c r="AD243" s="1162"/>
      <c r="AE243" s="1261"/>
      <c r="AF243" s="1242"/>
      <c r="AG243" s="1162"/>
      <c r="AH243" s="1162"/>
      <c r="AI243" s="1162"/>
      <c r="AJ243" s="1261"/>
      <c r="AK243" s="1242"/>
      <c r="AL243" s="1162"/>
      <c r="AM243" s="1162"/>
      <c r="AN243" s="1162"/>
      <c r="AO243" s="1261"/>
      <c r="AP243" s="1242"/>
      <c r="AQ243" s="1162"/>
      <c r="AR243" s="1162"/>
      <c r="AS243" s="1162"/>
      <c r="AT243" s="1261"/>
      <c r="AU243" s="1242"/>
      <c r="AV243" s="1162"/>
      <c r="AW243" s="1162"/>
      <c r="AX243" s="1162"/>
      <c r="AY243" s="1261"/>
      <c r="AZ243" s="1242"/>
      <c r="BA243" s="1162"/>
      <c r="BB243" s="1162"/>
      <c r="BC243" s="1162"/>
      <c r="BD243" s="1261"/>
      <c r="BE243" s="1242"/>
      <c r="BF243" s="1162"/>
      <c r="BG243" s="1162"/>
      <c r="BH243" s="1162"/>
      <c r="BI243" s="1261"/>
      <c r="BJ243" s="1242"/>
      <c r="BK243" s="1162"/>
      <c r="BL243" s="1162"/>
      <c r="BM243" s="1162"/>
      <c r="BN243" s="1261"/>
      <c r="BO243" s="1242"/>
      <c r="BP243" s="1162"/>
      <c r="BQ243" s="1162"/>
      <c r="BR243" s="1162"/>
      <c r="BS243" s="1261"/>
      <c r="BT243" s="1242"/>
      <c r="BU243" s="1162"/>
      <c r="BV243" s="1162"/>
      <c r="BW243" s="1162"/>
      <c r="BX243" s="1261"/>
      <c r="BY243" s="1242"/>
      <c r="BZ243" s="1162"/>
      <c r="CA243" s="1162"/>
      <c r="CB243" s="1756"/>
      <c r="CC243" s="1757"/>
      <c r="CD243" s="1242"/>
      <c r="CE243" s="1162"/>
      <c r="CF243" s="1162"/>
      <c r="CG243" s="1162"/>
      <c r="CH243" s="1757"/>
      <c r="CI243" s="1162"/>
      <c r="CJ243" s="1162"/>
      <c r="CK243" s="1233"/>
      <c r="CL243" s="860"/>
      <c r="CM243" s="860"/>
      <c r="CN243" s="860"/>
      <c r="CO243" s="1232"/>
      <c r="CP243" s="1233"/>
      <c r="CQ243" s="860"/>
      <c r="CR243" s="860"/>
      <c r="CS243" s="860"/>
      <c r="CT243" s="1232"/>
      <c r="CU243" s="1233"/>
      <c r="CV243" s="860"/>
      <c r="CW243" s="860"/>
      <c r="CX243" s="860"/>
      <c r="CY243" s="1232"/>
      <c r="CZ243" s="1233"/>
      <c r="DA243" s="860"/>
      <c r="DB243" s="860"/>
      <c r="DC243" s="860"/>
      <c r="DD243" s="1232"/>
      <c r="DE243" s="1233"/>
      <c r="DF243" s="860"/>
      <c r="DG243" s="860"/>
      <c r="DH243" s="860"/>
      <c r="DI243" s="1232"/>
      <c r="DJ243" s="1233"/>
      <c r="DK243" s="860"/>
      <c r="DL243" s="860"/>
      <c r="DM243" s="860"/>
      <c r="DN243" s="1232"/>
      <c r="DO243" s="1233"/>
      <c r="DP243" s="860"/>
      <c r="DQ243" s="860"/>
      <c r="DR243" s="860"/>
      <c r="DS243" s="1232"/>
      <c r="DT243" s="1233"/>
      <c r="DU243" s="860"/>
      <c r="DV243" s="860"/>
      <c r="DW243" s="860"/>
      <c r="DX243" s="1232"/>
      <c r="DY243" s="1233"/>
      <c r="DZ243" s="860"/>
      <c r="EA243" s="860"/>
      <c r="EB243" s="860"/>
      <c r="EC243" s="1232"/>
      <c r="ED243" s="860"/>
      <c r="EE243" s="860"/>
      <c r="EF243" s="860"/>
      <c r="EG243" s="860"/>
      <c r="EH243" s="860"/>
      <c r="EI243" s="1233"/>
      <c r="EJ243" s="860"/>
      <c r="EK243" s="860"/>
      <c r="EL243" s="860"/>
      <c r="EM243" s="1232"/>
      <c r="EN243" s="1233"/>
      <c r="EO243" s="860"/>
      <c r="EP243" s="860"/>
      <c r="EQ243" s="860"/>
      <c r="ER243" s="1232"/>
      <c r="ES243" s="860"/>
      <c r="ET243" s="860"/>
      <c r="EU243" s="860"/>
      <c r="EV243" s="860"/>
      <c r="EW243" s="1232"/>
      <c r="EX243" s="1233"/>
      <c r="EY243" s="860"/>
      <c r="EZ243" s="860"/>
      <c r="FA243" s="860"/>
      <c r="FB243" s="1754"/>
      <c r="FC243" s="1233"/>
      <c r="FD243" s="860"/>
      <c r="FE243" s="860"/>
      <c r="FF243" s="860"/>
      <c r="FG243" s="860"/>
      <c r="FH243" s="860"/>
      <c r="FI243" s="860"/>
      <c r="FJ243" s="860"/>
      <c r="FK243" s="860"/>
      <c r="FL243" s="860"/>
      <c r="FM243" s="860"/>
      <c r="FN243" s="860"/>
      <c r="FO243" s="860"/>
      <c r="FP243" s="860"/>
      <c r="FQ243" s="860"/>
      <c r="FR243" s="860"/>
      <c r="FS243" s="860"/>
      <c r="FT243" s="860"/>
      <c r="FU243" s="860"/>
      <c r="FV243" s="860"/>
      <c r="FW243" s="860"/>
      <c r="FX243" s="860"/>
      <c r="FY243" s="860"/>
      <c r="FZ243" s="860"/>
      <c r="GA243" s="860"/>
      <c r="GB243" s="860"/>
      <c r="GC243" s="860"/>
      <c r="GD243" s="860"/>
      <c r="GE243" s="860"/>
      <c r="GF243" s="860"/>
      <c r="GG243" s="860"/>
      <c r="GH243" s="860"/>
      <c r="GI243" s="860"/>
      <c r="GJ243" s="860"/>
      <c r="GK243" s="860"/>
      <c r="GL243" s="860"/>
      <c r="GM243" s="860"/>
      <c r="GN243" s="860"/>
      <c r="GO243" s="860"/>
      <c r="GP243" s="860"/>
      <c r="GQ243" s="860"/>
      <c r="GR243" s="1241"/>
      <c r="GS243" s="1218"/>
      <c r="GT243" s="1241"/>
      <c r="GU243" s="1218"/>
      <c r="GV243" s="1241"/>
      <c r="GW243" s="1218"/>
      <c r="GX243" s="1218"/>
      <c r="GY243" s="1241"/>
      <c r="GZ243" s="1218"/>
      <c r="HA243" s="1218"/>
      <c r="HB243" s="1241"/>
      <c r="HC243" s="1218"/>
      <c r="HD243" s="2000"/>
      <c r="HE243" s="1241"/>
      <c r="HF243" s="1218"/>
      <c r="HG243" s="2000"/>
      <c r="HH243" s="1241"/>
      <c r="HI243" s="1241"/>
      <c r="HJ243" s="1218"/>
      <c r="HK243" s="2000"/>
      <c r="HL243" s="1241"/>
      <c r="HM243" s="1218"/>
      <c r="HN243" s="2000"/>
      <c r="HO243" s="1241"/>
      <c r="HP243" s="1218"/>
      <c r="HQ243" s="2000"/>
      <c r="HR243" s="1241"/>
    </row>
    <row r="244" spans="1:226" hidden="1">
      <c r="A244" s="1132" t="s">
        <v>519</v>
      </c>
      <c r="B244" s="1233">
        <v>123</v>
      </c>
      <c r="C244" s="860">
        <v>136</v>
      </c>
      <c r="D244" s="860">
        <v>141</v>
      </c>
      <c r="E244" s="860">
        <v>147</v>
      </c>
      <c r="F244" s="1232"/>
      <c r="G244" s="1233">
        <v>158</v>
      </c>
      <c r="H244" s="860">
        <v>173</v>
      </c>
      <c r="I244" s="860">
        <v>182</v>
      </c>
      <c r="J244" s="860">
        <v>191</v>
      </c>
      <c r="K244" s="1232"/>
      <c r="L244" s="1233">
        <v>205</v>
      </c>
      <c r="M244" s="860">
        <v>211</v>
      </c>
      <c r="N244" s="1274">
        <v>222.791</v>
      </c>
      <c r="O244" s="860">
        <v>230</v>
      </c>
      <c r="P244" s="1232"/>
      <c r="Q244" s="1326">
        <v>240</v>
      </c>
      <c r="R244" s="1274">
        <v>253</v>
      </c>
      <c r="S244" s="1274">
        <v>270.8</v>
      </c>
      <c r="T244" s="1274">
        <v>295</v>
      </c>
      <c r="U244" s="1327"/>
      <c r="V244" s="1326">
        <v>321.68</v>
      </c>
      <c r="W244" s="1274">
        <v>342.15100000000001</v>
      </c>
      <c r="X244" s="1274">
        <v>361</v>
      </c>
      <c r="Y244" s="1274"/>
      <c r="Z244" s="1261"/>
      <c r="AA244" s="1242"/>
      <c r="AB244" s="1162"/>
      <c r="AC244" s="1162"/>
      <c r="AD244" s="1162"/>
      <c r="AE244" s="1261"/>
      <c r="AF244" s="1242"/>
      <c r="AG244" s="1162"/>
      <c r="AH244" s="1162"/>
      <c r="AI244" s="1162"/>
      <c r="AJ244" s="1261"/>
      <c r="AK244" s="1242"/>
      <c r="AL244" s="1162"/>
      <c r="AM244" s="1162"/>
      <c r="AN244" s="1162"/>
      <c r="AO244" s="1261"/>
      <c r="AP244" s="1242"/>
      <c r="AQ244" s="1162"/>
      <c r="AR244" s="1162"/>
      <c r="AS244" s="1162"/>
      <c r="AT244" s="1261"/>
      <c r="AU244" s="1242"/>
      <c r="AV244" s="1162"/>
      <c r="AW244" s="1162"/>
      <c r="AX244" s="1162"/>
      <c r="AY244" s="1261"/>
      <c r="AZ244" s="1242"/>
      <c r="BA244" s="1162"/>
      <c r="BB244" s="1162"/>
      <c r="BC244" s="1162"/>
      <c r="BD244" s="1261"/>
      <c r="BE244" s="1242"/>
      <c r="BF244" s="1162"/>
      <c r="BG244" s="1162"/>
      <c r="BH244" s="1162"/>
      <c r="BI244" s="1261"/>
      <c r="BJ244" s="1242"/>
      <c r="BK244" s="1162"/>
      <c r="BL244" s="1162"/>
      <c r="BM244" s="1162"/>
      <c r="BN244" s="1261"/>
      <c r="BO244" s="1242"/>
      <c r="BP244" s="1162"/>
      <c r="BQ244" s="1162"/>
      <c r="BR244" s="1162"/>
      <c r="BS244" s="1261"/>
      <c r="BT244" s="1242"/>
      <c r="BU244" s="1162"/>
      <c r="BV244" s="1162"/>
      <c r="BW244" s="1162"/>
      <c r="BX244" s="1261"/>
      <c r="BY244" s="1242"/>
      <c r="BZ244" s="1162"/>
      <c r="CA244" s="1162"/>
      <c r="CB244" s="1756"/>
      <c r="CC244" s="1757"/>
      <c r="CD244" s="1242"/>
      <c r="CE244" s="1162"/>
      <c r="CF244" s="1162"/>
      <c r="CG244" s="1162"/>
      <c r="CH244" s="1757"/>
      <c r="CI244" s="1162"/>
      <c r="CJ244" s="1162"/>
      <c r="CK244" s="1233"/>
      <c r="CL244" s="860"/>
      <c r="CM244" s="860"/>
      <c r="CN244" s="860"/>
      <c r="CO244" s="1232"/>
      <c r="CP244" s="1233"/>
      <c r="CQ244" s="860"/>
      <c r="CR244" s="860"/>
      <c r="CS244" s="860"/>
      <c r="CT244" s="1232"/>
      <c r="CU244" s="1233"/>
      <c r="CV244" s="860"/>
      <c r="CW244" s="860"/>
      <c r="CX244" s="860"/>
      <c r="CY244" s="1232"/>
      <c r="CZ244" s="1233"/>
      <c r="DA244" s="860"/>
      <c r="DB244" s="860"/>
      <c r="DC244" s="860"/>
      <c r="DD244" s="1232"/>
      <c r="DE244" s="1233"/>
      <c r="DF244" s="860"/>
      <c r="DG244" s="860"/>
      <c r="DH244" s="860"/>
      <c r="DI244" s="1232"/>
      <c r="DJ244" s="1233"/>
      <c r="DK244" s="860"/>
      <c r="DL244" s="860"/>
      <c r="DM244" s="860"/>
      <c r="DN244" s="1232"/>
      <c r="DO244" s="1233"/>
      <c r="DP244" s="860"/>
      <c r="DQ244" s="860"/>
      <c r="DR244" s="860"/>
      <c r="DS244" s="1232"/>
      <c r="DT244" s="1233"/>
      <c r="DU244" s="860"/>
      <c r="DV244" s="860"/>
      <c r="DW244" s="860"/>
      <c r="DX244" s="1232"/>
      <c r="DY244" s="1233"/>
      <c r="DZ244" s="860"/>
      <c r="EA244" s="860"/>
      <c r="EB244" s="860"/>
      <c r="EC244" s="1232"/>
      <c r="ED244" s="860"/>
      <c r="EE244" s="860"/>
      <c r="EF244" s="860"/>
      <c r="EG244" s="860"/>
      <c r="EH244" s="860"/>
      <c r="EI244" s="1233"/>
      <c r="EJ244" s="860"/>
      <c r="EK244" s="860"/>
      <c r="EL244" s="860"/>
      <c r="EM244" s="1232"/>
      <c r="EN244" s="1233"/>
      <c r="EO244" s="860"/>
      <c r="EP244" s="860"/>
      <c r="EQ244" s="860"/>
      <c r="ER244" s="1232"/>
      <c r="ES244" s="860"/>
      <c r="ET244" s="860"/>
      <c r="EU244" s="860"/>
      <c r="EV244" s="860"/>
      <c r="EW244" s="1232"/>
      <c r="EX244" s="1233"/>
      <c r="EY244" s="860"/>
      <c r="EZ244" s="860"/>
      <c r="FA244" s="860"/>
      <c r="FB244" s="1754"/>
      <c r="FC244" s="1233"/>
      <c r="FD244" s="860"/>
      <c r="FE244" s="860"/>
      <c r="FF244" s="860"/>
      <c r="FG244" s="860"/>
      <c r="FH244" s="860"/>
      <c r="FI244" s="860"/>
      <c r="FJ244" s="860"/>
      <c r="FK244" s="860"/>
      <c r="FL244" s="860"/>
      <c r="FM244" s="860"/>
      <c r="FN244" s="860"/>
      <c r="FO244" s="860"/>
      <c r="FP244" s="860"/>
      <c r="FQ244" s="860"/>
      <c r="FR244" s="860"/>
      <c r="FS244" s="860"/>
      <c r="FT244" s="860"/>
      <c r="FU244" s="860"/>
      <c r="FV244" s="860"/>
      <c r="FW244" s="860"/>
      <c r="FX244" s="860"/>
      <c r="FY244" s="860"/>
      <c r="FZ244" s="860"/>
      <c r="GA244" s="860"/>
      <c r="GB244" s="860"/>
      <c r="GC244" s="860"/>
      <c r="GD244" s="860"/>
      <c r="GE244" s="860"/>
      <c r="GF244" s="860"/>
      <c r="GG244" s="860"/>
      <c r="GH244" s="860"/>
      <c r="GI244" s="860"/>
      <c r="GJ244" s="860"/>
      <c r="GK244" s="860"/>
      <c r="GL244" s="860"/>
      <c r="GM244" s="860"/>
      <c r="GN244" s="860"/>
      <c r="GO244" s="860"/>
      <c r="GP244" s="860"/>
      <c r="GQ244" s="860"/>
      <c r="GR244" s="1241"/>
      <c r="GS244" s="1218"/>
      <c r="GT244" s="1241"/>
      <c r="GU244" s="1218"/>
      <c r="GV244" s="1241"/>
      <c r="GW244" s="1218"/>
      <c r="GX244" s="1218"/>
      <c r="GY244" s="1241"/>
      <c r="GZ244" s="1218"/>
      <c r="HA244" s="1218"/>
      <c r="HB244" s="1241"/>
      <c r="HC244" s="1218"/>
      <c r="HD244" s="2000"/>
      <c r="HE244" s="1241"/>
      <c r="HF244" s="1218"/>
      <c r="HG244" s="2000"/>
      <c r="HH244" s="1241"/>
      <c r="HI244" s="1241"/>
      <c r="HJ244" s="1218"/>
      <c r="HK244" s="2000"/>
      <c r="HL244" s="1241"/>
      <c r="HM244" s="1218"/>
      <c r="HN244" s="2000"/>
      <c r="HO244" s="1241"/>
      <c r="HP244" s="1218"/>
      <c r="HQ244" s="2000"/>
      <c r="HR244" s="1241"/>
    </row>
    <row r="245" spans="1:226" hidden="1">
      <c r="A245" s="1141" t="s">
        <v>518</v>
      </c>
      <c r="B245" s="1354">
        <v>86</v>
      </c>
      <c r="C245" s="1294">
        <v>95</v>
      </c>
      <c r="D245" s="1294">
        <v>101</v>
      </c>
      <c r="E245" s="1294">
        <v>106</v>
      </c>
      <c r="F245" s="1269"/>
      <c r="G245" s="1354">
        <v>116</v>
      </c>
      <c r="H245" s="1294">
        <v>126</v>
      </c>
      <c r="I245" s="1294">
        <v>129</v>
      </c>
      <c r="J245" s="1294">
        <v>132</v>
      </c>
      <c r="K245" s="1269"/>
      <c r="L245" s="1354">
        <v>136</v>
      </c>
      <c r="M245" s="1294">
        <v>134</v>
      </c>
      <c r="N245" s="967">
        <v>134.69200000000001</v>
      </c>
      <c r="O245" s="1294">
        <v>133</v>
      </c>
      <c r="P245" s="1232"/>
      <c r="Q245" s="1511">
        <v>134</v>
      </c>
      <c r="R245" s="967">
        <v>137</v>
      </c>
      <c r="S245" s="967">
        <v>144.6</v>
      </c>
      <c r="T245" s="967">
        <v>153</v>
      </c>
      <c r="U245" s="1327"/>
      <c r="V245" s="1511">
        <v>160.71600000000001</v>
      </c>
      <c r="W245" s="967">
        <v>167.86099999999999</v>
      </c>
      <c r="X245" s="967">
        <v>173</v>
      </c>
      <c r="Y245" s="1274"/>
      <c r="Z245" s="1261"/>
      <c r="AA245" s="1242"/>
      <c r="AB245" s="1162"/>
      <c r="AC245" s="1162"/>
      <c r="AD245" s="1162"/>
      <c r="AE245" s="1261"/>
      <c r="AF245" s="1242"/>
      <c r="AG245" s="1162"/>
      <c r="AH245" s="1162"/>
      <c r="AI245" s="1162"/>
      <c r="AJ245" s="1261"/>
      <c r="AK245" s="1242"/>
      <c r="AL245" s="1162"/>
      <c r="AM245" s="1162"/>
      <c r="AN245" s="1162"/>
      <c r="AO245" s="1261"/>
      <c r="AP245" s="1242"/>
      <c r="AQ245" s="1162"/>
      <c r="AR245" s="1162"/>
      <c r="AS245" s="1162"/>
      <c r="AT245" s="1261"/>
      <c r="AU245" s="1242"/>
      <c r="AV245" s="1162"/>
      <c r="AW245" s="1162"/>
      <c r="AX245" s="1162"/>
      <c r="AY245" s="1261"/>
      <c r="AZ245" s="1242"/>
      <c r="BA245" s="1162"/>
      <c r="BB245" s="1162"/>
      <c r="BC245" s="1162"/>
      <c r="BD245" s="1261"/>
      <c r="BE245" s="1242"/>
      <c r="BF245" s="1162"/>
      <c r="BG245" s="1162"/>
      <c r="BH245" s="1162"/>
      <c r="BI245" s="1261"/>
      <c r="BJ245" s="1242"/>
      <c r="BK245" s="1162"/>
      <c r="BL245" s="1162"/>
      <c r="BM245" s="1162"/>
      <c r="BN245" s="1261"/>
      <c r="BO245" s="1242"/>
      <c r="BP245" s="1162"/>
      <c r="BQ245" s="1162"/>
      <c r="BR245" s="1162"/>
      <c r="BS245" s="1261"/>
      <c r="BT245" s="1242"/>
      <c r="BU245" s="1162"/>
      <c r="BV245" s="1162"/>
      <c r="BW245" s="1162"/>
      <c r="BX245" s="1261"/>
      <c r="BY245" s="1242"/>
      <c r="BZ245" s="1162"/>
      <c r="CA245" s="1162"/>
      <c r="CB245" s="1756"/>
      <c r="CC245" s="1757"/>
      <c r="CD245" s="1242"/>
      <c r="CE245" s="1162"/>
      <c r="CF245" s="1162"/>
      <c r="CG245" s="1162"/>
      <c r="CH245" s="1757"/>
      <c r="CI245" s="1162"/>
      <c r="CJ245" s="1162"/>
      <c r="CK245" s="1233"/>
      <c r="CL245" s="860"/>
      <c r="CM245" s="860"/>
      <c r="CN245" s="860"/>
      <c r="CO245" s="1232"/>
      <c r="CP245" s="1233"/>
      <c r="CQ245" s="860"/>
      <c r="CR245" s="860"/>
      <c r="CS245" s="860"/>
      <c r="CT245" s="1232"/>
      <c r="CU245" s="1233"/>
      <c r="CV245" s="860"/>
      <c r="CW245" s="860"/>
      <c r="CX245" s="860"/>
      <c r="CY245" s="1232"/>
      <c r="CZ245" s="1233"/>
      <c r="DA245" s="860"/>
      <c r="DB245" s="860"/>
      <c r="DC245" s="860"/>
      <c r="DD245" s="1232"/>
      <c r="DE245" s="1233"/>
      <c r="DF245" s="860"/>
      <c r="DG245" s="860"/>
      <c r="DH245" s="860"/>
      <c r="DI245" s="1232"/>
      <c r="DJ245" s="1233"/>
      <c r="DK245" s="860"/>
      <c r="DL245" s="860"/>
      <c r="DM245" s="860"/>
      <c r="DN245" s="1232"/>
      <c r="DO245" s="1233"/>
      <c r="DP245" s="860"/>
      <c r="DQ245" s="860"/>
      <c r="DR245" s="860"/>
      <c r="DS245" s="1232"/>
      <c r="DT245" s="1233"/>
      <c r="DU245" s="860"/>
      <c r="DV245" s="860"/>
      <c r="DW245" s="860"/>
      <c r="DX245" s="1232"/>
      <c r="DY245" s="1233"/>
      <c r="DZ245" s="860"/>
      <c r="EA245" s="860"/>
      <c r="EB245" s="860"/>
      <c r="EC245" s="1232"/>
      <c r="ED245" s="860"/>
      <c r="EE245" s="860"/>
      <c r="EF245" s="860"/>
      <c r="EG245" s="860"/>
      <c r="EH245" s="860"/>
      <c r="EI245" s="1233"/>
      <c r="EJ245" s="860"/>
      <c r="EK245" s="860"/>
      <c r="EL245" s="860"/>
      <c r="EM245" s="1232"/>
      <c r="EN245" s="1233"/>
      <c r="EO245" s="860"/>
      <c r="EP245" s="860"/>
      <c r="EQ245" s="860"/>
      <c r="ER245" s="1232"/>
      <c r="ES245" s="860"/>
      <c r="ET245" s="860"/>
      <c r="EU245" s="860"/>
      <c r="EV245" s="860"/>
      <c r="EW245" s="1232"/>
      <c r="EX245" s="1233"/>
      <c r="EY245" s="860"/>
      <c r="EZ245" s="860"/>
      <c r="FA245" s="860"/>
      <c r="FB245" s="1754"/>
      <c r="FC245" s="1233"/>
      <c r="FD245" s="860"/>
      <c r="FE245" s="860"/>
      <c r="FF245" s="860"/>
      <c r="FG245" s="860"/>
      <c r="FH245" s="860"/>
      <c r="FI245" s="860"/>
      <c r="FJ245" s="860"/>
      <c r="FK245" s="860"/>
      <c r="FL245" s="860"/>
      <c r="FM245" s="860"/>
      <c r="FN245" s="860"/>
      <c r="FO245" s="860"/>
      <c r="FP245" s="860"/>
      <c r="FQ245" s="860"/>
      <c r="FR245" s="860"/>
      <c r="FS245" s="860"/>
      <c r="FT245" s="860"/>
      <c r="FU245" s="860"/>
      <c r="FV245" s="860"/>
      <c r="FW245" s="860"/>
      <c r="FX245" s="860"/>
      <c r="FY245" s="860"/>
      <c r="FZ245" s="860"/>
      <c r="GA245" s="860"/>
      <c r="GB245" s="860"/>
      <c r="GC245" s="860"/>
      <c r="GD245" s="860"/>
      <c r="GE245" s="860"/>
      <c r="GF245" s="860"/>
      <c r="GG245" s="860"/>
      <c r="GH245" s="860"/>
      <c r="GI245" s="860"/>
      <c r="GJ245" s="860"/>
      <c r="GK245" s="860"/>
      <c r="GL245" s="860"/>
      <c r="GM245" s="860"/>
      <c r="GN245" s="860"/>
      <c r="GO245" s="860"/>
      <c r="GP245" s="860"/>
      <c r="GQ245" s="860"/>
      <c r="GR245" s="1241"/>
      <c r="GS245" s="1218"/>
      <c r="GT245" s="1241"/>
      <c r="GU245" s="1218"/>
      <c r="GV245" s="1241"/>
      <c r="GW245" s="1218"/>
      <c r="GX245" s="1218"/>
      <c r="GY245" s="1241"/>
      <c r="GZ245" s="1218"/>
      <c r="HA245" s="1218"/>
      <c r="HB245" s="1241"/>
      <c r="HC245" s="1218"/>
      <c r="HD245" s="2000"/>
      <c r="HE245" s="1241"/>
      <c r="HF245" s="1218"/>
      <c r="HG245" s="2000"/>
      <c r="HH245" s="1241"/>
      <c r="HI245" s="1241"/>
      <c r="HJ245" s="1218"/>
      <c r="HK245" s="2000"/>
      <c r="HL245" s="1241"/>
      <c r="HM245" s="1218"/>
      <c r="HN245" s="2000"/>
      <c r="HO245" s="1241"/>
      <c r="HP245" s="1218"/>
      <c r="HQ245" s="2000"/>
      <c r="HR245" s="1241"/>
    </row>
    <row r="246" spans="1:226" hidden="1">
      <c r="A246" s="1132" t="s">
        <v>85</v>
      </c>
      <c r="B246" s="1233">
        <f>SUM(B243:B245)</f>
        <v>458</v>
      </c>
      <c r="C246" s="860">
        <f>SUM(C243:C245)</f>
        <v>524</v>
      </c>
      <c r="D246" s="860">
        <f>SUM(D243:D245)</f>
        <v>541</v>
      </c>
      <c r="E246" s="860">
        <f>SUM(E243:E245)</f>
        <v>555</v>
      </c>
      <c r="F246" s="1232"/>
      <c r="G246" s="1233">
        <f>SUM(G243:G245)</f>
        <v>584</v>
      </c>
      <c r="H246" s="860">
        <f>SUM(H243:H245)</f>
        <v>665</v>
      </c>
      <c r="I246" s="860">
        <f>SUM(I243:I245)</f>
        <v>678</v>
      </c>
      <c r="J246" s="860">
        <f>SUM(J243:J245)</f>
        <v>693</v>
      </c>
      <c r="K246" s="1232"/>
      <c r="L246" s="1233">
        <f>SUM(L243:L245)</f>
        <v>724</v>
      </c>
      <c r="M246" s="860">
        <f>SUM(M243:M245)</f>
        <v>728</v>
      </c>
      <c r="N246" s="860">
        <f>SUM(N243:N245)</f>
        <v>738.66700000000003</v>
      </c>
      <c r="O246" s="860">
        <f>SUM(O243:O245)</f>
        <v>738</v>
      </c>
      <c r="P246" s="1232"/>
      <c r="Q246" s="1326">
        <f>SUM(Q243:Q245)</f>
        <v>776</v>
      </c>
      <c r="R246" s="1274">
        <f>SUM(R243:R245)</f>
        <v>803.2</v>
      </c>
      <c r="S246" s="1274">
        <f>SUM(S243:S245)</f>
        <v>842.00000000000011</v>
      </c>
      <c r="T246" s="1274">
        <f>SUM(T243:T245)</f>
        <v>891</v>
      </c>
      <c r="U246" s="1327"/>
      <c r="V246" s="1326">
        <f>SUM(V243:V245)</f>
        <v>941.68400000000008</v>
      </c>
      <c r="W246" s="1274">
        <f>SUM(W243:W245)</f>
        <v>984.34299999999996</v>
      </c>
      <c r="X246" s="1274">
        <f>SUM(X243:X245)</f>
        <v>1013</v>
      </c>
      <c r="Y246" s="1274"/>
      <c r="Z246" s="1261"/>
      <c r="AA246" s="1242"/>
      <c r="AB246" s="1162"/>
      <c r="AC246" s="1162"/>
      <c r="AD246" s="1162"/>
      <c r="AE246" s="1261"/>
      <c r="AF246" s="1242"/>
      <c r="AG246" s="1162"/>
      <c r="AH246" s="1162"/>
      <c r="AI246" s="1162"/>
      <c r="AJ246" s="1261"/>
      <c r="AK246" s="1242"/>
      <c r="AL246" s="1162"/>
      <c r="AM246" s="1162"/>
      <c r="AN246" s="1162"/>
      <c r="AO246" s="1261"/>
      <c r="AP246" s="1242"/>
      <c r="AQ246" s="1162"/>
      <c r="AR246" s="1162"/>
      <c r="AS246" s="1162"/>
      <c r="AT246" s="1261"/>
      <c r="AU246" s="1242"/>
      <c r="AV246" s="1162"/>
      <c r="AW246" s="1162"/>
      <c r="AX246" s="1162"/>
      <c r="AY246" s="1261"/>
      <c r="AZ246" s="1242"/>
      <c r="BA246" s="1162"/>
      <c r="BB246" s="1162"/>
      <c r="BC246" s="1162"/>
      <c r="BD246" s="1261"/>
      <c r="BE246" s="1242"/>
      <c r="BF246" s="1162"/>
      <c r="BG246" s="1162"/>
      <c r="BH246" s="1162"/>
      <c r="BI246" s="1261"/>
      <c r="BJ246" s="1242"/>
      <c r="BK246" s="1162"/>
      <c r="BL246" s="1162"/>
      <c r="BM246" s="1162"/>
      <c r="BN246" s="1261"/>
      <c r="BO246" s="1242"/>
      <c r="BP246" s="1162"/>
      <c r="BQ246" s="1162"/>
      <c r="BR246" s="1162"/>
      <c r="BS246" s="1261"/>
      <c r="BT246" s="1242"/>
      <c r="BU246" s="1162"/>
      <c r="BV246" s="1162"/>
      <c r="BW246" s="1162"/>
      <c r="BX246" s="1261"/>
      <c r="BY246" s="1242"/>
      <c r="BZ246" s="1162"/>
      <c r="CA246" s="1162"/>
      <c r="CB246" s="1756"/>
      <c r="CC246" s="1757"/>
      <c r="CD246" s="1242"/>
      <c r="CE246" s="1162"/>
      <c r="CF246" s="1162"/>
      <c r="CG246" s="1162"/>
      <c r="CH246" s="1757"/>
      <c r="CI246" s="1162"/>
      <c r="CJ246" s="1162"/>
      <c r="CK246" s="1233"/>
      <c r="CL246" s="860"/>
      <c r="CM246" s="860"/>
      <c r="CN246" s="860"/>
      <c r="CO246" s="1232"/>
      <c r="CP246" s="1233"/>
      <c r="CQ246" s="860"/>
      <c r="CR246" s="860"/>
      <c r="CS246" s="860"/>
      <c r="CT246" s="1232"/>
      <c r="CU246" s="1233"/>
      <c r="CV246" s="860"/>
      <c r="CW246" s="860"/>
      <c r="CX246" s="860"/>
      <c r="CY246" s="1232"/>
      <c r="CZ246" s="1233"/>
      <c r="DA246" s="860"/>
      <c r="DB246" s="860"/>
      <c r="DC246" s="860"/>
      <c r="DD246" s="1232"/>
      <c r="DE246" s="1233"/>
      <c r="DF246" s="860"/>
      <c r="DG246" s="860"/>
      <c r="DH246" s="860"/>
      <c r="DI246" s="1232"/>
      <c r="DJ246" s="1233"/>
      <c r="DK246" s="860"/>
      <c r="DL246" s="860"/>
      <c r="DM246" s="860"/>
      <c r="DN246" s="1232"/>
      <c r="DO246" s="1233"/>
      <c r="DP246" s="860"/>
      <c r="DQ246" s="860"/>
      <c r="DR246" s="860"/>
      <c r="DS246" s="1232"/>
      <c r="DT246" s="1233"/>
      <c r="DU246" s="860"/>
      <c r="DV246" s="860"/>
      <c r="DW246" s="860"/>
      <c r="DX246" s="1232"/>
      <c r="DY246" s="1233"/>
      <c r="DZ246" s="860"/>
      <c r="EA246" s="860"/>
      <c r="EB246" s="860"/>
      <c r="EC246" s="1232"/>
      <c r="ED246" s="860"/>
      <c r="EE246" s="860"/>
      <c r="EF246" s="860"/>
      <c r="EG246" s="860"/>
      <c r="EH246" s="860"/>
      <c r="EI246" s="1233"/>
      <c r="EJ246" s="860"/>
      <c r="EK246" s="860"/>
      <c r="EL246" s="860"/>
      <c r="EM246" s="1232"/>
      <c r="EN246" s="1233"/>
      <c r="EO246" s="860"/>
      <c r="EP246" s="860"/>
      <c r="EQ246" s="860"/>
      <c r="ER246" s="1232"/>
      <c r="ES246" s="860"/>
      <c r="ET246" s="860"/>
      <c r="EU246" s="860"/>
      <c r="EV246" s="860"/>
      <c r="EW246" s="1232"/>
      <c r="EX246" s="1233"/>
      <c r="EY246" s="860"/>
      <c r="EZ246" s="860"/>
      <c r="FA246" s="860"/>
      <c r="FB246" s="1754"/>
      <c r="FC246" s="1233"/>
      <c r="FD246" s="860"/>
      <c r="FE246" s="860"/>
      <c r="FF246" s="860"/>
      <c r="FG246" s="860"/>
      <c r="FH246" s="860"/>
      <c r="FI246" s="860"/>
      <c r="FJ246" s="860"/>
      <c r="FK246" s="860"/>
      <c r="FL246" s="860"/>
      <c r="FM246" s="860"/>
      <c r="FN246" s="860"/>
      <c r="FO246" s="860"/>
      <c r="FP246" s="860"/>
      <c r="FQ246" s="860"/>
      <c r="FR246" s="860"/>
      <c r="FS246" s="860"/>
      <c r="FT246" s="860"/>
      <c r="FU246" s="860"/>
      <c r="FV246" s="860"/>
      <c r="FW246" s="860"/>
      <c r="FX246" s="860"/>
      <c r="FY246" s="860"/>
      <c r="FZ246" s="860"/>
      <c r="GA246" s="860"/>
      <c r="GB246" s="860"/>
      <c r="GC246" s="860"/>
      <c r="GD246" s="860"/>
      <c r="GE246" s="860"/>
      <c r="GF246" s="860"/>
      <c r="GG246" s="860"/>
      <c r="GH246" s="860"/>
      <c r="GI246" s="860"/>
      <c r="GJ246" s="860"/>
      <c r="GK246" s="860"/>
      <c r="GL246" s="860"/>
      <c r="GM246" s="860"/>
      <c r="GN246" s="860"/>
      <c r="GO246" s="860"/>
      <c r="GP246" s="860"/>
      <c r="GQ246" s="860"/>
      <c r="GR246" s="1241"/>
      <c r="GS246" s="1218"/>
      <c r="GT246" s="1241"/>
      <c r="GU246" s="1218"/>
      <c r="GV246" s="1241"/>
      <c r="GW246" s="1218"/>
      <c r="GX246" s="1218"/>
      <c r="GY246" s="1241"/>
      <c r="GZ246" s="1218"/>
      <c r="HA246" s="1218"/>
      <c r="HB246" s="1241"/>
      <c r="HC246" s="1218"/>
      <c r="HD246" s="2000"/>
      <c r="HE246" s="1241"/>
      <c r="HF246" s="1218"/>
      <c r="HG246" s="2000"/>
      <c r="HH246" s="1241"/>
      <c r="HI246" s="1241"/>
      <c r="HJ246" s="1218"/>
      <c r="HK246" s="2000"/>
      <c r="HL246" s="1241"/>
      <c r="HM246" s="1218"/>
      <c r="HN246" s="2000"/>
      <c r="HO246" s="1241"/>
      <c r="HP246" s="1218"/>
      <c r="HQ246" s="2000"/>
      <c r="HR246" s="1241"/>
    </row>
    <row r="247" spans="1:226" hidden="1">
      <c r="A247" s="1132"/>
      <c r="B247" s="1233"/>
      <c r="C247" s="860"/>
      <c r="D247" s="860"/>
      <c r="E247" s="860"/>
      <c r="F247" s="1232"/>
      <c r="G247" s="1233"/>
      <c r="H247" s="860"/>
      <c r="I247" s="860"/>
      <c r="J247" s="860"/>
      <c r="K247" s="1232"/>
      <c r="L247" s="1233"/>
      <c r="M247" s="860"/>
      <c r="N247" s="860"/>
      <c r="O247" s="860"/>
      <c r="P247" s="1232"/>
      <c r="Q247" s="1233"/>
      <c r="R247" s="860"/>
      <c r="S247" s="860"/>
      <c r="T247" s="860"/>
      <c r="U247" s="1232"/>
      <c r="V247" s="1233"/>
      <c r="W247" s="860"/>
      <c r="X247" s="860"/>
      <c r="Y247" s="860"/>
      <c r="Z247" s="1261"/>
      <c r="AA247" s="1242"/>
      <c r="AB247" s="1162"/>
      <c r="AC247" s="1162"/>
      <c r="AD247" s="1162"/>
      <c r="AE247" s="1261"/>
      <c r="AF247" s="1242"/>
      <c r="AG247" s="1162"/>
      <c r="AH247" s="1162"/>
      <c r="AI247" s="1162"/>
      <c r="AJ247" s="1261"/>
      <c r="AK247" s="1242"/>
      <c r="AL247" s="1162"/>
      <c r="AM247" s="1162"/>
      <c r="AN247" s="1162"/>
      <c r="AO247" s="1261"/>
      <c r="AP247" s="1242"/>
      <c r="AQ247" s="1162"/>
      <c r="AR247" s="1162"/>
      <c r="AS247" s="1162"/>
      <c r="AT247" s="1261"/>
      <c r="AU247" s="1242"/>
      <c r="AV247" s="1162"/>
      <c r="AW247" s="1162"/>
      <c r="AX247" s="1162"/>
      <c r="AY247" s="1261"/>
      <c r="AZ247" s="1242"/>
      <c r="BA247" s="1162"/>
      <c r="BB247" s="1162"/>
      <c r="BC247" s="1162"/>
      <c r="BD247" s="1261"/>
      <c r="BE247" s="1242"/>
      <c r="BF247" s="1162"/>
      <c r="BG247" s="1162"/>
      <c r="BH247" s="1162"/>
      <c r="BI247" s="1261"/>
      <c r="BJ247" s="1242"/>
      <c r="BK247" s="1162"/>
      <c r="BL247" s="1162"/>
      <c r="BM247" s="1162"/>
      <c r="BN247" s="1261"/>
      <c r="BO247" s="1242"/>
      <c r="BP247" s="1162"/>
      <c r="BQ247" s="1162"/>
      <c r="BR247" s="1162"/>
      <c r="BS247" s="1261"/>
      <c r="BT247" s="1242"/>
      <c r="BU247" s="1162"/>
      <c r="BV247" s="1162"/>
      <c r="BW247" s="1162"/>
      <c r="BX247" s="1261"/>
      <c r="BY247" s="1242"/>
      <c r="BZ247" s="1162"/>
      <c r="CA247" s="1162"/>
      <c r="CB247" s="1756"/>
      <c r="CC247" s="1757"/>
      <c r="CD247" s="1242"/>
      <c r="CE247" s="1162"/>
      <c r="CF247" s="1162"/>
      <c r="CG247" s="1162"/>
      <c r="CH247" s="1757"/>
      <c r="CI247" s="1162"/>
      <c r="CJ247" s="1162"/>
      <c r="CK247" s="1233"/>
      <c r="CL247" s="860"/>
      <c r="CM247" s="860"/>
      <c r="CN247" s="860"/>
      <c r="CO247" s="1232"/>
      <c r="CP247" s="1233"/>
      <c r="CQ247" s="860"/>
      <c r="CR247" s="860"/>
      <c r="CS247" s="860"/>
      <c r="CT247" s="1232"/>
      <c r="CU247" s="1233"/>
      <c r="CV247" s="860"/>
      <c r="CW247" s="860"/>
      <c r="CX247" s="860"/>
      <c r="CY247" s="1232"/>
      <c r="CZ247" s="1233"/>
      <c r="DA247" s="860"/>
      <c r="DB247" s="860"/>
      <c r="DC247" s="860"/>
      <c r="DD247" s="1232"/>
      <c r="DE247" s="1233"/>
      <c r="DF247" s="860"/>
      <c r="DG247" s="860"/>
      <c r="DH247" s="860"/>
      <c r="DI247" s="1232"/>
      <c r="DJ247" s="1233"/>
      <c r="DK247" s="860"/>
      <c r="DL247" s="860"/>
      <c r="DM247" s="860"/>
      <c r="DN247" s="1232"/>
      <c r="DO247" s="1233"/>
      <c r="DP247" s="860"/>
      <c r="DQ247" s="860"/>
      <c r="DR247" s="860"/>
      <c r="DS247" s="1232"/>
      <c r="DT247" s="1233"/>
      <c r="DU247" s="860"/>
      <c r="DV247" s="860"/>
      <c r="DW247" s="860"/>
      <c r="DX247" s="1232"/>
      <c r="DY247" s="1233"/>
      <c r="DZ247" s="860"/>
      <c r="EA247" s="860"/>
      <c r="EB247" s="860"/>
      <c r="EC247" s="1232"/>
      <c r="ED247" s="860"/>
      <c r="EE247" s="860"/>
      <c r="EF247" s="860"/>
      <c r="EG247" s="860"/>
      <c r="EH247" s="860"/>
      <c r="EI247" s="1233"/>
      <c r="EJ247" s="860"/>
      <c r="EK247" s="860"/>
      <c r="EL247" s="860"/>
      <c r="EM247" s="1232"/>
      <c r="EN247" s="1233"/>
      <c r="EO247" s="860"/>
      <c r="EP247" s="860"/>
      <c r="EQ247" s="860"/>
      <c r="ER247" s="1232"/>
      <c r="ES247" s="860"/>
      <c r="ET247" s="860"/>
      <c r="EU247" s="860"/>
      <c r="EV247" s="860"/>
      <c r="EW247" s="1232"/>
      <c r="EX247" s="1233"/>
      <c r="EY247" s="860"/>
      <c r="EZ247" s="860"/>
      <c r="FA247" s="860"/>
      <c r="FB247" s="1754"/>
      <c r="FC247" s="1233"/>
      <c r="FD247" s="860"/>
      <c r="FE247" s="860"/>
      <c r="FF247" s="860"/>
      <c r="FG247" s="860"/>
      <c r="FH247" s="860"/>
      <c r="FI247" s="860"/>
      <c r="FJ247" s="860"/>
      <c r="FK247" s="860"/>
      <c r="FL247" s="860"/>
      <c r="FM247" s="860"/>
      <c r="FN247" s="860"/>
      <c r="FO247" s="860"/>
      <c r="FP247" s="860"/>
      <c r="FQ247" s="860"/>
      <c r="FR247" s="860"/>
      <c r="FS247" s="860"/>
      <c r="FT247" s="860"/>
      <c r="FU247" s="860"/>
      <c r="FV247" s="860"/>
      <c r="FW247" s="860"/>
      <c r="FX247" s="860"/>
      <c r="FY247" s="860"/>
      <c r="FZ247" s="860"/>
      <c r="GA247" s="860"/>
      <c r="GB247" s="860"/>
      <c r="GC247" s="860"/>
      <c r="GD247" s="860"/>
      <c r="GE247" s="860"/>
      <c r="GF247" s="860"/>
      <c r="GG247" s="860"/>
      <c r="GH247" s="860"/>
      <c r="GI247" s="860"/>
      <c r="GJ247" s="860"/>
      <c r="GK247" s="860"/>
      <c r="GL247" s="860"/>
      <c r="GM247" s="860"/>
      <c r="GN247" s="860"/>
      <c r="GO247" s="860"/>
      <c r="GP247" s="860"/>
      <c r="GQ247" s="860"/>
      <c r="GR247" s="1241"/>
      <c r="GS247" s="1218"/>
      <c r="GT247" s="1241"/>
      <c r="GU247" s="1218"/>
      <c r="GV247" s="1241"/>
      <c r="GW247" s="1218"/>
      <c r="GX247" s="1218"/>
      <c r="GY247" s="1241"/>
      <c r="GZ247" s="1218"/>
      <c r="HA247" s="1218"/>
      <c r="HB247" s="1241"/>
      <c r="HC247" s="1218"/>
      <c r="HD247" s="2000"/>
      <c r="HE247" s="1241"/>
      <c r="HF247" s="1218"/>
      <c r="HG247" s="2000"/>
      <c r="HH247" s="1241"/>
      <c r="HI247" s="1241"/>
      <c r="HJ247" s="1218"/>
      <c r="HK247" s="2000"/>
      <c r="HL247" s="1241"/>
      <c r="HM247" s="1218"/>
      <c r="HN247" s="2000"/>
      <c r="HO247" s="1241"/>
      <c r="HP247" s="1218"/>
      <c r="HQ247" s="2000"/>
      <c r="HR247" s="1241"/>
    </row>
    <row r="248" spans="1:226" hidden="1">
      <c r="A248" s="1509" t="s">
        <v>486</v>
      </c>
      <c r="B248" s="1233"/>
      <c r="C248" s="860"/>
      <c r="D248" s="860"/>
      <c r="E248" s="860"/>
      <c r="F248" s="1232"/>
      <c r="G248" s="1233"/>
      <c r="H248" s="860"/>
      <c r="I248" s="860"/>
      <c r="J248" s="860"/>
      <c r="K248" s="1232"/>
      <c r="L248" s="1233"/>
      <c r="M248" s="860"/>
      <c r="N248" s="860"/>
      <c r="O248" s="860"/>
      <c r="P248" s="1232"/>
      <c r="Q248" s="1233"/>
      <c r="R248" s="860"/>
      <c r="S248" s="860"/>
      <c r="T248" s="860"/>
      <c r="U248" s="1232"/>
      <c r="V248" s="1233"/>
      <c r="W248" s="860"/>
      <c r="X248" s="860"/>
      <c r="Y248" s="860"/>
      <c r="Z248" s="1261"/>
      <c r="AA248" s="1242"/>
      <c r="AB248" s="1162"/>
      <c r="AC248" s="1162"/>
      <c r="AD248" s="1162"/>
      <c r="AE248" s="1261"/>
      <c r="AF248" s="1242"/>
      <c r="AG248" s="1162"/>
      <c r="AH248" s="1162"/>
      <c r="AI248" s="1162"/>
      <c r="AJ248" s="1261"/>
      <c r="AK248" s="1242"/>
      <c r="AL248" s="1162"/>
      <c r="AM248" s="1162"/>
      <c r="AN248" s="1162"/>
      <c r="AO248" s="1261"/>
      <c r="AP248" s="1242"/>
      <c r="AQ248" s="1162"/>
      <c r="AR248" s="1162"/>
      <c r="AS248" s="1162"/>
      <c r="AT248" s="1261"/>
      <c r="AU248" s="1242"/>
      <c r="AV248" s="1162"/>
      <c r="AW248" s="1162"/>
      <c r="AX248" s="1162"/>
      <c r="AY248" s="1261"/>
      <c r="AZ248" s="1242"/>
      <c r="BA248" s="1162"/>
      <c r="BB248" s="1162"/>
      <c r="BC248" s="1162"/>
      <c r="BD248" s="1261"/>
      <c r="BE248" s="1242"/>
      <c r="BF248" s="1162"/>
      <c r="BG248" s="1162"/>
      <c r="BH248" s="1162"/>
      <c r="BI248" s="1261"/>
      <c r="BJ248" s="1242"/>
      <c r="BK248" s="1162"/>
      <c r="BL248" s="1162"/>
      <c r="BM248" s="1162"/>
      <c r="BN248" s="1261"/>
      <c r="BO248" s="1242"/>
      <c r="BP248" s="1162"/>
      <c r="BQ248" s="1162"/>
      <c r="BR248" s="1162"/>
      <c r="BS248" s="1261"/>
      <c r="BT248" s="1242"/>
      <c r="BU248" s="1162"/>
      <c r="BV248" s="1162"/>
      <c r="BW248" s="1162"/>
      <c r="BX248" s="1261"/>
      <c r="BY248" s="1242"/>
      <c r="BZ248" s="1162"/>
      <c r="CA248" s="1162"/>
      <c r="CB248" s="1756"/>
      <c r="CC248" s="1757"/>
      <c r="CD248" s="1242"/>
      <c r="CE248" s="1162"/>
      <c r="CF248" s="1162"/>
      <c r="CG248" s="1162"/>
      <c r="CH248" s="1757"/>
      <c r="CI248" s="1162"/>
      <c r="CJ248" s="1162"/>
      <c r="CK248" s="1233"/>
      <c r="CL248" s="860"/>
      <c r="CM248" s="860"/>
      <c r="CN248" s="860"/>
      <c r="CO248" s="1232"/>
      <c r="CP248" s="1233"/>
      <c r="CQ248" s="860"/>
      <c r="CR248" s="860"/>
      <c r="CS248" s="860"/>
      <c r="CT248" s="1232"/>
      <c r="CU248" s="1233"/>
      <c r="CV248" s="860"/>
      <c r="CW248" s="860"/>
      <c r="CX248" s="860"/>
      <c r="CY248" s="1232"/>
      <c r="CZ248" s="1233"/>
      <c r="DA248" s="860"/>
      <c r="DB248" s="860"/>
      <c r="DC248" s="860"/>
      <c r="DD248" s="1232"/>
      <c r="DE248" s="1233"/>
      <c r="DF248" s="860"/>
      <c r="DG248" s="860"/>
      <c r="DH248" s="860"/>
      <c r="DI248" s="1232"/>
      <c r="DJ248" s="1233"/>
      <c r="DK248" s="860"/>
      <c r="DL248" s="860"/>
      <c r="DM248" s="860"/>
      <c r="DN248" s="1232"/>
      <c r="DO248" s="1233"/>
      <c r="DP248" s="860"/>
      <c r="DQ248" s="860"/>
      <c r="DR248" s="860"/>
      <c r="DS248" s="1232"/>
      <c r="DT248" s="1233"/>
      <c r="DU248" s="860"/>
      <c r="DV248" s="860"/>
      <c r="DW248" s="860"/>
      <c r="DX248" s="1232"/>
      <c r="DY248" s="1233"/>
      <c r="DZ248" s="860"/>
      <c r="EA248" s="860"/>
      <c r="EB248" s="860"/>
      <c r="EC248" s="1232"/>
      <c r="ED248" s="860"/>
      <c r="EE248" s="860"/>
      <c r="EF248" s="860"/>
      <c r="EG248" s="860"/>
      <c r="EH248" s="860"/>
      <c r="EI248" s="1233"/>
      <c r="EJ248" s="860"/>
      <c r="EK248" s="860"/>
      <c r="EL248" s="860"/>
      <c r="EM248" s="1232"/>
      <c r="EN248" s="1233"/>
      <c r="EO248" s="860"/>
      <c r="EP248" s="860"/>
      <c r="EQ248" s="860"/>
      <c r="ER248" s="1232"/>
      <c r="ES248" s="860"/>
      <c r="ET248" s="860"/>
      <c r="EU248" s="860"/>
      <c r="EV248" s="860"/>
      <c r="EW248" s="1232"/>
      <c r="EX248" s="1233"/>
      <c r="EY248" s="860"/>
      <c r="EZ248" s="860"/>
      <c r="FA248" s="860"/>
      <c r="FB248" s="1754"/>
      <c r="FC248" s="1233"/>
      <c r="FD248" s="860"/>
      <c r="FE248" s="860"/>
      <c r="FF248" s="860"/>
      <c r="FG248" s="860"/>
      <c r="FH248" s="860"/>
      <c r="FI248" s="860"/>
      <c r="FJ248" s="860"/>
      <c r="FK248" s="860"/>
      <c r="FL248" s="860"/>
      <c r="FM248" s="860"/>
      <c r="FN248" s="860"/>
      <c r="FO248" s="860"/>
      <c r="FP248" s="860"/>
      <c r="FQ248" s="860"/>
      <c r="FR248" s="860"/>
      <c r="FS248" s="860"/>
      <c r="FT248" s="860"/>
      <c r="FU248" s="860"/>
      <c r="FV248" s="860"/>
      <c r="FW248" s="860"/>
      <c r="FX248" s="860"/>
      <c r="FY248" s="860"/>
      <c r="FZ248" s="860"/>
      <c r="GA248" s="860"/>
      <c r="GB248" s="860"/>
      <c r="GC248" s="860"/>
      <c r="GD248" s="860"/>
      <c r="GE248" s="860"/>
      <c r="GF248" s="860"/>
      <c r="GG248" s="860"/>
      <c r="GH248" s="860"/>
      <c r="GI248" s="860"/>
      <c r="GJ248" s="860"/>
      <c r="GK248" s="860"/>
      <c r="GL248" s="860"/>
      <c r="GM248" s="860"/>
      <c r="GN248" s="860"/>
      <c r="GO248" s="860"/>
      <c r="GP248" s="860"/>
      <c r="GQ248" s="860"/>
      <c r="GR248" s="1241"/>
      <c r="GS248" s="1218"/>
      <c r="GT248" s="1241"/>
      <c r="GU248" s="1218"/>
      <c r="GV248" s="1241"/>
      <c r="GW248" s="1218"/>
      <c r="GX248" s="1218"/>
      <c r="GY248" s="1241"/>
      <c r="GZ248" s="1218"/>
      <c r="HA248" s="1218"/>
      <c r="HB248" s="1241"/>
      <c r="HC248" s="1218"/>
      <c r="HD248" s="2000"/>
      <c r="HE248" s="1241"/>
      <c r="HF248" s="1218"/>
      <c r="HG248" s="2000"/>
      <c r="HH248" s="1241"/>
      <c r="HI248" s="1241"/>
      <c r="HJ248" s="1218"/>
      <c r="HK248" s="2000"/>
      <c r="HL248" s="1241"/>
      <c r="HM248" s="1218"/>
      <c r="HN248" s="2000"/>
      <c r="HO248" s="1241"/>
      <c r="HP248" s="1218"/>
      <c r="HQ248" s="2000"/>
      <c r="HR248" s="1241"/>
    </row>
    <row r="249" spans="1:226" hidden="1">
      <c r="A249" s="1132" t="s">
        <v>817</v>
      </c>
      <c r="B249" s="1233"/>
      <c r="C249" s="860"/>
      <c r="D249" s="860"/>
      <c r="E249" s="860"/>
      <c r="F249" s="1232"/>
      <c r="G249" s="1233"/>
      <c r="H249" s="860"/>
      <c r="I249" s="860"/>
      <c r="J249" s="860"/>
      <c r="K249" s="1232"/>
      <c r="L249" s="1233"/>
      <c r="M249" s="860"/>
      <c r="N249" s="860"/>
      <c r="O249" s="860"/>
      <c r="P249" s="1232"/>
      <c r="Q249" s="1233"/>
      <c r="R249" s="860"/>
      <c r="S249" s="860"/>
      <c r="T249" s="860"/>
      <c r="U249" s="1232"/>
      <c r="V249" s="1233"/>
      <c r="W249" s="860"/>
      <c r="X249" s="860"/>
      <c r="Y249" s="860"/>
      <c r="Z249" s="1261"/>
      <c r="AA249" s="1242"/>
      <c r="AB249" s="1162"/>
      <c r="AC249" s="1162"/>
      <c r="AD249" s="1162"/>
      <c r="AE249" s="1261"/>
      <c r="AF249" s="1242"/>
      <c r="AG249" s="1162"/>
      <c r="AH249" s="1162"/>
      <c r="AI249" s="1162"/>
      <c r="AJ249" s="1261"/>
      <c r="AK249" s="1242"/>
      <c r="AL249" s="1162"/>
      <c r="AM249" s="1162"/>
      <c r="AN249" s="1162"/>
      <c r="AO249" s="1261"/>
      <c r="AP249" s="1242"/>
      <c r="AQ249" s="1162"/>
      <c r="AR249" s="1162"/>
      <c r="AS249" s="1162"/>
      <c r="AT249" s="1261"/>
      <c r="AU249" s="1242"/>
      <c r="AV249" s="1162"/>
      <c r="AW249" s="1162"/>
      <c r="AX249" s="1162"/>
      <c r="AY249" s="1261"/>
      <c r="AZ249" s="1242"/>
      <c r="BA249" s="1162"/>
      <c r="BB249" s="1162"/>
      <c r="BC249" s="1162"/>
      <c r="BD249" s="1261"/>
      <c r="BE249" s="1242"/>
      <c r="BF249" s="1162"/>
      <c r="BG249" s="1162"/>
      <c r="BH249" s="1162"/>
      <c r="BI249" s="1261"/>
      <c r="BJ249" s="1242"/>
      <c r="BK249" s="1162"/>
      <c r="BL249" s="1162"/>
      <c r="BM249" s="1162"/>
      <c r="BN249" s="1261"/>
      <c r="BO249" s="1242"/>
      <c r="BP249" s="1162"/>
      <c r="BQ249" s="1162"/>
      <c r="BR249" s="1162"/>
      <c r="BS249" s="1261"/>
      <c r="BT249" s="1242"/>
      <c r="BU249" s="1162"/>
      <c r="BV249" s="1162"/>
      <c r="BW249" s="1162"/>
      <c r="BX249" s="1261"/>
      <c r="BY249" s="1242"/>
      <c r="BZ249" s="1162"/>
      <c r="CA249" s="1162"/>
      <c r="CB249" s="1756"/>
      <c r="CC249" s="1757"/>
      <c r="CD249" s="1242"/>
      <c r="CE249" s="1162"/>
      <c r="CF249" s="1162"/>
      <c r="CG249" s="1162"/>
      <c r="CH249" s="1757"/>
      <c r="CI249" s="1162"/>
      <c r="CJ249" s="1162"/>
      <c r="CK249" s="1233"/>
      <c r="CL249" s="860"/>
      <c r="CM249" s="860"/>
      <c r="CN249" s="860"/>
      <c r="CO249" s="1232"/>
      <c r="CP249" s="1233"/>
      <c r="CQ249" s="860"/>
      <c r="CR249" s="860"/>
      <c r="CS249" s="860"/>
      <c r="CT249" s="1232"/>
      <c r="CU249" s="1233"/>
      <c r="CV249" s="860"/>
      <c r="CW249" s="860"/>
      <c r="CX249" s="860"/>
      <c r="CY249" s="1232"/>
      <c r="CZ249" s="1233"/>
      <c r="DA249" s="860"/>
      <c r="DB249" s="860"/>
      <c r="DC249" s="860"/>
      <c r="DD249" s="1232"/>
      <c r="DE249" s="1233"/>
      <c r="DF249" s="860"/>
      <c r="DG249" s="860"/>
      <c r="DH249" s="860"/>
      <c r="DI249" s="1232"/>
      <c r="DJ249" s="1233"/>
      <c r="DK249" s="860"/>
      <c r="DL249" s="860"/>
      <c r="DM249" s="860"/>
      <c r="DN249" s="1232"/>
      <c r="DO249" s="1233"/>
      <c r="DP249" s="860"/>
      <c r="DQ249" s="860"/>
      <c r="DR249" s="860"/>
      <c r="DS249" s="1232"/>
      <c r="DT249" s="1233"/>
      <c r="DU249" s="860"/>
      <c r="DV249" s="860"/>
      <c r="DW249" s="860"/>
      <c r="DX249" s="1232"/>
      <c r="DY249" s="1233"/>
      <c r="DZ249" s="860"/>
      <c r="EA249" s="860"/>
      <c r="EB249" s="860"/>
      <c r="EC249" s="1232"/>
      <c r="ED249" s="860"/>
      <c r="EE249" s="860"/>
      <c r="EF249" s="860"/>
      <c r="EG249" s="860"/>
      <c r="EH249" s="860"/>
      <c r="EI249" s="1233"/>
      <c r="EJ249" s="860"/>
      <c r="EK249" s="860"/>
      <c r="EL249" s="860"/>
      <c r="EM249" s="1232"/>
      <c r="EN249" s="1233"/>
      <c r="EO249" s="860"/>
      <c r="EP249" s="860"/>
      <c r="EQ249" s="860"/>
      <c r="ER249" s="1232"/>
      <c r="ES249" s="860"/>
      <c r="ET249" s="860"/>
      <c r="EU249" s="860"/>
      <c r="EV249" s="860"/>
      <c r="EW249" s="1232"/>
      <c r="EX249" s="1233"/>
      <c r="EY249" s="860"/>
      <c r="EZ249" s="860"/>
      <c r="FA249" s="860"/>
      <c r="FB249" s="1754"/>
      <c r="FC249" s="1233"/>
      <c r="FD249" s="860"/>
      <c r="FE249" s="860"/>
      <c r="FF249" s="860"/>
      <c r="FG249" s="860"/>
      <c r="FH249" s="860"/>
      <c r="FI249" s="860"/>
      <c r="FJ249" s="860"/>
      <c r="FK249" s="860"/>
      <c r="FL249" s="860"/>
      <c r="FM249" s="860"/>
      <c r="FN249" s="860"/>
      <c r="FO249" s="860"/>
      <c r="FP249" s="860"/>
      <c r="FQ249" s="860"/>
      <c r="FR249" s="860"/>
      <c r="FS249" s="860"/>
      <c r="FT249" s="860"/>
      <c r="FU249" s="860"/>
      <c r="FV249" s="860"/>
      <c r="FW249" s="860"/>
      <c r="FX249" s="860"/>
      <c r="FY249" s="860"/>
      <c r="FZ249" s="860"/>
      <c r="GA249" s="860"/>
      <c r="GB249" s="860"/>
      <c r="GC249" s="860"/>
      <c r="GD249" s="860"/>
      <c r="GE249" s="860"/>
      <c r="GF249" s="860"/>
      <c r="GG249" s="860"/>
      <c r="GH249" s="860"/>
      <c r="GI249" s="860"/>
      <c r="GJ249" s="860"/>
      <c r="GK249" s="860"/>
      <c r="GL249" s="860"/>
      <c r="GM249" s="860"/>
      <c r="GN249" s="860"/>
      <c r="GO249" s="860"/>
      <c r="GP249" s="860"/>
      <c r="GQ249" s="860"/>
      <c r="GR249" s="1241"/>
      <c r="GS249" s="1218"/>
      <c r="GT249" s="1241"/>
      <c r="GU249" s="1218"/>
      <c r="GV249" s="1241"/>
      <c r="GW249" s="1218"/>
      <c r="GX249" s="1218"/>
      <c r="GY249" s="1241"/>
      <c r="GZ249" s="1218"/>
      <c r="HA249" s="1218"/>
      <c r="HB249" s="1241"/>
      <c r="HC249" s="1218"/>
      <c r="HD249" s="2000"/>
      <c r="HE249" s="1241"/>
      <c r="HF249" s="1218"/>
      <c r="HG249" s="2000"/>
      <c r="HH249" s="1241"/>
      <c r="HI249" s="1241"/>
      <c r="HJ249" s="1218"/>
      <c r="HK249" s="2000"/>
      <c r="HL249" s="1241"/>
      <c r="HM249" s="1218"/>
      <c r="HN249" s="2000"/>
      <c r="HO249" s="1241"/>
      <c r="HP249" s="1218"/>
      <c r="HQ249" s="2000"/>
      <c r="HR249" s="1241"/>
    </row>
    <row r="250" spans="1:226" hidden="1">
      <c r="A250" s="1132" t="s">
        <v>6</v>
      </c>
      <c r="B250" s="1233"/>
      <c r="C250" s="860"/>
      <c r="D250" s="860"/>
      <c r="E250" s="860"/>
      <c r="F250" s="1232"/>
      <c r="G250" s="1233"/>
      <c r="H250" s="860"/>
      <c r="I250" s="860"/>
      <c r="J250" s="860"/>
      <c r="K250" s="1232"/>
      <c r="L250" s="1233"/>
      <c r="M250" s="860"/>
      <c r="N250" s="860"/>
      <c r="O250" s="860"/>
      <c r="P250" s="1232"/>
      <c r="Q250" s="1233"/>
      <c r="R250" s="860"/>
      <c r="S250" s="860"/>
      <c r="T250" s="860"/>
      <c r="U250" s="1232"/>
      <c r="V250" s="1233"/>
      <c r="W250" s="860"/>
      <c r="X250" s="860">
        <v>745.995</v>
      </c>
      <c r="Y250" s="1162">
        <f>X250/X$253</f>
        <v>0.65900909456313861</v>
      </c>
      <c r="Z250" s="1261"/>
      <c r="AA250" s="1242"/>
      <c r="AB250" s="1162"/>
      <c r="AC250" s="1162"/>
      <c r="AD250" s="1162"/>
      <c r="AE250" s="1261"/>
      <c r="AF250" s="1242"/>
      <c r="AG250" s="1162"/>
      <c r="AH250" s="1162"/>
      <c r="AI250" s="1162"/>
      <c r="AJ250" s="1261"/>
      <c r="AK250" s="1242"/>
      <c r="AL250" s="1162"/>
      <c r="AM250" s="1162"/>
      <c r="AN250" s="1162"/>
      <c r="AO250" s="1261"/>
      <c r="AP250" s="1242"/>
      <c r="AQ250" s="1162"/>
      <c r="AR250" s="1162"/>
      <c r="AS250" s="1162"/>
      <c r="AT250" s="1261"/>
      <c r="AU250" s="1242"/>
      <c r="AV250" s="1162"/>
      <c r="AW250" s="1162"/>
      <c r="AX250" s="1162"/>
      <c r="AY250" s="1261"/>
      <c r="AZ250" s="1242"/>
      <c r="BA250" s="1162"/>
      <c r="BB250" s="1162"/>
      <c r="BC250" s="1162"/>
      <c r="BD250" s="1261"/>
      <c r="BE250" s="1242"/>
      <c r="BF250" s="1162"/>
      <c r="BG250" s="1162"/>
      <c r="BH250" s="1162"/>
      <c r="BI250" s="1261"/>
      <c r="BJ250" s="1242"/>
      <c r="BK250" s="1162"/>
      <c r="BL250" s="1162"/>
      <c r="BM250" s="1162"/>
      <c r="BN250" s="1261"/>
      <c r="BO250" s="1242"/>
      <c r="BP250" s="1162"/>
      <c r="BQ250" s="1162"/>
      <c r="BR250" s="1162"/>
      <c r="BS250" s="1261"/>
      <c r="BT250" s="1242"/>
      <c r="BU250" s="1162"/>
      <c r="BV250" s="1162"/>
      <c r="BW250" s="1162"/>
      <c r="BX250" s="1261"/>
      <c r="BY250" s="1242"/>
      <c r="BZ250" s="1162"/>
      <c r="CA250" s="1162"/>
      <c r="CB250" s="1756"/>
      <c r="CC250" s="1757"/>
      <c r="CD250" s="1242"/>
      <c r="CE250" s="1162"/>
      <c r="CF250" s="1162"/>
      <c r="CG250" s="1162"/>
      <c r="CH250" s="1757"/>
      <c r="CI250" s="1162"/>
      <c r="CJ250" s="1162"/>
      <c r="CK250" s="1233"/>
      <c r="CL250" s="860"/>
      <c r="CM250" s="860"/>
      <c r="CN250" s="860"/>
      <c r="CO250" s="1232"/>
      <c r="CP250" s="1233"/>
      <c r="CQ250" s="860"/>
      <c r="CR250" s="860"/>
      <c r="CS250" s="860"/>
      <c r="CT250" s="1232"/>
      <c r="CU250" s="1233"/>
      <c r="CV250" s="860"/>
      <c r="CW250" s="860"/>
      <c r="CX250" s="860"/>
      <c r="CY250" s="1232"/>
      <c r="CZ250" s="1233"/>
      <c r="DA250" s="860"/>
      <c r="DB250" s="860"/>
      <c r="DC250" s="860"/>
      <c r="DD250" s="1232"/>
      <c r="DE250" s="1233"/>
      <c r="DF250" s="860"/>
      <c r="DG250" s="860"/>
      <c r="DH250" s="860"/>
      <c r="DI250" s="1232"/>
      <c r="DJ250" s="1233"/>
      <c r="DK250" s="860"/>
      <c r="DL250" s="860"/>
      <c r="DM250" s="860"/>
      <c r="DN250" s="1232"/>
      <c r="DO250" s="1233"/>
      <c r="DP250" s="860"/>
      <c r="DQ250" s="860"/>
      <c r="DR250" s="860"/>
      <c r="DS250" s="1232"/>
      <c r="DT250" s="1233"/>
      <c r="DU250" s="860"/>
      <c r="DV250" s="860"/>
      <c r="DW250" s="860"/>
      <c r="DX250" s="1232"/>
      <c r="DY250" s="1233"/>
      <c r="DZ250" s="860"/>
      <c r="EA250" s="860"/>
      <c r="EB250" s="860"/>
      <c r="EC250" s="1232"/>
      <c r="ED250" s="860"/>
      <c r="EE250" s="860"/>
      <c r="EF250" s="860"/>
      <c r="EG250" s="860"/>
      <c r="EH250" s="860"/>
      <c r="EI250" s="1233"/>
      <c r="EJ250" s="860"/>
      <c r="EK250" s="860"/>
      <c r="EL250" s="860"/>
      <c r="EM250" s="1232"/>
      <c r="EN250" s="1233"/>
      <c r="EO250" s="860"/>
      <c r="EP250" s="860"/>
      <c r="EQ250" s="860"/>
      <c r="ER250" s="1232"/>
      <c r="ES250" s="860"/>
      <c r="ET250" s="860"/>
      <c r="EU250" s="860"/>
      <c r="EV250" s="860"/>
      <c r="EW250" s="1232"/>
      <c r="EX250" s="1233"/>
      <c r="EY250" s="860"/>
      <c r="EZ250" s="860"/>
      <c r="FA250" s="860"/>
      <c r="FB250" s="1754"/>
      <c r="FC250" s="1233"/>
      <c r="FD250" s="860"/>
      <c r="FE250" s="860"/>
      <c r="FF250" s="860"/>
      <c r="FG250" s="860"/>
      <c r="FH250" s="860"/>
      <c r="FI250" s="860"/>
      <c r="FJ250" s="860"/>
      <c r="FK250" s="860"/>
      <c r="FL250" s="860"/>
      <c r="FM250" s="860"/>
      <c r="FN250" s="860"/>
      <c r="FO250" s="860"/>
      <c r="FP250" s="860"/>
      <c r="FQ250" s="860"/>
      <c r="FR250" s="860"/>
      <c r="FS250" s="860"/>
      <c r="FT250" s="860"/>
      <c r="FU250" s="860"/>
      <c r="FV250" s="860"/>
      <c r="FW250" s="860"/>
      <c r="FX250" s="860"/>
      <c r="FY250" s="860"/>
      <c r="FZ250" s="860"/>
      <c r="GA250" s="860"/>
      <c r="GB250" s="860"/>
      <c r="GC250" s="860"/>
      <c r="GD250" s="860"/>
      <c r="GE250" s="860"/>
      <c r="GF250" s="860"/>
      <c r="GG250" s="860"/>
      <c r="GH250" s="860"/>
      <c r="GI250" s="860"/>
      <c r="GJ250" s="860"/>
      <c r="GK250" s="860"/>
      <c r="GL250" s="860"/>
      <c r="GM250" s="860"/>
      <c r="GN250" s="860"/>
      <c r="GO250" s="860"/>
      <c r="GP250" s="860"/>
      <c r="GQ250" s="860"/>
      <c r="GR250" s="1241"/>
      <c r="GS250" s="1218"/>
      <c r="GT250" s="1241"/>
      <c r="GU250" s="1218"/>
      <c r="GV250" s="1241"/>
      <c r="GW250" s="1218"/>
      <c r="GX250" s="1218"/>
      <c r="GY250" s="1241"/>
      <c r="GZ250" s="1218"/>
      <c r="HA250" s="1218"/>
      <c r="HB250" s="1241"/>
      <c r="HC250" s="1218"/>
      <c r="HD250" s="2000"/>
      <c r="HE250" s="1241"/>
      <c r="HF250" s="1218"/>
      <c r="HG250" s="2000"/>
      <c r="HH250" s="1241"/>
      <c r="HI250" s="1241"/>
      <c r="HJ250" s="1218"/>
      <c r="HK250" s="2000"/>
      <c r="HL250" s="1241"/>
      <c r="HM250" s="1218"/>
      <c r="HN250" s="2000"/>
      <c r="HO250" s="1241"/>
      <c r="HP250" s="1218"/>
      <c r="HQ250" s="2000"/>
      <c r="HR250" s="1241"/>
    </row>
    <row r="251" spans="1:226" hidden="1">
      <c r="A251" s="1132" t="s">
        <v>519</v>
      </c>
      <c r="B251" s="1233"/>
      <c r="C251" s="860"/>
      <c r="D251" s="860"/>
      <c r="E251" s="860"/>
      <c r="F251" s="1232"/>
      <c r="G251" s="1233"/>
      <c r="H251" s="860"/>
      <c r="I251" s="860"/>
      <c r="J251" s="860"/>
      <c r="K251" s="1232"/>
      <c r="L251" s="1233"/>
      <c r="M251" s="860"/>
      <c r="N251" s="860"/>
      <c r="O251" s="860"/>
      <c r="P251" s="1232"/>
      <c r="Q251" s="1233"/>
      <c r="R251" s="860"/>
      <c r="S251" s="860"/>
      <c r="T251" s="860"/>
      <c r="U251" s="1232"/>
      <c r="V251" s="1233"/>
      <c r="W251" s="860"/>
      <c r="X251" s="860">
        <v>253</v>
      </c>
      <c r="Y251" s="1162">
        <f>X251/X$253</f>
        <v>0.223499220402917</v>
      </c>
      <c r="Z251" s="1261"/>
      <c r="AA251" s="1242"/>
      <c r="AB251" s="1162"/>
      <c r="AC251" s="1162"/>
      <c r="AD251" s="1162"/>
      <c r="AE251" s="1261"/>
      <c r="AF251" s="1242"/>
      <c r="AG251" s="1162"/>
      <c r="AH251" s="1162"/>
      <c r="AI251" s="1162"/>
      <c r="AJ251" s="1261"/>
      <c r="AK251" s="1242"/>
      <c r="AL251" s="1162"/>
      <c r="AM251" s="1162"/>
      <c r="AN251" s="1162"/>
      <c r="AO251" s="1261"/>
      <c r="AP251" s="1242"/>
      <c r="AQ251" s="1162"/>
      <c r="AR251" s="1162"/>
      <c r="AS251" s="1162"/>
      <c r="AT251" s="1261"/>
      <c r="AU251" s="1242"/>
      <c r="AV251" s="1162"/>
      <c r="AW251" s="1162"/>
      <c r="AX251" s="1162"/>
      <c r="AY251" s="1261"/>
      <c r="AZ251" s="1242"/>
      <c r="BA251" s="1162"/>
      <c r="BB251" s="1162"/>
      <c r="BC251" s="1162"/>
      <c r="BD251" s="1261"/>
      <c r="BE251" s="1242"/>
      <c r="BF251" s="1162"/>
      <c r="BG251" s="1162"/>
      <c r="BH251" s="1162"/>
      <c r="BI251" s="1261"/>
      <c r="BJ251" s="1242"/>
      <c r="BK251" s="1162"/>
      <c r="BL251" s="1162"/>
      <c r="BM251" s="1162"/>
      <c r="BN251" s="1261"/>
      <c r="BO251" s="1242"/>
      <c r="BP251" s="1162"/>
      <c r="BQ251" s="1162"/>
      <c r="BR251" s="1162"/>
      <c r="BS251" s="1261"/>
      <c r="BT251" s="1242"/>
      <c r="BU251" s="1162"/>
      <c r="BV251" s="1162"/>
      <c r="BW251" s="1162"/>
      <c r="BX251" s="1261"/>
      <c r="BY251" s="1242"/>
      <c r="BZ251" s="1162"/>
      <c r="CA251" s="1162"/>
      <c r="CB251" s="1756"/>
      <c r="CC251" s="1757"/>
      <c r="CD251" s="1242"/>
      <c r="CE251" s="1162"/>
      <c r="CF251" s="1162"/>
      <c r="CG251" s="1162"/>
      <c r="CH251" s="1757"/>
      <c r="CI251" s="1162"/>
      <c r="CJ251" s="1162"/>
      <c r="CK251" s="1233"/>
      <c r="CL251" s="860"/>
      <c r="CM251" s="860"/>
      <c r="CN251" s="860"/>
      <c r="CO251" s="1232"/>
      <c r="CP251" s="1233"/>
      <c r="CQ251" s="860"/>
      <c r="CR251" s="860"/>
      <c r="CS251" s="860"/>
      <c r="CT251" s="1232"/>
      <c r="CU251" s="1233"/>
      <c r="CV251" s="860"/>
      <c r="CW251" s="860"/>
      <c r="CX251" s="860"/>
      <c r="CY251" s="1232"/>
      <c r="CZ251" s="1233"/>
      <c r="DA251" s="860"/>
      <c r="DB251" s="860"/>
      <c r="DC251" s="860"/>
      <c r="DD251" s="1232"/>
      <c r="DE251" s="1233"/>
      <c r="DF251" s="860"/>
      <c r="DG251" s="860"/>
      <c r="DH251" s="860"/>
      <c r="DI251" s="1232"/>
      <c r="DJ251" s="1233"/>
      <c r="DK251" s="860"/>
      <c r="DL251" s="860"/>
      <c r="DM251" s="860"/>
      <c r="DN251" s="1232"/>
      <c r="DO251" s="1233"/>
      <c r="DP251" s="860"/>
      <c r="DQ251" s="860"/>
      <c r="DR251" s="860"/>
      <c r="DS251" s="1232"/>
      <c r="DT251" s="1233"/>
      <c r="DU251" s="860"/>
      <c r="DV251" s="860"/>
      <c r="DW251" s="860"/>
      <c r="DX251" s="1232"/>
      <c r="DY251" s="1233"/>
      <c r="DZ251" s="860"/>
      <c r="EA251" s="860"/>
      <c r="EB251" s="860"/>
      <c r="EC251" s="1232"/>
      <c r="ED251" s="860"/>
      <c r="EE251" s="860"/>
      <c r="EF251" s="860"/>
      <c r="EG251" s="860"/>
      <c r="EH251" s="860"/>
      <c r="EI251" s="1233"/>
      <c r="EJ251" s="860"/>
      <c r="EK251" s="860"/>
      <c r="EL251" s="860"/>
      <c r="EM251" s="1232"/>
      <c r="EN251" s="1233"/>
      <c r="EO251" s="860"/>
      <c r="EP251" s="860"/>
      <c r="EQ251" s="860"/>
      <c r="ER251" s="1232"/>
      <c r="ES251" s="860"/>
      <c r="ET251" s="860"/>
      <c r="EU251" s="860"/>
      <c r="EV251" s="860"/>
      <c r="EW251" s="1232"/>
      <c r="EX251" s="1233"/>
      <c r="EY251" s="860"/>
      <c r="EZ251" s="860"/>
      <c r="FA251" s="860"/>
      <c r="FB251" s="1754"/>
      <c r="FC251" s="1233"/>
      <c r="FD251" s="860"/>
      <c r="FE251" s="860"/>
      <c r="FF251" s="860"/>
      <c r="FG251" s="860"/>
      <c r="FH251" s="860"/>
      <c r="FI251" s="860"/>
      <c r="FJ251" s="860"/>
      <c r="FK251" s="860"/>
      <c r="FL251" s="860"/>
      <c r="FM251" s="860"/>
      <c r="FN251" s="860"/>
      <c r="FO251" s="860"/>
      <c r="FP251" s="860"/>
      <c r="FQ251" s="860"/>
      <c r="FR251" s="860"/>
      <c r="FS251" s="860"/>
      <c r="FT251" s="860"/>
      <c r="FU251" s="860"/>
      <c r="FV251" s="860"/>
      <c r="FW251" s="860"/>
      <c r="FX251" s="860"/>
      <c r="FY251" s="860"/>
      <c r="FZ251" s="860"/>
      <c r="GA251" s="860"/>
      <c r="GB251" s="860"/>
      <c r="GC251" s="860"/>
      <c r="GD251" s="860"/>
      <c r="GE251" s="860"/>
      <c r="GF251" s="860"/>
      <c r="GG251" s="860"/>
      <c r="GH251" s="860"/>
      <c r="GI251" s="860"/>
      <c r="GJ251" s="860"/>
      <c r="GK251" s="860"/>
      <c r="GL251" s="860"/>
      <c r="GM251" s="860"/>
      <c r="GN251" s="860"/>
      <c r="GO251" s="860"/>
      <c r="GP251" s="860"/>
      <c r="GQ251" s="860"/>
      <c r="GR251" s="1241"/>
      <c r="GS251" s="1218"/>
      <c r="GT251" s="1241"/>
      <c r="GU251" s="1218"/>
      <c r="GV251" s="1241"/>
      <c r="GW251" s="1218"/>
      <c r="GX251" s="1218"/>
      <c r="GY251" s="1241"/>
      <c r="GZ251" s="1218"/>
      <c r="HA251" s="1218"/>
      <c r="HB251" s="1241"/>
      <c r="HC251" s="1218"/>
      <c r="HD251" s="2000"/>
      <c r="HE251" s="1241"/>
      <c r="HF251" s="1218"/>
      <c r="HG251" s="2000"/>
      <c r="HH251" s="1241"/>
      <c r="HI251" s="1241"/>
      <c r="HJ251" s="1218"/>
      <c r="HK251" s="2000"/>
      <c r="HL251" s="1241"/>
      <c r="HM251" s="1218"/>
      <c r="HN251" s="2000"/>
      <c r="HO251" s="1241"/>
      <c r="HP251" s="1218"/>
      <c r="HQ251" s="2000"/>
      <c r="HR251" s="1241"/>
    </row>
    <row r="252" spans="1:226" hidden="1">
      <c r="A252" s="1141" t="s">
        <v>518</v>
      </c>
      <c r="B252" s="1233"/>
      <c r="C252" s="860"/>
      <c r="D252" s="860"/>
      <c r="E252" s="860"/>
      <c r="F252" s="1232"/>
      <c r="G252" s="1233"/>
      <c r="H252" s="860"/>
      <c r="I252" s="860"/>
      <c r="J252" s="860"/>
      <c r="K252" s="1232"/>
      <c r="L252" s="1233"/>
      <c r="M252" s="860"/>
      <c r="N252" s="860"/>
      <c r="O252" s="860"/>
      <c r="P252" s="1232"/>
      <c r="Q252" s="1233"/>
      <c r="R252" s="860"/>
      <c r="S252" s="860"/>
      <c r="T252" s="860"/>
      <c r="U252" s="1232"/>
      <c r="V252" s="1233"/>
      <c r="W252" s="860"/>
      <c r="X252" s="1294">
        <v>133</v>
      </c>
      <c r="Y252" s="1162">
        <f>X252/X$253</f>
        <v>0.11749168503394451</v>
      </c>
      <c r="Z252" s="1261"/>
      <c r="AA252" s="1242"/>
      <c r="AB252" s="1162"/>
      <c r="AC252" s="1162"/>
      <c r="AD252" s="1162"/>
      <c r="AE252" s="1261"/>
      <c r="AF252" s="1242"/>
      <c r="AG252" s="1162"/>
      <c r="AH252" s="1162"/>
      <c r="AI252" s="1162"/>
      <c r="AJ252" s="1261"/>
      <c r="AK252" s="1242"/>
      <c r="AL252" s="1162"/>
      <c r="AM252" s="1162"/>
      <c r="AN252" s="1162"/>
      <c r="AO252" s="1261"/>
      <c r="AP252" s="1242"/>
      <c r="AQ252" s="1162"/>
      <c r="AR252" s="1162"/>
      <c r="AS252" s="1162"/>
      <c r="AT252" s="1261"/>
      <c r="AU252" s="1242"/>
      <c r="AV252" s="1162"/>
      <c r="AW252" s="1162"/>
      <c r="AX252" s="1162"/>
      <c r="AY252" s="1261"/>
      <c r="AZ252" s="1242"/>
      <c r="BA252" s="1162"/>
      <c r="BB252" s="1162"/>
      <c r="BC252" s="1162"/>
      <c r="BD252" s="1261"/>
      <c r="BE252" s="1242"/>
      <c r="BF252" s="1162"/>
      <c r="BG252" s="1162"/>
      <c r="BH252" s="1162"/>
      <c r="BI252" s="1261"/>
      <c r="BJ252" s="1242"/>
      <c r="BK252" s="1162"/>
      <c r="BL252" s="1162"/>
      <c r="BM252" s="1162"/>
      <c r="BN252" s="1261"/>
      <c r="BO252" s="1242"/>
      <c r="BP252" s="1162"/>
      <c r="BQ252" s="1162"/>
      <c r="BR252" s="1162"/>
      <c r="BS252" s="1261"/>
      <c r="BT252" s="1242"/>
      <c r="BU252" s="1162"/>
      <c r="BV252" s="1162"/>
      <c r="BW252" s="1162"/>
      <c r="BX252" s="1261"/>
      <c r="BY252" s="1242"/>
      <c r="BZ252" s="1162"/>
      <c r="CA252" s="1162"/>
      <c r="CB252" s="1756"/>
      <c r="CC252" s="1757"/>
      <c r="CD252" s="1242"/>
      <c r="CE252" s="1162"/>
      <c r="CF252" s="1162"/>
      <c r="CG252" s="1162"/>
      <c r="CH252" s="1757"/>
      <c r="CI252" s="1162"/>
      <c r="CJ252" s="1162"/>
      <c r="CK252" s="1233"/>
      <c r="CL252" s="860"/>
      <c r="CM252" s="860"/>
      <c r="CN252" s="860"/>
      <c r="CO252" s="1232"/>
      <c r="CP252" s="1233"/>
      <c r="CQ252" s="860"/>
      <c r="CR252" s="860"/>
      <c r="CS252" s="860"/>
      <c r="CT252" s="1232"/>
      <c r="CU252" s="1233"/>
      <c r="CV252" s="860"/>
      <c r="CW252" s="860"/>
      <c r="CX252" s="860"/>
      <c r="CY252" s="1232"/>
      <c r="CZ252" s="1233"/>
      <c r="DA252" s="860"/>
      <c r="DB252" s="860"/>
      <c r="DC252" s="860"/>
      <c r="DD252" s="1232"/>
      <c r="DE252" s="1233"/>
      <c r="DF252" s="860"/>
      <c r="DG252" s="860"/>
      <c r="DH252" s="860"/>
      <c r="DI252" s="1232"/>
      <c r="DJ252" s="1233"/>
      <c r="DK252" s="860"/>
      <c r="DL252" s="860"/>
      <c r="DM252" s="860"/>
      <c r="DN252" s="1232"/>
      <c r="DO252" s="1233"/>
      <c r="DP252" s="860"/>
      <c r="DQ252" s="860"/>
      <c r="DR252" s="860"/>
      <c r="DS252" s="1232"/>
      <c r="DT252" s="1233"/>
      <c r="DU252" s="860"/>
      <c r="DV252" s="860"/>
      <c r="DW252" s="860"/>
      <c r="DX252" s="1232"/>
      <c r="DY252" s="1233"/>
      <c r="DZ252" s="860"/>
      <c r="EA252" s="860"/>
      <c r="EB252" s="860"/>
      <c r="EC252" s="1232"/>
      <c r="ED252" s="860"/>
      <c r="EE252" s="860"/>
      <c r="EF252" s="860"/>
      <c r="EG252" s="860"/>
      <c r="EH252" s="860"/>
      <c r="EI252" s="1233"/>
      <c r="EJ252" s="860"/>
      <c r="EK252" s="860"/>
      <c r="EL252" s="860"/>
      <c r="EM252" s="1232"/>
      <c r="EN252" s="1233"/>
      <c r="EO252" s="860"/>
      <c r="EP252" s="860"/>
      <c r="EQ252" s="860"/>
      <c r="ER252" s="1232"/>
      <c r="ES252" s="860"/>
      <c r="ET252" s="860"/>
      <c r="EU252" s="860"/>
      <c r="EV252" s="860"/>
      <c r="EW252" s="1232"/>
      <c r="EX252" s="1233"/>
      <c r="EY252" s="860"/>
      <c r="EZ252" s="860"/>
      <c r="FA252" s="860"/>
      <c r="FB252" s="1754"/>
      <c r="FC252" s="1233"/>
      <c r="FD252" s="860"/>
      <c r="FE252" s="860"/>
      <c r="FF252" s="860"/>
      <c r="FG252" s="860"/>
      <c r="FH252" s="860"/>
      <c r="FI252" s="860"/>
      <c r="FJ252" s="860"/>
      <c r="FK252" s="860"/>
      <c r="FL252" s="860"/>
      <c r="FM252" s="860"/>
      <c r="FN252" s="860"/>
      <c r="FO252" s="860"/>
      <c r="FP252" s="860"/>
      <c r="FQ252" s="860"/>
      <c r="FR252" s="860"/>
      <c r="FS252" s="860"/>
      <c r="FT252" s="860"/>
      <c r="FU252" s="860"/>
      <c r="FV252" s="860"/>
      <c r="FW252" s="860"/>
      <c r="FX252" s="860"/>
      <c r="FY252" s="860"/>
      <c r="FZ252" s="860"/>
      <c r="GA252" s="860"/>
      <c r="GB252" s="860"/>
      <c r="GC252" s="860"/>
      <c r="GD252" s="860"/>
      <c r="GE252" s="860"/>
      <c r="GF252" s="860"/>
      <c r="GG252" s="860"/>
      <c r="GH252" s="860"/>
      <c r="GI252" s="860"/>
      <c r="GJ252" s="860"/>
      <c r="GK252" s="860"/>
      <c r="GL252" s="860"/>
      <c r="GM252" s="860"/>
      <c r="GN252" s="860"/>
      <c r="GO252" s="860"/>
      <c r="GP252" s="860"/>
      <c r="GQ252" s="860"/>
      <c r="GR252" s="1241"/>
      <c r="GS252" s="1218"/>
      <c r="GT252" s="1241"/>
      <c r="GU252" s="1218"/>
      <c r="GV252" s="1241"/>
      <c r="GW252" s="1218"/>
      <c r="GX252" s="1218"/>
      <c r="GY252" s="1241"/>
      <c r="GZ252" s="1218"/>
      <c r="HA252" s="1218"/>
      <c r="HB252" s="1241"/>
      <c r="HC252" s="1218"/>
      <c r="HD252" s="2000"/>
      <c r="HE252" s="1241"/>
      <c r="HF252" s="1218"/>
      <c r="HG252" s="2000"/>
      <c r="HH252" s="1241"/>
      <c r="HI252" s="1241"/>
      <c r="HJ252" s="1218"/>
      <c r="HK252" s="2000"/>
      <c r="HL252" s="1241"/>
      <c r="HM252" s="1218"/>
      <c r="HN252" s="2000"/>
      <c r="HO252" s="1241"/>
      <c r="HP252" s="1218"/>
      <c r="HQ252" s="2000"/>
      <c r="HR252" s="1241"/>
    </row>
    <row r="253" spans="1:226" hidden="1">
      <c r="A253" s="1132" t="s">
        <v>85</v>
      </c>
      <c r="B253" s="1233"/>
      <c r="C253" s="860"/>
      <c r="D253" s="860"/>
      <c r="E253" s="860"/>
      <c r="F253" s="1232"/>
      <c r="G253" s="1233"/>
      <c r="H253" s="860"/>
      <c r="I253" s="860"/>
      <c r="J253" s="860"/>
      <c r="K253" s="1232"/>
      <c r="L253" s="1233"/>
      <c r="M253" s="860"/>
      <c r="N253" s="860"/>
      <c r="O253" s="860"/>
      <c r="P253" s="1232"/>
      <c r="Q253" s="1233"/>
      <c r="R253" s="860"/>
      <c r="S253" s="860"/>
      <c r="T253" s="860"/>
      <c r="U253" s="1232"/>
      <c r="V253" s="1233"/>
      <c r="W253" s="860"/>
      <c r="X253" s="860">
        <f>SUM(X250:X252)</f>
        <v>1131.9949999999999</v>
      </c>
      <c r="Y253" s="860"/>
      <c r="Z253" s="1261"/>
      <c r="AA253" s="1242"/>
      <c r="AB253" s="1162"/>
      <c r="AC253" s="1162"/>
      <c r="AD253" s="1162"/>
      <c r="AE253" s="1261"/>
      <c r="AF253" s="1242"/>
      <c r="AG253" s="1162"/>
      <c r="AH253" s="1162"/>
      <c r="AI253" s="1162"/>
      <c r="AJ253" s="1261"/>
      <c r="AK253" s="1242"/>
      <c r="AL253" s="1162"/>
      <c r="AM253" s="1162"/>
      <c r="AN253" s="1162"/>
      <c r="AO253" s="1261"/>
      <c r="AP253" s="1242"/>
      <c r="AQ253" s="1162"/>
      <c r="AR253" s="1162"/>
      <c r="AS253" s="1162"/>
      <c r="AT253" s="1261"/>
      <c r="AU253" s="1242"/>
      <c r="AV253" s="1162"/>
      <c r="AW253" s="1162"/>
      <c r="AX253" s="1162"/>
      <c r="AY253" s="1261"/>
      <c r="AZ253" s="1242"/>
      <c r="BA253" s="1162"/>
      <c r="BB253" s="1162"/>
      <c r="BC253" s="1162"/>
      <c r="BD253" s="1261"/>
      <c r="BE253" s="1242"/>
      <c r="BF253" s="1162"/>
      <c r="BG253" s="1162"/>
      <c r="BH253" s="1162"/>
      <c r="BI253" s="1261"/>
      <c r="BJ253" s="1242"/>
      <c r="BK253" s="1162"/>
      <c r="BL253" s="1162"/>
      <c r="BM253" s="1162"/>
      <c r="BN253" s="1261"/>
      <c r="BO253" s="1242"/>
      <c r="BP253" s="1162"/>
      <c r="BQ253" s="1162"/>
      <c r="BR253" s="1162"/>
      <c r="BS253" s="1261"/>
      <c r="BT253" s="1242"/>
      <c r="BU253" s="1162"/>
      <c r="BV253" s="1162"/>
      <c r="BW253" s="1162"/>
      <c r="BX253" s="1261"/>
      <c r="BY253" s="1242"/>
      <c r="BZ253" s="1162"/>
      <c r="CA253" s="1162"/>
      <c r="CB253" s="1756"/>
      <c r="CC253" s="1757"/>
      <c r="CD253" s="1242"/>
      <c r="CE253" s="1162"/>
      <c r="CF253" s="1162"/>
      <c r="CG253" s="1162"/>
      <c r="CH253" s="1757"/>
      <c r="CI253" s="1162"/>
      <c r="CJ253" s="1162"/>
      <c r="CK253" s="1233"/>
      <c r="CL253" s="860"/>
      <c r="CM253" s="860"/>
      <c r="CN253" s="860"/>
      <c r="CO253" s="1232"/>
      <c r="CP253" s="1233"/>
      <c r="CQ253" s="860"/>
      <c r="CR253" s="860"/>
      <c r="CS253" s="860"/>
      <c r="CT253" s="1232"/>
      <c r="CU253" s="1233"/>
      <c r="CV253" s="860"/>
      <c r="CW253" s="860"/>
      <c r="CX253" s="860"/>
      <c r="CY253" s="1232"/>
      <c r="CZ253" s="1233"/>
      <c r="DA253" s="860"/>
      <c r="DB253" s="860"/>
      <c r="DC253" s="860"/>
      <c r="DD253" s="1232"/>
      <c r="DE253" s="1233"/>
      <c r="DF253" s="860"/>
      <c r="DG253" s="860"/>
      <c r="DH253" s="860"/>
      <c r="DI253" s="1232"/>
      <c r="DJ253" s="1233"/>
      <c r="DK253" s="860"/>
      <c r="DL253" s="860"/>
      <c r="DM253" s="860"/>
      <c r="DN253" s="1232"/>
      <c r="DO253" s="1233"/>
      <c r="DP253" s="860"/>
      <c r="DQ253" s="860"/>
      <c r="DR253" s="860"/>
      <c r="DS253" s="1232"/>
      <c r="DT253" s="1233"/>
      <c r="DU253" s="860"/>
      <c r="DV253" s="860"/>
      <c r="DW253" s="860"/>
      <c r="DX253" s="1232"/>
      <c r="DY253" s="1233"/>
      <c r="DZ253" s="860"/>
      <c r="EA253" s="860"/>
      <c r="EB253" s="860"/>
      <c r="EC253" s="1232"/>
      <c r="ED253" s="860"/>
      <c r="EE253" s="860"/>
      <c r="EF253" s="860"/>
      <c r="EG253" s="860"/>
      <c r="EH253" s="860"/>
      <c r="EI253" s="1233"/>
      <c r="EJ253" s="860"/>
      <c r="EK253" s="860"/>
      <c r="EL253" s="860"/>
      <c r="EM253" s="1232"/>
      <c r="EN253" s="1233"/>
      <c r="EO253" s="860"/>
      <c r="EP253" s="860"/>
      <c r="EQ253" s="860"/>
      <c r="ER253" s="1232"/>
      <c r="ES253" s="860"/>
      <c r="ET253" s="860"/>
      <c r="EU253" s="860"/>
      <c r="EV253" s="860"/>
      <c r="EW253" s="1232"/>
      <c r="EX253" s="1233"/>
      <c r="EY253" s="860"/>
      <c r="EZ253" s="860"/>
      <c r="FA253" s="860"/>
      <c r="FB253" s="1754"/>
      <c r="FC253" s="1233"/>
      <c r="FD253" s="860"/>
      <c r="FE253" s="860"/>
      <c r="FF253" s="860"/>
      <c r="FG253" s="860"/>
      <c r="FH253" s="860"/>
      <c r="FI253" s="860"/>
      <c r="FJ253" s="860"/>
      <c r="FK253" s="860"/>
      <c r="FL253" s="860"/>
      <c r="FM253" s="860"/>
      <c r="FN253" s="860"/>
      <c r="FO253" s="860"/>
      <c r="FP253" s="860"/>
      <c r="FQ253" s="860"/>
      <c r="FR253" s="860"/>
      <c r="FS253" s="860"/>
      <c r="FT253" s="860"/>
      <c r="FU253" s="860"/>
      <c r="FV253" s="860"/>
      <c r="FW253" s="860"/>
      <c r="FX253" s="860"/>
      <c r="FY253" s="860"/>
      <c r="FZ253" s="860"/>
      <c r="GA253" s="860"/>
      <c r="GB253" s="860"/>
      <c r="GC253" s="860"/>
      <c r="GD253" s="860"/>
      <c r="GE253" s="860"/>
      <c r="GF253" s="860"/>
      <c r="GG253" s="860"/>
      <c r="GH253" s="860"/>
      <c r="GI253" s="860"/>
      <c r="GJ253" s="860"/>
      <c r="GK253" s="860"/>
      <c r="GL253" s="860"/>
      <c r="GM253" s="860"/>
      <c r="GN253" s="860"/>
      <c r="GO253" s="860"/>
      <c r="GP253" s="860"/>
      <c r="GQ253" s="860"/>
      <c r="GR253" s="1241"/>
      <c r="GS253" s="1218"/>
      <c r="GT253" s="1241"/>
      <c r="GU253" s="1218"/>
      <c r="GV253" s="1241"/>
      <c r="GW253" s="1218"/>
      <c r="GX253" s="1218"/>
      <c r="GY253" s="1241"/>
      <c r="GZ253" s="1218"/>
      <c r="HA253" s="1218"/>
      <c r="HB253" s="1241"/>
      <c r="HC253" s="1218"/>
      <c r="HD253" s="2000"/>
      <c r="HE253" s="1241"/>
      <c r="HF253" s="1218"/>
      <c r="HG253" s="2000"/>
      <c r="HH253" s="1241"/>
      <c r="HI253" s="1241"/>
      <c r="HJ253" s="1218"/>
      <c r="HK253" s="2000"/>
      <c r="HL253" s="1241"/>
      <c r="HM253" s="1218"/>
      <c r="HN253" s="2000"/>
      <c r="HO253" s="1241"/>
      <c r="HP253" s="1218"/>
      <c r="HQ253" s="2000"/>
      <c r="HR253" s="1241"/>
    </row>
    <row r="254" spans="1:226" hidden="1">
      <c r="A254" s="1509" t="s">
        <v>819</v>
      </c>
      <c r="B254" s="1233"/>
      <c r="C254" s="860"/>
      <c r="D254" s="860"/>
      <c r="E254" s="860"/>
      <c r="F254" s="1232"/>
      <c r="G254" s="1233"/>
      <c r="H254" s="860"/>
      <c r="I254" s="860"/>
      <c r="J254" s="860"/>
      <c r="K254" s="1232"/>
      <c r="L254" s="1233"/>
      <c r="M254" s="860"/>
      <c r="N254" s="860"/>
      <c r="O254" s="860"/>
      <c r="P254" s="1232"/>
      <c r="Q254" s="1233"/>
      <c r="R254" s="860"/>
      <c r="S254" s="860"/>
      <c r="T254" s="860"/>
      <c r="U254" s="1232"/>
      <c r="V254" s="1233"/>
      <c r="W254" s="860"/>
      <c r="X254" s="860"/>
      <c r="Y254" s="860"/>
      <c r="Z254" s="1261"/>
      <c r="AA254" s="1242"/>
      <c r="AB254" s="1162"/>
      <c r="AC254" s="1162"/>
      <c r="AD254" s="1162"/>
      <c r="AE254" s="1261"/>
      <c r="AF254" s="1242"/>
      <c r="AG254" s="1162"/>
      <c r="AH254" s="1162"/>
      <c r="AI254" s="1162"/>
      <c r="AJ254" s="1261"/>
      <c r="AK254" s="1242"/>
      <c r="AL254" s="1162"/>
      <c r="AM254" s="1162"/>
      <c r="AN254" s="1162"/>
      <c r="AO254" s="1261"/>
      <c r="AP254" s="1242"/>
      <c r="AQ254" s="1162"/>
      <c r="AR254" s="1162"/>
      <c r="AS254" s="1162"/>
      <c r="AT254" s="1261"/>
      <c r="AU254" s="1242"/>
      <c r="AV254" s="1162"/>
      <c r="AW254" s="1162"/>
      <c r="AX254" s="1162"/>
      <c r="AY254" s="1261"/>
      <c r="AZ254" s="1242"/>
      <c r="BA254" s="1162"/>
      <c r="BB254" s="1162"/>
      <c r="BC254" s="1162"/>
      <c r="BD254" s="1261"/>
      <c r="BE254" s="1242"/>
      <c r="BF254" s="1162"/>
      <c r="BG254" s="1162"/>
      <c r="BH254" s="1162"/>
      <c r="BI254" s="1261"/>
      <c r="BJ254" s="1242"/>
      <c r="BK254" s="1162"/>
      <c r="BL254" s="1162"/>
      <c r="BM254" s="1162"/>
      <c r="BN254" s="1261"/>
      <c r="BO254" s="1242"/>
      <c r="BP254" s="1162"/>
      <c r="BQ254" s="1162"/>
      <c r="BR254" s="1162"/>
      <c r="BS254" s="1261"/>
      <c r="BT254" s="1242"/>
      <c r="BU254" s="1162"/>
      <c r="BV254" s="1162"/>
      <c r="BW254" s="1162"/>
      <c r="BX254" s="1261"/>
      <c r="BY254" s="1242"/>
      <c r="BZ254" s="1162"/>
      <c r="CA254" s="1162"/>
      <c r="CB254" s="1756"/>
      <c r="CC254" s="1757"/>
      <c r="CD254" s="1242"/>
      <c r="CE254" s="1162"/>
      <c r="CF254" s="1162"/>
      <c r="CG254" s="1162"/>
      <c r="CH254" s="1757"/>
      <c r="CI254" s="1162"/>
      <c r="CJ254" s="1162"/>
      <c r="CK254" s="1233"/>
      <c r="CL254" s="860"/>
      <c r="CM254" s="860"/>
      <c r="CN254" s="860"/>
      <c r="CO254" s="1232"/>
      <c r="CP254" s="1233"/>
      <c r="CQ254" s="860"/>
      <c r="CR254" s="860"/>
      <c r="CS254" s="860"/>
      <c r="CT254" s="1232"/>
      <c r="CU254" s="1233"/>
      <c r="CV254" s="860"/>
      <c r="CW254" s="860"/>
      <c r="CX254" s="860"/>
      <c r="CY254" s="1232"/>
      <c r="CZ254" s="1233"/>
      <c r="DA254" s="860"/>
      <c r="DB254" s="860"/>
      <c r="DC254" s="860"/>
      <c r="DD254" s="1232"/>
      <c r="DE254" s="1233"/>
      <c r="DF254" s="860"/>
      <c r="DG254" s="860"/>
      <c r="DH254" s="860"/>
      <c r="DI254" s="1232"/>
      <c r="DJ254" s="1233"/>
      <c r="DK254" s="860"/>
      <c r="DL254" s="860"/>
      <c r="DM254" s="860"/>
      <c r="DN254" s="1232"/>
      <c r="DO254" s="1233"/>
      <c r="DP254" s="860"/>
      <c r="DQ254" s="860"/>
      <c r="DR254" s="860"/>
      <c r="DS254" s="1232"/>
      <c r="DT254" s="1233"/>
      <c r="DU254" s="860"/>
      <c r="DV254" s="860"/>
      <c r="DW254" s="860"/>
      <c r="DX254" s="1232"/>
      <c r="DY254" s="1233"/>
      <c r="DZ254" s="860"/>
      <c r="EA254" s="860"/>
      <c r="EB254" s="860"/>
      <c r="EC254" s="1232"/>
      <c r="ED254" s="860"/>
      <c r="EE254" s="860"/>
      <c r="EF254" s="860"/>
      <c r="EG254" s="860"/>
      <c r="EH254" s="860"/>
      <c r="EI254" s="1233"/>
      <c r="EJ254" s="860"/>
      <c r="EK254" s="860"/>
      <c r="EL254" s="860"/>
      <c r="EM254" s="1232"/>
      <c r="EN254" s="1233"/>
      <c r="EO254" s="860"/>
      <c r="EP254" s="860"/>
      <c r="EQ254" s="860"/>
      <c r="ER254" s="1232"/>
      <c r="ES254" s="860"/>
      <c r="ET254" s="860"/>
      <c r="EU254" s="860"/>
      <c r="EV254" s="860"/>
      <c r="EW254" s="1232"/>
      <c r="EX254" s="1233"/>
      <c r="EY254" s="860"/>
      <c r="EZ254" s="860"/>
      <c r="FA254" s="860"/>
      <c r="FB254" s="1754"/>
      <c r="FC254" s="1233"/>
      <c r="FD254" s="860"/>
      <c r="FE254" s="860"/>
      <c r="FF254" s="860"/>
      <c r="FG254" s="860"/>
      <c r="FH254" s="860"/>
      <c r="FI254" s="860"/>
      <c r="FJ254" s="860"/>
      <c r="FK254" s="860"/>
      <c r="FL254" s="860"/>
      <c r="FM254" s="860"/>
      <c r="FN254" s="860"/>
      <c r="FO254" s="860"/>
      <c r="FP254" s="860"/>
      <c r="FQ254" s="860"/>
      <c r="FR254" s="860"/>
      <c r="FS254" s="860"/>
      <c r="FT254" s="860"/>
      <c r="FU254" s="860"/>
      <c r="FV254" s="860"/>
      <c r="FW254" s="860"/>
      <c r="FX254" s="860"/>
      <c r="FY254" s="860"/>
      <c r="FZ254" s="860"/>
      <c r="GA254" s="860"/>
      <c r="GB254" s="860"/>
      <c r="GC254" s="860"/>
      <c r="GD254" s="860"/>
      <c r="GE254" s="860"/>
      <c r="GF254" s="860"/>
      <c r="GG254" s="860"/>
      <c r="GH254" s="860"/>
      <c r="GI254" s="860"/>
      <c r="GJ254" s="860"/>
      <c r="GK254" s="860"/>
      <c r="GL254" s="860"/>
      <c r="GM254" s="860"/>
      <c r="GN254" s="860"/>
      <c r="GO254" s="860"/>
      <c r="GP254" s="860"/>
      <c r="GQ254" s="860"/>
      <c r="GR254" s="1241"/>
      <c r="GS254" s="1218"/>
      <c r="GT254" s="1241"/>
      <c r="GU254" s="1218"/>
      <c r="GV254" s="1241"/>
      <c r="GW254" s="1218"/>
      <c r="GX254" s="1218"/>
      <c r="GY254" s="1241"/>
      <c r="GZ254" s="1218"/>
      <c r="HA254" s="1218"/>
      <c r="HB254" s="1241"/>
      <c r="HC254" s="1218"/>
      <c r="HD254" s="2000"/>
      <c r="HE254" s="1241"/>
      <c r="HF254" s="1218"/>
      <c r="HG254" s="2000"/>
      <c r="HH254" s="1241"/>
      <c r="HI254" s="1241"/>
      <c r="HJ254" s="1218"/>
      <c r="HK254" s="2000"/>
      <c r="HL254" s="1241"/>
      <c r="HM254" s="1218"/>
      <c r="HN254" s="2000"/>
      <c r="HO254" s="1241"/>
      <c r="HP254" s="1218"/>
      <c r="HQ254" s="2000"/>
      <c r="HR254" s="1241"/>
    </row>
    <row r="255" spans="1:226">
      <c r="B255" s="1233"/>
      <c r="C255" s="860"/>
      <c r="D255" s="860"/>
      <c r="E255" s="860"/>
      <c r="F255" s="1232"/>
      <c r="G255" s="1233"/>
      <c r="H255" s="860"/>
      <c r="I255" s="860"/>
      <c r="J255" s="860"/>
      <c r="K255" s="1232"/>
      <c r="L255" s="1233"/>
      <c r="M255" s="860"/>
      <c r="N255" s="1274"/>
      <c r="O255" s="860"/>
      <c r="P255" s="1232"/>
      <c r="Q255" s="1233"/>
      <c r="R255" s="860"/>
      <c r="S255" s="860"/>
      <c r="T255" s="860"/>
      <c r="U255" s="1232"/>
      <c r="V255" s="1233"/>
      <c r="W255" s="860"/>
      <c r="X255" s="860"/>
      <c r="Y255" s="860"/>
      <c r="Z255" s="1261"/>
      <c r="AA255" s="1242"/>
      <c r="AB255" s="1162"/>
      <c r="AC255" s="1162"/>
      <c r="AD255" s="1162"/>
      <c r="AE255" s="1261"/>
      <c r="AF255" s="1242"/>
      <c r="AG255" s="1162"/>
      <c r="AH255" s="1162"/>
      <c r="AI255" s="1162"/>
      <c r="AJ255" s="1261"/>
      <c r="AK255" s="1242"/>
      <c r="AL255" s="1162"/>
      <c r="AM255" s="1162"/>
      <c r="AN255" s="1162"/>
      <c r="AO255" s="1261"/>
      <c r="AP255" s="1242"/>
      <c r="AQ255" s="1162"/>
      <c r="AR255" s="1162"/>
      <c r="AS255" s="1162"/>
      <c r="AT255" s="1261"/>
      <c r="AU255" s="1242"/>
      <c r="AV255" s="1162"/>
      <c r="AW255" s="1162"/>
      <c r="AX255" s="1162"/>
      <c r="AY255" s="1261"/>
      <c r="AZ255" s="1242"/>
      <c r="BA255" s="1162"/>
      <c r="BB255" s="1162"/>
      <c r="BC255" s="1162"/>
      <c r="BD255" s="1261"/>
      <c r="BE255" s="1242"/>
      <c r="BF255" s="1162"/>
      <c r="BG255" s="1162"/>
      <c r="BH255" s="1162"/>
      <c r="BI255" s="1261"/>
      <c r="BJ255" s="1242"/>
      <c r="BK255" s="1162"/>
      <c r="BL255" s="1162"/>
      <c r="BM255" s="1162"/>
      <c r="BN255" s="1261"/>
      <c r="BO255" s="1242"/>
      <c r="BP255" s="1162"/>
      <c r="BQ255" s="1162"/>
      <c r="BR255" s="1162"/>
      <c r="BS255" s="1261"/>
      <c r="BT255" s="1242"/>
      <c r="BU255" s="1162"/>
      <c r="BV255" s="1162"/>
      <c r="BW255" s="1162"/>
      <c r="BX255" s="1261"/>
      <c r="BY255" s="1242"/>
      <c r="BZ255" s="1162"/>
      <c r="CA255" s="1162"/>
      <c r="CB255" s="1162"/>
      <c r="CC255" s="1757"/>
      <c r="CD255" s="1242"/>
      <c r="CE255" s="1162"/>
      <c r="CF255" s="1162"/>
      <c r="CG255" s="1162"/>
      <c r="CH255" s="1757"/>
      <c r="CI255" s="1162"/>
      <c r="CJ255" s="1162"/>
      <c r="CK255" s="1233"/>
      <c r="CL255" s="860"/>
      <c r="CM255" s="860"/>
      <c r="CN255" s="860"/>
      <c r="CO255" s="1232"/>
      <c r="CP255" s="1233"/>
      <c r="CQ255" s="860"/>
      <c r="CR255" s="860"/>
      <c r="CS255" s="860"/>
      <c r="CT255" s="1232"/>
      <c r="CU255" s="1233"/>
      <c r="CV255" s="860"/>
      <c r="CW255" s="860"/>
      <c r="CX255" s="860"/>
      <c r="CY255" s="1232"/>
      <c r="CZ255" s="1233"/>
      <c r="DA255" s="860"/>
      <c r="DB255" s="860"/>
      <c r="DC255" s="860"/>
      <c r="DD255" s="1232"/>
      <c r="DE255" s="1233"/>
      <c r="DF255" s="860"/>
      <c r="DG255" s="860"/>
      <c r="DH255" s="860"/>
      <c r="DI255" s="1232"/>
      <c r="DJ255" s="1233"/>
      <c r="DK255" s="860"/>
      <c r="DL255" s="860"/>
      <c r="DM255" s="860"/>
      <c r="DN255" s="1232"/>
      <c r="DO255" s="1233"/>
      <c r="DP255" s="860"/>
      <c r="DQ255" s="860"/>
      <c r="DR255" s="860"/>
      <c r="DS255" s="1232"/>
      <c r="DT255" s="1233"/>
      <c r="DU255" s="860"/>
      <c r="DV255" s="860"/>
      <c r="DW255" s="860"/>
      <c r="DX255" s="1232"/>
      <c r="DY255" s="1233"/>
      <c r="DZ255" s="860"/>
      <c r="EA255" s="860"/>
      <c r="EB255" s="860"/>
      <c r="EC255" s="1232"/>
      <c r="ED255" s="860"/>
      <c r="EE255" s="860"/>
      <c r="EF255" s="860"/>
      <c r="EG255" s="860"/>
      <c r="EH255" s="860"/>
      <c r="EI255" s="1233"/>
      <c r="EJ255" s="860"/>
      <c r="EK255" s="860"/>
      <c r="EL255" s="860"/>
      <c r="EM255" s="1232"/>
      <c r="EN255" s="1233"/>
      <c r="EO255" s="860"/>
      <c r="EP255" s="860"/>
      <c r="EQ255" s="860"/>
      <c r="ER255" s="1232"/>
      <c r="ES255" s="860"/>
      <c r="ET255" s="860"/>
      <c r="EU255" s="860"/>
      <c r="EV255" s="860"/>
      <c r="EW255" s="1232"/>
      <c r="EX255" s="1233"/>
      <c r="EY255" s="860"/>
      <c r="EZ255" s="860"/>
      <c r="FA255" s="860"/>
      <c r="FB255" s="1754"/>
      <c r="FC255" s="1233"/>
      <c r="FD255" s="860"/>
      <c r="FE255" s="860"/>
      <c r="FF255" s="860"/>
      <c r="FG255" s="860"/>
      <c r="FH255" s="860"/>
      <c r="FI255" s="860"/>
      <c r="FJ255" s="860"/>
      <c r="FK255" s="860"/>
      <c r="FL255" s="860"/>
      <c r="FM255" s="860"/>
      <c r="FN255" s="860"/>
      <c r="FO255" s="860"/>
      <c r="FP255" s="860"/>
      <c r="FQ255" s="860"/>
      <c r="FR255" s="860"/>
      <c r="FS255" s="860"/>
      <c r="FT255" s="860"/>
      <c r="FU255" s="860"/>
      <c r="FV255" s="860"/>
      <c r="FW255" s="860"/>
      <c r="FX255" s="860"/>
      <c r="FY255" s="860"/>
      <c r="FZ255" s="860"/>
      <c r="GA255" s="860"/>
      <c r="GB255" s="860"/>
      <c r="GC255" s="860"/>
      <c r="GD255" s="860"/>
      <c r="GE255" s="860"/>
      <c r="GF255" s="860"/>
      <c r="GG255" s="860"/>
      <c r="GH255" s="860"/>
      <c r="GI255" s="860"/>
      <c r="GJ255" s="860"/>
      <c r="GK255" s="860"/>
      <c r="GL255" s="860"/>
      <c r="GM255" s="860"/>
      <c r="GN255" s="860"/>
      <c r="GO255" s="860"/>
      <c r="GP255" s="860"/>
      <c r="GQ255" s="860"/>
      <c r="GR255" s="1241"/>
      <c r="GS255" s="1218"/>
      <c r="GT255" s="1241"/>
      <c r="GU255" s="1218"/>
      <c r="GV255" s="1241"/>
      <c r="GW255" s="1218"/>
      <c r="GX255" s="1218"/>
      <c r="GY255" s="1241"/>
      <c r="GZ255" s="1218"/>
      <c r="HA255" s="1218"/>
      <c r="HB255" s="1241"/>
      <c r="HC255" s="1218"/>
      <c r="HD255" s="2000"/>
      <c r="HE255" s="1241"/>
      <c r="HF255" s="1218"/>
      <c r="HG255" s="2000"/>
      <c r="HH255" s="1241"/>
      <c r="HI255" s="1241"/>
      <c r="HJ255" s="1218"/>
      <c r="HK255" s="2000"/>
      <c r="HL255" s="1241"/>
      <c r="HM255" s="1218"/>
      <c r="HN255" s="2000"/>
      <c r="HO255" s="1241"/>
      <c r="HP255" s="1218"/>
      <c r="HQ255" s="2000"/>
      <c r="HR255" s="1241"/>
    </row>
    <row r="256" spans="1:226">
      <c r="A256" s="1679" t="s">
        <v>820</v>
      </c>
      <c r="B256" s="1354"/>
      <c r="C256" s="1294"/>
      <c r="D256" s="1294"/>
      <c r="E256" s="1294"/>
      <c r="F256" s="1269"/>
      <c r="G256" s="1354"/>
      <c r="H256" s="1294"/>
      <c r="I256" s="1294"/>
      <c r="J256" s="1294"/>
      <c r="K256" s="1269"/>
      <c r="L256" s="1354"/>
      <c r="M256" s="1294"/>
      <c r="N256" s="967"/>
      <c r="O256" s="1294"/>
      <c r="P256" s="1269"/>
      <c r="Q256" s="1354"/>
      <c r="R256" s="1294"/>
      <c r="S256" s="1294"/>
      <c r="T256" s="1294"/>
      <c r="U256" s="1269"/>
      <c r="V256" s="1354"/>
      <c r="W256" s="1294"/>
      <c r="X256" s="1294"/>
      <c r="Y256" s="1294"/>
      <c r="Z256" s="1335"/>
      <c r="AA256" s="1510"/>
      <c r="AB256" s="1295"/>
      <c r="AC256" s="1295"/>
      <c r="AD256" s="1295"/>
      <c r="AE256" s="1335"/>
      <c r="AF256" s="1510"/>
      <c r="AG256" s="1295"/>
      <c r="AH256" s="1295"/>
      <c r="AI256" s="1295"/>
      <c r="AJ256" s="1335"/>
      <c r="AK256" s="1510"/>
      <c r="AL256" s="1295"/>
      <c r="AM256" s="1295"/>
      <c r="AN256" s="1295"/>
      <c r="AO256" s="1335"/>
      <c r="AP256" s="1510"/>
      <c r="AQ256" s="1295"/>
      <c r="AR256" s="1295"/>
      <c r="AS256" s="1295"/>
      <c r="AT256" s="1335"/>
      <c r="AU256" s="1510"/>
      <c r="AV256" s="1295"/>
      <c r="AW256" s="1295"/>
      <c r="AX256" s="1295"/>
      <c r="AY256" s="1335"/>
      <c r="AZ256" s="1510"/>
      <c r="BA256" s="1295"/>
      <c r="BB256" s="1295"/>
      <c r="BC256" s="1295"/>
      <c r="BD256" s="1335"/>
      <c r="BE256" s="1348" t="str">
        <f>BE4</f>
        <v>1Q</v>
      </c>
      <c r="BF256" s="1313" t="str">
        <f>BF4</f>
        <v>2Q</v>
      </c>
      <c r="BG256" s="1313" t="str">
        <f>BG4</f>
        <v>3Q</v>
      </c>
      <c r="BH256" s="1313" t="str">
        <f>BH4</f>
        <v>4Q</v>
      </c>
      <c r="BI256" s="1335"/>
      <c r="BJ256" s="1348" t="str">
        <f>BJ4</f>
        <v>1Q</v>
      </c>
      <c r="BK256" s="1313" t="str">
        <f>BK4</f>
        <v>2Q</v>
      </c>
      <c r="BL256" s="1313" t="str">
        <f>BL4</f>
        <v>3Q</v>
      </c>
      <c r="BM256" s="1313" t="str">
        <f>BM4</f>
        <v>4Q</v>
      </c>
      <c r="BN256" s="1335"/>
      <c r="BO256" s="1348" t="str">
        <f>BO4</f>
        <v>1Q</v>
      </c>
      <c r="BP256" s="1313" t="str">
        <f>BP4</f>
        <v>2Q</v>
      </c>
      <c r="BQ256" s="1313" t="str">
        <f>BQ4</f>
        <v>3Q</v>
      </c>
      <c r="BR256" s="1313" t="str">
        <f>BR4</f>
        <v>4Q</v>
      </c>
      <c r="BS256" s="1335"/>
      <c r="BT256" s="1348" t="str">
        <f>BT4</f>
        <v>1Q</v>
      </c>
      <c r="BU256" s="1313" t="str">
        <f>BU4</f>
        <v>2Q</v>
      </c>
      <c r="BV256" s="1313" t="str">
        <f>BV4</f>
        <v>3Q</v>
      </c>
      <c r="BW256" s="1313" t="str">
        <f>BW4</f>
        <v>4Q</v>
      </c>
      <c r="BX256" s="1335"/>
      <c r="BY256" s="1348" t="str">
        <f>BY4</f>
        <v>1Q</v>
      </c>
      <c r="BZ256" s="1313" t="str">
        <f>BZ4</f>
        <v>2Q</v>
      </c>
      <c r="CA256" s="1313" t="str">
        <f>CA4</f>
        <v>3Q</v>
      </c>
      <c r="CB256" s="1313" t="str">
        <f>CB4</f>
        <v>4Q</v>
      </c>
      <c r="CC256" s="1775"/>
      <c r="CD256" s="1348" t="str">
        <f>CD4</f>
        <v>1Q</v>
      </c>
      <c r="CE256" s="1313" t="str">
        <f>CE4</f>
        <v>2Q</v>
      </c>
      <c r="CF256" s="1313" t="str">
        <f>CF4</f>
        <v>3Q</v>
      </c>
      <c r="CG256" s="1313" t="str">
        <f>CG4</f>
        <v>4Q</v>
      </c>
      <c r="CH256" s="1775"/>
      <c r="CI256" s="1162"/>
      <c r="CJ256" s="1162"/>
      <c r="CK256" s="1233"/>
      <c r="CL256" s="860"/>
      <c r="CM256" s="860"/>
      <c r="CN256" s="860"/>
      <c r="CO256" s="1232"/>
      <c r="CP256" s="1233"/>
      <c r="CQ256" s="860"/>
      <c r="CR256" s="860"/>
      <c r="CS256" s="860"/>
      <c r="CT256" s="1232"/>
      <c r="CU256" s="1233"/>
      <c r="CV256" s="860"/>
      <c r="CW256" s="860"/>
      <c r="CX256" s="860"/>
      <c r="CY256" s="1232"/>
      <c r="CZ256" s="1233"/>
      <c r="DA256" s="860"/>
      <c r="DB256" s="860"/>
      <c r="DC256" s="860"/>
      <c r="DD256" s="1232"/>
      <c r="DE256" s="1233"/>
      <c r="DF256" s="860"/>
      <c r="DG256" s="860"/>
      <c r="DH256" s="860"/>
      <c r="DI256" s="1232"/>
      <c r="DJ256" s="1233"/>
      <c r="DK256" s="860"/>
      <c r="DL256" s="860"/>
      <c r="DM256" s="860"/>
      <c r="DN256" s="1232"/>
      <c r="DO256" s="1233"/>
      <c r="DP256" s="860"/>
      <c r="DQ256" s="860"/>
      <c r="DR256" s="860"/>
      <c r="DS256" s="1232"/>
      <c r="DT256" s="1233"/>
      <c r="DU256" s="860"/>
      <c r="DV256" s="860"/>
      <c r="DW256" s="860"/>
      <c r="DX256" s="1232"/>
      <c r="DY256" s="1233"/>
      <c r="DZ256" s="860"/>
      <c r="EA256" s="860"/>
      <c r="EB256" s="860"/>
      <c r="EC256" s="1232"/>
      <c r="ED256" s="860"/>
      <c r="EE256" s="860"/>
      <c r="EF256" s="860"/>
      <c r="EG256" s="860"/>
      <c r="EH256" s="860"/>
      <c r="EI256" s="1233"/>
      <c r="EJ256" s="860"/>
      <c r="EK256" s="860"/>
      <c r="EL256" s="860"/>
      <c r="EM256" s="1232"/>
      <c r="EN256" s="1233"/>
      <c r="EO256" s="860"/>
      <c r="EP256" s="860"/>
      <c r="EQ256" s="860"/>
      <c r="ER256" s="1232"/>
      <c r="ES256" s="860"/>
      <c r="ET256" s="860"/>
      <c r="EU256" s="860"/>
      <c r="EV256" s="860"/>
      <c r="EW256" s="1232"/>
      <c r="EX256" s="1233"/>
      <c r="EY256" s="860"/>
      <c r="EZ256" s="860"/>
      <c r="FA256" s="860"/>
      <c r="FB256" s="1754"/>
      <c r="FC256" s="1233"/>
      <c r="FD256" s="860"/>
      <c r="FE256" s="860"/>
      <c r="FF256" s="860"/>
      <c r="FG256" s="860"/>
      <c r="FH256" s="860"/>
      <c r="FI256" s="860"/>
      <c r="FJ256" s="860"/>
      <c r="FK256" s="860"/>
      <c r="FL256" s="860"/>
      <c r="FM256" s="860"/>
      <c r="FN256" s="860"/>
      <c r="FO256" s="860"/>
      <c r="FP256" s="860"/>
      <c r="FQ256" s="860"/>
      <c r="FR256" s="860"/>
      <c r="FS256" s="860"/>
      <c r="FT256" s="860"/>
      <c r="FU256" s="860"/>
      <c r="FV256" s="860"/>
      <c r="FW256" s="860"/>
      <c r="FX256" s="860"/>
      <c r="FY256" s="860"/>
      <c r="FZ256" s="860"/>
      <c r="GA256" s="860"/>
      <c r="GB256" s="860"/>
      <c r="GC256" s="860"/>
      <c r="GD256" s="860"/>
      <c r="GE256" s="860"/>
      <c r="GF256" s="860"/>
      <c r="GG256" s="860"/>
      <c r="GH256" s="860"/>
      <c r="GI256" s="860"/>
      <c r="GJ256" s="860"/>
      <c r="GK256" s="860"/>
      <c r="GL256" s="860"/>
      <c r="GM256" s="860"/>
      <c r="GN256" s="860"/>
      <c r="GO256" s="860"/>
      <c r="GP256" s="860"/>
      <c r="GQ256" s="860"/>
      <c r="GR256" s="1241"/>
      <c r="GS256" s="1218"/>
      <c r="GT256" s="1241"/>
      <c r="GU256" s="1218"/>
      <c r="GV256" s="1241"/>
      <c r="GW256" s="1218"/>
      <c r="GX256" s="1218"/>
      <c r="GY256" s="1241"/>
      <c r="GZ256" s="1218"/>
      <c r="HA256" s="1218"/>
      <c r="HB256" s="1640" t="s">
        <v>690</v>
      </c>
      <c r="HC256" s="1218"/>
      <c r="HD256" s="2000"/>
      <c r="HE256" s="1640" t="s">
        <v>691</v>
      </c>
      <c r="HF256" s="1218"/>
      <c r="HG256" s="2000"/>
      <c r="HH256" s="1241"/>
      <c r="HI256" s="1640" t="s">
        <v>689</v>
      </c>
      <c r="HJ256" s="1218"/>
      <c r="HK256" s="2000"/>
      <c r="HL256" s="1640" t="s">
        <v>690</v>
      </c>
      <c r="HM256" s="1218"/>
      <c r="HN256" s="2000"/>
      <c r="HO256" s="1640" t="s">
        <v>8073</v>
      </c>
      <c r="HP256" s="1218"/>
      <c r="HQ256" s="2000"/>
      <c r="HR256" s="1315" t="s">
        <v>688</v>
      </c>
    </row>
    <row r="257" spans="1:226">
      <c r="A257" s="1132" t="str">
        <f>A242</f>
        <v>Homes passed</v>
      </c>
      <c r="B257" s="1669"/>
      <c r="C257" s="1264"/>
      <c r="D257" s="1264"/>
      <c r="E257" s="1264"/>
      <c r="F257" s="1219"/>
      <c r="G257" s="1669"/>
      <c r="H257" s="1264"/>
      <c r="I257" s="1264"/>
      <c r="J257" s="1264"/>
      <c r="K257" s="1219"/>
      <c r="L257" s="1669"/>
      <c r="M257" s="1264"/>
      <c r="N257" s="1280"/>
      <c r="O257" s="860"/>
      <c r="P257" s="1232"/>
      <c r="Q257" s="1233"/>
      <c r="R257" s="860"/>
      <c r="S257" s="860"/>
      <c r="T257" s="860"/>
      <c r="U257" s="1232"/>
      <c r="V257" s="1233"/>
      <c r="W257" s="860"/>
      <c r="X257" s="860"/>
      <c r="Y257" s="860"/>
      <c r="Z257" s="1261"/>
      <c r="AA257" s="1242"/>
      <c r="AB257" s="1162"/>
      <c r="AC257" s="1162"/>
      <c r="AD257" s="1162"/>
      <c r="AE257" s="1261"/>
      <c r="AF257" s="1242"/>
      <c r="AG257" s="1162"/>
      <c r="AH257" s="1162"/>
      <c r="AI257" s="1162"/>
      <c r="AJ257" s="1261"/>
      <c r="AK257" s="1242"/>
      <c r="AL257" s="1162"/>
      <c r="AM257" s="1162"/>
      <c r="AN257" s="1274"/>
      <c r="AO257" s="1327">
        <v>13800</v>
      </c>
      <c r="AP257" s="1242"/>
      <c r="AQ257" s="1162"/>
      <c r="AR257" s="1162"/>
      <c r="AS257" s="1162"/>
      <c r="AT257" s="1327">
        <v>14600</v>
      </c>
      <c r="AU257" s="1242"/>
      <c r="AV257" s="1162"/>
      <c r="AW257" s="1162"/>
      <c r="AX257" s="1162"/>
      <c r="AY257" s="1261"/>
      <c r="AZ257" s="1242"/>
      <c r="BA257" s="1162"/>
      <c r="BB257" s="1162"/>
      <c r="BC257" s="1162"/>
      <c r="BD257" s="1261"/>
      <c r="BE257" s="1242"/>
      <c r="BF257" s="1162"/>
      <c r="BG257" s="1162"/>
      <c r="BH257" s="1162"/>
      <c r="BI257" s="1261"/>
      <c r="BJ257" s="1242"/>
      <c r="BK257" s="1162"/>
      <c r="BL257" s="1162"/>
      <c r="BM257" s="1162"/>
      <c r="BN257" s="1261"/>
      <c r="BO257" s="1242"/>
      <c r="BP257" s="1162"/>
      <c r="BQ257" s="1162"/>
      <c r="BR257" s="1298">
        <v>19600</v>
      </c>
      <c r="BS257" s="1261"/>
      <c r="BT257" s="1350">
        <v>19700</v>
      </c>
      <c r="BU257" s="1298">
        <v>19800</v>
      </c>
      <c r="BV257" s="1298">
        <v>19800</v>
      </c>
      <c r="BW257" s="1298">
        <v>19900</v>
      </c>
      <c r="BX257" s="1261"/>
      <c r="BY257" s="1350">
        <v>19900</v>
      </c>
      <c r="BZ257" s="1298">
        <v>20000</v>
      </c>
      <c r="CA257" s="1298">
        <v>20000</v>
      </c>
      <c r="CB257" s="1298">
        <v>20000</v>
      </c>
      <c r="CC257" s="1757"/>
      <c r="CD257" s="1350">
        <v>20000</v>
      </c>
      <c r="CE257" s="1298"/>
      <c r="CF257" s="1298"/>
      <c r="CG257" s="1298"/>
      <c r="CH257" s="1757"/>
      <c r="CI257" s="1162"/>
      <c r="CJ257" s="1162"/>
      <c r="CK257" s="1233"/>
      <c r="CL257" s="860"/>
      <c r="CM257" s="860"/>
      <c r="CN257" s="860"/>
      <c r="CO257" s="1232"/>
      <c r="CP257" s="1233"/>
      <c r="CQ257" s="860"/>
      <c r="CR257" s="860"/>
      <c r="CS257" s="860"/>
      <c r="CT257" s="1232"/>
      <c r="CU257" s="1233"/>
      <c r="CV257" s="860"/>
      <c r="CW257" s="860"/>
      <c r="CX257" s="860"/>
      <c r="CY257" s="1232"/>
      <c r="CZ257" s="1233"/>
      <c r="DA257" s="860"/>
      <c r="DB257" s="860"/>
      <c r="DC257" s="860"/>
      <c r="DD257" s="1232"/>
      <c r="DE257" s="1233"/>
      <c r="DF257" s="860"/>
      <c r="DG257" s="860"/>
      <c r="DH257" s="860"/>
      <c r="DI257" s="1232"/>
      <c r="DJ257" s="1233"/>
      <c r="DK257" s="860"/>
      <c r="DL257" s="860"/>
      <c r="DM257" s="860"/>
      <c r="DN257" s="1232"/>
      <c r="DO257" s="1233"/>
      <c r="DP257" s="860"/>
      <c r="DQ257" s="860"/>
      <c r="DR257" s="860"/>
      <c r="DS257" s="1232"/>
      <c r="DT257" s="1233"/>
      <c r="DU257" s="860"/>
      <c r="DV257" s="860"/>
      <c r="DW257" s="860"/>
      <c r="DX257" s="1232"/>
      <c r="DY257" s="1233"/>
      <c r="DZ257" s="860"/>
      <c r="EA257" s="860"/>
      <c r="EB257" s="860"/>
      <c r="EC257" s="1232"/>
      <c r="ED257" s="860"/>
      <c r="EE257" s="860"/>
      <c r="EF257" s="860"/>
      <c r="EG257" s="860"/>
      <c r="EH257" s="860"/>
      <c r="EI257" s="1233"/>
      <c r="EJ257" s="860"/>
      <c r="EK257" s="860"/>
      <c r="EL257" s="860"/>
      <c r="EM257" s="1232"/>
      <c r="EN257" s="1233"/>
      <c r="EO257" s="860"/>
      <c r="EP257" s="860"/>
      <c r="EQ257" s="860"/>
      <c r="ER257" s="1232"/>
      <c r="ES257" s="860"/>
      <c r="ET257" s="860"/>
      <c r="EU257" s="860"/>
      <c r="EV257" s="860"/>
      <c r="EW257" s="1232"/>
      <c r="EX257" s="1233"/>
      <c r="EY257" s="860"/>
      <c r="EZ257" s="860"/>
      <c r="FA257" s="860"/>
      <c r="FB257" s="1754"/>
      <c r="FC257" s="1233"/>
      <c r="FD257" s="860"/>
      <c r="FE257" s="860"/>
      <c r="FF257" s="860"/>
      <c r="FG257" s="860"/>
      <c r="FH257" s="860"/>
      <c r="FI257" s="860"/>
      <c r="FJ257" s="860"/>
      <c r="FK257" s="860"/>
      <c r="FL257" s="860"/>
      <c r="FM257" s="860"/>
      <c r="FN257" s="860"/>
      <c r="FO257" s="860"/>
      <c r="FP257" s="860"/>
      <c r="FQ257" s="860"/>
      <c r="FR257" s="860"/>
      <c r="FS257" s="860"/>
      <c r="FT257" s="860"/>
      <c r="FU257" s="860"/>
      <c r="FV257" s="860"/>
      <c r="FW257" s="860"/>
      <c r="FX257" s="860"/>
      <c r="FY257" s="860"/>
      <c r="FZ257" s="860"/>
      <c r="GA257" s="860"/>
      <c r="GB257" s="860"/>
      <c r="GC257" s="860"/>
      <c r="GD257" s="860"/>
      <c r="GE257" s="860"/>
      <c r="GF257" s="860"/>
      <c r="GG257" s="860"/>
      <c r="GH257" s="860"/>
      <c r="GI257" s="860"/>
      <c r="GJ257" s="860"/>
      <c r="GK257" s="860"/>
      <c r="GL257" s="860"/>
      <c r="GM257" s="860"/>
      <c r="GN257" s="860"/>
      <c r="GO257" s="860"/>
      <c r="GP257" s="860"/>
      <c r="GQ257" s="860"/>
      <c r="GR257" s="1241"/>
      <c r="GS257" s="1218"/>
      <c r="GT257" s="1241"/>
      <c r="GU257" s="1218"/>
      <c r="GV257" s="1241"/>
      <c r="GW257" s="1218"/>
      <c r="GX257" s="1218"/>
      <c r="GY257" s="1241"/>
      <c r="GZ257" s="1218"/>
      <c r="HA257" s="1218"/>
      <c r="HB257" s="1241"/>
      <c r="HC257" s="1218"/>
      <c r="HD257" s="2000"/>
      <c r="HE257" s="1241"/>
      <c r="HF257" s="1218"/>
      <c r="HG257" s="2000"/>
      <c r="HH257" s="1241"/>
      <c r="HI257" s="1299"/>
      <c r="HJ257" s="1218"/>
      <c r="HK257" s="2000"/>
      <c r="HL257" s="1299"/>
      <c r="HM257" s="1218"/>
      <c r="HN257" s="2000"/>
      <c r="HO257" s="1299"/>
      <c r="HP257" s="1218"/>
      <c r="HQ257" s="2000"/>
      <c r="HR257" s="1299">
        <v>20000</v>
      </c>
    </row>
    <row r="258" spans="1:226">
      <c r="A258" s="1132"/>
      <c r="B258" s="1669"/>
      <c r="C258" s="1264"/>
      <c r="D258" s="1264"/>
      <c r="E258" s="1264"/>
      <c r="F258" s="1219"/>
      <c r="G258" s="1669"/>
      <c r="H258" s="1264"/>
      <c r="I258" s="1264"/>
      <c r="J258" s="1264"/>
      <c r="K258" s="1219"/>
      <c r="L258" s="1669"/>
      <c r="M258" s="1264"/>
      <c r="N258" s="1280"/>
      <c r="O258" s="860"/>
      <c r="P258" s="1232"/>
      <c r="Q258" s="1233"/>
      <c r="R258" s="860"/>
      <c r="S258" s="860"/>
      <c r="T258" s="860"/>
      <c r="U258" s="1232"/>
      <c r="V258" s="1233"/>
      <c r="W258" s="860"/>
      <c r="X258" s="860"/>
      <c r="Y258" s="860"/>
      <c r="Z258" s="1261"/>
      <c r="AA258" s="1242"/>
      <c r="AB258" s="1162"/>
      <c r="AC258" s="1162"/>
      <c r="AD258" s="1162"/>
      <c r="AE258" s="1261"/>
      <c r="AF258" s="1242"/>
      <c r="AG258" s="1162"/>
      <c r="AH258" s="1162"/>
      <c r="AI258" s="1162"/>
      <c r="AJ258" s="1261"/>
      <c r="AK258" s="1242"/>
      <c r="AL258" s="1162"/>
      <c r="AM258" s="1162"/>
      <c r="AN258" s="1274"/>
      <c r="AO258" s="1327"/>
      <c r="AP258" s="1242"/>
      <c r="AQ258" s="1162"/>
      <c r="AR258" s="1162"/>
      <c r="AS258" s="1162"/>
      <c r="AT258" s="1327"/>
      <c r="AU258" s="1242"/>
      <c r="AV258" s="1162"/>
      <c r="AW258" s="1162"/>
      <c r="AX258" s="1162"/>
      <c r="AY258" s="1261"/>
      <c r="AZ258" s="1242"/>
      <c r="BA258" s="1162"/>
      <c r="BB258" s="1162"/>
      <c r="BC258" s="1162"/>
      <c r="BD258" s="1261"/>
      <c r="BE258" s="1242"/>
      <c r="BF258" s="1162"/>
      <c r="BG258" s="1162"/>
      <c r="BH258" s="1162"/>
      <c r="BI258" s="1261"/>
      <c r="BJ258" s="1242"/>
      <c r="BK258" s="1162"/>
      <c r="BL258" s="1162"/>
      <c r="BM258" s="1162"/>
      <c r="BN258" s="1261"/>
      <c r="BO258" s="1242"/>
      <c r="BP258" s="1162"/>
      <c r="BQ258" s="1162"/>
      <c r="BR258" s="1162"/>
      <c r="BS258" s="1261"/>
      <c r="BT258" s="1242"/>
      <c r="BU258" s="1162"/>
      <c r="BV258" s="1162"/>
      <c r="BW258" s="1162"/>
      <c r="BX258" s="1261"/>
      <c r="BY258" s="1242"/>
      <c r="BZ258" s="1162"/>
      <c r="CA258" s="1162"/>
      <c r="CB258" s="1162"/>
      <c r="CC258" s="1757"/>
      <c r="CD258" s="1242"/>
      <c r="CE258" s="1162"/>
      <c r="CF258" s="1162"/>
      <c r="CG258" s="1162"/>
      <c r="CH258" s="1757"/>
      <c r="CI258" s="1162"/>
      <c r="CJ258" s="1162"/>
      <c r="CK258" s="1233"/>
      <c r="CL258" s="860"/>
      <c r="CM258" s="860"/>
      <c r="CN258" s="860"/>
      <c r="CO258" s="1232"/>
      <c r="CP258" s="1233"/>
      <c r="CQ258" s="860"/>
      <c r="CR258" s="860"/>
      <c r="CS258" s="860"/>
      <c r="CT258" s="1232"/>
      <c r="CU258" s="1233"/>
      <c r="CV258" s="860"/>
      <c r="CW258" s="860"/>
      <c r="CX258" s="860"/>
      <c r="CY258" s="1232"/>
      <c r="CZ258" s="1233"/>
      <c r="DA258" s="860"/>
      <c r="DB258" s="860"/>
      <c r="DC258" s="860"/>
      <c r="DD258" s="1232"/>
      <c r="DE258" s="1233"/>
      <c r="DF258" s="860"/>
      <c r="DG258" s="860"/>
      <c r="DH258" s="860"/>
      <c r="DI258" s="1232"/>
      <c r="DJ258" s="1233"/>
      <c r="DK258" s="860"/>
      <c r="DL258" s="860"/>
      <c r="DM258" s="860"/>
      <c r="DN258" s="1232"/>
      <c r="DO258" s="1233"/>
      <c r="DP258" s="860"/>
      <c r="DQ258" s="860"/>
      <c r="DR258" s="860"/>
      <c r="DS258" s="1232"/>
      <c r="DT258" s="1233"/>
      <c r="DU258" s="860"/>
      <c r="DV258" s="860"/>
      <c r="DW258" s="860"/>
      <c r="DX258" s="1232"/>
      <c r="DY258" s="1233"/>
      <c r="DZ258" s="860"/>
      <c r="EA258" s="860"/>
      <c r="EB258" s="860"/>
      <c r="EC258" s="1232"/>
      <c r="ED258" s="860"/>
      <c r="EE258" s="860"/>
      <c r="EF258" s="860"/>
      <c r="EG258" s="860"/>
      <c r="EH258" s="860"/>
      <c r="EI258" s="1233"/>
      <c r="EJ258" s="860"/>
      <c r="EK258" s="860"/>
      <c r="EL258" s="860"/>
      <c r="EM258" s="1232"/>
      <c r="EN258" s="1233"/>
      <c r="EO258" s="860"/>
      <c r="EP258" s="860"/>
      <c r="EQ258" s="860"/>
      <c r="ER258" s="1232"/>
      <c r="ES258" s="860"/>
      <c r="ET258" s="860"/>
      <c r="EU258" s="860"/>
      <c r="EV258" s="860"/>
      <c r="EW258" s="1232"/>
      <c r="EX258" s="1233"/>
      <c r="EY258" s="860"/>
      <c r="EZ258" s="860"/>
      <c r="FA258" s="860"/>
      <c r="FB258" s="1754"/>
      <c r="FC258" s="1233"/>
      <c r="FD258" s="860"/>
      <c r="FE258" s="860"/>
      <c r="FF258" s="860"/>
      <c r="FG258" s="860"/>
      <c r="FH258" s="860"/>
      <c r="FI258" s="860"/>
      <c r="FJ258" s="860"/>
      <c r="FK258" s="860"/>
      <c r="FL258" s="860"/>
      <c r="FM258" s="860"/>
      <c r="FN258" s="860"/>
      <c r="FO258" s="860"/>
      <c r="FP258" s="860"/>
      <c r="FQ258" s="860"/>
      <c r="FR258" s="860"/>
      <c r="FS258" s="860"/>
      <c r="FT258" s="860"/>
      <c r="FU258" s="860"/>
      <c r="FV258" s="860"/>
      <c r="FW258" s="860"/>
      <c r="FX258" s="860"/>
      <c r="FY258" s="860"/>
      <c r="FZ258" s="860"/>
      <c r="GA258" s="860"/>
      <c r="GB258" s="860"/>
      <c r="GC258" s="860"/>
      <c r="GD258" s="860"/>
      <c r="GE258" s="860"/>
      <c r="GF258" s="860"/>
      <c r="GG258" s="860"/>
      <c r="GH258" s="860"/>
      <c r="GI258" s="860"/>
      <c r="GJ258" s="860"/>
      <c r="GK258" s="860"/>
      <c r="GL258" s="860"/>
      <c r="GM258" s="860"/>
      <c r="GN258" s="860"/>
      <c r="GO258" s="860"/>
      <c r="GP258" s="860"/>
      <c r="GQ258" s="860"/>
      <c r="GR258" s="1241"/>
      <c r="GS258" s="1218"/>
      <c r="GT258" s="1241"/>
      <c r="GU258" s="1218"/>
      <c r="GV258" s="1241"/>
      <c r="GW258" s="1218"/>
      <c r="GX258" s="1218"/>
      <c r="GY258" s="1241"/>
      <c r="GZ258" s="1218"/>
      <c r="HA258" s="1218"/>
      <c r="HB258" s="1241"/>
      <c r="HC258" s="1218"/>
      <c r="HD258" s="2000"/>
      <c r="HE258" s="1241"/>
      <c r="HF258" s="1218"/>
      <c r="HG258" s="2000"/>
      <c r="HH258" s="1241"/>
      <c r="HI258" s="1241"/>
      <c r="HJ258" s="1218"/>
      <c r="HK258" s="2000"/>
      <c r="HL258" s="1241"/>
      <c r="HM258" s="1218"/>
      <c r="HN258" s="2000"/>
      <c r="HO258" s="1241"/>
      <c r="HP258" s="1218"/>
      <c r="HQ258" s="2000"/>
      <c r="HR258" s="1241"/>
    </row>
    <row r="259" spans="1:226">
      <c r="A259" s="1132" t="str">
        <f>A243</f>
        <v>TV</v>
      </c>
      <c r="B259" s="1233">
        <f t="shared" ref="B259:E260" si="260">B229+B236+B243</f>
        <v>1820</v>
      </c>
      <c r="C259" s="860">
        <f t="shared" si="260"/>
        <v>1901</v>
      </c>
      <c r="D259" s="860">
        <f t="shared" si="260"/>
        <v>1925</v>
      </c>
      <c r="E259" s="860">
        <f t="shared" si="260"/>
        <v>1968</v>
      </c>
      <c r="F259" s="1232"/>
      <c r="G259" s="1233">
        <f t="shared" ref="G259:J260" si="261">G229+G236+G243</f>
        <v>2009</v>
      </c>
      <c r="H259" s="860">
        <f t="shared" si="261"/>
        <v>2088</v>
      </c>
      <c r="I259" s="860">
        <f t="shared" si="261"/>
        <v>2122</v>
      </c>
      <c r="J259" s="860">
        <f t="shared" si="261"/>
        <v>2182</v>
      </c>
      <c r="K259" s="1232"/>
      <c r="L259" s="1233">
        <f t="shared" ref="L259:O260" si="262">L229+L236+L243</f>
        <v>2218</v>
      </c>
      <c r="M259" s="860">
        <f t="shared" si="262"/>
        <v>2233</v>
      </c>
      <c r="N259" s="1274">
        <f t="shared" si="262"/>
        <v>2263.6310000000003</v>
      </c>
      <c r="O259" s="1274">
        <f t="shared" si="262"/>
        <v>2309</v>
      </c>
      <c r="P259" s="1327">
        <f>'SKY Mex'!I54</f>
        <v>3198.9539877300613</v>
      </c>
      <c r="Q259" s="1326">
        <f t="shared" ref="Q259:T260" si="263">Q229+Q236+Q243</f>
        <v>2363.8000000000002</v>
      </c>
      <c r="R259" s="1274">
        <f t="shared" si="263"/>
        <v>2405.7999999999997</v>
      </c>
      <c r="S259" s="1274">
        <f t="shared" si="263"/>
        <v>2464.06</v>
      </c>
      <c r="T259" s="1274">
        <f t="shared" si="263"/>
        <v>2496</v>
      </c>
      <c r="U259" s="1327"/>
      <c r="V259" s="1326">
        <f t="shared" ref="V259:W261" si="264">V229+V236+V243</f>
        <v>2518.73</v>
      </c>
      <c r="W259" s="1274">
        <f t="shared" si="264"/>
        <v>2570.5990000000002</v>
      </c>
      <c r="X259" s="1274">
        <f>X229+X236+X243+X250</f>
        <v>3312.0949999999998</v>
      </c>
      <c r="Y259" s="1274">
        <v>3356.732</v>
      </c>
      <c r="Z259" s="1261"/>
      <c r="AA259" s="1326">
        <v>3868</v>
      </c>
      <c r="AB259" s="1274">
        <v>3916.5120000000002</v>
      </c>
      <c r="AC259" s="1274">
        <v>3948.4</v>
      </c>
      <c r="AD259" s="1274">
        <v>4061.6550000000002</v>
      </c>
      <c r="AE259" s="1261"/>
      <c r="AF259" s="1326">
        <v>4153.3</v>
      </c>
      <c r="AG259" s="1274">
        <v>4219.8999999999996</v>
      </c>
      <c r="AH259" s="1305">
        <v>4240.3950000000004</v>
      </c>
      <c r="AI259" s="1305">
        <v>4205.8999999999996</v>
      </c>
      <c r="AJ259" s="1327">
        <f>AI259</f>
        <v>4205.8999999999996</v>
      </c>
      <c r="AK259" s="1342">
        <f>AJ259-67.624-71.341</f>
        <v>4066.9349999999999</v>
      </c>
      <c r="AL259" s="1305">
        <v>4092.4</v>
      </c>
      <c r="AM259" s="1305">
        <v>4123.3729999999996</v>
      </c>
      <c r="AN259" s="1305">
        <v>4185.1499999999996</v>
      </c>
      <c r="AO259" s="1327">
        <f>'SKY Mex'!N54</f>
        <v>4185</v>
      </c>
      <c r="AP259" s="1342">
        <v>4237.8</v>
      </c>
      <c r="AQ259" s="1305">
        <v>4315.8590000000004</v>
      </c>
      <c r="AR259" s="1305">
        <v>4281.125</v>
      </c>
      <c r="AS259" s="1305">
        <v>4384.2470000000003</v>
      </c>
      <c r="AT259" s="1327">
        <f>'SKY Mex'!O54</f>
        <v>4384</v>
      </c>
      <c r="AU259" s="1342">
        <v>4375.6000000000004</v>
      </c>
      <c r="AV259" s="1305">
        <v>4387.0069999999996</v>
      </c>
      <c r="AW259" s="1305">
        <v>4345</v>
      </c>
      <c r="AX259" s="1305">
        <v>4318.8630000000003</v>
      </c>
      <c r="AY259" s="1327"/>
      <c r="AZ259" s="1350">
        <v>4308.058</v>
      </c>
      <c r="BA259" s="1298">
        <v>4335.4780000000001</v>
      </c>
      <c r="BB259" s="1298">
        <v>4333.9080000000004</v>
      </c>
      <c r="BC259" s="1298">
        <v>4284.6819999999998</v>
      </c>
      <c r="BD259" s="1341">
        <f>'SKY Mex'!Q54</f>
        <v>4284.7</v>
      </c>
      <c r="BE259" s="1350">
        <v>4246.1009999999997</v>
      </c>
      <c r="BF259" s="1298">
        <v>4214.5959999999995</v>
      </c>
      <c r="BG259" s="1298">
        <v>4155.5290000000005</v>
      </c>
      <c r="BH259" s="1298">
        <v>4166.46</v>
      </c>
      <c r="BI259" s="1341">
        <f>'SKY Mex'!R54</f>
        <v>4166.46</v>
      </c>
      <c r="BJ259" s="1350">
        <v>4255.5010000000002</v>
      </c>
      <c r="BK259" s="1298">
        <v>4334.6480000000001</v>
      </c>
      <c r="BL259" s="1298">
        <v>4405.6949999999997</v>
      </c>
      <c r="BM259" s="1298">
        <v>4458.22</v>
      </c>
      <c r="BN259" s="1341">
        <f>'SKY Mex'!S54</f>
        <v>4458.22</v>
      </c>
      <c r="BO259" s="1350">
        <v>4489.09</v>
      </c>
      <c r="BP259" s="1298">
        <v>4442.8999999999996</v>
      </c>
      <c r="BQ259" s="1298">
        <v>4059.39</v>
      </c>
      <c r="BR259" s="1298">
        <v>4059.4940000000001</v>
      </c>
      <c r="BS259" s="1341">
        <f>'SKY Mex'!T54</f>
        <v>4059.4940000000001</v>
      </c>
      <c r="BT259" s="1350">
        <v>4062.248</v>
      </c>
      <c r="BU259" s="1298">
        <v>3996.6570000000002</v>
      </c>
      <c r="BV259" s="1298">
        <v>3941.1779999999999</v>
      </c>
      <c r="BW259" s="1298">
        <v>3846.518</v>
      </c>
      <c r="BX259" s="1341">
        <f>'SKY Mex'!U54</f>
        <v>3846.518</v>
      </c>
      <c r="BY259" s="1350">
        <v>3773.5360000000001</v>
      </c>
      <c r="BZ259" s="1298">
        <v>3720.5230000000001</v>
      </c>
      <c r="CA259" s="1298">
        <v>3677.8319999999999</v>
      </c>
      <c r="CB259" s="1298">
        <v>3646.569</v>
      </c>
      <c r="CC259" s="1762">
        <f>'SKY Mex'!V54</f>
        <v>3646.569</v>
      </c>
      <c r="CD259" s="1350">
        <v>3623.0659999999998</v>
      </c>
      <c r="CE259" s="2039">
        <f>CD259-45</f>
        <v>3578.0659999999998</v>
      </c>
      <c r="CF259" s="2039">
        <f>CE259-40</f>
        <v>3538.0659999999998</v>
      </c>
      <c r="CG259" s="2039">
        <f>CH259</f>
        <v>3506.569</v>
      </c>
      <c r="CH259" s="1762">
        <f>Cable!U5</f>
        <v>3506.569</v>
      </c>
      <c r="CI259" s="1291"/>
      <c r="CJ259" s="1162"/>
      <c r="CK259" s="1233"/>
      <c r="CL259" s="860"/>
      <c r="CM259" s="860"/>
      <c r="CN259" s="860"/>
      <c r="CO259" s="1232"/>
      <c r="CP259" s="1233"/>
      <c r="CQ259" s="860"/>
      <c r="CR259" s="860"/>
      <c r="CS259" s="860"/>
      <c r="CT259" s="1232"/>
      <c r="CU259" s="1233"/>
      <c r="CV259" s="860"/>
      <c r="CW259" s="860"/>
      <c r="CX259" s="860"/>
      <c r="CY259" s="1232"/>
      <c r="CZ259" s="1233"/>
      <c r="DA259" s="860"/>
      <c r="DB259" s="860"/>
      <c r="DC259" s="860"/>
      <c r="DD259" s="1232"/>
      <c r="DE259" s="1233"/>
      <c r="DF259" s="860"/>
      <c r="DG259" s="860"/>
      <c r="DH259" s="1162">
        <f>AP259/AK259-1</f>
        <v>4.2013211423344687E-2</v>
      </c>
      <c r="DI259" s="1232"/>
      <c r="DJ259" s="1233"/>
      <c r="DK259" s="860"/>
      <c r="DL259" s="860"/>
      <c r="DM259" s="860"/>
      <c r="DN259" s="1232"/>
      <c r="DO259" s="1233"/>
      <c r="DP259" s="860"/>
      <c r="DQ259" s="860"/>
      <c r="DR259" s="860"/>
      <c r="DS259" s="1232"/>
      <c r="DT259" s="1233"/>
      <c r="DU259" s="1162">
        <f>BB259/AW259-1</f>
        <v>-2.5528193325661253E-3</v>
      </c>
      <c r="DV259" s="860"/>
      <c r="DW259" s="860"/>
      <c r="DX259" s="1232"/>
      <c r="DY259" s="1233"/>
      <c r="DZ259" s="860"/>
      <c r="EA259" s="860"/>
      <c r="EB259" s="860"/>
      <c r="EC259" s="1232"/>
      <c r="ED259" s="860"/>
      <c r="EE259" s="860"/>
      <c r="EF259" s="860"/>
      <c r="EG259" s="860"/>
      <c r="EH259" s="860"/>
      <c r="EI259" s="1233"/>
      <c r="EJ259" s="860"/>
      <c r="EK259" s="860"/>
      <c r="EL259" s="860"/>
      <c r="EM259" s="1232"/>
      <c r="EN259" s="1233"/>
      <c r="EO259" s="860"/>
      <c r="EP259" s="860"/>
      <c r="EQ259" s="860"/>
      <c r="ER259" s="1232"/>
      <c r="ES259" s="860"/>
      <c r="ET259" s="860"/>
      <c r="EU259" s="860"/>
      <c r="EV259" s="860"/>
      <c r="EW259" s="1232"/>
      <c r="EX259" s="1233"/>
      <c r="EY259" s="860"/>
      <c r="EZ259" s="860"/>
      <c r="FA259" s="860"/>
      <c r="FB259" s="1754"/>
      <c r="FC259" s="1233"/>
      <c r="FD259" s="860"/>
      <c r="FE259" s="860"/>
      <c r="FF259" s="860"/>
      <c r="FG259" s="860"/>
      <c r="FH259" s="860"/>
      <c r="FI259" s="860"/>
      <c r="FJ259" s="860"/>
      <c r="FK259" s="860"/>
      <c r="FL259" s="860"/>
      <c r="FM259" s="860"/>
      <c r="FN259" s="860"/>
      <c r="FO259" s="860"/>
      <c r="FP259" s="860"/>
      <c r="FQ259" s="860"/>
      <c r="FR259" s="860"/>
      <c r="FS259" s="860"/>
      <c r="FT259" s="860"/>
      <c r="FU259" s="860"/>
      <c r="FV259" s="860"/>
      <c r="FW259" s="860"/>
      <c r="FX259" s="860"/>
      <c r="FY259" s="860"/>
      <c r="FZ259" s="860"/>
      <c r="GA259" s="860"/>
      <c r="GB259" s="860"/>
      <c r="GC259" s="860"/>
      <c r="GD259" s="860"/>
      <c r="GE259" s="860"/>
      <c r="GF259" s="860"/>
      <c r="GG259" s="860"/>
      <c r="GH259" s="860"/>
      <c r="GI259" s="860"/>
      <c r="GJ259" s="860"/>
      <c r="GK259" s="860"/>
      <c r="GL259" s="860"/>
      <c r="GM259" s="860"/>
      <c r="GN259" s="860"/>
      <c r="GO259" s="860"/>
      <c r="GP259" s="860"/>
      <c r="GQ259" s="860"/>
      <c r="GR259" s="1299">
        <v>4352.8999999999996</v>
      </c>
      <c r="GS259" s="1218"/>
      <c r="GT259" s="1299">
        <v>4030</v>
      </c>
      <c r="GU259" s="1218"/>
      <c r="GV259" s="1299">
        <v>4064.4940000000001</v>
      </c>
      <c r="GW259" s="1218"/>
      <c r="GX259" s="1218"/>
      <c r="GY259" s="1299">
        <v>4002.248</v>
      </c>
      <c r="GZ259" s="1218"/>
      <c r="HA259" s="1218"/>
      <c r="HB259" s="1299">
        <v>4006.6570000000002</v>
      </c>
      <c r="HC259" s="1218"/>
      <c r="HD259" s="2000"/>
      <c r="HE259" s="1299">
        <v>3910</v>
      </c>
      <c r="HF259" s="1218"/>
      <c r="HG259" s="2000"/>
      <c r="HH259" s="1279"/>
      <c r="HI259" s="1299">
        <v>3723.5360000000001</v>
      </c>
      <c r="HJ259" s="1218"/>
      <c r="HK259" s="2000"/>
      <c r="HL259" s="1299">
        <v>3670.5230000000001</v>
      </c>
      <c r="HM259" s="1218"/>
      <c r="HN259" s="2000"/>
      <c r="HO259" s="1299">
        <v>3635</v>
      </c>
      <c r="HP259" s="1218"/>
      <c r="HQ259" s="2000"/>
      <c r="HR259" s="1299">
        <v>3623.0659999999998</v>
      </c>
    </row>
    <row r="260" spans="1:226">
      <c r="A260" s="1132" t="str">
        <f>A244</f>
        <v>Internet</v>
      </c>
      <c r="B260" s="1233">
        <f t="shared" si="260"/>
        <v>696</v>
      </c>
      <c r="C260" s="860">
        <f t="shared" si="260"/>
        <v>738</v>
      </c>
      <c r="D260" s="860">
        <f t="shared" si="260"/>
        <v>770</v>
      </c>
      <c r="E260" s="860">
        <f t="shared" si="260"/>
        <v>806</v>
      </c>
      <c r="F260" s="1232"/>
      <c r="G260" s="1233">
        <f t="shared" si="261"/>
        <v>853</v>
      </c>
      <c r="H260" s="860">
        <f t="shared" si="261"/>
        <v>899</v>
      </c>
      <c r="I260" s="860">
        <f t="shared" si="261"/>
        <v>975</v>
      </c>
      <c r="J260" s="860">
        <f t="shared" si="261"/>
        <v>1066</v>
      </c>
      <c r="K260" s="1232"/>
      <c r="L260" s="1233">
        <f t="shared" si="262"/>
        <v>1140</v>
      </c>
      <c r="M260" s="860">
        <f t="shared" si="262"/>
        <v>1176</v>
      </c>
      <c r="N260" s="1274">
        <f t="shared" si="262"/>
        <v>1249.377</v>
      </c>
      <c r="O260" s="1274">
        <f t="shared" si="262"/>
        <v>1306</v>
      </c>
      <c r="P260" s="1327">
        <f>Cable!G158+Cable!G159+Cable!G160</f>
        <v>1306</v>
      </c>
      <c r="Q260" s="1326">
        <f t="shared" si="263"/>
        <v>1384.4</v>
      </c>
      <c r="R260" s="1274">
        <f t="shared" si="263"/>
        <v>1456.8</v>
      </c>
      <c r="S260" s="1274">
        <f t="shared" si="263"/>
        <v>1566.6</v>
      </c>
      <c r="T260" s="1274">
        <f t="shared" si="263"/>
        <v>1666</v>
      </c>
      <c r="U260" s="1327"/>
      <c r="V260" s="1326">
        <f t="shared" si="264"/>
        <v>1750.3980000000001</v>
      </c>
      <c r="W260" s="1274">
        <f t="shared" si="264"/>
        <v>1840.3480000000002</v>
      </c>
      <c r="X260" s="1274">
        <f>X230+X237+X244+X251</f>
        <v>2166</v>
      </c>
      <c r="Y260" s="1274">
        <v>2288.7089999999998</v>
      </c>
      <c r="Z260" s="1261"/>
      <c r="AA260" s="1326">
        <v>2603</v>
      </c>
      <c r="AB260" s="1274">
        <v>2748.4009999999998</v>
      </c>
      <c r="AC260" s="1274">
        <v>2900.8</v>
      </c>
      <c r="AD260" s="1274">
        <v>3066.6990000000001</v>
      </c>
      <c r="AE260" s="1261"/>
      <c r="AF260" s="1326">
        <v>3147.2860000000001</v>
      </c>
      <c r="AG260" s="1274">
        <v>3258.1</v>
      </c>
      <c r="AH260" s="1305">
        <v>3346.06</v>
      </c>
      <c r="AI260" s="1305">
        <v>3411.8</v>
      </c>
      <c r="AJ260" s="1327">
        <f>AI260</f>
        <v>3411.8</v>
      </c>
      <c r="AK260" s="1342">
        <f>AJ260+45.057-80.288</f>
        <v>3376.569</v>
      </c>
      <c r="AL260" s="1305">
        <v>3495.6</v>
      </c>
      <c r="AM260" s="1305">
        <v>3640.1320000000001</v>
      </c>
      <c r="AN260" s="1305">
        <v>3797.3359999999998</v>
      </c>
      <c r="AO260" s="1327">
        <f>Cable!L198</f>
        <v>3797</v>
      </c>
      <c r="AP260" s="1342">
        <v>3970.4</v>
      </c>
      <c r="AQ260" s="1305">
        <v>4106.5990000000002</v>
      </c>
      <c r="AR260" s="1305">
        <v>4168.2479999999996</v>
      </c>
      <c r="AS260" s="1305">
        <v>4479.0169999999998</v>
      </c>
      <c r="AT260" s="1327">
        <f>Cable!M198</f>
        <v>4479</v>
      </c>
      <c r="AU260" s="1342">
        <v>4567.5</v>
      </c>
      <c r="AV260" s="1305">
        <v>4640.2749999999996</v>
      </c>
      <c r="AW260" s="1305">
        <v>4659</v>
      </c>
      <c r="AX260" s="1305">
        <v>4696.0540000000001</v>
      </c>
      <c r="AY260" s="1327"/>
      <c r="AZ260" s="1350">
        <v>4817.1030000000001</v>
      </c>
      <c r="BA260" s="1298">
        <v>5069.277</v>
      </c>
      <c r="BB260" s="1298">
        <v>5303.2449999999999</v>
      </c>
      <c r="BC260" s="1298">
        <v>5430.8590000000004</v>
      </c>
      <c r="BD260" s="1341">
        <f>Cable!O198</f>
        <v>5430.8590000000004</v>
      </c>
      <c r="BE260" s="1350">
        <v>5534.8190000000004</v>
      </c>
      <c r="BF260" s="1298">
        <v>5566.1880000000001</v>
      </c>
      <c r="BG260" s="1298">
        <v>5590.7830000000004</v>
      </c>
      <c r="BH260" s="1298">
        <v>5649.1019999999999</v>
      </c>
      <c r="BI260" s="1341">
        <f>Cable!P198</f>
        <v>5649.1019999999999</v>
      </c>
      <c r="BJ260" s="1350">
        <v>5732.0259999999998</v>
      </c>
      <c r="BK260" s="1298">
        <v>5809.59</v>
      </c>
      <c r="BL260" s="1298">
        <v>5905.8239999999996</v>
      </c>
      <c r="BM260" s="1298">
        <v>5984.1509999999998</v>
      </c>
      <c r="BN260" s="1341">
        <f>Cable!Q198</f>
        <v>5984.1509999999998</v>
      </c>
      <c r="BO260" s="1350">
        <v>6068.8620000000001</v>
      </c>
      <c r="BP260" s="1298">
        <v>6031.0990000000002</v>
      </c>
      <c r="BQ260" s="1298">
        <v>5677.8360000000002</v>
      </c>
      <c r="BR260" s="1298">
        <v>5678.4309999999996</v>
      </c>
      <c r="BS260" s="1341">
        <f>Cable!R198</f>
        <v>5678.4309999999996</v>
      </c>
      <c r="BT260" s="1350">
        <v>5689.143</v>
      </c>
      <c r="BU260" s="1298">
        <v>5699.8239999999996</v>
      </c>
      <c r="BV260" s="1298">
        <v>5711.1689999999999</v>
      </c>
      <c r="BW260" s="1298">
        <v>5626.2060000000001</v>
      </c>
      <c r="BX260" s="1341">
        <f>Cable!S198</f>
        <v>5626.2060000000001</v>
      </c>
      <c r="BY260" s="1350">
        <v>5620.4440000000004</v>
      </c>
      <c r="BZ260" s="1298">
        <v>5626.8249999999998</v>
      </c>
      <c r="CA260" s="1298">
        <v>5648.4080000000004</v>
      </c>
      <c r="CB260" s="1298">
        <v>5673.1229999999996</v>
      </c>
      <c r="CC260" s="1762">
        <f>Cable!T198</f>
        <v>5668</v>
      </c>
      <c r="CD260" s="1350">
        <v>5698.1689999999999</v>
      </c>
      <c r="CE260" s="2039">
        <f>CD260+25</f>
        <v>5723.1689999999999</v>
      </c>
      <c r="CF260" s="2039">
        <f>CE260+25</f>
        <v>5748.1689999999999</v>
      </c>
      <c r="CG260" s="2039">
        <f t="shared" ref="CG260:CG262" si="265">CH260</f>
        <v>5773.1229999999996</v>
      </c>
      <c r="CH260" s="1762">
        <f>Cable!U6</f>
        <v>5773.1229999999996</v>
      </c>
      <c r="CI260" s="1291"/>
      <c r="CJ260" s="1162"/>
      <c r="CK260" s="1233"/>
      <c r="CL260" s="860"/>
      <c r="CM260" s="860"/>
      <c r="CN260" s="860"/>
      <c r="CO260" s="1232"/>
      <c r="CP260" s="1233"/>
      <c r="CQ260" s="860"/>
      <c r="CR260" s="860"/>
      <c r="CS260" s="860"/>
      <c r="CT260" s="1232"/>
      <c r="CU260" s="1233"/>
      <c r="CV260" s="860"/>
      <c r="CW260" s="860"/>
      <c r="CX260" s="860"/>
      <c r="CY260" s="1232"/>
      <c r="CZ260" s="1233"/>
      <c r="DA260" s="860"/>
      <c r="DB260" s="860"/>
      <c r="DC260" s="860"/>
      <c r="DD260" s="1232"/>
      <c r="DE260" s="1233"/>
      <c r="DF260" s="860"/>
      <c r="DG260" s="860"/>
      <c r="DH260" s="1162">
        <f>AP260/AK260-1</f>
        <v>0.17586816676928563</v>
      </c>
      <c r="DI260" s="1232"/>
      <c r="DJ260" s="1233"/>
      <c r="DK260" s="860"/>
      <c r="DL260" s="860"/>
      <c r="DM260" s="860"/>
      <c r="DN260" s="1232"/>
      <c r="DO260" s="1233"/>
      <c r="DP260" s="860"/>
      <c r="DQ260" s="860"/>
      <c r="DR260" s="860"/>
      <c r="DS260" s="1232"/>
      <c r="DT260" s="1233"/>
      <c r="DU260" s="1162">
        <f>BB260/AW260-1</f>
        <v>0.1382796737497316</v>
      </c>
      <c r="DV260" s="860"/>
      <c r="DW260" s="860"/>
      <c r="DX260" s="1232"/>
      <c r="DY260" s="1233"/>
      <c r="DZ260" s="860"/>
      <c r="EA260" s="860"/>
      <c r="EB260" s="860"/>
      <c r="EC260" s="1232"/>
      <c r="ED260" s="860"/>
      <c r="EE260" s="860"/>
      <c r="EF260" s="860"/>
      <c r="EG260" s="860"/>
      <c r="EH260" s="860"/>
      <c r="EI260" s="1233"/>
      <c r="EJ260" s="860"/>
      <c r="EK260" s="860"/>
      <c r="EL260" s="860"/>
      <c r="EM260" s="1232"/>
      <c r="EN260" s="1233"/>
      <c r="EO260" s="860"/>
      <c r="EP260" s="860"/>
      <c r="EQ260" s="860"/>
      <c r="ER260" s="1232"/>
      <c r="ES260" s="860"/>
      <c r="ET260" s="860"/>
      <c r="EU260" s="860"/>
      <c r="EV260" s="860"/>
      <c r="EW260" s="1232"/>
      <c r="EX260" s="1233"/>
      <c r="EY260" s="860"/>
      <c r="EZ260" s="860"/>
      <c r="FA260" s="860"/>
      <c r="FB260" s="1754"/>
      <c r="FC260" s="1233"/>
      <c r="FD260" s="860"/>
      <c r="FE260" s="860"/>
      <c r="FF260" s="860"/>
      <c r="FG260" s="860"/>
      <c r="FH260" s="860"/>
      <c r="FI260" s="860"/>
      <c r="FJ260" s="860"/>
      <c r="FK260" s="860"/>
      <c r="FL260" s="860"/>
      <c r="FM260" s="860"/>
      <c r="FN260" s="860"/>
      <c r="FO260" s="860"/>
      <c r="FP260" s="860"/>
      <c r="FQ260" s="860"/>
      <c r="FR260" s="860"/>
      <c r="FS260" s="860"/>
      <c r="FT260" s="860"/>
      <c r="FU260" s="860"/>
      <c r="FV260" s="860"/>
      <c r="FW260" s="860"/>
      <c r="FX260" s="860"/>
      <c r="FY260" s="860"/>
      <c r="FZ260" s="860"/>
      <c r="GA260" s="860"/>
      <c r="GB260" s="860"/>
      <c r="GC260" s="860"/>
      <c r="GD260" s="860"/>
      <c r="GE260" s="860"/>
      <c r="GF260" s="860"/>
      <c r="GG260" s="860"/>
      <c r="GH260" s="860"/>
      <c r="GI260" s="860"/>
      <c r="GJ260" s="860"/>
      <c r="GK260" s="860"/>
      <c r="GL260" s="860"/>
      <c r="GM260" s="860"/>
      <c r="GN260" s="860"/>
      <c r="GO260" s="860"/>
      <c r="GP260" s="860"/>
      <c r="GQ260" s="860"/>
      <c r="GR260" s="1299">
        <v>5911.0990000000002</v>
      </c>
      <c r="GS260" s="1218"/>
      <c r="GT260" s="1299">
        <v>5656.4607124759996</v>
      </c>
      <c r="GU260" s="1218"/>
      <c r="GV260" s="1299">
        <v>5693.4309999999996</v>
      </c>
      <c r="GW260" s="1218"/>
      <c r="GX260" s="1218"/>
      <c r="GY260" s="1299">
        <v>5699.143</v>
      </c>
      <c r="GZ260" s="1218"/>
      <c r="HA260" s="1218"/>
      <c r="HB260" s="1299">
        <v>5724.8239999999996</v>
      </c>
      <c r="HC260" s="1218"/>
      <c r="HD260" s="2000"/>
      <c r="HE260" s="1299">
        <v>5730.2091775808203</v>
      </c>
      <c r="HF260" s="1218"/>
      <c r="HG260" s="2000"/>
      <c r="HH260" s="1279"/>
      <c r="HI260" s="1299">
        <v>5615</v>
      </c>
      <c r="HJ260" s="1218"/>
      <c r="HK260" s="2000"/>
      <c r="HL260" s="1299">
        <v>5634</v>
      </c>
      <c r="HM260" s="1218"/>
      <c r="HN260" s="2000"/>
      <c r="HO260" s="1299">
        <v>5668</v>
      </c>
      <c r="HP260" s="1218"/>
      <c r="HQ260" s="2000"/>
      <c r="HR260" s="1299">
        <v>5698.1689999999999</v>
      </c>
    </row>
    <row r="261" spans="1:226">
      <c r="A261" s="1132" t="str">
        <f>A245</f>
        <v>Voice</v>
      </c>
      <c r="B261" s="1233">
        <f>B231+B238+B245</f>
        <v>402</v>
      </c>
      <c r="C261" s="860">
        <f>C231+C238+C245</f>
        <v>441</v>
      </c>
      <c r="D261" s="860">
        <f>D231+D238+D245</f>
        <v>470</v>
      </c>
      <c r="E261" s="860">
        <f>E231+E238+E245</f>
        <v>501</v>
      </c>
      <c r="F261" s="1232"/>
      <c r="G261" s="1233">
        <f>G231+G238+G245</f>
        <v>535</v>
      </c>
      <c r="H261" s="860">
        <f>H231+H238+H245</f>
        <v>577</v>
      </c>
      <c r="I261" s="860">
        <f>I231+I238+I245</f>
        <v>610</v>
      </c>
      <c r="J261" s="860">
        <f>J231+J238+J245</f>
        <v>649</v>
      </c>
      <c r="K261" s="1232"/>
      <c r="L261" s="1233">
        <f>L231+L238+L245</f>
        <v>683</v>
      </c>
      <c r="M261" s="860">
        <f>M231+M238+M245</f>
        <v>699</v>
      </c>
      <c r="N261" s="1274">
        <f>N231+N238+N245</f>
        <v>729.98199999999997</v>
      </c>
      <c r="O261" s="1274">
        <f>O231+O238+O245</f>
        <v>754</v>
      </c>
      <c r="P261" s="1327">
        <f>Cable!G113+Cable!G114+Cable!G115</f>
        <v>754</v>
      </c>
      <c r="Q261" s="1326">
        <f>Q231+Q238+Q245</f>
        <v>784.6</v>
      </c>
      <c r="R261" s="1274">
        <f>R231+R238+R245</f>
        <v>812.4</v>
      </c>
      <c r="S261" s="1274">
        <f>S231+S238+S245</f>
        <v>871.69999999999993</v>
      </c>
      <c r="T261" s="1274">
        <f>T231+T238+T245</f>
        <v>916</v>
      </c>
      <c r="U261" s="1327"/>
      <c r="V261" s="1326">
        <f t="shared" si="264"/>
        <v>942.87900000000002</v>
      </c>
      <c r="W261" s="1274">
        <f t="shared" si="264"/>
        <v>990.78499999999997</v>
      </c>
      <c r="X261" s="1274">
        <f>X231+X238+X245+X252</f>
        <v>1148</v>
      </c>
      <c r="Y261" s="1274">
        <v>1228.182</v>
      </c>
      <c r="Z261" s="1261"/>
      <c r="AA261" s="1326">
        <v>1448</v>
      </c>
      <c r="AB261" s="1274">
        <v>1595.761</v>
      </c>
      <c r="AC261" s="1274">
        <v>1750.2</v>
      </c>
      <c r="AD261" s="1274">
        <v>1891.0260000000001</v>
      </c>
      <c r="AE261" s="1261"/>
      <c r="AF261" s="1326">
        <v>1968.59</v>
      </c>
      <c r="AG261" s="1274">
        <v>2051.4</v>
      </c>
      <c r="AH261" s="1305">
        <v>2092.2930000000001</v>
      </c>
      <c r="AI261" s="1305">
        <v>2113.1999999999998</v>
      </c>
      <c r="AJ261" s="1327">
        <f>AI261</f>
        <v>2113.1999999999998</v>
      </c>
      <c r="AK261" s="1342">
        <f>AJ261+2.848-55.071</f>
        <v>2060.9769999999999</v>
      </c>
      <c r="AL261" s="1305">
        <v>2075.8000000000002</v>
      </c>
      <c r="AM261" s="1305">
        <v>2099.0650000000001</v>
      </c>
      <c r="AN261" s="1305">
        <v>2121.9520000000002</v>
      </c>
      <c r="AO261" s="1327">
        <f>Cable!L149</f>
        <v>2121.9520000000002</v>
      </c>
      <c r="AP261" s="1342">
        <v>2158</v>
      </c>
      <c r="AQ261" s="1305">
        <v>2273.0729999999999</v>
      </c>
      <c r="AR261" s="1305">
        <v>2519.9720000000002</v>
      </c>
      <c r="AS261" s="1305">
        <v>2978.5079999999998</v>
      </c>
      <c r="AT261" s="1327">
        <f>Cable!M149</f>
        <v>2978.5079999999998</v>
      </c>
      <c r="AU261" s="1342">
        <v>3183.2</v>
      </c>
      <c r="AV261" s="1305">
        <v>3385.3870000000002</v>
      </c>
      <c r="AW261" s="1305">
        <v>3534</v>
      </c>
      <c r="AX261" s="1305">
        <v>3637.9920000000002</v>
      </c>
      <c r="AY261" s="1327"/>
      <c r="AZ261" s="1350">
        <v>3783.5189999999998</v>
      </c>
      <c r="BA261" s="1298">
        <v>3998.047</v>
      </c>
      <c r="BB261" s="1298">
        <v>4187.2640000000001</v>
      </c>
      <c r="BC261" s="1298">
        <v>4296.53</v>
      </c>
      <c r="BD261" s="1341">
        <f>Cable!O149</f>
        <v>4296.53</v>
      </c>
      <c r="BE261" s="1350">
        <v>4382.4049999999997</v>
      </c>
      <c r="BF261" s="1298">
        <v>4417.4380000000001</v>
      </c>
      <c r="BG261" s="1298">
        <v>4485.7380000000003</v>
      </c>
      <c r="BH261" s="1298">
        <v>4617.2650000000003</v>
      </c>
      <c r="BI261" s="1341">
        <f>Cable!P149</f>
        <v>4617.2650000000003</v>
      </c>
      <c r="BJ261" s="1350">
        <v>4764.5919999999996</v>
      </c>
      <c r="BK261" s="1298">
        <v>4911.7269999999999</v>
      </c>
      <c r="BL261" s="1298">
        <v>5064.0749999999998</v>
      </c>
      <c r="BM261" s="1298">
        <v>5233.7240000000002</v>
      </c>
      <c r="BN261" s="1341">
        <f>Cable!Q149</f>
        <v>5233.7240000000002</v>
      </c>
      <c r="BO261" s="1350">
        <v>5408.56</v>
      </c>
      <c r="BP261" s="1298">
        <v>5466.0339999999997</v>
      </c>
      <c r="BQ261" s="1298">
        <v>5350.7569999999996</v>
      </c>
      <c r="BR261" s="1298">
        <v>5351.1450000000004</v>
      </c>
      <c r="BS261" s="1341">
        <f>Cable!R149</f>
        <v>5351.1450000000004</v>
      </c>
      <c r="BT261" s="1350">
        <v>5355.45</v>
      </c>
      <c r="BU261" s="1298">
        <v>5389.3050000000003</v>
      </c>
      <c r="BV261" s="1298">
        <v>5418.27</v>
      </c>
      <c r="BW261" s="1298">
        <v>5382.9489999999996</v>
      </c>
      <c r="BX261" s="1341">
        <f>Cable!S149</f>
        <v>5382.9489999999996</v>
      </c>
      <c r="BY261" s="1350">
        <v>5444.68</v>
      </c>
      <c r="BZ261" s="1298">
        <v>5472.1940000000004</v>
      </c>
      <c r="CA261" s="1298">
        <v>5512.8819999999996</v>
      </c>
      <c r="CB261" s="1298">
        <v>5552.3130000000001</v>
      </c>
      <c r="CC261" s="1762">
        <f>Cable!T149</f>
        <v>5533</v>
      </c>
      <c r="CD261" s="1350">
        <v>5593.777</v>
      </c>
      <c r="CE261" s="2039">
        <f>CD261+40</f>
        <v>5633.777</v>
      </c>
      <c r="CF261" s="2039">
        <f>CE261+40</f>
        <v>5673.777</v>
      </c>
      <c r="CG261" s="2039">
        <f t="shared" si="265"/>
        <v>5712.3130000000001</v>
      </c>
      <c r="CH261" s="1762">
        <f>Cable!U7</f>
        <v>5712.3130000000001</v>
      </c>
      <c r="CI261" s="1291"/>
      <c r="CJ261" s="1162"/>
      <c r="CK261" s="1233"/>
      <c r="CL261" s="860"/>
      <c r="CM261" s="860"/>
      <c r="CN261" s="860"/>
      <c r="CO261" s="1232"/>
      <c r="CP261" s="1233"/>
      <c r="CQ261" s="860"/>
      <c r="CR261" s="860"/>
      <c r="CS261" s="860"/>
      <c r="CT261" s="1232"/>
      <c r="CU261" s="1233"/>
      <c r="CV261" s="860"/>
      <c r="CW261" s="860"/>
      <c r="CX261" s="860"/>
      <c r="CY261" s="1232"/>
      <c r="CZ261" s="1233"/>
      <c r="DA261" s="860"/>
      <c r="DB261" s="860"/>
      <c r="DC261" s="860"/>
      <c r="DD261" s="1232"/>
      <c r="DE261" s="1233"/>
      <c r="DF261" s="860"/>
      <c r="DG261" s="860"/>
      <c r="DH261" s="1162">
        <f>AP261/AK261-1</f>
        <v>4.7076216765155721E-2</v>
      </c>
      <c r="DI261" s="1232"/>
      <c r="DJ261" s="1233"/>
      <c r="DK261" s="860"/>
      <c r="DL261" s="860"/>
      <c r="DM261" s="860"/>
      <c r="DN261" s="1232"/>
      <c r="DO261" s="1233"/>
      <c r="DP261" s="860"/>
      <c r="DQ261" s="860"/>
      <c r="DR261" s="860"/>
      <c r="DS261" s="1232"/>
      <c r="DT261" s="1233"/>
      <c r="DU261" s="1162">
        <f>BB261/AW261-1</f>
        <v>0.18485116015846059</v>
      </c>
      <c r="DV261" s="860"/>
      <c r="DW261" s="860"/>
      <c r="DX261" s="1232"/>
      <c r="DY261" s="1233"/>
      <c r="DZ261" s="860"/>
      <c r="EA261" s="860"/>
      <c r="EB261" s="860"/>
      <c r="EC261" s="1232"/>
      <c r="ED261" s="860"/>
      <c r="EE261" s="860"/>
      <c r="EF261" s="860"/>
      <c r="EG261" s="860"/>
      <c r="EH261" s="860"/>
      <c r="EI261" s="1233"/>
      <c r="EJ261" s="860"/>
      <c r="EK261" s="860"/>
      <c r="EL261" s="860"/>
      <c r="EM261" s="1232"/>
      <c r="EN261" s="1233"/>
      <c r="EO261" s="860"/>
      <c r="EP261" s="860"/>
      <c r="EQ261" s="860"/>
      <c r="ER261" s="1232"/>
      <c r="ES261" s="860"/>
      <c r="ET261" s="860"/>
      <c r="EU261" s="860"/>
      <c r="EV261" s="860"/>
      <c r="EW261" s="1232"/>
      <c r="EX261" s="1233"/>
      <c r="EY261" s="860"/>
      <c r="EZ261" s="860"/>
      <c r="FA261" s="860"/>
      <c r="FB261" s="1754"/>
      <c r="FC261" s="1233"/>
      <c r="FD261" s="860"/>
      <c r="FE261" s="860"/>
      <c r="FF261" s="860"/>
      <c r="FG261" s="860"/>
      <c r="FH261" s="860"/>
      <c r="FI261" s="860"/>
      <c r="FJ261" s="860"/>
      <c r="FK261" s="860"/>
      <c r="FL261" s="860"/>
      <c r="FM261" s="860"/>
      <c r="FN261" s="860"/>
      <c r="FO261" s="860"/>
      <c r="FP261" s="860"/>
      <c r="FQ261" s="860"/>
      <c r="FR261" s="860"/>
      <c r="FS261" s="860"/>
      <c r="FT261" s="860"/>
      <c r="FU261" s="860"/>
      <c r="FV261" s="860"/>
      <c r="FW261" s="860"/>
      <c r="FX261" s="860"/>
      <c r="FY261" s="860"/>
      <c r="FZ261" s="860"/>
      <c r="GA261" s="860"/>
      <c r="GB261" s="860"/>
      <c r="GC261" s="860"/>
      <c r="GD261" s="860"/>
      <c r="GE261" s="860"/>
      <c r="GF261" s="860"/>
      <c r="GG261" s="860"/>
      <c r="GH261" s="860"/>
      <c r="GI261" s="860"/>
      <c r="GJ261" s="860"/>
      <c r="GK261" s="860"/>
      <c r="GL261" s="860"/>
      <c r="GM261" s="860"/>
      <c r="GN261" s="860"/>
      <c r="GO261" s="860"/>
      <c r="GP261" s="860"/>
      <c r="GQ261" s="860"/>
      <c r="GR261" s="2016">
        <v>5376.0339999999997</v>
      </c>
      <c r="GS261" s="1218"/>
      <c r="GT261" s="1299">
        <v>5386.4369999999999</v>
      </c>
      <c r="GU261" s="1218"/>
      <c r="GV261" s="1299">
        <v>5351.1450000000004</v>
      </c>
      <c r="GW261" s="1218"/>
      <c r="GX261" s="1218"/>
      <c r="GY261" s="1299">
        <v>5360.45</v>
      </c>
      <c r="GZ261" s="1218"/>
      <c r="HA261" s="1218"/>
      <c r="HB261" s="1299">
        <v>5414.3050000000003</v>
      </c>
      <c r="HC261" s="1218"/>
      <c r="HD261" s="2000"/>
      <c r="HE261" s="1299">
        <v>5452.1975812499995</v>
      </c>
      <c r="HF261" s="1218"/>
      <c r="HG261" s="2000"/>
      <c r="HH261" s="1279"/>
      <c r="HI261" s="1299">
        <v>5484.68</v>
      </c>
      <c r="HJ261" s="1218"/>
      <c r="HK261" s="2000"/>
      <c r="HL261" s="1299">
        <v>5500</v>
      </c>
      <c r="HM261" s="1218"/>
      <c r="HN261" s="2000"/>
      <c r="HO261" s="1299">
        <v>5533</v>
      </c>
      <c r="HP261" s="1218"/>
      <c r="HQ261" s="2000"/>
      <c r="HR261" s="1299">
        <v>5593.777</v>
      </c>
    </row>
    <row r="262" spans="1:226">
      <c r="A262" s="1132" t="s">
        <v>48</v>
      </c>
      <c r="B262" s="1233"/>
      <c r="C262" s="860"/>
      <c r="D262" s="860"/>
      <c r="E262" s="860"/>
      <c r="F262" s="1232"/>
      <c r="G262" s="1233"/>
      <c r="H262" s="860"/>
      <c r="I262" s="860"/>
      <c r="J262" s="860"/>
      <c r="K262" s="1232"/>
      <c r="L262" s="1233"/>
      <c r="M262" s="860"/>
      <c r="N262" s="1274"/>
      <c r="O262" s="1274"/>
      <c r="P262" s="1327"/>
      <c r="Q262" s="1326"/>
      <c r="R262" s="1274"/>
      <c r="S262" s="1274"/>
      <c r="T262" s="1274"/>
      <c r="U262" s="1327"/>
      <c r="V262" s="1326"/>
      <c r="W262" s="1274"/>
      <c r="X262" s="1274"/>
      <c r="Y262" s="1274"/>
      <c r="Z262" s="1261"/>
      <c r="AA262" s="1326"/>
      <c r="AB262" s="1274"/>
      <c r="AC262" s="1274"/>
      <c r="AD262" s="1274"/>
      <c r="AE262" s="1261"/>
      <c r="AF262" s="1326"/>
      <c r="AG262" s="1274"/>
      <c r="AH262" s="1305"/>
      <c r="AI262" s="1305"/>
      <c r="AJ262" s="1327"/>
      <c r="AK262" s="1342"/>
      <c r="AL262" s="1305"/>
      <c r="AM262" s="1305"/>
      <c r="AN262" s="1305"/>
      <c r="AO262" s="1327"/>
      <c r="AP262" s="1342"/>
      <c r="AQ262" s="1305"/>
      <c r="AR262" s="1305"/>
      <c r="AS262" s="1305"/>
      <c r="AT262" s="1327"/>
      <c r="AU262" s="1342"/>
      <c r="AV262" s="1305"/>
      <c r="AW262" s="1305"/>
      <c r="AX262" s="1305"/>
      <c r="AY262" s="1327"/>
      <c r="AZ262" s="1350"/>
      <c r="BA262" s="1298">
        <v>0</v>
      </c>
      <c r="BB262" s="1298">
        <v>40.113999999999997</v>
      </c>
      <c r="BC262" s="1298">
        <v>75.515000000000001</v>
      </c>
      <c r="BD262" s="1341">
        <f>BC262</f>
        <v>75.515000000000001</v>
      </c>
      <c r="BE262" s="1350">
        <v>93.573999999999998</v>
      </c>
      <c r="BF262" s="1298">
        <v>120.777</v>
      </c>
      <c r="BG262" s="1298">
        <v>138.97900000000001</v>
      </c>
      <c r="BH262" s="1298">
        <v>156.05099999999999</v>
      </c>
      <c r="BI262" s="1341">
        <f>Mobile!L8</f>
        <v>156.05099999999999</v>
      </c>
      <c r="BJ262" s="1350">
        <v>172.97800000000001</v>
      </c>
      <c r="BK262" s="1298">
        <v>194.35400000000001</v>
      </c>
      <c r="BL262" s="1298">
        <v>213.52699999999999</v>
      </c>
      <c r="BM262" s="1298">
        <v>240.20699999999999</v>
      </c>
      <c r="BN262" s="1341">
        <f>Mobile!M8</f>
        <v>240</v>
      </c>
      <c r="BO262" s="1350">
        <v>264.31299999999999</v>
      </c>
      <c r="BP262" s="1298">
        <v>285.39800000000002</v>
      </c>
      <c r="BQ262" s="1298">
        <v>299.29199999999997</v>
      </c>
      <c r="BR262" s="1298">
        <v>307.80700000000002</v>
      </c>
      <c r="BS262" s="1341">
        <f>Mobile!N8</f>
        <v>308</v>
      </c>
      <c r="BT262" s="1350">
        <v>317.92399999999998</v>
      </c>
      <c r="BU262" s="1298">
        <v>327.40600000000001</v>
      </c>
      <c r="BV262" s="1298">
        <v>322.95699999999999</v>
      </c>
      <c r="BW262" s="1298">
        <v>333.97300000000001</v>
      </c>
      <c r="BX262" s="1341">
        <f>Mobile!O8</f>
        <v>333.97300000000001</v>
      </c>
      <c r="BY262" s="1350">
        <v>380.11200000000002</v>
      </c>
      <c r="BZ262" s="1298">
        <v>463.601</v>
      </c>
      <c r="CA262" s="1298">
        <v>557.60799999999995</v>
      </c>
      <c r="CB262" s="1298">
        <v>652.86</v>
      </c>
      <c r="CC262" s="1762">
        <f>Mobile!P8</f>
        <v>652.86</v>
      </c>
      <c r="CD262" s="1350">
        <v>747.60900000000004</v>
      </c>
      <c r="CE262" s="2039">
        <f>CD262+95</f>
        <v>842.60900000000004</v>
      </c>
      <c r="CF262" s="2039">
        <f>CE262+95</f>
        <v>937.60900000000004</v>
      </c>
      <c r="CG262" s="2039">
        <f t="shared" si="265"/>
        <v>1033</v>
      </c>
      <c r="CH262" s="1762">
        <f>Cable!U8</f>
        <v>1033</v>
      </c>
      <c r="CI262" s="1291"/>
      <c r="CJ262" s="1162"/>
      <c r="CK262" s="1233"/>
      <c r="CL262" s="860"/>
      <c r="CM262" s="860"/>
      <c r="CN262" s="860"/>
      <c r="CO262" s="1232"/>
      <c r="CP262" s="1233"/>
      <c r="CQ262" s="860"/>
      <c r="CR262" s="860"/>
      <c r="CS262" s="860"/>
      <c r="CT262" s="1232"/>
      <c r="CU262" s="1233"/>
      <c r="CV262" s="860"/>
      <c r="CW262" s="860"/>
      <c r="CX262" s="860"/>
      <c r="CY262" s="1232"/>
      <c r="CZ262" s="1233"/>
      <c r="DA262" s="860"/>
      <c r="DB262" s="860"/>
      <c r="DC262" s="860"/>
      <c r="DD262" s="1232"/>
      <c r="DE262" s="1233"/>
      <c r="DF262" s="860"/>
      <c r="DG262" s="860"/>
      <c r="DH262" s="1162"/>
      <c r="DI262" s="1232"/>
      <c r="DJ262" s="1233"/>
      <c r="DK262" s="860"/>
      <c r="DL262" s="860"/>
      <c r="DM262" s="860"/>
      <c r="DN262" s="1232"/>
      <c r="DO262" s="1233"/>
      <c r="DP262" s="860"/>
      <c r="DQ262" s="860"/>
      <c r="DR262" s="860"/>
      <c r="DS262" s="1232"/>
      <c r="DT262" s="1233"/>
      <c r="DU262" s="1162"/>
      <c r="DV262" s="860"/>
      <c r="DW262" s="860"/>
      <c r="DX262" s="1232"/>
      <c r="DY262" s="1233"/>
      <c r="DZ262" s="860"/>
      <c r="EA262" s="860"/>
      <c r="EB262" s="860"/>
      <c r="EC262" s="1232"/>
      <c r="ED262" s="860"/>
      <c r="EE262" s="860"/>
      <c r="EF262" s="860"/>
      <c r="EG262" s="860"/>
      <c r="EH262" s="860"/>
      <c r="EI262" s="1233"/>
      <c r="EJ262" s="860"/>
      <c r="EK262" s="860"/>
      <c r="EL262" s="860"/>
      <c r="EM262" s="1232"/>
      <c r="EN262" s="1233"/>
      <c r="EO262" s="860"/>
      <c r="EP262" s="860"/>
      <c r="EQ262" s="860"/>
      <c r="ER262" s="1232"/>
      <c r="ES262" s="860"/>
      <c r="ET262" s="860"/>
      <c r="EU262" s="860"/>
      <c r="EV262" s="860"/>
      <c r="EW262" s="1232"/>
      <c r="EX262" s="1233"/>
      <c r="EY262" s="860"/>
      <c r="EZ262" s="860"/>
      <c r="FA262" s="860"/>
      <c r="FB262" s="1754"/>
      <c r="FC262" s="1233"/>
      <c r="FD262" s="860"/>
      <c r="FE262" s="860"/>
      <c r="FF262" s="860"/>
      <c r="FG262" s="860"/>
      <c r="FH262" s="860"/>
      <c r="FI262" s="860"/>
      <c r="FJ262" s="860"/>
      <c r="FK262" s="860"/>
      <c r="FL262" s="860"/>
      <c r="FM262" s="860"/>
      <c r="FN262" s="860"/>
      <c r="FO262" s="860"/>
      <c r="FP262" s="860"/>
      <c r="FQ262" s="860"/>
      <c r="FR262" s="860"/>
      <c r="FS262" s="860"/>
      <c r="FT262" s="860"/>
      <c r="FU262" s="860"/>
      <c r="FV262" s="860"/>
      <c r="FW262" s="860"/>
      <c r="FX262" s="860"/>
      <c r="FY262" s="860"/>
      <c r="FZ262" s="860"/>
      <c r="GA262" s="860"/>
      <c r="GB262" s="860"/>
      <c r="GC262" s="860"/>
      <c r="GD262" s="860"/>
      <c r="GE262" s="860"/>
      <c r="GF262" s="860"/>
      <c r="GG262" s="860"/>
      <c r="GH262" s="860"/>
      <c r="GI262" s="860"/>
      <c r="GJ262" s="860"/>
      <c r="GK262" s="860"/>
      <c r="GL262" s="860"/>
      <c r="GM262" s="860"/>
      <c r="GN262" s="860"/>
      <c r="GO262" s="860"/>
      <c r="GP262" s="860"/>
      <c r="GQ262" s="860"/>
      <c r="GR262" s="1299">
        <v>305.39800000000002</v>
      </c>
      <c r="GS262" s="1218"/>
      <c r="GT262" s="1299">
        <v>314.85608554949863</v>
      </c>
      <c r="GU262" s="1218"/>
      <c r="GV262" s="1299">
        <v>317.80700000000002</v>
      </c>
      <c r="GW262" s="1218"/>
      <c r="GX262" s="1218"/>
      <c r="GY262" s="1299">
        <v>327.92399999999998</v>
      </c>
      <c r="GZ262" s="1218"/>
      <c r="HA262" s="1218"/>
      <c r="HB262" s="1299">
        <v>337.40600000000001</v>
      </c>
      <c r="HC262" s="1218"/>
      <c r="HD262" s="2000"/>
      <c r="HE262" s="1299">
        <v>328.679080525649</v>
      </c>
      <c r="HF262" s="1218"/>
      <c r="HG262" s="2000"/>
      <c r="HH262" s="1279"/>
      <c r="HI262" s="1299">
        <v>420.11200000000002</v>
      </c>
      <c r="HJ262" s="1218"/>
      <c r="HK262" s="2000"/>
      <c r="HL262" s="1299">
        <v>513.601</v>
      </c>
      <c r="HM262" s="1218"/>
      <c r="HN262" s="2000"/>
      <c r="HO262" s="1299">
        <v>640</v>
      </c>
      <c r="HP262" s="1218"/>
      <c r="HQ262" s="2000"/>
      <c r="HR262" s="1299">
        <v>747.60900000000004</v>
      </c>
    </row>
    <row r="263" spans="1:226">
      <c r="A263" s="1680" t="s">
        <v>85</v>
      </c>
      <c r="B263" s="1668">
        <f>SUM(B259:B262)</f>
        <v>2918</v>
      </c>
      <c r="C263" s="1271">
        <f>SUM(C259:C262)</f>
        <v>3080</v>
      </c>
      <c r="D263" s="1271">
        <f>SUM(D259:D262)</f>
        <v>3165</v>
      </c>
      <c r="E263" s="1271">
        <f>SUM(E259:E262)</f>
        <v>3275</v>
      </c>
      <c r="F263" s="1418"/>
      <c r="G263" s="1668">
        <f>SUM(G259:G262)</f>
        <v>3397</v>
      </c>
      <c r="H263" s="1271">
        <f>SUM(H259:H262)</f>
        <v>3564</v>
      </c>
      <c r="I263" s="1271">
        <f>SUM(I259:I262)</f>
        <v>3707</v>
      </c>
      <c r="J263" s="1271">
        <f>SUM(J259:J262)</f>
        <v>3897</v>
      </c>
      <c r="K263" s="1418"/>
      <c r="L263" s="1668">
        <f t="shared" ref="L263:T263" si="266">SUM(L259:L262)</f>
        <v>4041</v>
      </c>
      <c r="M263" s="1271">
        <f t="shared" si="266"/>
        <v>4108</v>
      </c>
      <c r="N263" s="1271">
        <f t="shared" si="266"/>
        <v>4242.99</v>
      </c>
      <c r="O263" s="1271">
        <f t="shared" si="266"/>
        <v>4369</v>
      </c>
      <c r="P263" s="1418">
        <f t="shared" si="266"/>
        <v>5258.9539877300613</v>
      </c>
      <c r="Q263" s="1668">
        <f t="shared" si="266"/>
        <v>4532.8</v>
      </c>
      <c r="R263" s="1271">
        <f t="shared" si="266"/>
        <v>4674.9999999999991</v>
      </c>
      <c r="S263" s="1271">
        <f t="shared" si="266"/>
        <v>4902.3599999999997</v>
      </c>
      <c r="T263" s="1271">
        <f t="shared" si="266"/>
        <v>5078</v>
      </c>
      <c r="U263" s="1418"/>
      <c r="V263" s="1668">
        <f>SUM(V259:V262)</f>
        <v>5212.0070000000005</v>
      </c>
      <c r="W263" s="1281">
        <f>SUM(W259:W262)</f>
        <v>5401.732</v>
      </c>
      <c r="X263" s="1281">
        <f>SUM(X259:X262)</f>
        <v>6626.0949999999993</v>
      </c>
      <c r="Y263" s="1281">
        <f>SUM(Y259:Y262)</f>
        <v>6873.6229999999996</v>
      </c>
      <c r="Z263" s="1338"/>
      <c r="AA263" s="1328">
        <f>SUM(AA259:AA262)</f>
        <v>7919</v>
      </c>
      <c r="AB263" s="1281">
        <f>SUM(AB259:AB262)</f>
        <v>8260.6740000000009</v>
      </c>
      <c r="AC263" s="1281">
        <f>SUM(AC259:AC262)</f>
        <v>8599.4000000000015</v>
      </c>
      <c r="AD263" s="1281">
        <f>SUM(AD259:AD262)</f>
        <v>9019.380000000001</v>
      </c>
      <c r="AE263" s="1338"/>
      <c r="AF263" s="1328">
        <f>SUM(AF259:AF262)</f>
        <v>9269.1759999999995</v>
      </c>
      <c r="AG263" s="1281">
        <f>SUM(AG259:AG262)</f>
        <v>9529.4</v>
      </c>
      <c r="AH263" s="1281">
        <f>SUM(AH259:AH262)</f>
        <v>9678.7479999999996</v>
      </c>
      <c r="AI263" s="1281">
        <f>SUM(AI259:AI262)</f>
        <v>9730.9</v>
      </c>
      <c r="AJ263" s="1329">
        <f>AI263</f>
        <v>9730.9</v>
      </c>
      <c r="AK263" s="1328">
        <f t="shared" ref="AK263:AX263" si="267">SUM(AK259:AK262)</f>
        <v>9504.4809999999998</v>
      </c>
      <c r="AL263" s="1281">
        <f t="shared" si="267"/>
        <v>9663.7999999999993</v>
      </c>
      <c r="AM263" s="1281">
        <f t="shared" si="267"/>
        <v>9862.57</v>
      </c>
      <c r="AN263" s="1281">
        <f t="shared" si="267"/>
        <v>10104.437999999998</v>
      </c>
      <c r="AO263" s="1329">
        <f t="shared" si="267"/>
        <v>10103.952000000001</v>
      </c>
      <c r="AP263" s="1328">
        <f t="shared" si="267"/>
        <v>10366.200000000001</v>
      </c>
      <c r="AQ263" s="1281">
        <f t="shared" si="267"/>
        <v>10695.531000000001</v>
      </c>
      <c r="AR263" s="1281">
        <f t="shared" si="267"/>
        <v>10969.344999999999</v>
      </c>
      <c r="AS263" s="1281">
        <f t="shared" si="267"/>
        <v>11841.771999999999</v>
      </c>
      <c r="AT263" s="1329">
        <f t="shared" si="267"/>
        <v>11841.508</v>
      </c>
      <c r="AU263" s="1328">
        <f t="shared" si="267"/>
        <v>12126.3</v>
      </c>
      <c r="AV263" s="1281">
        <f t="shared" si="267"/>
        <v>12412.669</v>
      </c>
      <c r="AW263" s="1281">
        <f t="shared" si="267"/>
        <v>12538</v>
      </c>
      <c r="AX263" s="1281">
        <f t="shared" si="267"/>
        <v>12652.909000000001</v>
      </c>
      <c r="AY263" s="1329"/>
      <c r="AZ263" s="1337">
        <f t="shared" ref="AZ263:BX263" si="268">SUM(AZ259:AZ262)</f>
        <v>12908.68</v>
      </c>
      <c r="BA263" s="1302">
        <f t="shared" si="268"/>
        <v>13402.802000000001</v>
      </c>
      <c r="BB263" s="1302">
        <f t="shared" si="268"/>
        <v>13864.531000000001</v>
      </c>
      <c r="BC263" s="1302">
        <f t="shared" si="268"/>
        <v>14087.585999999999</v>
      </c>
      <c r="BD263" s="1351">
        <f t="shared" si="268"/>
        <v>14087.603999999999</v>
      </c>
      <c r="BE263" s="1337">
        <f t="shared" si="268"/>
        <v>14256.899000000001</v>
      </c>
      <c r="BF263" s="1302">
        <f t="shared" si="268"/>
        <v>14318.999</v>
      </c>
      <c r="BG263" s="1302">
        <f t="shared" si="268"/>
        <v>14371.029000000002</v>
      </c>
      <c r="BH263" s="1302">
        <f t="shared" si="268"/>
        <v>14588.878000000001</v>
      </c>
      <c r="BI263" s="1351">
        <f t="shared" si="268"/>
        <v>14588.878000000001</v>
      </c>
      <c r="BJ263" s="1337">
        <f t="shared" si="268"/>
        <v>14925.096999999998</v>
      </c>
      <c r="BK263" s="1302">
        <f t="shared" si="268"/>
        <v>15250.319</v>
      </c>
      <c r="BL263" s="1302">
        <f t="shared" si="268"/>
        <v>15589.121000000001</v>
      </c>
      <c r="BM263" s="1302">
        <f t="shared" si="268"/>
        <v>15916.302</v>
      </c>
      <c r="BN263" s="1351">
        <f t="shared" si="268"/>
        <v>15916.094999999999</v>
      </c>
      <c r="BO263" s="1337">
        <f t="shared" si="268"/>
        <v>16230.825000000003</v>
      </c>
      <c r="BP263" s="1302">
        <f t="shared" si="268"/>
        <v>16225.430999999999</v>
      </c>
      <c r="BQ263" s="1302">
        <f t="shared" si="268"/>
        <v>15387.275</v>
      </c>
      <c r="BR263" s="1302">
        <f t="shared" si="268"/>
        <v>15396.877</v>
      </c>
      <c r="BS263" s="1351">
        <f t="shared" si="268"/>
        <v>15397.07</v>
      </c>
      <c r="BT263" s="1337">
        <f t="shared" si="268"/>
        <v>15424.764999999999</v>
      </c>
      <c r="BU263" s="1302">
        <f t="shared" si="268"/>
        <v>15413.192000000001</v>
      </c>
      <c r="BV263" s="1302">
        <f t="shared" si="268"/>
        <v>15393.574000000001</v>
      </c>
      <c r="BW263" s="1302">
        <f t="shared" si="268"/>
        <v>15189.645999999999</v>
      </c>
      <c r="BX263" s="1351">
        <f t="shared" si="268"/>
        <v>15189.645999999999</v>
      </c>
      <c r="BY263" s="1337">
        <f t="shared" ref="BY263:CG263" si="269">SUM(BY259:BY262)</f>
        <v>15218.771999999999</v>
      </c>
      <c r="BZ263" s="1302">
        <f t="shared" si="269"/>
        <v>15283.143000000002</v>
      </c>
      <c r="CA263" s="1302">
        <f t="shared" si="269"/>
        <v>15396.73</v>
      </c>
      <c r="CB263" s="1302">
        <f t="shared" si="269"/>
        <v>15524.865</v>
      </c>
      <c r="CC263" s="1763">
        <f t="shared" si="269"/>
        <v>15500.429</v>
      </c>
      <c r="CD263" s="1337">
        <f t="shared" si="269"/>
        <v>15662.621000000001</v>
      </c>
      <c r="CE263" s="1302">
        <f t="shared" si="269"/>
        <v>15777.621000000001</v>
      </c>
      <c r="CF263" s="1302">
        <f t="shared" si="269"/>
        <v>15897.621000000001</v>
      </c>
      <c r="CG263" s="1302">
        <f t="shared" si="269"/>
        <v>16025.004999999999</v>
      </c>
      <c r="CH263" s="1763">
        <f>SUM(CH259:CH262)</f>
        <v>16025.004999999999</v>
      </c>
      <c r="CI263" s="1291"/>
      <c r="CJ263" s="1162"/>
      <c r="CK263" s="1233"/>
      <c r="CL263" s="860"/>
      <c r="CM263" s="860"/>
      <c r="CN263" s="860"/>
      <c r="CO263" s="1232"/>
      <c r="CP263" s="1233"/>
      <c r="CQ263" s="860"/>
      <c r="CR263" s="860"/>
      <c r="CS263" s="860"/>
      <c r="CT263" s="1232"/>
      <c r="CU263" s="1233"/>
      <c r="CV263" s="860"/>
      <c r="CW263" s="860"/>
      <c r="CX263" s="860"/>
      <c r="CY263" s="1232"/>
      <c r="CZ263" s="1233"/>
      <c r="DA263" s="860"/>
      <c r="DB263" s="860"/>
      <c r="DC263" s="860"/>
      <c r="DD263" s="1232"/>
      <c r="DE263" s="1242">
        <f>AF263/AA263-1</f>
        <v>0.17049829523929771</v>
      </c>
      <c r="DF263" s="1162">
        <f>AG263/AB263-1</f>
        <v>0.15358625700517892</v>
      </c>
      <c r="DG263" s="1162">
        <f>AH263/AC263-1</f>
        <v>0.1255143382096422</v>
      </c>
      <c r="DH263" s="1162">
        <f>AI263/AD263-1</f>
        <v>7.8887905820577364E-2</v>
      </c>
      <c r="DI263" s="1232"/>
      <c r="DJ263" s="1233"/>
      <c r="DK263" s="860"/>
      <c r="DL263" s="860"/>
      <c r="DM263" s="860"/>
      <c r="DN263" s="1232"/>
      <c r="DO263" s="1233"/>
      <c r="DP263" s="860"/>
      <c r="DQ263" s="860"/>
      <c r="DR263" s="860"/>
      <c r="DS263" s="1232"/>
      <c r="DT263" s="1233"/>
      <c r="DU263" s="860"/>
      <c r="DV263" s="860"/>
      <c r="DW263" s="860"/>
      <c r="DX263" s="1232"/>
      <c r="DY263" s="1233"/>
      <c r="DZ263" s="860"/>
      <c r="EA263" s="860"/>
      <c r="EB263" s="860"/>
      <c r="EC263" s="1232"/>
      <c r="ED263" s="860"/>
      <c r="EE263" s="860"/>
      <c r="EF263" s="860"/>
      <c r="EG263" s="860"/>
      <c r="EH263" s="860"/>
      <c r="EI263" s="1233"/>
      <c r="EJ263" s="860"/>
      <c r="EK263" s="860"/>
      <c r="EL263" s="860"/>
      <c r="EM263" s="1232"/>
      <c r="EN263" s="1233"/>
      <c r="EO263" s="860"/>
      <c r="EP263" s="860"/>
      <c r="EQ263" s="860"/>
      <c r="ER263" s="1232"/>
      <c r="ES263" s="860"/>
      <c r="ET263" s="860"/>
      <c r="EU263" s="860"/>
      <c r="EV263" s="860"/>
      <c r="EW263" s="1232"/>
      <c r="EX263" s="1233"/>
      <c r="EY263" s="860"/>
      <c r="EZ263" s="860"/>
      <c r="FA263" s="860"/>
      <c r="FB263" s="1754"/>
      <c r="FC263" s="1233"/>
      <c r="FD263" s="860"/>
      <c r="FE263" s="860"/>
      <c r="FF263" s="860"/>
      <c r="FG263" s="860"/>
      <c r="FH263" s="860"/>
      <c r="FI263" s="860"/>
      <c r="FJ263" s="860"/>
      <c r="FK263" s="860"/>
      <c r="FL263" s="860"/>
      <c r="FM263" s="860"/>
      <c r="FN263" s="860"/>
      <c r="FO263" s="860"/>
      <c r="FP263" s="860"/>
      <c r="FQ263" s="860"/>
      <c r="FR263" s="860"/>
      <c r="FS263" s="860"/>
      <c r="FT263" s="860"/>
      <c r="FU263" s="860"/>
      <c r="FV263" s="860"/>
      <c r="FW263" s="860"/>
      <c r="FX263" s="860"/>
      <c r="FY263" s="860"/>
      <c r="FZ263" s="860"/>
      <c r="GA263" s="860"/>
      <c r="GB263" s="860"/>
      <c r="GC263" s="860"/>
      <c r="GD263" s="860"/>
      <c r="GE263" s="860"/>
      <c r="GF263" s="860"/>
      <c r="GG263" s="860"/>
      <c r="GH263" s="860"/>
      <c r="GI263" s="860"/>
      <c r="GJ263" s="860"/>
      <c r="GK263" s="860"/>
      <c r="GL263" s="860"/>
      <c r="GM263" s="860"/>
      <c r="GN263" s="860"/>
      <c r="GO263" s="860"/>
      <c r="GP263" s="860"/>
      <c r="GQ263" s="860"/>
      <c r="GR263" s="1299">
        <v>15945.430999999999</v>
      </c>
      <c r="GS263" s="1218"/>
      <c r="GT263" s="1299">
        <v>15387.753798025498</v>
      </c>
      <c r="GU263" s="1218"/>
      <c r="GV263" s="1634">
        <v>15426.877</v>
      </c>
      <c r="GW263" s="1218"/>
      <c r="GX263" s="1218"/>
      <c r="GY263" s="1634">
        <v>15389.764999999999</v>
      </c>
      <c r="GZ263" s="1218"/>
      <c r="HA263" s="1218"/>
      <c r="HB263" s="1634">
        <v>15483.192000000001</v>
      </c>
      <c r="HC263" s="1218"/>
      <c r="HD263" s="2000"/>
      <c r="HE263" s="1634">
        <v>15421.08583935647</v>
      </c>
      <c r="HF263" s="1218"/>
      <c r="HG263" s="2000"/>
      <c r="HH263" s="1279"/>
      <c r="HI263" s="1634">
        <v>15243.328</v>
      </c>
      <c r="HJ263" s="1218"/>
      <c r="HK263" s="2000"/>
      <c r="HL263" s="1634">
        <v>15318.124000000002</v>
      </c>
      <c r="HM263" s="1218"/>
      <c r="HN263" s="2000"/>
      <c r="HO263" s="1634">
        <v>15476</v>
      </c>
      <c r="HP263" s="1218"/>
      <c r="HQ263" s="2000"/>
      <c r="HR263" s="1299">
        <v>15662.621000000001</v>
      </c>
    </row>
    <row r="264" spans="1:226">
      <c r="A264" s="1132" t="s">
        <v>821</v>
      </c>
      <c r="B264" s="1233"/>
      <c r="C264" s="860"/>
      <c r="D264" s="860"/>
      <c r="E264" s="860"/>
      <c r="F264" s="1232"/>
      <c r="G264" s="1233"/>
      <c r="H264" s="860"/>
      <c r="I264" s="860"/>
      <c r="J264" s="860"/>
      <c r="K264" s="1232"/>
      <c r="L264" s="1233"/>
      <c r="M264" s="860"/>
      <c r="N264" s="860"/>
      <c r="O264" s="860"/>
      <c r="P264" s="1232"/>
      <c r="Q264" s="1233"/>
      <c r="R264" s="860"/>
      <c r="S264" s="860"/>
      <c r="T264" s="860"/>
      <c r="U264" s="1232"/>
      <c r="V264" s="1233"/>
      <c r="W264" s="1274"/>
      <c r="X264" s="1274"/>
      <c r="Y264" s="1274"/>
      <c r="Z264" s="1261"/>
      <c r="AA264" s="1326"/>
      <c r="AB264" s="1274"/>
      <c r="AC264" s="1274"/>
      <c r="AD264" s="1274"/>
      <c r="AE264" s="1261"/>
      <c r="AF264" s="1326"/>
      <c r="AG264" s="1274"/>
      <c r="AH264" s="1274"/>
      <c r="AI264" s="1274"/>
      <c r="AJ264" s="1327"/>
      <c r="AK264" s="1660">
        <v>1.9597569550596148</v>
      </c>
      <c r="AL264" s="1661">
        <v>2.0127633495145631</v>
      </c>
      <c r="AM264" s="1661">
        <v>2.0549305597126613</v>
      </c>
      <c r="AN264" s="1661">
        <v>2.0945239353891334</v>
      </c>
      <c r="AO264" s="1333">
        <f>AP264</f>
        <v>2.13</v>
      </c>
      <c r="AP264" s="1349">
        <v>2.13</v>
      </c>
      <c r="AQ264" s="1289">
        <v>2.1511903682719549</v>
      </c>
      <c r="AR264" s="1289">
        <v>2.1879551820728294</v>
      </c>
      <c r="AS264" s="1289">
        <v>2.2147141664347343</v>
      </c>
      <c r="AT264" s="1333">
        <f>AS264</f>
        <v>2.2147141664347343</v>
      </c>
      <c r="AU264" s="1352">
        <v>2.2467930842163972</v>
      </c>
      <c r="AV264" s="1288">
        <v>2.2693397683397682</v>
      </c>
      <c r="AW264" s="1288">
        <v>2.3085840463704113</v>
      </c>
      <c r="AX264" s="1288">
        <v>2.3299239250275634</v>
      </c>
      <c r="AY264" s="1327"/>
      <c r="AZ264" s="1352">
        <v>2.3394173839902122</v>
      </c>
      <c r="BA264" s="1288">
        <v>2.3626936687772631</v>
      </c>
      <c r="BB264" s="1288">
        <v>2.4086935569920094</v>
      </c>
      <c r="BC264" s="1288">
        <v>2.4283545605474637</v>
      </c>
      <c r="BD264" s="1327"/>
      <c r="BE264" s="1352">
        <v>2.445095011281023</v>
      </c>
      <c r="BF264" s="1288">
        <v>2.465008704302412</v>
      </c>
      <c r="BG264" s="1288">
        <v>2.4882280587441183</v>
      </c>
      <c r="BH264" s="1288">
        <v>2.5053489642664775</v>
      </c>
      <c r="BI264" s="1327"/>
      <c r="BJ264" s="1352">
        <v>2.5184280928451783</v>
      </c>
      <c r="BK264" s="1288">
        <v>2.5275155131264913</v>
      </c>
      <c r="BL264" s="1288">
        <v>2.5429534394010291</v>
      </c>
      <c r="BM264" s="1288">
        <v>2.5506487128064501</v>
      </c>
      <c r="BN264" s="1327"/>
      <c r="BO264" s="1352">
        <v>2.5607189427312771</v>
      </c>
      <c r="BP264" s="1288">
        <v>2.5703251324527243</v>
      </c>
      <c r="BQ264" s="1288">
        <v>2.5765884805495642</v>
      </c>
      <c r="BR264" s="1288">
        <v>2.5714000047717005</v>
      </c>
      <c r="BS264" s="1327"/>
      <c r="BT264" s="1352">
        <v>2.5653631581274032</v>
      </c>
      <c r="BU264" s="1288">
        <v>2.5490595992722471</v>
      </c>
      <c r="BV264" s="1288">
        <v>2.5371720249931222</v>
      </c>
      <c r="BW264" s="1288">
        <v>2.5231180003402063</v>
      </c>
      <c r="BX264" s="1327"/>
      <c r="BY264" s="1352">
        <v>2.5102465853771077</v>
      </c>
      <c r="BZ264" s="1288">
        <v>2.5080367631719085</v>
      </c>
      <c r="CA264" s="1288">
        <v>2.5151431439645271</v>
      </c>
      <c r="CB264" s="1288">
        <v>2.508</v>
      </c>
      <c r="CC264" s="1769"/>
      <c r="CD264" s="1352">
        <v>2.5</v>
      </c>
      <c r="CE264" s="1288">
        <v>2.5080367631719085</v>
      </c>
      <c r="CF264" s="1288">
        <v>2.5151431439645271</v>
      </c>
      <c r="CG264" s="1288">
        <v>2.508</v>
      </c>
      <c r="CH264" s="1769"/>
      <c r="CI264" s="1274"/>
      <c r="CJ264" s="1162"/>
      <c r="CK264" s="1233"/>
      <c r="CL264" s="860"/>
      <c r="CM264" s="860"/>
      <c r="CN264" s="860"/>
      <c r="CO264" s="1232"/>
      <c r="CP264" s="1233"/>
      <c r="CQ264" s="860"/>
      <c r="CR264" s="860"/>
      <c r="CS264" s="860"/>
      <c r="CT264" s="1232"/>
      <c r="CU264" s="1233"/>
      <c r="CV264" s="860"/>
      <c r="CW264" s="860"/>
      <c r="CX264" s="860"/>
      <c r="CY264" s="1232"/>
      <c r="CZ264" s="1233"/>
      <c r="DA264" s="860"/>
      <c r="DB264" s="860"/>
      <c r="DC264" s="860"/>
      <c r="DD264" s="1232"/>
      <c r="DE264" s="1242"/>
      <c r="DF264" s="1162"/>
      <c r="DG264" s="1162"/>
      <c r="DH264" s="1162"/>
      <c r="DI264" s="1232"/>
      <c r="DJ264" s="1233"/>
      <c r="DK264" s="860"/>
      <c r="DL264" s="860"/>
      <c r="DM264" s="860"/>
      <c r="DN264" s="1232"/>
      <c r="DO264" s="1233"/>
      <c r="DP264" s="860"/>
      <c r="DQ264" s="860"/>
      <c r="DR264" s="860"/>
      <c r="DS264" s="1232"/>
      <c r="DT264" s="1233"/>
      <c r="DU264" s="860"/>
      <c r="DV264" s="860"/>
      <c r="DW264" s="860"/>
      <c r="DX264" s="1232"/>
      <c r="DY264" s="1233"/>
      <c r="DZ264" s="860"/>
      <c r="EA264" s="860"/>
      <c r="EB264" s="860"/>
      <c r="EC264" s="1232"/>
      <c r="ED264" s="860"/>
      <c r="EE264" s="860"/>
      <c r="EF264" s="860"/>
      <c r="EG264" s="860"/>
      <c r="EH264" s="860"/>
      <c r="EI264" s="1233"/>
      <c r="EJ264" s="860"/>
      <c r="EK264" s="860"/>
      <c r="EL264" s="860"/>
      <c r="EM264" s="1232"/>
      <c r="EN264" s="1233"/>
      <c r="EO264" s="860"/>
      <c r="EP264" s="860"/>
      <c r="EQ264" s="860"/>
      <c r="ER264" s="1232"/>
      <c r="ES264" s="860"/>
      <c r="ET264" s="860"/>
      <c r="EU264" s="860"/>
      <c r="EV264" s="860"/>
      <c r="EW264" s="1232"/>
      <c r="EX264" s="1233"/>
      <c r="EY264" s="860"/>
      <c r="EZ264" s="860"/>
      <c r="FA264" s="860"/>
      <c r="FB264" s="1754"/>
      <c r="FC264" s="1233"/>
      <c r="FD264" s="860"/>
      <c r="FE264" s="860"/>
      <c r="FF264" s="860"/>
      <c r="FG264" s="860"/>
      <c r="FH264" s="860"/>
      <c r="FI264" s="860"/>
      <c r="FJ264" s="860"/>
      <c r="FK264" s="860"/>
      <c r="FL264" s="860"/>
      <c r="FM264" s="860"/>
      <c r="FN264" s="860"/>
      <c r="FO264" s="860"/>
      <c r="FP264" s="860"/>
      <c r="FQ264" s="860"/>
      <c r="FR264" s="860"/>
      <c r="FS264" s="860"/>
      <c r="FT264" s="860"/>
      <c r="FU264" s="860"/>
      <c r="FV264" s="860"/>
      <c r="FW264" s="860"/>
      <c r="FX264" s="860"/>
      <c r="FY264" s="860"/>
      <c r="FZ264" s="860"/>
      <c r="GA264" s="860"/>
      <c r="GB264" s="860"/>
      <c r="GC264" s="860"/>
      <c r="GD264" s="860"/>
      <c r="GE264" s="860"/>
      <c r="GF264" s="860"/>
      <c r="GG264" s="860"/>
      <c r="GH264" s="860"/>
      <c r="GI264" s="860"/>
      <c r="GJ264" s="860"/>
      <c r="GK264" s="860"/>
      <c r="GL264" s="860"/>
      <c r="GM264" s="860"/>
      <c r="GN264" s="860"/>
      <c r="GO264" s="860"/>
      <c r="GP264" s="860"/>
      <c r="GQ264" s="860"/>
      <c r="GR264" s="1286">
        <v>2.5703251324527243</v>
      </c>
      <c r="GS264" s="1218"/>
      <c r="GT264" s="1286">
        <v>2.25</v>
      </c>
      <c r="GU264" s="1218"/>
      <c r="GV264" s="1286">
        <v>2.5607189427312771</v>
      </c>
      <c r="GW264" s="1218"/>
      <c r="GX264" s="1218"/>
      <c r="GY264" s="1286">
        <v>2.5703251324527243</v>
      </c>
      <c r="GZ264" s="1218"/>
      <c r="HA264" s="1218"/>
      <c r="HB264" s="1286">
        <v>2.5765884805495642</v>
      </c>
      <c r="HC264" s="1218"/>
      <c r="HD264" s="2000"/>
      <c r="HE264" s="1286">
        <v>2.5714000047717005</v>
      </c>
      <c r="HF264" s="1218"/>
      <c r="HG264" s="2000"/>
      <c r="HH264" s="1279"/>
      <c r="HI264" s="1286">
        <v>2.5</v>
      </c>
      <c r="HJ264" s="1218"/>
      <c r="HK264" s="2000"/>
      <c r="HL264" s="1286">
        <v>2.5</v>
      </c>
      <c r="HM264" s="1218"/>
      <c r="HN264" s="2000"/>
      <c r="HO264" s="1286">
        <v>2.5</v>
      </c>
      <c r="HP264" s="1218"/>
      <c r="HQ264" s="2000"/>
      <c r="HR264" s="1286">
        <v>2.5</v>
      </c>
    </row>
    <row r="265" spans="1:226">
      <c r="A265" s="1132" t="s">
        <v>822</v>
      </c>
      <c r="B265" s="1233"/>
      <c r="C265" s="860"/>
      <c r="D265" s="860"/>
      <c r="E265" s="860"/>
      <c r="F265" s="1232"/>
      <c r="G265" s="1233"/>
      <c r="H265" s="860"/>
      <c r="I265" s="860"/>
      <c r="J265" s="860"/>
      <c r="K265" s="1232"/>
      <c r="L265" s="1233"/>
      <c r="M265" s="860"/>
      <c r="N265" s="860"/>
      <c r="O265" s="860"/>
      <c r="P265" s="1232"/>
      <c r="Q265" s="1233"/>
      <c r="R265" s="860"/>
      <c r="S265" s="860"/>
      <c r="T265" s="860"/>
      <c r="U265" s="1232"/>
      <c r="V265" s="1233"/>
      <c r="W265" s="1274"/>
      <c r="X265" s="1274"/>
      <c r="Y265" s="1274"/>
      <c r="Z265" s="1261"/>
      <c r="AA265" s="1326"/>
      <c r="AB265" s="1274"/>
      <c r="AC265" s="1274"/>
      <c r="AD265" s="1274"/>
      <c r="AE265" s="1261"/>
      <c r="AF265" s="1326"/>
      <c r="AG265" s="1274"/>
      <c r="AH265" s="1274"/>
      <c r="AI265" s="1274"/>
      <c r="AJ265" s="1327"/>
      <c r="AK265" s="1326">
        <f t="shared" ref="AK265:AX265" si="270">AK263/AK264</f>
        <v>4849.8263906969414</v>
      </c>
      <c r="AL265" s="1274">
        <f t="shared" si="270"/>
        <v>4801.2599207605344</v>
      </c>
      <c r="AM265" s="1274">
        <f t="shared" si="270"/>
        <v>4799.4663145109253</v>
      </c>
      <c r="AN265" s="1274">
        <f t="shared" si="270"/>
        <v>4824.2170114531227</v>
      </c>
      <c r="AO265" s="1327">
        <f t="shared" si="270"/>
        <v>4743.6394366197192</v>
      </c>
      <c r="AP265" s="1326">
        <f t="shared" si="270"/>
        <v>4866.7605633802823</v>
      </c>
      <c r="AQ265" s="1274">
        <f t="shared" si="270"/>
        <v>4971.9128338193941</v>
      </c>
      <c r="AR265" s="1274">
        <f t="shared" si="270"/>
        <v>5013.5144859813072</v>
      </c>
      <c r="AS265" s="1274">
        <f t="shared" si="270"/>
        <v>5346.8624436818336</v>
      </c>
      <c r="AT265" s="1327">
        <f t="shared" si="270"/>
        <v>5346.7432409404601</v>
      </c>
      <c r="AU265" s="1326">
        <f t="shared" si="270"/>
        <v>5397.1592155889284</v>
      </c>
      <c r="AV265" s="1274">
        <f t="shared" si="270"/>
        <v>5469.7269986508081</v>
      </c>
      <c r="AW265" s="1274">
        <f t="shared" si="270"/>
        <v>5431.034672405548</v>
      </c>
      <c r="AX265" s="1274">
        <f t="shared" si="270"/>
        <v>5430.6103577396052</v>
      </c>
      <c r="AY265" s="1327"/>
      <c r="AZ265" s="1336">
        <f>AZ263/AZ264</f>
        <v>5517.9037688359795</v>
      </c>
      <c r="BA265" s="1291">
        <f>BA263/BA264</f>
        <v>5672.6786790503384</v>
      </c>
      <c r="BB265" s="1291">
        <f>BB263/BB264</f>
        <v>5756.0377324685951</v>
      </c>
      <c r="BC265" s="1291">
        <f>BC263/BC264</f>
        <v>5801.288752835173</v>
      </c>
      <c r="BD265" s="1341"/>
      <c r="BE265" s="1336">
        <f>BE263/BE264</f>
        <v>5830.8159536633266</v>
      </c>
      <c r="BF265" s="1291">
        <f>BF263/BF264</f>
        <v>5808.9040314574549</v>
      </c>
      <c r="BG265" s="1291">
        <f>BG263/BG264</f>
        <v>5775.6076455682614</v>
      </c>
      <c r="BH265" s="1291">
        <f>BH263/BH264</f>
        <v>5823.0921951710507</v>
      </c>
      <c r="BI265" s="1341"/>
      <c r="BJ265" s="1336">
        <f>BJ263/BJ264</f>
        <v>5926.3542375507986</v>
      </c>
      <c r="BK265" s="1291">
        <f>BK263/BK264</f>
        <v>6033.7192475371312</v>
      </c>
      <c r="BL265" s="1291">
        <f>BL263/BL264</f>
        <v>6130.3210504994086</v>
      </c>
      <c r="BM265" s="1291">
        <f>BM263/BM264</f>
        <v>6240.0995950898587</v>
      </c>
      <c r="BN265" s="1341"/>
      <c r="BO265" s="1336">
        <f>BO263/BO264</f>
        <v>6338.3859622985856</v>
      </c>
      <c r="BP265" s="1291">
        <f>BP263/BP264</f>
        <v>6312.598665102315</v>
      </c>
      <c r="BQ265" s="1291">
        <f>BQ263/BQ264</f>
        <v>5971.956762268077</v>
      </c>
      <c r="BR265" s="1291">
        <f>BR263/BR264</f>
        <v>5987.7409082322056</v>
      </c>
      <c r="BS265" s="1341"/>
      <c r="BT265" s="1336">
        <f>BT263/BT264</f>
        <v>6012.7023151214844</v>
      </c>
      <c r="BU265" s="1291">
        <f>BU263/BU264</f>
        <v>6046.6189195421111</v>
      </c>
      <c r="BV265" s="1291">
        <f>BV263/BV264</f>
        <v>6067.2172987725298</v>
      </c>
      <c r="BW265" s="1291">
        <f>BW263/BW264</f>
        <v>6020.1885119728422</v>
      </c>
      <c r="BX265" s="1341"/>
      <c r="BY265" s="1336">
        <f>BY263/BY264</f>
        <v>6062.6601739660264</v>
      </c>
      <c r="BZ265" s="1291">
        <f>BZ263/BZ264</f>
        <v>6093.6678538441538</v>
      </c>
      <c r="CA265" s="1291">
        <f>CA263/CA264</f>
        <v>6121.6118203637125</v>
      </c>
      <c r="CB265" s="1291">
        <f>CB263/CB264</f>
        <v>6190.1375598086124</v>
      </c>
      <c r="CC265" s="1762"/>
      <c r="CD265" s="1336">
        <f>CD263/CD264</f>
        <v>6265.0484000000006</v>
      </c>
      <c r="CE265" s="1291">
        <f>CE263/CE264</f>
        <v>6290.8252509209951</v>
      </c>
      <c r="CF265" s="1291">
        <f>CF263/CF264</f>
        <v>6320.7619169305681</v>
      </c>
      <c r="CG265" s="1291">
        <f>CG263/CG264</f>
        <v>6389.5554226475278</v>
      </c>
      <c r="CH265" s="1762"/>
      <c r="CI265" s="1291"/>
      <c r="CJ265" s="1162"/>
      <c r="CK265" s="1233"/>
      <c r="CL265" s="860"/>
      <c r="CM265" s="860"/>
      <c r="CN265" s="860"/>
      <c r="CO265" s="1232"/>
      <c r="CP265" s="1233"/>
      <c r="CQ265" s="860"/>
      <c r="CR265" s="860"/>
      <c r="CS265" s="860"/>
      <c r="CT265" s="1232"/>
      <c r="CU265" s="1233"/>
      <c r="CV265" s="860"/>
      <c r="CW265" s="860"/>
      <c r="CX265" s="860"/>
      <c r="CY265" s="1232"/>
      <c r="CZ265" s="1233"/>
      <c r="DA265" s="860"/>
      <c r="DB265" s="860"/>
      <c r="DC265" s="860"/>
      <c r="DD265" s="1232"/>
      <c r="DE265" s="1242"/>
      <c r="DF265" s="1162"/>
      <c r="DG265" s="1162"/>
      <c r="DH265" s="1162"/>
      <c r="DI265" s="1232"/>
      <c r="DJ265" s="1233"/>
      <c r="DK265" s="860"/>
      <c r="DL265" s="860"/>
      <c r="DM265" s="860"/>
      <c r="DN265" s="1232"/>
      <c r="DO265" s="1233"/>
      <c r="DP265" s="860"/>
      <c r="DQ265" s="860"/>
      <c r="DR265" s="860"/>
      <c r="DS265" s="1232"/>
      <c r="DT265" s="1233"/>
      <c r="DU265" s="860"/>
      <c r="DV265" s="860"/>
      <c r="DW265" s="860"/>
      <c r="DX265" s="1232"/>
      <c r="DY265" s="1233"/>
      <c r="DZ265" s="860"/>
      <c r="EA265" s="860"/>
      <c r="EB265" s="860"/>
      <c r="EC265" s="1232"/>
      <c r="ED265" s="860"/>
      <c r="EE265" s="860"/>
      <c r="EF265" s="860"/>
      <c r="EG265" s="860"/>
      <c r="EH265" s="860"/>
      <c r="EI265" s="1233"/>
      <c r="EJ265" s="860"/>
      <c r="EK265" s="860"/>
      <c r="EL265" s="860"/>
      <c r="EM265" s="1232"/>
      <c r="EN265" s="1233"/>
      <c r="EO265" s="860"/>
      <c r="EP265" s="860"/>
      <c r="EQ265" s="860"/>
      <c r="ER265" s="1232"/>
      <c r="ES265" s="860"/>
      <c r="ET265" s="860"/>
      <c r="EU265" s="860"/>
      <c r="EV265" s="860"/>
      <c r="EW265" s="1232"/>
      <c r="EX265" s="1233"/>
      <c r="EY265" s="860"/>
      <c r="EZ265" s="860"/>
      <c r="FA265" s="860"/>
      <c r="FB265" s="1754"/>
      <c r="FC265" s="1233"/>
      <c r="FD265" s="860"/>
      <c r="FE265" s="860"/>
      <c r="FF265" s="860"/>
      <c r="FG265" s="860"/>
      <c r="FH265" s="860"/>
      <c r="FI265" s="860"/>
      <c r="FJ265" s="860"/>
      <c r="FK265" s="860"/>
      <c r="FL265" s="860"/>
      <c r="FM265" s="860"/>
      <c r="FN265" s="860"/>
      <c r="FO265" s="860"/>
      <c r="FP265" s="860"/>
      <c r="FQ265" s="860"/>
      <c r="FR265" s="860"/>
      <c r="FS265" s="860"/>
      <c r="FT265" s="860"/>
      <c r="FU265" s="860"/>
      <c r="FV265" s="860"/>
      <c r="FW265" s="860"/>
      <c r="FX265" s="860"/>
      <c r="FY265" s="860"/>
      <c r="FZ265" s="860"/>
      <c r="GA265" s="860"/>
      <c r="GB265" s="860"/>
      <c r="GC265" s="860"/>
      <c r="GD265" s="860"/>
      <c r="GE265" s="860"/>
      <c r="GF265" s="860"/>
      <c r="GG265" s="860"/>
      <c r="GH265" s="860"/>
      <c r="GI265" s="860"/>
      <c r="GJ265" s="860"/>
      <c r="GK265" s="860"/>
      <c r="GL265" s="860"/>
      <c r="GM265" s="860"/>
      <c r="GN265" s="860"/>
      <c r="GO265" s="860"/>
      <c r="GP265" s="860"/>
      <c r="GQ265" s="860"/>
      <c r="GR265" s="1299">
        <v>6203.6630302813574</v>
      </c>
      <c r="GS265" s="1218"/>
      <c r="GT265" s="1299">
        <v>6839.0016880113326</v>
      </c>
      <c r="GU265" s="1218"/>
      <c r="GV265" s="1299">
        <v>6024.4319447044072</v>
      </c>
      <c r="GW265" s="1218"/>
      <c r="GX265" s="1218"/>
      <c r="GY265" s="1299">
        <v>5987.4779286441353</v>
      </c>
      <c r="GZ265" s="1218"/>
      <c r="HA265" s="1218"/>
      <c r="HB265" s="1299">
        <v>6009.1831182516071</v>
      </c>
      <c r="HC265" s="1218"/>
      <c r="HD265" s="2000"/>
      <c r="HE265" s="1299">
        <v>5997.1555614606204</v>
      </c>
      <c r="HF265" s="1218"/>
      <c r="HG265" s="2000"/>
      <c r="HH265" s="1279"/>
      <c r="HI265" s="1299">
        <v>6097.3311999999996</v>
      </c>
      <c r="HJ265" s="1218"/>
      <c r="HK265" s="2000"/>
      <c r="HL265" s="1299">
        <v>6127.249600000001</v>
      </c>
      <c r="HM265" s="1218"/>
      <c r="HN265" s="2000"/>
      <c r="HO265" s="1299">
        <v>6190.4</v>
      </c>
      <c r="HP265" s="1218"/>
      <c r="HQ265" s="2000"/>
      <c r="HR265" s="1299">
        <v>6265.0484000000006</v>
      </c>
    </row>
    <row r="266" spans="1:226">
      <c r="A266" s="1132" t="s">
        <v>587</v>
      </c>
      <c r="B266" s="1233"/>
      <c r="C266" s="860"/>
      <c r="D266" s="860"/>
      <c r="E266" s="860"/>
      <c r="F266" s="1232"/>
      <c r="G266" s="1233"/>
      <c r="H266" s="860"/>
      <c r="I266" s="860"/>
      <c r="J266" s="860"/>
      <c r="K266" s="1232"/>
      <c r="L266" s="1233"/>
      <c r="M266" s="860"/>
      <c r="N266" s="860"/>
      <c r="O266" s="860"/>
      <c r="P266" s="1232"/>
      <c r="Q266" s="1233"/>
      <c r="R266" s="860"/>
      <c r="S266" s="860"/>
      <c r="T266" s="860"/>
      <c r="U266" s="1232"/>
      <c r="V266" s="1233"/>
      <c r="W266" s="1274">
        <f>W263-V263</f>
        <v>189.72499999999945</v>
      </c>
      <c r="X266" s="1274">
        <f>X263-W263</f>
        <v>1224.3629999999994</v>
      </c>
      <c r="Y266" s="1274">
        <f>Y263-X263</f>
        <v>247.52800000000025</v>
      </c>
      <c r="Z266" s="1261"/>
      <c r="AA266" s="1326">
        <f>AA263-650</f>
        <v>7269</v>
      </c>
      <c r="AB266" s="1274"/>
      <c r="AC266" s="1274"/>
      <c r="AD266" s="1274"/>
      <c r="AE266" s="1261"/>
      <c r="AF266" s="1326"/>
      <c r="AG266" s="1274"/>
      <c r="AH266" s="1274"/>
      <c r="AI266" s="1274"/>
      <c r="AJ266" s="1261"/>
      <c r="AK266" s="1332"/>
      <c r="AL266" s="1285"/>
      <c r="AM266" s="1285"/>
      <c r="AN266" s="1285"/>
      <c r="AO266" s="1333"/>
      <c r="AP266" s="1332"/>
      <c r="AQ266" s="1285"/>
      <c r="AR266" s="1285"/>
      <c r="AS266" s="1285"/>
      <c r="AT266" s="1333"/>
      <c r="AU266" s="1332"/>
      <c r="AV266" s="1285"/>
      <c r="AW266" s="1285"/>
      <c r="AX266" s="1285"/>
      <c r="AY266" s="1261"/>
      <c r="AZ266" s="1242"/>
      <c r="BA266" s="1162"/>
      <c r="BB266" s="1162"/>
      <c r="BC266" s="1162"/>
      <c r="BD266" s="1261"/>
      <c r="BE266" s="1336">
        <f>BE265-BC265</f>
        <v>29.527200828153582</v>
      </c>
      <c r="BF266" s="1291">
        <f>BF265-BE265</f>
        <v>-21.911922205871633</v>
      </c>
      <c r="BG266" s="1291">
        <f>BG265-BF265</f>
        <v>-33.296385889193516</v>
      </c>
      <c r="BH266" s="1291">
        <f>BH265-BG265</f>
        <v>47.48454960278923</v>
      </c>
      <c r="BI266" s="1261"/>
      <c r="BJ266" s="1291">
        <f>BJ265-BH265</f>
        <v>103.26204237974798</v>
      </c>
      <c r="BK266" s="1291">
        <f>BK265-BJ265</f>
        <v>107.36500998633255</v>
      </c>
      <c r="BL266" s="1291">
        <f>BL265-BK265</f>
        <v>96.601802962277361</v>
      </c>
      <c r="BM266" s="1291">
        <f>BM265-BL265</f>
        <v>109.77854459045011</v>
      </c>
      <c r="BN266" s="1261"/>
      <c r="BO266" s="1291">
        <f>BO265-BM265</f>
        <v>98.286367208726915</v>
      </c>
      <c r="BP266" s="1291">
        <f>BP265-BO265</f>
        <v>-25.787297196270629</v>
      </c>
      <c r="BQ266" s="1291">
        <f>BQ265-BP265</f>
        <v>-340.64190283423795</v>
      </c>
      <c r="BR266" s="1291">
        <f>BR265-BQ265</f>
        <v>15.784145964128584</v>
      </c>
      <c r="BS266" s="1261"/>
      <c r="BT266" s="1336">
        <f>BT265-BR265</f>
        <v>24.961406889278805</v>
      </c>
      <c r="BU266" s="1291">
        <f>BU265-BT265</f>
        <v>33.916604420626754</v>
      </c>
      <c r="BV266" s="1291">
        <f>BV265-BU265</f>
        <v>20.598379230418686</v>
      </c>
      <c r="BW266" s="1291">
        <f>BW265-BV265</f>
        <v>-47.028786799687623</v>
      </c>
      <c r="BX266" s="1261"/>
      <c r="BY266" s="1336">
        <f>BY265-BW265</f>
        <v>42.471661993184171</v>
      </c>
      <c r="BZ266" s="1291">
        <f>BZ265-BY265</f>
        <v>31.007679878127419</v>
      </c>
      <c r="CA266" s="1291">
        <f>CA265-BZ265</f>
        <v>27.943966519558671</v>
      </c>
      <c r="CB266" s="1291">
        <f>CB265-CA265</f>
        <v>68.525739444899955</v>
      </c>
      <c r="CC266" s="1757"/>
      <c r="CD266" s="1336">
        <f>CD265-CB265</f>
        <v>74.910840191388161</v>
      </c>
      <c r="CE266" s="1291">
        <f>CE265-CD265</f>
        <v>25.776850920994548</v>
      </c>
      <c r="CF266" s="1291">
        <f>CF265-CE265</f>
        <v>29.936666009572946</v>
      </c>
      <c r="CG266" s="1291">
        <f>CG265-CF265</f>
        <v>68.793505716959771</v>
      </c>
      <c r="CH266" s="1757"/>
      <c r="CI266" s="1162"/>
      <c r="CJ266" s="1162"/>
      <c r="CK266" s="1233"/>
      <c r="CL266" s="860"/>
      <c r="CM266" s="860"/>
      <c r="CN266" s="860"/>
      <c r="CO266" s="1232"/>
      <c r="CP266" s="1233"/>
      <c r="CQ266" s="860"/>
      <c r="CR266" s="860"/>
      <c r="CS266" s="860"/>
      <c r="CT266" s="1232"/>
      <c r="CU266" s="1233"/>
      <c r="CV266" s="860"/>
      <c r="CW266" s="860"/>
      <c r="CX266" s="860"/>
      <c r="CY266" s="1232"/>
      <c r="CZ266" s="1233"/>
      <c r="DA266" s="860"/>
      <c r="DB266" s="860"/>
      <c r="DC266" s="860"/>
      <c r="DD266" s="1232"/>
      <c r="DE266" s="1233"/>
      <c r="DF266" s="860"/>
      <c r="DG266" s="860"/>
      <c r="DH266" s="860"/>
      <c r="DI266" s="1232"/>
      <c r="DJ266" s="1233"/>
      <c r="DK266" s="860"/>
      <c r="DL266" s="860"/>
      <c r="DM266" s="860"/>
      <c r="DN266" s="1232"/>
      <c r="DO266" s="1233"/>
      <c r="DP266" s="860"/>
      <c r="DQ266" s="860"/>
      <c r="DR266" s="860"/>
      <c r="DS266" s="1232"/>
      <c r="DT266" s="1233"/>
      <c r="DU266" s="860"/>
      <c r="DV266" s="860"/>
      <c r="DW266" s="860"/>
      <c r="DX266" s="1232"/>
      <c r="DY266" s="1233"/>
      <c r="DZ266" s="860"/>
      <c r="EA266" s="860"/>
      <c r="EB266" s="860"/>
      <c r="EC266" s="1232"/>
      <c r="ED266" s="860"/>
      <c r="EE266" s="860"/>
      <c r="EF266" s="860"/>
      <c r="EG266" s="860"/>
      <c r="EH266" s="860"/>
      <c r="EI266" s="1233"/>
      <c r="EJ266" s="860"/>
      <c r="EK266" s="860"/>
      <c r="EL266" s="860"/>
      <c r="EM266" s="1232"/>
      <c r="EN266" s="1233"/>
      <c r="EO266" s="860"/>
      <c r="EP266" s="860"/>
      <c r="EQ266" s="860"/>
      <c r="ER266" s="1232"/>
      <c r="ES266" s="860"/>
      <c r="ET266" s="860"/>
      <c r="EU266" s="860"/>
      <c r="EV266" s="860"/>
      <c r="EW266" s="1232"/>
      <c r="EX266" s="1233"/>
      <c r="EY266" s="860"/>
      <c r="EZ266" s="860"/>
      <c r="FA266" s="860"/>
      <c r="FB266" s="1754"/>
      <c r="FC266" s="1233"/>
      <c r="FD266" s="860"/>
      <c r="FE266" s="860"/>
      <c r="FF266" s="860"/>
      <c r="FG266" s="860"/>
      <c r="FH266" s="860"/>
      <c r="FI266" s="860"/>
      <c r="FJ266" s="860"/>
      <c r="FK266" s="860"/>
      <c r="FL266" s="860"/>
      <c r="FM266" s="860"/>
      <c r="FN266" s="860"/>
      <c r="FO266" s="860"/>
      <c r="FP266" s="860"/>
      <c r="FQ266" s="860"/>
      <c r="FR266" s="860"/>
      <c r="FS266" s="860"/>
      <c r="FT266" s="860"/>
      <c r="FU266" s="860"/>
      <c r="FV266" s="860"/>
      <c r="FW266" s="860"/>
      <c r="FX266" s="860"/>
      <c r="FY266" s="860"/>
      <c r="FZ266" s="860"/>
      <c r="GA266" s="860"/>
      <c r="GB266" s="860"/>
      <c r="GC266" s="860"/>
      <c r="GD266" s="860"/>
      <c r="GE266" s="860"/>
      <c r="GF266" s="860"/>
      <c r="GG266" s="860"/>
      <c r="GH266" s="860"/>
      <c r="GI266" s="860"/>
      <c r="GJ266" s="860"/>
      <c r="GK266" s="860"/>
      <c r="GL266" s="860"/>
      <c r="GM266" s="860"/>
      <c r="GN266" s="860"/>
      <c r="GO266" s="860"/>
      <c r="GP266" s="860"/>
      <c r="GQ266" s="860"/>
      <c r="GR266" s="1241"/>
      <c r="GS266" s="1218"/>
      <c r="GT266" s="1241"/>
      <c r="GU266" s="1218"/>
      <c r="GV266" s="1299">
        <v>36.691036472201631</v>
      </c>
      <c r="GW266" s="1218"/>
      <c r="GX266" s="1218"/>
      <c r="GY266" s="1299">
        <v>-25.224386477349071</v>
      </c>
      <c r="GZ266" s="1218"/>
      <c r="HA266" s="1218"/>
      <c r="HB266" s="1299">
        <v>12.590778475505431</v>
      </c>
      <c r="HC266" s="1218"/>
      <c r="HD266" s="2000"/>
      <c r="HE266" s="1299">
        <v>22.754093704044863</v>
      </c>
      <c r="HF266" s="1218"/>
      <c r="HG266" s="2000"/>
      <c r="HH266" s="1241"/>
      <c r="HI266" s="1299">
        <v>34.671026033973249</v>
      </c>
      <c r="HJ266" s="1218"/>
      <c r="HK266" s="2000"/>
      <c r="HL266" s="1299">
        <v>33.581746155847213</v>
      </c>
      <c r="HM266" s="1218"/>
      <c r="HN266" s="2000"/>
      <c r="HO266" s="1299">
        <v>68.788179636287168</v>
      </c>
      <c r="HP266" s="1218"/>
      <c r="HQ266" s="2000"/>
      <c r="HR266" s="1299">
        <v>74.910840191388161</v>
      </c>
    </row>
    <row r="267" spans="1:226">
      <c r="A267" s="1132"/>
      <c r="B267" s="1233"/>
      <c r="C267" s="860"/>
      <c r="D267" s="860"/>
      <c r="E267" s="860"/>
      <c r="F267" s="1232"/>
      <c r="G267" s="1233"/>
      <c r="H267" s="860"/>
      <c r="I267" s="860"/>
      <c r="J267" s="860"/>
      <c r="K267" s="1232"/>
      <c r="L267" s="1233"/>
      <c r="M267" s="860"/>
      <c r="N267" s="860"/>
      <c r="O267" s="860"/>
      <c r="P267" s="1232"/>
      <c r="Q267" s="1233"/>
      <c r="R267" s="860"/>
      <c r="S267" s="860"/>
      <c r="T267" s="860"/>
      <c r="U267" s="1232"/>
      <c r="V267" s="1233"/>
      <c r="W267" s="1274"/>
      <c r="X267" s="1274"/>
      <c r="Y267" s="1274"/>
      <c r="Z267" s="1261"/>
      <c r="AA267" s="1326"/>
      <c r="AB267" s="1274"/>
      <c r="AC267" s="1274"/>
      <c r="AD267" s="1274"/>
      <c r="AE267" s="1261"/>
      <c r="AF267" s="1326"/>
      <c r="AG267" s="1274"/>
      <c r="AH267" s="1274"/>
      <c r="AI267" s="1274"/>
      <c r="AJ267" s="1261"/>
      <c r="AK267" s="1332"/>
      <c r="AL267" s="1285"/>
      <c r="AM267" s="1285"/>
      <c r="AN267" s="1285"/>
      <c r="AO267" s="1333"/>
      <c r="AP267" s="1332"/>
      <c r="AQ267" s="1285"/>
      <c r="AR267" s="1285"/>
      <c r="AS267" s="1285"/>
      <c r="AT267" s="1333"/>
      <c r="AU267" s="1332"/>
      <c r="AV267" s="1285"/>
      <c r="AW267" s="1285"/>
      <c r="AX267" s="1285"/>
      <c r="AY267" s="1261"/>
      <c r="AZ267" s="1242"/>
      <c r="BA267" s="1162"/>
      <c r="BB267" s="1162"/>
      <c r="BC267" s="1162"/>
      <c r="BD267" s="1261"/>
      <c r="BE267" s="1336"/>
      <c r="BF267" s="1291"/>
      <c r="BG267" s="1291"/>
      <c r="BH267" s="1291"/>
      <c r="BI267" s="1261"/>
      <c r="BJ267" s="1291"/>
      <c r="BK267" s="1291"/>
      <c r="BL267" s="1291"/>
      <c r="BM267" s="1291"/>
      <c r="BN267" s="1261"/>
      <c r="BO267" s="1291"/>
      <c r="BP267" s="1291"/>
      <c r="BQ267" s="1291"/>
      <c r="BR267" s="1291"/>
      <c r="BS267" s="1261"/>
      <c r="BT267" s="1336"/>
      <c r="BU267" s="1291"/>
      <c r="BV267" s="1291"/>
      <c r="BW267" s="1291"/>
      <c r="BX267" s="1261"/>
      <c r="BY267" s="1336"/>
      <c r="BZ267" s="1291"/>
      <c r="CA267" s="1291"/>
      <c r="CB267" s="1291"/>
      <c r="CC267" s="1757"/>
      <c r="CD267" s="1336"/>
      <c r="CE267" s="1291"/>
      <c r="CF267" s="1291"/>
      <c r="CG267" s="1291"/>
      <c r="CH267" s="1757"/>
      <c r="CI267" s="1162"/>
      <c r="CJ267" s="1162"/>
      <c r="CK267" s="1233"/>
      <c r="CL267" s="860"/>
      <c r="CM267" s="860"/>
      <c r="CN267" s="860"/>
      <c r="CO267" s="1232"/>
      <c r="CP267" s="1233"/>
      <c r="CQ267" s="860"/>
      <c r="CR267" s="860"/>
      <c r="CS267" s="860"/>
      <c r="CT267" s="1232"/>
      <c r="CU267" s="1233"/>
      <c r="CV267" s="860"/>
      <c r="CW267" s="860"/>
      <c r="CX267" s="860"/>
      <c r="CY267" s="1232"/>
      <c r="CZ267" s="1233"/>
      <c r="DA267" s="860"/>
      <c r="DB267" s="860"/>
      <c r="DC267" s="860"/>
      <c r="DD267" s="1232"/>
      <c r="DE267" s="1233"/>
      <c r="DF267" s="860"/>
      <c r="DG267" s="860"/>
      <c r="DH267" s="860"/>
      <c r="DI267" s="1232"/>
      <c r="DJ267" s="1233"/>
      <c r="DK267" s="860"/>
      <c r="DL267" s="860"/>
      <c r="DM267" s="860"/>
      <c r="DN267" s="1232"/>
      <c r="DO267" s="1233"/>
      <c r="DP267" s="860"/>
      <c r="DQ267" s="860"/>
      <c r="DR267" s="860"/>
      <c r="DS267" s="1232"/>
      <c r="DT267" s="1233"/>
      <c r="DU267" s="860"/>
      <c r="DV267" s="860"/>
      <c r="DW267" s="860"/>
      <c r="DX267" s="1232"/>
      <c r="DY267" s="1233"/>
      <c r="DZ267" s="860"/>
      <c r="EA267" s="860"/>
      <c r="EB267" s="860"/>
      <c r="EC267" s="1232"/>
      <c r="ED267" s="860"/>
      <c r="EE267" s="860"/>
      <c r="EF267" s="860"/>
      <c r="EG267" s="860"/>
      <c r="EH267" s="860"/>
      <c r="EI267" s="1233"/>
      <c r="EJ267" s="860"/>
      <c r="EK267" s="860"/>
      <c r="EL267" s="860"/>
      <c r="EM267" s="1232"/>
      <c r="EN267" s="1233"/>
      <c r="EO267" s="860"/>
      <c r="EP267" s="860"/>
      <c r="EQ267" s="860"/>
      <c r="ER267" s="1232"/>
      <c r="ES267" s="860"/>
      <c r="ET267" s="860"/>
      <c r="EU267" s="860"/>
      <c r="EV267" s="860"/>
      <c r="EW267" s="1232"/>
      <c r="EX267" s="1233"/>
      <c r="EY267" s="860"/>
      <c r="EZ267" s="860"/>
      <c r="FA267" s="860"/>
      <c r="FB267" s="1754"/>
      <c r="FC267" s="1233"/>
      <c r="FD267" s="860"/>
      <c r="FE267" s="860"/>
      <c r="FF267" s="860"/>
      <c r="FG267" s="860"/>
      <c r="FH267" s="860"/>
      <c r="FI267" s="860"/>
      <c r="FJ267" s="860"/>
      <c r="FK267" s="860"/>
      <c r="FL267" s="860"/>
      <c r="FM267" s="860"/>
      <c r="FN267" s="860"/>
      <c r="FO267" s="860"/>
      <c r="FP267" s="860"/>
      <c r="FQ267" s="860"/>
      <c r="FR267" s="860"/>
      <c r="FS267" s="860"/>
      <c r="FT267" s="860"/>
      <c r="FU267" s="860"/>
      <c r="FV267" s="860"/>
      <c r="FW267" s="860"/>
      <c r="FX267" s="860"/>
      <c r="FY267" s="860"/>
      <c r="FZ267" s="860"/>
      <c r="GA267" s="860"/>
      <c r="GB267" s="860"/>
      <c r="GC267" s="860"/>
      <c r="GD267" s="860"/>
      <c r="GE267" s="860"/>
      <c r="GF267" s="860"/>
      <c r="GG267" s="860"/>
      <c r="GH267" s="860"/>
      <c r="GI267" s="860"/>
      <c r="GJ267" s="860"/>
      <c r="GK267" s="860"/>
      <c r="GL267" s="860"/>
      <c r="GM267" s="860"/>
      <c r="GN267" s="860"/>
      <c r="GO267" s="860"/>
      <c r="GP267" s="860"/>
      <c r="GQ267" s="860"/>
      <c r="GR267" s="1241"/>
      <c r="GS267" s="1218"/>
      <c r="GT267" s="1241"/>
      <c r="GU267" s="1218"/>
      <c r="GV267" s="1299"/>
      <c r="GW267" s="1218"/>
      <c r="GX267" s="1218"/>
      <c r="GY267" s="1299"/>
      <c r="GZ267" s="1218"/>
      <c r="HA267" s="1218"/>
      <c r="HB267" s="1299"/>
      <c r="HC267" s="1218"/>
      <c r="HD267" s="2000"/>
      <c r="HE267" s="1299"/>
      <c r="HF267" s="1218"/>
      <c r="HG267" s="2000"/>
      <c r="HH267" s="1241"/>
      <c r="HI267" s="1299"/>
      <c r="HJ267" s="1218"/>
      <c r="HK267" s="2000"/>
      <c r="HL267" s="1299"/>
      <c r="HM267" s="1218"/>
      <c r="HN267" s="2000"/>
      <c r="HO267" s="1299"/>
      <c r="HP267" s="1218"/>
      <c r="HQ267" s="2000"/>
      <c r="HR267" s="1299"/>
    </row>
    <row r="268" spans="1:226">
      <c r="A268" s="1509" t="s">
        <v>823</v>
      </c>
      <c r="B268" s="1233"/>
      <c r="C268" s="860"/>
      <c r="D268" s="860"/>
      <c r="E268" s="860"/>
      <c r="F268" s="1232"/>
      <c r="G268" s="1233"/>
      <c r="H268" s="860"/>
      <c r="I268" s="860"/>
      <c r="J268" s="860"/>
      <c r="K268" s="1232"/>
      <c r="L268" s="1233"/>
      <c r="M268" s="860"/>
      <c r="N268" s="860"/>
      <c r="O268" s="860"/>
      <c r="P268" s="1232"/>
      <c r="Q268" s="1233"/>
      <c r="R268" s="860"/>
      <c r="S268" s="860"/>
      <c r="T268" s="860"/>
      <c r="U268" s="1232"/>
      <c r="V268" s="1233"/>
      <c r="W268" s="860"/>
      <c r="X268" s="860"/>
      <c r="Y268" s="860"/>
      <c r="Z268" s="1261"/>
      <c r="AA268" s="1233"/>
      <c r="AB268" s="860"/>
      <c r="AC268" s="860"/>
      <c r="AD268" s="860"/>
      <c r="AE268" s="1261"/>
      <c r="AF268" s="1242"/>
      <c r="AG268" s="1162"/>
      <c r="AH268" s="1162"/>
      <c r="AI268" s="1162"/>
      <c r="AJ268" s="1261"/>
      <c r="AK268" s="1242"/>
      <c r="AL268" s="1162"/>
      <c r="AM268" s="1162"/>
      <c r="AN268" s="1162"/>
      <c r="AO268" s="1261"/>
      <c r="AP268" s="1242"/>
      <c r="AQ268" s="1162"/>
      <c r="AR268" s="1162"/>
      <c r="AS268" s="1162"/>
      <c r="AT268" s="1261"/>
      <c r="AU268" s="1242"/>
      <c r="AV268" s="1162"/>
      <c r="AW268" s="1162"/>
      <c r="AX268" s="1162"/>
      <c r="AY268" s="1261"/>
      <c r="AZ268" s="1242"/>
      <c r="BA268" s="1162"/>
      <c r="BB268" s="1162"/>
      <c r="BC268" s="1162"/>
      <c r="BD268" s="1261"/>
      <c r="BE268" s="1242"/>
      <c r="BF268" s="1162"/>
      <c r="BG268" s="1162"/>
      <c r="BH268" s="1162"/>
      <c r="BI268" s="1261"/>
      <c r="BJ268" s="1242"/>
      <c r="BK268" s="1162"/>
      <c r="BL268" s="1162"/>
      <c r="BM268" s="1162"/>
      <c r="BN268" s="1261"/>
      <c r="BO268" s="1242"/>
      <c r="BP268" s="1162"/>
      <c r="BQ268" s="1162"/>
      <c r="BR268" s="1162"/>
      <c r="BS268" s="1261"/>
      <c r="BT268" s="1242"/>
      <c r="BU268" s="1162"/>
      <c r="BV268" s="1162"/>
      <c r="BW268" s="1162"/>
      <c r="BX268" s="1261"/>
      <c r="BY268" s="1242"/>
      <c r="BZ268" s="1162"/>
      <c r="CA268" s="1162"/>
      <c r="CB268" s="1162"/>
      <c r="CC268" s="1757"/>
      <c r="CD268" s="1242"/>
      <c r="CE268" s="1162"/>
      <c r="CF268" s="1162"/>
      <c r="CG268" s="1162"/>
      <c r="CH268" s="1757"/>
      <c r="CI268" s="1162"/>
      <c r="CJ268" s="1162"/>
      <c r="CK268" s="1233"/>
      <c r="CL268" s="860"/>
      <c r="CM268" s="860"/>
      <c r="CN268" s="860"/>
      <c r="CO268" s="1232"/>
      <c r="CP268" s="1233"/>
      <c r="CQ268" s="860"/>
      <c r="CR268" s="860"/>
      <c r="CS268" s="860"/>
      <c r="CT268" s="1232"/>
      <c r="CU268" s="1233"/>
      <c r="CV268" s="860"/>
      <c r="CW268" s="860"/>
      <c r="CX268" s="860"/>
      <c r="CY268" s="1232"/>
      <c r="CZ268" s="1233"/>
      <c r="DA268" s="860"/>
      <c r="DB268" s="860"/>
      <c r="DC268" s="860"/>
      <c r="DD268" s="1232"/>
      <c r="DE268" s="1233"/>
      <c r="DF268" s="860"/>
      <c r="DG268" s="860"/>
      <c r="DH268" s="860"/>
      <c r="DI268" s="1232"/>
      <c r="DJ268" s="1233"/>
      <c r="DK268" s="860"/>
      <c r="DL268" s="860"/>
      <c r="DM268" s="860"/>
      <c r="DN268" s="1232"/>
      <c r="DO268" s="1233"/>
      <c r="DP268" s="860"/>
      <c r="DQ268" s="860"/>
      <c r="DR268" s="860"/>
      <c r="DS268" s="1232"/>
      <c r="DT268" s="1233"/>
      <c r="DU268" s="860"/>
      <c r="DV268" s="860"/>
      <c r="DW268" s="1275"/>
      <c r="DX268" s="1232"/>
      <c r="DY268" s="1233"/>
      <c r="DZ268" s="860"/>
      <c r="EA268" s="860"/>
      <c r="EB268" s="860"/>
      <c r="EC268" s="1232"/>
      <c r="ED268" s="860"/>
      <c r="EE268" s="860"/>
      <c r="EF268" s="860"/>
      <c r="EG268" s="860"/>
      <c r="EH268" s="860"/>
      <c r="EI268" s="1233"/>
      <c r="EJ268" s="860"/>
      <c r="EK268" s="860"/>
      <c r="EL268" s="860"/>
      <c r="EM268" s="1232"/>
      <c r="EN268" s="1233"/>
      <c r="EO268" s="860"/>
      <c r="EP268" s="860"/>
      <c r="EQ268" s="860"/>
      <c r="ER268" s="1232"/>
      <c r="ES268" s="860"/>
      <c r="ET268" s="860"/>
      <c r="EU268" s="860"/>
      <c r="EV268" s="860"/>
      <c r="EW268" s="1232"/>
      <c r="EX268" s="1233"/>
      <c r="EY268" s="860"/>
      <c r="EZ268" s="860"/>
      <c r="FA268" s="860"/>
      <c r="FB268" s="1754"/>
      <c r="FC268" s="1233"/>
      <c r="FD268" s="860"/>
      <c r="FE268" s="860"/>
      <c r="FF268" s="860"/>
      <c r="FG268" s="860"/>
      <c r="FH268" s="860"/>
      <c r="FI268" s="860"/>
      <c r="FJ268" s="860"/>
      <c r="FK268" s="860"/>
      <c r="FL268" s="860"/>
      <c r="FM268" s="860"/>
      <c r="FN268" s="860"/>
      <c r="FO268" s="860"/>
      <c r="FP268" s="860"/>
      <c r="FQ268" s="860"/>
      <c r="FR268" s="860"/>
      <c r="FS268" s="860"/>
      <c r="FT268" s="860"/>
      <c r="FU268" s="860"/>
      <c r="FV268" s="860"/>
      <c r="FW268" s="860"/>
      <c r="FX268" s="860"/>
      <c r="FY268" s="860"/>
      <c r="FZ268" s="860"/>
      <c r="GA268" s="860"/>
      <c r="GB268" s="860"/>
      <c r="GC268" s="860"/>
      <c r="GD268" s="860"/>
      <c r="GE268" s="860"/>
      <c r="GF268" s="860"/>
      <c r="GG268" s="860"/>
      <c r="GH268" s="860"/>
      <c r="GI268" s="860"/>
      <c r="GJ268" s="860"/>
      <c r="GK268" s="860"/>
      <c r="GL268" s="860"/>
      <c r="GM268" s="860"/>
      <c r="GN268" s="860"/>
      <c r="GO268" s="860"/>
      <c r="GP268" s="860"/>
      <c r="GQ268" s="860"/>
      <c r="GR268" s="1241"/>
      <c r="GS268" s="1218"/>
      <c r="GT268" s="1241"/>
      <c r="GU268" s="1218"/>
      <c r="GV268" s="1241"/>
      <c r="GW268" s="1218"/>
      <c r="GX268" s="1218"/>
      <c r="GY268" s="1241"/>
      <c r="GZ268" s="1218"/>
      <c r="HA268" s="1218"/>
      <c r="HB268" s="1241"/>
      <c r="HC268" s="1218"/>
      <c r="HD268" s="2000"/>
      <c r="HE268" s="1241"/>
      <c r="HF268" s="1218"/>
      <c r="HG268" s="2000"/>
      <c r="HH268" s="1241"/>
      <c r="HI268" s="1241"/>
      <c r="HJ268" s="1218"/>
      <c r="HK268" s="2000"/>
      <c r="HL268" s="1241"/>
      <c r="HM268" s="1218"/>
      <c r="HN268" s="2000"/>
      <c r="HO268" s="1241"/>
      <c r="HP268" s="1218"/>
      <c r="HQ268" s="2000"/>
      <c r="HR268" s="1241"/>
    </row>
    <row r="269" spans="1:226">
      <c r="A269" s="1132" t="str">
        <f>A259</f>
        <v>TV</v>
      </c>
      <c r="B269" s="1233"/>
      <c r="C269" s="860">
        <f t="shared" ref="C269:E271" si="271">C259-B259</f>
        <v>81</v>
      </c>
      <c r="D269" s="860">
        <f t="shared" si="271"/>
        <v>24</v>
      </c>
      <c r="E269" s="860">
        <f t="shared" si="271"/>
        <v>43</v>
      </c>
      <c r="F269" s="1232"/>
      <c r="G269" s="1233">
        <f>G259-E259</f>
        <v>41</v>
      </c>
      <c r="H269" s="860">
        <f t="shared" ref="H269:J271" si="272">H259-G259</f>
        <v>79</v>
      </c>
      <c r="I269" s="860">
        <f t="shared" si="272"/>
        <v>34</v>
      </c>
      <c r="J269" s="860">
        <f t="shared" si="272"/>
        <v>60</v>
      </c>
      <c r="K269" s="1232"/>
      <c r="L269" s="1233">
        <f>L259-J259</f>
        <v>36</v>
      </c>
      <c r="M269" s="860">
        <f t="shared" ref="M269:O271" si="273">M259-L259</f>
        <v>15</v>
      </c>
      <c r="N269" s="1274">
        <f t="shared" si="273"/>
        <v>30.631000000000313</v>
      </c>
      <c r="O269" s="1274">
        <f t="shared" si="273"/>
        <v>45.368999999999687</v>
      </c>
      <c r="P269" s="1232"/>
      <c r="Q269" s="1326">
        <f>Q259-O259</f>
        <v>54.800000000000182</v>
      </c>
      <c r="R269" s="1274">
        <f t="shared" ref="R269:T271" si="274">R259-Q259</f>
        <v>41.999999999999545</v>
      </c>
      <c r="S269" s="1274">
        <f t="shared" si="274"/>
        <v>58.260000000000218</v>
      </c>
      <c r="T269" s="1274">
        <f t="shared" si="274"/>
        <v>31.940000000000055</v>
      </c>
      <c r="U269" s="1327"/>
      <c r="V269" s="1326">
        <f>V259-T259</f>
        <v>22.730000000000018</v>
      </c>
      <c r="W269" s="1274">
        <f>W259-V259</f>
        <v>51.869000000000142</v>
      </c>
      <c r="X269" s="1274">
        <f>X259-W259-X250</f>
        <v>-4.4990000000003647</v>
      </c>
      <c r="Y269" s="1274">
        <f>Y259-X259</f>
        <v>44.637000000000171</v>
      </c>
      <c r="Z269" s="1261"/>
      <c r="AA269" s="1242"/>
      <c r="AB269" s="1274">
        <f t="shared" ref="AB269:AD271" si="275">AB259-AA259</f>
        <v>48.512000000000171</v>
      </c>
      <c r="AC269" s="1274">
        <f t="shared" si="275"/>
        <v>31.88799999999992</v>
      </c>
      <c r="AD269" s="1274">
        <f t="shared" si="275"/>
        <v>113.25500000000011</v>
      </c>
      <c r="AE269" s="1261"/>
      <c r="AF269" s="1326">
        <f>AF259-AD259</f>
        <v>91.644999999999982</v>
      </c>
      <c r="AG269" s="1274">
        <f t="shared" ref="AG269:AI271" si="276">AG259-AF259</f>
        <v>66.599999999999454</v>
      </c>
      <c r="AH269" s="1274">
        <f t="shared" si="276"/>
        <v>20.4950000000008</v>
      </c>
      <c r="AI269" s="1274">
        <f t="shared" si="276"/>
        <v>-34.4950000000008</v>
      </c>
      <c r="AJ269" s="1261"/>
      <c r="AK269" s="1326">
        <v>-67.623999999999995</v>
      </c>
      <c r="AL269" s="1274">
        <f t="shared" ref="AL269:AN271" si="277">AL259-AK259</f>
        <v>25.465000000000146</v>
      </c>
      <c r="AM269" s="1274">
        <f t="shared" si="277"/>
        <v>30.972999999999502</v>
      </c>
      <c r="AN269" s="1274">
        <f t="shared" si="277"/>
        <v>61.777000000000044</v>
      </c>
      <c r="AO269" s="1261"/>
      <c r="AP269" s="1326">
        <f t="shared" ref="AP269:AS271" si="278">AP259-AO259</f>
        <v>52.800000000000182</v>
      </c>
      <c r="AQ269" s="1274">
        <f t="shared" si="278"/>
        <v>78.059000000000196</v>
      </c>
      <c r="AR269" s="1274">
        <f t="shared" si="278"/>
        <v>-34.734000000000378</v>
      </c>
      <c r="AS269" s="1274">
        <f t="shared" si="278"/>
        <v>103.1220000000003</v>
      </c>
      <c r="AT269" s="1261"/>
      <c r="AU269" s="1326">
        <f t="shared" ref="AU269:AX271" si="279">AU259-AT259</f>
        <v>-8.3999999999996362</v>
      </c>
      <c r="AV269" s="1274">
        <f t="shared" si="279"/>
        <v>11.406999999999243</v>
      </c>
      <c r="AW269" s="1274">
        <f t="shared" si="279"/>
        <v>-42.006999999999607</v>
      </c>
      <c r="AX269" s="1274">
        <f t="shared" si="279"/>
        <v>-26.136999999999716</v>
      </c>
      <c r="AY269" s="1261"/>
      <c r="AZ269" s="1326">
        <f>AZ259-AX259</f>
        <v>-10.805000000000291</v>
      </c>
      <c r="BA269" s="1274">
        <f t="shared" ref="BA269:BC271" si="280">BA259-AZ259</f>
        <v>27.420000000000073</v>
      </c>
      <c r="BB269" s="1274">
        <f t="shared" si="280"/>
        <v>-1.569999999999709</v>
      </c>
      <c r="BC269" s="1274">
        <f t="shared" si="280"/>
        <v>-49.226000000000568</v>
      </c>
      <c r="BD269" s="1232"/>
      <c r="BE269" s="1326">
        <f t="shared" ref="BE269:BH272" si="281">BE259-BD259</f>
        <v>-38.59900000000016</v>
      </c>
      <c r="BF269" s="1274">
        <f t="shared" si="281"/>
        <v>-31.505000000000109</v>
      </c>
      <c r="BG269" s="1274">
        <f t="shared" si="281"/>
        <v>-59.066999999999098</v>
      </c>
      <c r="BH269" s="1274">
        <f t="shared" si="281"/>
        <v>10.930999999999585</v>
      </c>
      <c r="BI269" s="1232"/>
      <c r="BJ269" s="1326">
        <f t="shared" ref="BJ269:BM273" si="282">BJ259-BI259</f>
        <v>89.041000000000167</v>
      </c>
      <c r="BK269" s="1274">
        <f t="shared" si="282"/>
        <v>79.146999999999935</v>
      </c>
      <c r="BL269" s="1274">
        <f t="shared" si="282"/>
        <v>71.046999999999571</v>
      </c>
      <c r="BM269" s="1274">
        <f t="shared" si="282"/>
        <v>52.525000000000546</v>
      </c>
      <c r="BN269" s="1327">
        <f>SUM(BJ269:BM269)</f>
        <v>291.76000000000022</v>
      </c>
      <c r="BO269" s="1326">
        <f t="shared" ref="BO269:BR273" si="283">BO259-BN259</f>
        <v>30.869999999999891</v>
      </c>
      <c r="BP269" s="1274">
        <f t="shared" si="283"/>
        <v>-46.190000000000509</v>
      </c>
      <c r="BQ269" s="1274">
        <f t="shared" si="283"/>
        <v>-383.50999999999976</v>
      </c>
      <c r="BR269" s="1285">
        <f t="shared" si="283"/>
        <v>0.10400000000026921</v>
      </c>
      <c r="BS269" s="1327">
        <f>SUM(BO269:BR269)</f>
        <v>-398.72600000000011</v>
      </c>
      <c r="BT269" s="1326">
        <f t="shared" ref="BT269:BV273" si="284">BT259-BS259</f>
        <v>2.7539999999999054</v>
      </c>
      <c r="BU269" s="1274">
        <f t="shared" si="284"/>
        <v>-65.590999999999894</v>
      </c>
      <c r="BV269" s="1274">
        <f t="shared" si="284"/>
        <v>-55.479000000000269</v>
      </c>
      <c r="BW269" s="1274">
        <f>BW259-BV259</f>
        <v>-94.659999999999854</v>
      </c>
      <c r="BX269" s="1327">
        <f>SUM(BT269:BW269)</f>
        <v>-212.97600000000011</v>
      </c>
      <c r="BY269" s="1326">
        <f>BY259-BW259</f>
        <v>-72.981999999999971</v>
      </c>
      <c r="BZ269" s="1274">
        <f t="shared" ref="BZ269:CB273" si="285">BZ259-BY259</f>
        <v>-53.01299999999992</v>
      </c>
      <c r="CA269" s="1274">
        <f t="shared" si="285"/>
        <v>-42.691000000000258</v>
      </c>
      <c r="CB269" s="1274">
        <f t="shared" si="285"/>
        <v>-31.26299999999992</v>
      </c>
      <c r="CC269" s="1769">
        <f>SUM(BY269:CB269)</f>
        <v>-199.94900000000007</v>
      </c>
      <c r="CD269" s="1326">
        <f>CD259-CB259</f>
        <v>-23.503000000000156</v>
      </c>
      <c r="CE269" s="1274">
        <f t="shared" ref="CE269:CE272" si="286">CE259-CD259</f>
        <v>-45</v>
      </c>
      <c r="CF269" s="1274">
        <f t="shared" ref="CF269:CF272" si="287">CF259-CE259</f>
        <v>-40</v>
      </c>
      <c r="CG269" s="1274">
        <f t="shared" ref="CG269:CG272" si="288">CG259-CF259</f>
        <v>-31.496999999999844</v>
      </c>
      <c r="CH269" s="1769">
        <f>SUM(CD269:CG269)</f>
        <v>-140</v>
      </c>
      <c r="CI269" s="1274"/>
      <c r="CJ269" s="1162"/>
      <c r="CK269" s="1233"/>
      <c r="CL269" s="860"/>
      <c r="CM269" s="860"/>
      <c r="CN269" s="860"/>
      <c r="CO269" s="1232"/>
      <c r="CP269" s="1233"/>
      <c r="CQ269" s="860"/>
      <c r="CR269" s="860"/>
      <c r="CS269" s="860"/>
      <c r="CT269" s="1232"/>
      <c r="CU269" s="1233"/>
      <c r="CV269" s="860"/>
      <c r="CW269" s="860"/>
      <c r="CX269" s="860"/>
      <c r="CY269" s="1232"/>
      <c r="CZ269" s="1233"/>
      <c r="DA269" s="860"/>
      <c r="DB269" s="860"/>
      <c r="DC269" s="860"/>
      <c r="DD269" s="1232"/>
      <c r="DE269" s="1233"/>
      <c r="DF269" s="860"/>
      <c r="DG269" s="860"/>
      <c r="DH269" s="860"/>
      <c r="DI269" s="1232"/>
      <c r="DJ269" s="1233"/>
      <c r="DK269" s="860"/>
      <c r="DL269" s="860"/>
      <c r="DM269" s="860"/>
      <c r="DN269" s="1232"/>
      <c r="DO269" s="1233"/>
      <c r="DP269" s="860"/>
      <c r="DQ269" s="860"/>
      <c r="DR269" s="860"/>
      <c r="DS269" s="1232"/>
      <c r="DT269" s="1233"/>
      <c r="DU269" s="860"/>
      <c r="DV269" s="860"/>
      <c r="DW269" s="860"/>
      <c r="DX269" s="1232"/>
      <c r="DY269" s="1233"/>
      <c r="DZ269" s="860"/>
      <c r="EA269" s="860"/>
      <c r="EB269" s="860"/>
      <c r="EC269" s="1232"/>
      <c r="ED269" s="860"/>
      <c r="EE269" s="860"/>
      <c r="EF269" s="860"/>
      <c r="EG269" s="860"/>
      <c r="EH269" s="860"/>
      <c r="EI269" s="1233"/>
      <c r="EJ269" s="860"/>
      <c r="EK269" s="860"/>
      <c r="EL269" s="860"/>
      <c r="EM269" s="1232"/>
      <c r="EN269" s="1233"/>
      <c r="EO269" s="860"/>
      <c r="EP269" s="860"/>
      <c r="EQ269" s="860"/>
      <c r="ER269" s="1232"/>
      <c r="ES269" s="860"/>
      <c r="ET269" s="860"/>
      <c r="EU269" s="860"/>
      <c r="EV269" s="860"/>
      <c r="EW269" s="1232"/>
      <c r="EX269" s="1233"/>
      <c r="EY269" s="860"/>
      <c r="EZ269" s="860"/>
      <c r="FA269" s="860"/>
      <c r="FB269" s="1754"/>
      <c r="FC269" s="1233"/>
      <c r="FD269" s="860"/>
      <c r="FE269" s="860"/>
      <c r="FF269" s="860"/>
      <c r="FG269" s="860"/>
      <c r="FH269" s="860"/>
      <c r="FI269" s="860"/>
      <c r="FJ269" s="860"/>
      <c r="FK269" s="860"/>
      <c r="FL269" s="860"/>
      <c r="FM269" s="860"/>
      <c r="FN269" s="860"/>
      <c r="FO269" s="860"/>
      <c r="FP269" s="860"/>
      <c r="FQ269" s="860"/>
      <c r="FR269" s="860"/>
      <c r="FS269" s="860"/>
      <c r="FT269" s="860"/>
      <c r="FU269" s="860"/>
      <c r="FV269" s="860"/>
      <c r="FW269" s="860"/>
      <c r="FX269" s="860"/>
      <c r="FY269" s="860"/>
      <c r="FZ269" s="860"/>
      <c r="GA269" s="860"/>
      <c r="GB269" s="860"/>
      <c r="GC269" s="860"/>
      <c r="GD269" s="860"/>
      <c r="GE269" s="860"/>
      <c r="GF269" s="860"/>
      <c r="GG269" s="860"/>
      <c r="GH269" s="860"/>
      <c r="GI269" s="860"/>
      <c r="GJ269" s="860"/>
      <c r="GK269" s="860"/>
      <c r="GL269" s="860"/>
      <c r="GM269" s="860"/>
      <c r="GN269" s="860"/>
      <c r="GO269" s="860"/>
      <c r="GP269" s="860"/>
      <c r="GQ269" s="860"/>
      <c r="GR269" s="1279">
        <v>-90</v>
      </c>
      <c r="GS269" s="1218"/>
      <c r="GT269" s="1279">
        <v>-29.389999999999873</v>
      </c>
      <c r="GU269" s="1218"/>
      <c r="GV269" s="1279">
        <v>5</v>
      </c>
      <c r="GW269" s="1218"/>
      <c r="GX269" s="1218"/>
      <c r="GY269" s="1279">
        <v>-60</v>
      </c>
      <c r="GZ269" s="1218"/>
      <c r="HA269" s="1218"/>
      <c r="HB269" s="1279">
        <v>10</v>
      </c>
      <c r="HC269" s="1218"/>
      <c r="HD269" s="2000"/>
      <c r="HE269" s="1279">
        <v>-31.177999999999884</v>
      </c>
      <c r="HF269" s="1218"/>
      <c r="HG269" s="2000"/>
      <c r="HH269" s="1241"/>
      <c r="HI269" s="1279">
        <v>-50</v>
      </c>
      <c r="HJ269" s="1218"/>
      <c r="HK269" s="2000"/>
      <c r="HL269" s="1279">
        <v>-50</v>
      </c>
      <c r="HM269" s="1218"/>
      <c r="HN269" s="2000"/>
      <c r="HO269" s="1279">
        <v>-42.83199999999988</v>
      </c>
      <c r="HP269" s="1218"/>
      <c r="HQ269" s="2000"/>
      <c r="HR269" s="1279">
        <v>-23.503000000000156</v>
      </c>
    </row>
    <row r="270" spans="1:226">
      <c r="A270" s="1132" t="str">
        <f>A260</f>
        <v>Internet</v>
      </c>
      <c r="B270" s="1233"/>
      <c r="C270" s="860">
        <f t="shared" si="271"/>
        <v>42</v>
      </c>
      <c r="D270" s="860">
        <f t="shared" si="271"/>
        <v>32</v>
      </c>
      <c r="E270" s="860">
        <f t="shared" si="271"/>
        <v>36</v>
      </c>
      <c r="F270" s="1232"/>
      <c r="G270" s="1233">
        <f>G260-E260</f>
        <v>47</v>
      </c>
      <c r="H270" s="860">
        <f t="shared" si="272"/>
        <v>46</v>
      </c>
      <c r="I270" s="860">
        <f t="shared" si="272"/>
        <v>76</v>
      </c>
      <c r="J270" s="860">
        <f t="shared" si="272"/>
        <v>91</v>
      </c>
      <c r="K270" s="1232"/>
      <c r="L270" s="1233">
        <f>L260-J260</f>
        <v>74</v>
      </c>
      <c r="M270" s="860">
        <f t="shared" si="273"/>
        <v>36</v>
      </c>
      <c r="N270" s="1274">
        <f t="shared" si="273"/>
        <v>73.376999999999953</v>
      </c>
      <c r="O270" s="1274">
        <f t="shared" si="273"/>
        <v>56.623000000000047</v>
      </c>
      <c r="P270" s="1232"/>
      <c r="Q270" s="1326">
        <f>Q260-O260</f>
        <v>78.400000000000091</v>
      </c>
      <c r="R270" s="1274">
        <f t="shared" si="274"/>
        <v>72.399999999999864</v>
      </c>
      <c r="S270" s="1274">
        <f t="shared" si="274"/>
        <v>109.79999999999995</v>
      </c>
      <c r="T270" s="1274">
        <f t="shared" si="274"/>
        <v>99.400000000000091</v>
      </c>
      <c r="U270" s="1327"/>
      <c r="V270" s="1326">
        <f>V260-T260</f>
        <v>84.398000000000138</v>
      </c>
      <c r="W270" s="1274">
        <f>W260-V260</f>
        <v>89.950000000000045</v>
      </c>
      <c r="X270" s="1274">
        <f>X260-W260-X251</f>
        <v>72.651999999999816</v>
      </c>
      <c r="Y270" s="1274">
        <f>Y260-X260</f>
        <v>122.70899999999983</v>
      </c>
      <c r="Z270" s="1261"/>
      <c r="AA270" s="1242"/>
      <c r="AB270" s="1274">
        <f t="shared" si="275"/>
        <v>145.40099999999984</v>
      </c>
      <c r="AC270" s="1274">
        <f t="shared" si="275"/>
        <v>152.39900000000034</v>
      </c>
      <c r="AD270" s="1274">
        <f t="shared" si="275"/>
        <v>165.89899999999989</v>
      </c>
      <c r="AE270" s="1261"/>
      <c r="AF270" s="1326">
        <f>AF260-AD260</f>
        <v>80.586999999999989</v>
      </c>
      <c r="AG270" s="1274">
        <f t="shared" si="276"/>
        <v>110.81399999999985</v>
      </c>
      <c r="AH270" s="1274">
        <f t="shared" si="276"/>
        <v>87.960000000000036</v>
      </c>
      <c r="AI270" s="1274">
        <f t="shared" si="276"/>
        <v>65.740000000000236</v>
      </c>
      <c r="AJ270" s="1261"/>
      <c r="AK270" s="1326">
        <v>45.057000000000002</v>
      </c>
      <c r="AL270" s="1274">
        <f t="shared" si="277"/>
        <v>119.03099999999995</v>
      </c>
      <c r="AM270" s="1274">
        <f t="shared" si="277"/>
        <v>144.53200000000015</v>
      </c>
      <c r="AN270" s="1274">
        <f t="shared" si="277"/>
        <v>157.20399999999972</v>
      </c>
      <c r="AO270" s="1261"/>
      <c r="AP270" s="1326">
        <f t="shared" si="278"/>
        <v>173.40000000000009</v>
      </c>
      <c r="AQ270" s="1274">
        <f t="shared" si="278"/>
        <v>136.19900000000007</v>
      </c>
      <c r="AR270" s="1274">
        <f t="shared" si="278"/>
        <v>61.648999999999432</v>
      </c>
      <c r="AS270" s="1274">
        <f t="shared" si="278"/>
        <v>310.76900000000023</v>
      </c>
      <c r="AT270" s="1261"/>
      <c r="AU270" s="1326">
        <f t="shared" si="279"/>
        <v>88.5</v>
      </c>
      <c r="AV270" s="1274">
        <f t="shared" si="279"/>
        <v>72.774999999999636</v>
      </c>
      <c r="AW270" s="1274">
        <f t="shared" si="279"/>
        <v>18.725000000000364</v>
      </c>
      <c r="AX270" s="1274">
        <f t="shared" si="279"/>
        <v>37.054000000000087</v>
      </c>
      <c r="AY270" s="1261"/>
      <c r="AZ270" s="1326">
        <f>AZ260-AX260</f>
        <v>121.04899999999998</v>
      </c>
      <c r="BA270" s="1274">
        <f t="shared" si="280"/>
        <v>252.17399999999998</v>
      </c>
      <c r="BB270" s="1274">
        <f t="shared" si="280"/>
        <v>233.96799999999985</v>
      </c>
      <c r="BC270" s="1274">
        <f t="shared" si="280"/>
        <v>127.61400000000049</v>
      </c>
      <c r="BD270" s="1261"/>
      <c r="BE270" s="1326">
        <f t="shared" si="281"/>
        <v>103.96000000000004</v>
      </c>
      <c r="BF270" s="1274">
        <f t="shared" si="281"/>
        <v>31.368999999999687</v>
      </c>
      <c r="BG270" s="1274">
        <f t="shared" si="281"/>
        <v>24.595000000000255</v>
      </c>
      <c r="BH270" s="1274">
        <f t="shared" si="281"/>
        <v>58.318999999999505</v>
      </c>
      <c r="BI270" s="1261"/>
      <c r="BJ270" s="1326">
        <f t="shared" si="282"/>
        <v>82.923999999999978</v>
      </c>
      <c r="BK270" s="1274">
        <f t="shared" si="282"/>
        <v>77.564000000000306</v>
      </c>
      <c r="BL270" s="1274">
        <f t="shared" si="282"/>
        <v>96.233999999999469</v>
      </c>
      <c r="BM270" s="1274">
        <f t="shared" si="282"/>
        <v>78.327000000000226</v>
      </c>
      <c r="BN270" s="1327">
        <f>SUM(BJ270:BM270)</f>
        <v>335.04899999999998</v>
      </c>
      <c r="BO270" s="1326">
        <f t="shared" si="283"/>
        <v>84.71100000000024</v>
      </c>
      <c r="BP270" s="1274">
        <f t="shared" si="283"/>
        <v>-37.76299999999992</v>
      </c>
      <c r="BQ270" s="1274">
        <f t="shared" si="283"/>
        <v>-353.26299999999992</v>
      </c>
      <c r="BR270" s="1285">
        <f t="shared" si="283"/>
        <v>0.59499999999934516</v>
      </c>
      <c r="BS270" s="1327">
        <f>SUM(BO270:BR270)</f>
        <v>-305.72000000000025</v>
      </c>
      <c r="BT270" s="1326">
        <f t="shared" si="284"/>
        <v>10.712000000000444</v>
      </c>
      <c r="BU270" s="1274">
        <f t="shared" si="284"/>
        <v>10.680999999999585</v>
      </c>
      <c r="BV270" s="1274">
        <f t="shared" si="284"/>
        <v>11.345000000000255</v>
      </c>
      <c r="BW270" s="1274">
        <f>BW260-BV260</f>
        <v>-84.962999999999738</v>
      </c>
      <c r="BX270" s="1327">
        <f>SUM(BT270:BW270)</f>
        <v>-52.224999999999454</v>
      </c>
      <c r="BY270" s="1326">
        <f>BY260-BW260</f>
        <v>-5.7619999999997162</v>
      </c>
      <c r="BZ270" s="1274">
        <f t="shared" si="285"/>
        <v>6.3809999999994034</v>
      </c>
      <c r="CA270" s="1274">
        <f t="shared" si="285"/>
        <v>21.583000000000538</v>
      </c>
      <c r="CB270" s="1274">
        <f t="shared" si="285"/>
        <v>24.714999999999236</v>
      </c>
      <c r="CC270" s="1769">
        <f>SUM(BY270:CB270)</f>
        <v>46.916999999999462</v>
      </c>
      <c r="CD270" s="1326">
        <f>CD260-CB260</f>
        <v>25.046000000000276</v>
      </c>
      <c r="CE270" s="1274">
        <f t="shared" si="286"/>
        <v>25</v>
      </c>
      <c r="CF270" s="1274">
        <f t="shared" si="287"/>
        <v>25</v>
      </c>
      <c r="CG270" s="1274">
        <f t="shared" si="288"/>
        <v>24.953999999999724</v>
      </c>
      <c r="CH270" s="1769">
        <f>SUM(CD270:CG270)</f>
        <v>100</v>
      </c>
      <c r="CI270" s="1274"/>
      <c r="CJ270" s="1162"/>
      <c r="CK270" s="1233"/>
      <c r="CL270" s="860"/>
      <c r="CM270" s="860"/>
      <c r="CN270" s="860"/>
      <c r="CO270" s="1232"/>
      <c r="CP270" s="1233"/>
      <c r="CQ270" s="860"/>
      <c r="CR270" s="860"/>
      <c r="CS270" s="860"/>
      <c r="CT270" s="1232"/>
      <c r="CU270" s="1233"/>
      <c r="CV270" s="860"/>
      <c r="CW270" s="860"/>
      <c r="CX270" s="1217">
        <f>AVERAGE(CU301:CX301)</f>
        <v>0.15536569696244229</v>
      </c>
      <c r="CY270" s="1232"/>
      <c r="CZ270" s="1233"/>
      <c r="DA270" s="860"/>
      <c r="DB270" s="860"/>
      <c r="DC270" s="860"/>
      <c r="DD270" s="1232"/>
      <c r="DE270" s="1233"/>
      <c r="DF270" s="860"/>
      <c r="DG270" s="860"/>
      <c r="DH270" s="860"/>
      <c r="DI270" s="1232"/>
      <c r="DJ270" s="1233"/>
      <c r="DK270" s="860"/>
      <c r="DL270" s="860"/>
      <c r="DM270" s="860"/>
      <c r="DN270" s="1232"/>
      <c r="DO270" s="1233"/>
      <c r="DP270" s="860"/>
      <c r="DQ270" s="860"/>
      <c r="DR270" s="860"/>
      <c r="DS270" s="1232"/>
      <c r="DT270" s="1233"/>
      <c r="DU270" s="860"/>
      <c r="DV270" s="860"/>
      <c r="DW270" s="860"/>
      <c r="DX270" s="1232"/>
      <c r="DY270" s="1233"/>
      <c r="DZ270" s="860"/>
      <c r="EA270" s="860"/>
      <c r="EB270" s="860"/>
      <c r="EC270" s="1232"/>
      <c r="ED270" s="860"/>
      <c r="EE270" s="860"/>
      <c r="EF270" s="860"/>
      <c r="EG270" s="860"/>
      <c r="EH270" s="860"/>
      <c r="EI270" s="1233"/>
      <c r="EJ270" s="860"/>
      <c r="EK270" s="860"/>
      <c r="EL270" s="860"/>
      <c r="EM270" s="1232"/>
      <c r="EN270" s="1233"/>
      <c r="EO270" s="860"/>
      <c r="EP270" s="860"/>
      <c r="EQ270" s="860"/>
      <c r="ER270" s="1232"/>
      <c r="ES270" s="860"/>
      <c r="ET270" s="860"/>
      <c r="EU270" s="860"/>
      <c r="EV270" s="860"/>
      <c r="EW270" s="1232"/>
      <c r="EX270" s="1233"/>
      <c r="EY270" s="860"/>
      <c r="EZ270" s="860"/>
      <c r="FA270" s="860"/>
      <c r="FB270" s="1754"/>
      <c r="FC270" s="1233"/>
      <c r="FD270" s="860"/>
      <c r="FE270" s="860"/>
      <c r="FF270" s="860"/>
      <c r="FG270" s="860"/>
      <c r="FH270" s="860"/>
      <c r="FI270" s="860"/>
      <c r="FJ270" s="860"/>
      <c r="FK270" s="860"/>
      <c r="FL270" s="860"/>
      <c r="FM270" s="860"/>
      <c r="FN270" s="860"/>
      <c r="FO270" s="860"/>
      <c r="FP270" s="860"/>
      <c r="FQ270" s="860"/>
      <c r="FR270" s="860"/>
      <c r="FS270" s="860"/>
      <c r="FT270" s="860"/>
      <c r="FU270" s="860"/>
      <c r="FV270" s="860"/>
      <c r="FW270" s="860"/>
      <c r="FX270" s="860"/>
      <c r="FY270" s="860"/>
      <c r="FZ270" s="860"/>
      <c r="GA270" s="860"/>
      <c r="GB270" s="860"/>
      <c r="GC270" s="860"/>
      <c r="GD270" s="860"/>
      <c r="GE270" s="860"/>
      <c r="GF270" s="860"/>
      <c r="GG270" s="860"/>
      <c r="GH270" s="860"/>
      <c r="GI270" s="860"/>
      <c r="GJ270" s="860"/>
      <c r="GK270" s="860"/>
      <c r="GL270" s="860"/>
      <c r="GM270" s="860"/>
      <c r="GN270" s="860"/>
      <c r="GO270" s="860"/>
      <c r="GP270" s="860"/>
      <c r="GQ270" s="860"/>
      <c r="GR270" s="1279">
        <v>-120</v>
      </c>
      <c r="GS270" s="1218"/>
      <c r="GT270" s="1279">
        <v>-21.375287524000669</v>
      </c>
      <c r="GU270" s="1218"/>
      <c r="GV270" s="1279">
        <v>15</v>
      </c>
      <c r="GW270" s="1218"/>
      <c r="GX270" s="1218"/>
      <c r="GY270" s="1279">
        <v>10</v>
      </c>
      <c r="GZ270" s="1218"/>
      <c r="HA270" s="1218"/>
      <c r="HB270" s="1279">
        <v>25</v>
      </c>
      <c r="HC270" s="1218"/>
      <c r="HD270" s="2000"/>
      <c r="HE270" s="1279">
        <v>19.040177580820455</v>
      </c>
      <c r="HF270" s="1218"/>
      <c r="HG270" s="2000"/>
      <c r="HH270" s="1241"/>
      <c r="HI270" s="1279">
        <v>-5.4440000000004147</v>
      </c>
      <c r="HJ270" s="1218"/>
      <c r="HK270" s="2000"/>
      <c r="HL270" s="1279">
        <v>7.1750000000001819</v>
      </c>
      <c r="HM270" s="1218"/>
      <c r="HN270" s="2000"/>
      <c r="HO270" s="1279">
        <v>19.591999999999643</v>
      </c>
      <c r="HP270" s="1218"/>
      <c r="HQ270" s="2000"/>
      <c r="HR270" s="1279">
        <v>25.046000000000276</v>
      </c>
    </row>
    <row r="271" spans="1:226">
      <c r="A271" s="1132" t="str">
        <f>A261</f>
        <v>Voice</v>
      </c>
      <c r="B271" s="1233"/>
      <c r="C271" s="860">
        <f t="shared" si="271"/>
        <v>39</v>
      </c>
      <c r="D271" s="860">
        <f t="shared" si="271"/>
        <v>29</v>
      </c>
      <c r="E271" s="860">
        <f t="shared" si="271"/>
        <v>31</v>
      </c>
      <c r="F271" s="1232"/>
      <c r="G271" s="1233">
        <f>G261-E261</f>
        <v>34</v>
      </c>
      <c r="H271" s="860">
        <f t="shared" si="272"/>
        <v>42</v>
      </c>
      <c r="I271" s="860">
        <f t="shared" si="272"/>
        <v>33</v>
      </c>
      <c r="J271" s="860">
        <f t="shared" si="272"/>
        <v>39</v>
      </c>
      <c r="K271" s="1232"/>
      <c r="L271" s="1233">
        <f>L261-J261</f>
        <v>34</v>
      </c>
      <c r="M271" s="860">
        <f t="shared" si="273"/>
        <v>16</v>
      </c>
      <c r="N271" s="1274">
        <f t="shared" si="273"/>
        <v>30.981999999999971</v>
      </c>
      <c r="O271" s="1274">
        <f t="shared" si="273"/>
        <v>24.018000000000029</v>
      </c>
      <c r="P271" s="1232"/>
      <c r="Q271" s="1326">
        <f>Q261-O261</f>
        <v>30.600000000000023</v>
      </c>
      <c r="R271" s="1274">
        <f t="shared" si="274"/>
        <v>27.799999999999955</v>
      </c>
      <c r="S271" s="1274">
        <f t="shared" si="274"/>
        <v>59.299999999999955</v>
      </c>
      <c r="T271" s="1274">
        <f t="shared" si="274"/>
        <v>44.300000000000068</v>
      </c>
      <c r="U271" s="1327"/>
      <c r="V271" s="1326">
        <f>V261-T261</f>
        <v>26.879000000000019</v>
      </c>
      <c r="W271" s="1274">
        <f>W261-V261</f>
        <v>47.905999999999949</v>
      </c>
      <c r="X271" s="1274">
        <f>X261-W261-X252</f>
        <v>24.215000000000032</v>
      </c>
      <c r="Y271" s="1274">
        <f>Y261-X261</f>
        <v>80.182000000000016</v>
      </c>
      <c r="Z271" s="1261"/>
      <c r="AA271" s="1242"/>
      <c r="AB271" s="1274">
        <f t="shared" si="275"/>
        <v>147.76099999999997</v>
      </c>
      <c r="AC271" s="1274">
        <f t="shared" si="275"/>
        <v>154.43900000000008</v>
      </c>
      <c r="AD271" s="1274">
        <f t="shared" si="275"/>
        <v>140.82600000000002</v>
      </c>
      <c r="AE271" s="1261"/>
      <c r="AF271" s="1326">
        <f>AF261-AD261</f>
        <v>77.563999999999851</v>
      </c>
      <c r="AG271" s="1274">
        <f t="shared" si="276"/>
        <v>82.810000000000173</v>
      </c>
      <c r="AH271" s="1274">
        <f t="shared" si="276"/>
        <v>40.893000000000029</v>
      </c>
      <c r="AI271" s="1274">
        <f t="shared" si="276"/>
        <v>20.906999999999698</v>
      </c>
      <c r="AJ271" s="1261"/>
      <c r="AK271" s="1326">
        <v>2.8479999999999999</v>
      </c>
      <c r="AL271" s="1274">
        <f t="shared" si="277"/>
        <v>14.82300000000032</v>
      </c>
      <c r="AM271" s="1274">
        <f t="shared" si="277"/>
        <v>23.264999999999873</v>
      </c>
      <c r="AN271" s="1274">
        <f t="shared" si="277"/>
        <v>22.887000000000171</v>
      </c>
      <c r="AO271" s="1261"/>
      <c r="AP271" s="1326">
        <f t="shared" si="278"/>
        <v>36.047999999999774</v>
      </c>
      <c r="AQ271" s="1274">
        <f t="shared" si="278"/>
        <v>115.07299999999987</v>
      </c>
      <c r="AR271" s="1274">
        <f t="shared" si="278"/>
        <v>246.89900000000034</v>
      </c>
      <c r="AS271" s="1274">
        <f t="shared" si="278"/>
        <v>458.5359999999996</v>
      </c>
      <c r="AT271" s="1261"/>
      <c r="AU271" s="1326">
        <f t="shared" si="279"/>
        <v>204.69200000000001</v>
      </c>
      <c r="AV271" s="1274">
        <f t="shared" si="279"/>
        <v>202.18700000000035</v>
      </c>
      <c r="AW271" s="1274">
        <f t="shared" si="279"/>
        <v>148.61299999999983</v>
      </c>
      <c r="AX271" s="1274">
        <f t="shared" si="279"/>
        <v>103.99200000000019</v>
      </c>
      <c r="AY271" s="1261"/>
      <c r="AZ271" s="1326">
        <f>AZ261-AX261</f>
        <v>145.52699999999959</v>
      </c>
      <c r="BA271" s="1274">
        <f t="shared" si="280"/>
        <v>214.52800000000025</v>
      </c>
      <c r="BB271" s="1274">
        <f t="shared" si="280"/>
        <v>189.2170000000001</v>
      </c>
      <c r="BC271" s="1274">
        <f t="shared" si="280"/>
        <v>109.26599999999962</v>
      </c>
      <c r="BD271" s="1261"/>
      <c r="BE271" s="1326">
        <f t="shared" si="281"/>
        <v>85.875</v>
      </c>
      <c r="BF271" s="1274">
        <f t="shared" si="281"/>
        <v>35.033000000000357</v>
      </c>
      <c r="BG271" s="1274">
        <f t="shared" si="281"/>
        <v>68.300000000000182</v>
      </c>
      <c r="BH271" s="1274">
        <f t="shared" si="281"/>
        <v>131.52700000000004</v>
      </c>
      <c r="BI271" s="1261"/>
      <c r="BJ271" s="1326">
        <f t="shared" si="282"/>
        <v>147.32699999999932</v>
      </c>
      <c r="BK271" s="1274">
        <f t="shared" si="282"/>
        <v>147.13500000000022</v>
      </c>
      <c r="BL271" s="1274">
        <f t="shared" si="282"/>
        <v>152.34799999999996</v>
      </c>
      <c r="BM271" s="1274">
        <f t="shared" si="282"/>
        <v>169.64900000000034</v>
      </c>
      <c r="BN271" s="1327">
        <f>SUM(BJ271:BM271)</f>
        <v>616.45899999999983</v>
      </c>
      <c r="BO271" s="1326">
        <f t="shared" si="283"/>
        <v>174.83600000000024</v>
      </c>
      <c r="BP271" s="1274">
        <f t="shared" si="283"/>
        <v>57.473999999999251</v>
      </c>
      <c r="BQ271" s="1274">
        <f t="shared" si="283"/>
        <v>-115.27700000000004</v>
      </c>
      <c r="BR271" s="1285">
        <f t="shared" si="283"/>
        <v>0.38800000000082946</v>
      </c>
      <c r="BS271" s="1327">
        <f>SUM(BO271:BR271)</f>
        <v>117.42100000000028</v>
      </c>
      <c r="BT271" s="1326">
        <f t="shared" si="284"/>
        <v>4.3049999999993815</v>
      </c>
      <c r="BU271" s="1274">
        <f t="shared" si="284"/>
        <v>33.855000000000473</v>
      </c>
      <c r="BV271" s="1274">
        <f t="shared" si="284"/>
        <v>28.965000000000146</v>
      </c>
      <c r="BW271" s="1274">
        <f>BW261-BV261</f>
        <v>-35.321000000000822</v>
      </c>
      <c r="BX271" s="1327">
        <f>SUM(BT271:BW271)</f>
        <v>31.803999999999178</v>
      </c>
      <c r="BY271" s="1326">
        <f>BY261-BW261</f>
        <v>61.731000000000677</v>
      </c>
      <c r="BZ271" s="1274">
        <f t="shared" si="285"/>
        <v>27.514000000000124</v>
      </c>
      <c r="CA271" s="1274">
        <f t="shared" si="285"/>
        <v>40.687999999999192</v>
      </c>
      <c r="CB271" s="1274">
        <f t="shared" si="285"/>
        <v>39.431000000000495</v>
      </c>
      <c r="CC271" s="1769">
        <f>SUM(BY271:CB271)</f>
        <v>169.36400000000049</v>
      </c>
      <c r="CD271" s="1326">
        <f>CD261-CB261</f>
        <v>41.463999999999942</v>
      </c>
      <c r="CE271" s="1274">
        <f t="shared" si="286"/>
        <v>40</v>
      </c>
      <c r="CF271" s="1274">
        <f t="shared" si="287"/>
        <v>40</v>
      </c>
      <c r="CG271" s="1274">
        <f t="shared" si="288"/>
        <v>38.536000000000058</v>
      </c>
      <c r="CH271" s="1769">
        <f>SUM(CD271:CG271)</f>
        <v>160</v>
      </c>
      <c r="CI271" s="1274"/>
      <c r="CJ271" s="1162"/>
      <c r="CK271" s="1233"/>
      <c r="CL271" s="860"/>
      <c r="CM271" s="860"/>
      <c r="CN271" s="860"/>
      <c r="CO271" s="1232"/>
      <c r="CP271" s="1233"/>
      <c r="CQ271" s="860"/>
      <c r="CR271" s="860"/>
      <c r="CS271" s="860"/>
      <c r="CT271" s="1232"/>
      <c r="CU271" s="1233"/>
      <c r="CV271" s="860"/>
      <c r="CW271" s="860"/>
      <c r="CX271" s="1217">
        <f>AVERAGE(CU302:CX302)</f>
        <v>0.11323097759327105</v>
      </c>
      <c r="CY271" s="1232"/>
      <c r="CZ271" s="1233"/>
      <c r="DA271" s="860"/>
      <c r="DB271" s="860"/>
      <c r="DC271" s="860"/>
      <c r="DD271" s="1232"/>
      <c r="DE271" s="1233"/>
      <c r="DF271" s="860"/>
      <c r="DG271" s="860"/>
      <c r="DH271" s="860"/>
      <c r="DI271" s="1232"/>
      <c r="DJ271" s="1233"/>
      <c r="DK271" s="860"/>
      <c r="DL271" s="860"/>
      <c r="DM271" s="860"/>
      <c r="DN271" s="1232"/>
      <c r="DO271" s="1233"/>
      <c r="DP271" s="860"/>
      <c r="DQ271" s="860"/>
      <c r="DR271" s="860"/>
      <c r="DS271" s="1232"/>
      <c r="DT271" s="1233"/>
      <c r="DU271" s="860"/>
      <c r="DV271" s="860"/>
      <c r="DW271" s="860"/>
      <c r="DX271" s="1232"/>
      <c r="DY271" s="1233"/>
      <c r="DZ271" s="860"/>
      <c r="EA271" s="860"/>
      <c r="EB271" s="860"/>
      <c r="EC271" s="1232"/>
      <c r="ED271" s="860"/>
      <c r="EE271" s="860"/>
      <c r="EF271" s="860"/>
      <c r="EG271" s="860"/>
      <c r="EH271" s="860"/>
      <c r="EI271" s="1233"/>
      <c r="EJ271" s="860"/>
      <c r="EK271" s="860"/>
      <c r="EL271" s="860"/>
      <c r="EM271" s="1232"/>
      <c r="EN271" s="1233"/>
      <c r="EO271" s="860"/>
      <c r="EP271" s="860"/>
      <c r="EQ271" s="860"/>
      <c r="ER271" s="1232"/>
      <c r="ES271" s="860"/>
      <c r="ET271" s="860"/>
      <c r="EU271" s="860"/>
      <c r="EV271" s="860"/>
      <c r="EW271" s="1232"/>
      <c r="EX271" s="1233"/>
      <c r="EY271" s="860"/>
      <c r="EZ271" s="860"/>
      <c r="FA271" s="860"/>
      <c r="FB271" s="1754"/>
      <c r="FC271" s="1233"/>
      <c r="FD271" s="860"/>
      <c r="FE271" s="860"/>
      <c r="FF271" s="860"/>
      <c r="FG271" s="860"/>
      <c r="FH271" s="860"/>
      <c r="FI271" s="860"/>
      <c r="FJ271" s="860"/>
      <c r="FK271" s="860"/>
      <c r="FL271" s="860"/>
      <c r="FM271" s="860"/>
      <c r="FN271" s="860"/>
      <c r="FO271" s="860"/>
      <c r="FP271" s="860"/>
      <c r="FQ271" s="860"/>
      <c r="FR271" s="860"/>
      <c r="FS271" s="860"/>
      <c r="FT271" s="860"/>
      <c r="FU271" s="860"/>
      <c r="FV271" s="860"/>
      <c r="FW271" s="860"/>
      <c r="FX271" s="860"/>
      <c r="FY271" s="860"/>
      <c r="FZ271" s="860"/>
      <c r="GA271" s="860"/>
      <c r="GB271" s="860"/>
      <c r="GC271" s="860"/>
      <c r="GD271" s="860"/>
      <c r="GE271" s="860"/>
      <c r="GF271" s="860"/>
      <c r="GG271" s="860"/>
      <c r="GH271" s="860"/>
      <c r="GI271" s="860"/>
      <c r="GJ271" s="860"/>
      <c r="GK271" s="860"/>
      <c r="GL271" s="860"/>
      <c r="GM271" s="860"/>
      <c r="GN271" s="860"/>
      <c r="GO271" s="860"/>
      <c r="GP271" s="860"/>
      <c r="GQ271" s="860"/>
      <c r="GR271" s="2017">
        <v>-90</v>
      </c>
      <c r="GS271" s="1218"/>
      <c r="GT271" s="1279">
        <v>35.680000000000291</v>
      </c>
      <c r="GU271" s="1218"/>
      <c r="GV271" s="1279">
        <v>0</v>
      </c>
      <c r="GW271" s="1218"/>
      <c r="GX271" s="1218"/>
      <c r="GY271" s="1279">
        <v>5</v>
      </c>
      <c r="GZ271" s="1218"/>
      <c r="HA271" s="1218"/>
      <c r="HB271" s="1279">
        <v>25</v>
      </c>
      <c r="HC271" s="1218"/>
      <c r="HD271" s="2000"/>
      <c r="HE271" s="1279">
        <v>33.927581249999093</v>
      </c>
      <c r="HF271" s="1218"/>
      <c r="HG271" s="2000"/>
      <c r="HH271" s="1241"/>
      <c r="HI271" s="1279">
        <v>40</v>
      </c>
      <c r="HJ271" s="1218"/>
      <c r="HK271" s="2000"/>
      <c r="HL271" s="1279">
        <v>27.805999999999585</v>
      </c>
      <c r="HM271" s="1218"/>
      <c r="HN271" s="2000"/>
      <c r="HO271" s="1279">
        <v>20.118000000000393</v>
      </c>
      <c r="HP271" s="1218"/>
      <c r="HQ271" s="2000"/>
      <c r="HR271" s="1279">
        <v>41.463999999999942</v>
      </c>
    </row>
    <row r="272" spans="1:226">
      <c r="A272" s="1132" t="str">
        <f>A262</f>
        <v>Mobile</v>
      </c>
      <c r="B272" s="1233"/>
      <c r="C272" s="860"/>
      <c r="D272" s="860"/>
      <c r="E272" s="860"/>
      <c r="F272" s="1232"/>
      <c r="G272" s="1233"/>
      <c r="H272" s="860"/>
      <c r="I272" s="860"/>
      <c r="J272" s="860"/>
      <c r="K272" s="1232"/>
      <c r="L272" s="1233"/>
      <c r="M272" s="860"/>
      <c r="N272" s="1274"/>
      <c r="O272" s="1274"/>
      <c r="P272" s="1232"/>
      <c r="Q272" s="1326"/>
      <c r="R272" s="1274"/>
      <c r="S272" s="1274"/>
      <c r="T272" s="1274"/>
      <c r="U272" s="1327"/>
      <c r="V272" s="1326"/>
      <c r="W272" s="1274"/>
      <c r="X272" s="1274"/>
      <c r="Y272" s="1274"/>
      <c r="Z272" s="1261"/>
      <c r="AA272" s="1242"/>
      <c r="AB272" s="1274"/>
      <c r="AC272" s="1274"/>
      <c r="AD272" s="1274"/>
      <c r="AE272" s="1261"/>
      <c r="AF272" s="1326"/>
      <c r="AG272" s="1274"/>
      <c r="AH272" s="1274"/>
      <c r="AI272" s="1274"/>
      <c r="AJ272" s="1261"/>
      <c r="AK272" s="1326"/>
      <c r="AL272" s="1274"/>
      <c r="AM272" s="1274"/>
      <c r="AN272" s="1274"/>
      <c r="AO272" s="1261"/>
      <c r="AP272" s="1326"/>
      <c r="AQ272" s="1274"/>
      <c r="AR272" s="1274"/>
      <c r="AS272" s="1274"/>
      <c r="AT272" s="1261"/>
      <c r="AU272" s="1326"/>
      <c r="AV272" s="1274"/>
      <c r="AW272" s="1274"/>
      <c r="AX272" s="1274"/>
      <c r="AY272" s="1261"/>
      <c r="AZ272" s="1326"/>
      <c r="BA272" s="1274"/>
      <c r="BB272" s="1274">
        <f>BB262-BA262</f>
        <v>40.113999999999997</v>
      </c>
      <c r="BC272" s="1274">
        <f>BC262-BB262</f>
        <v>35.401000000000003</v>
      </c>
      <c r="BD272" s="1327"/>
      <c r="BE272" s="1326">
        <f t="shared" si="281"/>
        <v>18.058999999999997</v>
      </c>
      <c r="BF272" s="1274">
        <f t="shared" si="281"/>
        <v>27.203000000000003</v>
      </c>
      <c r="BG272" s="1274">
        <f t="shared" si="281"/>
        <v>18.202000000000012</v>
      </c>
      <c r="BH272" s="1274">
        <f t="shared" si="281"/>
        <v>17.071999999999974</v>
      </c>
      <c r="BI272" s="1261"/>
      <c r="BJ272" s="1326">
        <f t="shared" si="282"/>
        <v>16.927000000000021</v>
      </c>
      <c r="BK272" s="1274">
        <f t="shared" si="282"/>
        <v>21.376000000000005</v>
      </c>
      <c r="BL272" s="1274">
        <f t="shared" si="282"/>
        <v>19.172999999999973</v>
      </c>
      <c r="BM272" s="1274">
        <f t="shared" si="282"/>
        <v>26.680000000000007</v>
      </c>
      <c r="BN272" s="1327">
        <f>SUM(BJ272:BM272)</f>
        <v>84.156000000000006</v>
      </c>
      <c r="BO272" s="1326">
        <f t="shared" si="283"/>
        <v>24.312999999999988</v>
      </c>
      <c r="BP272" s="1274">
        <f t="shared" si="283"/>
        <v>21.085000000000036</v>
      </c>
      <c r="BQ272" s="1274">
        <f t="shared" si="283"/>
        <v>13.893999999999949</v>
      </c>
      <c r="BR272" s="1285">
        <f t="shared" si="283"/>
        <v>8.5150000000000432</v>
      </c>
      <c r="BS272" s="1327">
        <f>SUM(BO272:BR272)</f>
        <v>67.807000000000016</v>
      </c>
      <c r="BT272" s="1326">
        <f t="shared" si="284"/>
        <v>9.9239999999999782</v>
      </c>
      <c r="BU272" s="1274">
        <f t="shared" si="284"/>
        <v>9.4820000000000277</v>
      </c>
      <c r="BV272" s="1274">
        <f t="shared" si="284"/>
        <v>-4.4490000000000123</v>
      </c>
      <c r="BW272" s="1274">
        <f>BW262-BV262</f>
        <v>11.01600000000002</v>
      </c>
      <c r="BX272" s="1327">
        <f>SUM(BT272:BW272)</f>
        <v>25.973000000000013</v>
      </c>
      <c r="BY272" s="1326">
        <f>BY262-BW262</f>
        <v>46.13900000000001</v>
      </c>
      <c r="BZ272" s="1274">
        <f t="shared" si="285"/>
        <v>83.488999999999976</v>
      </c>
      <c r="CA272" s="1274">
        <f t="shared" si="285"/>
        <v>94.006999999999948</v>
      </c>
      <c r="CB272" s="1274">
        <f t="shared" si="285"/>
        <v>95.252000000000066</v>
      </c>
      <c r="CC272" s="1769">
        <f>SUM(BY272:CB272)</f>
        <v>318.887</v>
      </c>
      <c r="CD272" s="1326">
        <f>CD262-CB262</f>
        <v>94.749000000000024</v>
      </c>
      <c r="CE272" s="1274">
        <f t="shared" si="286"/>
        <v>95</v>
      </c>
      <c r="CF272" s="1274">
        <f t="shared" si="287"/>
        <v>95</v>
      </c>
      <c r="CG272" s="1274">
        <f t="shared" si="288"/>
        <v>95.390999999999963</v>
      </c>
      <c r="CH272" s="1769">
        <f>SUM(CD272:CG272)</f>
        <v>380.14</v>
      </c>
      <c r="CI272" s="1274"/>
      <c r="CJ272" s="860"/>
      <c r="CK272" s="1233"/>
      <c r="CL272" s="860"/>
      <c r="CM272" s="860"/>
      <c r="CN272" s="860"/>
      <c r="CO272" s="1232"/>
      <c r="CP272" s="1233"/>
      <c r="CQ272" s="860"/>
      <c r="CR272" s="860"/>
      <c r="CS272" s="860"/>
      <c r="CT272" s="1232"/>
      <c r="CU272" s="1233"/>
      <c r="CV272" s="860"/>
      <c r="CW272" s="860"/>
      <c r="CX272" s="1217"/>
      <c r="CY272" s="1232"/>
      <c r="CZ272" s="1233"/>
      <c r="DA272" s="860"/>
      <c r="DB272" s="860"/>
      <c r="DC272" s="860"/>
      <c r="DD272" s="1232"/>
      <c r="DE272" s="1233"/>
      <c r="DF272" s="860"/>
      <c r="DG272" s="860"/>
      <c r="DH272" s="860"/>
      <c r="DI272" s="1232"/>
      <c r="DJ272" s="1233"/>
      <c r="DK272" s="860"/>
      <c r="DL272" s="860"/>
      <c r="DM272" s="860"/>
      <c r="DN272" s="1232"/>
      <c r="DO272" s="1233"/>
      <c r="DP272" s="860"/>
      <c r="DQ272" s="860"/>
      <c r="DR272" s="860"/>
      <c r="DS272" s="1232"/>
      <c r="DT272" s="1233"/>
      <c r="DU272" s="860"/>
      <c r="DV272" s="860"/>
      <c r="DW272" s="860"/>
      <c r="DX272" s="1232"/>
      <c r="DY272" s="1233"/>
      <c r="DZ272" s="860"/>
      <c r="EA272" s="860"/>
      <c r="EB272" s="860"/>
      <c r="EC272" s="1232"/>
      <c r="ED272" s="860"/>
      <c r="EE272" s="860"/>
      <c r="EF272" s="860"/>
      <c r="EG272" s="860"/>
      <c r="EH272" s="860"/>
      <c r="EI272" s="1233"/>
      <c r="EJ272" s="860"/>
      <c r="EK272" s="860"/>
      <c r="EL272" s="860"/>
      <c r="EM272" s="1232"/>
      <c r="EN272" s="1233"/>
      <c r="EO272" s="860"/>
      <c r="EP272" s="860"/>
      <c r="EQ272" s="860"/>
      <c r="ER272" s="1232"/>
      <c r="ES272" s="860"/>
      <c r="ET272" s="860"/>
      <c r="EU272" s="860"/>
      <c r="EV272" s="860"/>
      <c r="EW272" s="1232"/>
      <c r="EX272" s="1233"/>
      <c r="EY272" s="860"/>
      <c r="EZ272" s="860"/>
      <c r="FA272" s="860"/>
      <c r="FB272" s="1754"/>
      <c r="FC272" s="1233"/>
      <c r="FD272" s="860"/>
      <c r="FE272" s="860"/>
      <c r="FF272" s="860"/>
      <c r="FG272" s="860"/>
      <c r="FH272" s="860"/>
      <c r="FI272" s="860"/>
      <c r="FJ272" s="860"/>
      <c r="FK272" s="860"/>
      <c r="FL272" s="860"/>
      <c r="FM272" s="860"/>
      <c r="FN272" s="860"/>
      <c r="FO272" s="860"/>
      <c r="FP272" s="860"/>
      <c r="FQ272" s="860"/>
      <c r="FR272" s="860"/>
      <c r="FS272" s="860"/>
      <c r="FT272" s="860"/>
      <c r="FU272" s="860"/>
      <c r="FV272" s="860"/>
      <c r="FW272" s="860"/>
      <c r="FX272" s="860"/>
      <c r="FY272" s="860"/>
      <c r="FZ272" s="860"/>
      <c r="GA272" s="860"/>
      <c r="GB272" s="860"/>
      <c r="GC272" s="860"/>
      <c r="GD272" s="860"/>
      <c r="GE272" s="860"/>
      <c r="GF272" s="860"/>
      <c r="GG272" s="860"/>
      <c r="GH272" s="860"/>
      <c r="GI272" s="860"/>
      <c r="GJ272" s="860"/>
      <c r="GK272" s="860"/>
      <c r="GL272" s="860"/>
      <c r="GM272" s="860"/>
      <c r="GN272" s="860"/>
      <c r="GO272" s="860"/>
      <c r="GP272" s="860"/>
      <c r="GQ272" s="860"/>
      <c r="GR272" s="1279">
        <v>20</v>
      </c>
      <c r="GS272" s="1218"/>
      <c r="GT272" s="1279">
        <v>15.564085549498657</v>
      </c>
      <c r="GU272" s="1218"/>
      <c r="GV272" s="1279">
        <v>9.8070000000000164</v>
      </c>
      <c r="GW272" s="1218"/>
      <c r="GX272" s="1218"/>
      <c r="GY272" s="1279">
        <v>10</v>
      </c>
      <c r="GZ272" s="1218"/>
      <c r="HA272" s="1218"/>
      <c r="HB272" s="1279">
        <v>10</v>
      </c>
      <c r="HC272" s="1218"/>
      <c r="HD272" s="2000"/>
      <c r="HE272" s="1279">
        <v>5.7220805256490053</v>
      </c>
      <c r="HF272" s="1218"/>
      <c r="HG272" s="2000"/>
      <c r="HH272" s="1241"/>
      <c r="HI272" s="1279">
        <v>40</v>
      </c>
      <c r="HJ272" s="1218"/>
      <c r="HK272" s="2000"/>
      <c r="HL272" s="1279">
        <v>50</v>
      </c>
      <c r="HM272" s="1218"/>
      <c r="HN272" s="2000"/>
      <c r="HO272" s="1279">
        <v>82.392000000000053</v>
      </c>
      <c r="HP272" s="1218"/>
      <c r="HQ272" s="2000"/>
      <c r="HR272" s="1279">
        <v>94.749000000000024</v>
      </c>
    </row>
    <row r="273" spans="1:226">
      <c r="A273" s="1680" t="s">
        <v>520</v>
      </c>
      <c r="B273" s="1668"/>
      <c r="C273" s="1271">
        <f>SUM(C269:C272)</f>
        <v>162</v>
      </c>
      <c r="D273" s="1271">
        <f>SUM(D269:D272)</f>
        <v>85</v>
      </c>
      <c r="E273" s="1271">
        <f>SUM(E269:E272)</f>
        <v>110</v>
      </c>
      <c r="F273" s="1418"/>
      <c r="G273" s="1668">
        <f>SUM(G269:G272)</f>
        <v>122</v>
      </c>
      <c r="H273" s="1271">
        <f>SUM(H269:H272)</f>
        <v>167</v>
      </c>
      <c r="I273" s="1271">
        <f>SUM(I269:I272)</f>
        <v>143</v>
      </c>
      <c r="J273" s="1271">
        <f>SUM(J269:J272)</f>
        <v>190</v>
      </c>
      <c r="K273" s="1418"/>
      <c r="L273" s="1668">
        <f>SUM(L269:L272)</f>
        <v>144</v>
      </c>
      <c r="M273" s="1271">
        <f>SUM(M269:M272)</f>
        <v>67</v>
      </c>
      <c r="N273" s="1281">
        <f>SUM(N269:N272)</f>
        <v>134.99000000000024</v>
      </c>
      <c r="O273" s="1281">
        <f>SUM(O269:O272)</f>
        <v>126.00999999999976</v>
      </c>
      <c r="P273" s="1418"/>
      <c r="Q273" s="1328">
        <f>SUM(Q269:Q272)</f>
        <v>163.8000000000003</v>
      </c>
      <c r="R273" s="1281">
        <f>R263-Q263</f>
        <v>142.19999999999891</v>
      </c>
      <c r="S273" s="1281">
        <f>S263-R263</f>
        <v>227.36000000000058</v>
      </c>
      <c r="T273" s="1281">
        <f>T263-S263</f>
        <v>175.64000000000033</v>
      </c>
      <c r="U273" s="1329"/>
      <c r="V273" s="1328">
        <f>V263-T263</f>
        <v>134.00700000000052</v>
      </c>
      <c r="W273" s="1281">
        <f>W263-V263</f>
        <v>189.72499999999945</v>
      </c>
      <c r="X273" s="1281">
        <f>SUM(X269:X272)</f>
        <v>92.367999999999483</v>
      </c>
      <c r="Y273" s="1281">
        <f>Y263-X263</f>
        <v>247.52800000000025</v>
      </c>
      <c r="Z273" s="1338"/>
      <c r="AA273" s="1328">
        <f>AA266-Y263</f>
        <v>395.37700000000041</v>
      </c>
      <c r="AB273" s="1281">
        <f>AB263-AA263</f>
        <v>341.67400000000089</v>
      </c>
      <c r="AC273" s="1281">
        <f>AC263-AB263</f>
        <v>338.72600000000057</v>
      </c>
      <c r="AD273" s="1281">
        <f>AD263-AC263</f>
        <v>419.97999999999956</v>
      </c>
      <c r="AE273" s="1338"/>
      <c r="AF273" s="1328">
        <f>AF263-AD263</f>
        <v>249.79599999999846</v>
      </c>
      <c r="AG273" s="1281">
        <f>AG263-AF263</f>
        <v>260.22400000000016</v>
      </c>
      <c r="AH273" s="1281">
        <f>AH263-AG263</f>
        <v>149.34799999999996</v>
      </c>
      <c r="AI273" s="1281">
        <f>AI263-AH263</f>
        <v>52.152000000000044</v>
      </c>
      <c r="AJ273" s="1338"/>
      <c r="AK273" s="1328">
        <f>SUM(AK269:AK272)</f>
        <v>-19.718999999999994</v>
      </c>
      <c r="AL273" s="1281">
        <f>AL263-AK263</f>
        <v>159.31899999999951</v>
      </c>
      <c r="AM273" s="1281">
        <f>AM263-AL263</f>
        <v>198.77000000000044</v>
      </c>
      <c r="AN273" s="1281">
        <f>AN263-AM263</f>
        <v>241.86799999999857</v>
      </c>
      <c r="AO273" s="1338"/>
      <c r="AP273" s="1328">
        <f>AP263-AO263</f>
        <v>262.24799999999959</v>
      </c>
      <c r="AQ273" s="1281">
        <f>AQ263-AP263</f>
        <v>329.33100000000013</v>
      </c>
      <c r="AR273" s="1281">
        <f>AR263-AQ263</f>
        <v>273.81399999999849</v>
      </c>
      <c r="AS273" s="1281">
        <f>AS263-AR263</f>
        <v>872.42699999999968</v>
      </c>
      <c r="AT273" s="1338"/>
      <c r="AU273" s="1328">
        <f>AU263-AT263</f>
        <v>284.79199999999946</v>
      </c>
      <c r="AV273" s="1281">
        <f>AV263-AU263</f>
        <v>286.3690000000006</v>
      </c>
      <c r="AW273" s="1281">
        <f>AW263-AV263</f>
        <v>125.33100000000013</v>
      </c>
      <c r="AX273" s="1281">
        <f>AX263-AW263</f>
        <v>114.90900000000147</v>
      </c>
      <c r="AY273" s="1338"/>
      <c r="AZ273" s="1328">
        <f>AZ263-AX263</f>
        <v>255.77099999999882</v>
      </c>
      <c r="BA273" s="1281">
        <f>BA263-AZ263</f>
        <v>494.12200000000121</v>
      </c>
      <c r="BB273" s="1281">
        <f>BB263-BA263</f>
        <v>461.72899999999936</v>
      </c>
      <c r="BC273" s="1281">
        <f>BC263-BB263</f>
        <v>223.05499999999847</v>
      </c>
      <c r="BD273" s="1338"/>
      <c r="BE273" s="1328">
        <f>BE263-BC263</f>
        <v>169.31300000000192</v>
      </c>
      <c r="BF273" s="1281">
        <f>BF263-BE263</f>
        <v>62.099999999998545</v>
      </c>
      <c r="BG273" s="1281">
        <f>BG263-BF263</f>
        <v>52.030000000002474</v>
      </c>
      <c r="BH273" s="1281">
        <f>BH263-BG263</f>
        <v>217.84899999999834</v>
      </c>
      <c r="BI273" s="1338"/>
      <c r="BJ273" s="1328">
        <f t="shared" si="282"/>
        <v>336.21899999999732</v>
      </c>
      <c r="BK273" s="1281">
        <f t="shared" si="282"/>
        <v>325.22200000000157</v>
      </c>
      <c r="BL273" s="1281">
        <f t="shared" si="282"/>
        <v>338.8020000000015</v>
      </c>
      <c r="BM273" s="1281">
        <f t="shared" si="282"/>
        <v>327.18099999999868</v>
      </c>
      <c r="BN273" s="1329"/>
      <c r="BO273" s="1328">
        <f t="shared" si="283"/>
        <v>314.7300000000032</v>
      </c>
      <c r="BP273" s="1281">
        <f t="shared" si="283"/>
        <v>-5.3940000000038708</v>
      </c>
      <c r="BQ273" s="1281">
        <f t="shared" si="283"/>
        <v>-838.15599999999904</v>
      </c>
      <c r="BR273" s="1318">
        <f t="shared" si="283"/>
        <v>9.6020000000007713</v>
      </c>
      <c r="BS273" s="1329"/>
      <c r="BT273" s="1328">
        <f t="shared" si="284"/>
        <v>27.694999999999709</v>
      </c>
      <c r="BU273" s="1281">
        <f t="shared" si="284"/>
        <v>-11.572999999998501</v>
      </c>
      <c r="BV273" s="1281">
        <f t="shared" si="284"/>
        <v>-19.618000000000393</v>
      </c>
      <c r="BW273" s="1281">
        <f>BW263-BV263</f>
        <v>-203.9280000000017</v>
      </c>
      <c r="BX273" s="1329"/>
      <c r="BY273" s="1328">
        <f>BY263-BX263</f>
        <v>29.126000000000204</v>
      </c>
      <c r="BZ273" s="1281">
        <f t="shared" si="285"/>
        <v>64.371000000002823</v>
      </c>
      <c r="CA273" s="1281">
        <f t="shared" si="285"/>
        <v>113.58699999999772</v>
      </c>
      <c r="CB273" s="1281">
        <f t="shared" si="285"/>
        <v>128.13500000000022</v>
      </c>
      <c r="CC273" s="1781"/>
      <c r="CD273" s="1328">
        <f>CD263-CC263</f>
        <v>162.19200000000092</v>
      </c>
      <c r="CE273" s="1281">
        <f t="shared" ref="CE273" si="289">CE263-CD263</f>
        <v>115</v>
      </c>
      <c r="CF273" s="1281">
        <f t="shared" ref="CF273" si="290">CF263-CE263</f>
        <v>120</v>
      </c>
      <c r="CG273" s="1281">
        <f t="shared" ref="CG273" si="291">CG263-CF263</f>
        <v>127.3839999999982</v>
      </c>
      <c r="CH273" s="1781"/>
      <c r="CI273" s="1274"/>
      <c r="CJ273" s="1162"/>
      <c r="CK273" s="1233"/>
      <c r="CL273" s="860"/>
      <c r="CM273" s="860"/>
      <c r="CN273" s="860"/>
      <c r="CO273" s="1232"/>
      <c r="CP273" s="1233"/>
      <c r="CQ273" s="860"/>
      <c r="CR273" s="860"/>
      <c r="CS273" s="860"/>
      <c r="CT273" s="1232"/>
      <c r="CU273" s="1233"/>
      <c r="CV273" s="860"/>
      <c r="CW273" s="860"/>
      <c r="CX273" s="1217">
        <f>AVERAGE(CU303:CX303)</f>
        <v>0.17901380912792209</v>
      </c>
      <c r="CY273" s="1232"/>
      <c r="CZ273" s="1233"/>
      <c r="DA273" s="860"/>
      <c r="DB273" s="860"/>
      <c r="DC273" s="860"/>
      <c r="DD273" s="1232"/>
      <c r="DE273" s="1233"/>
      <c r="DF273" s="860"/>
      <c r="DG273" s="860"/>
      <c r="DH273" s="860"/>
      <c r="DI273" s="1232"/>
      <c r="DJ273" s="1233"/>
      <c r="DK273" s="860"/>
      <c r="DL273" s="860"/>
      <c r="DM273" s="860"/>
      <c r="DN273" s="1232"/>
      <c r="DO273" s="1233"/>
      <c r="DP273" s="860"/>
      <c r="DQ273" s="860"/>
      <c r="DR273" s="860"/>
      <c r="DS273" s="1232"/>
      <c r="DT273" s="1233"/>
      <c r="DU273" s="860"/>
      <c r="DV273" s="860"/>
      <c r="DW273" s="860"/>
      <c r="DX273" s="1232"/>
      <c r="DY273" s="1233"/>
      <c r="DZ273" s="860"/>
      <c r="EA273" s="860"/>
      <c r="EB273" s="860"/>
      <c r="EC273" s="1232"/>
      <c r="ED273" s="860"/>
      <c r="EE273" s="860"/>
      <c r="EF273" s="860"/>
      <c r="EG273" s="860"/>
      <c r="EH273" s="860"/>
      <c r="EI273" s="1233"/>
      <c r="EJ273" s="860"/>
      <c r="EK273" s="860"/>
      <c r="EL273" s="860"/>
      <c r="EM273" s="1232"/>
      <c r="EN273" s="1233"/>
      <c r="EO273" s="860"/>
      <c r="EP273" s="860"/>
      <c r="EQ273" s="860"/>
      <c r="ER273" s="1232"/>
      <c r="ES273" s="860"/>
      <c r="ET273" s="860"/>
      <c r="EU273" s="860"/>
      <c r="EV273" s="860"/>
      <c r="EW273" s="1232"/>
      <c r="EX273" s="1233"/>
      <c r="EY273" s="860"/>
      <c r="EZ273" s="860"/>
      <c r="FA273" s="860"/>
      <c r="FB273" s="1754"/>
      <c r="FC273" s="1233"/>
      <c r="FD273" s="860"/>
      <c r="FE273" s="860"/>
      <c r="FF273" s="860"/>
      <c r="FG273" s="860"/>
      <c r="FH273" s="860"/>
      <c r="FI273" s="860"/>
      <c r="FJ273" s="860"/>
      <c r="FK273" s="860"/>
      <c r="FL273" s="860"/>
      <c r="FM273" s="860"/>
      <c r="FN273" s="860"/>
      <c r="FO273" s="860"/>
      <c r="FP273" s="860"/>
      <c r="FQ273" s="860"/>
      <c r="FR273" s="860"/>
      <c r="FS273" s="860"/>
      <c r="FT273" s="860"/>
      <c r="FU273" s="860"/>
      <c r="FV273" s="860"/>
      <c r="FW273" s="860"/>
      <c r="FX273" s="860"/>
      <c r="FY273" s="860"/>
      <c r="FZ273" s="860"/>
      <c r="GA273" s="860"/>
      <c r="GB273" s="860"/>
      <c r="GC273" s="860"/>
      <c r="GD273" s="860"/>
      <c r="GE273" s="860"/>
      <c r="GF273" s="860"/>
      <c r="GG273" s="860"/>
      <c r="GH273" s="860"/>
      <c r="GI273" s="860"/>
      <c r="GJ273" s="860"/>
      <c r="GK273" s="860"/>
      <c r="GL273" s="860"/>
      <c r="GM273" s="860"/>
      <c r="GN273" s="860"/>
      <c r="GO273" s="860"/>
      <c r="GP273" s="860"/>
      <c r="GQ273" s="860"/>
      <c r="GR273" s="1279">
        <v>-280</v>
      </c>
      <c r="GS273" s="1218"/>
      <c r="GT273" s="1279">
        <v>0.47879802549869055</v>
      </c>
      <c r="GU273" s="1218"/>
      <c r="GV273" s="1642">
        <v>29.807000000000698</v>
      </c>
      <c r="GW273" s="1218"/>
      <c r="GX273" s="1218"/>
      <c r="GY273" s="1642">
        <v>-35</v>
      </c>
      <c r="GZ273" s="1218"/>
      <c r="HA273" s="1218"/>
      <c r="HB273" s="1642">
        <v>70</v>
      </c>
      <c r="HC273" s="1218"/>
      <c r="HD273" s="2000"/>
      <c r="HE273" s="1642">
        <v>27.511839356469864</v>
      </c>
      <c r="HF273" s="1218"/>
      <c r="HG273" s="2000"/>
      <c r="HH273" s="1241"/>
      <c r="HI273" s="1642">
        <v>24.556000000000495</v>
      </c>
      <c r="HJ273" s="1218"/>
      <c r="HK273" s="2000"/>
      <c r="HL273" s="1642">
        <v>34.980999999999767</v>
      </c>
      <c r="HM273" s="1218"/>
      <c r="HN273" s="2000"/>
      <c r="HO273" s="1642">
        <v>79.270000000000437</v>
      </c>
      <c r="HP273" s="1218"/>
      <c r="HQ273" s="2000"/>
      <c r="HR273" s="1279">
        <v>173.76100000000042</v>
      </c>
    </row>
    <row r="274" spans="1:226">
      <c r="A274" s="1132" t="s">
        <v>824</v>
      </c>
      <c r="B274" s="1233"/>
      <c r="C274" s="860"/>
      <c r="D274" s="860"/>
      <c r="E274" s="860"/>
      <c r="F274" s="1232"/>
      <c r="G274" s="1233"/>
      <c r="H274" s="860"/>
      <c r="I274" s="860"/>
      <c r="J274" s="860"/>
      <c r="K274" s="1232"/>
      <c r="L274" s="1233"/>
      <c r="M274" s="860"/>
      <c r="N274" s="860"/>
      <c r="O274" s="860"/>
      <c r="P274" s="1232"/>
      <c r="Q274" s="1233"/>
      <c r="R274" s="860"/>
      <c r="S274" s="860"/>
      <c r="T274" s="860"/>
      <c r="U274" s="1232"/>
      <c r="V274" s="1233"/>
      <c r="W274" s="860"/>
      <c r="X274" s="860"/>
      <c r="Y274" s="860"/>
      <c r="Z274" s="1261"/>
      <c r="AA274" s="1242"/>
      <c r="AB274" s="1162"/>
      <c r="AC274" s="1162"/>
      <c r="AD274" s="1162"/>
      <c r="AE274" s="1261"/>
      <c r="AF274" s="1242"/>
      <c r="AG274" s="1162"/>
      <c r="AH274" s="1162"/>
      <c r="AI274" s="1162"/>
      <c r="AJ274" s="1261"/>
      <c r="AK274" s="1242"/>
      <c r="AL274" s="1162"/>
      <c r="AM274" s="1162"/>
      <c r="AN274" s="1162"/>
      <c r="AO274" s="1261"/>
      <c r="AP274" s="1242"/>
      <c r="AQ274" s="1162"/>
      <c r="AR274" s="1162"/>
      <c r="AS274" s="1162"/>
      <c r="AT274" s="1261"/>
      <c r="AU274" s="1242"/>
      <c r="AV274" s="1162"/>
      <c r="AW274" s="1162"/>
      <c r="AX274" s="1162"/>
      <c r="AY274" s="1261"/>
      <c r="AZ274" s="1326">
        <f>AZ269+AZ270+AZ271</f>
        <v>255.77099999999928</v>
      </c>
      <c r="BA274" s="1274">
        <f>BA269+BA270+BA271</f>
        <v>494.1220000000003</v>
      </c>
      <c r="BB274" s="1274">
        <f>BB269+BB270+BB271</f>
        <v>421.61500000000024</v>
      </c>
      <c r="BC274" s="1274">
        <f>BC269+BC270+BC271</f>
        <v>187.65399999999954</v>
      </c>
      <c r="BD274" s="1261"/>
      <c r="BE274" s="1326">
        <f>BE269+BE270+BE271</f>
        <v>151.23599999999988</v>
      </c>
      <c r="BF274" s="1274">
        <f>BF269+BF270+BF271</f>
        <v>34.896999999999935</v>
      </c>
      <c r="BG274" s="1274">
        <f>BG269+BG270+BG271</f>
        <v>33.828000000001339</v>
      </c>
      <c r="BH274" s="1274">
        <f>BH269+BH270+BH271</f>
        <v>200.77699999999913</v>
      </c>
      <c r="BI274" s="1261"/>
      <c r="BJ274" s="1326">
        <f>BJ269+BJ270+BJ271</f>
        <v>319.29199999999946</v>
      </c>
      <c r="BK274" s="1274">
        <f>BK269+BK270+BK271</f>
        <v>303.84600000000046</v>
      </c>
      <c r="BL274" s="1274">
        <f>BL269+BL270+BL271</f>
        <v>319.628999999999</v>
      </c>
      <c r="BM274" s="1274">
        <f>BM269+BM270+BM271</f>
        <v>300.50100000000111</v>
      </c>
      <c r="BN274" s="1327"/>
      <c r="BO274" s="1326">
        <f>BO269+BO270+BO271</f>
        <v>290.41700000000037</v>
      </c>
      <c r="BP274" s="1274">
        <f>BP269+BP270+BP271</f>
        <v>-26.479000000001179</v>
      </c>
      <c r="BQ274" s="1274">
        <f>BQ269+BQ270+BQ271</f>
        <v>-852.04999999999973</v>
      </c>
      <c r="BR274" s="1285">
        <f>BR269+BR270+BR271</f>
        <v>1.0870000000004438</v>
      </c>
      <c r="BS274" s="1327"/>
      <c r="BT274" s="1326">
        <f>BT269+BT270+BT271</f>
        <v>17.770999999999731</v>
      </c>
      <c r="BU274" s="1274">
        <f>BU269+BU270+BU271</f>
        <v>-21.054999999999836</v>
      </c>
      <c r="BV274" s="1274">
        <f>BV269+BV270+BV271</f>
        <v>-15.168999999999869</v>
      </c>
      <c r="BW274" s="1274">
        <f>BW269+BW270+BW271</f>
        <v>-214.94400000000041</v>
      </c>
      <c r="BX274" s="1327"/>
      <c r="BY274" s="1326">
        <f>BY269+BY270+BY271</f>
        <v>-17.01299999999901</v>
      </c>
      <c r="BZ274" s="1274">
        <f>BZ269+BZ270+BZ271</f>
        <v>-19.118000000000393</v>
      </c>
      <c r="CA274" s="1274">
        <f>CA269+CA270+CA271</f>
        <v>19.579999999999472</v>
      </c>
      <c r="CB274" s="1274">
        <f>CB269+CB270+CB271</f>
        <v>32.882999999999811</v>
      </c>
      <c r="CC274" s="1769"/>
      <c r="CD274" s="1326">
        <f>CD269+CD270+CD271</f>
        <v>43.007000000000062</v>
      </c>
      <c r="CE274" s="1274">
        <f>CE269+CE270+CE271</f>
        <v>20</v>
      </c>
      <c r="CF274" s="1274">
        <f>CF269+CF270+CF271</f>
        <v>25</v>
      </c>
      <c r="CG274" s="1274">
        <f>CG269+CG270+CG271</f>
        <v>31.992999999999938</v>
      </c>
      <c r="CH274" s="1769"/>
      <c r="CI274" s="1274"/>
      <c r="CJ274" s="1162"/>
      <c r="CK274" s="1233"/>
      <c r="CL274" s="860"/>
      <c r="CM274" s="860"/>
      <c r="CN274" s="860"/>
      <c r="CO274" s="1232"/>
      <c r="CP274" s="1233"/>
      <c r="CQ274" s="860"/>
      <c r="CR274" s="860"/>
      <c r="CS274" s="860"/>
      <c r="CT274" s="1232"/>
      <c r="CU274" s="1233"/>
      <c r="CV274" s="860"/>
      <c r="CW274" s="860"/>
      <c r="CX274" s="1217">
        <f>AVERAGE(CU304:CX304)</f>
        <v>0.14039823483109415</v>
      </c>
      <c r="CY274" s="1232"/>
      <c r="CZ274" s="1233"/>
      <c r="DA274" s="860"/>
      <c r="DB274" s="860"/>
      <c r="DC274" s="860"/>
      <c r="DD274" s="1232"/>
      <c r="DE274" s="1233"/>
      <c r="DF274" s="860"/>
      <c r="DG274" s="860"/>
      <c r="DH274" s="860"/>
      <c r="DI274" s="1232"/>
      <c r="DJ274" s="1233"/>
      <c r="DK274" s="860"/>
      <c r="DL274" s="860"/>
      <c r="DM274" s="860"/>
      <c r="DN274" s="1232"/>
      <c r="DO274" s="1233"/>
      <c r="DP274" s="860"/>
      <c r="DQ274" s="860"/>
      <c r="DR274" s="860"/>
      <c r="DS274" s="1232"/>
      <c r="DT274" s="1233"/>
      <c r="DU274" s="860"/>
      <c r="DV274" s="860"/>
      <c r="DW274" s="860"/>
      <c r="DX274" s="1232"/>
      <c r="DY274" s="1233"/>
      <c r="DZ274" s="860"/>
      <c r="EA274" s="860"/>
      <c r="EB274" s="860"/>
      <c r="EC274" s="1232"/>
      <c r="ED274" s="860"/>
      <c r="EE274" s="860"/>
      <c r="EF274" s="860"/>
      <c r="EG274" s="860"/>
      <c r="EH274" s="860"/>
      <c r="EI274" s="1233"/>
      <c r="EJ274" s="860"/>
      <c r="EK274" s="860"/>
      <c r="EL274" s="860"/>
      <c r="EM274" s="1232"/>
      <c r="EN274" s="1233"/>
      <c r="EO274" s="860"/>
      <c r="EP274" s="860"/>
      <c r="EQ274" s="860"/>
      <c r="ER274" s="1232"/>
      <c r="ES274" s="860"/>
      <c r="ET274" s="860"/>
      <c r="EU274" s="860"/>
      <c r="EV274" s="860"/>
      <c r="EW274" s="1232"/>
      <c r="EX274" s="1233"/>
      <c r="EY274" s="860"/>
      <c r="EZ274" s="860"/>
      <c r="FA274" s="860"/>
      <c r="FB274" s="1754"/>
      <c r="FC274" s="1233"/>
      <c r="FD274" s="860"/>
      <c r="FE274" s="860"/>
      <c r="FF274" s="860"/>
      <c r="FG274" s="860"/>
      <c r="FH274" s="860"/>
      <c r="FI274" s="860"/>
      <c r="FJ274" s="860"/>
      <c r="FK274" s="860"/>
      <c r="FL274" s="860"/>
      <c r="FM274" s="860"/>
      <c r="FN274" s="860"/>
      <c r="FO274" s="860"/>
      <c r="FP274" s="860"/>
      <c r="FQ274" s="860"/>
      <c r="FR274" s="860"/>
      <c r="FS274" s="860"/>
      <c r="FT274" s="860"/>
      <c r="FU274" s="860"/>
      <c r="FV274" s="860"/>
      <c r="FW274" s="860"/>
      <c r="FX274" s="860"/>
      <c r="FY274" s="860"/>
      <c r="FZ274" s="860"/>
      <c r="GA274" s="860"/>
      <c r="GB274" s="860"/>
      <c r="GC274" s="860"/>
      <c r="GD274" s="860"/>
      <c r="GE274" s="860"/>
      <c r="GF274" s="860"/>
      <c r="GG274" s="860"/>
      <c r="GH274" s="860"/>
      <c r="GI274" s="860"/>
      <c r="GJ274" s="860"/>
      <c r="GK274" s="860"/>
      <c r="GL274" s="860"/>
      <c r="GM274" s="860"/>
      <c r="GN274" s="860"/>
      <c r="GO274" s="860"/>
      <c r="GP274" s="860"/>
      <c r="GQ274" s="860"/>
      <c r="GR274" s="1279">
        <v>-300</v>
      </c>
      <c r="GS274" s="1218"/>
      <c r="GT274" s="1279">
        <v>-15.08528752400025</v>
      </c>
      <c r="GU274" s="1218"/>
      <c r="GV274" s="1279">
        <v>20</v>
      </c>
      <c r="GW274" s="1218"/>
      <c r="GX274" s="1218"/>
      <c r="GY274" s="1279">
        <v>-45</v>
      </c>
      <c r="GZ274" s="1218"/>
      <c r="HA274" s="1218"/>
      <c r="HB274" s="1279">
        <v>60</v>
      </c>
      <c r="HC274" s="1218"/>
      <c r="HD274" s="2000"/>
      <c r="HE274" s="1279">
        <v>21.789758830819665</v>
      </c>
      <c r="HF274" s="1218"/>
      <c r="HG274" s="2000"/>
      <c r="HH274" s="1241"/>
      <c r="HI274" s="1279">
        <v>-15.444000000000415</v>
      </c>
      <c r="HJ274" s="1218"/>
      <c r="HK274" s="2000"/>
      <c r="HL274" s="1279">
        <v>-15.019000000000233</v>
      </c>
      <c r="HM274" s="1218"/>
      <c r="HN274" s="2000"/>
      <c r="HO274" s="1279">
        <v>-3.1219999999998436</v>
      </c>
      <c r="HP274" s="1218"/>
      <c r="HQ274" s="2000"/>
      <c r="HR274" s="1279">
        <v>43.007000000000062</v>
      </c>
    </row>
    <row r="275" spans="1:226">
      <c r="A275" s="1509"/>
      <c r="B275" s="1233"/>
      <c r="C275" s="860"/>
      <c r="D275" s="860"/>
      <c r="E275" s="860"/>
      <c r="F275" s="1232"/>
      <c r="G275" s="1233"/>
      <c r="H275" s="860"/>
      <c r="I275" s="860"/>
      <c r="J275" s="860"/>
      <c r="K275" s="1232"/>
      <c r="L275" s="1233"/>
      <c r="M275" s="860"/>
      <c r="N275" s="860"/>
      <c r="O275" s="860"/>
      <c r="P275" s="1232"/>
      <c r="Q275" s="1233"/>
      <c r="R275" s="860"/>
      <c r="S275" s="860"/>
      <c r="T275" s="860"/>
      <c r="U275" s="1232"/>
      <c r="V275" s="1233"/>
      <c r="W275" s="860"/>
      <c r="X275" s="860"/>
      <c r="Y275" s="860"/>
      <c r="Z275" s="1261"/>
      <c r="AA275" s="1242"/>
      <c r="AB275" s="1162"/>
      <c r="AC275" s="1162"/>
      <c r="AD275" s="1162"/>
      <c r="AE275" s="1261"/>
      <c r="AF275" s="1242"/>
      <c r="AG275" s="1162"/>
      <c r="AH275" s="1162"/>
      <c r="AI275" s="1162"/>
      <c r="AJ275" s="1261"/>
      <c r="AK275" s="1242"/>
      <c r="AL275" s="1162"/>
      <c r="AM275" s="1162"/>
      <c r="AN275" s="1162"/>
      <c r="AO275" s="1261"/>
      <c r="AP275" s="1242"/>
      <c r="AQ275" s="1162"/>
      <c r="AR275" s="1162"/>
      <c r="AS275" s="1162"/>
      <c r="AT275" s="1261"/>
      <c r="AU275" s="1242"/>
      <c r="AV275" s="1162"/>
      <c r="AW275" s="1162"/>
      <c r="AX275" s="1162"/>
      <c r="AY275" s="1261"/>
      <c r="AZ275" s="1242"/>
      <c r="BA275" s="1162"/>
      <c r="BB275" s="1162"/>
      <c r="BC275" s="1162"/>
      <c r="BD275" s="1261"/>
      <c r="BE275" s="1242"/>
      <c r="BF275" s="1162"/>
      <c r="BG275" s="1162"/>
      <c r="BH275" s="1162"/>
      <c r="BI275" s="1261"/>
      <c r="BJ275" s="1326"/>
      <c r="BK275" s="1274"/>
      <c r="BL275" s="1274"/>
      <c r="BM275" s="1274"/>
      <c r="BN275" s="1327"/>
      <c r="BO275" s="1326"/>
      <c r="BP275" s="1274"/>
      <c r="BQ275" s="1274"/>
      <c r="BR275" s="1274"/>
      <c r="BS275" s="1327"/>
      <c r="BT275" s="1326"/>
      <c r="BU275" s="1274"/>
      <c r="BV275" s="1274"/>
      <c r="BW275" s="1274"/>
      <c r="BX275" s="1327"/>
      <c r="BY275" s="1326"/>
      <c r="BZ275" s="1274"/>
      <c r="CA275" s="1274"/>
      <c r="CB275" s="1274"/>
      <c r="CC275" s="1769"/>
      <c r="CD275" s="1326"/>
      <c r="CE275" s="1274"/>
      <c r="CF275" s="1274"/>
      <c r="CG275" s="1274"/>
      <c r="CH275" s="1769"/>
      <c r="CI275" s="1274"/>
      <c r="CJ275" s="1162"/>
      <c r="CK275" s="1233"/>
      <c r="CL275" s="860"/>
      <c r="CM275" s="860"/>
      <c r="CN275" s="860"/>
      <c r="CO275" s="1232"/>
      <c r="CP275" s="1233"/>
      <c r="CQ275" s="860"/>
      <c r="CR275" s="860"/>
      <c r="CS275" s="860"/>
      <c r="CT275" s="1232"/>
      <c r="CU275" s="1233"/>
      <c r="CV275" s="860"/>
      <c r="CW275" s="860"/>
      <c r="CX275" s="1217"/>
      <c r="CY275" s="1232"/>
      <c r="CZ275" s="1233"/>
      <c r="DA275" s="860"/>
      <c r="DB275" s="860"/>
      <c r="DC275" s="860"/>
      <c r="DD275" s="1232"/>
      <c r="DE275" s="1233"/>
      <c r="DF275" s="860"/>
      <c r="DG275" s="860"/>
      <c r="DH275" s="860"/>
      <c r="DI275" s="1232"/>
      <c r="DJ275" s="1233"/>
      <c r="DK275" s="860"/>
      <c r="DL275" s="860"/>
      <c r="DM275" s="860"/>
      <c r="DN275" s="1232"/>
      <c r="DO275" s="1233"/>
      <c r="DP275" s="860"/>
      <c r="DQ275" s="860"/>
      <c r="DR275" s="860"/>
      <c r="DS275" s="1232"/>
      <c r="DT275" s="1233"/>
      <c r="DU275" s="860"/>
      <c r="DV275" s="860"/>
      <c r="DW275" s="860"/>
      <c r="DX275" s="1232"/>
      <c r="DY275" s="1233"/>
      <c r="DZ275" s="860"/>
      <c r="EA275" s="860"/>
      <c r="EB275" s="860"/>
      <c r="EC275" s="1232"/>
      <c r="ED275" s="860"/>
      <c r="EE275" s="860"/>
      <c r="EF275" s="860"/>
      <c r="EG275" s="860"/>
      <c r="EH275" s="860"/>
      <c r="EI275" s="1233"/>
      <c r="EJ275" s="860"/>
      <c r="EK275" s="860"/>
      <c r="EL275" s="860"/>
      <c r="EM275" s="1232"/>
      <c r="EN275" s="1233"/>
      <c r="EO275" s="860"/>
      <c r="EP275" s="860"/>
      <c r="EQ275" s="860"/>
      <c r="ER275" s="1232"/>
      <c r="ES275" s="860"/>
      <c r="ET275" s="860"/>
      <c r="EU275" s="860"/>
      <c r="EV275" s="860"/>
      <c r="EW275" s="1232"/>
      <c r="EX275" s="1233"/>
      <c r="EY275" s="860"/>
      <c r="EZ275" s="860"/>
      <c r="FA275" s="860"/>
      <c r="FB275" s="1754"/>
      <c r="FC275" s="1233"/>
      <c r="FD275" s="860"/>
      <c r="FE275" s="860"/>
      <c r="FF275" s="860"/>
      <c r="FG275" s="860"/>
      <c r="FH275" s="860"/>
      <c r="FI275" s="860"/>
      <c r="FJ275" s="860"/>
      <c r="FK275" s="860"/>
      <c r="FL275" s="860"/>
      <c r="FM275" s="860"/>
      <c r="FN275" s="860"/>
      <c r="FO275" s="860"/>
      <c r="FP275" s="860"/>
      <c r="FQ275" s="860"/>
      <c r="FR275" s="860"/>
      <c r="FS275" s="860"/>
      <c r="FT275" s="860"/>
      <c r="FU275" s="860"/>
      <c r="FV275" s="860"/>
      <c r="FW275" s="860"/>
      <c r="FX275" s="860"/>
      <c r="FY275" s="860"/>
      <c r="FZ275" s="860"/>
      <c r="GA275" s="860"/>
      <c r="GB275" s="860"/>
      <c r="GC275" s="860"/>
      <c r="GD275" s="860"/>
      <c r="GE275" s="860"/>
      <c r="GF275" s="860"/>
      <c r="GG275" s="860"/>
      <c r="GH275" s="860"/>
      <c r="GI275" s="860"/>
      <c r="GJ275" s="860"/>
      <c r="GK275" s="860"/>
      <c r="GL275" s="860"/>
      <c r="GM275" s="860"/>
      <c r="GN275" s="860"/>
      <c r="GO275" s="860"/>
      <c r="GP275" s="860"/>
      <c r="GQ275" s="860"/>
      <c r="GR275" s="1279"/>
      <c r="GS275" s="1218"/>
      <c r="GT275" s="1279"/>
      <c r="GU275" s="1218"/>
      <c r="GV275" s="1279"/>
      <c r="GW275" s="1218"/>
      <c r="GX275" s="1218"/>
      <c r="GY275" s="1279"/>
      <c r="GZ275" s="1218"/>
      <c r="HA275" s="1218"/>
      <c r="HB275" s="1279"/>
      <c r="HC275" s="1218"/>
      <c r="HD275" s="2000"/>
      <c r="HE275" s="1279"/>
      <c r="HF275" s="1218"/>
      <c r="HG275" s="2000"/>
      <c r="HH275" s="1241"/>
      <c r="HI275" s="1279"/>
      <c r="HJ275" s="1218"/>
      <c r="HK275" s="2000"/>
      <c r="HL275" s="1279"/>
      <c r="HM275" s="1218"/>
      <c r="HN275" s="2000"/>
      <c r="HO275" s="1279"/>
      <c r="HP275" s="1218"/>
      <c r="HQ275" s="2000"/>
      <c r="HR275" s="1279"/>
    </row>
    <row r="276" spans="1:226">
      <c r="A276" s="1509"/>
      <c r="B276" s="1233"/>
      <c r="C276" s="860"/>
      <c r="D276" s="860"/>
      <c r="E276" s="860"/>
      <c r="F276" s="1232"/>
      <c r="G276" s="1233"/>
      <c r="H276" s="860"/>
      <c r="I276" s="860"/>
      <c r="J276" s="860"/>
      <c r="K276" s="1232"/>
      <c r="L276" s="1233"/>
      <c r="M276" s="860"/>
      <c r="N276" s="860"/>
      <c r="O276" s="860"/>
      <c r="P276" s="1232"/>
      <c r="Q276" s="1233"/>
      <c r="R276" s="860"/>
      <c r="S276" s="860"/>
      <c r="T276" s="860"/>
      <c r="U276" s="1232"/>
      <c r="V276" s="1233"/>
      <c r="W276" s="860"/>
      <c r="X276" s="860"/>
      <c r="Y276" s="860"/>
      <c r="Z276" s="1261"/>
      <c r="AA276" s="1242"/>
      <c r="AB276" s="1162"/>
      <c r="AC276" s="1162"/>
      <c r="AD276" s="1162"/>
      <c r="AE276" s="1261"/>
      <c r="AF276" s="1242"/>
      <c r="AG276" s="1162"/>
      <c r="AH276" s="1162"/>
      <c r="AI276" s="1162"/>
      <c r="AJ276" s="1261"/>
      <c r="AK276" s="1242"/>
      <c r="AL276" s="1162"/>
      <c r="AM276" s="1162"/>
      <c r="AN276" s="1162"/>
      <c r="AO276" s="1261"/>
      <c r="AP276" s="1242"/>
      <c r="AQ276" s="1162"/>
      <c r="AR276" s="1162"/>
      <c r="AS276" s="1162"/>
      <c r="AT276" s="1261"/>
      <c r="AU276" s="1242"/>
      <c r="AV276" s="1162"/>
      <c r="AW276" s="1162"/>
      <c r="AX276" s="1162"/>
      <c r="AY276" s="1261"/>
      <c r="AZ276" s="1242"/>
      <c r="BA276" s="1162"/>
      <c r="BB276" s="1162"/>
      <c r="BC276" s="1162"/>
      <c r="BD276" s="1261"/>
      <c r="BE276" s="1242"/>
      <c r="BF276" s="1162"/>
      <c r="BG276" s="1162"/>
      <c r="BH276" s="1162"/>
      <c r="BI276" s="1261"/>
      <c r="BJ276" s="1274"/>
      <c r="BK276" s="1274"/>
      <c r="BL276" s="1274"/>
      <c r="BM276" s="1274"/>
      <c r="BN276" s="1327"/>
      <c r="BO276" s="1274"/>
      <c r="BP276" s="1274"/>
      <c r="BQ276" s="1274"/>
      <c r="BR276" s="1274"/>
      <c r="BS276" s="1327"/>
      <c r="BT276" s="1326"/>
      <c r="BU276" s="1274"/>
      <c r="BV276" s="1274"/>
      <c r="BW276" s="1274"/>
      <c r="BX276" s="1327"/>
      <c r="BY276" s="1326"/>
      <c r="BZ276" s="1274"/>
      <c r="CA276" s="1274"/>
      <c r="CB276" s="1274"/>
      <c r="CC276" s="1769"/>
      <c r="CD276" s="1326"/>
      <c r="CE276" s="1274"/>
      <c r="CF276" s="1274"/>
      <c r="CG276" s="1274"/>
      <c r="CH276" s="1769"/>
      <c r="CI276" s="1274"/>
      <c r="CJ276" s="1162"/>
      <c r="CK276" s="1233"/>
      <c r="CL276" s="860"/>
      <c r="CM276" s="860"/>
      <c r="CN276" s="860"/>
      <c r="CO276" s="1232"/>
      <c r="CP276" s="1233"/>
      <c r="CQ276" s="860"/>
      <c r="CR276" s="860"/>
      <c r="CS276" s="860"/>
      <c r="CT276" s="1232"/>
      <c r="CU276" s="1233"/>
      <c r="CV276" s="860"/>
      <c r="CW276" s="860"/>
      <c r="CX276" s="1217"/>
      <c r="CY276" s="1232"/>
      <c r="CZ276" s="1233"/>
      <c r="DA276" s="860"/>
      <c r="DB276" s="860"/>
      <c r="DC276" s="860"/>
      <c r="DD276" s="1232"/>
      <c r="DE276" s="1233"/>
      <c r="DF276" s="860"/>
      <c r="DG276" s="860"/>
      <c r="DH276" s="860"/>
      <c r="DI276" s="1232"/>
      <c r="DJ276" s="1233"/>
      <c r="DK276" s="860"/>
      <c r="DL276" s="860"/>
      <c r="DM276" s="860"/>
      <c r="DN276" s="1232"/>
      <c r="DO276" s="1233"/>
      <c r="DP276" s="860"/>
      <c r="DQ276" s="860"/>
      <c r="DR276" s="860"/>
      <c r="DS276" s="1232"/>
      <c r="DT276" s="1233"/>
      <c r="DU276" s="860"/>
      <c r="DV276" s="860"/>
      <c r="DW276" s="860"/>
      <c r="DX276" s="1232"/>
      <c r="DY276" s="1233"/>
      <c r="DZ276" s="860"/>
      <c r="EA276" s="860"/>
      <c r="EB276" s="860"/>
      <c r="EC276" s="1232"/>
      <c r="ED276" s="860"/>
      <c r="EE276" s="860"/>
      <c r="EF276" s="860"/>
      <c r="EG276" s="860"/>
      <c r="EH276" s="860"/>
      <c r="EI276" s="1233"/>
      <c r="EJ276" s="860"/>
      <c r="EK276" s="860"/>
      <c r="EL276" s="860"/>
      <c r="EM276" s="1232"/>
      <c r="EN276" s="1233"/>
      <c r="EO276" s="860"/>
      <c r="EP276" s="860"/>
      <c r="EQ276" s="860"/>
      <c r="ER276" s="1232"/>
      <c r="ES276" s="860"/>
      <c r="ET276" s="860"/>
      <c r="EU276" s="860"/>
      <c r="EV276" s="860"/>
      <c r="EW276" s="1232"/>
      <c r="EX276" s="1233"/>
      <c r="EY276" s="860"/>
      <c r="EZ276" s="860"/>
      <c r="FA276" s="860"/>
      <c r="FB276" s="1754"/>
      <c r="FC276" s="1233"/>
      <c r="FD276" s="860"/>
      <c r="FE276" s="860"/>
      <c r="FF276" s="860"/>
      <c r="FG276" s="860"/>
      <c r="FH276" s="860"/>
      <c r="FI276" s="860"/>
      <c r="FJ276" s="860"/>
      <c r="FK276" s="860"/>
      <c r="FL276" s="860"/>
      <c r="FM276" s="860"/>
      <c r="FN276" s="860"/>
      <c r="FO276" s="860"/>
      <c r="FP276" s="860"/>
      <c r="FQ276" s="860"/>
      <c r="FR276" s="860"/>
      <c r="FS276" s="860"/>
      <c r="FT276" s="860"/>
      <c r="FU276" s="860"/>
      <c r="FV276" s="860"/>
      <c r="FW276" s="860"/>
      <c r="FX276" s="860"/>
      <c r="FY276" s="860"/>
      <c r="FZ276" s="860"/>
      <c r="GA276" s="860"/>
      <c r="GB276" s="860"/>
      <c r="GC276" s="860"/>
      <c r="GD276" s="860"/>
      <c r="GE276" s="860"/>
      <c r="GF276" s="860"/>
      <c r="GG276" s="860"/>
      <c r="GH276" s="860"/>
      <c r="GI276" s="860"/>
      <c r="GJ276" s="860"/>
      <c r="GK276" s="860"/>
      <c r="GL276" s="860"/>
      <c r="GM276" s="860"/>
      <c r="GN276" s="860"/>
      <c r="GO276" s="860"/>
      <c r="GP276" s="860"/>
      <c r="GQ276" s="860"/>
      <c r="GR276" s="1279"/>
      <c r="GS276" s="1218"/>
      <c r="GT276" s="1279"/>
      <c r="GU276" s="1218"/>
      <c r="GV276" s="1279"/>
      <c r="GW276" s="1218"/>
      <c r="GX276" s="1218"/>
      <c r="GY276" s="1279"/>
      <c r="GZ276" s="1218"/>
      <c r="HA276" s="1218"/>
      <c r="HB276" s="1279"/>
      <c r="HC276" s="1218"/>
      <c r="HD276" s="2000"/>
      <c r="HE276" s="1279"/>
      <c r="HF276" s="1218"/>
      <c r="HG276" s="2000"/>
      <c r="HH276" s="1241"/>
      <c r="HI276" s="1279"/>
      <c r="HJ276" s="1218"/>
      <c r="HK276" s="2000"/>
      <c r="HL276" s="1279"/>
      <c r="HM276" s="1218"/>
      <c r="HN276" s="2000"/>
      <c r="HO276" s="1279"/>
      <c r="HP276" s="1218"/>
      <c r="HQ276" s="2000"/>
      <c r="HR276" s="1279"/>
    </row>
    <row r="277" spans="1:226">
      <c r="A277" s="1132" t="s">
        <v>825</v>
      </c>
      <c r="B277" s="1233"/>
      <c r="C277" s="860"/>
      <c r="D277" s="860"/>
      <c r="E277" s="860"/>
      <c r="F277" s="1232"/>
      <c r="G277" s="1233"/>
      <c r="H277" s="860"/>
      <c r="I277" s="860"/>
      <c r="J277" s="860"/>
      <c r="K277" s="1232"/>
      <c r="L277" s="1233"/>
      <c r="M277" s="860"/>
      <c r="N277" s="860"/>
      <c r="O277" s="860"/>
      <c r="P277" s="1232"/>
      <c r="Q277" s="1233"/>
      <c r="R277" s="860"/>
      <c r="S277" s="860"/>
      <c r="T277" s="860"/>
      <c r="U277" s="1232"/>
      <c r="V277" s="1233"/>
      <c r="W277" s="860"/>
      <c r="X277" s="860"/>
      <c r="Y277" s="860"/>
      <c r="Z277" s="1261"/>
      <c r="AA277" s="1242"/>
      <c r="AB277" s="1162"/>
      <c r="AC277" s="1162"/>
      <c r="AD277" s="1162"/>
      <c r="AE277" s="1261"/>
      <c r="AF277" s="1242"/>
      <c r="AG277" s="1162"/>
      <c r="AH277" s="1162"/>
      <c r="AI277" s="1162"/>
      <c r="AJ277" s="1261"/>
      <c r="AK277" s="1242"/>
      <c r="AL277" s="1162"/>
      <c r="AM277" s="1162"/>
      <c r="AN277" s="1162"/>
      <c r="AO277" s="1261"/>
      <c r="AP277" s="1242"/>
      <c r="AQ277" s="1162"/>
      <c r="AR277" s="1162"/>
      <c r="AS277" s="1162"/>
      <c r="AT277" s="1261"/>
      <c r="AU277" s="1242"/>
      <c r="AV277" s="1162"/>
      <c r="AW277" s="1162"/>
      <c r="AX277" s="1162"/>
      <c r="AY277" s="1261"/>
      <c r="AZ277" s="1242"/>
      <c r="BA277" s="1162"/>
      <c r="BB277" s="1162"/>
      <c r="BC277" s="1162"/>
      <c r="BD277" s="1261"/>
      <c r="BE277" s="1242"/>
      <c r="BF277" s="1162"/>
      <c r="BG277" s="1162"/>
      <c r="BH277" s="1162"/>
      <c r="BI277" s="1261"/>
      <c r="BJ277" s="1234">
        <f>BJ129</f>
        <v>10820.6</v>
      </c>
      <c r="BK277" s="1234">
        <f>BK129</f>
        <v>10965.6</v>
      </c>
      <c r="BL277" s="1234">
        <f>BL129</f>
        <v>11034</v>
      </c>
      <c r="BM277" s="1234">
        <f>BM129</f>
        <v>11138.2</v>
      </c>
      <c r="BN277" s="1327"/>
      <c r="BO277" s="1234">
        <f>BO129</f>
        <v>11255.2</v>
      </c>
      <c r="BP277" s="1234">
        <f>BP129</f>
        <v>11438.8</v>
      </c>
      <c r="BQ277" s="1234">
        <f>BQ129</f>
        <v>11230.5</v>
      </c>
      <c r="BR277" s="1234">
        <f>BR129</f>
        <v>11108.7</v>
      </c>
      <c r="BS277" s="1327"/>
      <c r="BT277" s="1522">
        <f>BT129</f>
        <v>10844.4</v>
      </c>
      <c r="BU277" s="1234">
        <f>BU129</f>
        <v>10871.5</v>
      </c>
      <c r="BV277" s="1234">
        <f>BV129</f>
        <v>10654.5</v>
      </c>
      <c r="BW277" s="1234">
        <f>BW129</f>
        <v>10633.2</v>
      </c>
      <c r="BX277" s="1327"/>
      <c r="BY277" s="1522">
        <f>BY129</f>
        <v>10521.2</v>
      </c>
      <c r="BZ277" s="1234">
        <f>BZ129</f>
        <v>10538</v>
      </c>
      <c r="CA277" s="1234">
        <f>CA129</f>
        <v>10580.8</v>
      </c>
      <c r="CB277" s="1234">
        <f>CB129</f>
        <v>10561</v>
      </c>
      <c r="CC277" s="1769"/>
      <c r="CD277" s="1522">
        <f>CD129</f>
        <v>10611.9</v>
      </c>
      <c r="CE277" s="1234">
        <f>CE129</f>
        <v>10650</v>
      </c>
      <c r="CF277" s="1234">
        <f>CF129</f>
        <v>10675</v>
      </c>
      <c r="CG277" s="1234">
        <f>CG129</f>
        <v>10708.697599999992</v>
      </c>
      <c r="CH277" s="1769"/>
      <c r="CI277" s="1274"/>
      <c r="CJ277" s="1162"/>
      <c r="CK277" s="1233"/>
      <c r="CL277" s="860"/>
      <c r="CM277" s="860"/>
      <c r="CN277" s="860"/>
      <c r="CO277" s="1232"/>
      <c r="CP277" s="1233"/>
      <c r="CQ277" s="860"/>
      <c r="CR277" s="860"/>
      <c r="CS277" s="860"/>
      <c r="CT277" s="1232"/>
      <c r="CU277" s="1233"/>
      <c r="CV277" s="860"/>
      <c r="CW277" s="860"/>
      <c r="CX277" s="1217"/>
      <c r="CY277" s="1232"/>
      <c r="CZ277" s="1233"/>
      <c r="DA277" s="860"/>
      <c r="DB277" s="860"/>
      <c r="DC277" s="860"/>
      <c r="DD277" s="1232"/>
      <c r="DE277" s="1233"/>
      <c r="DF277" s="860"/>
      <c r="DG277" s="860"/>
      <c r="DH277" s="860"/>
      <c r="DI277" s="1232"/>
      <c r="DJ277" s="1233"/>
      <c r="DK277" s="860"/>
      <c r="DL277" s="860"/>
      <c r="DM277" s="860"/>
      <c r="DN277" s="1232"/>
      <c r="DO277" s="1233"/>
      <c r="DP277" s="860"/>
      <c r="DQ277" s="860"/>
      <c r="DR277" s="860"/>
      <c r="DS277" s="1232"/>
      <c r="DT277" s="1233"/>
      <c r="DU277" s="860"/>
      <c r="DV277" s="860"/>
      <c r="DW277" s="860"/>
      <c r="DX277" s="1232"/>
      <c r="DY277" s="1233"/>
      <c r="DZ277" s="860"/>
      <c r="EA277" s="860"/>
      <c r="EB277" s="860"/>
      <c r="EC277" s="1232"/>
      <c r="ED277" s="860"/>
      <c r="EE277" s="860"/>
      <c r="EF277" s="860"/>
      <c r="EG277" s="860"/>
      <c r="EH277" s="860"/>
      <c r="EI277" s="1233"/>
      <c r="EJ277" s="860"/>
      <c r="EK277" s="860"/>
      <c r="EL277" s="860"/>
      <c r="EM277" s="1232"/>
      <c r="EN277" s="1233"/>
      <c r="EO277" s="860"/>
      <c r="EP277" s="860"/>
      <c r="EQ277" s="860"/>
      <c r="ER277" s="1232"/>
      <c r="ES277" s="860"/>
      <c r="ET277" s="860"/>
      <c r="EU277" s="860"/>
      <c r="EV277" s="860"/>
      <c r="EW277" s="1232"/>
      <c r="EX277" s="1233"/>
      <c r="EY277" s="860"/>
      <c r="EZ277" s="860"/>
      <c r="FA277" s="860"/>
      <c r="FB277" s="1754"/>
      <c r="FC277" s="1233"/>
      <c r="FD277" s="860"/>
      <c r="FE277" s="860"/>
      <c r="FF277" s="860"/>
      <c r="FG277" s="860"/>
      <c r="FH277" s="860"/>
      <c r="FI277" s="860"/>
      <c r="FJ277" s="860"/>
      <c r="FK277" s="860"/>
      <c r="FL277" s="860"/>
      <c r="FM277" s="860"/>
      <c r="FN277" s="860"/>
      <c r="FO277" s="860"/>
      <c r="FP277" s="860"/>
      <c r="FQ277" s="860"/>
      <c r="FR277" s="860"/>
      <c r="FS277" s="860"/>
      <c r="FT277" s="860"/>
      <c r="FU277" s="860"/>
      <c r="FV277" s="860"/>
      <c r="FW277" s="860"/>
      <c r="FX277" s="860"/>
      <c r="FY277" s="860"/>
      <c r="FZ277" s="860"/>
      <c r="GA277" s="860"/>
      <c r="GB277" s="860"/>
      <c r="GC277" s="860"/>
      <c r="GD277" s="860"/>
      <c r="GE277" s="860"/>
      <c r="GF277" s="860"/>
      <c r="GG277" s="860"/>
      <c r="GH277" s="860"/>
      <c r="GI277" s="860"/>
      <c r="GJ277" s="860"/>
      <c r="GK277" s="860"/>
      <c r="GL277" s="860"/>
      <c r="GM277" s="860"/>
      <c r="GN277" s="860"/>
      <c r="GO277" s="860"/>
      <c r="GP277" s="860"/>
      <c r="GQ277" s="860"/>
      <c r="GR277" s="1279"/>
      <c r="GS277" s="1218"/>
      <c r="GT277" s="1279"/>
      <c r="GU277" s="1218"/>
      <c r="GV277" s="1279"/>
      <c r="GW277" s="1218"/>
      <c r="GX277" s="1218"/>
      <c r="GY277" s="2018">
        <v>11000</v>
      </c>
      <c r="GZ277" s="1218"/>
      <c r="HA277" s="1218"/>
      <c r="HB277" s="1631">
        <v>11250</v>
      </c>
      <c r="HC277" s="1218"/>
      <c r="HD277" s="2000"/>
      <c r="HE277" s="1631">
        <v>10900</v>
      </c>
      <c r="HF277" s="1218"/>
      <c r="HG277" s="2000"/>
      <c r="HH277" s="1241"/>
      <c r="HI277" s="1631">
        <v>0</v>
      </c>
      <c r="HJ277" s="1218"/>
      <c r="HK277" s="2000"/>
      <c r="HL277" s="1631">
        <v>0</v>
      </c>
      <c r="HM277" s="1218"/>
      <c r="HN277" s="2000"/>
      <c r="HO277" s="1631">
        <v>0</v>
      </c>
      <c r="HP277" s="1218"/>
      <c r="HQ277" s="2000"/>
      <c r="HR277" s="1631">
        <v>10611.9</v>
      </c>
    </row>
    <row r="278" spans="1:226">
      <c r="A278" s="1132" t="s">
        <v>826</v>
      </c>
      <c r="B278" s="1233"/>
      <c r="C278" s="860"/>
      <c r="D278" s="860"/>
      <c r="E278" s="860"/>
      <c r="F278" s="1232"/>
      <c r="G278" s="1233"/>
      <c r="H278" s="860"/>
      <c r="I278" s="860"/>
      <c r="J278" s="860"/>
      <c r="K278" s="1232"/>
      <c r="L278" s="1233"/>
      <c r="M278" s="860"/>
      <c r="N278" s="860"/>
      <c r="O278" s="860"/>
      <c r="P278" s="1232"/>
      <c r="Q278" s="1233"/>
      <c r="R278" s="860"/>
      <c r="S278" s="860"/>
      <c r="T278" s="860"/>
      <c r="U278" s="1232"/>
      <c r="V278" s="1233"/>
      <c r="W278" s="860"/>
      <c r="X278" s="860"/>
      <c r="Y278" s="860"/>
      <c r="Z278" s="1261"/>
      <c r="AA278" s="1242"/>
      <c r="AB278" s="1162"/>
      <c r="AC278" s="1162"/>
      <c r="AD278" s="1162"/>
      <c r="AE278" s="1261"/>
      <c r="AF278" s="1242"/>
      <c r="AG278" s="1162"/>
      <c r="AH278" s="1162"/>
      <c r="AI278" s="1162"/>
      <c r="AJ278" s="1261"/>
      <c r="AK278" s="1242"/>
      <c r="AL278" s="1162"/>
      <c r="AM278" s="1162"/>
      <c r="AN278" s="1162"/>
      <c r="AO278" s="1261"/>
      <c r="AP278" s="1242"/>
      <c r="AQ278" s="1162"/>
      <c r="AR278" s="1162"/>
      <c r="AS278" s="1162"/>
      <c r="AT278" s="1261"/>
      <c r="AU278" s="1242"/>
      <c r="AV278" s="1162"/>
      <c r="AW278" s="1162"/>
      <c r="AX278" s="1162"/>
      <c r="AY278" s="1261"/>
      <c r="AZ278" s="1242"/>
      <c r="BA278" s="1162"/>
      <c r="BB278" s="1162"/>
      <c r="BC278" s="1162"/>
      <c r="BD278" s="1261"/>
      <c r="BE278" s="1242"/>
      <c r="BF278" s="1162"/>
      <c r="BG278" s="1162"/>
      <c r="BH278" s="1162"/>
      <c r="BI278" s="1261"/>
      <c r="BJ278" s="1291">
        <f>AVERAGE(BJ265,BH265)</f>
        <v>5874.7232163609242</v>
      </c>
      <c r="BK278" s="1291">
        <f>AVERAGE(BK265,BJ265)</f>
        <v>5980.0367425439654</v>
      </c>
      <c r="BL278" s="1291">
        <f>AVERAGE(BL265,BK265)</f>
        <v>6082.0201490182699</v>
      </c>
      <c r="BM278" s="1291">
        <f>AVERAGE(BM265,BL265)</f>
        <v>6185.2103227946336</v>
      </c>
      <c r="BN278" s="1327"/>
      <c r="BO278" s="1291">
        <f>AVERAGE(BO265,BM265)</f>
        <v>6289.2427786942226</v>
      </c>
      <c r="BP278" s="1291">
        <f>AVERAGE(BP265,BO265)</f>
        <v>6325.4923137004498</v>
      </c>
      <c r="BQ278" s="1291">
        <f>AVERAGE(BQ265,BP265)</f>
        <v>6142.2777136851964</v>
      </c>
      <c r="BR278" s="1291">
        <f>AVERAGE(BR265,BQ265)</f>
        <v>5979.8488352501408</v>
      </c>
      <c r="BS278" s="1327"/>
      <c r="BT278" s="1336">
        <f>AVERAGE(BT265,BR265)</f>
        <v>6000.221611676845</v>
      </c>
      <c r="BU278" s="1291">
        <f>AVERAGE(BU265,BT265)</f>
        <v>6029.6606173317978</v>
      </c>
      <c r="BV278" s="1291">
        <f>AVERAGE(BV265,BU265)</f>
        <v>6056.9181091573209</v>
      </c>
      <c r="BW278" s="1291">
        <f>AVERAGE(BW265,BV265)</f>
        <v>6043.7029053726856</v>
      </c>
      <c r="BX278" s="1327"/>
      <c r="BY278" s="1336">
        <f>AVERAGE(BY265,BW265)</f>
        <v>6041.4243429694343</v>
      </c>
      <c r="BZ278" s="1291">
        <f>AVERAGE(BZ265,BY265)</f>
        <v>6078.1640139050905</v>
      </c>
      <c r="CA278" s="1291">
        <f>AVERAGE(CA265,BZ265)</f>
        <v>6107.6398371039331</v>
      </c>
      <c r="CB278" s="1291">
        <f>AVERAGE(CB265,CA265)</f>
        <v>6155.8746900861624</v>
      </c>
      <c r="CC278" s="1769"/>
      <c r="CD278" s="1336">
        <f>AVERAGE(CD265,CB265)</f>
        <v>6227.592979904306</v>
      </c>
      <c r="CE278" s="1291">
        <f>AVERAGE(CE265,CD265)</f>
        <v>6277.9368254604979</v>
      </c>
      <c r="CF278" s="1291">
        <f>AVERAGE(CF265,CE265)</f>
        <v>6305.7935839257816</v>
      </c>
      <c r="CG278" s="1291">
        <f>AVERAGE(CG265,CF265)</f>
        <v>6355.158669789048</v>
      </c>
      <c r="CH278" s="1769"/>
      <c r="CI278" s="1274"/>
      <c r="CJ278" s="1162"/>
      <c r="CK278" s="1233"/>
      <c r="CL278" s="860"/>
      <c r="CM278" s="860"/>
      <c r="CN278" s="860"/>
      <c r="CO278" s="1232"/>
      <c r="CP278" s="1233"/>
      <c r="CQ278" s="860"/>
      <c r="CR278" s="860"/>
      <c r="CS278" s="860"/>
      <c r="CT278" s="1232"/>
      <c r="CU278" s="1233"/>
      <c r="CV278" s="860"/>
      <c r="CW278" s="860"/>
      <c r="CX278" s="1217"/>
      <c r="CY278" s="1232"/>
      <c r="CZ278" s="1233"/>
      <c r="DA278" s="860"/>
      <c r="DB278" s="860"/>
      <c r="DC278" s="860"/>
      <c r="DD278" s="1232"/>
      <c r="DE278" s="1233"/>
      <c r="DF278" s="860"/>
      <c r="DG278" s="860"/>
      <c r="DH278" s="860"/>
      <c r="DI278" s="1232"/>
      <c r="DJ278" s="1233"/>
      <c r="DK278" s="860"/>
      <c r="DL278" s="860"/>
      <c r="DM278" s="860"/>
      <c r="DN278" s="1232"/>
      <c r="DO278" s="1233"/>
      <c r="DP278" s="860"/>
      <c r="DQ278" s="860"/>
      <c r="DR278" s="860"/>
      <c r="DS278" s="1232"/>
      <c r="DT278" s="1233"/>
      <c r="DU278" s="860"/>
      <c r="DV278" s="860"/>
      <c r="DW278" s="860"/>
      <c r="DX278" s="1232"/>
      <c r="DY278" s="1233"/>
      <c r="DZ278" s="860"/>
      <c r="EA278" s="860"/>
      <c r="EB278" s="860"/>
      <c r="EC278" s="1232"/>
      <c r="ED278" s="860"/>
      <c r="EE278" s="860"/>
      <c r="EF278" s="860"/>
      <c r="EG278" s="860"/>
      <c r="EH278" s="860"/>
      <c r="EI278" s="1233"/>
      <c r="EJ278" s="860"/>
      <c r="EK278" s="860"/>
      <c r="EL278" s="860"/>
      <c r="EM278" s="1232"/>
      <c r="EN278" s="1233"/>
      <c r="EO278" s="860"/>
      <c r="EP278" s="860"/>
      <c r="EQ278" s="860"/>
      <c r="ER278" s="1232"/>
      <c r="ES278" s="860"/>
      <c r="ET278" s="860"/>
      <c r="EU278" s="860"/>
      <c r="EV278" s="860"/>
      <c r="EW278" s="1232"/>
      <c r="EX278" s="1233"/>
      <c r="EY278" s="860"/>
      <c r="EZ278" s="860"/>
      <c r="FA278" s="860"/>
      <c r="FB278" s="1754"/>
      <c r="FC278" s="1233"/>
      <c r="FD278" s="860"/>
      <c r="FE278" s="860"/>
      <c r="FF278" s="860"/>
      <c r="FG278" s="860"/>
      <c r="FH278" s="860"/>
      <c r="FI278" s="860"/>
      <c r="FJ278" s="860"/>
      <c r="FK278" s="860"/>
      <c r="FL278" s="860"/>
      <c r="FM278" s="860"/>
      <c r="FN278" s="860"/>
      <c r="FO278" s="860"/>
      <c r="FP278" s="860"/>
      <c r="FQ278" s="860"/>
      <c r="FR278" s="860"/>
      <c r="FS278" s="860"/>
      <c r="FT278" s="860"/>
      <c r="FU278" s="860"/>
      <c r="FV278" s="860"/>
      <c r="FW278" s="860"/>
      <c r="FX278" s="860"/>
      <c r="FY278" s="860"/>
      <c r="FZ278" s="860"/>
      <c r="GA278" s="860"/>
      <c r="GB278" s="860"/>
      <c r="GC278" s="860"/>
      <c r="GD278" s="860"/>
      <c r="GE278" s="860"/>
      <c r="GF278" s="860"/>
      <c r="GG278" s="860"/>
      <c r="GH278" s="860"/>
      <c r="GI278" s="860"/>
      <c r="GJ278" s="860"/>
      <c r="GK278" s="860"/>
      <c r="GL278" s="860"/>
      <c r="GM278" s="860"/>
      <c r="GN278" s="860"/>
      <c r="GO278" s="860"/>
      <c r="GP278" s="860"/>
      <c r="GQ278" s="860"/>
      <c r="GR278" s="1279"/>
      <c r="GS278" s="1218"/>
      <c r="GT278" s="1279"/>
      <c r="GU278" s="1218"/>
      <c r="GV278" s="1279"/>
      <c r="GW278" s="1218"/>
      <c r="GX278" s="1218"/>
      <c r="GY278" s="1299">
        <v>6000.0901218828094</v>
      </c>
      <c r="GZ278" s="1218"/>
      <c r="HA278" s="1218"/>
      <c r="HB278" s="1299">
        <v>6002.8877290138544</v>
      </c>
      <c r="HC278" s="1218"/>
      <c r="HD278" s="2000"/>
      <c r="HE278" s="1299">
        <v>5985.778514608598</v>
      </c>
      <c r="HF278" s="1218"/>
      <c r="HG278" s="2000"/>
      <c r="HH278" s="1241"/>
      <c r="HI278" s="1299">
        <v>6079.995686983013</v>
      </c>
      <c r="HJ278" s="1218"/>
      <c r="HK278" s="2000"/>
      <c r="HL278" s="1299">
        <v>6110.4587269220774</v>
      </c>
      <c r="HM278" s="1218"/>
      <c r="HN278" s="2000"/>
      <c r="HO278" s="1299">
        <v>6156.0059101818561</v>
      </c>
      <c r="HP278" s="1218"/>
      <c r="HQ278" s="2000"/>
      <c r="HR278" s="1299">
        <v>6227.592979904306</v>
      </c>
    </row>
    <row r="279" spans="1:226">
      <c r="A279" s="1132" t="s">
        <v>827</v>
      </c>
      <c r="B279" s="1233"/>
      <c r="C279" s="860"/>
      <c r="D279" s="860"/>
      <c r="E279" s="860"/>
      <c r="F279" s="1232"/>
      <c r="G279" s="1233"/>
      <c r="H279" s="860"/>
      <c r="I279" s="860"/>
      <c r="J279" s="860"/>
      <c r="K279" s="1232"/>
      <c r="L279" s="1233"/>
      <c r="M279" s="860"/>
      <c r="N279" s="860"/>
      <c r="O279" s="860"/>
      <c r="P279" s="1232"/>
      <c r="Q279" s="1233"/>
      <c r="R279" s="860"/>
      <c r="S279" s="860"/>
      <c r="T279" s="860"/>
      <c r="U279" s="1232"/>
      <c r="V279" s="1233"/>
      <c r="W279" s="860"/>
      <c r="X279" s="860"/>
      <c r="Y279" s="860"/>
      <c r="Z279" s="1261"/>
      <c r="AA279" s="1242"/>
      <c r="AB279" s="1162"/>
      <c r="AC279" s="1162"/>
      <c r="AD279" s="1162"/>
      <c r="AE279" s="1261"/>
      <c r="AF279" s="1242"/>
      <c r="AG279" s="1162"/>
      <c r="AH279" s="1162"/>
      <c r="AI279" s="1162"/>
      <c r="AJ279" s="1261"/>
      <c r="AK279" s="1242"/>
      <c r="AL279" s="1162"/>
      <c r="AM279" s="1162"/>
      <c r="AN279" s="1162"/>
      <c r="AO279" s="1261"/>
      <c r="AP279" s="1242"/>
      <c r="AQ279" s="1162"/>
      <c r="AR279" s="1162"/>
      <c r="AS279" s="1162"/>
      <c r="AT279" s="1261"/>
      <c r="AU279" s="1242"/>
      <c r="AV279" s="1162"/>
      <c r="AW279" s="1162"/>
      <c r="AX279" s="1162"/>
      <c r="AY279" s="1261"/>
      <c r="AZ279" s="1242"/>
      <c r="BA279" s="1162"/>
      <c r="BB279" s="1162"/>
      <c r="BC279" s="1162"/>
      <c r="BD279" s="1261"/>
      <c r="BE279" s="1242"/>
      <c r="BF279" s="1162"/>
      <c r="BG279" s="1162"/>
      <c r="BH279" s="1162"/>
      <c r="BI279" s="1261"/>
      <c r="BJ279" s="1291">
        <f>BJ277/BJ278/3*1000</f>
        <v>613.96367689658177</v>
      </c>
      <c r="BK279" s="1291">
        <f>BK277/BK278/3*1000</f>
        <v>611.23370262856326</v>
      </c>
      <c r="BL279" s="1291">
        <f>BL277/BL278/3*1000</f>
        <v>604.7332810289497</v>
      </c>
      <c r="BM279" s="1291">
        <f>BM277/BM278/3*1000</f>
        <v>600.25983589444502</v>
      </c>
      <c r="BN279" s="1327"/>
      <c r="BO279" s="1291">
        <f>BO277/BO278/3*1000</f>
        <v>596.53180284960661</v>
      </c>
      <c r="BP279" s="1291">
        <f>BP277/BP278/3*1000</f>
        <v>602.78839088537995</v>
      </c>
      <c r="BQ279" s="1291">
        <f>BQ277/BQ278/3*1000</f>
        <v>609.46446489375739</v>
      </c>
      <c r="BR279" s="1291">
        <f>BR277/BR278/3*1000</f>
        <v>619.22969995028404</v>
      </c>
      <c r="BS279" s="1327"/>
      <c r="BT279" s="1336">
        <f>BT277/BT278/3*1000</f>
        <v>602.44441521382305</v>
      </c>
      <c r="BU279" s="1291">
        <f>BU277/BU278/3*1000</f>
        <v>601.00121106599295</v>
      </c>
      <c r="BV279" s="1291">
        <f>BV277/BV278/3*1000</f>
        <v>586.35430362358136</v>
      </c>
      <c r="BW279" s="1291">
        <f>BW277/BW278/3*1000</f>
        <v>586.46165364103615</v>
      </c>
      <c r="BX279" s="1327"/>
      <c r="BY279" s="1336">
        <f>BY277/BY278/3*1000</f>
        <v>580.5032832609968</v>
      </c>
      <c r="BZ279" s="1291">
        <f>BZ277/BZ278/3*1000</f>
        <v>577.91574209427324</v>
      </c>
      <c r="CA279" s="1291">
        <f>CA277/CA278/3*1000</f>
        <v>577.46255958106769</v>
      </c>
      <c r="CB279" s="1291">
        <f>CB277/CB278/3*1000</f>
        <v>571.86565850710326</v>
      </c>
      <c r="CC279" s="1769"/>
      <c r="CD279" s="1336">
        <f>CD277/CD278/3*1000</f>
        <v>568.00436563764561</v>
      </c>
      <c r="CE279" s="1291">
        <f>CE277/CE278/3*1000</f>
        <v>565.47239940401937</v>
      </c>
      <c r="CF279" s="1291">
        <f>CF277/CF278/3*1000</f>
        <v>564.29587901575917</v>
      </c>
      <c r="CG279" s="1291">
        <f>CG277/CG278/3*1000</f>
        <v>561.68005428968331</v>
      </c>
      <c r="CH279" s="1769"/>
      <c r="CI279" s="1274"/>
      <c r="CJ279" s="1162"/>
      <c r="CK279" s="1233"/>
      <c r="CL279" s="860"/>
      <c r="CM279" s="860"/>
      <c r="CN279" s="860"/>
      <c r="CO279" s="1232"/>
      <c r="CP279" s="1233"/>
      <c r="CQ279" s="860"/>
      <c r="CR279" s="860"/>
      <c r="CS279" s="860"/>
      <c r="CT279" s="1232"/>
      <c r="CU279" s="1233"/>
      <c r="CV279" s="860"/>
      <c r="CW279" s="860"/>
      <c r="CX279" s="1217"/>
      <c r="CY279" s="1232"/>
      <c r="CZ279" s="1233"/>
      <c r="DA279" s="860"/>
      <c r="DB279" s="860"/>
      <c r="DC279" s="860"/>
      <c r="DD279" s="1232"/>
      <c r="DE279" s="1233"/>
      <c r="DF279" s="860"/>
      <c r="DG279" s="860"/>
      <c r="DH279" s="860"/>
      <c r="DI279" s="1232"/>
      <c r="DJ279" s="1233"/>
      <c r="DK279" s="860"/>
      <c r="DL279" s="860"/>
      <c r="DM279" s="860"/>
      <c r="DN279" s="1232"/>
      <c r="DO279" s="1233"/>
      <c r="DP279" s="860"/>
      <c r="DQ279" s="860"/>
      <c r="DR279" s="860"/>
      <c r="DS279" s="1232"/>
      <c r="DT279" s="1233"/>
      <c r="DU279" s="860"/>
      <c r="DV279" s="860"/>
      <c r="DW279" s="860"/>
      <c r="DX279" s="1232"/>
      <c r="DY279" s="1233"/>
      <c r="DZ279" s="860"/>
      <c r="EA279" s="860"/>
      <c r="EB279" s="860"/>
      <c r="EC279" s="1232"/>
      <c r="ED279" s="860"/>
      <c r="EE279" s="860"/>
      <c r="EF279" s="860"/>
      <c r="EG279" s="860"/>
      <c r="EH279" s="860"/>
      <c r="EI279" s="1233"/>
      <c r="EJ279" s="860"/>
      <c r="EK279" s="860"/>
      <c r="EL279" s="860"/>
      <c r="EM279" s="1232"/>
      <c r="EN279" s="1233"/>
      <c r="EO279" s="860"/>
      <c r="EP279" s="860"/>
      <c r="EQ279" s="860"/>
      <c r="ER279" s="1232"/>
      <c r="ES279" s="860"/>
      <c r="ET279" s="860"/>
      <c r="EU279" s="860"/>
      <c r="EV279" s="860"/>
      <c r="EW279" s="1232"/>
      <c r="EX279" s="1233"/>
      <c r="EY279" s="860"/>
      <c r="EZ279" s="860"/>
      <c r="FA279" s="860"/>
      <c r="FB279" s="1754"/>
      <c r="FC279" s="1233"/>
      <c r="FD279" s="860"/>
      <c r="FE279" s="860"/>
      <c r="FF279" s="860"/>
      <c r="FG279" s="860"/>
      <c r="FH279" s="860"/>
      <c r="FI279" s="860"/>
      <c r="FJ279" s="860"/>
      <c r="FK279" s="860"/>
      <c r="FL279" s="860"/>
      <c r="FM279" s="860"/>
      <c r="FN279" s="860"/>
      <c r="FO279" s="860"/>
      <c r="FP279" s="860"/>
      <c r="FQ279" s="860"/>
      <c r="FR279" s="860"/>
      <c r="FS279" s="860"/>
      <c r="FT279" s="860"/>
      <c r="FU279" s="860"/>
      <c r="FV279" s="860"/>
      <c r="FW279" s="860"/>
      <c r="FX279" s="860"/>
      <c r="FY279" s="860"/>
      <c r="FZ279" s="860"/>
      <c r="GA279" s="860"/>
      <c r="GB279" s="860"/>
      <c r="GC279" s="860"/>
      <c r="GD279" s="860"/>
      <c r="GE279" s="860"/>
      <c r="GF279" s="860"/>
      <c r="GG279" s="860"/>
      <c r="GH279" s="860"/>
      <c r="GI279" s="860"/>
      <c r="GJ279" s="860"/>
      <c r="GK279" s="860"/>
      <c r="GL279" s="860"/>
      <c r="GM279" s="860"/>
      <c r="GN279" s="860"/>
      <c r="GO279" s="860"/>
      <c r="GP279" s="860"/>
      <c r="GQ279" s="860"/>
      <c r="GR279" s="1279"/>
      <c r="GS279" s="1218"/>
      <c r="GT279" s="1279"/>
      <c r="GU279" s="1218"/>
      <c r="GV279" s="1279"/>
      <c r="GW279" s="1218"/>
      <c r="GX279" s="1218"/>
      <c r="GY279" s="1299">
        <v>611.10193216832522</v>
      </c>
      <c r="GZ279" s="1218"/>
      <c r="HA279" s="1218"/>
      <c r="HB279" s="1299">
        <v>624.69933959868422</v>
      </c>
      <c r="HC279" s="1218"/>
      <c r="HD279" s="2000"/>
      <c r="HE279" s="1299">
        <v>606.99428227522912</v>
      </c>
      <c r="HF279" s="1218"/>
      <c r="HG279" s="2000"/>
      <c r="HH279" s="1241"/>
      <c r="HI279" s="1299">
        <v>0</v>
      </c>
      <c r="HJ279" s="1218"/>
      <c r="HK279" s="2000"/>
      <c r="HL279" s="1299">
        <v>0</v>
      </c>
      <c r="HM279" s="1218"/>
      <c r="HN279" s="2000"/>
      <c r="HO279" s="1299">
        <v>0</v>
      </c>
      <c r="HP279" s="1218"/>
      <c r="HQ279" s="2000"/>
      <c r="HR279" s="1299">
        <v>568.00436563764561</v>
      </c>
    </row>
    <row r="280" spans="1:226">
      <c r="A280" s="1509"/>
      <c r="B280" s="1233"/>
      <c r="C280" s="860"/>
      <c r="D280" s="860"/>
      <c r="E280" s="860"/>
      <c r="F280" s="1232"/>
      <c r="G280" s="1233"/>
      <c r="H280" s="860"/>
      <c r="I280" s="860"/>
      <c r="J280" s="860"/>
      <c r="K280" s="1232"/>
      <c r="L280" s="1233"/>
      <c r="M280" s="860"/>
      <c r="N280" s="860"/>
      <c r="O280" s="860"/>
      <c r="P280" s="1232"/>
      <c r="Q280" s="1233"/>
      <c r="R280" s="860"/>
      <c r="S280" s="860"/>
      <c r="T280" s="860"/>
      <c r="U280" s="1232"/>
      <c r="V280" s="1233"/>
      <c r="W280" s="860"/>
      <c r="X280" s="860"/>
      <c r="Y280" s="860"/>
      <c r="Z280" s="1261"/>
      <c r="AA280" s="1242"/>
      <c r="AB280" s="1162"/>
      <c r="AC280" s="1162"/>
      <c r="AD280" s="1162"/>
      <c r="AE280" s="1261"/>
      <c r="AF280" s="1242"/>
      <c r="AG280" s="1162"/>
      <c r="AH280" s="1162"/>
      <c r="AI280" s="1162"/>
      <c r="AJ280" s="1261"/>
      <c r="AK280" s="1242"/>
      <c r="AL280" s="1162"/>
      <c r="AM280" s="1162"/>
      <c r="AN280" s="1162"/>
      <c r="AO280" s="1261"/>
      <c r="AP280" s="1242"/>
      <c r="AQ280" s="1162"/>
      <c r="AR280" s="1162"/>
      <c r="AS280" s="1162"/>
      <c r="AT280" s="1261"/>
      <c r="AU280" s="1242"/>
      <c r="AV280" s="1162"/>
      <c r="AW280" s="1162"/>
      <c r="AX280" s="1162"/>
      <c r="AY280" s="1261"/>
      <c r="AZ280" s="1242"/>
      <c r="BA280" s="1162"/>
      <c r="BB280" s="1162"/>
      <c r="BC280" s="1162"/>
      <c r="BD280" s="1261"/>
      <c r="BE280" s="1242"/>
      <c r="BF280" s="1162"/>
      <c r="BG280" s="1162"/>
      <c r="BH280" s="1162"/>
      <c r="BI280" s="1261"/>
      <c r="BJ280" s="1326"/>
      <c r="BK280" s="1274"/>
      <c r="BL280" s="1274"/>
      <c r="BM280" s="1274"/>
      <c r="BN280" s="1327"/>
      <c r="BO280" s="1326"/>
      <c r="BP280" s="1274"/>
      <c r="BQ280" s="1274"/>
      <c r="BR280" s="1274"/>
      <c r="BS280" s="1327"/>
      <c r="BT280" s="1326"/>
      <c r="BU280" s="1274"/>
      <c r="BV280" s="1274"/>
      <c r="BW280" s="1274"/>
      <c r="BX280" s="1327"/>
      <c r="BY280" s="1326"/>
      <c r="BZ280" s="1274"/>
      <c r="CA280" s="1274"/>
      <c r="CB280" s="1274"/>
      <c r="CC280" s="1769"/>
      <c r="CD280" s="1326"/>
      <c r="CE280" s="1274"/>
      <c r="CF280" s="1274"/>
      <c r="CG280" s="1274"/>
      <c r="CH280" s="1769"/>
      <c r="CI280" s="1274"/>
      <c r="CJ280" s="1162"/>
      <c r="CK280" s="1233"/>
      <c r="CL280" s="860"/>
      <c r="CM280" s="860"/>
      <c r="CN280" s="860"/>
      <c r="CO280" s="1232"/>
      <c r="CP280" s="1233"/>
      <c r="CQ280" s="860"/>
      <c r="CR280" s="860"/>
      <c r="CS280" s="860"/>
      <c r="CT280" s="1232"/>
      <c r="CU280" s="1233"/>
      <c r="CV280" s="860"/>
      <c r="CW280" s="860"/>
      <c r="CX280" s="1217"/>
      <c r="CY280" s="1232"/>
      <c r="CZ280" s="1233"/>
      <c r="DA280" s="860"/>
      <c r="DB280" s="860"/>
      <c r="DC280" s="860"/>
      <c r="DD280" s="1232"/>
      <c r="DE280" s="1233"/>
      <c r="DF280" s="860"/>
      <c r="DG280" s="860"/>
      <c r="DH280" s="860"/>
      <c r="DI280" s="1232"/>
      <c r="DJ280" s="1233"/>
      <c r="DK280" s="860"/>
      <c r="DL280" s="860"/>
      <c r="DM280" s="860"/>
      <c r="DN280" s="1232"/>
      <c r="DO280" s="1233"/>
      <c r="DP280" s="860"/>
      <c r="DQ280" s="860"/>
      <c r="DR280" s="860"/>
      <c r="DS280" s="1232"/>
      <c r="DT280" s="1233"/>
      <c r="DU280" s="860"/>
      <c r="DV280" s="860"/>
      <c r="DW280" s="860"/>
      <c r="DX280" s="1232"/>
      <c r="DY280" s="1233"/>
      <c r="DZ280" s="860"/>
      <c r="EA280" s="860"/>
      <c r="EB280" s="860"/>
      <c r="EC280" s="1232"/>
      <c r="ED280" s="860"/>
      <c r="EE280" s="860"/>
      <c r="EF280" s="860"/>
      <c r="EG280" s="860"/>
      <c r="EH280" s="860"/>
      <c r="EI280" s="1233"/>
      <c r="EJ280" s="860"/>
      <c r="EK280" s="860"/>
      <c r="EL280" s="860"/>
      <c r="EM280" s="1232"/>
      <c r="EN280" s="1233"/>
      <c r="EO280" s="860"/>
      <c r="EP280" s="860"/>
      <c r="EQ280" s="860"/>
      <c r="ER280" s="1232"/>
      <c r="ES280" s="860"/>
      <c r="ET280" s="860"/>
      <c r="EU280" s="860"/>
      <c r="EV280" s="860"/>
      <c r="EW280" s="1232"/>
      <c r="EX280" s="1233"/>
      <c r="EY280" s="860"/>
      <c r="EZ280" s="860"/>
      <c r="FA280" s="860"/>
      <c r="FB280" s="1754"/>
      <c r="FC280" s="1233"/>
      <c r="FD280" s="860"/>
      <c r="FE280" s="860"/>
      <c r="FF280" s="860"/>
      <c r="FG280" s="860"/>
      <c r="FH280" s="860"/>
      <c r="FI280" s="860"/>
      <c r="FJ280" s="860"/>
      <c r="FK280" s="860"/>
      <c r="FL280" s="860"/>
      <c r="FM280" s="860"/>
      <c r="FN280" s="860"/>
      <c r="FO280" s="860"/>
      <c r="FP280" s="860"/>
      <c r="FQ280" s="860"/>
      <c r="FR280" s="860"/>
      <c r="FS280" s="860"/>
      <c r="FT280" s="860"/>
      <c r="FU280" s="860"/>
      <c r="FV280" s="860"/>
      <c r="FW280" s="860"/>
      <c r="FX280" s="860"/>
      <c r="FY280" s="860"/>
      <c r="FZ280" s="860"/>
      <c r="GA280" s="860"/>
      <c r="GB280" s="860"/>
      <c r="GC280" s="860"/>
      <c r="GD280" s="860"/>
      <c r="GE280" s="860"/>
      <c r="GF280" s="860"/>
      <c r="GG280" s="860"/>
      <c r="GH280" s="860"/>
      <c r="GI280" s="860"/>
      <c r="GJ280" s="860"/>
      <c r="GK280" s="860"/>
      <c r="GL280" s="860"/>
      <c r="GM280" s="860"/>
      <c r="GN280" s="860"/>
      <c r="GO280" s="860"/>
      <c r="GP280" s="860"/>
      <c r="GQ280" s="860"/>
      <c r="GR280" s="1279"/>
      <c r="GS280" s="1218"/>
      <c r="GT280" s="1279"/>
      <c r="GU280" s="1218"/>
      <c r="GV280" s="1279"/>
      <c r="GW280" s="1218"/>
      <c r="GX280" s="1218"/>
      <c r="GY280" s="1279"/>
      <c r="GZ280" s="1218"/>
      <c r="HA280" s="1218"/>
      <c r="HB280" s="1279"/>
      <c r="HC280" s="1218"/>
      <c r="HD280" s="2000"/>
      <c r="HE280" s="1279"/>
      <c r="HF280" s="1218"/>
      <c r="HG280" s="2000"/>
      <c r="HH280" s="1241"/>
      <c r="HI280" s="1279"/>
      <c r="HJ280" s="1218"/>
      <c r="HK280" s="2000"/>
      <c r="HL280" s="1279"/>
      <c r="HM280" s="1218"/>
      <c r="HN280" s="2000"/>
      <c r="HO280" s="1279"/>
      <c r="HP280" s="1218"/>
      <c r="HQ280" s="2000"/>
      <c r="HR280" s="1279"/>
    </row>
    <row r="281" spans="1:226">
      <c r="A281" s="1509"/>
      <c r="B281" s="1233"/>
      <c r="C281" s="860"/>
      <c r="D281" s="860"/>
      <c r="E281" s="860"/>
      <c r="F281" s="1232"/>
      <c r="G281" s="1233"/>
      <c r="H281" s="860"/>
      <c r="I281" s="860"/>
      <c r="J281" s="860"/>
      <c r="K281" s="1232"/>
      <c r="L281" s="1233"/>
      <c r="M281" s="860"/>
      <c r="N281" s="860"/>
      <c r="O281" s="860"/>
      <c r="P281" s="1232"/>
      <c r="Q281" s="1233"/>
      <c r="R281" s="860"/>
      <c r="S281" s="860"/>
      <c r="T281" s="860"/>
      <c r="U281" s="1232"/>
      <c r="V281" s="1233"/>
      <c r="W281" s="860"/>
      <c r="X281" s="860"/>
      <c r="Y281" s="860"/>
      <c r="Z281" s="1261"/>
      <c r="AA281" s="1242"/>
      <c r="AB281" s="1162"/>
      <c r="AC281" s="1162"/>
      <c r="AD281" s="1162"/>
      <c r="AE281" s="1261"/>
      <c r="AF281" s="1242"/>
      <c r="AG281" s="1162"/>
      <c r="AH281" s="1162"/>
      <c r="AI281" s="1162"/>
      <c r="AJ281" s="1261"/>
      <c r="AK281" s="1242"/>
      <c r="AL281" s="1162"/>
      <c r="AM281" s="1162"/>
      <c r="AN281" s="1162"/>
      <c r="AO281" s="1261"/>
      <c r="AP281" s="1242"/>
      <c r="AQ281" s="1162"/>
      <c r="AR281" s="1162"/>
      <c r="AS281" s="1162"/>
      <c r="AT281" s="1261"/>
      <c r="AU281" s="1242"/>
      <c r="AV281" s="1162"/>
      <c r="AW281" s="1162"/>
      <c r="AX281" s="1162"/>
      <c r="AY281" s="1261"/>
      <c r="AZ281" s="1242"/>
      <c r="BA281" s="1162"/>
      <c r="BB281" s="1162"/>
      <c r="BC281" s="1162"/>
      <c r="BD281" s="1261"/>
      <c r="BE281" s="1242"/>
      <c r="BF281" s="1162"/>
      <c r="BG281" s="1162"/>
      <c r="BH281" s="1162"/>
      <c r="BI281" s="1261"/>
      <c r="BJ281" s="1326"/>
      <c r="BK281" s="1274"/>
      <c r="BL281" s="1274"/>
      <c r="BM281" s="1274"/>
      <c r="BN281" s="1327"/>
      <c r="BO281" s="1326"/>
      <c r="BP281" s="1274"/>
      <c r="BQ281" s="1274"/>
      <c r="BR281" s="1274"/>
      <c r="BS281" s="1327"/>
      <c r="BT281" s="1326"/>
      <c r="BU281" s="1274"/>
      <c r="BV281" s="1274"/>
      <c r="BW281" s="1274"/>
      <c r="BX281" s="1327"/>
      <c r="BY281" s="1336"/>
      <c r="BZ281" s="1274"/>
      <c r="CA281" s="1274"/>
      <c r="CB281" s="1274"/>
      <c r="CC281" s="1769"/>
      <c r="CD281" s="1336"/>
      <c r="CE281" s="1291"/>
      <c r="CF281" s="1291"/>
      <c r="CG281" s="1291"/>
      <c r="CH281" s="1769"/>
      <c r="CI281" s="1274"/>
      <c r="CJ281" s="1162"/>
      <c r="CK281" s="1233"/>
      <c r="CL281" s="860"/>
      <c r="CM281" s="860"/>
      <c r="CN281" s="860"/>
      <c r="CO281" s="1232"/>
      <c r="CP281" s="1233"/>
      <c r="CQ281" s="860"/>
      <c r="CR281" s="860"/>
      <c r="CS281" s="860"/>
      <c r="CT281" s="1232"/>
      <c r="CU281" s="1233"/>
      <c r="CV281" s="860"/>
      <c r="CW281" s="860"/>
      <c r="CX281" s="1217"/>
      <c r="CY281" s="1232"/>
      <c r="CZ281" s="1233"/>
      <c r="DA281" s="860"/>
      <c r="DB281" s="860"/>
      <c r="DC281" s="860"/>
      <c r="DD281" s="1232"/>
      <c r="DE281" s="1233"/>
      <c r="DF281" s="860"/>
      <c r="DG281" s="860"/>
      <c r="DH281" s="860"/>
      <c r="DI281" s="1232"/>
      <c r="DJ281" s="1233"/>
      <c r="DK281" s="860"/>
      <c r="DL281" s="860"/>
      <c r="DM281" s="860"/>
      <c r="DN281" s="1232"/>
      <c r="DO281" s="1233"/>
      <c r="DP281" s="860"/>
      <c r="DQ281" s="860"/>
      <c r="DR281" s="860"/>
      <c r="DS281" s="1232"/>
      <c r="DT281" s="1233"/>
      <c r="DU281" s="860"/>
      <c r="DV281" s="860"/>
      <c r="DW281" s="860"/>
      <c r="DX281" s="1232"/>
      <c r="DY281" s="1233"/>
      <c r="DZ281" s="860"/>
      <c r="EA281" s="860"/>
      <c r="EB281" s="860"/>
      <c r="EC281" s="1232"/>
      <c r="ED281" s="860"/>
      <c r="EE281" s="860"/>
      <c r="EF281" s="860"/>
      <c r="EG281" s="860"/>
      <c r="EH281" s="860"/>
      <c r="EI281" s="1233"/>
      <c r="EJ281" s="860"/>
      <c r="EK281" s="860"/>
      <c r="EL281" s="860"/>
      <c r="EM281" s="1232"/>
      <c r="EN281" s="1233"/>
      <c r="EO281" s="860"/>
      <c r="EP281" s="860"/>
      <c r="EQ281" s="860"/>
      <c r="ER281" s="1232"/>
      <c r="ES281" s="860"/>
      <c r="ET281" s="860"/>
      <c r="EU281" s="860"/>
      <c r="EV281" s="860"/>
      <c r="EW281" s="1232"/>
      <c r="EX281" s="1233"/>
      <c r="EY281" s="860"/>
      <c r="EZ281" s="860"/>
      <c r="FA281" s="860"/>
      <c r="FB281" s="1754"/>
      <c r="FC281" s="1233"/>
      <c r="FD281" s="860"/>
      <c r="FE281" s="860"/>
      <c r="FF281" s="860"/>
      <c r="FG281" s="860"/>
      <c r="FH281" s="860"/>
      <c r="FI281" s="860"/>
      <c r="FJ281" s="860"/>
      <c r="FK281" s="860"/>
      <c r="FL281" s="860"/>
      <c r="FM281" s="860"/>
      <c r="FN281" s="860"/>
      <c r="FO281" s="860"/>
      <c r="FP281" s="860"/>
      <c r="FQ281" s="860"/>
      <c r="FR281" s="860"/>
      <c r="FS281" s="860"/>
      <c r="FT281" s="860"/>
      <c r="FU281" s="860"/>
      <c r="FV281" s="860"/>
      <c r="FW281" s="860"/>
      <c r="FX281" s="860"/>
      <c r="FY281" s="860"/>
      <c r="FZ281" s="860"/>
      <c r="GA281" s="860"/>
      <c r="GB281" s="860"/>
      <c r="GC281" s="860"/>
      <c r="GD281" s="860"/>
      <c r="GE281" s="860"/>
      <c r="GF281" s="860"/>
      <c r="GG281" s="860"/>
      <c r="GH281" s="860"/>
      <c r="GI281" s="860"/>
      <c r="GJ281" s="860"/>
      <c r="GK281" s="860"/>
      <c r="GL281" s="860"/>
      <c r="GM281" s="860"/>
      <c r="GN281" s="860"/>
      <c r="GO281" s="860"/>
      <c r="GP281" s="860"/>
      <c r="GQ281" s="860"/>
      <c r="GR281" s="1279"/>
      <c r="GS281" s="1218"/>
      <c r="GT281" s="1279"/>
      <c r="GU281" s="1218"/>
      <c r="GV281" s="1279"/>
      <c r="GW281" s="1218"/>
      <c r="GX281" s="1218"/>
      <c r="GY281" s="1279"/>
      <c r="GZ281" s="1218"/>
      <c r="HA281" s="1218"/>
      <c r="HB281" s="1279"/>
      <c r="HC281" s="1218"/>
      <c r="HD281" s="2000"/>
      <c r="HE281" s="1279"/>
      <c r="HF281" s="1218"/>
      <c r="HG281" s="2000"/>
      <c r="HH281" s="1241"/>
      <c r="HI281" s="1279"/>
      <c r="HJ281" s="1218"/>
      <c r="HK281" s="2000"/>
      <c r="HL281" s="1279"/>
      <c r="HM281" s="1218"/>
      <c r="HN281" s="2000"/>
      <c r="HO281" s="1279"/>
      <c r="HP281" s="1218"/>
      <c r="HQ281" s="2000"/>
      <c r="HR281" s="1299"/>
    </row>
    <row r="282" spans="1:226">
      <c r="A282" s="1509"/>
      <c r="B282" s="1233"/>
      <c r="C282" s="860"/>
      <c r="D282" s="860"/>
      <c r="E282" s="860"/>
      <c r="F282" s="1232"/>
      <c r="G282" s="1233"/>
      <c r="H282" s="860"/>
      <c r="I282" s="860"/>
      <c r="J282" s="860"/>
      <c r="K282" s="1232"/>
      <c r="L282" s="1233"/>
      <c r="M282" s="860"/>
      <c r="N282" s="860"/>
      <c r="O282" s="860"/>
      <c r="P282" s="1232"/>
      <c r="Q282" s="1233"/>
      <c r="R282" s="860"/>
      <c r="S282" s="860"/>
      <c r="T282" s="860"/>
      <c r="U282" s="1232"/>
      <c r="V282" s="1233"/>
      <c r="W282" s="860"/>
      <c r="X282" s="860"/>
      <c r="Y282" s="860"/>
      <c r="Z282" s="1261"/>
      <c r="AA282" s="1242"/>
      <c r="AB282" s="1162"/>
      <c r="AC282" s="1162"/>
      <c r="AD282" s="1162"/>
      <c r="AE282" s="1261"/>
      <c r="AF282" s="1242"/>
      <c r="AG282" s="1162"/>
      <c r="AH282" s="1162"/>
      <c r="AI282" s="1162"/>
      <c r="AJ282" s="1261"/>
      <c r="AK282" s="1242"/>
      <c r="AL282" s="1162"/>
      <c r="AM282" s="1162"/>
      <c r="AN282" s="1162"/>
      <c r="AO282" s="1261"/>
      <c r="AP282" s="1242"/>
      <c r="AQ282" s="1162"/>
      <c r="AR282" s="1162"/>
      <c r="AS282" s="1162"/>
      <c r="AT282" s="1261"/>
      <c r="AU282" s="1242"/>
      <c r="AV282" s="1162"/>
      <c r="AW282" s="1162"/>
      <c r="AX282" s="1162"/>
      <c r="AY282" s="1261"/>
      <c r="AZ282" s="1242"/>
      <c r="BA282" s="1162"/>
      <c r="BB282" s="1162"/>
      <c r="BC282" s="1162"/>
      <c r="BD282" s="1261"/>
      <c r="BE282" s="1242"/>
      <c r="BF282" s="1162"/>
      <c r="BG282" s="1162"/>
      <c r="BH282" s="1162"/>
      <c r="BI282" s="1261"/>
      <c r="BJ282" s="1326"/>
      <c r="BK282" s="1274"/>
      <c r="BL282" s="1274"/>
      <c r="BM282" s="1274"/>
      <c r="BN282" s="1327"/>
      <c r="BO282" s="1326"/>
      <c r="BP282" s="1274"/>
      <c r="BQ282" s="1274"/>
      <c r="BR282" s="1274"/>
      <c r="BS282" s="1327"/>
      <c r="BT282" s="1326"/>
      <c r="BU282" s="1274"/>
      <c r="BV282" s="1274"/>
      <c r="BW282" s="1274"/>
      <c r="BX282" s="1327"/>
      <c r="BY282" s="1332"/>
      <c r="BZ282" s="1285"/>
      <c r="CA282" s="1285"/>
      <c r="CB282" s="1285"/>
      <c r="CC282" s="1769"/>
      <c r="CD282" s="1332"/>
      <c r="CE282" s="1285"/>
      <c r="CF282" s="1285"/>
      <c r="CG282" s="1285"/>
      <c r="CH282" s="1769"/>
      <c r="CI282" s="1274"/>
      <c r="CJ282" s="1162"/>
      <c r="CK282" s="1233"/>
      <c r="CL282" s="860"/>
      <c r="CM282" s="860"/>
      <c r="CN282" s="860"/>
      <c r="CO282" s="1232"/>
      <c r="CP282" s="1233"/>
      <c r="CQ282" s="860"/>
      <c r="CR282" s="860"/>
      <c r="CS282" s="860"/>
      <c r="CT282" s="1232"/>
      <c r="CU282" s="1233"/>
      <c r="CV282" s="860"/>
      <c r="CW282" s="860"/>
      <c r="CX282" s="1217"/>
      <c r="CY282" s="1232"/>
      <c r="CZ282" s="1233"/>
      <c r="DA282" s="860"/>
      <c r="DB282" s="860"/>
      <c r="DC282" s="860"/>
      <c r="DD282" s="1232"/>
      <c r="DE282" s="1233"/>
      <c r="DF282" s="860"/>
      <c r="DG282" s="860"/>
      <c r="DH282" s="860"/>
      <c r="DI282" s="1232"/>
      <c r="DJ282" s="1233"/>
      <c r="DK282" s="860"/>
      <c r="DL282" s="860"/>
      <c r="DM282" s="860"/>
      <c r="DN282" s="1232"/>
      <c r="DO282" s="1233"/>
      <c r="DP282" s="860"/>
      <c r="DQ282" s="860"/>
      <c r="DR282" s="860"/>
      <c r="DS282" s="1232"/>
      <c r="DT282" s="1233"/>
      <c r="DU282" s="860"/>
      <c r="DV282" s="860"/>
      <c r="DW282" s="860"/>
      <c r="DX282" s="1232"/>
      <c r="DY282" s="1233"/>
      <c r="DZ282" s="860"/>
      <c r="EA282" s="860"/>
      <c r="EB282" s="860"/>
      <c r="EC282" s="1232"/>
      <c r="ED282" s="860"/>
      <c r="EE282" s="860"/>
      <c r="EF282" s="860"/>
      <c r="EG282" s="860"/>
      <c r="EH282" s="860"/>
      <c r="EI282" s="1233"/>
      <c r="EJ282" s="860"/>
      <c r="EK282" s="860"/>
      <c r="EL282" s="860"/>
      <c r="EM282" s="1232"/>
      <c r="EN282" s="1233"/>
      <c r="EO282" s="860"/>
      <c r="EP282" s="860"/>
      <c r="EQ282" s="860"/>
      <c r="ER282" s="1232"/>
      <c r="ES282" s="860"/>
      <c r="ET282" s="860"/>
      <c r="EU282" s="860"/>
      <c r="EV282" s="860"/>
      <c r="EW282" s="1232"/>
      <c r="EX282" s="1233"/>
      <c r="EY282" s="860"/>
      <c r="EZ282" s="860"/>
      <c r="FA282" s="860"/>
      <c r="FB282" s="1754"/>
      <c r="FC282" s="1233"/>
      <c r="FD282" s="860"/>
      <c r="FE282" s="860"/>
      <c r="FF282" s="860"/>
      <c r="FG282" s="860"/>
      <c r="FH282" s="860"/>
      <c r="FI282" s="860"/>
      <c r="FJ282" s="860"/>
      <c r="FK282" s="860"/>
      <c r="FL282" s="860"/>
      <c r="FM282" s="860"/>
      <c r="FN282" s="860"/>
      <c r="FO282" s="860"/>
      <c r="FP282" s="860"/>
      <c r="FQ282" s="860"/>
      <c r="FR282" s="860"/>
      <c r="FS282" s="860"/>
      <c r="FT282" s="860"/>
      <c r="FU282" s="860"/>
      <c r="FV282" s="860"/>
      <c r="FW282" s="860"/>
      <c r="FX282" s="860"/>
      <c r="FY282" s="860"/>
      <c r="FZ282" s="860"/>
      <c r="GA282" s="860"/>
      <c r="GB282" s="860"/>
      <c r="GC282" s="860"/>
      <c r="GD282" s="860"/>
      <c r="GE282" s="860"/>
      <c r="GF282" s="860"/>
      <c r="GG282" s="860"/>
      <c r="GH282" s="860"/>
      <c r="GI282" s="860"/>
      <c r="GJ282" s="860"/>
      <c r="GK282" s="860"/>
      <c r="GL282" s="860"/>
      <c r="GM282" s="860"/>
      <c r="GN282" s="860"/>
      <c r="GO282" s="860"/>
      <c r="GP282" s="860"/>
      <c r="GQ282" s="860"/>
      <c r="GR282" s="1279"/>
      <c r="GS282" s="1218"/>
      <c r="GT282" s="1279"/>
      <c r="GU282" s="1218"/>
      <c r="GV282" s="1279"/>
      <c r="GW282" s="1218"/>
      <c r="GX282" s="1218"/>
      <c r="GY282" s="1279"/>
      <c r="GZ282" s="1218"/>
      <c r="HA282" s="1218"/>
      <c r="HB282" s="1279"/>
      <c r="HC282" s="1218"/>
      <c r="HD282" s="2000"/>
      <c r="HE282" s="1279"/>
      <c r="HF282" s="1218"/>
      <c r="HG282" s="2000"/>
      <c r="HH282" s="1241"/>
      <c r="HI282" s="1279"/>
      <c r="HJ282" s="1218"/>
      <c r="HK282" s="2000"/>
      <c r="HL282" s="1279"/>
      <c r="HM282" s="1218"/>
      <c r="HN282" s="2000"/>
      <c r="HO282" s="1279"/>
      <c r="HP282" s="1218"/>
      <c r="HQ282" s="2000"/>
      <c r="HR282" s="1286"/>
    </row>
    <row r="283" spans="1:226">
      <c r="A283" s="1509"/>
      <c r="B283" s="1233"/>
      <c r="C283" s="860"/>
      <c r="D283" s="860"/>
      <c r="E283" s="860"/>
      <c r="F283" s="1232"/>
      <c r="G283" s="1233"/>
      <c r="H283" s="860"/>
      <c r="I283" s="860"/>
      <c r="J283" s="860"/>
      <c r="K283" s="1232"/>
      <c r="L283" s="1233"/>
      <c r="M283" s="860"/>
      <c r="N283" s="860"/>
      <c r="O283" s="860"/>
      <c r="P283" s="1232"/>
      <c r="Q283" s="1233"/>
      <c r="R283" s="860"/>
      <c r="S283" s="860"/>
      <c r="T283" s="860"/>
      <c r="U283" s="1232"/>
      <c r="V283" s="1233"/>
      <c r="W283" s="860"/>
      <c r="X283" s="860"/>
      <c r="Y283" s="860"/>
      <c r="Z283" s="1261"/>
      <c r="AA283" s="1242"/>
      <c r="AB283" s="1162"/>
      <c r="AC283" s="1162"/>
      <c r="AD283" s="1162"/>
      <c r="AE283" s="1261"/>
      <c r="AF283" s="1242"/>
      <c r="AG283" s="1162"/>
      <c r="AH283" s="1162"/>
      <c r="AI283" s="1162"/>
      <c r="AJ283" s="1261"/>
      <c r="AK283" s="1242"/>
      <c r="AL283" s="1162"/>
      <c r="AM283" s="1162"/>
      <c r="AN283" s="1162"/>
      <c r="AO283" s="1261"/>
      <c r="AP283" s="1242"/>
      <c r="AQ283" s="1162"/>
      <c r="AR283" s="1162"/>
      <c r="AS283" s="1162"/>
      <c r="AT283" s="1261"/>
      <c r="AU283" s="1242"/>
      <c r="AV283" s="1162"/>
      <c r="AW283" s="1162"/>
      <c r="AX283" s="1162"/>
      <c r="AY283" s="1261"/>
      <c r="AZ283" s="1242"/>
      <c r="BA283" s="1162"/>
      <c r="BB283" s="1162"/>
      <c r="BC283" s="1162"/>
      <c r="BD283" s="1261"/>
      <c r="BE283" s="1242"/>
      <c r="BF283" s="1162"/>
      <c r="BG283" s="1162"/>
      <c r="BH283" s="1162"/>
      <c r="BI283" s="1261"/>
      <c r="BJ283" s="1326"/>
      <c r="BK283" s="1274"/>
      <c r="BL283" s="1274"/>
      <c r="BM283" s="1274"/>
      <c r="BN283" s="1327"/>
      <c r="BO283" s="1326"/>
      <c r="BP283" s="1274"/>
      <c r="BQ283" s="1274"/>
      <c r="BR283" s="1274"/>
      <c r="BS283" s="1327"/>
      <c r="BT283" s="1326"/>
      <c r="BU283" s="1274"/>
      <c r="BV283" s="1274"/>
      <c r="BW283" s="1274"/>
      <c r="BX283" s="1327"/>
      <c r="BY283" s="1326"/>
      <c r="BZ283" s="1274"/>
      <c r="CA283" s="1274"/>
      <c r="CB283" s="1274"/>
      <c r="CC283" s="1769"/>
      <c r="CD283" s="1326"/>
      <c r="CE283" s="1274"/>
      <c r="CF283" s="1274"/>
      <c r="CG283" s="1274"/>
      <c r="CH283" s="1769"/>
      <c r="CI283" s="1274"/>
      <c r="CJ283" s="1162"/>
      <c r="CK283" s="1233"/>
      <c r="CL283" s="860"/>
      <c r="CM283" s="860"/>
      <c r="CN283" s="860"/>
      <c r="CO283" s="1232"/>
      <c r="CP283" s="1233"/>
      <c r="CQ283" s="860"/>
      <c r="CR283" s="860"/>
      <c r="CS283" s="860"/>
      <c r="CT283" s="1232"/>
      <c r="CU283" s="1233"/>
      <c r="CV283" s="860"/>
      <c r="CW283" s="860"/>
      <c r="CX283" s="1217"/>
      <c r="CY283" s="1232"/>
      <c r="CZ283" s="1233"/>
      <c r="DA283" s="860"/>
      <c r="DB283" s="860"/>
      <c r="DC283" s="860"/>
      <c r="DD283" s="1232"/>
      <c r="DE283" s="1233"/>
      <c r="DF283" s="860"/>
      <c r="DG283" s="860"/>
      <c r="DH283" s="860"/>
      <c r="DI283" s="1232"/>
      <c r="DJ283" s="1233"/>
      <c r="DK283" s="860"/>
      <c r="DL283" s="860"/>
      <c r="DM283" s="860"/>
      <c r="DN283" s="1232"/>
      <c r="DO283" s="1233"/>
      <c r="DP283" s="860"/>
      <c r="DQ283" s="860"/>
      <c r="DR283" s="860"/>
      <c r="DS283" s="1232"/>
      <c r="DT283" s="1233"/>
      <c r="DU283" s="860"/>
      <c r="DV283" s="860"/>
      <c r="DW283" s="860"/>
      <c r="DX283" s="1232"/>
      <c r="DY283" s="1233"/>
      <c r="DZ283" s="860"/>
      <c r="EA283" s="860"/>
      <c r="EB283" s="860"/>
      <c r="EC283" s="1232"/>
      <c r="ED283" s="860"/>
      <c r="EE283" s="860"/>
      <c r="EF283" s="860"/>
      <c r="EG283" s="860"/>
      <c r="EH283" s="860"/>
      <c r="EI283" s="1233"/>
      <c r="EJ283" s="860"/>
      <c r="EK283" s="860"/>
      <c r="EL283" s="860"/>
      <c r="EM283" s="1232"/>
      <c r="EN283" s="1233"/>
      <c r="EO283" s="860"/>
      <c r="EP283" s="860"/>
      <c r="EQ283" s="860"/>
      <c r="ER283" s="1232"/>
      <c r="ES283" s="860"/>
      <c r="ET283" s="860"/>
      <c r="EU283" s="860"/>
      <c r="EV283" s="860"/>
      <c r="EW283" s="1232"/>
      <c r="EX283" s="1233"/>
      <c r="EY283" s="860"/>
      <c r="EZ283" s="860"/>
      <c r="FA283" s="860"/>
      <c r="FB283" s="1754"/>
      <c r="FC283" s="1233"/>
      <c r="FD283" s="860"/>
      <c r="FE283" s="860"/>
      <c r="FF283" s="860"/>
      <c r="FG283" s="860"/>
      <c r="FH283" s="860"/>
      <c r="FI283" s="860"/>
      <c r="FJ283" s="860"/>
      <c r="FK283" s="860"/>
      <c r="FL283" s="860"/>
      <c r="FM283" s="860"/>
      <c r="FN283" s="860"/>
      <c r="FO283" s="860"/>
      <c r="FP283" s="860"/>
      <c r="FQ283" s="860"/>
      <c r="FR283" s="860"/>
      <c r="FS283" s="860"/>
      <c r="FT283" s="860"/>
      <c r="FU283" s="860"/>
      <c r="FV283" s="860"/>
      <c r="FW283" s="860"/>
      <c r="FX283" s="860"/>
      <c r="FY283" s="860"/>
      <c r="FZ283" s="860"/>
      <c r="GA283" s="860"/>
      <c r="GB283" s="860"/>
      <c r="GC283" s="860"/>
      <c r="GD283" s="860"/>
      <c r="GE283" s="860"/>
      <c r="GF283" s="860"/>
      <c r="GG283" s="860"/>
      <c r="GH283" s="860"/>
      <c r="GI283" s="860"/>
      <c r="GJ283" s="860"/>
      <c r="GK283" s="860"/>
      <c r="GL283" s="860"/>
      <c r="GM283" s="860"/>
      <c r="GN283" s="860"/>
      <c r="GO283" s="860"/>
      <c r="GP283" s="860"/>
      <c r="GQ283" s="860"/>
      <c r="GR283" s="1279"/>
      <c r="GS283" s="1218"/>
      <c r="GT283" s="1279"/>
      <c r="GU283" s="1218"/>
      <c r="GV283" s="1279"/>
      <c r="GW283" s="1218"/>
      <c r="GX283" s="1218"/>
      <c r="GY283" s="1279"/>
      <c r="GZ283" s="1218"/>
      <c r="HA283" s="1218"/>
      <c r="HB283" s="1279"/>
      <c r="HC283" s="1218"/>
      <c r="HD283" s="2000"/>
      <c r="HE283" s="1279"/>
      <c r="HF283" s="1218"/>
      <c r="HG283" s="2000"/>
      <c r="HH283" s="1241"/>
      <c r="HI283" s="1279"/>
      <c r="HJ283" s="1218"/>
      <c r="HK283" s="2000"/>
      <c r="HL283" s="1279"/>
      <c r="HM283" s="1218"/>
      <c r="HN283" s="2000"/>
      <c r="HO283" s="1279"/>
      <c r="HP283" s="1218"/>
      <c r="HQ283" s="2000"/>
      <c r="HR283" s="1279"/>
    </row>
    <row r="284" spans="1:226">
      <c r="A284" s="1509"/>
      <c r="B284" s="1233"/>
      <c r="C284" s="860"/>
      <c r="D284" s="860"/>
      <c r="E284" s="860"/>
      <c r="F284" s="1232"/>
      <c r="G284" s="1233"/>
      <c r="H284" s="860"/>
      <c r="I284" s="860"/>
      <c r="J284" s="860"/>
      <c r="K284" s="1232"/>
      <c r="L284" s="1233"/>
      <c r="M284" s="860"/>
      <c r="N284" s="860"/>
      <c r="O284" s="860"/>
      <c r="P284" s="1232"/>
      <c r="Q284" s="1233"/>
      <c r="R284" s="860"/>
      <c r="S284" s="860"/>
      <c r="T284" s="860"/>
      <c r="U284" s="1232"/>
      <c r="V284" s="1233"/>
      <c r="W284" s="860"/>
      <c r="X284" s="860"/>
      <c r="Y284" s="860"/>
      <c r="Z284" s="1261"/>
      <c r="AA284" s="1242"/>
      <c r="AB284" s="1162"/>
      <c r="AC284" s="1162"/>
      <c r="AD284" s="1162"/>
      <c r="AE284" s="1261"/>
      <c r="AF284" s="1242"/>
      <c r="AG284" s="1162"/>
      <c r="AH284" s="1162"/>
      <c r="AI284" s="1162"/>
      <c r="AJ284" s="1261"/>
      <c r="AK284" s="1242"/>
      <c r="AL284" s="1162"/>
      <c r="AM284" s="1162"/>
      <c r="AN284" s="1162"/>
      <c r="AO284" s="1261"/>
      <c r="AP284" s="1242"/>
      <c r="AQ284" s="1162"/>
      <c r="AR284" s="1162"/>
      <c r="AS284" s="1162"/>
      <c r="AT284" s="1261"/>
      <c r="AU284" s="1242"/>
      <c r="AV284" s="1162"/>
      <c r="AW284" s="1162"/>
      <c r="AX284" s="1162"/>
      <c r="AY284" s="1261"/>
      <c r="AZ284" s="1242"/>
      <c r="BA284" s="1162"/>
      <c r="BB284" s="1162"/>
      <c r="BC284" s="1162"/>
      <c r="BD284" s="1261"/>
      <c r="BE284" s="1242"/>
      <c r="BF284" s="1162"/>
      <c r="BG284" s="1162"/>
      <c r="BH284" s="1162"/>
      <c r="BI284" s="1261"/>
      <c r="BJ284" s="1326"/>
      <c r="BK284" s="1274"/>
      <c r="BL284" s="1274"/>
      <c r="BM284" s="1274"/>
      <c r="BN284" s="1327"/>
      <c r="BO284" s="1326"/>
      <c r="BP284" s="1274"/>
      <c r="BQ284" s="1274"/>
      <c r="BR284" s="1274"/>
      <c r="BS284" s="1327"/>
      <c r="BT284" s="1326"/>
      <c r="BU284" s="1274"/>
      <c r="BV284" s="1274"/>
      <c r="BW284" s="1274"/>
      <c r="BX284" s="1327"/>
      <c r="BY284" s="1326"/>
      <c r="BZ284" s="1274"/>
      <c r="CA284" s="1274"/>
      <c r="CB284" s="1274"/>
      <c r="CC284" s="1769"/>
      <c r="CD284" s="1326"/>
      <c r="CE284" s="1274"/>
      <c r="CF284" s="1274"/>
      <c r="CG284" s="1274"/>
      <c r="CH284" s="1769"/>
      <c r="CI284" s="1274"/>
      <c r="CJ284" s="1162"/>
      <c r="CK284" s="1233"/>
      <c r="CL284" s="860"/>
      <c r="CM284" s="860"/>
      <c r="CN284" s="860"/>
      <c r="CO284" s="1232"/>
      <c r="CP284" s="1233"/>
      <c r="CQ284" s="860"/>
      <c r="CR284" s="860"/>
      <c r="CS284" s="860"/>
      <c r="CT284" s="1232"/>
      <c r="CU284" s="1233"/>
      <c r="CV284" s="860"/>
      <c r="CW284" s="860"/>
      <c r="CX284" s="1217"/>
      <c r="CY284" s="1232"/>
      <c r="CZ284" s="1233"/>
      <c r="DA284" s="860"/>
      <c r="DB284" s="860"/>
      <c r="DC284" s="860"/>
      <c r="DD284" s="1232"/>
      <c r="DE284" s="1233"/>
      <c r="DF284" s="860"/>
      <c r="DG284" s="860"/>
      <c r="DH284" s="860"/>
      <c r="DI284" s="1232"/>
      <c r="DJ284" s="1233"/>
      <c r="DK284" s="860"/>
      <c r="DL284" s="860"/>
      <c r="DM284" s="860"/>
      <c r="DN284" s="1232"/>
      <c r="DO284" s="1233"/>
      <c r="DP284" s="860"/>
      <c r="DQ284" s="860"/>
      <c r="DR284" s="860"/>
      <c r="DS284" s="1232"/>
      <c r="DT284" s="1233"/>
      <c r="DU284" s="860"/>
      <c r="DV284" s="860"/>
      <c r="DW284" s="860"/>
      <c r="DX284" s="1232"/>
      <c r="DY284" s="1233"/>
      <c r="DZ284" s="860"/>
      <c r="EA284" s="860"/>
      <c r="EB284" s="860"/>
      <c r="EC284" s="1232"/>
      <c r="ED284" s="860"/>
      <c r="EE284" s="860"/>
      <c r="EF284" s="860"/>
      <c r="EG284" s="860"/>
      <c r="EH284" s="860"/>
      <c r="EI284" s="1233"/>
      <c r="EJ284" s="860"/>
      <c r="EK284" s="860"/>
      <c r="EL284" s="860"/>
      <c r="EM284" s="1232"/>
      <c r="EN284" s="1233"/>
      <c r="EO284" s="860"/>
      <c r="EP284" s="860"/>
      <c r="EQ284" s="860"/>
      <c r="ER284" s="1232"/>
      <c r="ES284" s="860"/>
      <c r="ET284" s="860"/>
      <c r="EU284" s="860"/>
      <c r="EV284" s="860"/>
      <c r="EW284" s="1232"/>
      <c r="EX284" s="1233"/>
      <c r="EY284" s="860"/>
      <c r="EZ284" s="860"/>
      <c r="FA284" s="860"/>
      <c r="FB284" s="1754"/>
      <c r="FC284" s="1233"/>
      <c r="FD284" s="860"/>
      <c r="FE284" s="860"/>
      <c r="FF284" s="860"/>
      <c r="FG284" s="860"/>
      <c r="FH284" s="860"/>
      <c r="FI284" s="860"/>
      <c r="FJ284" s="860"/>
      <c r="FK284" s="860"/>
      <c r="FL284" s="860"/>
      <c r="FM284" s="860"/>
      <c r="FN284" s="860"/>
      <c r="FO284" s="860"/>
      <c r="FP284" s="860"/>
      <c r="FQ284" s="860"/>
      <c r="FR284" s="860"/>
      <c r="FS284" s="860"/>
      <c r="FT284" s="860"/>
      <c r="FU284" s="860"/>
      <c r="FV284" s="860"/>
      <c r="FW284" s="860"/>
      <c r="FX284" s="860"/>
      <c r="FY284" s="860"/>
      <c r="FZ284" s="860"/>
      <c r="GA284" s="860"/>
      <c r="GB284" s="860"/>
      <c r="GC284" s="860"/>
      <c r="GD284" s="860"/>
      <c r="GE284" s="860"/>
      <c r="GF284" s="860"/>
      <c r="GG284" s="860"/>
      <c r="GH284" s="860"/>
      <c r="GI284" s="860"/>
      <c r="GJ284" s="860"/>
      <c r="GK284" s="860"/>
      <c r="GL284" s="860"/>
      <c r="GM284" s="860"/>
      <c r="GN284" s="860"/>
      <c r="GO284" s="860"/>
      <c r="GP284" s="860"/>
      <c r="GQ284" s="860"/>
      <c r="GR284" s="1279"/>
      <c r="GS284" s="1218"/>
      <c r="GT284" s="1279"/>
      <c r="GU284" s="1218"/>
      <c r="GV284" s="1279"/>
      <c r="GW284" s="1218"/>
      <c r="GX284" s="1218"/>
      <c r="GY284" s="1279"/>
      <c r="GZ284" s="1218"/>
      <c r="HA284" s="1218"/>
      <c r="HB284" s="1279"/>
      <c r="HC284" s="1218"/>
      <c r="HD284" s="2000"/>
      <c r="HE284" s="1279"/>
      <c r="HF284" s="1218"/>
      <c r="HG284" s="2000"/>
      <c r="HH284" s="1241"/>
      <c r="HI284" s="1279"/>
      <c r="HJ284" s="1218"/>
      <c r="HK284" s="2000"/>
      <c r="HL284" s="1279"/>
      <c r="HM284" s="1218"/>
      <c r="HN284" s="2000"/>
      <c r="HO284" s="1279"/>
      <c r="HP284" s="1218"/>
      <c r="HQ284" s="2000"/>
      <c r="HR284" s="1279"/>
    </row>
    <row r="285" spans="1:226">
      <c r="A285" s="1509"/>
      <c r="B285" s="1233"/>
      <c r="C285" s="860"/>
      <c r="D285" s="860"/>
      <c r="E285" s="860"/>
      <c r="F285" s="1232"/>
      <c r="G285" s="1233"/>
      <c r="H285" s="860"/>
      <c r="I285" s="860"/>
      <c r="J285" s="860"/>
      <c r="K285" s="1232"/>
      <c r="L285" s="1233"/>
      <c r="M285" s="860"/>
      <c r="N285" s="860"/>
      <c r="O285" s="860"/>
      <c r="P285" s="1232"/>
      <c r="Q285" s="1233"/>
      <c r="R285" s="860"/>
      <c r="S285" s="860"/>
      <c r="T285" s="860"/>
      <c r="U285" s="1232"/>
      <c r="V285" s="1233"/>
      <c r="W285" s="860"/>
      <c r="X285" s="860"/>
      <c r="Y285" s="860"/>
      <c r="Z285" s="1261"/>
      <c r="AA285" s="1242"/>
      <c r="AB285" s="1162"/>
      <c r="AC285" s="1162"/>
      <c r="AD285" s="1162"/>
      <c r="AE285" s="1261"/>
      <c r="AF285" s="1242"/>
      <c r="AG285" s="1162"/>
      <c r="AH285" s="1162"/>
      <c r="AI285" s="1162"/>
      <c r="AJ285" s="1261"/>
      <c r="AK285" s="1242"/>
      <c r="AL285" s="1162"/>
      <c r="AM285" s="1162"/>
      <c r="AN285" s="1162"/>
      <c r="AO285" s="1261"/>
      <c r="AP285" s="1242"/>
      <c r="AQ285" s="1162"/>
      <c r="AR285" s="1162"/>
      <c r="AS285" s="1162"/>
      <c r="AT285" s="1261"/>
      <c r="AU285" s="1242"/>
      <c r="AV285" s="1162"/>
      <c r="AW285" s="1162"/>
      <c r="AX285" s="1162"/>
      <c r="AY285" s="1261"/>
      <c r="AZ285" s="1242"/>
      <c r="BA285" s="1162"/>
      <c r="BB285" s="1162"/>
      <c r="BC285" s="1162"/>
      <c r="BD285" s="1261"/>
      <c r="BE285" s="1242"/>
      <c r="BF285" s="1162"/>
      <c r="BG285" s="1162"/>
      <c r="BH285" s="1162"/>
      <c r="BI285" s="1261"/>
      <c r="BJ285" s="1326"/>
      <c r="BK285" s="1274"/>
      <c r="BL285" s="1274"/>
      <c r="BM285" s="1274"/>
      <c r="BN285" s="1327"/>
      <c r="BO285" s="1326"/>
      <c r="BP285" s="1274"/>
      <c r="BQ285" s="1274"/>
      <c r="BR285" s="1274"/>
      <c r="BS285" s="1327"/>
      <c r="BT285" s="1326"/>
      <c r="BU285" s="1274"/>
      <c r="BV285" s="1274"/>
      <c r="BW285" s="1274"/>
      <c r="BX285" s="1327"/>
      <c r="BY285" s="1326"/>
      <c r="BZ285" s="1274"/>
      <c r="CA285" s="1274"/>
      <c r="CB285" s="1274"/>
      <c r="CC285" s="1769"/>
      <c r="CD285" s="1326"/>
      <c r="CE285" s="1274"/>
      <c r="CF285" s="1274"/>
      <c r="CG285" s="1274"/>
      <c r="CH285" s="1769"/>
      <c r="CI285" s="1274"/>
      <c r="CJ285" s="1162"/>
      <c r="CK285" s="1233"/>
      <c r="CL285" s="860"/>
      <c r="CM285" s="860"/>
      <c r="CN285" s="860"/>
      <c r="CO285" s="1232"/>
      <c r="CP285" s="1233"/>
      <c r="CQ285" s="860"/>
      <c r="CR285" s="860"/>
      <c r="CS285" s="860"/>
      <c r="CT285" s="1232"/>
      <c r="CU285" s="1233"/>
      <c r="CV285" s="860"/>
      <c r="CW285" s="860"/>
      <c r="CX285" s="1217"/>
      <c r="CY285" s="1232"/>
      <c r="CZ285" s="1233"/>
      <c r="DA285" s="860"/>
      <c r="DB285" s="860"/>
      <c r="DC285" s="860"/>
      <c r="DD285" s="1232"/>
      <c r="DE285" s="1233"/>
      <c r="DF285" s="860"/>
      <c r="DG285" s="860"/>
      <c r="DH285" s="860"/>
      <c r="DI285" s="1232"/>
      <c r="DJ285" s="1233"/>
      <c r="DK285" s="860"/>
      <c r="DL285" s="860"/>
      <c r="DM285" s="860"/>
      <c r="DN285" s="1232"/>
      <c r="DO285" s="1233"/>
      <c r="DP285" s="860"/>
      <c r="DQ285" s="860"/>
      <c r="DR285" s="860"/>
      <c r="DS285" s="1232"/>
      <c r="DT285" s="1233"/>
      <c r="DU285" s="860"/>
      <c r="DV285" s="860"/>
      <c r="DW285" s="860"/>
      <c r="DX285" s="1232"/>
      <c r="DY285" s="1233"/>
      <c r="DZ285" s="860"/>
      <c r="EA285" s="860"/>
      <c r="EB285" s="860"/>
      <c r="EC285" s="1232"/>
      <c r="ED285" s="860"/>
      <c r="EE285" s="860"/>
      <c r="EF285" s="860"/>
      <c r="EG285" s="860"/>
      <c r="EH285" s="860"/>
      <c r="EI285" s="1233"/>
      <c r="EJ285" s="860"/>
      <c r="EK285" s="860"/>
      <c r="EL285" s="860"/>
      <c r="EM285" s="1232"/>
      <c r="EN285" s="1233"/>
      <c r="EO285" s="860"/>
      <c r="EP285" s="860"/>
      <c r="EQ285" s="860"/>
      <c r="ER285" s="1232"/>
      <c r="ES285" s="860"/>
      <c r="ET285" s="860"/>
      <c r="EU285" s="860"/>
      <c r="EV285" s="860"/>
      <c r="EW285" s="1232"/>
      <c r="EX285" s="1233"/>
      <c r="EY285" s="860"/>
      <c r="EZ285" s="860"/>
      <c r="FA285" s="860"/>
      <c r="FB285" s="1754"/>
      <c r="FC285" s="1233"/>
      <c r="FD285" s="860"/>
      <c r="FE285" s="860"/>
      <c r="FF285" s="860"/>
      <c r="FG285" s="860"/>
      <c r="FH285" s="860"/>
      <c r="FI285" s="860"/>
      <c r="FJ285" s="860"/>
      <c r="FK285" s="860"/>
      <c r="FL285" s="860"/>
      <c r="FM285" s="860"/>
      <c r="FN285" s="860"/>
      <c r="FO285" s="860"/>
      <c r="FP285" s="860"/>
      <c r="FQ285" s="860"/>
      <c r="FR285" s="860"/>
      <c r="FS285" s="860"/>
      <c r="FT285" s="860"/>
      <c r="FU285" s="860"/>
      <c r="FV285" s="860"/>
      <c r="FW285" s="860"/>
      <c r="FX285" s="860"/>
      <c r="FY285" s="860"/>
      <c r="FZ285" s="860"/>
      <c r="GA285" s="860"/>
      <c r="GB285" s="860"/>
      <c r="GC285" s="860"/>
      <c r="GD285" s="860"/>
      <c r="GE285" s="860"/>
      <c r="GF285" s="860"/>
      <c r="GG285" s="860"/>
      <c r="GH285" s="860"/>
      <c r="GI285" s="860"/>
      <c r="GJ285" s="860"/>
      <c r="GK285" s="860"/>
      <c r="GL285" s="860"/>
      <c r="GM285" s="860"/>
      <c r="GN285" s="860"/>
      <c r="GO285" s="860"/>
      <c r="GP285" s="860"/>
      <c r="GQ285" s="860"/>
      <c r="GR285" s="1279"/>
      <c r="GS285" s="1218"/>
      <c r="GT285" s="1279"/>
      <c r="GU285" s="1218"/>
      <c r="GV285" s="1279"/>
      <c r="GW285" s="1218"/>
      <c r="GX285" s="1218"/>
      <c r="GY285" s="1279"/>
      <c r="GZ285" s="1218"/>
      <c r="HA285" s="1218"/>
      <c r="HB285" s="1279"/>
      <c r="HC285" s="1218"/>
      <c r="HD285" s="2000"/>
      <c r="HE285" s="1279"/>
      <c r="HF285" s="1218"/>
      <c r="HG285" s="2000"/>
      <c r="HH285" s="1241"/>
      <c r="HI285" s="1279"/>
      <c r="HJ285" s="1218"/>
      <c r="HK285" s="2000"/>
      <c r="HL285" s="1279"/>
      <c r="HM285" s="1218"/>
      <c r="HN285" s="2000"/>
      <c r="HO285" s="1279"/>
      <c r="HP285" s="1218"/>
      <c r="HQ285" s="2000"/>
      <c r="HR285" s="1279"/>
    </row>
    <row r="286" spans="1:226">
      <c r="A286" s="1679" t="s">
        <v>828</v>
      </c>
      <c r="B286" s="1354"/>
      <c r="C286" s="1294"/>
      <c r="D286" s="1294"/>
      <c r="E286" s="1294"/>
      <c r="F286" s="1269"/>
      <c r="G286" s="1354"/>
      <c r="H286" s="1294"/>
      <c r="I286" s="1294"/>
      <c r="J286" s="1294"/>
      <c r="K286" s="1269"/>
      <c r="L286" s="1354"/>
      <c r="M286" s="1294"/>
      <c r="N286" s="967"/>
      <c r="O286" s="1294"/>
      <c r="P286" s="1269"/>
      <c r="Q286" s="1354"/>
      <c r="R286" s="1294"/>
      <c r="S286" s="1294"/>
      <c r="T286" s="1294"/>
      <c r="U286" s="1269"/>
      <c r="V286" s="1354"/>
      <c r="W286" s="1294"/>
      <c r="X286" s="1294"/>
      <c r="Y286" s="1294"/>
      <c r="Z286" s="1335"/>
      <c r="AA286" s="1510"/>
      <c r="AB286" s="1295"/>
      <c r="AC286" s="1295"/>
      <c r="AD286" s="1295"/>
      <c r="AE286" s="1335"/>
      <c r="AF286" s="1510"/>
      <c r="AG286" s="1295"/>
      <c r="AH286" s="1295"/>
      <c r="AI286" s="1295"/>
      <c r="AJ286" s="1335"/>
      <c r="AK286" s="1510"/>
      <c r="AL286" s="1295"/>
      <c r="AM286" s="1295"/>
      <c r="AN286" s="1295"/>
      <c r="AO286" s="1335"/>
      <c r="AP286" s="1510"/>
      <c r="AQ286" s="1295"/>
      <c r="AR286" s="1295"/>
      <c r="AS286" s="1295"/>
      <c r="AT286" s="1335"/>
      <c r="AU286" s="1510"/>
      <c r="AV286" s="1295"/>
      <c r="AW286" s="1295"/>
      <c r="AX286" s="1295"/>
      <c r="AY286" s="1335"/>
      <c r="AZ286" s="1348" t="str">
        <f>AZ4</f>
        <v>1Q</v>
      </c>
      <c r="BA286" s="1313" t="str">
        <f>BA4</f>
        <v>2Q</v>
      </c>
      <c r="BB286" s="1313" t="str">
        <f>BB4</f>
        <v>3Q</v>
      </c>
      <c r="BC286" s="1313" t="str">
        <f>BC4</f>
        <v>4Q</v>
      </c>
      <c r="BD286" s="1335"/>
      <c r="BE286" s="1348" t="str">
        <f>BE4</f>
        <v>1Q</v>
      </c>
      <c r="BF286" s="1313" t="str">
        <f>BF4</f>
        <v>2Q</v>
      </c>
      <c r="BG286" s="1313" t="str">
        <f>BG4</f>
        <v>3Q</v>
      </c>
      <c r="BH286" s="1313" t="str">
        <f>BH4</f>
        <v>4Q</v>
      </c>
      <c r="BI286" s="1335"/>
      <c r="BJ286" s="1348" t="str">
        <f>BJ4</f>
        <v>1Q</v>
      </c>
      <c r="BK286" s="1313" t="str">
        <f>BK4</f>
        <v>2Q</v>
      </c>
      <c r="BL286" s="1313" t="str">
        <f>BL4</f>
        <v>3Q</v>
      </c>
      <c r="BM286" s="1313" t="str">
        <f>BM4</f>
        <v>4Q</v>
      </c>
      <c r="BN286" s="1335"/>
      <c r="BO286" s="1348" t="str">
        <f>BO4</f>
        <v>1Q</v>
      </c>
      <c r="BP286" s="1313" t="str">
        <f>BP4</f>
        <v>2Q</v>
      </c>
      <c r="BQ286" s="1313" t="str">
        <f>BQ4</f>
        <v>3Q</v>
      </c>
      <c r="BR286" s="1313" t="str">
        <f>BR4</f>
        <v>4Q</v>
      </c>
      <c r="BS286" s="1335"/>
      <c r="BT286" s="1348" t="str">
        <f>BT4</f>
        <v>1Q</v>
      </c>
      <c r="BU286" s="1313" t="str">
        <f>BU4</f>
        <v>2Q</v>
      </c>
      <c r="BV286" s="1313" t="str">
        <f>BV4</f>
        <v>3Q</v>
      </c>
      <c r="BW286" s="1313" t="str">
        <f>BW4</f>
        <v>4Q</v>
      </c>
      <c r="BX286" s="1335"/>
      <c r="BY286" s="1348" t="str">
        <f>BY4</f>
        <v>1Q</v>
      </c>
      <c r="BZ286" s="1313" t="str">
        <f>BZ4</f>
        <v>2Q</v>
      </c>
      <c r="CA286" s="1313" t="str">
        <f>CA4</f>
        <v>3Q</v>
      </c>
      <c r="CB286" s="1313" t="str">
        <f>CB4</f>
        <v>4Q</v>
      </c>
      <c r="CC286" s="1775"/>
      <c r="CD286" s="1348" t="str">
        <f>CD4</f>
        <v>1Q</v>
      </c>
      <c r="CE286" s="1313" t="str">
        <f>CE4</f>
        <v>2Q</v>
      </c>
      <c r="CF286" s="1313" t="str">
        <f>CF4</f>
        <v>3Q</v>
      </c>
      <c r="CG286" s="1313" t="str">
        <f>CG4</f>
        <v>4Q</v>
      </c>
      <c r="CH286" s="1775"/>
      <c r="CI286" s="1162"/>
      <c r="CJ286" s="1162"/>
      <c r="CK286" s="1233"/>
      <c r="CL286" s="860"/>
      <c r="CM286" s="860"/>
      <c r="CN286" s="860"/>
      <c r="CO286" s="1232"/>
      <c r="CP286" s="1233"/>
      <c r="CQ286" s="860"/>
      <c r="CR286" s="860"/>
      <c r="CS286" s="860"/>
      <c r="CT286" s="1232"/>
      <c r="CU286" s="1233"/>
      <c r="CV286" s="860"/>
      <c r="CW286" s="860"/>
      <c r="CX286" s="860"/>
      <c r="CY286" s="1232"/>
      <c r="CZ286" s="1233"/>
      <c r="DA286" s="860"/>
      <c r="DB286" s="860"/>
      <c r="DC286" s="860"/>
      <c r="DD286" s="1232"/>
      <c r="DE286" s="1233"/>
      <c r="DF286" s="860"/>
      <c r="DG286" s="860"/>
      <c r="DH286" s="860"/>
      <c r="DI286" s="1232"/>
      <c r="DJ286" s="1233"/>
      <c r="DK286" s="860"/>
      <c r="DL286" s="860"/>
      <c r="DM286" s="860"/>
      <c r="DN286" s="1232"/>
      <c r="DO286" s="1233"/>
      <c r="DP286" s="860"/>
      <c r="DQ286" s="860"/>
      <c r="DR286" s="860"/>
      <c r="DS286" s="1232"/>
      <c r="DT286" s="1233"/>
      <c r="DU286" s="860"/>
      <c r="DV286" s="860"/>
      <c r="DW286" s="860"/>
      <c r="DX286" s="1232"/>
      <c r="DY286" s="1233"/>
      <c r="DZ286" s="860"/>
      <c r="EA286" s="860"/>
      <c r="EB286" s="860"/>
      <c r="EC286" s="1232"/>
      <c r="ED286" s="860"/>
      <c r="EE286" s="860"/>
      <c r="EF286" s="860"/>
      <c r="EG286" s="860"/>
      <c r="EH286" s="860"/>
      <c r="EI286" s="1233"/>
      <c r="EJ286" s="860"/>
      <c r="EK286" s="860"/>
      <c r="EL286" s="860"/>
      <c r="EM286" s="1232"/>
      <c r="EN286" s="1233"/>
      <c r="EO286" s="860"/>
      <c r="EP286" s="860"/>
      <c r="EQ286" s="860"/>
      <c r="ER286" s="1232"/>
      <c r="ES286" s="860"/>
      <c r="ET286" s="860"/>
      <c r="EU286" s="860"/>
      <c r="EV286" s="860"/>
      <c r="EW286" s="1232"/>
      <c r="EX286" s="1233"/>
      <c r="EY286" s="860"/>
      <c r="EZ286" s="860"/>
      <c r="FA286" s="860"/>
      <c r="FB286" s="1754"/>
      <c r="FC286" s="1233"/>
      <c r="FD286" s="860"/>
      <c r="FE286" s="860"/>
      <c r="FF286" s="860"/>
      <c r="FG286" s="860"/>
      <c r="FH286" s="860"/>
      <c r="FI286" s="860"/>
      <c r="FJ286" s="860"/>
      <c r="FK286" s="860"/>
      <c r="FL286" s="860"/>
      <c r="FM286" s="860"/>
      <c r="FN286" s="860"/>
      <c r="FO286" s="860"/>
      <c r="FP286" s="860"/>
      <c r="FQ286" s="860"/>
      <c r="FR286" s="860"/>
      <c r="FS286" s="860"/>
      <c r="FT286" s="860"/>
      <c r="FU286" s="860"/>
      <c r="FV286" s="860"/>
      <c r="FW286" s="860"/>
      <c r="FX286" s="860"/>
      <c r="FY286" s="860"/>
      <c r="FZ286" s="860"/>
      <c r="GA286" s="860"/>
      <c r="GB286" s="860"/>
      <c r="GC286" s="860"/>
      <c r="GD286" s="860"/>
      <c r="GE286" s="860"/>
      <c r="GF286" s="860"/>
      <c r="GG286" s="860"/>
      <c r="GH286" s="860"/>
      <c r="GI286" s="860"/>
      <c r="GJ286" s="860"/>
      <c r="GK286" s="860"/>
      <c r="GL286" s="860"/>
      <c r="GM286" s="860"/>
      <c r="GN286" s="860"/>
      <c r="GO286" s="860"/>
      <c r="GP286" s="860"/>
      <c r="GQ286" s="860"/>
      <c r="GR286" s="1241"/>
      <c r="GS286" s="1218"/>
      <c r="GT286" s="1241"/>
      <c r="GU286" s="1218"/>
      <c r="GV286" s="1241"/>
      <c r="GW286" s="1218"/>
      <c r="GX286" s="1218"/>
      <c r="GY286" s="1241"/>
      <c r="GZ286" s="1218"/>
      <c r="HA286" s="1218"/>
      <c r="HB286" s="1640" t="s">
        <v>690</v>
      </c>
      <c r="HC286" s="1218"/>
      <c r="HD286" s="2000"/>
      <c r="HE286" s="1640" t="s">
        <v>691</v>
      </c>
      <c r="HF286" s="1218"/>
      <c r="HG286" s="2000"/>
      <c r="HH286" s="1241"/>
      <c r="HI286" s="1640" t="s">
        <v>689</v>
      </c>
      <c r="HJ286" s="1218"/>
      <c r="HK286" s="2000"/>
      <c r="HL286" s="1640" t="s">
        <v>690</v>
      </c>
      <c r="HM286" s="1218"/>
      <c r="HN286" s="2000"/>
      <c r="HO286" s="1640" t="s">
        <v>8073</v>
      </c>
      <c r="HP286" s="1218"/>
      <c r="HQ286" s="2000"/>
      <c r="HR286" s="1315" t="s">
        <v>688</v>
      </c>
    </row>
    <row r="287" spans="1:226">
      <c r="A287" s="1132" t="s">
        <v>6</v>
      </c>
      <c r="B287" s="1233"/>
      <c r="C287" s="860"/>
      <c r="D287" s="860"/>
      <c r="E287" s="860"/>
      <c r="F287" s="1232"/>
      <c r="G287" s="1233"/>
      <c r="H287" s="860"/>
      <c r="I287" s="860"/>
      <c r="J287" s="860"/>
      <c r="K287" s="1232"/>
      <c r="L287" s="1233"/>
      <c r="M287" s="860"/>
      <c r="N287" s="860"/>
      <c r="O287" s="860"/>
      <c r="P287" s="1232"/>
      <c r="Q287" s="1233"/>
      <c r="R287" s="860"/>
      <c r="S287" s="860"/>
      <c r="T287" s="860"/>
      <c r="U287" s="1232"/>
      <c r="V287" s="1233"/>
      <c r="W287" s="860"/>
      <c r="X287" s="860"/>
      <c r="Y287" s="860"/>
      <c r="Z287" s="1261"/>
      <c r="AA287" s="1242"/>
      <c r="AB287" s="1162"/>
      <c r="AC287" s="1162"/>
      <c r="AD287" s="1162"/>
      <c r="AE287" s="1261"/>
      <c r="AF287" s="1242"/>
      <c r="AG287" s="1162"/>
      <c r="AH287" s="1162"/>
      <c r="AI287" s="1162"/>
      <c r="AJ287" s="1261"/>
      <c r="AK287" s="1242"/>
      <c r="AL287" s="1162"/>
      <c r="AM287" s="1162"/>
      <c r="AN287" s="1162"/>
      <c r="AO287" s="1261"/>
      <c r="AP287" s="1242"/>
      <c r="AQ287" s="1162"/>
      <c r="AR287" s="1162"/>
      <c r="AS287" s="1162"/>
      <c r="AT287" s="1261"/>
      <c r="AU287" s="1242"/>
      <c r="AV287" s="1162"/>
      <c r="AW287" s="1162"/>
      <c r="AX287" s="1298">
        <v>7429.3509999999997</v>
      </c>
      <c r="AY287" s="1341">
        <f>AX287</f>
        <v>7429.3509999999997</v>
      </c>
      <c r="AZ287" s="1242"/>
      <c r="BA287" s="1162"/>
      <c r="BB287" s="1162"/>
      <c r="BC287" s="1298">
        <v>7477.2939999999999</v>
      </c>
      <c r="BD287" s="1341">
        <f>BC287</f>
        <v>7477.2939999999999</v>
      </c>
      <c r="BE287" s="1242"/>
      <c r="BF287" s="1162"/>
      <c r="BG287" s="1162"/>
      <c r="BH287" s="1298">
        <v>7408.0749999999998</v>
      </c>
      <c r="BI287" s="1341">
        <f>BH287</f>
        <v>7408.0749999999998</v>
      </c>
      <c r="BJ287" s="1326"/>
      <c r="BK287" s="1274"/>
      <c r="BL287" s="1274"/>
      <c r="BM287" s="1298">
        <v>6257.0590000000002</v>
      </c>
      <c r="BN287" s="1341">
        <f>BM287</f>
        <v>6257.0590000000002</v>
      </c>
      <c r="BO287" s="1298">
        <v>6073.3220000000001</v>
      </c>
      <c r="BP287" s="1298">
        <v>5909.2280000000001</v>
      </c>
      <c r="BQ287" s="1298">
        <v>5697.9470000000001</v>
      </c>
      <c r="BR287" s="1298">
        <v>5567.4260000000004</v>
      </c>
      <c r="BS287" s="1341">
        <f>BR287</f>
        <v>5567.4260000000004</v>
      </c>
      <c r="BT287" s="1350">
        <v>5354.9939999999997</v>
      </c>
      <c r="BU287" s="1298">
        <v>5144.8940000000002</v>
      </c>
      <c r="BV287" s="1298">
        <v>4927.9279999999999</v>
      </c>
      <c r="BW287" s="1298">
        <v>4696.0379999999996</v>
      </c>
      <c r="BX287" s="1341">
        <f>BW287</f>
        <v>4696.0379999999996</v>
      </c>
      <c r="BY287" s="1350">
        <v>4404.5339999999997</v>
      </c>
      <c r="BZ287" s="1298">
        <v>4093.569</v>
      </c>
      <c r="CA287" s="1298">
        <v>3793.8119999999999</v>
      </c>
      <c r="CB287" s="1298">
        <v>3516.1959999999999</v>
      </c>
      <c r="CC287" s="1769"/>
      <c r="CD287" s="1350">
        <v>3215.605</v>
      </c>
      <c r="CE287" s="2039">
        <v>2960</v>
      </c>
      <c r="CF287" s="2039">
        <v>2730</v>
      </c>
      <c r="CG287" s="2039">
        <f>CH287</f>
        <v>2516.1959999999999</v>
      </c>
      <c r="CH287" s="1769">
        <f>'SKY Mex'!W5</f>
        <v>2516.1959999999999</v>
      </c>
      <c r="CI287" s="1274"/>
      <c r="CJ287" s="1162"/>
      <c r="CK287" s="1233"/>
      <c r="CL287" s="860"/>
      <c r="CM287" s="860"/>
      <c r="CN287" s="860"/>
      <c r="CO287" s="1232"/>
      <c r="CP287" s="1233"/>
      <c r="CQ287" s="860"/>
      <c r="CR287" s="860"/>
      <c r="CS287" s="860"/>
      <c r="CT287" s="1232"/>
      <c r="CU287" s="1233"/>
      <c r="CV287" s="860"/>
      <c r="CW287" s="860"/>
      <c r="CX287" s="1217"/>
      <c r="CY287" s="1232"/>
      <c r="CZ287" s="1233"/>
      <c r="DA287" s="860"/>
      <c r="DB287" s="860"/>
      <c r="DC287" s="860"/>
      <c r="DD287" s="1232"/>
      <c r="DE287" s="1233"/>
      <c r="DF287" s="860"/>
      <c r="DG287" s="860"/>
      <c r="DH287" s="860"/>
      <c r="DI287" s="1232"/>
      <c r="DJ287" s="1233"/>
      <c r="DK287" s="860"/>
      <c r="DL287" s="860"/>
      <c r="DM287" s="860"/>
      <c r="DN287" s="1232"/>
      <c r="DO287" s="1233"/>
      <c r="DP287" s="860"/>
      <c r="DQ287" s="860"/>
      <c r="DR287" s="860"/>
      <c r="DS287" s="1232"/>
      <c r="DT287" s="1233"/>
      <c r="DU287" s="860"/>
      <c r="DV287" s="860"/>
      <c r="DW287" s="860"/>
      <c r="DX287" s="1232"/>
      <c r="DY287" s="1233"/>
      <c r="DZ287" s="860"/>
      <c r="EA287" s="860"/>
      <c r="EB287" s="860"/>
      <c r="EC287" s="1232"/>
      <c r="ED287" s="860"/>
      <c r="EE287" s="860"/>
      <c r="EF287" s="860"/>
      <c r="EG287" s="860"/>
      <c r="EH287" s="860"/>
      <c r="EI287" s="1233"/>
      <c r="EJ287" s="860"/>
      <c r="EK287" s="860"/>
      <c r="EL287" s="860"/>
      <c r="EM287" s="1232"/>
      <c r="EN287" s="1233"/>
      <c r="EO287" s="860"/>
      <c r="EP287" s="860"/>
      <c r="EQ287" s="860"/>
      <c r="ER287" s="1232"/>
      <c r="ES287" s="860"/>
      <c r="ET287" s="860"/>
      <c r="EU287" s="860"/>
      <c r="EV287" s="860"/>
      <c r="EW287" s="1232"/>
      <c r="EX287" s="1233"/>
      <c r="EY287" s="860"/>
      <c r="EZ287" s="860"/>
      <c r="FA287" s="860"/>
      <c r="FB287" s="1754"/>
      <c r="FC287" s="1233"/>
      <c r="FD287" s="860"/>
      <c r="FE287" s="860"/>
      <c r="FF287" s="860"/>
      <c r="FG287" s="860"/>
      <c r="FH287" s="860"/>
      <c r="FI287" s="860"/>
      <c r="FJ287" s="860"/>
      <c r="FK287" s="860"/>
      <c r="FL287" s="860"/>
      <c r="FM287" s="860"/>
      <c r="FN287" s="860"/>
      <c r="FO287" s="860"/>
      <c r="FP287" s="860"/>
      <c r="FQ287" s="860"/>
      <c r="FR287" s="860"/>
      <c r="FS287" s="860"/>
      <c r="FT287" s="860"/>
      <c r="FU287" s="860"/>
      <c r="FV287" s="860"/>
      <c r="FW287" s="860"/>
      <c r="FX287" s="860"/>
      <c r="FY287" s="860"/>
      <c r="FZ287" s="860"/>
      <c r="GA287" s="860"/>
      <c r="GB287" s="860"/>
      <c r="GC287" s="860"/>
      <c r="GD287" s="860"/>
      <c r="GE287" s="860"/>
      <c r="GF287" s="860"/>
      <c r="GG287" s="860"/>
      <c r="GH287" s="860"/>
      <c r="GI287" s="860"/>
      <c r="GJ287" s="860"/>
      <c r="GK287" s="860"/>
      <c r="GL287" s="860"/>
      <c r="GM287" s="860"/>
      <c r="GN287" s="860"/>
      <c r="GO287" s="860"/>
      <c r="GP287" s="860"/>
      <c r="GQ287" s="860"/>
      <c r="GR287" s="1279"/>
      <c r="GS287" s="1218"/>
      <c r="GT287" s="1279"/>
      <c r="GU287" s="1218"/>
      <c r="GV287" s="1279"/>
      <c r="GW287" s="1218"/>
      <c r="GX287" s="1218"/>
      <c r="GY287" s="1279"/>
      <c r="GZ287" s="1218"/>
      <c r="HA287" s="1218"/>
      <c r="HB287" s="1279"/>
      <c r="HC287" s="1218"/>
      <c r="HD287" s="2000"/>
      <c r="HE287" s="1279"/>
      <c r="HF287" s="1218"/>
      <c r="HG287" s="2000"/>
      <c r="HH287" s="1241"/>
      <c r="HI287" s="1299">
        <v>4104.5339999999997</v>
      </c>
      <c r="HJ287" s="1218"/>
      <c r="HK287" s="2000"/>
      <c r="HL287" s="1299">
        <v>3793.569</v>
      </c>
      <c r="HM287" s="1218"/>
      <c r="HN287" s="2000"/>
      <c r="HO287" s="1299">
        <v>3493.8119999999999</v>
      </c>
      <c r="HP287" s="1218"/>
      <c r="HQ287" s="2000"/>
      <c r="HR287" s="1299">
        <v>3215.605</v>
      </c>
    </row>
    <row r="288" spans="1:226">
      <c r="A288" s="1132" t="s">
        <v>519</v>
      </c>
      <c r="B288" s="1233"/>
      <c r="C288" s="860"/>
      <c r="D288" s="860"/>
      <c r="E288" s="860"/>
      <c r="F288" s="1232"/>
      <c r="G288" s="1233"/>
      <c r="H288" s="860"/>
      <c r="I288" s="860"/>
      <c r="J288" s="860"/>
      <c r="K288" s="1232"/>
      <c r="L288" s="1233"/>
      <c r="M288" s="860"/>
      <c r="N288" s="860"/>
      <c r="O288" s="860"/>
      <c r="P288" s="1232"/>
      <c r="Q288" s="1233"/>
      <c r="R288" s="860"/>
      <c r="S288" s="860"/>
      <c r="T288" s="860"/>
      <c r="U288" s="1232"/>
      <c r="V288" s="1233"/>
      <c r="W288" s="860"/>
      <c r="X288" s="860"/>
      <c r="Y288" s="860"/>
      <c r="Z288" s="1261"/>
      <c r="AA288" s="1242"/>
      <c r="AB288" s="1162"/>
      <c r="AC288" s="1162"/>
      <c r="AD288" s="1162"/>
      <c r="AE288" s="1261"/>
      <c r="AF288" s="1242"/>
      <c r="AG288" s="1162"/>
      <c r="AH288" s="1162"/>
      <c r="AI288" s="1162"/>
      <c r="AJ288" s="1261"/>
      <c r="AK288" s="1242"/>
      <c r="AL288" s="1162"/>
      <c r="AM288" s="1162"/>
      <c r="AN288" s="1162"/>
      <c r="AO288" s="1261"/>
      <c r="AP288" s="1242"/>
      <c r="AQ288" s="1162"/>
      <c r="AR288" s="1162"/>
      <c r="AS288" s="1162"/>
      <c r="AT288" s="1261"/>
      <c r="AU288" s="1242"/>
      <c r="AV288" s="1162"/>
      <c r="AW288" s="1162"/>
      <c r="AX288" s="1298">
        <v>386.11399999999998</v>
      </c>
      <c r="AY288" s="1341">
        <f>AX288</f>
        <v>386.11399999999998</v>
      </c>
      <c r="AZ288" s="1242"/>
      <c r="BA288" s="1162"/>
      <c r="BB288" s="1162"/>
      <c r="BC288" s="1298">
        <v>665.90700000000004</v>
      </c>
      <c r="BD288" s="1341">
        <f>BC288</f>
        <v>665.90700000000004</v>
      </c>
      <c r="BE288" s="1242"/>
      <c r="BF288" s="1162"/>
      <c r="BG288" s="1162"/>
      <c r="BH288" s="1298">
        <v>727.226</v>
      </c>
      <c r="BI288" s="1341">
        <f>BH288</f>
        <v>727.226</v>
      </c>
      <c r="BJ288" s="1326"/>
      <c r="BK288" s="1274"/>
      <c r="BL288" s="1274"/>
      <c r="BM288" s="1298">
        <v>640.29399999999998</v>
      </c>
      <c r="BN288" s="1341">
        <f>BM288</f>
        <v>640.29399999999998</v>
      </c>
      <c r="BO288" s="1298">
        <v>608.12199999999996</v>
      </c>
      <c r="BP288" s="1298">
        <v>575.26199999999994</v>
      </c>
      <c r="BQ288" s="1298">
        <v>544.95399999999995</v>
      </c>
      <c r="BR288" s="1298">
        <v>515.08900000000006</v>
      </c>
      <c r="BS288" s="1341">
        <f>BR288</f>
        <v>515.08900000000006</v>
      </c>
      <c r="BT288" s="1350">
        <v>480.875</v>
      </c>
      <c r="BU288" s="1298">
        <v>438.6</v>
      </c>
      <c r="BV288" s="1298">
        <v>389.30500000000001</v>
      </c>
      <c r="BW288" s="1298">
        <v>350.88499999999999</v>
      </c>
      <c r="BX288" s="1341">
        <f>BW288</f>
        <v>350.88499999999999</v>
      </c>
      <c r="BY288" s="1350">
        <v>314.697</v>
      </c>
      <c r="BZ288" s="1298">
        <v>280.214</v>
      </c>
      <c r="CA288" s="1298">
        <v>251.26300000000001</v>
      </c>
      <c r="CB288" s="1298">
        <v>225.376</v>
      </c>
      <c r="CC288" s="1769">
        <f>Cable!T173</f>
        <v>225.376</v>
      </c>
      <c r="CD288" s="1350">
        <v>200.96700000000001</v>
      </c>
      <c r="CE288" s="2039">
        <v>175</v>
      </c>
      <c r="CF288" s="2039">
        <v>150</v>
      </c>
      <c r="CG288" s="2039">
        <f t="shared" ref="CG288:CG290" si="292">CH288</f>
        <v>125.376</v>
      </c>
      <c r="CH288" s="1769">
        <f>'SKY Mex'!W6</f>
        <v>125.376</v>
      </c>
      <c r="CI288" s="1274"/>
      <c r="CJ288" s="1162"/>
      <c r="CK288" s="1233"/>
      <c r="CL288" s="860"/>
      <c r="CM288" s="860"/>
      <c r="CN288" s="860"/>
      <c r="CO288" s="1232"/>
      <c r="CP288" s="1233"/>
      <c r="CQ288" s="860"/>
      <c r="CR288" s="860"/>
      <c r="CS288" s="860"/>
      <c r="CT288" s="1232"/>
      <c r="CU288" s="1233"/>
      <c r="CV288" s="860"/>
      <c r="CW288" s="860"/>
      <c r="CX288" s="1217"/>
      <c r="CY288" s="1232"/>
      <c r="CZ288" s="1233"/>
      <c r="DA288" s="860"/>
      <c r="DB288" s="860"/>
      <c r="DC288" s="860"/>
      <c r="DD288" s="1232"/>
      <c r="DE288" s="1233"/>
      <c r="DF288" s="860"/>
      <c r="DG288" s="860"/>
      <c r="DH288" s="860"/>
      <c r="DI288" s="1232"/>
      <c r="DJ288" s="1233"/>
      <c r="DK288" s="860"/>
      <c r="DL288" s="860"/>
      <c r="DM288" s="860"/>
      <c r="DN288" s="1232"/>
      <c r="DO288" s="1233"/>
      <c r="DP288" s="860"/>
      <c r="DQ288" s="860"/>
      <c r="DR288" s="860"/>
      <c r="DS288" s="1232"/>
      <c r="DT288" s="1233"/>
      <c r="DU288" s="860"/>
      <c r="DV288" s="860"/>
      <c r="DW288" s="860"/>
      <c r="DX288" s="1232"/>
      <c r="DY288" s="1233"/>
      <c r="DZ288" s="860"/>
      <c r="EA288" s="860"/>
      <c r="EB288" s="860"/>
      <c r="EC288" s="1232"/>
      <c r="ED288" s="860"/>
      <c r="EE288" s="860"/>
      <c r="EF288" s="860"/>
      <c r="EG288" s="860"/>
      <c r="EH288" s="860"/>
      <c r="EI288" s="1233"/>
      <c r="EJ288" s="860"/>
      <c r="EK288" s="860"/>
      <c r="EL288" s="860"/>
      <c r="EM288" s="1232"/>
      <c r="EN288" s="1233"/>
      <c r="EO288" s="860"/>
      <c r="EP288" s="860"/>
      <c r="EQ288" s="860"/>
      <c r="ER288" s="1232"/>
      <c r="ES288" s="860"/>
      <c r="ET288" s="860"/>
      <c r="EU288" s="860"/>
      <c r="EV288" s="860"/>
      <c r="EW288" s="1232"/>
      <c r="EX288" s="1233"/>
      <c r="EY288" s="860"/>
      <c r="EZ288" s="860"/>
      <c r="FA288" s="860"/>
      <c r="FB288" s="1754"/>
      <c r="FC288" s="1233"/>
      <c r="FD288" s="860"/>
      <c r="FE288" s="860"/>
      <c r="FF288" s="860"/>
      <c r="FG288" s="860"/>
      <c r="FH288" s="860"/>
      <c r="FI288" s="860"/>
      <c r="FJ288" s="860"/>
      <c r="FK288" s="860"/>
      <c r="FL288" s="860"/>
      <c r="FM288" s="860"/>
      <c r="FN288" s="860"/>
      <c r="FO288" s="860"/>
      <c r="FP288" s="860"/>
      <c r="FQ288" s="860"/>
      <c r="FR288" s="860"/>
      <c r="FS288" s="860"/>
      <c r="FT288" s="860"/>
      <c r="FU288" s="860"/>
      <c r="FV288" s="860"/>
      <c r="FW288" s="860"/>
      <c r="FX288" s="860"/>
      <c r="FY288" s="860"/>
      <c r="FZ288" s="860"/>
      <c r="GA288" s="860"/>
      <c r="GB288" s="860"/>
      <c r="GC288" s="860"/>
      <c r="GD288" s="860"/>
      <c r="GE288" s="860"/>
      <c r="GF288" s="860"/>
      <c r="GG288" s="860"/>
      <c r="GH288" s="860"/>
      <c r="GI288" s="860"/>
      <c r="GJ288" s="860"/>
      <c r="GK288" s="860"/>
      <c r="GL288" s="860"/>
      <c r="GM288" s="860"/>
      <c r="GN288" s="860"/>
      <c r="GO288" s="860"/>
      <c r="GP288" s="860"/>
      <c r="GQ288" s="860"/>
      <c r="GR288" s="1279"/>
      <c r="GS288" s="1218"/>
      <c r="GT288" s="1279"/>
      <c r="GU288" s="1218"/>
      <c r="GV288" s="1279"/>
      <c r="GW288" s="1218"/>
      <c r="GX288" s="1218"/>
      <c r="GY288" s="1279"/>
      <c r="GZ288" s="1218"/>
      <c r="HA288" s="1218"/>
      <c r="HB288" s="1279"/>
      <c r="HC288" s="1218"/>
      <c r="HD288" s="2000"/>
      <c r="HE288" s="1279"/>
      <c r="HF288" s="1218"/>
      <c r="HG288" s="2000"/>
      <c r="HH288" s="1241"/>
      <c r="HI288" s="1299">
        <v>279.697</v>
      </c>
      <c r="HJ288" s="1218"/>
      <c r="HK288" s="2000"/>
      <c r="HL288" s="1299">
        <v>245</v>
      </c>
      <c r="HM288" s="1218"/>
      <c r="HN288" s="2000"/>
      <c r="HO288" s="1299">
        <v>220</v>
      </c>
      <c r="HP288" s="1218"/>
      <c r="HQ288" s="2000"/>
      <c r="HR288" s="1299">
        <v>200.96700000000001</v>
      </c>
    </row>
    <row r="289" spans="1:226">
      <c r="A289" s="1132" t="s">
        <v>518</v>
      </c>
      <c r="B289" s="1233"/>
      <c r="C289" s="860"/>
      <c r="D289" s="860"/>
      <c r="E289" s="860"/>
      <c r="F289" s="1232"/>
      <c r="G289" s="1233"/>
      <c r="H289" s="860"/>
      <c r="I289" s="860"/>
      <c r="J289" s="860"/>
      <c r="K289" s="1232"/>
      <c r="L289" s="1233"/>
      <c r="M289" s="860"/>
      <c r="N289" s="860"/>
      <c r="O289" s="860"/>
      <c r="P289" s="1232"/>
      <c r="Q289" s="1233"/>
      <c r="R289" s="860"/>
      <c r="S289" s="860"/>
      <c r="T289" s="860"/>
      <c r="U289" s="1232"/>
      <c r="V289" s="1233"/>
      <c r="W289" s="860"/>
      <c r="X289" s="860"/>
      <c r="Y289" s="860"/>
      <c r="Z289" s="1261"/>
      <c r="AA289" s="1242"/>
      <c r="AB289" s="1162"/>
      <c r="AC289" s="1162"/>
      <c r="AD289" s="1162"/>
      <c r="AE289" s="1261"/>
      <c r="AF289" s="1242"/>
      <c r="AG289" s="1162"/>
      <c r="AH289" s="1162"/>
      <c r="AI289" s="1162"/>
      <c r="AJ289" s="1261"/>
      <c r="AK289" s="1242"/>
      <c r="AL289" s="1162"/>
      <c r="AM289" s="1162"/>
      <c r="AN289" s="1162"/>
      <c r="AO289" s="1261"/>
      <c r="AP289" s="1242"/>
      <c r="AQ289" s="1162"/>
      <c r="AR289" s="1162"/>
      <c r="AS289" s="1162"/>
      <c r="AT289" s="1261"/>
      <c r="AU289" s="1242"/>
      <c r="AV289" s="1162"/>
      <c r="AW289" s="1162"/>
      <c r="AX289" s="1298">
        <v>1.145</v>
      </c>
      <c r="AY289" s="1341">
        <f>AX289</f>
        <v>1.145</v>
      </c>
      <c r="AZ289" s="1242"/>
      <c r="BA289" s="1162"/>
      <c r="BB289" s="1162"/>
      <c r="BC289" s="1298">
        <v>0.89200000000000002</v>
      </c>
      <c r="BD289" s="1341">
        <f>BC289</f>
        <v>0.89200000000000002</v>
      </c>
      <c r="BE289" s="1242"/>
      <c r="BF289" s="1162"/>
      <c r="BG289" s="1162"/>
      <c r="BH289" s="1298">
        <v>0.60099999999999998</v>
      </c>
      <c r="BI289" s="1341">
        <f>BH289</f>
        <v>0.60099999999999998</v>
      </c>
      <c r="BJ289" s="1326"/>
      <c r="BK289" s="1274"/>
      <c r="BL289" s="1274"/>
      <c r="BM289" s="1298">
        <v>0.45300000000000001</v>
      </c>
      <c r="BN289" s="1341">
        <f>BM289</f>
        <v>0.45300000000000001</v>
      </c>
      <c r="BO289" s="1298">
        <v>0.42699999999999999</v>
      </c>
      <c r="BP289" s="1298">
        <v>0.39800000000000002</v>
      </c>
      <c r="BQ289" s="1298">
        <v>0.36499999999999999</v>
      </c>
      <c r="BR289" s="1298">
        <v>0.34399999999999997</v>
      </c>
      <c r="BS289" s="1341">
        <f>BR289</f>
        <v>0.34399999999999997</v>
      </c>
      <c r="BT289" s="1350">
        <v>0.32300000000000001</v>
      </c>
      <c r="BU289" s="1298">
        <v>0.26500000000000001</v>
      </c>
      <c r="BV289" s="1298">
        <v>0.23599999999999999</v>
      </c>
      <c r="BW289" s="1298">
        <v>0.19700000000000001</v>
      </c>
      <c r="BX289" s="1341">
        <f>BW289</f>
        <v>0.19700000000000001</v>
      </c>
      <c r="BY289" s="1350">
        <v>0.186</v>
      </c>
      <c r="BZ289" s="1298">
        <v>0.16200000000000001</v>
      </c>
      <c r="CA289" s="1298">
        <v>0.16300000000000001</v>
      </c>
      <c r="CB289" s="1298">
        <v>0.14899999999999999</v>
      </c>
      <c r="CC289" s="1769"/>
      <c r="CD289" s="1350">
        <v>0.154</v>
      </c>
      <c r="CE289" s="2039">
        <v>0</v>
      </c>
      <c r="CF289" s="2039">
        <v>0</v>
      </c>
      <c r="CG289" s="2039">
        <f t="shared" ca="1" si="292"/>
        <v>0</v>
      </c>
      <c r="CH289" s="1769">
        <f ca="1">'SKY Mex'!W7</f>
        <v>0</v>
      </c>
      <c r="CI289" s="1274"/>
      <c r="CJ289" s="1162"/>
      <c r="CK289" s="1233"/>
      <c r="CL289" s="860"/>
      <c r="CM289" s="860"/>
      <c r="CN289" s="860"/>
      <c r="CO289" s="1232"/>
      <c r="CP289" s="1233"/>
      <c r="CQ289" s="860"/>
      <c r="CR289" s="860"/>
      <c r="CS289" s="860"/>
      <c r="CT289" s="1232"/>
      <c r="CU289" s="1233"/>
      <c r="CV289" s="860"/>
      <c r="CW289" s="860"/>
      <c r="CX289" s="1217"/>
      <c r="CY289" s="1232"/>
      <c r="CZ289" s="1233"/>
      <c r="DA289" s="860"/>
      <c r="DB289" s="860"/>
      <c r="DC289" s="860"/>
      <c r="DD289" s="1232"/>
      <c r="DE289" s="1233"/>
      <c r="DF289" s="860"/>
      <c r="DG289" s="860"/>
      <c r="DH289" s="860"/>
      <c r="DI289" s="1232"/>
      <c r="DJ289" s="1233"/>
      <c r="DK289" s="860"/>
      <c r="DL289" s="860"/>
      <c r="DM289" s="860"/>
      <c r="DN289" s="1232"/>
      <c r="DO289" s="1233"/>
      <c r="DP289" s="860"/>
      <c r="DQ289" s="860"/>
      <c r="DR289" s="860"/>
      <c r="DS289" s="1232"/>
      <c r="DT289" s="1233"/>
      <c r="DU289" s="860"/>
      <c r="DV289" s="860"/>
      <c r="DW289" s="860"/>
      <c r="DX289" s="1232"/>
      <c r="DY289" s="1233"/>
      <c r="DZ289" s="860"/>
      <c r="EA289" s="860"/>
      <c r="EB289" s="860"/>
      <c r="EC289" s="1232"/>
      <c r="ED289" s="860"/>
      <c r="EE289" s="860"/>
      <c r="EF289" s="860"/>
      <c r="EG289" s="860"/>
      <c r="EH289" s="860"/>
      <c r="EI289" s="1233"/>
      <c r="EJ289" s="860"/>
      <c r="EK289" s="860"/>
      <c r="EL289" s="860"/>
      <c r="EM289" s="1232"/>
      <c r="EN289" s="1233"/>
      <c r="EO289" s="860"/>
      <c r="EP289" s="860"/>
      <c r="EQ289" s="860"/>
      <c r="ER289" s="1232"/>
      <c r="ES289" s="860"/>
      <c r="ET289" s="860"/>
      <c r="EU289" s="860"/>
      <c r="EV289" s="860"/>
      <c r="EW289" s="1232"/>
      <c r="EX289" s="1233"/>
      <c r="EY289" s="860"/>
      <c r="EZ289" s="860"/>
      <c r="FA289" s="860"/>
      <c r="FB289" s="1754"/>
      <c r="FC289" s="1233"/>
      <c r="FD289" s="860"/>
      <c r="FE289" s="860"/>
      <c r="FF289" s="860"/>
      <c r="FG289" s="860"/>
      <c r="FH289" s="860"/>
      <c r="FI289" s="860"/>
      <c r="FJ289" s="860"/>
      <c r="FK289" s="860"/>
      <c r="FL289" s="860"/>
      <c r="FM289" s="860"/>
      <c r="FN289" s="860"/>
      <c r="FO289" s="860"/>
      <c r="FP289" s="860"/>
      <c r="FQ289" s="860"/>
      <c r="FR289" s="860"/>
      <c r="FS289" s="860"/>
      <c r="FT289" s="860"/>
      <c r="FU289" s="860"/>
      <c r="FV289" s="860"/>
      <c r="FW289" s="860"/>
      <c r="FX289" s="860"/>
      <c r="FY289" s="860"/>
      <c r="FZ289" s="860"/>
      <c r="GA289" s="860"/>
      <c r="GB289" s="860"/>
      <c r="GC289" s="860"/>
      <c r="GD289" s="860"/>
      <c r="GE289" s="860"/>
      <c r="GF289" s="860"/>
      <c r="GG289" s="860"/>
      <c r="GH289" s="860"/>
      <c r="GI289" s="860"/>
      <c r="GJ289" s="860"/>
      <c r="GK289" s="860"/>
      <c r="GL289" s="860"/>
      <c r="GM289" s="860"/>
      <c r="GN289" s="860"/>
      <c r="GO289" s="860"/>
      <c r="GP289" s="860"/>
      <c r="GQ289" s="860"/>
      <c r="GR289" s="1279"/>
      <c r="GS289" s="1218"/>
      <c r="GT289" s="1279"/>
      <c r="GU289" s="1218"/>
      <c r="GV289" s="1279"/>
      <c r="GW289" s="1218"/>
      <c r="GX289" s="1218"/>
      <c r="GY289" s="1279"/>
      <c r="GZ289" s="1218"/>
      <c r="HA289" s="1218"/>
      <c r="HB289" s="1279"/>
      <c r="HC289" s="1218"/>
      <c r="HD289" s="2000"/>
      <c r="HE289" s="1279"/>
      <c r="HF289" s="1218"/>
      <c r="HG289" s="2000"/>
      <c r="HH289" s="1241"/>
      <c r="HI289" s="1299">
        <v>0</v>
      </c>
      <c r="HJ289" s="1218"/>
      <c r="HK289" s="2000"/>
      <c r="HL289" s="1299">
        <v>0</v>
      </c>
      <c r="HM289" s="1218"/>
      <c r="HN289" s="2000"/>
      <c r="HO289" s="1299">
        <v>0</v>
      </c>
      <c r="HP289" s="1218"/>
      <c r="HQ289" s="2000"/>
      <c r="HR289" s="1299">
        <v>0.154</v>
      </c>
    </row>
    <row r="290" spans="1:226">
      <c r="A290" s="1132" t="s">
        <v>48</v>
      </c>
      <c r="B290" s="1233"/>
      <c r="C290" s="860"/>
      <c r="D290" s="860"/>
      <c r="E290" s="860"/>
      <c r="F290" s="1232"/>
      <c r="G290" s="1233"/>
      <c r="H290" s="860"/>
      <c r="I290" s="860"/>
      <c r="J290" s="860"/>
      <c r="K290" s="1232"/>
      <c r="L290" s="1233"/>
      <c r="M290" s="860"/>
      <c r="N290" s="860"/>
      <c r="O290" s="860"/>
      <c r="P290" s="1232"/>
      <c r="Q290" s="1233"/>
      <c r="R290" s="860"/>
      <c r="S290" s="860"/>
      <c r="T290" s="860"/>
      <c r="U290" s="1232"/>
      <c r="V290" s="1233"/>
      <c r="W290" s="860"/>
      <c r="X290" s="860"/>
      <c r="Y290" s="860"/>
      <c r="Z290" s="1261"/>
      <c r="AA290" s="1242"/>
      <c r="AB290" s="1162"/>
      <c r="AC290" s="1162"/>
      <c r="AD290" s="1162"/>
      <c r="AE290" s="1261"/>
      <c r="AF290" s="1242"/>
      <c r="AG290" s="1162"/>
      <c r="AH290" s="1162"/>
      <c r="AI290" s="1162"/>
      <c r="AJ290" s="1261"/>
      <c r="AK290" s="1242"/>
      <c r="AL290" s="1162"/>
      <c r="AM290" s="1162"/>
      <c r="AN290" s="1162"/>
      <c r="AO290" s="1261"/>
      <c r="AP290" s="1242"/>
      <c r="AQ290" s="1162"/>
      <c r="AR290" s="1162"/>
      <c r="AS290" s="1162"/>
      <c r="AT290" s="1261"/>
      <c r="AU290" s="1242"/>
      <c r="AV290" s="1162"/>
      <c r="AW290" s="1162"/>
      <c r="AX290" s="1298"/>
      <c r="AY290" s="1341">
        <f>AX290</f>
        <v>0</v>
      </c>
      <c r="AZ290" s="1242"/>
      <c r="BA290" s="1162"/>
      <c r="BB290" s="1162"/>
      <c r="BC290" s="1298"/>
      <c r="BD290" s="1341">
        <f>BC290</f>
        <v>0</v>
      </c>
      <c r="BE290" s="1242"/>
      <c r="BF290" s="1162"/>
      <c r="BG290" s="1162"/>
      <c r="BH290" s="1298">
        <v>30.265999999999998</v>
      </c>
      <c r="BI290" s="1341">
        <f>BH290</f>
        <v>30.265999999999998</v>
      </c>
      <c r="BJ290" s="1326"/>
      <c r="BK290" s="1274"/>
      <c r="BL290" s="1274"/>
      <c r="BM290" s="1298">
        <v>15.602</v>
      </c>
      <c r="BN290" s="1341">
        <f>BM290</f>
        <v>15.602</v>
      </c>
      <c r="BO290" s="1298">
        <v>16.381</v>
      </c>
      <c r="BP290" s="1298">
        <v>22.395</v>
      </c>
      <c r="BQ290" s="1298">
        <v>32.514000000000003</v>
      </c>
      <c r="BR290" s="1298">
        <v>32.502000000000002</v>
      </c>
      <c r="BS290" s="1341">
        <f>BR290</f>
        <v>32.502000000000002</v>
      </c>
      <c r="BT290" s="1350">
        <v>28.603999999999999</v>
      </c>
      <c r="BU290" s="1298">
        <v>19.085999999999999</v>
      </c>
      <c r="BV290" s="1298">
        <v>15.523</v>
      </c>
      <c r="BW290" s="1298">
        <v>15.500999999999999</v>
      </c>
      <c r="BX290" s="1341">
        <f>BW290</f>
        <v>15.500999999999999</v>
      </c>
      <c r="BY290" s="1350">
        <v>12.394</v>
      </c>
      <c r="BZ290" s="1298">
        <v>11.286</v>
      </c>
      <c r="CA290" s="1298">
        <v>10.598000000000001</v>
      </c>
      <c r="CB290" s="1298">
        <v>9.6310000000000002</v>
      </c>
      <c r="CC290" s="1769"/>
      <c r="CD290" s="1350">
        <v>8.9760000000000009</v>
      </c>
      <c r="CE290" s="2039">
        <v>8</v>
      </c>
      <c r="CF290" s="2039">
        <v>7</v>
      </c>
      <c r="CG290" s="2039">
        <f t="shared" si="292"/>
        <v>5.6310000000000002</v>
      </c>
      <c r="CH290" s="1769">
        <f>'SKY Mex'!W8</f>
        <v>5.6310000000000002</v>
      </c>
      <c r="CI290" s="1274"/>
      <c r="CJ290" s="1162"/>
      <c r="CK290" s="1233"/>
      <c r="CL290" s="860"/>
      <c r="CM290" s="860"/>
      <c r="CN290" s="860"/>
      <c r="CO290" s="1232"/>
      <c r="CP290" s="1233"/>
      <c r="CQ290" s="860"/>
      <c r="CR290" s="860"/>
      <c r="CS290" s="860"/>
      <c r="CT290" s="1232"/>
      <c r="CU290" s="1233"/>
      <c r="CV290" s="860"/>
      <c r="CW290" s="860"/>
      <c r="CX290" s="1217"/>
      <c r="CY290" s="1232"/>
      <c r="CZ290" s="1233"/>
      <c r="DA290" s="860"/>
      <c r="DB290" s="860"/>
      <c r="DC290" s="860"/>
      <c r="DD290" s="1232"/>
      <c r="DE290" s="1233"/>
      <c r="DF290" s="860"/>
      <c r="DG290" s="860"/>
      <c r="DH290" s="860"/>
      <c r="DI290" s="1232"/>
      <c r="DJ290" s="1233"/>
      <c r="DK290" s="860"/>
      <c r="DL290" s="860"/>
      <c r="DM290" s="860"/>
      <c r="DN290" s="1232"/>
      <c r="DO290" s="1233"/>
      <c r="DP290" s="860"/>
      <c r="DQ290" s="860"/>
      <c r="DR290" s="860"/>
      <c r="DS290" s="1232"/>
      <c r="DT290" s="1233"/>
      <c r="DU290" s="860"/>
      <c r="DV290" s="860"/>
      <c r="DW290" s="860"/>
      <c r="DX290" s="1232"/>
      <c r="DY290" s="1233"/>
      <c r="DZ290" s="860"/>
      <c r="EA290" s="860"/>
      <c r="EB290" s="860"/>
      <c r="EC290" s="1232"/>
      <c r="ED290" s="860"/>
      <c r="EE290" s="860"/>
      <c r="EF290" s="860"/>
      <c r="EG290" s="860"/>
      <c r="EH290" s="860"/>
      <c r="EI290" s="1233"/>
      <c r="EJ290" s="860"/>
      <c r="EK290" s="860"/>
      <c r="EL290" s="860"/>
      <c r="EM290" s="1232"/>
      <c r="EN290" s="1233"/>
      <c r="EO290" s="860"/>
      <c r="EP290" s="860"/>
      <c r="EQ290" s="860"/>
      <c r="ER290" s="1232"/>
      <c r="ES290" s="860"/>
      <c r="ET290" s="860"/>
      <c r="EU290" s="860"/>
      <c r="EV290" s="860"/>
      <c r="EW290" s="1232"/>
      <c r="EX290" s="1233"/>
      <c r="EY290" s="860"/>
      <c r="EZ290" s="860"/>
      <c r="FA290" s="860"/>
      <c r="FB290" s="1754"/>
      <c r="FC290" s="1233"/>
      <c r="FD290" s="860"/>
      <c r="FE290" s="860"/>
      <c r="FF290" s="860"/>
      <c r="FG290" s="860"/>
      <c r="FH290" s="860"/>
      <c r="FI290" s="860"/>
      <c r="FJ290" s="860"/>
      <c r="FK290" s="860"/>
      <c r="FL290" s="860"/>
      <c r="FM290" s="860"/>
      <c r="FN290" s="860"/>
      <c r="FO290" s="860"/>
      <c r="FP290" s="860"/>
      <c r="FQ290" s="860"/>
      <c r="FR290" s="860"/>
      <c r="FS290" s="860"/>
      <c r="FT290" s="860"/>
      <c r="FU290" s="860"/>
      <c r="FV290" s="860"/>
      <c r="FW290" s="860"/>
      <c r="FX290" s="860"/>
      <c r="FY290" s="860"/>
      <c r="FZ290" s="860"/>
      <c r="GA290" s="860"/>
      <c r="GB290" s="860"/>
      <c r="GC290" s="860"/>
      <c r="GD290" s="860"/>
      <c r="GE290" s="860"/>
      <c r="GF290" s="860"/>
      <c r="GG290" s="860"/>
      <c r="GH290" s="860"/>
      <c r="GI290" s="860"/>
      <c r="GJ290" s="860"/>
      <c r="GK290" s="860"/>
      <c r="GL290" s="860"/>
      <c r="GM290" s="860"/>
      <c r="GN290" s="860"/>
      <c r="GO290" s="860"/>
      <c r="GP290" s="860"/>
      <c r="GQ290" s="860"/>
      <c r="GR290" s="1279"/>
      <c r="GS290" s="1218"/>
      <c r="GT290" s="1279"/>
      <c r="GU290" s="1218"/>
      <c r="GV290" s="1279"/>
      <c r="GW290" s="1218"/>
      <c r="GX290" s="1218"/>
      <c r="GY290" s="1279"/>
      <c r="GZ290" s="1218"/>
      <c r="HA290" s="1218"/>
      <c r="HB290" s="1279"/>
      <c r="HC290" s="1218"/>
      <c r="HD290" s="2000"/>
      <c r="HE290" s="1279"/>
      <c r="HF290" s="1218"/>
      <c r="HG290" s="2000"/>
      <c r="HH290" s="1241"/>
      <c r="HI290" s="1299">
        <v>10.394</v>
      </c>
      <c r="HJ290" s="1218"/>
      <c r="HK290" s="2000"/>
      <c r="HL290" s="1299">
        <v>8</v>
      </c>
      <c r="HM290" s="1218"/>
      <c r="HN290" s="2000"/>
      <c r="HO290" s="1299">
        <v>10</v>
      </c>
      <c r="HP290" s="1218"/>
      <c r="HQ290" s="2000"/>
      <c r="HR290" s="1299">
        <v>8.9760000000000009</v>
      </c>
    </row>
    <row r="291" spans="1:226">
      <c r="A291" s="1509"/>
      <c r="B291" s="1233"/>
      <c r="C291" s="860"/>
      <c r="D291" s="860"/>
      <c r="E291" s="860"/>
      <c r="F291" s="1232"/>
      <c r="G291" s="1233"/>
      <c r="H291" s="860"/>
      <c r="I291" s="860"/>
      <c r="J291" s="860"/>
      <c r="K291" s="1232"/>
      <c r="L291" s="1233"/>
      <c r="M291" s="860"/>
      <c r="N291" s="860"/>
      <c r="O291" s="860"/>
      <c r="P291" s="1232"/>
      <c r="Q291" s="1233"/>
      <c r="R291" s="860"/>
      <c r="S291" s="860"/>
      <c r="T291" s="860"/>
      <c r="U291" s="1232"/>
      <c r="V291" s="1233"/>
      <c r="W291" s="860"/>
      <c r="X291" s="860"/>
      <c r="Y291" s="860"/>
      <c r="Z291" s="1261"/>
      <c r="AA291" s="1242"/>
      <c r="AB291" s="1162"/>
      <c r="AC291" s="1162"/>
      <c r="AD291" s="1162"/>
      <c r="AE291" s="1261"/>
      <c r="AF291" s="1242"/>
      <c r="AG291" s="1162"/>
      <c r="AH291" s="1162"/>
      <c r="AI291" s="1162"/>
      <c r="AJ291" s="1261"/>
      <c r="AK291" s="1242"/>
      <c r="AL291" s="1162"/>
      <c r="AM291" s="1162"/>
      <c r="AN291" s="1162"/>
      <c r="AO291" s="1261"/>
      <c r="AP291" s="1242"/>
      <c r="AQ291" s="1162"/>
      <c r="AR291" s="1162"/>
      <c r="AS291" s="1162"/>
      <c r="AT291" s="1261"/>
      <c r="AU291" s="1242"/>
      <c r="AV291" s="1162"/>
      <c r="AW291" s="1162"/>
      <c r="AX291" s="1302">
        <f>SUM(AX287:AX290)</f>
        <v>7816.61</v>
      </c>
      <c r="AY291" s="1351">
        <f>AX291</f>
        <v>7816.61</v>
      </c>
      <c r="AZ291" s="1242"/>
      <c r="BA291" s="1162"/>
      <c r="BB291" s="1162"/>
      <c r="BC291" s="1302">
        <f>SUM(BC287:BC290)</f>
        <v>8144.0929999999998</v>
      </c>
      <c r="BD291" s="1351">
        <f>BC291</f>
        <v>8144.0929999999998</v>
      </c>
      <c r="BE291" s="1242"/>
      <c r="BF291" s="1162"/>
      <c r="BG291" s="1162"/>
      <c r="BH291" s="1302">
        <f>SUM(BH287:BH290)</f>
        <v>8166.1679999999988</v>
      </c>
      <c r="BI291" s="1351">
        <f>BH291</f>
        <v>8166.1679999999988</v>
      </c>
      <c r="BJ291" s="1326"/>
      <c r="BK291" s="1274"/>
      <c r="BL291" s="1274"/>
      <c r="BM291" s="1302">
        <f>SUM(BM287:BM290)</f>
        <v>6913.4080000000004</v>
      </c>
      <c r="BN291" s="1351">
        <f>BM291</f>
        <v>6913.4080000000004</v>
      </c>
      <c r="BO291" s="1302">
        <f>SUM(BO287:BO290)</f>
        <v>6698.2520000000004</v>
      </c>
      <c r="BP291" s="1302">
        <f>SUM(BP287:BP290)</f>
        <v>6507.2830000000004</v>
      </c>
      <c r="BQ291" s="1302">
        <f>SUM(BQ287:BQ290)</f>
        <v>6275.78</v>
      </c>
      <c r="BR291" s="1302">
        <f>SUM(BR287:BR290)</f>
        <v>6115.3610000000008</v>
      </c>
      <c r="BS291" s="1351">
        <f>BR291</f>
        <v>6115.3610000000008</v>
      </c>
      <c r="BT291" s="1337">
        <f t="shared" ref="BT291:CE291" si="293">SUM(BT287:BT290)</f>
        <v>5864.7960000000003</v>
      </c>
      <c r="BU291" s="1302">
        <f t="shared" si="293"/>
        <v>5602.8450000000012</v>
      </c>
      <c r="BV291" s="1302">
        <f t="shared" si="293"/>
        <v>5332.9920000000002</v>
      </c>
      <c r="BW291" s="1302">
        <f t="shared" si="293"/>
        <v>5062.6210000000001</v>
      </c>
      <c r="BX291" s="1351">
        <f>BW291</f>
        <v>5062.6210000000001</v>
      </c>
      <c r="BY291" s="1337">
        <f t="shared" si="293"/>
        <v>4731.8109999999997</v>
      </c>
      <c r="BZ291" s="1302">
        <f t="shared" si="293"/>
        <v>4385.2310000000007</v>
      </c>
      <c r="CA291" s="1302">
        <f>SUM(CA287:CA290)</f>
        <v>4055.8359999999998</v>
      </c>
      <c r="CB291" s="1302">
        <f>SUM(CB287:CB290)</f>
        <v>3751.3519999999999</v>
      </c>
      <c r="CC291" s="1763">
        <f t="shared" si="293"/>
        <v>225.376</v>
      </c>
      <c r="CD291" s="1337">
        <f>SUM(CD287:CD290)</f>
        <v>3425.7020000000002</v>
      </c>
      <c r="CE291" s="1302">
        <f t="shared" si="293"/>
        <v>3143</v>
      </c>
      <c r="CF291" s="1302">
        <f>SUM(CF287:CF290)</f>
        <v>2887</v>
      </c>
      <c r="CG291" s="1302">
        <f ca="1">SUM(CG287:CG290)</f>
        <v>2647.203</v>
      </c>
      <c r="CH291" s="1763">
        <f ca="1">SUM(CH287:CH290)</f>
        <v>2647.203</v>
      </c>
      <c r="CI291" s="1291"/>
      <c r="CJ291" s="1162"/>
      <c r="CK291" s="1233"/>
      <c r="CL291" s="860"/>
      <c r="CM291" s="860"/>
      <c r="CN291" s="860"/>
      <c r="CO291" s="1232"/>
      <c r="CP291" s="1233"/>
      <c r="CQ291" s="860"/>
      <c r="CR291" s="860"/>
      <c r="CS291" s="860"/>
      <c r="CT291" s="1232"/>
      <c r="CU291" s="1233"/>
      <c r="CV291" s="860"/>
      <c r="CW291" s="860"/>
      <c r="CX291" s="1217"/>
      <c r="CY291" s="1232"/>
      <c r="CZ291" s="1233"/>
      <c r="DA291" s="860"/>
      <c r="DB291" s="860"/>
      <c r="DC291" s="860"/>
      <c r="DD291" s="1232"/>
      <c r="DE291" s="1233"/>
      <c r="DF291" s="860"/>
      <c r="DG291" s="860"/>
      <c r="DH291" s="860"/>
      <c r="DI291" s="1232"/>
      <c r="DJ291" s="1233"/>
      <c r="DK291" s="860"/>
      <c r="DL291" s="860"/>
      <c r="DM291" s="860"/>
      <c r="DN291" s="1232"/>
      <c r="DO291" s="1233"/>
      <c r="DP291" s="860"/>
      <c r="DQ291" s="860"/>
      <c r="DR291" s="860"/>
      <c r="DS291" s="1232"/>
      <c r="DT291" s="1233"/>
      <c r="DU291" s="860"/>
      <c r="DV291" s="860"/>
      <c r="DW291" s="860"/>
      <c r="DX291" s="1232"/>
      <c r="DY291" s="1233"/>
      <c r="DZ291" s="860"/>
      <c r="EA291" s="860"/>
      <c r="EB291" s="860"/>
      <c r="EC291" s="1232"/>
      <c r="ED291" s="860"/>
      <c r="EE291" s="860"/>
      <c r="EF291" s="860"/>
      <c r="EG291" s="860"/>
      <c r="EH291" s="860"/>
      <c r="EI291" s="1233"/>
      <c r="EJ291" s="860"/>
      <c r="EK291" s="860"/>
      <c r="EL291" s="860"/>
      <c r="EM291" s="1232"/>
      <c r="EN291" s="1233"/>
      <c r="EO291" s="860"/>
      <c r="EP291" s="860"/>
      <c r="EQ291" s="860"/>
      <c r="ER291" s="1232"/>
      <c r="ES291" s="860"/>
      <c r="ET291" s="860"/>
      <c r="EU291" s="860"/>
      <c r="EV291" s="860"/>
      <c r="EW291" s="1232"/>
      <c r="EX291" s="1233"/>
      <c r="EY291" s="860"/>
      <c r="EZ291" s="860"/>
      <c r="FA291" s="860"/>
      <c r="FB291" s="1754"/>
      <c r="FC291" s="1233"/>
      <c r="FD291" s="860"/>
      <c r="FE291" s="860"/>
      <c r="FF291" s="860"/>
      <c r="FG291" s="860"/>
      <c r="FH291" s="860"/>
      <c r="FI291" s="860"/>
      <c r="FJ291" s="860"/>
      <c r="FK291" s="860"/>
      <c r="FL291" s="860"/>
      <c r="FM291" s="860"/>
      <c r="FN291" s="860"/>
      <c r="FO291" s="860"/>
      <c r="FP291" s="860"/>
      <c r="FQ291" s="860"/>
      <c r="FR291" s="860"/>
      <c r="FS291" s="860"/>
      <c r="FT291" s="860"/>
      <c r="FU291" s="860"/>
      <c r="FV291" s="860"/>
      <c r="FW291" s="860"/>
      <c r="FX291" s="860"/>
      <c r="FY291" s="860"/>
      <c r="FZ291" s="860"/>
      <c r="GA291" s="860"/>
      <c r="GB291" s="860"/>
      <c r="GC291" s="860"/>
      <c r="GD291" s="860"/>
      <c r="GE291" s="860"/>
      <c r="GF291" s="860"/>
      <c r="GG291" s="860"/>
      <c r="GH291" s="860"/>
      <c r="GI291" s="860"/>
      <c r="GJ291" s="860"/>
      <c r="GK291" s="860"/>
      <c r="GL291" s="860"/>
      <c r="GM291" s="860"/>
      <c r="GN291" s="860"/>
      <c r="GO291" s="860"/>
      <c r="GP291" s="860"/>
      <c r="GQ291" s="860"/>
      <c r="GR291" s="1279"/>
      <c r="GS291" s="1218"/>
      <c r="GT291" s="1279"/>
      <c r="GU291" s="1218"/>
      <c r="GV291" s="1279"/>
      <c r="GW291" s="1218"/>
      <c r="GX291" s="1218"/>
      <c r="GY291" s="1279"/>
      <c r="GZ291" s="1218"/>
      <c r="HA291" s="1218"/>
      <c r="HB291" s="1634">
        <v>0</v>
      </c>
      <c r="HC291" s="1218"/>
      <c r="HD291" s="2000"/>
      <c r="HE291" s="1634">
        <v>0</v>
      </c>
      <c r="HF291" s="1218"/>
      <c r="HG291" s="2000"/>
      <c r="HH291" s="1241"/>
      <c r="HI291" s="1634">
        <v>4394.625</v>
      </c>
      <c r="HJ291" s="1218"/>
      <c r="HK291" s="2000"/>
      <c r="HL291" s="1634">
        <v>4046.569</v>
      </c>
      <c r="HM291" s="1218"/>
      <c r="HN291" s="2000"/>
      <c r="HO291" s="1634">
        <v>3723.8119999999999</v>
      </c>
      <c r="HP291" s="1218"/>
      <c r="HQ291" s="2000"/>
      <c r="HR291" s="1299">
        <v>3425.7020000000002</v>
      </c>
    </row>
    <row r="292" spans="1:226">
      <c r="A292" s="1509"/>
      <c r="B292" s="1233"/>
      <c r="C292" s="860"/>
      <c r="D292" s="860"/>
      <c r="E292" s="860"/>
      <c r="F292" s="1232"/>
      <c r="G292" s="1233"/>
      <c r="H292" s="860"/>
      <c r="I292" s="860"/>
      <c r="J292" s="860"/>
      <c r="K292" s="1232"/>
      <c r="L292" s="1233"/>
      <c r="M292" s="860"/>
      <c r="N292" s="860"/>
      <c r="O292" s="860"/>
      <c r="P292" s="1232"/>
      <c r="Q292" s="1233"/>
      <c r="R292" s="860"/>
      <c r="S292" s="860"/>
      <c r="T292" s="860"/>
      <c r="U292" s="1232"/>
      <c r="V292" s="1233"/>
      <c r="W292" s="860"/>
      <c r="X292" s="860"/>
      <c r="Y292" s="860"/>
      <c r="Z292" s="1261"/>
      <c r="AA292" s="1242"/>
      <c r="AB292" s="1162"/>
      <c r="AC292" s="1162"/>
      <c r="AD292" s="1162"/>
      <c r="AE292" s="1261"/>
      <c r="AF292" s="1242"/>
      <c r="AG292" s="1162"/>
      <c r="AH292" s="1162"/>
      <c r="AI292" s="1162"/>
      <c r="AJ292" s="1261"/>
      <c r="AK292" s="1242"/>
      <c r="AL292" s="1162"/>
      <c r="AM292" s="1162"/>
      <c r="AN292" s="1162"/>
      <c r="AO292" s="1261"/>
      <c r="AP292" s="1242"/>
      <c r="AQ292" s="1162"/>
      <c r="AR292" s="1162"/>
      <c r="AS292" s="1162"/>
      <c r="AT292" s="1261"/>
      <c r="AU292" s="1242"/>
      <c r="AV292" s="1162"/>
      <c r="AW292" s="1162"/>
      <c r="AX292" s="1162"/>
      <c r="AY292" s="1261"/>
      <c r="AZ292" s="1242"/>
      <c r="BA292" s="1162"/>
      <c r="BB292" s="1162"/>
      <c r="BC292" s="1162"/>
      <c r="BD292" s="1261"/>
      <c r="BE292" s="1242"/>
      <c r="BF292" s="1162"/>
      <c r="BG292" s="1162"/>
      <c r="BH292" s="1162"/>
      <c r="BI292" s="1261"/>
      <c r="BJ292" s="1326"/>
      <c r="BK292" s="1274"/>
      <c r="BL292" s="1274"/>
      <c r="BM292" s="1274"/>
      <c r="BN292" s="1327"/>
      <c r="BO292" s="1326"/>
      <c r="BP292" s="1274"/>
      <c r="BQ292" s="1274"/>
      <c r="BR292" s="1274"/>
      <c r="BS292" s="1327"/>
      <c r="BT292" s="1326"/>
      <c r="BU292" s="1274"/>
      <c r="BV292" s="1274"/>
      <c r="BW292" s="1274"/>
      <c r="BX292" s="1327"/>
      <c r="BY292" s="1326"/>
      <c r="BZ292" s="1274"/>
      <c r="CA292" s="1274"/>
      <c r="CB292" s="1274"/>
      <c r="CC292" s="1769"/>
      <c r="CD292" s="1326"/>
      <c r="CE292" s="1274"/>
      <c r="CF292" s="1274"/>
      <c r="CG292" s="1274"/>
      <c r="CH292" s="1769"/>
      <c r="CI292" s="1274"/>
      <c r="CJ292" s="1162"/>
      <c r="CK292" s="1233"/>
      <c r="CL292" s="860"/>
      <c r="CM292" s="860"/>
      <c r="CN292" s="860"/>
      <c r="CO292" s="1232"/>
      <c r="CP292" s="1233"/>
      <c r="CQ292" s="860"/>
      <c r="CR292" s="860"/>
      <c r="CS292" s="860"/>
      <c r="CT292" s="1232"/>
      <c r="CU292" s="1233"/>
      <c r="CV292" s="860"/>
      <c r="CW292" s="860"/>
      <c r="CX292" s="1217"/>
      <c r="CY292" s="1232"/>
      <c r="CZ292" s="1233"/>
      <c r="DA292" s="860"/>
      <c r="DB292" s="860"/>
      <c r="DC292" s="860"/>
      <c r="DD292" s="1232"/>
      <c r="DE292" s="1233"/>
      <c r="DF292" s="860"/>
      <c r="DG292" s="860"/>
      <c r="DH292" s="860"/>
      <c r="DI292" s="1232"/>
      <c r="DJ292" s="1233"/>
      <c r="DK292" s="860"/>
      <c r="DL292" s="860"/>
      <c r="DM292" s="860"/>
      <c r="DN292" s="1232"/>
      <c r="DO292" s="1233"/>
      <c r="DP292" s="860"/>
      <c r="DQ292" s="860"/>
      <c r="DR292" s="860"/>
      <c r="DS292" s="1232"/>
      <c r="DT292" s="1233"/>
      <c r="DU292" s="860"/>
      <c r="DV292" s="860"/>
      <c r="DW292" s="860"/>
      <c r="DX292" s="1232"/>
      <c r="DY292" s="1233"/>
      <c r="DZ292" s="860"/>
      <c r="EA292" s="860"/>
      <c r="EB292" s="860"/>
      <c r="EC292" s="1232"/>
      <c r="ED292" s="860"/>
      <c r="EE292" s="860"/>
      <c r="EF292" s="860"/>
      <c r="EG292" s="860"/>
      <c r="EH292" s="860"/>
      <c r="EI292" s="1233"/>
      <c r="EJ292" s="860"/>
      <c r="EK292" s="860"/>
      <c r="EL292" s="860"/>
      <c r="EM292" s="1232"/>
      <c r="EN292" s="1233"/>
      <c r="EO292" s="860"/>
      <c r="EP292" s="860"/>
      <c r="EQ292" s="860"/>
      <c r="ER292" s="1232"/>
      <c r="ES292" s="860"/>
      <c r="ET292" s="860"/>
      <c r="EU292" s="860"/>
      <c r="EV292" s="860"/>
      <c r="EW292" s="1232"/>
      <c r="EX292" s="1233"/>
      <c r="EY292" s="860"/>
      <c r="EZ292" s="860"/>
      <c r="FA292" s="860"/>
      <c r="FB292" s="1754"/>
      <c r="FC292" s="1233"/>
      <c r="FD292" s="860"/>
      <c r="FE292" s="860"/>
      <c r="FF292" s="860"/>
      <c r="FG292" s="860"/>
      <c r="FH292" s="860"/>
      <c r="FI292" s="860"/>
      <c r="FJ292" s="860"/>
      <c r="FK292" s="860"/>
      <c r="FL292" s="860"/>
      <c r="FM292" s="860"/>
      <c r="FN292" s="860"/>
      <c r="FO292" s="860"/>
      <c r="FP292" s="860"/>
      <c r="FQ292" s="860"/>
      <c r="FR292" s="860"/>
      <c r="FS292" s="860"/>
      <c r="FT292" s="860"/>
      <c r="FU292" s="860"/>
      <c r="FV292" s="860"/>
      <c r="FW292" s="860"/>
      <c r="FX292" s="860"/>
      <c r="FY292" s="860"/>
      <c r="FZ292" s="860"/>
      <c r="GA292" s="860"/>
      <c r="GB292" s="860"/>
      <c r="GC292" s="860"/>
      <c r="GD292" s="860"/>
      <c r="GE292" s="860"/>
      <c r="GF292" s="860"/>
      <c r="GG292" s="860"/>
      <c r="GH292" s="860"/>
      <c r="GI292" s="860"/>
      <c r="GJ292" s="860"/>
      <c r="GK292" s="860"/>
      <c r="GL292" s="860"/>
      <c r="GM292" s="860"/>
      <c r="GN292" s="860"/>
      <c r="GO292" s="860"/>
      <c r="GP292" s="860"/>
      <c r="GQ292" s="860"/>
      <c r="GR292" s="1279"/>
      <c r="GS292" s="1218"/>
      <c r="GT292" s="1279"/>
      <c r="GU292" s="1218"/>
      <c r="GV292" s="1279"/>
      <c r="GW292" s="1218"/>
      <c r="GX292" s="1218"/>
      <c r="GY292" s="1279"/>
      <c r="GZ292" s="1218"/>
      <c r="HA292" s="1218"/>
      <c r="HB292" s="1279"/>
      <c r="HC292" s="1218"/>
      <c r="HD292" s="2000"/>
      <c r="HE292" s="1279"/>
      <c r="HF292" s="1218"/>
      <c r="HG292" s="2000"/>
      <c r="HH292" s="1241"/>
      <c r="HI292" s="1279"/>
      <c r="HJ292" s="1218"/>
      <c r="HK292" s="2000"/>
      <c r="HL292" s="1279"/>
      <c r="HM292" s="1218"/>
      <c r="HN292" s="2000"/>
      <c r="HO292" s="1279"/>
      <c r="HP292" s="1218"/>
      <c r="HQ292" s="2000"/>
      <c r="HR292" s="1279"/>
    </row>
    <row r="293" spans="1:226">
      <c r="A293" s="1509"/>
      <c r="B293" s="1233"/>
      <c r="C293" s="860"/>
      <c r="D293" s="860"/>
      <c r="E293" s="860"/>
      <c r="F293" s="1232"/>
      <c r="G293" s="1233"/>
      <c r="H293" s="860"/>
      <c r="I293" s="860"/>
      <c r="J293" s="860"/>
      <c r="K293" s="1232"/>
      <c r="L293" s="1233"/>
      <c r="M293" s="860"/>
      <c r="N293" s="860"/>
      <c r="O293" s="860"/>
      <c r="P293" s="1232"/>
      <c r="Q293" s="1233"/>
      <c r="R293" s="860"/>
      <c r="S293" s="860"/>
      <c r="T293" s="860"/>
      <c r="U293" s="1232"/>
      <c r="V293" s="1233"/>
      <c r="W293" s="860"/>
      <c r="X293" s="860"/>
      <c r="Y293" s="860"/>
      <c r="Z293" s="1261"/>
      <c r="AA293" s="1242"/>
      <c r="AB293" s="1162"/>
      <c r="AC293" s="1162"/>
      <c r="AD293" s="1162"/>
      <c r="AE293" s="1261"/>
      <c r="AF293" s="1242"/>
      <c r="AG293" s="1162"/>
      <c r="AH293" s="1162"/>
      <c r="AI293" s="1162"/>
      <c r="AJ293" s="1261"/>
      <c r="AK293" s="1242"/>
      <c r="AL293" s="1162"/>
      <c r="AM293" s="1162"/>
      <c r="AN293" s="1162"/>
      <c r="AO293" s="1261"/>
      <c r="AP293" s="1242"/>
      <c r="AQ293" s="1162"/>
      <c r="AR293" s="1162"/>
      <c r="AS293" s="1162"/>
      <c r="AT293" s="1261"/>
      <c r="AU293" s="1242"/>
      <c r="AV293" s="1162"/>
      <c r="AW293" s="1162"/>
      <c r="AX293" s="1162"/>
      <c r="AY293" s="1261"/>
      <c r="AZ293" s="1242"/>
      <c r="BA293" s="1162"/>
      <c r="BB293" s="1162"/>
      <c r="BC293" s="1162"/>
      <c r="BD293" s="1261"/>
      <c r="BE293" s="1242"/>
      <c r="BF293" s="1162"/>
      <c r="BG293" s="1162"/>
      <c r="BH293" s="1162"/>
      <c r="BI293" s="1261"/>
      <c r="BJ293" s="1326"/>
      <c r="BK293" s="1274"/>
      <c r="BL293" s="1274"/>
      <c r="BM293" s="1274"/>
      <c r="BN293" s="1327"/>
      <c r="BO293" s="1326"/>
      <c r="BP293" s="1274"/>
      <c r="BQ293" s="1274"/>
      <c r="BR293" s="1274"/>
      <c r="BS293" s="1327"/>
      <c r="BT293" s="1326"/>
      <c r="BU293" s="1274"/>
      <c r="BV293" s="1274"/>
      <c r="BW293" s="1274"/>
      <c r="BX293" s="1327"/>
      <c r="BY293" s="1326"/>
      <c r="BZ293" s="1274"/>
      <c r="CA293" s="1274"/>
      <c r="CB293" s="1274"/>
      <c r="CC293" s="1769"/>
      <c r="CD293" s="1326"/>
      <c r="CE293" s="1274"/>
      <c r="CF293" s="1274"/>
      <c r="CG293" s="1274"/>
      <c r="CH293" s="1769"/>
      <c r="CI293" s="1274"/>
      <c r="CJ293" s="1162"/>
      <c r="CK293" s="1233"/>
      <c r="CL293" s="860"/>
      <c r="CM293" s="860"/>
      <c r="CN293" s="860"/>
      <c r="CO293" s="1232"/>
      <c r="CP293" s="1233"/>
      <c r="CQ293" s="860"/>
      <c r="CR293" s="860"/>
      <c r="CS293" s="860"/>
      <c r="CT293" s="1232"/>
      <c r="CU293" s="1233"/>
      <c r="CV293" s="860"/>
      <c r="CW293" s="860"/>
      <c r="CX293" s="1217"/>
      <c r="CY293" s="1232"/>
      <c r="CZ293" s="1233"/>
      <c r="DA293" s="860"/>
      <c r="DB293" s="860"/>
      <c r="DC293" s="860"/>
      <c r="DD293" s="1232"/>
      <c r="DE293" s="1233"/>
      <c r="DF293" s="860"/>
      <c r="DG293" s="860"/>
      <c r="DH293" s="860"/>
      <c r="DI293" s="1232"/>
      <c r="DJ293" s="1233"/>
      <c r="DK293" s="860"/>
      <c r="DL293" s="860"/>
      <c r="DM293" s="860"/>
      <c r="DN293" s="1232"/>
      <c r="DO293" s="1233"/>
      <c r="DP293" s="860"/>
      <c r="DQ293" s="860"/>
      <c r="DR293" s="860"/>
      <c r="DS293" s="1232"/>
      <c r="DT293" s="1233"/>
      <c r="DU293" s="860"/>
      <c r="DV293" s="860"/>
      <c r="DW293" s="860"/>
      <c r="DX293" s="1232"/>
      <c r="DY293" s="1233"/>
      <c r="DZ293" s="860"/>
      <c r="EA293" s="860"/>
      <c r="EB293" s="860"/>
      <c r="EC293" s="1232"/>
      <c r="ED293" s="860"/>
      <c r="EE293" s="860"/>
      <c r="EF293" s="860"/>
      <c r="EG293" s="860"/>
      <c r="EH293" s="860"/>
      <c r="EI293" s="1233"/>
      <c r="EJ293" s="860"/>
      <c r="EK293" s="860"/>
      <c r="EL293" s="860"/>
      <c r="EM293" s="1232"/>
      <c r="EN293" s="1233"/>
      <c r="EO293" s="860"/>
      <c r="EP293" s="860"/>
      <c r="EQ293" s="860"/>
      <c r="ER293" s="1232"/>
      <c r="ES293" s="860"/>
      <c r="ET293" s="860"/>
      <c r="EU293" s="860"/>
      <c r="EV293" s="860"/>
      <c r="EW293" s="1232"/>
      <c r="EX293" s="1233"/>
      <c r="EY293" s="860"/>
      <c r="EZ293" s="860"/>
      <c r="FA293" s="860"/>
      <c r="FB293" s="1754"/>
      <c r="FC293" s="1233"/>
      <c r="FD293" s="860"/>
      <c r="FE293" s="860"/>
      <c r="FF293" s="860"/>
      <c r="FG293" s="860"/>
      <c r="FH293" s="860"/>
      <c r="FI293" s="860"/>
      <c r="FJ293" s="860"/>
      <c r="FK293" s="860"/>
      <c r="FL293" s="860"/>
      <c r="FM293" s="860"/>
      <c r="FN293" s="860"/>
      <c r="FO293" s="860"/>
      <c r="FP293" s="860"/>
      <c r="FQ293" s="860"/>
      <c r="FR293" s="860"/>
      <c r="FS293" s="860"/>
      <c r="FT293" s="860"/>
      <c r="FU293" s="860"/>
      <c r="FV293" s="860"/>
      <c r="FW293" s="860"/>
      <c r="FX293" s="860"/>
      <c r="FY293" s="860"/>
      <c r="FZ293" s="860"/>
      <c r="GA293" s="860"/>
      <c r="GB293" s="860"/>
      <c r="GC293" s="860"/>
      <c r="GD293" s="860"/>
      <c r="GE293" s="860"/>
      <c r="GF293" s="860"/>
      <c r="GG293" s="860"/>
      <c r="GH293" s="860"/>
      <c r="GI293" s="860"/>
      <c r="GJ293" s="860"/>
      <c r="GK293" s="860"/>
      <c r="GL293" s="860"/>
      <c r="GM293" s="860"/>
      <c r="GN293" s="860"/>
      <c r="GO293" s="860"/>
      <c r="GP293" s="860"/>
      <c r="GQ293" s="860"/>
      <c r="GR293" s="1279"/>
      <c r="GS293" s="1218"/>
      <c r="GT293" s="1279"/>
      <c r="GU293" s="1218"/>
      <c r="GV293" s="1279"/>
      <c r="GW293" s="1218"/>
      <c r="GX293" s="1218"/>
      <c r="GY293" s="1279"/>
      <c r="GZ293" s="1218"/>
      <c r="HA293" s="1218"/>
      <c r="HB293" s="1279"/>
      <c r="HC293" s="1218"/>
      <c r="HD293" s="2000"/>
      <c r="HE293" s="1279"/>
      <c r="HF293" s="1218"/>
      <c r="HG293" s="2000"/>
      <c r="HH293" s="1241"/>
      <c r="HI293" s="1279"/>
      <c r="HJ293" s="1218"/>
      <c r="HK293" s="2000"/>
      <c r="HL293" s="1279"/>
      <c r="HM293" s="1218"/>
      <c r="HN293" s="2000"/>
      <c r="HO293" s="1279"/>
      <c r="HP293" s="1218"/>
      <c r="HQ293" s="2000"/>
      <c r="HR293" s="1279"/>
    </row>
    <row r="294" spans="1:226">
      <c r="A294" s="1509"/>
      <c r="B294" s="1233"/>
      <c r="C294" s="860"/>
      <c r="D294" s="860"/>
      <c r="E294" s="860"/>
      <c r="F294" s="1232"/>
      <c r="G294" s="1233"/>
      <c r="H294" s="860"/>
      <c r="I294" s="860"/>
      <c r="J294" s="860"/>
      <c r="K294" s="1232"/>
      <c r="L294" s="1233"/>
      <c r="M294" s="860"/>
      <c r="N294" s="860"/>
      <c r="O294" s="860"/>
      <c r="P294" s="1232"/>
      <c r="Q294" s="1233"/>
      <c r="R294" s="860"/>
      <c r="S294" s="860"/>
      <c r="T294" s="860"/>
      <c r="U294" s="1232"/>
      <c r="V294" s="1233"/>
      <c r="W294" s="860"/>
      <c r="X294" s="860"/>
      <c r="Y294" s="860"/>
      <c r="Z294" s="1261"/>
      <c r="AA294" s="1242"/>
      <c r="AB294" s="1162"/>
      <c r="AC294" s="1162"/>
      <c r="AD294" s="1162"/>
      <c r="AE294" s="1261"/>
      <c r="AF294" s="1242"/>
      <c r="AG294" s="1162"/>
      <c r="AH294" s="1162"/>
      <c r="AI294" s="1162"/>
      <c r="AJ294" s="1261"/>
      <c r="AK294" s="1242"/>
      <c r="AL294" s="1162"/>
      <c r="AM294" s="1162"/>
      <c r="AN294" s="1162"/>
      <c r="AO294" s="1261"/>
      <c r="AP294" s="1242"/>
      <c r="AQ294" s="1162"/>
      <c r="AR294" s="1162"/>
      <c r="AS294" s="1162"/>
      <c r="AT294" s="1261"/>
      <c r="AU294" s="1242"/>
      <c r="AV294" s="1162"/>
      <c r="AW294" s="1162"/>
      <c r="AX294" s="1162"/>
      <c r="AY294" s="1261"/>
      <c r="AZ294" s="1242"/>
      <c r="BA294" s="1162"/>
      <c r="BB294" s="1162"/>
      <c r="BC294" s="1162"/>
      <c r="BD294" s="1261"/>
      <c r="BE294" s="1242"/>
      <c r="BF294" s="1162"/>
      <c r="BG294" s="1162"/>
      <c r="BH294" s="1162"/>
      <c r="BI294" s="1261"/>
      <c r="BJ294" s="1326"/>
      <c r="BK294" s="1274"/>
      <c r="BL294" s="1274"/>
      <c r="BM294" s="1274"/>
      <c r="BN294" s="1327"/>
      <c r="BO294" s="1326">
        <f>BO287-BM287</f>
        <v>-183.73700000000008</v>
      </c>
      <c r="BP294" s="1274">
        <f>BP287-BO287</f>
        <v>-164.09400000000005</v>
      </c>
      <c r="BQ294" s="1274">
        <f>BQ287-BP287</f>
        <v>-211.28099999999995</v>
      </c>
      <c r="BR294" s="1274">
        <f>BR287-BQ287</f>
        <v>-130.52099999999973</v>
      </c>
      <c r="BS294" s="1327"/>
      <c r="BT294" s="1326">
        <f>BT287-BR287</f>
        <v>-212.4320000000007</v>
      </c>
      <c r="BU294" s="1274">
        <f>BU287-BT287</f>
        <v>-210.09999999999945</v>
      </c>
      <c r="BV294" s="1274">
        <f>BV287-BU287</f>
        <v>-216.96600000000035</v>
      </c>
      <c r="BW294" s="1274">
        <f>BW287-BV287</f>
        <v>-231.89000000000033</v>
      </c>
      <c r="BX294" s="1327"/>
      <c r="BY294" s="1326">
        <f>BY287-BW287</f>
        <v>-291.50399999999991</v>
      </c>
      <c r="BZ294" s="1274">
        <f>BZ287-BY287</f>
        <v>-310.96499999999969</v>
      </c>
      <c r="CA294" s="1274">
        <f>CA287-BZ287</f>
        <v>-299.75700000000006</v>
      </c>
      <c r="CB294" s="1274">
        <f>CB287-CA287</f>
        <v>-277.61599999999999</v>
      </c>
      <c r="CC294" s="1769"/>
      <c r="CD294" s="1326">
        <f>CD287-CB287</f>
        <v>-300.59099999999989</v>
      </c>
      <c r="CE294" s="1274">
        <f>CE287-CD287</f>
        <v>-255.60500000000002</v>
      </c>
      <c r="CF294" s="1274">
        <f>CF287-CE287</f>
        <v>-230</v>
      </c>
      <c r="CG294" s="1274">
        <f>CG287-CF287</f>
        <v>-213.80400000000009</v>
      </c>
      <c r="CH294" s="1769"/>
      <c r="CI294" s="1274"/>
      <c r="CJ294" s="1162"/>
      <c r="CK294" s="1233"/>
      <c r="CL294" s="860"/>
      <c r="CM294" s="860"/>
      <c r="CN294" s="860"/>
      <c r="CO294" s="1232"/>
      <c r="CP294" s="1233"/>
      <c r="CQ294" s="860"/>
      <c r="CR294" s="860"/>
      <c r="CS294" s="860"/>
      <c r="CT294" s="1232"/>
      <c r="CU294" s="1233"/>
      <c r="CV294" s="860"/>
      <c r="CW294" s="860"/>
      <c r="CX294" s="1217"/>
      <c r="CY294" s="1232"/>
      <c r="CZ294" s="1233"/>
      <c r="DA294" s="860"/>
      <c r="DB294" s="860"/>
      <c r="DC294" s="860"/>
      <c r="DD294" s="1232"/>
      <c r="DE294" s="1233"/>
      <c r="DF294" s="860"/>
      <c r="DG294" s="860"/>
      <c r="DH294" s="860"/>
      <c r="DI294" s="1232"/>
      <c r="DJ294" s="1233"/>
      <c r="DK294" s="860"/>
      <c r="DL294" s="860"/>
      <c r="DM294" s="860"/>
      <c r="DN294" s="1232"/>
      <c r="DO294" s="1233"/>
      <c r="DP294" s="860"/>
      <c r="DQ294" s="860"/>
      <c r="DR294" s="860"/>
      <c r="DS294" s="1232"/>
      <c r="DT294" s="1233"/>
      <c r="DU294" s="860"/>
      <c r="DV294" s="860"/>
      <c r="DW294" s="860"/>
      <c r="DX294" s="1232"/>
      <c r="DY294" s="1233"/>
      <c r="DZ294" s="860"/>
      <c r="EA294" s="860"/>
      <c r="EB294" s="860"/>
      <c r="EC294" s="1232"/>
      <c r="ED294" s="860"/>
      <c r="EE294" s="860"/>
      <c r="EF294" s="860"/>
      <c r="EG294" s="860"/>
      <c r="EH294" s="860"/>
      <c r="EI294" s="1233"/>
      <c r="EJ294" s="860"/>
      <c r="EK294" s="860"/>
      <c r="EL294" s="860"/>
      <c r="EM294" s="1232"/>
      <c r="EN294" s="1233"/>
      <c r="EO294" s="860"/>
      <c r="EP294" s="860"/>
      <c r="EQ294" s="860"/>
      <c r="ER294" s="1232"/>
      <c r="ES294" s="860"/>
      <c r="ET294" s="860"/>
      <c r="EU294" s="860"/>
      <c r="EV294" s="860"/>
      <c r="EW294" s="1232"/>
      <c r="EX294" s="1233"/>
      <c r="EY294" s="860"/>
      <c r="EZ294" s="860"/>
      <c r="FA294" s="860"/>
      <c r="FB294" s="1754"/>
      <c r="FC294" s="1233"/>
      <c r="FD294" s="860"/>
      <c r="FE294" s="860"/>
      <c r="FF294" s="860"/>
      <c r="FG294" s="860"/>
      <c r="FH294" s="860"/>
      <c r="FI294" s="860"/>
      <c r="FJ294" s="860"/>
      <c r="FK294" s="860"/>
      <c r="FL294" s="860"/>
      <c r="FM294" s="860"/>
      <c r="FN294" s="860"/>
      <c r="FO294" s="860"/>
      <c r="FP294" s="860"/>
      <c r="FQ294" s="860"/>
      <c r="FR294" s="860"/>
      <c r="FS294" s="860"/>
      <c r="FT294" s="860"/>
      <c r="FU294" s="860"/>
      <c r="FV294" s="860"/>
      <c r="FW294" s="860"/>
      <c r="FX294" s="860"/>
      <c r="FY294" s="860"/>
      <c r="FZ294" s="860"/>
      <c r="GA294" s="860"/>
      <c r="GB294" s="860"/>
      <c r="GC294" s="860"/>
      <c r="GD294" s="860"/>
      <c r="GE294" s="860"/>
      <c r="GF294" s="860"/>
      <c r="GG294" s="860"/>
      <c r="GH294" s="860"/>
      <c r="GI294" s="860"/>
      <c r="GJ294" s="860"/>
      <c r="GK294" s="860"/>
      <c r="GL294" s="860"/>
      <c r="GM294" s="860"/>
      <c r="GN294" s="860"/>
      <c r="GO294" s="860"/>
      <c r="GP294" s="860"/>
      <c r="GQ294" s="860"/>
      <c r="GR294" s="1279"/>
      <c r="GS294" s="1218"/>
      <c r="GT294" s="1279"/>
      <c r="GU294" s="1218"/>
      <c r="GV294" s="1279"/>
      <c r="GW294" s="1218"/>
      <c r="GX294" s="1218"/>
      <c r="GY294" s="1279"/>
      <c r="GZ294" s="1218"/>
      <c r="HA294" s="1218"/>
      <c r="HB294" s="1279"/>
      <c r="HC294" s="1218"/>
      <c r="HD294" s="2000"/>
      <c r="HE294" s="1279"/>
      <c r="HF294" s="1218"/>
      <c r="HG294" s="2000"/>
      <c r="HH294" s="1241"/>
      <c r="HI294" s="1279">
        <v>-300</v>
      </c>
      <c r="HJ294" s="1218"/>
      <c r="HK294" s="2000"/>
      <c r="HL294" s="1279">
        <v>-300</v>
      </c>
      <c r="HM294" s="1218"/>
      <c r="HN294" s="2000"/>
      <c r="HO294" s="1279">
        <v>-300</v>
      </c>
      <c r="HP294" s="1218"/>
      <c r="HQ294" s="2000"/>
      <c r="HR294" s="1279">
        <v>-300.59099999999989</v>
      </c>
    </row>
    <row r="295" spans="1:226">
      <c r="A295" s="1509"/>
      <c r="B295" s="1233"/>
      <c r="C295" s="860"/>
      <c r="D295" s="860"/>
      <c r="E295" s="860"/>
      <c r="F295" s="1232"/>
      <c r="G295" s="1233"/>
      <c r="H295" s="860"/>
      <c r="I295" s="860"/>
      <c r="J295" s="860"/>
      <c r="K295" s="1232"/>
      <c r="L295" s="1233"/>
      <c r="M295" s="860"/>
      <c r="N295" s="860"/>
      <c r="O295" s="860"/>
      <c r="P295" s="1232"/>
      <c r="Q295" s="1233"/>
      <c r="R295" s="860"/>
      <c r="S295" s="860"/>
      <c r="T295" s="860"/>
      <c r="U295" s="1232"/>
      <c r="V295" s="1233"/>
      <c r="W295" s="860"/>
      <c r="X295" s="860"/>
      <c r="Y295" s="860"/>
      <c r="Z295" s="1261"/>
      <c r="AA295" s="1242"/>
      <c r="AB295" s="1162"/>
      <c r="AC295" s="1162"/>
      <c r="AD295" s="1162"/>
      <c r="AE295" s="1261"/>
      <c r="AF295" s="1242"/>
      <c r="AG295" s="1162"/>
      <c r="AH295" s="1162"/>
      <c r="AI295" s="1162"/>
      <c r="AJ295" s="1261"/>
      <c r="AK295" s="1242"/>
      <c r="AL295" s="1162"/>
      <c r="AM295" s="1162"/>
      <c r="AN295" s="1162"/>
      <c r="AO295" s="1261"/>
      <c r="AP295" s="1242"/>
      <c r="AQ295" s="1162"/>
      <c r="AR295" s="1162"/>
      <c r="AS295" s="1162"/>
      <c r="AT295" s="1261"/>
      <c r="AU295" s="1242"/>
      <c r="AV295" s="1162"/>
      <c r="AW295" s="1162"/>
      <c r="AX295" s="1162"/>
      <c r="AY295" s="1261"/>
      <c r="AZ295" s="1242"/>
      <c r="BA295" s="1162"/>
      <c r="BB295" s="1162"/>
      <c r="BC295" s="1162"/>
      <c r="BD295" s="1261"/>
      <c r="BE295" s="1242"/>
      <c r="BF295" s="1162"/>
      <c r="BG295" s="1162"/>
      <c r="BH295" s="1162"/>
      <c r="BI295" s="1261"/>
      <c r="BJ295" s="1326"/>
      <c r="BK295" s="1274"/>
      <c r="BL295" s="1274"/>
      <c r="BM295" s="1274"/>
      <c r="BN295" s="1327"/>
      <c r="BO295" s="1326">
        <f>BO288-BM288</f>
        <v>-32.172000000000025</v>
      </c>
      <c r="BP295" s="1274">
        <f t="shared" ref="BP295:BQ297" si="294">BP288-BO288</f>
        <v>-32.860000000000014</v>
      </c>
      <c r="BQ295" s="1274">
        <f t="shared" si="294"/>
        <v>-30.307999999999993</v>
      </c>
      <c r="BR295" s="1274">
        <f>BR288-BQ288</f>
        <v>-29.864999999999895</v>
      </c>
      <c r="BS295" s="1327"/>
      <c r="BT295" s="1326">
        <f>BT288-BR288</f>
        <v>-34.214000000000055</v>
      </c>
      <c r="BU295" s="1274">
        <f t="shared" ref="BU295:BW297" si="295">BU288-BT288</f>
        <v>-42.274999999999977</v>
      </c>
      <c r="BV295" s="1274">
        <f t="shared" si="295"/>
        <v>-49.295000000000016</v>
      </c>
      <c r="BW295" s="1274">
        <f t="shared" si="295"/>
        <v>-38.420000000000016</v>
      </c>
      <c r="BX295" s="1327"/>
      <c r="BY295" s="1326">
        <f>BY288-BW288</f>
        <v>-36.187999999999988</v>
      </c>
      <c r="BZ295" s="1274">
        <f t="shared" ref="BZ295:CB297" si="296">BZ288-BY288</f>
        <v>-34.483000000000004</v>
      </c>
      <c r="CA295" s="1274">
        <f t="shared" si="296"/>
        <v>-28.950999999999993</v>
      </c>
      <c r="CB295" s="1274">
        <f t="shared" si="296"/>
        <v>-25.887</v>
      </c>
      <c r="CC295" s="1769"/>
      <c r="CD295" s="1326">
        <f>CD288-CB288</f>
        <v>-24.408999999999992</v>
      </c>
      <c r="CE295" s="1274">
        <f t="shared" ref="CE295:CE297" si="297">CE288-CD288</f>
        <v>-25.967000000000013</v>
      </c>
      <c r="CF295" s="1274">
        <f t="shared" ref="CF295:CF297" si="298">CF288-CE288</f>
        <v>-25</v>
      </c>
      <c r="CG295" s="1274">
        <f t="shared" ref="CG295:CG297" si="299">CG288-CF288</f>
        <v>-24.623999999999995</v>
      </c>
      <c r="CH295" s="1769"/>
      <c r="CI295" s="1274"/>
      <c r="CJ295" s="1162"/>
      <c r="CK295" s="1233"/>
      <c r="CL295" s="860"/>
      <c r="CM295" s="860"/>
      <c r="CN295" s="860"/>
      <c r="CO295" s="1232"/>
      <c r="CP295" s="1233"/>
      <c r="CQ295" s="860"/>
      <c r="CR295" s="860"/>
      <c r="CS295" s="860"/>
      <c r="CT295" s="1232"/>
      <c r="CU295" s="1233"/>
      <c r="CV295" s="860"/>
      <c r="CW295" s="860"/>
      <c r="CX295" s="1217"/>
      <c r="CY295" s="1232"/>
      <c r="CZ295" s="1233"/>
      <c r="DA295" s="860"/>
      <c r="DB295" s="860"/>
      <c r="DC295" s="860"/>
      <c r="DD295" s="1232"/>
      <c r="DE295" s="1233"/>
      <c r="DF295" s="860"/>
      <c r="DG295" s="860"/>
      <c r="DH295" s="860"/>
      <c r="DI295" s="1232"/>
      <c r="DJ295" s="1233"/>
      <c r="DK295" s="860"/>
      <c r="DL295" s="860"/>
      <c r="DM295" s="860"/>
      <c r="DN295" s="1232"/>
      <c r="DO295" s="1233"/>
      <c r="DP295" s="860"/>
      <c r="DQ295" s="860"/>
      <c r="DR295" s="860"/>
      <c r="DS295" s="1232"/>
      <c r="DT295" s="1233"/>
      <c r="DU295" s="860"/>
      <c r="DV295" s="860"/>
      <c r="DW295" s="860"/>
      <c r="DX295" s="1232"/>
      <c r="DY295" s="1233"/>
      <c r="DZ295" s="860"/>
      <c r="EA295" s="860"/>
      <c r="EB295" s="860"/>
      <c r="EC295" s="1232"/>
      <c r="ED295" s="860"/>
      <c r="EE295" s="860"/>
      <c r="EF295" s="860"/>
      <c r="EG295" s="860"/>
      <c r="EH295" s="860"/>
      <c r="EI295" s="1233"/>
      <c r="EJ295" s="860"/>
      <c r="EK295" s="860"/>
      <c r="EL295" s="860"/>
      <c r="EM295" s="1232"/>
      <c r="EN295" s="1233"/>
      <c r="EO295" s="860"/>
      <c r="EP295" s="860"/>
      <c r="EQ295" s="860"/>
      <c r="ER295" s="1232"/>
      <c r="ES295" s="860"/>
      <c r="ET295" s="860"/>
      <c r="EU295" s="860"/>
      <c r="EV295" s="860"/>
      <c r="EW295" s="1232"/>
      <c r="EX295" s="1233"/>
      <c r="EY295" s="860"/>
      <c r="EZ295" s="860"/>
      <c r="FA295" s="860"/>
      <c r="FB295" s="1754"/>
      <c r="FC295" s="1233"/>
      <c r="FD295" s="860"/>
      <c r="FE295" s="860"/>
      <c r="FF295" s="860"/>
      <c r="FG295" s="860"/>
      <c r="FH295" s="860"/>
      <c r="FI295" s="860"/>
      <c r="FJ295" s="860"/>
      <c r="FK295" s="860"/>
      <c r="FL295" s="860"/>
      <c r="FM295" s="860"/>
      <c r="FN295" s="860"/>
      <c r="FO295" s="860"/>
      <c r="FP295" s="860"/>
      <c r="FQ295" s="860"/>
      <c r="FR295" s="860"/>
      <c r="FS295" s="860"/>
      <c r="FT295" s="860"/>
      <c r="FU295" s="860"/>
      <c r="FV295" s="860"/>
      <c r="FW295" s="860"/>
      <c r="FX295" s="860"/>
      <c r="FY295" s="860"/>
      <c r="FZ295" s="860"/>
      <c r="GA295" s="860"/>
      <c r="GB295" s="860"/>
      <c r="GC295" s="860"/>
      <c r="GD295" s="860"/>
      <c r="GE295" s="860"/>
      <c r="GF295" s="860"/>
      <c r="GG295" s="860"/>
      <c r="GH295" s="860"/>
      <c r="GI295" s="860"/>
      <c r="GJ295" s="860"/>
      <c r="GK295" s="860"/>
      <c r="GL295" s="860"/>
      <c r="GM295" s="860"/>
      <c r="GN295" s="860"/>
      <c r="GO295" s="860"/>
      <c r="GP295" s="860"/>
      <c r="GQ295" s="860"/>
      <c r="GR295" s="1279"/>
      <c r="GS295" s="1218"/>
      <c r="GT295" s="1279"/>
      <c r="GU295" s="1218"/>
      <c r="GV295" s="1279"/>
      <c r="GW295" s="1218"/>
      <c r="GX295" s="1218"/>
      <c r="GY295" s="1279"/>
      <c r="GZ295" s="1218"/>
      <c r="HA295" s="1218"/>
      <c r="HB295" s="1279"/>
      <c r="HC295" s="1218"/>
      <c r="HD295" s="2000"/>
      <c r="HE295" s="1279"/>
      <c r="HF295" s="1218"/>
      <c r="HG295" s="2000"/>
      <c r="HH295" s="1241"/>
      <c r="HI295" s="1279">
        <v>-35</v>
      </c>
      <c r="HJ295" s="1218"/>
      <c r="HK295" s="2000"/>
      <c r="HL295" s="1279">
        <v>-35.213999999999999</v>
      </c>
      <c r="HM295" s="1218"/>
      <c r="HN295" s="2000"/>
      <c r="HO295" s="1279">
        <v>-31.263000000000005</v>
      </c>
      <c r="HP295" s="1218"/>
      <c r="HQ295" s="2000"/>
      <c r="HR295" s="1279">
        <v>-24.408999999999992</v>
      </c>
    </row>
    <row r="296" spans="1:226">
      <c r="A296" s="1509"/>
      <c r="B296" s="1233"/>
      <c r="C296" s="860"/>
      <c r="D296" s="860"/>
      <c r="E296" s="860"/>
      <c r="F296" s="1232"/>
      <c r="G296" s="1233"/>
      <c r="H296" s="860"/>
      <c r="I296" s="860"/>
      <c r="J296" s="860"/>
      <c r="K296" s="1232"/>
      <c r="L296" s="1233"/>
      <c r="M296" s="860"/>
      <c r="N296" s="860"/>
      <c r="O296" s="860"/>
      <c r="P296" s="1232"/>
      <c r="Q296" s="1233"/>
      <c r="R296" s="860"/>
      <c r="S296" s="860"/>
      <c r="T296" s="860"/>
      <c r="U296" s="1232"/>
      <c r="V296" s="1233"/>
      <c r="W296" s="860"/>
      <c r="X296" s="860"/>
      <c r="Y296" s="860"/>
      <c r="Z296" s="1261"/>
      <c r="AA296" s="1242"/>
      <c r="AB296" s="1162"/>
      <c r="AC296" s="1162"/>
      <c r="AD296" s="1162"/>
      <c r="AE296" s="1261"/>
      <c r="AF296" s="1242"/>
      <c r="AG296" s="1162"/>
      <c r="AH296" s="1162"/>
      <c r="AI296" s="1162"/>
      <c r="AJ296" s="1261"/>
      <c r="AK296" s="1242"/>
      <c r="AL296" s="1162"/>
      <c r="AM296" s="1162"/>
      <c r="AN296" s="1162"/>
      <c r="AO296" s="1261"/>
      <c r="AP296" s="1242"/>
      <c r="AQ296" s="1162"/>
      <c r="AR296" s="1162"/>
      <c r="AS296" s="1162"/>
      <c r="AT296" s="1261"/>
      <c r="AU296" s="1242"/>
      <c r="AV296" s="1162"/>
      <c r="AW296" s="1162"/>
      <c r="AX296" s="1162"/>
      <c r="AY296" s="1261"/>
      <c r="AZ296" s="1242"/>
      <c r="BA296" s="1162"/>
      <c r="BB296" s="1162"/>
      <c r="BC296" s="1162"/>
      <c r="BD296" s="1261"/>
      <c r="BE296" s="1242"/>
      <c r="BF296" s="1162"/>
      <c r="BG296" s="1162"/>
      <c r="BH296" s="1162"/>
      <c r="BI296" s="1261"/>
      <c r="BJ296" s="1326"/>
      <c r="BK296" s="1274"/>
      <c r="BL296" s="1274"/>
      <c r="BM296" s="1274"/>
      <c r="BN296" s="1327"/>
      <c r="BO296" s="1326">
        <f>BO289-BM289</f>
        <v>-2.6000000000000023E-2</v>
      </c>
      <c r="BP296" s="1274">
        <f t="shared" si="294"/>
        <v>-2.899999999999997E-2</v>
      </c>
      <c r="BQ296" s="1274">
        <f t="shared" si="294"/>
        <v>-3.3000000000000029E-2</v>
      </c>
      <c r="BR296" s="1274">
        <f>BR289-BQ289</f>
        <v>-2.1000000000000019E-2</v>
      </c>
      <c r="BS296" s="1327"/>
      <c r="BT296" s="1326">
        <f>BT289-BR289</f>
        <v>-2.0999999999999963E-2</v>
      </c>
      <c r="BU296" s="1274">
        <f t="shared" si="295"/>
        <v>-5.7999999999999996E-2</v>
      </c>
      <c r="BV296" s="1274">
        <f t="shared" si="295"/>
        <v>-2.9000000000000026E-2</v>
      </c>
      <c r="BW296" s="1274">
        <f t="shared" si="295"/>
        <v>-3.8999999999999979E-2</v>
      </c>
      <c r="BX296" s="1327"/>
      <c r="BY296" s="1326">
        <f>BY289-BW289</f>
        <v>-1.100000000000001E-2</v>
      </c>
      <c r="BZ296" s="1274">
        <f t="shared" si="296"/>
        <v>-2.3999999999999994E-2</v>
      </c>
      <c r="CA296" s="1274">
        <f t="shared" si="296"/>
        <v>1.0000000000000009E-3</v>
      </c>
      <c r="CB296" s="1274">
        <f t="shared" si="296"/>
        <v>-1.4000000000000012E-2</v>
      </c>
      <c r="CC296" s="1769"/>
      <c r="CD296" s="1326">
        <f>CD289-CB289</f>
        <v>5.0000000000000044E-3</v>
      </c>
      <c r="CE296" s="1274">
        <f t="shared" si="297"/>
        <v>-0.154</v>
      </c>
      <c r="CF296" s="1274">
        <f t="shared" si="298"/>
        <v>0</v>
      </c>
      <c r="CG296" s="1274">
        <f t="shared" ca="1" si="299"/>
        <v>0</v>
      </c>
      <c r="CH296" s="1769"/>
      <c r="CI296" s="1274"/>
      <c r="CJ296" s="1162"/>
      <c r="CK296" s="1233"/>
      <c r="CL296" s="860"/>
      <c r="CM296" s="860"/>
      <c r="CN296" s="860"/>
      <c r="CO296" s="1232"/>
      <c r="CP296" s="1233"/>
      <c r="CQ296" s="860"/>
      <c r="CR296" s="860"/>
      <c r="CS296" s="860"/>
      <c r="CT296" s="1232"/>
      <c r="CU296" s="1233"/>
      <c r="CV296" s="860"/>
      <c r="CW296" s="860"/>
      <c r="CX296" s="1217"/>
      <c r="CY296" s="1232"/>
      <c r="CZ296" s="1233"/>
      <c r="DA296" s="860"/>
      <c r="DB296" s="860"/>
      <c r="DC296" s="860"/>
      <c r="DD296" s="1232"/>
      <c r="DE296" s="1233"/>
      <c r="DF296" s="860"/>
      <c r="DG296" s="860"/>
      <c r="DH296" s="860"/>
      <c r="DI296" s="1232"/>
      <c r="DJ296" s="1233"/>
      <c r="DK296" s="860"/>
      <c r="DL296" s="860"/>
      <c r="DM296" s="860"/>
      <c r="DN296" s="1232"/>
      <c r="DO296" s="1233"/>
      <c r="DP296" s="860"/>
      <c r="DQ296" s="860"/>
      <c r="DR296" s="860"/>
      <c r="DS296" s="1232"/>
      <c r="DT296" s="1233"/>
      <c r="DU296" s="860"/>
      <c r="DV296" s="860"/>
      <c r="DW296" s="860"/>
      <c r="DX296" s="1232"/>
      <c r="DY296" s="1233"/>
      <c r="DZ296" s="860"/>
      <c r="EA296" s="860"/>
      <c r="EB296" s="860"/>
      <c r="EC296" s="1232"/>
      <c r="ED296" s="860"/>
      <c r="EE296" s="860"/>
      <c r="EF296" s="860"/>
      <c r="EG296" s="860"/>
      <c r="EH296" s="860"/>
      <c r="EI296" s="1233"/>
      <c r="EJ296" s="860"/>
      <c r="EK296" s="860"/>
      <c r="EL296" s="860"/>
      <c r="EM296" s="1232"/>
      <c r="EN296" s="1233"/>
      <c r="EO296" s="860"/>
      <c r="EP296" s="860"/>
      <c r="EQ296" s="860"/>
      <c r="ER296" s="1232"/>
      <c r="ES296" s="860"/>
      <c r="ET296" s="860"/>
      <c r="EU296" s="860"/>
      <c r="EV296" s="860"/>
      <c r="EW296" s="1232"/>
      <c r="EX296" s="1233"/>
      <c r="EY296" s="860"/>
      <c r="EZ296" s="860"/>
      <c r="FA296" s="860"/>
      <c r="FB296" s="1754"/>
      <c r="FC296" s="1233"/>
      <c r="FD296" s="860"/>
      <c r="FE296" s="860"/>
      <c r="FF296" s="860"/>
      <c r="FG296" s="860"/>
      <c r="FH296" s="860"/>
      <c r="FI296" s="860"/>
      <c r="FJ296" s="860"/>
      <c r="FK296" s="860"/>
      <c r="FL296" s="860"/>
      <c r="FM296" s="860"/>
      <c r="FN296" s="860"/>
      <c r="FO296" s="860"/>
      <c r="FP296" s="860"/>
      <c r="FQ296" s="860"/>
      <c r="FR296" s="860"/>
      <c r="FS296" s="860"/>
      <c r="FT296" s="860"/>
      <c r="FU296" s="860"/>
      <c r="FV296" s="860"/>
      <c r="FW296" s="860"/>
      <c r="FX296" s="860"/>
      <c r="FY296" s="860"/>
      <c r="FZ296" s="860"/>
      <c r="GA296" s="860"/>
      <c r="GB296" s="860"/>
      <c r="GC296" s="860"/>
      <c r="GD296" s="860"/>
      <c r="GE296" s="860"/>
      <c r="GF296" s="860"/>
      <c r="GG296" s="860"/>
      <c r="GH296" s="860"/>
      <c r="GI296" s="860"/>
      <c r="GJ296" s="860"/>
      <c r="GK296" s="860"/>
      <c r="GL296" s="860"/>
      <c r="GM296" s="860"/>
      <c r="GN296" s="860"/>
      <c r="GO296" s="860"/>
      <c r="GP296" s="860"/>
      <c r="GQ296" s="860"/>
      <c r="GR296" s="1279"/>
      <c r="GS296" s="1218"/>
      <c r="GT296" s="1279"/>
      <c r="GU296" s="1218"/>
      <c r="GV296" s="1279"/>
      <c r="GW296" s="1218"/>
      <c r="GX296" s="1218"/>
      <c r="GY296" s="1279"/>
      <c r="GZ296" s="1218"/>
      <c r="HA296" s="1218"/>
      <c r="HB296" s="1279"/>
      <c r="HC296" s="1218"/>
      <c r="HD296" s="2000"/>
      <c r="HE296" s="1279"/>
      <c r="HF296" s="1218"/>
      <c r="HG296" s="2000"/>
      <c r="HH296" s="1241"/>
      <c r="HI296" s="1279">
        <v>-0.186</v>
      </c>
      <c r="HJ296" s="1218"/>
      <c r="HK296" s="2000"/>
      <c r="HL296" s="1279">
        <v>-0.16200000000000001</v>
      </c>
      <c r="HM296" s="1218"/>
      <c r="HN296" s="2000"/>
      <c r="HO296" s="1279">
        <v>-0.16300000000000001</v>
      </c>
      <c r="HP296" s="1218"/>
      <c r="HQ296" s="2000"/>
      <c r="HR296" s="1279">
        <v>5.0000000000000044E-3</v>
      </c>
    </row>
    <row r="297" spans="1:226">
      <c r="A297" s="1509"/>
      <c r="B297" s="1233"/>
      <c r="C297" s="860"/>
      <c r="D297" s="860"/>
      <c r="E297" s="860"/>
      <c r="F297" s="1232"/>
      <c r="G297" s="1233"/>
      <c r="H297" s="860"/>
      <c r="I297" s="860"/>
      <c r="J297" s="860"/>
      <c r="K297" s="1232"/>
      <c r="L297" s="1233"/>
      <c r="M297" s="860"/>
      <c r="N297" s="860"/>
      <c r="O297" s="860"/>
      <c r="P297" s="1232"/>
      <c r="Q297" s="1233"/>
      <c r="R297" s="860"/>
      <c r="S297" s="860"/>
      <c r="T297" s="860"/>
      <c r="U297" s="1232"/>
      <c r="V297" s="1233"/>
      <c r="W297" s="860"/>
      <c r="X297" s="860"/>
      <c r="Y297" s="860"/>
      <c r="Z297" s="1261"/>
      <c r="AA297" s="1242"/>
      <c r="AB297" s="1162"/>
      <c r="AC297" s="1162"/>
      <c r="AD297" s="1162"/>
      <c r="AE297" s="1261"/>
      <c r="AF297" s="1242"/>
      <c r="AG297" s="1162"/>
      <c r="AH297" s="1162"/>
      <c r="AI297" s="1162"/>
      <c r="AJ297" s="1261"/>
      <c r="AK297" s="1242"/>
      <c r="AL297" s="1162"/>
      <c r="AM297" s="1162"/>
      <c r="AN297" s="1162"/>
      <c r="AO297" s="1261"/>
      <c r="AP297" s="1242"/>
      <c r="AQ297" s="1162"/>
      <c r="AR297" s="1162"/>
      <c r="AS297" s="1162"/>
      <c r="AT297" s="1261"/>
      <c r="AU297" s="1242"/>
      <c r="AV297" s="1162"/>
      <c r="AW297" s="1162"/>
      <c r="AX297" s="1162"/>
      <c r="AY297" s="1261"/>
      <c r="AZ297" s="1242"/>
      <c r="BA297" s="1162"/>
      <c r="BB297" s="1162"/>
      <c r="BC297" s="1162"/>
      <c r="BD297" s="1261"/>
      <c r="BE297" s="1242"/>
      <c r="BF297" s="1162"/>
      <c r="BG297" s="1162"/>
      <c r="BH297" s="1162"/>
      <c r="BI297" s="1261"/>
      <c r="BJ297" s="1326"/>
      <c r="BK297" s="1274"/>
      <c r="BL297" s="1274"/>
      <c r="BM297" s="1274"/>
      <c r="BN297" s="1327"/>
      <c r="BO297" s="1326">
        <f>BO290-BM290</f>
        <v>0.77899999999999991</v>
      </c>
      <c r="BP297" s="1274">
        <f t="shared" si="294"/>
        <v>6.0139999999999993</v>
      </c>
      <c r="BQ297" s="1274">
        <f t="shared" si="294"/>
        <v>10.119000000000003</v>
      </c>
      <c r="BR297" s="1274">
        <f>BR290-BQ290</f>
        <v>-1.2000000000000455E-2</v>
      </c>
      <c r="BS297" s="1327"/>
      <c r="BT297" s="1326">
        <f>BT290-BR290</f>
        <v>-3.8980000000000032</v>
      </c>
      <c r="BU297" s="1274">
        <f t="shared" si="295"/>
        <v>-9.5180000000000007</v>
      </c>
      <c r="BV297" s="1274">
        <f t="shared" si="295"/>
        <v>-3.5629999999999988</v>
      </c>
      <c r="BW297" s="1274">
        <f t="shared" si="295"/>
        <v>-2.2000000000000242E-2</v>
      </c>
      <c r="BX297" s="1327"/>
      <c r="BY297" s="1326">
        <f>BY290-BW290</f>
        <v>-3.1069999999999993</v>
      </c>
      <c r="BZ297" s="1274">
        <f t="shared" si="296"/>
        <v>-1.1080000000000005</v>
      </c>
      <c r="CA297" s="1274">
        <f t="shared" si="296"/>
        <v>-0.68799999999999883</v>
      </c>
      <c r="CB297" s="1274">
        <f t="shared" si="296"/>
        <v>-0.96700000000000053</v>
      </c>
      <c r="CC297" s="1769"/>
      <c r="CD297" s="1326">
        <f>CD290-CB290</f>
        <v>-0.65499999999999936</v>
      </c>
      <c r="CE297" s="1274">
        <f t="shared" si="297"/>
        <v>-0.97600000000000087</v>
      </c>
      <c r="CF297" s="1274">
        <f t="shared" si="298"/>
        <v>-1</v>
      </c>
      <c r="CG297" s="1274">
        <f t="shared" si="299"/>
        <v>-1.3689999999999998</v>
      </c>
      <c r="CH297" s="1769"/>
      <c r="CI297" s="1274"/>
      <c r="CJ297" s="1162"/>
      <c r="CK297" s="1233"/>
      <c r="CL297" s="860"/>
      <c r="CM297" s="860"/>
      <c r="CN297" s="860"/>
      <c r="CO297" s="1232"/>
      <c r="CP297" s="1233"/>
      <c r="CQ297" s="860"/>
      <c r="CR297" s="860"/>
      <c r="CS297" s="860"/>
      <c r="CT297" s="1232"/>
      <c r="CU297" s="1233"/>
      <c r="CV297" s="860"/>
      <c r="CW297" s="860"/>
      <c r="CX297" s="1217"/>
      <c r="CY297" s="1232"/>
      <c r="CZ297" s="1233"/>
      <c r="DA297" s="860"/>
      <c r="DB297" s="860"/>
      <c r="DC297" s="860"/>
      <c r="DD297" s="1232"/>
      <c r="DE297" s="1233"/>
      <c r="DF297" s="860"/>
      <c r="DG297" s="860"/>
      <c r="DH297" s="860"/>
      <c r="DI297" s="1232"/>
      <c r="DJ297" s="1233"/>
      <c r="DK297" s="860"/>
      <c r="DL297" s="860"/>
      <c r="DM297" s="860"/>
      <c r="DN297" s="1232"/>
      <c r="DO297" s="1233"/>
      <c r="DP297" s="860"/>
      <c r="DQ297" s="860"/>
      <c r="DR297" s="860"/>
      <c r="DS297" s="1232"/>
      <c r="DT297" s="1233"/>
      <c r="DU297" s="860"/>
      <c r="DV297" s="860"/>
      <c r="DW297" s="860"/>
      <c r="DX297" s="1232"/>
      <c r="DY297" s="1233"/>
      <c r="DZ297" s="860"/>
      <c r="EA297" s="860"/>
      <c r="EB297" s="860"/>
      <c r="EC297" s="1232"/>
      <c r="ED297" s="860"/>
      <c r="EE297" s="860"/>
      <c r="EF297" s="860"/>
      <c r="EG297" s="860"/>
      <c r="EH297" s="860"/>
      <c r="EI297" s="1233"/>
      <c r="EJ297" s="860"/>
      <c r="EK297" s="860"/>
      <c r="EL297" s="860"/>
      <c r="EM297" s="1232"/>
      <c r="EN297" s="1233"/>
      <c r="EO297" s="860"/>
      <c r="EP297" s="860"/>
      <c r="EQ297" s="860"/>
      <c r="ER297" s="1232"/>
      <c r="ES297" s="860"/>
      <c r="ET297" s="860"/>
      <c r="EU297" s="860"/>
      <c r="EV297" s="860"/>
      <c r="EW297" s="1232"/>
      <c r="EX297" s="1233"/>
      <c r="EY297" s="860"/>
      <c r="EZ297" s="860"/>
      <c r="FA297" s="860"/>
      <c r="FB297" s="1754"/>
      <c r="FC297" s="1233"/>
      <c r="FD297" s="860"/>
      <c r="FE297" s="860"/>
      <c r="FF297" s="860"/>
      <c r="FG297" s="860"/>
      <c r="FH297" s="860"/>
      <c r="FI297" s="860"/>
      <c r="FJ297" s="860"/>
      <c r="FK297" s="860"/>
      <c r="FL297" s="860"/>
      <c r="FM297" s="860"/>
      <c r="FN297" s="860"/>
      <c r="FO297" s="860"/>
      <c r="FP297" s="860"/>
      <c r="FQ297" s="860"/>
      <c r="FR297" s="860"/>
      <c r="FS297" s="860"/>
      <c r="FT297" s="860"/>
      <c r="FU297" s="860"/>
      <c r="FV297" s="860"/>
      <c r="FW297" s="860"/>
      <c r="FX297" s="860"/>
      <c r="FY297" s="860"/>
      <c r="FZ297" s="860"/>
      <c r="GA297" s="860"/>
      <c r="GB297" s="860"/>
      <c r="GC297" s="860"/>
      <c r="GD297" s="860"/>
      <c r="GE297" s="860"/>
      <c r="GF297" s="860"/>
      <c r="GG297" s="860"/>
      <c r="GH297" s="860"/>
      <c r="GI297" s="860"/>
      <c r="GJ297" s="860"/>
      <c r="GK297" s="860"/>
      <c r="GL297" s="860"/>
      <c r="GM297" s="860"/>
      <c r="GN297" s="860"/>
      <c r="GO297" s="860"/>
      <c r="GP297" s="860"/>
      <c r="GQ297" s="860"/>
      <c r="GR297" s="1279"/>
      <c r="GS297" s="1218"/>
      <c r="GT297" s="1279"/>
      <c r="GU297" s="1218"/>
      <c r="GV297" s="1279"/>
      <c r="GW297" s="1218"/>
      <c r="GX297" s="1218"/>
      <c r="GY297" s="1279"/>
      <c r="GZ297" s="1218"/>
      <c r="HA297" s="1218"/>
      <c r="HB297" s="1279"/>
      <c r="HC297" s="1218"/>
      <c r="HD297" s="2000"/>
      <c r="HE297" s="1279"/>
      <c r="HF297" s="1218"/>
      <c r="HG297" s="2000"/>
      <c r="HH297" s="1241"/>
      <c r="HI297" s="1279">
        <v>-2</v>
      </c>
      <c r="HJ297" s="1218"/>
      <c r="HK297" s="2000"/>
      <c r="HL297" s="1279">
        <v>-3.2859999999999996</v>
      </c>
      <c r="HM297" s="1218"/>
      <c r="HN297" s="2000"/>
      <c r="HO297" s="1279">
        <v>-0.59800000000000075</v>
      </c>
      <c r="HP297" s="1218"/>
      <c r="HQ297" s="2000"/>
      <c r="HR297" s="1279">
        <v>-0.65499999999999936</v>
      </c>
    </row>
    <row r="298" spans="1:226">
      <c r="A298" s="1509"/>
      <c r="B298" s="1233"/>
      <c r="C298" s="860"/>
      <c r="D298" s="860"/>
      <c r="E298" s="860"/>
      <c r="F298" s="1232"/>
      <c r="G298" s="1233"/>
      <c r="H298" s="860"/>
      <c r="I298" s="860"/>
      <c r="J298" s="860"/>
      <c r="K298" s="1232"/>
      <c r="L298" s="1233"/>
      <c r="M298" s="860"/>
      <c r="N298" s="860"/>
      <c r="O298" s="860"/>
      <c r="P298" s="1232"/>
      <c r="Q298" s="1233"/>
      <c r="R298" s="860"/>
      <c r="S298" s="860"/>
      <c r="T298" s="860"/>
      <c r="U298" s="1232"/>
      <c r="V298" s="1233"/>
      <c r="W298" s="860"/>
      <c r="X298" s="860"/>
      <c r="Y298" s="860"/>
      <c r="Z298" s="1261"/>
      <c r="AA298" s="1242"/>
      <c r="AB298" s="1162"/>
      <c r="AC298" s="1162"/>
      <c r="AD298" s="1162"/>
      <c r="AE298" s="1261"/>
      <c r="AF298" s="1242"/>
      <c r="AG298" s="1162"/>
      <c r="AH298" s="1162"/>
      <c r="AI298" s="1162"/>
      <c r="AJ298" s="1261"/>
      <c r="AK298" s="1242"/>
      <c r="AL298" s="1162"/>
      <c r="AM298" s="1162"/>
      <c r="AN298" s="1162"/>
      <c r="AO298" s="1261"/>
      <c r="AP298" s="1242"/>
      <c r="AQ298" s="1162"/>
      <c r="AR298" s="1162"/>
      <c r="AS298" s="1162"/>
      <c r="AT298" s="1261"/>
      <c r="AU298" s="1242"/>
      <c r="AV298" s="1162"/>
      <c r="AW298" s="1162"/>
      <c r="AX298" s="1162"/>
      <c r="AY298" s="1261"/>
      <c r="AZ298" s="1242"/>
      <c r="BA298" s="1162"/>
      <c r="BB298" s="1162"/>
      <c r="BC298" s="1162"/>
      <c r="BD298" s="1261"/>
      <c r="BE298" s="1242"/>
      <c r="BF298" s="1162"/>
      <c r="BG298" s="1162"/>
      <c r="BH298" s="1162"/>
      <c r="BI298" s="1261"/>
      <c r="BJ298" s="1326"/>
      <c r="BK298" s="1274"/>
      <c r="BL298" s="1274"/>
      <c r="BM298" s="1274"/>
      <c r="BN298" s="1327"/>
      <c r="BO298" s="1326"/>
      <c r="BP298" s="1274"/>
      <c r="BQ298" s="1274"/>
      <c r="BR298" s="1274"/>
      <c r="BS298" s="1327"/>
      <c r="BT298" s="1326"/>
      <c r="BU298" s="1274"/>
      <c r="BV298" s="1274"/>
      <c r="BW298" s="1274"/>
      <c r="BX298" s="1327"/>
      <c r="BY298" s="1326"/>
      <c r="BZ298" s="1274"/>
      <c r="CA298" s="1274"/>
      <c r="CB298" s="1274"/>
      <c r="CC298" s="1769"/>
      <c r="CD298" s="1326"/>
      <c r="CE298" s="1274"/>
      <c r="CF298" s="1274"/>
      <c r="CG298" s="1274"/>
      <c r="CH298" s="1769"/>
      <c r="CI298" s="1274"/>
      <c r="CJ298" s="1162"/>
      <c r="CK298" s="1233"/>
      <c r="CL298" s="860"/>
      <c r="CM298" s="860"/>
      <c r="CN298" s="860"/>
      <c r="CO298" s="1232"/>
      <c r="CP298" s="1233"/>
      <c r="CQ298" s="860"/>
      <c r="CR298" s="860"/>
      <c r="CS298" s="860"/>
      <c r="CT298" s="1232"/>
      <c r="CU298" s="1233"/>
      <c r="CV298" s="860"/>
      <c r="CW298" s="860"/>
      <c r="CX298" s="1217"/>
      <c r="CY298" s="1232"/>
      <c r="CZ298" s="1233"/>
      <c r="DA298" s="860"/>
      <c r="DB298" s="860"/>
      <c r="DC298" s="860"/>
      <c r="DD298" s="1232"/>
      <c r="DE298" s="1233"/>
      <c r="DF298" s="860"/>
      <c r="DG298" s="860"/>
      <c r="DH298" s="860"/>
      <c r="DI298" s="1232"/>
      <c r="DJ298" s="1233"/>
      <c r="DK298" s="860"/>
      <c r="DL298" s="860"/>
      <c r="DM298" s="860"/>
      <c r="DN298" s="1232"/>
      <c r="DO298" s="1233"/>
      <c r="DP298" s="860"/>
      <c r="DQ298" s="860"/>
      <c r="DR298" s="860"/>
      <c r="DS298" s="1232"/>
      <c r="DT298" s="1233"/>
      <c r="DU298" s="860"/>
      <c r="DV298" s="860"/>
      <c r="DW298" s="860"/>
      <c r="DX298" s="1232"/>
      <c r="DY298" s="1233"/>
      <c r="DZ298" s="860"/>
      <c r="EA298" s="860"/>
      <c r="EB298" s="860"/>
      <c r="EC298" s="1232"/>
      <c r="ED298" s="860"/>
      <c r="EE298" s="860"/>
      <c r="EF298" s="860"/>
      <c r="EG298" s="860"/>
      <c r="EH298" s="860"/>
      <c r="EI298" s="1233"/>
      <c r="EJ298" s="860"/>
      <c r="EK298" s="860"/>
      <c r="EL298" s="860"/>
      <c r="EM298" s="1232"/>
      <c r="EN298" s="1233"/>
      <c r="EO298" s="860"/>
      <c r="EP298" s="860"/>
      <c r="EQ298" s="860"/>
      <c r="ER298" s="1232"/>
      <c r="ES298" s="860"/>
      <c r="ET298" s="860"/>
      <c r="EU298" s="860"/>
      <c r="EV298" s="860"/>
      <c r="EW298" s="1232"/>
      <c r="EX298" s="1233"/>
      <c r="EY298" s="860"/>
      <c r="EZ298" s="860"/>
      <c r="FA298" s="860"/>
      <c r="FB298" s="1754"/>
      <c r="FC298" s="1233"/>
      <c r="FD298" s="860"/>
      <c r="FE298" s="860"/>
      <c r="FF298" s="860"/>
      <c r="FG298" s="860"/>
      <c r="FH298" s="860"/>
      <c r="FI298" s="860"/>
      <c r="FJ298" s="860"/>
      <c r="FK298" s="860"/>
      <c r="FL298" s="860"/>
      <c r="FM298" s="860"/>
      <c r="FN298" s="860"/>
      <c r="FO298" s="860"/>
      <c r="FP298" s="860"/>
      <c r="FQ298" s="860"/>
      <c r="FR298" s="860"/>
      <c r="FS298" s="860"/>
      <c r="FT298" s="860"/>
      <c r="FU298" s="860"/>
      <c r="FV298" s="860"/>
      <c r="FW298" s="860"/>
      <c r="FX298" s="860"/>
      <c r="FY298" s="860"/>
      <c r="FZ298" s="860"/>
      <c r="GA298" s="860"/>
      <c r="GB298" s="860"/>
      <c r="GC298" s="860"/>
      <c r="GD298" s="860"/>
      <c r="GE298" s="860"/>
      <c r="GF298" s="860"/>
      <c r="GG298" s="860"/>
      <c r="GH298" s="860"/>
      <c r="GI298" s="860"/>
      <c r="GJ298" s="860"/>
      <c r="GK298" s="860"/>
      <c r="GL298" s="860"/>
      <c r="GM298" s="860"/>
      <c r="GN298" s="860"/>
      <c r="GO298" s="860"/>
      <c r="GP298" s="860"/>
      <c r="GQ298" s="860"/>
      <c r="GR298" s="1279"/>
      <c r="GS298" s="1218"/>
      <c r="GT298" s="1279"/>
      <c r="GU298" s="1218"/>
      <c r="GV298" s="1279"/>
      <c r="GW298" s="1218"/>
      <c r="GX298" s="1218"/>
      <c r="GY298" s="1279"/>
      <c r="GZ298" s="1218"/>
      <c r="HA298" s="1218"/>
      <c r="HB298" s="1279"/>
      <c r="HC298" s="1218"/>
      <c r="HD298" s="2000"/>
      <c r="HE298" s="1279"/>
      <c r="HF298" s="1218"/>
      <c r="HG298" s="2000"/>
      <c r="HH298" s="1241"/>
      <c r="HI298" s="1279"/>
      <c r="HJ298" s="1218"/>
      <c r="HK298" s="2000"/>
      <c r="HL298" s="1279"/>
      <c r="HM298" s="1218"/>
      <c r="HN298" s="2000"/>
      <c r="HO298" s="1279"/>
      <c r="HP298" s="1218"/>
      <c r="HQ298" s="2000"/>
      <c r="HR298" s="1279"/>
    </row>
    <row r="299" spans="1:226">
      <c r="A299" s="1679"/>
      <c r="B299" s="1354"/>
      <c r="C299" s="1294"/>
      <c r="D299" s="1294"/>
      <c r="E299" s="1294"/>
      <c r="F299" s="1269"/>
      <c r="G299" s="1354"/>
      <c r="H299" s="1294"/>
      <c r="I299" s="1294"/>
      <c r="J299" s="1294"/>
      <c r="K299" s="1269"/>
      <c r="L299" s="1354"/>
      <c r="M299" s="1294"/>
      <c r="N299" s="1294"/>
      <c r="O299" s="1294"/>
      <c r="P299" s="1269"/>
      <c r="Q299" s="1354"/>
      <c r="R299" s="1294"/>
      <c r="S299" s="1294"/>
      <c r="T299" s="1294"/>
      <c r="U299" s="1269"/>
      <c r="V299" s="1354"/>
      <c r="W299" s="1294"/>
      <c r="X299" s="1294"/>
      <c r="Y299" s="1294"/>
      <c r="Z299" s="1335"/>
      <c r="AA299" s="1510"/>
      <c r="AB299" s="1295"/>
      <c r="AC299" s="1295"/>
      <c r="AD299" s="1295"/>
      <c r="AE299" s="1335"/>
      <c r="AF299" s="1510"/>
      <c r="AG299" s="1295"/>
      <c r="AH299" s="1295"/>
      <c r="AI299" s="1295"/>
      <c r="AJ299" s="1335"/>
      <c r="AK299" s="1510"/>
      <c r="AL299" s="1295"/>
      <c r="AM299" s="1295"/>
      <c r="AN299" s="1295"/>
      <c r="AO299" s="1335"/>
      <c r="AP299" s="1510"/>
      <c r="AQ299" s="1295"/>
      <c r="AR299" s="1295"/>
      <c r="AS299" s="1295"/>
      <c r="AT299" s="1335"/>
      <c r="AU299" s="1510"/>
      <c r="AV299" s="1295"/>
      <c r="AW299" s="1295"/>
      <c r="AX299" s="1295"/>
      <c r="AY299" s="1335"/>
      <c r="AZ299" s="1510"/>
      <c r="BA299" s="1295"/>
      <c r="BB299" s="1295"/>
      <c r="BC299" s="1295"/>
      <c r="BD299" s="1335"/>
      <c r="BE299" s="1510"/>
      <c r="BF299" s="1295"/>
      <c r="BG299" s="1295"/>
      <c r="BH299" s="1295"/>
      <c r="BI299" s="1335"/>
      <c r="BJ299" s="1511"/>
      <c r="BK299" s="967"/>
      <c r="BL299" s="967"/>
      <c r="BM299" s="967"/>
      <c r="BN299" s="1512"/>
      <c r="BO299" s="1511"/>
      <c r="BP299" s="967"/>
      <c r="BQ299" s="967"/>
      <c r="BR299" s="967"/>
      <c r="BS299" s="1512"/>
      <c r="BT299" s="1511"/>
      <c r="BU299" s="967"/>
      <c r="BV299" s="967"/>
      <c r="BW299" s="967"/>
      <c r="BX299" s="1512"/>
      <c r="BY299" s="1511"/>
      <c r="BZ299" s="967"/>
      <c r="CA299" s="967"/>
      <c r="CB299" s="967"/>
      <c r="CC299" s="1782"/>
      <c r="CD299" s="1511"/>
      <c r="CE299" s="967"/>
      <c r="CF299" s="967"/>
      <c r="CG299" s="967"/>
      <c r="CH299" s="1782"/>
      <c r="CI299" s="1274"/>
      <c r="CJ299" s="1162"/>
      <c r="CK299" s="1354"/>
      <c r="CL299" s="1294"/>
      <c r="CM299" s="1294"/>
      <c r="CN299" s="1294"/>
      <c r="CO299" s="1269"/>
      <c r="CP299" s="1354"/>
      <c r="CQ299" s="1294"/>
      <c r="CR299" s="1294"/>
      <c r="CS299" s="1294"/>
      <c r="CT299" s="1269"/>
      <c r="CU299" s="1354"/>
      <c r="CV299" s="1294"/>
      <c r="CW299" s="1294"/>
      <c r="CX299" s="1320"/>
      <c r="CY299" s="1269"/>
      <c r="CZ299" s="1354"/>
      <c r="DA299" s="1294"/>
      <c r="DB299" s="1294"/>
      <c r="DC299" s="1294"/>
      <c r="DD299" s="1269"/>
      <c r="DE299" s="1354"/>
      <c r="DF299" s="1294"/>
      <c r="DG299" s="1294"/>
      <c r="DH299" s="1294"/>
      <c r="DI299" s="1269"/>
      <c r="DJ299" s="1354"/>
      <c r="DK299" s="1294"/>
      <c r="DL299" s="1294"/>
      <c r="DM299" s="1294"/>
      <c r="DN299" s="1269"/>
      <c r="DO299" s="1354"/>
      <c r="DP299" s="1294"/>
      <c r="DQ299" s="1294"/>
      <c r="DR299" s="1294"/>
      <c r="DS299" s="1269"/>
      <c r="DT299" s="1354"/>
      <c r="DU299" s="1294"/>
      <c r="DV299" s="1294"/>
      <c r="DW299" s="1294"/>
      <c r="DX299" s="1269"/>
      <c r="DY299" s="1354"/>
      <c r="DZ299" s="1294"/>
      <c r="EA299" s="1294"/>
      <c r="EB299" s="1294"/>
      <c r="EC299" s="1269"/>
      <c r="ED299" s="1294"/>
      <c r="EE299" s="1294"/>
      <c r="EF299" s="1294"/>
      <c r="EG299" s="1294"/>
      <c r="EH299" s="1294"/>
      <c r="EI299" s="1354"/>
      <c r="EJ299" s="1294"/>
      <c r="EK299" s="1294"/>
      <c r="EL299" s="1294"/>
      <c r="EM299" s="1269"/>
      <c r="EN299" s="1354"/>
      <c r="EO299" s="1294"/>
      <c r="EP299" s="1294"/>
      <c r="EQ299" s="1294"/>
      <c r="ER299" s="1269"/>
      <c r="ES299" s="1294"/>
      <c r="ET299" s="1294"/>
      <c r="EU299" s="1294"/>
      <c r="EV299" s="1294"/>
      <c r="EW299" s="1269"/>
      <c r="EX299" s="1354"/>
      <c r="EY299" s="1294"/>
      <c r="EZ299" s="1294"/>
      <c r="FA299" s="1294"/>
      <c r="FB299" s="1795"/>
      <c r="FC299" s="1354"/>
      <c r="FD299" s="860"/>
      <c r="FE299" s="860"/>
      <c r="FF299" s="860"/>
      <c r="FG299" s="860"/>
      <c r="FH299" s="860"/>
      <c r="FI299" s="860"/>
      <c r="FJ299" s="860"/>
      <c r="FK299" s="860"/>
      <c r="FL299" s="860"/>
      <c r="FM299" s="860"/>
      <c r="FN299" s="860"/>
      <c r="FO299" s="860"/>
      <c r="FP299" s="860"/>
      <c r="FQ299" s="860"/>
      <c r="FR299" s="860"/>
      <c r="FS299" s="860"/>
      <c r="FT299" s="860"/>
      <c r="FU299" s="860"/>
      <c r="FV299" s="860"/>
      <c r="FW299" s="860"/>
      <c r="FX299" s="860"/>
      <c r="FY299" s="860"/>
      <c r="FZ299" s="860"/>
      <c r="GA299" s="860"/>
      <c r="GB299" s="860"/>
      <c r="GC299" s="860"/>
      <c r="GD299" s="860"/>
      <c r="GE299" s="860"/>
      <c r="GF299" s="860"/>
      <c r="GG299" s="860"/>
      <c r="GH299" s="860"/>
      <c r="GI299" s="860"/>
      <c r="GJ299" s="860"/>
      <c r="GK299" s="860"/>
      <c r="GL299" s="860"/>
      <c r="GM299" s="860"/>
      <c r="GN299" s="860"/>
      <c r="GO299" s="860"/>
      <c r="GP299" s="860"/>
      <c r="GQ299" s="860"/>
      <c r="GR299" s="1279"/>
      <c r="GS299" s="1218"/>
      <c r="GT299" s="1279"/>
      <c r="GU299" s="1218"/>
      <c r="GV299" s="1279"/>
      <c r="GW299" s="1218"/>
      <c r="GX299" s="1218"/>
      <c r="GY299" s="1279"/>
      <c r="GZ299" s="1218"/>
      <c r="HA299" s="1218"/>
      <c r="HB299" s="1279"/>
      <c r="HC299" s="1218"/>
      <c r="HD299" s="2000"/>
      <c r="HE299" s="1279"/>
      <c r="HF299" s="1218"/>
      <c r="HG299" s="2000"/>
      <c r="HH299" s="1241"/>
      <c r="HI299" s="2017"/>
      <c r="HJ299" s="2024"/>
      <c r="HK299" s="2000"/>
      <c r="HL299" s="2017"/>
      <c r="HM299" s="2024"/>
      <c r="HN299" s="2000"/>
      <c r="HO299" s="2017"/>
      <c r="HP299" s="2024"/>
      <c r="HQ299" s="2000"/>
      <c r="HR299" s="1279"/>
    </row>
    <row r="300" spans="1:226" hidden="1">
      <c r="A300" s="1319" t="s">
        <v>829</v>
      </c>
      <c r="B300" s="1313"/>
      <c r="C300" s="1313"/>
      <c r="D300" s="1313"/>
      <c r="E300" s="1313"/>
      <c r="F300" s="1313"/>
      <c r="G300" s="1313" t="str">
        <f t="shared" ref="G300:T300" si="300">G4</f>
        <v>1Q</v>
      </c>
      <c r="H300" s="1313" t="str">
        <f t="shared" si="300"/>
        <v>2Q</v>
      </c>
      <c r="I300" s="1313" t="str">
        <f t="shared" si="300"/>
        <v>3Q</v>
      </c>
      <c r="J300" s="1313" t="str">
        <f t="shared" si="300"/>
        <v>4Q</v>
      </c>
      <c r="K300" s="1313" t="str">
        <f t="shared" si="300"/>
        <v>FY</v>
      </c>
      <c r="L300" s="1313" t="str">
        <f t="shared" si="300"/>
        <v>1Q</v>
      </c>
      <c r="M300" s="1313" t="str">
        <f t="shared" si="300"/>
        <v>2Q</v>
      </c>
      <c r="N300" s="1313" t="str">
        <f t="shared" si="300"/>
        <v>3Q</v>
      </c>
      <c r="O300" s="1313" t="str">
        <f t="shared" si="300"/>
        <v>4Q</v>
      </c>
      <c r="P300" s="1313" t="str">
        <f t="shared" si="300"/>
        <v>FY</v>
      </c>
      <c r="Q300" s="1313" t="str">
        <f t="shared" si="300"/>
        <v>1Q</v>
      </c>
      <c r="R300" s="1313" t="str">
        <f t="shared" si="300"/>
        <v>2Q</v>
      </c>
      <c r="S300" s="1313" t="str">
        <f t="shared" si="300"/>
        <v>3Q</v>
      </c>
      <c r="T300" s="1313" t="str">
        <f t="shared" si="300"/>
        <v>4Q</v>
      </c>
      <c r="U300" s="1313" t="s">
        <v>830</v>
      </c>
      <c r="V300" s="1313" t="str">
        <f>V4</f>
        <v>1Q</v>
      </c>
      <c r="W300" s="1313" t="str">
        <f>W4</f>
        <v>2Q</v>
      </c>
      <c r="X300" s="1313" t="str">
        <f>X4</f>
        <v>3Q</v>
      </c>
      <c r="Y300" s="1313" t="str">
        <f>Y4</f>
        <v>4Q</v>
      </c>
      <c r="Z300" s="1313" t="s">
        <v>831</v>
      </c>
      <c r="AA300" s="1313" t="str">
        <f t="shared" ref="AA300:AI300" si="301">AA4</f>
        <v>1Q</v>
      </c>
      <c r="AB300" s="1313" t="str">
        <f t="shared" si="301"/>
        <v>2Q</v>
      </c>
      <c r="AC300" s="1313" t="str">
        <f t="shared" si="301"/>
        <v>3Q</v>
      </c>
      <c r="AD300" s="1313" t="str">
        <f t="shared" si="301"/>
        <v>4Q</v>
      </c>
      <c r="AE300" s="1313" t="str">
        <f t="shared" si="301"/>
        <v>FY</v>
      </c>
      <c r="AF300" s="1313" t="str">
        <f t="shared" si="301"/>
        <v>1Q</v>
      </c>
      <c r="AG300" s="1313" t="str">
        <f t="shared" si="301"/>
        <v>2Q</v>
      </c>
      <c r="AH300" s="1313" t="str">
        <f t="shared" si="301"/>
        <v>3Q</v>
      </c>
      <c r="AI300" s="1313" t="str">
        <f t="shared" si="301"/>
        <v>4Q</v>
      </c>
      <c r="AJ300" s="1313"/>
      <c r="AK300" s="1313" t="str">
        <f>AK4</f>
        <v>1Q</v>
      </c>
      <c r="AL300" s="1313" t="str">
        <f>AL4</f>
        <v>2Q</v>
      </c>
      <c r="AM300" s="1313" t="str">
        <f>AM4</f>
        <v>3Q</v>
      </c>
      <c r="AN300" s="1313" t="str">
        <f>AN4</f>
        <v>4Q</v>
      </c>
      <c r="AO300" s="1313"/>
      <c r="AP300" s="1313" t="str">
        <f>AP4</f>
        <v>1Q</v>
      </c>
      <c r="AQ300" s="1313" t="str">
        <f>AQ4</f>
        <v>2Q</v>
      </c>
      <c r="AR300" s="1313" t="str">
        <f>AR4</f>
        <v>3Q</v>
      </c>
      <c r="AS300" s="1313" t="str">
        <f>AS4</f>
        <v>4Q</v>
      </c>
      <c r="AT300" s="1313"/>
      <c r="AU300" s="1313" t="str">
        <f>AU4</f>
        <v>1Q</v>
      </c>
      <c r="AV300" s="1313" t="str">
        <f>AV4</f>
        <v>2Q</v>
      </c>
      <c r="AW300" s="1313" t="str">
        <f>AW4</f>
        <v>3Q</v>
      </c>
      <c r="AX300" s="1313" t="str">
        <f>AX4</f>
        <v>4Q</v>
      </c>
      <c r="AY300" s="1313"/>
      <c r="AZ300" s="1313" t="str">
        <f>AZ4</f>
        <v>1Q</v>
      </c>
      <c r="BA300" s="1313" t="str">
        <f>BA4</f>
        <v>2Q</v>
      </c>
      <c r="BB300" s="1313" t="str">
        <f>BB4</f>
        <v>3Q</v>
      </c>
      <c r="BC300" s="1313" t="str">
        <f>BC4</f>
        <v>4Q</v>
      </c>
      <c r="BD300" s="1313"/>
      <c r="BE300" s="1348" t="str">
        <f>BE4</f>
        <v>1Q</v>
      </c>
      <c r="BF300" s="1313" t="str">
        <f>BF4</f>
        <v>2Q</v>
      </c>
      <c r="BG300" s="1313" t="str">
        <f>BG4</f>
        <v>3Q</v>
      </c>
      <c r="BH300" s="1313" t="str">
        <f>BH4</f>
        <v>4Q</v>
      </c>
      <c r="BI300" s="1353"/>
      <c r="BJ300" s="1348" t="str">
        <f>BJ4</f>
        <v>1Q</v>
      </c>
      <c r="BK300" s="1313" t="str">
        <f>BK4</f>
        <v>2Q</v>
      </c>
      <c r="BL300" s="1313" t="str">
        <f>BL4</f>
        <v>3Q</v>
      </c>
      <c r="BM300" s="1313" t="str">
        <f>BM4</f>
        <v>4Q</v>
      </c>
      <c r="BN300" s="1353"/>
      <c r="BO300" s="1348" t="str">
        <f>BO4</f>
        <v>1Q</v>
      </c>
      <c r="BP300" s="1313" t="str">
        <f>BP4</f>
        <v>2Q</v>
      </c>
      <c r="BQ300" s="1313" t="str">
        <f>BQ4</f>
        <v>3Q</v>
      </c>
      <c r="BR300" s="1313" t="str">
        <f>BR4</f>
        <v>4Q</v>
      </c>
      <c r="BS300" s="1353"/>
      <c r="BT300" s="1348" t="str">
        <f>BT4</f>
        <v>1Q</v>
      </c>
      <c r="BU300" s="1313" t="str">
        <f>BU4</f>
        <v>2Q</v>
      </c>
      <c r="BV300" s="1313" t="str">
        <f>BV4</f>
        <v>3Q</v>
      </c>
      <c r="BW300" s="1313" t="str">
        <f>BW4</f>
        <v>4Q</v>
      </c>
      <c r="BX300" s="1353"/>
      <c r="BY300" s="1348" t="str">
        <f>BY4</f>
        <v>1Q</v>
      </c>
      <c r="BZ300" s="1313" t="str">
        <f>BZ4</f>
        <v>2Q</v>
      </c>
      <c r="CA300" s="1313" t="str">
        <f>CA4</f>
        <v>3Q</v>
      </c>
      <c r="CB300" s="1313" t="str">
        <f>CB4</f>
        <v>4Q</v>
      </c>
      <c r="CC300" s="1353"/>
      <c r="CD300" s="1348" t="str">
        <f>CD4</f>
        <v>1Q</v>
      </c>
      <c r="CE300" s="1313" t="str">
        <f>CE4</f>
        <v>2Q</v>
      </c>
      <c r="CF300" s="1313" t="str">
        <f>CF4</f>
        <v>3Q</v>
      </c>
      <c r="CG300" s="1313" t="str">
        <f>CG4</f>
        <v>4Q</v>
      </c>
      <c r="CH300" s="1353"/>
      <c r="CI300" s="1314"/>
      <c r="CJ300" s="1314"/>
      <c r="CK300" s="1313" t="str">
        <f>CK4</f>
        <v>1Q</v>
      </c>
      <c r="CL300" s="1313" t="str">
        <f>CL4</f>
        <v>2Q</v>
      </c>
      <c r="CM300" s="1313" t="str">
        <f>CM4</f>
        <v>3Q</v>
      </c>
      <c r="CN300" s="1313" t="str">
        <f>CN4</f>
        <v>4Q</v>
      </c>
      <c r="CO300" s="1313"/>
      <c r="CP300" s="1313" t="str">
        <f>CP4</f>
        <v>1Q</v>
      </c>
      <c r="CQ300" s="1313" t="str">
        <f>CQ4</f>
        <v>2Q</v>
      </c>
      <c r="CR300" s="1313" t="str">
        <f>CR4</f>
        <v>3Q</v>
      </c>
      <c r="CS300" s="1313" t="str">
        <f>CS4</f>
        <v>4Q</v>
      </c>
      <c r="CT300" s="860"/>
      <c r="CU300" s="1313" t="str">
        <f>CU4</f>
        <v>1Q</v>
      </c>
      <c r="CV300" s="1313" t="str">
        <f>CV4</f>
        <v>2Q</v>
      </c>
      <c r="CW300" s="1313" t="str">
        <f>CW4</f>
        <v>3Q</v>
      </c>
      <c r="CX300" s="1313"/>
      <c r="CY300" s="860"/>
      <c r="CZ300" s="860"/>
      <c r="DA300" s="860"/>
      <c r="DB300" s="860"/>
      <c r="DC300" s="860"/>
      <c r="DD300" s="860"/>
      <c r="DE300" s="860"/>
      <c r="DF300" s="860">
        <v>4713</v>
      </c>
      <c r="DG300" s="860">
        <v>5753</v>
      </c>
      <c r="DH300" s="860"/>
      <c r="DI300" s="860"/>
      <c r="DJ300" s="860"/>
      <c r="DK300" s="860"/>
      <c r="DL300" s="860"/>
      <c r="DM300" s="860"/>
      <c r="DN300" s="860"/>
      <c r="DO300" s="860"/>
      <c r="DP300" s="860"/>
      <c r="DQ300" s="860"/>
      <c r="DR300" s="860"/>
      <c r="DS300" s="860"/>
      <c r="DT300" s="860"/>
      <c r="DU300" s="860"/>
      <c r="DV300" s="860"/>
      <c r="DW300" s="860"/>
      <c r="DX300" s="860"/>
      <c r="DY300" s="860"/>
      <c r="DZ300" s="860"/>
      <c r="EA300" s="860"/>
      <c r="EB300" s="860"/>
      <c r="EC300" s="860"/>
      <c r="ED300" s="860"/>
      <c r="EE300" s="860"/>
      <c r="EF300" s="860"/>
      <c r="EG300" s="860"/>
      <c r="EH300" s="860"/>
      <c r="EI300" s="1233"/>
      <c r="EJ300" s="860"/>
      <c r="EK300" s="860"/>
      <c r="EL300" s="860"/>
      <c r="EM300" s="1232"/>
      <c r="EN300" s="1233"/>
      <c r="EO300" s="860"/>
      <c r="EP300" s="860"/>
      <c r="EQ300" s="860"/>
      <c r="ER300" s="1232"/>
      <c r="ES300" s="860"/>
      <c r="ET300" s="860"/>
      <c r="EU300" s="860"/>
      <c r="EV300" s="860"/>
      <c r="EW300" s="1232"/>
      <c r="EX300" s="860"/>
      <c r="EY300" s="860"/>
      <c r="EZ300" s="860"/>
      <c r="FA300" s="860"/>
      <c r="FB300" s="860"/>
      <c r="FC300" s="860"/>
      <c r="FD300" s="860"/>
      <c r="FE300" s="860"/>
      <c r="FF300" s="860"/>
      <c r="FG300" s="860"/>
      <c r="FH300" s="860"/>
      <c r="FI300" s="860"/>
      <c r="FJ300" s="860"/>
      <c r="FK300" s="860"/>
      <c r="FL300" s="860"/>
      <c r="FM300" s="860"/>
      <c r="FN300" s="860"/>
      <c r="FO300" s="860"/>
      <c r="FP300" s="860"/>
      <c r="FQ300" s="860"/>
      <c r="FR300" s="860"/>
      <c r="FS300" s="860"/>
      <c r="FT300" s="860"/>
      <c r="FU300" s="860"/>
      <c r="FV300" s="860"/>
      <c r="FW300" s="860"/>
      <c r="FX300" s="860"/>
      <c r="FY300" s="860"/>
      <c r="FZ300" s="860"/>
      <c r="GA300" s="860"/>
      <c r="GB300" s="860"/>
      <c r="GC300" s="860"/>
      <c r="GD300" s="860"/>
      <c r="GE300" s="860"/>
      <c r="GF300" s="860"/>
      <c r="GG300" s="860"/>
      <c r="GH300" s="860"/>
      <c r="GI300" s="860"/>
      <c r="GJ300" s="860"/>
      <c r="GK300" s="860"/>
      <c r="GL300" s="860"/>
      <c r="GM300" s="860"/>
      <c r="GN300" s="860"/>
      <c r="GO300" s="860"/>
      <c r="GP300" s="860"/>
      <c r="GQ300" s="860"/>
      <c r="GR300" s="1627" t="s">
        <v>693</v>
      </c>
      <c r="GS300" s="860"/>
      <c r="GT300" s="1314" t="s">
        <v>694</v>
      </c>
      <c r="GU300" s="860"/>
      <c r="GV300" s="1314" t="s">
        <v>688</v>
      </c>
      <c r="GW300" s="860"/>
      <c r="GX300" s="860"/>
      <c r="GY300" s="1314" t="s">
        <v>689</v>
      </c>
      <c r="GZ300" s="860"/>
      <c r="HA300" s="860"/>
      <c r="HB300" s="1314" t="s">
        <v>690</v>
      </c>
      <c r="HC300" s="860"/>
      <c r="HE300" s="1314" t="s">
        <v>691</v>
      </c>
      <c r="HF300" s="860"/>
      <c r="HH300" s="1314"/>
      <c r="HI300" s="1313" t="s">
        <v>689</v>
      </c>
      <c r="HJ300" s="860"/>
      <c r="HL300" s="1313" t="s">
        <v>690</v>
      </c>
      <c r="HM300" s="860"/>
      <c r="HO300" s="1313" t="s">
        <v>691</v>
      </c>
      <c r="HP300" s="860"/>
      <c r="HR300" s="1314" t="s">
        <v>688</v>
      </c>
    </row>
    <row r="301" spans="1:226" hidden="1">
      <c r="A301" s="1236" t="s">
        <v>483</v>
      </c>
      <c r="B301" s="1274"/>
      <c r="C301" s="1274"/>
      <c r="D301" s="1274"/>
      <c r="E301" s="1274"/>
      <c r="F301" s="1274"/>
      <c r="G301" s="1274">
        <f t="shared" ref="G301:I304" si="302">L301/(1+CK301)</f>
        <v>1048.7291849255039</v>
      </c>
      <c r="H301" s="1274">
        <f t="shared" si="302"/>
        <v>1079.1993037423847</v>
      </c>
      <c r="I301" s="1274">
        <f t="shared" si="302"/>
        <v>1106.5630397236616</v>
      </c>
      <c r="J301" s="1274">
        <f>K301-G301-H301-I301</f>
        <v>1156.9084716084492</v>
      </c>
      <c r="K301" s="1274">
        <v>4391.3999999999996</v>
      </c>
      <c r="L301" s="1274">
        <v>1196.5999999999999</v>
      </c>
      <c r="M301" s="1274">
        <v>1240</v>
      </c>
      <c r="N301" s="1274">
        <v>1281.4000000000001</v>
      </c>
      <c r="O301" s="1274">
        <f>5041.1-L301-M301-N301</f>
        <v>1323.1000000000004</v>
      </c>
      <c r="P301" s="1274">
        <f>SUM(L301:O301)</f>
        <v>5041.1000000000004</v>
      </c>
      <c r="Q301" s="1274">
        <v>1326.3</v>
      </c>
      <c r="R301" s="1274">
        <v>1375.1</v>
      </c>
      <c r="S301" s="1274">
        <v>1411.2</v>
      </c>
      <c r="T301" s="1274">
        <f>5678.1-Q301-R301-S301</f>
        <v>1565.5000000000002</v>
      </c>
      <c r="U301" s="1274">
        <f>SUM(Q301:T301)</f>
        <v>5678.0999999999995</v>
      </c>
      <c r="V301" s="1274">
        <v>1557.4</v>
      </c>
      <c r="W301" s="1274">
        <v>1596.6</v>
      </c>
      <c r="X301" s="1274">
        <v>1613.1</v>
      </c>
      <c r="Y301" s="1274"/>
      <c r="Z301" s="1291">
        <f>Cable!I226</f>
        <v>6558.2054999999991</v>
      </c>
      <c r="AA301" s="1291"/>
      <c r="AB301" s="1291"/>
      <c r="AC301" s="1291"/>
      <c r="AD301" s="1291"/>
      <c r="AE301" s="1162"/>
      <c r="AF301" s="1162"/>
      <c r="AG301" s="1162"/>
      <c r="AH301" s="1162"/>
      <c r="AI301" s="1162"/>
      <c r="AJ301" s="1162"/>
      <c r="AK301" s="1162"/>
      <c r="AL301" s="1162"/>
      <c r="AM301" s="1162"/>
      <c r="AN301" s="1162"/>
      <c r="AO301" s="1162"/>
      <c r="AP301" s="1162"/>
      <c r="AQ301" s="1162"/>
      <c r="AR301" s="1162"/>
      <c r="AS301" s="1162"/>
      <c r="AT301" s="1162"/>
      <c r="AU301" s="1162"/>
      <c r="AV301" s="1162"/>
      <c r="AW301" s="1162"/>
      <c r="AX301" s="1162"/>
      <c r="AY301" s="1162"/>
      <c r="AZ301" s="1162"/>
      <c r="BA301" s="1162"/>
      <c r="BB301" s="1162"/>
      <c r="BC301" s="1162"/>
      <c r="BD301" s="1162"/>
      <c r="BE301" s="1242"/>
      <c r="BF301" s="1162"/>
      <c r="BG301" s="1162"/>
      <c r="BH301" s="1162"/>
      <c r="BI301" s="1261"/>
      <c r="BJ301" s="1242"/>
      <c r="BK301" s="1162"/>
      <c r="BL301" s="1162"/>
      <c r="BM301" s="1162"/>
      <c r="BN301" s="1261"/>
      <c r="BO301" s="1242"/>
      <c r="BP301" s="1162"/>
      <c r="BQ301" s="1162"/>
      <c r="BR301" s="1162"/>
      <c r="BS301" s="1261"/>
      <c r="BT301" s="1242"/>
      <c r="BU301" s="1162"/>
      <c r="BV301" s="1162"/>
      <c r="BW301" s="1162"/>
      <c r="BX301" s="1261"/>
      <c r="BY301" s="1242"/>
      <c r="BZ301" s="1162"/>
      <c r="CA301" s="1162"/>
      <c r="CB301" s="1162"/>
      <c r="CC301" s="1261"/>
      <c r="CD301" s="1242"/>
      <c r="CE301" s="1162"/>
      <c r="CF301" s="1162"/>
      <c r="CG301" s="1162"/>
      <c r="CH301" s="1261"/>
      <c r="CI301" s="1162"/>
      <c r="CJ301" s="1162"/>
      <c r="CK301" s="1217">
        <v>0.14099999999999999</v>
      </c>
      <c r="CL301" s="1217">
        <v>0.14899999999999999</v>
      </c>
      <c r="CM301" s="1217">
        <v>0.158</v>
      </c>
      <c r="CN301" s="1217">
        <f>O301/J301-1</f>
        <v>0.14365140585451441</v>
      </c>
      <c r="CO301" s="1217"/>
      <c r="CP301" s="1217">
        <f t="shared" ref="CP301:CS304" si="303">Q301/L301-1</f>
        <v>0.10839043957880667</v>
      </c>
      <c r="CQ301" s="1217">
        <f t="shared" si="303"/>
        <v>0.10895161290322575</v>
      </c>
      <c r="CR301" s="1217">
        <f t="shared" si="303"/>
        <v>0.10129545809271101</v>
      </c>
      <c r="CS301" s="1217">
        <f t="shared" si="303"/>
        <v>0.18320610687022887</v>
      </c>
      <c r="CT301" s="860"/>
      <c r="CU301" s="1217">
        <f t="shared" ref="CU301:CW304" si="304">V301/Q301-1</f>
        <v>0.17424413782703763</v>
      </c>
      <c r="CV301" s="1217">
        <f t="shared" si="304"/>
        <v>0.16107919424041883</v>
      </c>
      <c r="CW301" s="1217">
        <f t="shared" si="304"/>
        <v>0.14306972789115635</v>
      </c>
      <c r="CX301" s="1217">
        <f>CW301</f>
        <v>0.14306972789115635</v>
      </c>
      <c r="CY301" s="860"/>
      <c r="CZ301" s="860"/>
      <c r="DA301" s="860"/>
      <c r="DB301" s="860"/>
      <c r="DC301" s="860"/>
      <c r="DD301" s="860"/>
      <c r="DE301" s="860"/>
      <c r="DF301" s="860"/>
      <c r="DG301" s="860"/>
      <c r="DH301" s="860"/>
      <c r="DI301" s="860"/>
      <c r="DJ301" s="860"/>
      <c r="DK301" s="860"/>
      <c r="DL301" s="860"/>
      <c r="DM301" s="860"/>
      <c r="DN301" s="860"/>
      <c r="DO301" s="860"/>
      <c r="DP301" s="860"/>
      <c r="DQ301" s="860"/>
      <c r="DR301" s="860"/>
      <c r="DS301" s="860"/>
      <c r="DT301" s="860"/>
      <c r="DU301" s="860"/>
      <c r="DV301" s="860"/>
      <c r="DW301" s="860"/>
      <c r="DX301" s="860"/>
      <c r="DY301" s="860"/>
      <c r="DZ301" s="860"/>
      <c r="EA301" s="860"/>
      <c r="EB301" s="860"/>
      <c r="EC301" s="860"/>
      <c r="ED301" s="860"/>
      <c r="EE301" s="860"/>
      <c r="EF301" s="860"/>
      <c r="EG301" s="860"/>
      <c r="EH301" s="860"/>
      <c r="EI301" s="1233"/>
      <c r="EJ301" s="860"/>
      <c r="EK301" s="860"/>
      <c r="EL301" s="860"/>
      <c r="EM301" s="1232"/>
      <c r="EN301" s="1233"/>
      <c r="EO301" s="860"/>
      <c r="EP301" s="860"/>
      <c r="EQ301" s="860"/>
      <c r="ER301" s="1232"/>
      <c r="ES301" s="860"/>
      <c r="ET301" s="860"/>
      <c r="EU301" s="860"/>
      <c r="EV301" s="860"/>
      <c r="EW301" s="1232"/>
      <c r="EX301" s="860"/>
      <c r="EY301" s="860"/>
      <c r="EZ301" s="860"/>
      <c r="FA301" s="860"/>
      <c r="FB301" s="860"/>
      <c r="FC301" s="860"/>
      <c r="FD301" s="860"/>
      <c r="FE301" s="860"/>
      <c r="FF301" s="860"/>
      <c r="FG301" s="860"/>
      <c r="FH301" s="860"/>
      <c r="FI301" s="860"/>
      <c r="FJ301" s="860"/>
      <c r="FK301" s="860"/>
      <c r="FL301" s="860"/>
      <c r="FM301" s="860"/>
      <c r="FN301" s="860"/>
      <c r="FO301" s="860"/>
      <c r="FP301" s="860"/>
      <c r="FQ301" s="860"/>
      <c r="FR301" s="860"/>
      <c r="FS301" s="860"/>
      <c r="FT301" s="860"/>
      <c r="FU301" s="860"/>
      <c r="FV301" s="860"/>
      <c r="FW301" s="860"/>
      <c r="FX301" s="860"/>
      <c r="FY301" s="860"/>
      <c r="FZ301" s="860"/>
      <c r="GA301" s="860"/>
      <c r="GB301" s="860"/>
      <c r="GC301" s="860"/>
      <c r="GD301" s="860"/>
      <c r="GE301" s="860"/>
      <c r="GF301" s="860"/>
      <c r="GG301" s="860"/>
      <c r="GH301" s="860"/>
      <c r="GI301" s="860"/>
      <c r="GJ301" s="860"/>
      <c r="GK301" s="860"/>
      <c r="GL301" s="860"/>
      <c r="GM301" s="860"/>
      <c r="GN301" s="860"/>
      <c r="GO301" s="860"/>
      <c r="GP301" s="860"/>
      <c r="GQ301" s="860"/>
      <c r="GR301" s="1162"/>
      <c r="GS301" s="860"/>
      <c r="GT301" s="1162"/>
      <c r="GU301" s="860"/>
      <c r="GV301" s="1162"/>
      <c r="GW301" s="860"/>
      <c r="GX301" s="860"/>
      <c r="GY301" s="1162"/>
      <c r="GZ301" s="860"/>
      <c r="HA301" s="860"/>
      <c r="HB301" s="1162"/>
      <c r="HC301" s="860"/>
      <c r="HE301" s="1162"/>
      <c r="HF301" s="860"/>
      <c r="HH301" s="1162"/>
      <c r="HI301" s="1162"/>
      <c r="HJ301" s="860"/>
      <c r="HL301" s="1162"/>
      <c r="HM301" s="860"/>
      <c r="HO301" s="1162"/>
      <c r="HP301" s="860"/>
      <c r="HR301" s="1162"/>
    </row>
    <row r="302" spans="1:226" hidden="1">
      <c r="A302" s="1236" t="s">
        <v>484</v>
      </c>
      <c r="B302" s="1274"/>
      <c r="C302" s="1274"/>
      <c r="D302" s="1274"/>
      <c r="E302" s="1274"/>
      <c r="F302" s="1274"/>
      <c r="G302" s="1274">
        <f t="shared" si="302"/>
        <v>1104.8020219039595</v>
      </c>
      <c r="H302" s="1274">
        <f t="shared" si="302"/>
        <v>1136.7521367521367</v>
      </c>
      <c r="I302" s="1274">
        <f t="shared" si="302"/>
        <v>1165.1122625215892</v>
      </c>
      <c r="J302" s="1274">
        <f>K302-G302-H302-I302</f>
        <v>1319.5335788223144</v>
      </c>
      <c r="K302" s="1274">
        <v>4726.2</v>
      </c>
      <c r="L302" s="1274">
        <v>1311.4</v>
      </c>
      <c r="M302" s="1274">
        <v>1330</v>
      </c>
      <c r="N302" s="1274">
        <v>1349.2</v>
      </c>
      <c r="O302" s="1274">
        <f>5439.7-L302-M302-N302</f>
        <v>1449.0999999999992</v>
      </c>
      <c r="P302" s="1274">
        <f>SUM(L302:O302)</f>
        <v>5439.7</v>
      </c>
      <c r="Q302" s="1274">
        <v>1444.9</v>
      </c>
      <c r="R302" s="1274">
        <v>1506.5</v>
      </c>
      <c r="S302" s="1274">
        <v>1569.4</v>
      </c>
      <c r="T302" s="1274">
        <f>6139.5-Q302-R302-S302</f>
        <v>1618.7000000000003</v>
      </c>
      <c r="U302" s="1274">
        <f>SUM(Q302:T302)</f>
        <v>6139.5</v>
      </c>
      <c r="V302" s="1274">
        <v>1650.7</v>
      </c>
      <c r="W302" s="1274">
        <v>1683.4</v>
      </c>
      <c r="X302" s="1274">
        <v>1720.9</v>
      </c>
      <c r="Y302" s="1274"/>
      <c r="Z302" s="1291">
        <f>Cable!I228</f>
        <v>6814.8450000000003</v>
      </c>
      <c r="AA302" s="1291"/>
      <c r="AB302" s="1291"/>
      <c r="AC302" s="1291"/>
      <c r="AD302" s="1291"/>
      <c r="AE302" s="1162"/>
      <c r="AF302" s="1162"/>
      <c r="AG302" s="1162"/>
      <c r="AH302" s="1162"/>
      <c r="AI302" s="1162"/>
      <c r="AJ302" s="1162"/>
      <c r="AK302" s="1162"/>
      <c r="AL302" s="1162"/>
      <c r="AM302" s="1162"/>
      <c r="AN302" s="1162"/>
      <c r="AO302" s="1162"/>
      <c r="AP302" s="1162"/>
      <c r="AQ302" s="1162"/>
      <c r="AR302" s="1162"/>
      <c r="AS302" s="1162"/>
      <c r="AT302" s="1162"/>
      <c r="AU302" s="1162"/>
      <c r="AV302" s="1162"/>
      <c r="AW302" s="1162"/>
      <c r="AX302" s="1162"/>
      <c r="AY302" s="1162"/>
      <c r="AZ302" s="1162"/>
      <c r="BA302" s="1162"/>
      <c r="BB302" s="1162"/>
      <c r="BC302" s="1162"/>
      <c r="BD302" s="1162"/>
      <c r="BE302" s="1242"/>
      <c r="BF302" s="1162"/>
      <c r="BG302" s="1162"/>
      <c r="BH302" s="1162"/>
      <c r="BI302" s="1261"/>
      <c r="BJ302" s="1242"/>
      <c r="BK302" s="1162"/>
      <c r="BL302" s="1162"/>
      <c r="BM302" s="1162"/>
      <c r="BN302" s="1261"/>
      <c r="BO302" s="1242"/>
      <c r="BP302" s="1162"/>
      <c r="BQ302" s="1162"/>
      <c r="BR302" s="1162"/>
      <c r="BS302" s="1261"/>
      <c r="BT302" s="1242"/>
      <c r="BU302" s="1162"/>
      <c r="BV302" s="1162"/>
      <c r="BW302" s="1162"/>
      <c r="BX302" s="1261"/>
      <c r="BY302" s="1242"/>
      <c r="BZ302" s="1162"/>
      <c r="CA302" s="1162"/>
      <c r="CB302" s="1162"/>
      <c r="CC302" s="1261"/>
      <c r="CD302" s="1242"/>
      <c r="CE302" s="1162"/>
      <c r="CF302" s="1162"/>
      <c r="CG302" s="1162"/>
      <c r="CH302" s="1261"/>
      <c r="CI302" s="1162"/>
      <c r="CJ302" s="1162"/>
      <c r="CK302" s="1217">
        <v>0.187</v>
      </c>
      <c r="CL302" s="1217">
        <v>0.17</v>
      </c>
      <c r="CM302" s="1217">
        <v>0.158</v>
      </c>
      <c r="CN302" s="1217">
        <f>O302/J302-1</f>
        <v>9.8191075435399622E-2</v>
      </c>
      <c r="CO302" s="1217"/>
      <c r="CP302" s="1217">
        <f t="shared" si="303"/>
        <v>0.10179960347719996</v>
      </c>
      <c r="CQ302" s="1217">
        <f t="shared" si="303"/>
        <v>0.13270676691729322</v>
      </c>
      <c r="CR302" s="1217">
        <f t="shared" si="303"/>
        <v>0.16320782686036162</v>
      </c>
      <c r="CS302" s="1217">
        <f t="shared" si="303"/>
        <v>0.11703816161755642</v>
      </c>
      <c r="CT302" s="860"/>
      <c r="CU302" s="1217">
        <f t="shared" si="304"/>
        <v>0.1424320022146861</v>
      </c>
      <c r="CV302" s="1217">
        <f t="shared" si="304"/>
        <v>0.11742449385994025</v>
      </c>
      <c r="CW302" s="1217">
        <f t="shared" si="304"/>
        <v>9.6533707149228931E-2</v>
      </c>
      <c r="CX302" s="1217">
        <f>CW302</f>
        <v>9.6533707149228931E-2</v>
      </c>
      <c r="CY302" s="860"/>
      <c r="CZ302" s="860"/>
      <c r="DA302" s="860"/>
      <c r="DB302" s="860"/>
      <c r="DC302" s="860"/>
      <c r="DD302" s="860"/>
      <c r="DE302" s="860"/>
      <c r="DF302" s="860"/>
      <c r="DG302" s="860"/>
      <c r="DH302" s="860"/>
      <c r="DI302" s="860"/>
      <c r="DJ302" s="860"/>
      <c r="DK302" s="860"/>
      <c r="DL302" s="860"/>
      <c r="DM302" s="860"/>
      <c r="DN302" s="860"/>
      <c r="DO302" s="860"/>
      <c r="DP302" s="860"/>
      <c r="DQ302" s="860"/>
      <c r="DR302" s="860"/>
      <c r="DS302" s="860"/>
      <c r="DT302" s="860"/>
      <c r="DU302" s="860"/>
      <c r="DV302" s="860"/>
      <c r="DW302" s="860"/>
      <c r="DX302" s="860"/>
      <c r="DY302" s="860"/>
      <c r="DZ302" s="860"/>
      <c r="EA302" s="860"/>
      <c r="EB302" s="860"/>
      <c r="EC302" s="860"/>
      <c r="ED302" s="860"/>
      <c r="EE302" s="860"/>
      <c r="EF302" s="860"/>
      <c r="EG302" s="860"/>
      <c r="EH302" s="860"/>
      <c r="EI302" s="1233"/>
      <c r="EJ302" s="860"/>
      <c r="EK302" s="860"/>
      <c r="EL302" s="860"/>
      <c r="EM302" s="1232"/>
      <c r="EN302" s="1233"/>
      <c r="EO302" s="860"/>
      <c r="EP302" s="860"/>
      <c r="EQ302" s="860"/>
      <c r="ER302" s="1232"/>
      <c r="ES302" s="860"/>
      <c r="ET302" s="860"/>
      <c r="EU302" s="860"/>
      <c r="EV302" s="860"/>
      <c r="EW302" s="1232"/>
      <c r="EX302" s="860"/>
      <c r="EY302" s="860"/>
      <c r="EZ302" s="860"/>
      <c r="FA302" s="860"/>
      <c r="FB302" s="860"/>
      <c r="FC302" s="860"/>
      <c r="FD302" s="860"/>
      <c r="FE302" s="860"/>
      <c r="FF302" s="860"/>
      <c r="FG302" s="860"/>
      <c r="FH302" s="860"/>
      <c r="FI302" s="860"/>
      <c r="FJ302" s="860"/>
      <c r="FK302" s="860"/>
      <c r="FL302" s="860"/>
      <c r="FM302" s="860"/>
      <c r="FN302" s="860"/>
      <c r="FO302" s="860"/>
      <c r="FP302" s="860"/>
      <c r="FQ302" s="860"/>
      <c r="FR302" s="860"/>
      <c r="FS302" s="860"/>
      <c r="FT302" s="860"/>
      <c r="FU302" s="860"/>
      <c r="FV302" s="860"/>
      <c r="FW302" s="860"/>
      <c r="FX302" s="860"/>
      <c r="FY302" s="860"/>
      <c r="FZ302" s="860"/>
      <c r="GA302" s="860"/>
      <c r="GB302" s="860"/>
      <c r="GC302" s="860"/>
      <c r="GD302" s="860"/>
      <c r="GE302" s="860"/>
      <c r="GF302" s="860"/>
      <c r="GG302" s="860"/>
      <c r="GH302" s="860"/>
      <c r="GI302" s="860"/>
      <c r="GJ302" s="860"/>
      <c r="GK302" s="860"/>
      <c r="GL302" s="860"/>
      <c r="GM302" s="860"/>
      <c r="GN302" s="860"/>
      <c r="GO302" s="860"/>
      <c r="GP302" s="860"/>
      <c r="GQ302" s="860"/>
      <c r="GR302" s="1162"/>
      <c r="GS302" s="860"/>
      <c r="GT302" s="1162"/>
      <c r="GU302" s="860"/>
      <c r="GV302" s="1162"/>
      <c r="GW302" s="860"/>
      <c r="GX302" s="860"/>
      <c r="GY302" s="1162"/>
      <c r="GZ302" s="860"/>
      <c r="HA302" s="860"/>
      <c r="HB302" s="1162"/>
      <c r="HC302" s="860"/>
      <c r="HE302" s="1162"/>
      <c r="HF302" s="860"/>
      <c r="HH302" s="1162"/>
      <c r="HI302" s="1162"/>
      <c r="HJ302" s="860"/>
      <c r="HL302" s="1162"/>
      <c r="HM302" s="860"/>
      <c r="HO302" s="1162"/>
      <c r="HP302" s="860"/>
      <c r="HR302" s="1162"/>
    </row>
    <row r="303" spans="1:226" hidden="1">
      <c r="A303" s="1236" t="s">
        <v>485</v>
      </c>
      <c r="B303" s="1274"/>
      <c r="C303" s="1274"/>
      <c r="D303" s="1274"/>
      <c r="E303" s="1274"/>
      <c r="F303" s="1274"/>
      <c r="G303" s="1274">
        <f t="shared" si="302"/>
        <v>502.45346869712353</v>
      </c>
      <c r="H303" s="1274">
        <f t="shared" si="302"/>
        <v>517.77231777231782</v>
      </c>
      <c r="I303" s="1274">
        <f t="shared" si="302"/>
        <v>558.31809872029237</v>
      </c>
      <c r="J303" s="1274">
        <f>K303-G303-H303-I303</f>
        <v>594.1561148102661</v>
      </c>
      <c r="K303" s="1274">
        <v>2172.6999999999998</v>
      </c>
      <c r="L303" s="1274">
        <v>593.9</v>
      </c>
      <c r="M303" s="1274">
        <v>632.20000000000005</v>
      </c>
      <c r="N303" s="1274">
        <v>610.79999999999995</v>
      </c>
      <c r="O303" s="1274">
        <f>2474.6-L303-M303-N303</f>
        <v>637.69999999999982</v>
      </c>
      <c r="P303" s="1274">
        <f>SUM(L303:O303)</f>
        <v>2474.5999999999995</v>
      </c>
      <c r="Q303" s="1274">
        <v>639.5</v>
      </c>
      <c r="R303" s="1274">
        <v>668</v>
      </c>
      <c r="S303" s="1274">
        <v>683.6</v>
      </c>
      <c r="T303" s="1274">
        <f>2713.2-Q303-R303-S303</f>
        <v>722.0999999999998</v>
      </c>
      <c r="U303" s="1274">
        <f>SUM(Q303:T303)</f>
        <v>2713.2</v>
      </c>
      <c r="V303" s="1274">
        <v>736.5</v>
      </c>
      <c r="W303" s="1274">
        <v>779.6</v>
      </c>
      <c r="X303" s="1274">
        <v>819.4</v>
      </c>
      <c r="Y303" s="1274"/>
      <c r="Z303" s="1291">
        <f>Cable!I230</f>
        <v>3201.5759999999996</v>
      </c>
      <c r="AA303" s="1291"/>
      <c r="AB303" s="1291"/>
      <c r="AC303" s="1291"/>
      <c r="AD303" s="1291"/>
      <c r="AE303" s="1162"/>
      <c r="AF303" s="1162"/>
      <c r="AG303" s="1162"/>
      <c r="AH303" s="1162"/>
      <c r="AI303" s="1162"/>
      <c r="AJ303" s="1162"/>
      <c r="AK303" s="1162"/>
      <c r="AL303" s="1162"/>
      <c r="AM303" s="1162"/>
      <c r="AN303" s="1162"/>
      <c r="AO303" s="1162"/>
      <c r="AP303" s="1162"/>
      <c r="AQ303" s="1162"/>
      <c r="AR303" s="1162"/>
      <c r="AS303" s="1162"/>
      <c r="AT303" s="1162"/>
      <c r="AU303" s="1162"/>
      <c r="AV303" s="1162"/>
      <c r="AW303" s="1162"/>
      <c r="AX303" s="1162"/>
      <c r="AY303" s="1162"/>
      <c r="AZ303" s="1162"/>
      <c r="BA303" s="1162"/>
      <c r="BB303" s="1162"/>
      <c r="BC303" s="1162"/>
      <c r="BD303" s="1162"/>
      <c r="BE303" s="1242"/>
      <c r="BF303" s="1162"/>
      <c r="BG303" s="1162"/>
      <c r="BH303" s="1162"/>
      <c r="BI303" s="1261"/>
      <c r="BJ303" s="1242"/>
      <c r="BK303" s="1162"/>
      <c r="BL303" s="1162"/>
      <c r="BM303" s="1162"/>
      <c r="BN303" s="1261"/>
      <c r="BO303" s="1242"/>
      <c r="BP303" s="1162"/>
      <c r="BQ303" s="1162"/>
      <c r="BR303" s="1162"/>
      <c r="BS303" s="1261"/>
      <c r="BT303" s="1242"/>
      <c r="BU303" s="1162"/>
      <c r="BV303" s="1162"/>
      <c r="BW303" s="1162"/>
      <c r="BX303" s="1261"/>
      <c r="BY303" s="1242"/>
      <c r="BZ303" s="1162"/>
      <c r="CA303" s="1162"/>
      <c r="CB303" s="1162"/>
      <c r="CC303" s="1261"/>
      <c r="CD303" s="1242"/>
      <c r="CE303" s="1162"/>
      <c r="CF303" s="1162"/>
      <c r="CG303" s="1162"/>
      <c r="CH303" s="1261"/>
      <c r="CI303" s="1162"/>
      <c r="CJ303" s="1162"/>
      <c r="CK303" s="1217">
        <v>0.182</v>
      </c>
      <c r="CL303" s="1217">
        <v>0.221</v>
      </c>
      <c r="CM303" s="1217">
        <v>9.4E-2</v>
      </c>
      <c r="CN303" s="1217">
        <f>O303/J303-1</f>
        <v>7.328694278209813E-2</v>
      </c>
      <c r="CO303" s="1217"/>
      <c r="CP303" s="1217">
        <f t="shared" si="303"/>
        <v>7.6780602795083475E-2</v>
      </c>
      <c r="CQ303" s="1217">
        <f t="shared" si="303"/>
        <v>5.6627649478013131E-2</v>
      </c>
      <c r="CR303" s="1217">
        <f t="shared" si="303"/>
        <v>0.1191879502292077</v>
      </c>
      <c r="CS303" s="1217">
        <f t="shared" si="303"/>
        <v>0.13235063509487222</v>
      </c>
      <c r="CT303" s="860"/>
      <c r="CU303" s="1217">
        <f t="shared" si="304"/>
        <v>0.15168100078186075</v>
      </c>
      <c r="CV303" s="1217">
        <f t="shared" si="304"/>
        <v>0.16706586826347314</v>
      </c>
      <c r="CW303" s="1217">
        <f t="shared" si="304"/>
        <v>0.19865418373317723</v>
      </c>
      <c r="CX303" s="1217">
        <f>CW303</f>
        <v>0.19865418373317723</v>
      </c>
      <c r="CY303" s="860"/>
      <c r="CZ303" s="860"/>
      <c r="DA303" s="860"/>
      <c r="DB303" s="860"/>
      <c r="DC303" s="860"/>
      <c r="DD303" s="860"/>
      <c r="DE303" s="860"/>
      <c r="DF303" s="860"/>
      <c r="DG303" s="860"/>
      <c r="DH303" s="860"/>
      <c r="DI303" s="860"/>
      <c r="DJ303" s="860"/>
      <c r="DK303" s="860"/>
      <c r="DL303" s="860"/>
      <c r="DM303" s="860"/>
      <c r="DN303" s="860"/>
      <c r="DO303" s="860"/>
      <c r="DP303" s="860"/>
      <c r="DQ303" s="860"/>
      <c r="DR303" s="860"/>
      <c r="DS303" s="860"/>
      <c r="DT303" s="860"/>
      <c r="DU303" s="860"/>
      <c r="DV303" s="860"/>
      <c r="DW303" s="860"/>
      <c r="DX303" s="860"/>
      <c r="DY303" s="860"/>
      <c r="DZ303" s="860"/>
      <c r="EA303" s="860"/>
      <c r="EB303" s="860"/>
      <c r="EC303" s="860"/>
      <c r="ED303" s="860"/>
      <c r="EE303" s="860"/>
      <c r="EF303" s="860"/>
      <c r="EG303" s="860"/>
      <c r="EH303" s="860"/>
      <c r="EI303" s="1233"/>
      <c r="EJ303" s="860"/>
      <c r="EK303" s="860"/>
      <c r="EL303" s="860"/>
      <c r="EM303" s="1232"/>
      <c r="EN303" s="1233"/>
      <c r="EO303" s="860"/>
      <c r="EP303" s="860"/>
      <c r="EQ303" s="860"/>
      <c r="ER303" s="1232"/>
      <c r="ES303" s="860"/>
      <c r="ET303" s="860"/>
      <c r="EU303" s="860"/>
      <c r="EV303" s="860"/>
      <c r="EW303" s="1232"/>
      <c r="EX303" s="860"/>
      <c r="EY303" s="860"/>
      <c r="EZ303" s="860"/>
      <c r="FA303" s="860"/>
      <c r="FB303" s="860"/>
      <c r="FC303" s="860"/>
      <c r="FD303" s="860"/>
      <c r="FE303" s="860"/>
      <c r="FF303" s="860"/>
      <c r="FG303" s="860"/>
      <c r="FH303" s="860"/>
      <c r="FI303" s="860"/>
      <c r="FJ303" s="860"/>
      <c r="FK303" s="860"/>
      <c r="FL303" s="860"/>
      <c r="FM303" s="860"/>
      <c r="FN303" s="860"/>
      <c r="FO303" s="860"/>
      <c r="FP303" s="860"/>
      <c r="FQ303" s="860"/>
      <c r="FR303" s="860"/>
      <c r="FS303" s="860"/>
      <c r="FT303" s="860"/>
      <c r="FU303" s="860"/>
      <c r="FV303" s="860"/>
      <c r="FW303" s="860"/>
      <c r="FX303" s="860"/>
      <c r="FY303" s="860"/>
      <c r="FZ303" s="860"/>
      <c r="GA303" s="860"/>
      <c r="GB303" s="860"/>
      <c r="GC303" s="860"/>
      <c r="GD303" s="860"/>
      <c r="GE303" s="860"/>
      <c r="GF303" s="860"/>
      <c r="GG303" s="860"/>
      <c r="GH303" s="860"/>
      <c r="GI303" s="860"/>
      <c r="GJ303" s="860"/>
      <c r="GK303" s="860"/>
      <c r="GL303" s="860"/>
      <c r="GM303" s="860"/>
      <c r="GN303" s="860"/>
      <c r="GO303" s="860"/>
      <c r="GP303" s="860"/>
      <c r="GQ303" s="860"/>
      <c r="GR303" s="1162"/>
      <c r="GS303" s="860"/>
      <c r="GT303" s="1162"/>
      <c r="GU303" s="860"/>
      <c r="GV303" s="1162"/>
      <c r="GW303" s="860"/>
      <c r="GX303" s="860"/>
      <c r="GY303" s="1162"/>
      <c r="GZ303" s="860"/>
      <c r="HA303" s="860"/>
      <c r="HB303" s="1162"/>
      <c r="HC303" s="860"/>
      <c r="HE303" s="1162"/>
      <c r="HF303" s="860"/>
      <c r="HH303" s="1162"/>
      <c r="HI303" s="1162"/>
      <c r="HJ303" s="860"/>
      <c r="HL303" s="1162"/>
      <c r="HM303" s="860"/>
      <c r="HO303" s="1162"/>
      <c r="HP303" s="860"/>
      <c r="HR303" s="1162"/>
    </row>
    <row r="304" spans="1:226" hidden="1">
      <c r="A304" s="1132" t="s">
        <v>832</v>
      </c>
      <c r="B304" s="1274"/>
      <c r="C304" s="1274"/>
      <c r="D304" s="1274"/>
      <c r="E304" s="1274"/>
      <c r="F304" s="1274"/>
      <c r="G304" s="1274">
        <f t="shared" si="302"/>
        <v>650.55038103302275</v>
      </c>
      <c r="H304" s="1274">
        <f t="shared" si="302"/>
        <v>669.44444444444457</v>
      </c>
      <c r="I304" s="1274">
        <f t="shared" si="302"/>
        <v>693.4682612695492</v>
      </c>
      <c r="J304" s="1274">
        <f>K304-G304-H304-I304</f>
        <v>713.53691325298337</v>
      </c>
      <c r="K304" s="1274">
        <v>2727</v>
      </c>
      <c r="L304" s="1274">
        <v>768.3</v>
      </c>
      <c r="M304" s="1274">
        <v>771.2</v>
      </c>
      <c r="N304" s="1274">
        <v>753.8</v>
      </c>
      <c r="O304" s="1274">
        <f>3039.8-L304-M304-N304</f>
        <v>746.5</v>
      </c>
      <c r="P304" s="1274">
        <f>SUM(L304:O304)</f>
        <v>3039.8</v>
      </c>
      <c r="Q304" s="860">
        <v>672</v>
      </c>
      <c r="R304" s="1274">
        <v>744.8</v>
      </c>
      <c r="S304" s="1274">
        <v>820.1</v>
      </c>
      <c r="T304" s="1274">
        <f>3051.4-Q304-R304-S304</f>
        <v>814.50000000000011</v>
      </c>
      <c r="U304" s="1274">
        <f>SUM(Q304:T304)</f>
        <v>3051.4</v>
      </c>
      <c r="V304" s="1274">
        <v>765.8</v>
      </c>
      <c r="W304" s="1274">
        <v>835.7</v>
      </c>
      <c r="X304" s="1274">
        <v>943.1</v>
      </c>
      <c r="Y304" s="1274"/>
      <c r="Z304" s="1291">
        <f>Cable!I232</f>
        <v>3442.8734999999988</v>
      </c>
      <c r="AA304" s="1291"/>
      <c r="AB304" s="1291"/>
      <c r="AC304" s="1291"/>
      <c r="AD304" s="1291"/>
      <c r="AE304" s="1162"/>
      <c r="AF304" s="1162"/>
      <c r="AG304" s="1162"/>
      <c r="AH304" s="1162"/>
      <c r="AI304" s="1162"/>
      <c r="AJ304" s="1162"/>
      <c r="AK304" s="1162"/>
      <c r="AL304" s="1162"/>
      <c r="AM304" s="1162"/>
      <c r="AN304" s="1162"/>
      <c r="AO304" s="1162"/>
      <c r="AP304" s="1162"/>
      <c r="AQ304" s="1162"/>
      <c r="AR304" s="1162"/>
      <c r="AS304" s="1162"/>
      <c r="AT304" s="1162"/>
      <c r="AU304" s="1162"/>
      <c r="AV304" s="1162"/>
      <c r="AW304" s="1162"/>
      <c r="AX304" s="1162"/>
      <c r="AY304" s="1162"/>
      <c r="AZ304" s="1162"/>
      <c r="BA304" s="1162"/>
      <c r="BB304" s="1162"/>
      <c r="BC304" s="1162"/>
      <c r="BD304" s="1162"/>
      <c r="BE304" s="1242"/>
      <c r="BF304" s="1162"/>
      <c r="BG304" s="1162"/>
      <c r="BH304" s="1162"/>
      <c r="BI304" s="1261"/>
      <c r="BJ304" s="1242"/>
      <c r="BK304" s="1162"/>
      <c r="BL304" s="1162"/>
      <c r="BM304" s="1162"/>
      <c r="BN304" s="1261"/>
      <c r="BO304" s="1242"/>
      <c r="BP304" s="1162"/>
      <c r="BQ304" s="1162"/>
      <c r="BR304" s="1162"/>
      <c r="BS304" s="1261"/>
      <c r="BT304" s="1242"/>
      <c r="BU304" s="1162"/>
      <c r="BV304" s="1162"/>
      <c r="BW304" s="1162"/>
      <c r="BX304" s="1261"/>
      <c r="BY304" s="1242"/>
      <c r="BZ304" s="1162"/>
      <c r="CA304" s="1162"/>
      <c r="CB304" s="1162"/>
      <c r="CC304" s="1261"/>
      <c r="CD304" s="1242"/>
      <c r="CE304" s="1162"/>
      <c r="CF304" s="1162"/>
      <c r="CG304" s="1162"/>
      <c r="CH304" s="1261"/>
      <c r="CI304" s="1162"/>
      <c r="CJ304" s="1162"/>
      <c r="CK304" s="1320">
        <v>0.18099999999999999</v>
      </c>
      <c r="CL304" s="1320">
        <v>0.152</v>
      </c>
      <c r="CM304" s="1320">
        <v>8.6999999999999994E-2</v>
      </c>
      <c r="CN304" s="1320">
        <f>O304/J304-1</f>
        <v>4.6196750490089311E-2</v>
      </c>
      <c r="CO304" s="1320"/>
      <c r="CP304" s="1320">
        <f t="shared" si="303"/>
        <v>-0.12534166341272934</v>
      </c>
      <c r="CQ304" s="1320">
        <f t="shared" si="303"/>
        <v>-3.4232365145228316E-2</v>
      </c>
      <c r="CR304" s="1320">
        <f t="shared" si="303"/>
        <v>8.795436455293193E-2</v>
      </c>
      <c r="CS304" s="1320">
        <f t="shared" si="303"/>
        <v>9.1091761553918404E-2</v>
      </c>
      <c r="CT304" s="860"/>
      <c r="CU304" s="1320">
        <f t="shared" si="304"/>
        <v>0.13958333333333317</v>
      </c>
      <c r="CV304" s="1320">
        <f t="shared" si="304"/>
        <v>0.12204618689581115</v>
      </c>
      <c r="CW304" s="1320">
        <f t="shared" si="304"/>
        <v>0.14998170954761614</v>
      </c>
      <c r="CX304" s="1217">
        <f>CW304</f>
        <v>0.14998170954761614</v>
      </c>
      <c r="CY304" s="860"/>
      <c r="CZ304" s="860"/>
      <c r="DA304" s="860"/>
      <c r="DB304" s="860"/>
      <c r="DC304" s="860"/>
      <c r="DD304" s="860"/>
      <c r="DE304" s="860"/>
      <c r="DF304" s="860"/>
      <c r="DG304" s="860"/>
      <c r="DH304" s="860"/>
      <c r="DI304" s="860"/>
      <c r="DJ304" s="860"/>
      <c r="DK304" s="860"/>
      <c r="DL304" s="860"/>
      <c r="DM304" s="860"/>
      <c r="DN304" s="860"/>
      <c r="DO304" s="860"/>
      <c r="DP304" s="860"/>
      <c r="DQ304" s="860"/>
      <c r="DR304" s="860"/>
      <c r="DS304" s="860"/>
      <c r="DT304" s="860"/>
      <c r="DU304" s="860"/>
      <c r="DV304" s="860"/>
      <c r="DW304" s="860"/>
      <c r="DX304" s="860"/>
      <c r="DY304" s="860"/>
      <c r="DZ304" s="860"/>
      <c r="EA304" s="860"/>
      <c r="EB304" s="860"/>
      <c r="EC304" s="860"/>
      <c r="ED304" s="860"/>
      <c r="EE304" s="860"/>
      <c r="EF304" s="860"/>
      <c r="EG304" s="860"/>
      <c r="EH304" s="860"/>
      <c r="EI304" s="1233"/>
      <c r="EJ304" s="860"/>
      <c r="EK304" s="860"/>
      <c r="EL304" s="860"/>
      <c r="EM304" s="1232"/>
      <c r="EN304" s="1233"/>
      <c r="EO304" s="860"/>
      <c r="EP304" s="860"/>
      <c r="EQ304" s="860"/>
      <c r="ER304" s="1232"/>
      <c r="ES304" s="860"/>
      <c r="ET304" s="860"/>
      <c r="EU304" s="860"/>
      <c r="EV304" s="860"/>
      <c r="EW304" s="1232"/>
      <c r="EX304" s="860"/>
      <c r="EY304" s="860"/>
      <c r="EZ304" s="860"/>
      <c r="FA304" s="860"/>
      <c r="FB304" s="860"/>
      <c r="FC304" s="860"/>
      <c r="FD304" s="860"/>
      <c r="FE304" s="860"/>
      <c r="FF304" s="860"/>
      <c r="FG304" s="860"/>
      <c r="FH304" s="860"/>
      <c r="FI304" s="860"/>
      <c r="FJ304" s="860"/>
      <c r="FK304" s="860"/>
      <c r="FL304" s="860"/>
      <c r="FM304" s="860"/>
      <c r="FN304" s="860"/>
      <c r="FO304" s="860"/>
      <c r="FP304" s="860"/>
      <c r="FQ304" s="860"/>
      <c r="FR304" s="860"/>
      <c r="FS304" s="860"/>
      <c r="FT304" s="860"/>
      <c r="FU304" s="860"/>
      <c r="FV304" s="860"/>
      <c r="FW304" s="860"/>
      <c r="FX304" s="860"/>
      <c r="FY304" s="860"/>
      <c r="FZ304" s="860"/>
      <c r="GA304" s="860"/>
      <c r="GB304" s="860"/>
      <c r="GC304" s="860"/>
      <c r="GD304" s="860"/>
      <c r="GE304" s="860"/>
      <c r="GF304" s="860"/>
      <c r="GG304" s="860"/>
      <c r="GH304" s="860"/>
      <c r="GI304" s="860"/>
      <c r="GJ304" s="860"/>
      <c r="GK304" s="860"/>
      <c r="GL304" s="860"/>
      <c r="GM304" s="860"/>
      <c r="GN304" s="860"/>
      <c r="GO304" s="860"/>
      <c r="GP304" s="860"/>
      <c r="GQ304" s="860"/>
      <c r="GR304" s="1162"/>
      <c r="GS304" s="860"/>
      <c r="GT304" s="1162"/>
      <c r="GU304" s="860"/>
      <c r="GV304" s="1162"/>
      <c r="GW304" s="860"/>
      <c r="GX304" s="860"/>
      <c r="GY304" s="1162"/>
      <c r="GZ304" s="860"/>
      <c r="HA304" s="860"/>
      <c r="HB304" s="1162"/>
      <c r="HC304" s="860"/>
      <c r="HE304" s="1162"/>
      <c r="HF304" s="860"/>
      <c r="HH304" s="1162"/>
      <c r="HI304" s="1162"/>
      <c r="HJ304" s="860"/>
      <c r="HL304" s="1162"/>
      <c r="HM304" s="860"/>
      <c r="HO304" s="1162"/>
      <c r="HP304" s="860"/>
      <c r="HR304" s="1162"/>
    </row>
    <row r="305" spans="1:226" hidden="1">
      <c r="A305" s="1317" t="s">
        <v>486</v>
      </c>
      <c r="B305" s="967"/>
      <c r="C305" s="967"/>
      <c r="D305" s="967"/>
      <c r="E305" s="967"/>
      <c r="F305" s="967"/>
      <c r="G305" s="967"/>
      <c r="H305" s="967"/>
      <c r="I305" s="967"/>
      <c r="J305" s="967"/>
      <c r="K305" s="967"/>
      <c r="L305" s="967"/>
      <c r="M305" s="967"/>
      <c r="N305" s="967"/>
      <c r="O305" s="967"/>
      <c r="P305" s="967"/>
      <c r="Q305" s="1294"/>
      <c r="R305" s="967"/>
      <c r="S305" s="967"/>
      <c r="T305" s="967"/>
      <c r="U305" s="967"/>
      <c r="V305" s="967"/>
      <c r="W305" s="967"/>
      <c r="X305" s="967">
        <v>329.7</v>
      </c>
      <c r="Y305" s="967">
        <v>1040</v>
      </c>
      <c r="Z305" s="1321">
        <f>Cable!I234</f>
        <v>1369.7</v>
      </c>
      <c r="AA305" s="1321"/>
      <c r="AB305" s="1321"/>
      <c r="AC305" s="1321"/>
      <c r="AD305" s="1321"/>
      <c r="AE305" s="1295"/>
      <c r="AF305" s="1295"/>
      <c r="AG305" s="1295"/>
      <c r="AH305" s="1295"/>
      <c r="AI305" s="1295"/>
      <c r="AJ305" s="1162"/>
      <c r="AK305" s="1295"/>
      <c r="AL305" s="1295"/>
      <c r="AM305" s="1295"/>
      <c r="AN305" s="1295"/>
      <c r="AO305" s="1162"/>
      <c r="AP305" s="1295"/>
      <c r="AQ305" s="1295"/>
      <c r="AR305" s="1295"/>
      <c r="AS305" s="1295"/>
      <c r="AT305" s="1162"/>
      <c r="AU305" s="1295"/>
      <c r="AV305" s="1295"/>
      <c r="AW305" s="1295"/>
      <c r="AX305" s="1295"/>
      <c r="AY305" s="1162"/>
      <c r="AZ305" s="1295"/>
      <c r="BA305" s="1295"/>
      <c r="BB305" s="1295"/>
      <c r="BC305" s="1162"/>
      <c r="BD305" s="1162"/>
      <c r="BE305" s="1242"/>
      <c r="BF305" s="1162"/>
      <c r="BG305" s="1162"/>
      <c r="BH305" s="1162"/>
      <c r="BI305" s="1261"/>
      <c r="BJ305" s="1242"/>
      <c r="BK305" s="1162"/>
      <c r="BL305" s="1162"/>
      <c r="BM305" s="1162"/>
      <c r="BN305" s="1261"/>
      <c r="BO305" s="1242"/>
      <c r="BP305" s="1162"/>
      <c r="BQ305" s="1162"/>
      <c r="BR305" s="1162"/>
      <c r="BS305" s="1261"/>
      <c r="BT305" s="1242"/>
      <c r="BU305" s="1162"/>
      <c r="BV305" s="1162"/>
      <c r="BW305" s="1162"/>
      <c r="BX305" s="1261"/>
      <c r="BY305" s="1242"/>
      <c r="BZ305" s="1162"/>
      <c r="CA305" s="1162"/>
      <c r="CB305" s="1162"/>
      <c r="CC305" s="1261"/>
      <c r="CD305" s="1242"/>
      <c r="CE305" s="1162"/>
      <c r="CF305" s="1162"/>
      <c r="CG305" s="1162"/>
      <c r="CH305" s="1261"/>
      <c r="CI305" s="1162"/>
      <c r="CJ305" s="1162"/>
      <c r="CK305" s="1217"/>
      <c r="CL305" s="1217"/>
      <c r="CM305" s="1217"/>
      <c r="CN305" s="1217"/>
      <c r="CO305" s="1217"/>
      <c r="CP305" s="1217"/>
      <c r="CQ305" s="1217"/>
      <c r="CR305" s="1217"/>
      <c r="CS305" s="1217"/>
      <c r="CT305" s="860"/>
      <c r="CU305" s="1217"/>
      <c r="CV305" s="1217"/>
      <c r="CW305" s="1217"/>
      <c r="CX305" s="1217"/>
      <c r="CY305" s="860"/>
      <c r="CZ305" s="860"/>
      <c r="DA305" s="860"/>
      <c r="DB305" s="860"/>
      <c r="DC305" s="860"/>
      <c r="DD305" s="860"/>
      <c r="DE305" s="860"/>
      <c r="DF305" s="860"/>
      <c r="DG305" s="860"/>
      <c r="DH305" s="860"/>
      <c r="DI305" s="860"/>
      <c r="DJ305" s="860"/>
      <c r="DK305" s="860"/>
      <c r="DL305" s="860"/>
      <c r="DM305" s="860"/>
      <c r="DN305" s="860"/>
      <c r="DO305" s="860"/>
      <c r="DP305" s="860"/>
      <c r="DQ305" s="860"/>
      <c r="DR305" s="860"/>
      <c r="DS305" s="860"/>
      <c r="DT305" s="860"/>
      <c r="DU305" s="860"/>
      <c r="DV305" s="860"/>
      <c r="DW305" s="860"/>
      <c r="DX305" s="860"/>
      <c r="DY305" s="860"/>
      <c r="DZ305" s="860"/>
      <c r="EA305" s="860"/>
      <c r="EB305" s="860"/>
      <c r="EC305" s="860"/>
      <c r="ED305" s="860"/>
      <c r="EE305" s="860"/>
      <c r="EF305" s="860"/>
      <c r="EG305" s="860"/>
      <c r="EH305" s="860"/>
      <c r="EI305" s="1233"/>
      <c r="EJ305" s="860"/>
      <c r="EK305" s="860"/>
      <c r="EL305" s="860"/>
      <c r="EM305" s="1232"/>
      <c r="EN305" s="1233"/>
      <c r="EO305" s="860"/>
      <c r="EP305" s="860"/>
      <c r="EQ305" s="860"/>
      <c r="ER305" s="1232"/>
      <c r="ES305" s="860"/>
      <c r="ET305" s="860"/>
      <c r="EU305" s="860"/>
      <c r="EV305" s="860"/>
      <c r="EW305" s="1232"/>
      <c r="EX305" s="860"/>
      <c r="EY305" s="860"/>
      <c r="EZ305" s="860"/>
      <c r="FA305" s="860"/>
      <c r="FB305" s="860"/>
      <c r="FC305" s="860"/>
      <c r="FD305" s="860"/>
      <c r="FE305" s="860"/>
      <c r="FF305" s="860"/>
      <c r="FG305" s="860"/>
      <c r="FH305" s="860"/>
      <c r="FI305" s="860"/>
      <c r="FJ305" s="860"/>
      <c r="FK305" s="860"/>
      <c r="FL305" s="860"/>
      <c r="FM305" s="860"/>
      <c r="FN305" s="860"/>
      <c r="FO305" s="860"/>
      <c r="FP305" s="860"/>
      <c r="FQ305" s="860"/>
      <c r="FR305" s="860"/>
      <c r="FS305" s="860"/>
      <c r="FT305" s="860"/>
      <c r="FU305" s="860"/>
      <c r="FV305" s="860"/>
      <c r="FW305" s="860"/>
      <c r="FX305" s="860"/>
      <c r="FY305" s="860"/>
      <c r="FZ305" s="860"/>
      <c r="GA305" s="860"/>
      <c r="GB305" s="860"/>
      <c r="GC305" s="860"/>
      <c r="GD305" s="860"/>
      <c r="GE305" s="860"/>
      <c r="GF305" s="860"/>
      <c r="GG305" s="860"/>
      <c r="GH305" s="860"/>
      <c r="GI305" s="860"/>
      <c r="GJ305" s="860"/>
      <c r="GK305" s="860"/>
      <c r="GL305" s="860"/>
      <c r="GM305" s="860"/>
      <c r="GN305" s="860"/>
      <c r="GO305" s="860"/>
      <c r="GP305" s="860"/>
      <c r="GQ305" s="860"/>
      <c r="GR305" s="1162"/>
      <c r="GS305" s="860"/>
      <c r="GT305" s="1162"/>
      <c r="GU305" s="860"/>
      <c r="GV305" s="1162"/>
      <c r="GW305" s="860"/>
      <c r="GX305" s="860"/>
      <c r="GY305" s="1162"/>
      <c r="GZ305" s="860"/>
      <c r="HA305" s="860"/>
      <c r="HB305" s="1162"/>
      <c r="HC305" s="860"/>
      <c r="HE305" s="1162"/>
      <c r="HF305" s="860"/>
      <c r="HH305" s="1162"/>
      <c r="HI305" s="1162"/>
      <c r="HJ305" s="860"/>
      <c r="HL305" s="1162"/>
      <c r="HM305" s="860"/>
      <c r="HO305" s="1162"/>
      <c r="HP305" s="860"/>
      <c r="HR305" s="1162"/>
    </row>
    <row r="306" spans="1:226" hidden="1">
      <c r="A306" s="1236"/>
      <c r="B306" s="1274"/>
      <c r="C306" s="1274"/>
      <c r="D306" s="1274"/>
      <c r="E306" s="1274"/>
      <c r="F306" s="1274"/>
      <c r="G306" s="1274"/>
      <c r="H306" s="1274"/>
      <c r="I306" s="1274"/>
      <c r="J306" s="1274"/>
      <c r="K306" s="1274"/>
      <c r="L306" s="1274"/>
      <c r="M306" s="1274"/>
      <c r="N306" s="1274"/>
      <c r="O306" s="1274"/>
      <c r="P306" s="1274"/>
      <c r="Q306" s="860"/>
      <c r="R306" s="1274"/>
      <c r="S306" s="1274"/>
      <c r="T306" s="1274"/>
      <c r="U306" s="1274"/>
      <c r="V306" s="1274"/>
      <c r="W306" s="1274"/>
      <c r="X306" s="1274"/>
      <c r="Y306" s="1274"/>
      <c r="Z306" s="1291"/>
      <c r="AA306" s="1291"/>
      <c r="AB306" s="1291"/>
      <c r="AC306" s="1291"/>
      <c r="AD306" s="1291"/>
      <c r="AE306" s="1162"/>
      <c r="AF306" s="1162"/>
      <c r="AG306" s="1162"/>
      <c r="AH306" s="1162"/>
      <c r="AI306" s="1162"/>
      <c r="AJ306" s="1162"/>
      <c r="AK306" s="1162"/>
      <c r="AL306" s="1162"/>
      <c r="AM306" s="1162"/>
      <c r="AN306" s="1162"/>
      <c r="AO306" s="1162"/>
      <c r="AP306" s="1162"/>
      <c r="AQ306" s="1162"/>
      <c r="AR306" s="1162"/>
      <c r="AS306" s="1162"/>
      <c r="AT306" s="1162"/>
      <c r="AU306" s="1162"/>
      <c r="AV306" s="1162"/>
      <c r="AW306" s="1162"/>
      <c r="AX306" s="1162"/>
      <c r="AY306" s="1162"/>
      <c r="AZ306" s="1162"/>
      <c r="BA306" s="1162"/>
      <c r="BB306" s="1162"/>
      <c r="BC306" s="1162"/>
      <c r="BD306" s="1162"/>
      <c r="BE306" s="1242"/>
      <c r="BF306" s="1162"/>
      <c r="BG306" s="1162"/>
      <c r="BH306" s="1162"/>
      <c r="BI306" s="1261"/>
      <c r="BJ306" s="1242"/>
      <c r="BK306" s="1162"/>
      <c r="BL306" s="1162"/>
      <c r="BM306" s="1162"/>
      <c r="BN306" s="1261"/>
      <c r="BO306" s="1242"/>
      <c r="BP306" s="1162"/>
      <c r="BQ306" s="1162"/>
      <c r="BR306" s="1162"/>
      <c r="BS306" s="1261"/>
      <c r="BT306" s="1242"/>
      <c r="BU306" s="1162"/>
      <c r="BV306" s="1162"/>
      <c r="BW306" s="1162"/>
      <c r="BX306" s="1261"/>
      <c r="BY306" s="1242"/>
      <c r="BZ306" s="1162"/>
      <c r="CA306" s="1162"/>
      <c r="CB306" s="1162"/>
      <c r="CC306" s="1261"/>
      <c r="CD306" s="1242"/>
      <c r="CE306" s="1162"/>
      <c r="CF306" s="1162"/>
      <c r="CG306" s="1162"/>
      <c r="CH306" s="1261"/>
      <c r="CI306" s="1162"/>
      <c r="CJ306" s="1162"/>
      <c r="CK306" s="1217"/>
      <c r="CL306" s="1217"/>
      <c r="CM306" s="1217"/>
      <c r="CN306" s="1217"/>
      <c r="CO306" s="1217"/>
      <c r="CP306" s="1217"/>
      <c r="CQ306" s="1217"/>
      <c r="CR306" s="1217"/>
      <c r="CS306" s="1217"/>
      <c r="CT306" s="860"/>
      <c r="CU306" s="1217"/>
      <c r="CV306" s="1217"/>
      <c r="CW306" s="1217"/>
      <c r="CX306" s="1217"/>
      <c r="CY306" s="860"/>
      <c r="CZ306" s="860"/>
      <c r="DA306" s="860"/>
      <c r="DB306" s="860"/>
      <c r="DC306" s="860"/>
      <c r="DD306" s="860"/>
      <c r="DE306" s="860"/>
      <c r="DF306" s="860"/>
      <c r="DG306" s="860"/>
      <c r="DH306" s="860"/>
      <c r="DI306" s="860"/>
      <c r="DJ306" s="860"/>
      <c r="DK306" s="860"/>
      <c r="DL306" s="860"/>
      <c r="DM306" s="860"/>
      <c r="DN306" s="860"/>
      <c r="DO306" s="860"/>
      <c r="DP306" s="860"/>
      <c r="DQ306" s="860"/>
      <c r="DR306" s="860"/>
      <c r="DS306" s="860"/>
      <c r="DT306" s="860"/>
      <c r="DU306" s="860"/>
      <c r="DV306" s="860"/>
      <c r="DW306" s="860"/>
      <c r="DX306" s="860"/>
      <c r="DY306" s="860"/>
      <c r="DZ306" s="860"/>
      <c r="EA306" s="860"/>
      <c r="EB306" s="860"/>
      <c r="EC306" s="860"/>
      <c r="ED306" s="860"/>
      <c r="EE306" s="860"/>
      <c r="EF306" s="860"/>
      <c r="EG306" s="860"/>
      <c r="EH306" s="860"/>
      <c r="EI306" s="1233"/>
      <c r="EJ306" s="860"/>
      <c r="EK306" s="860"/>
      <c r="EL306" s="860"/>
      <c r="EM306" s="1232"/>
      <c r="EN306" s="1233"/>
      <c r="EO306" s="860"/>
      <c r="EP306" s="860"/>
      <c r="EQ306" s="860"/>
      <c r="ER306" s="1232"/>
      <c r="ES306" s="860"/>
      <c r="ET306" s="860"/>
      <c r="EU306" s="860"/>
      <c r="EV306" s="860"/>
      <c r="EW306" s="1232"/>
      <c r="EX306" s="860"/>
      <c r="EY306" s="860"/>
      <c r="EZ306" s="860"/>
      <c r="FA306" s="860"/>
      <c r="FB306" s="860"/>
      <c r="FC306" s="860"/>
      <c r="FD306" s="860"/>
      <c r="FE306" s="860"/>
      <c r="FF306" s="860"/>
      <c r="FG306" s="860"/>
      <c r="FH306" s="860"/>
      <c r="FI306" s="860"/>
      <c r="FJ306" s="860"/>
      <c r="FK306" s="860"/>
      <c r="FL306" s="860"/>
      <c r="FM306" s="860"/>
      <c r="FN306" s="860"/>
      <c r="FO306" s="860"/>
      <c r="FP306" s="860"/>
      <c r="FQ306" s="860"/>
      <c r="FR306" s="860"/>
      <c r="FS306" s="860"/>
      <c r="FT306" s="860"/>
      <c r="FU306" s="860"/>
      <c r="FV306" s="860"/>
      <c r="FW306" s="860"/>
      <c r="FX306" s="860"/>
      <c r="FY306" s="860"/>
      <c r="FZ306" s="860"/>
      <c r="GA306" s="860"/>
      <c r="GB306" s="860"/>
      <c r="GC306" s="860"/>
      <c r="GD306" s="860"/>
      <c r="GE306" s="860"/>
      <c r="GF306" s="860"/>
      <c r="GG306" s="860"/>
      <c r="GH306" s="860"/>
      <c r="GI306" s="860"/>
      <c r="GJ306" s="860"/>
      <c r="GK306" s="860"/>
      <c r="GL306" s="860"/>
      <c r="GM306" s="860"/>
      <c r="GN306" s="860"/>
      <c r="GO306" s="860"/>
      <c r="GP306" s="860"/>
      <c r="GQ306" s="860"/>
      <c r="GR306" s="1162"/>
      <c r="GS306" s="860"/>
      <c r="GT306" s="1162"/>
      <c r="GU306" s="860"/>
      <c r="GV306" s="1162"/>
      <c r="GW306" s="860"/>
      <c r="GX306" s="860"/>
      <c r="GY306" s="1162"/>
      <c r="GZ306" s="860"/>
      <c r="HA306" s="860"/>
      <c r="HB306" s="1162"/>
      <c r="HC306" s="860"/>
      <c r="HE306" s="1162"/>
      <c r="HF306" s="860"/>
      <c r="HH306" s="1162"/>
      <c r="HI306" s="1162"/>
      <c r="HJ306" s="860"/>
      <c r="HL306" s="1162"/>
      <c r="HM306" s="860"/>
      <c r="HO306" s="1162"/>
      <c r="HP306" s="860"/>
      <c r="HR306" s="1162"/>
    </row>
    <row r="307" spans="1:226" hidden="1">
      <c r="A307" s="1236" t="s">
        <v>833</v>
      </c>
      <c r="B307" s="1274"/>
      <c r="C307" s="1274"/>
      <c r="D307" s="1274"/>
      <c r="E307" s="1274"/>
      <c r="F307" s="1274"/>
      <c r="G307" s="1274">
        <f t="shared" ref="G307:W307" si="305">SUM(G301:G304)</f>
        <v>3306.53505655961</v>
      </c>
      <c r="H307" s="1274">
        <f t="shared" si="305"/>
        <v>3403.1682027112838</v>
      </c>
      <c r="I307" s="1274">
        <f t="shared" si="305"/>
        <v>3523.4616622350923</v>
      </c>
      <c r="J307" s="1274">
        <f t="shared" si="305"/>
        <v>3784.1350784940132</v>
      </c>
      <c r="K307" s="1274">
        <f t="shared" si="305"/>
        <v>14017.3</v>
      </c>
      <c r="L307" s="1274">
        <f t="shared" si="305"/>
        <v>3870.2</v>
      </c>
      <c r="M307" s="1274">
        <f t="shared" si="305"/>
        <v>3973.3999999999996</v>
      </c>
      <c r="N307" s="1274">
        <f t="shared" si="305"/>
        <v>3995.2000000000007</v>
      </c>
      <c r="O307" s="1274">
        <f t="shared" si="305"/>
        <v>4156.3999999999996</v>
      </c>
      <c r="P307" s="1274">
        <f t="shared" si="305"/>
        <v>15995.199999999997</v>
      </c>
      <c r="Q307" s="1274">
        <f t="shared" si="305"/>
        <v>4082.7</v>
      </c>
      <c r="R307" s="1274">
        <f t="shared" si="305"/>
        <v>4294.3999999999996</v>
      </c>
      <c r="S307" s="1274">
        <f t="shared" si="305"/>
        <v>4484.3</v>
      </c>
      <c r="T307" s="1274">
        <f t="shared" si="305"/>
        <v>4720.8000000000011</v>
      </c>
      <c r="U307" s="1274">
        <f t="shared" si="305"/>
        <v>17582.2</v>
      </c>
      <c r="V307" s="1274">
        <f t="shared" si="305"/>
        <v>4710.4000000000005</v>
      </c>
      <c r="W307" s="1274">
        <f t="shared" si="305"/>
        <v>4895.3</v>
      </c>
      <c r="X307" s="1274">
        <f>SUM(X301:X305)</f>
        <v>5426.2</v>
      </c>
      <c r="Y307" s="1274">
        <f>Y14</f>
        <v>6227.8</v>
      </c>
      <c r="Z307" s="1274">
        <f>SUM(Z301:Z305)</f>
        <v>21387.199999999997</v>
      </c>
      <c r="AA307" s="1274">
        <f>AA14</f>
        <v>6714.5</v>
      </c>
      <c r="AB307" s="1274">
        <f>AB14</f>
        <v>6909.7</v>
      </c>
      <c r="AC307" s="1274">
        <f>AC14</f>
        <v>7294</v>
      </c>
      <c r="AD307" s="1274">
        <f>AD14</f>
        <v>7570.0999999999985</v>
      </c>
      <c r="AE307" s="1274"/>
      <c r="AF307" s="1274">
        <f>AF14</f>
        <v>7621.1</v>
      </c>
      <c r="AG307" s="1274">
        <f>AG14</f>
        <v>7802.1</v>
      </c>
      <c r="AH307" s="1274">
        <f>AH14</f>
        <v>8155.2</v>
      </c>
      <c r="AI307" s="1274">
        <f>AI14</f>
        <v>8313.2000000000007</v>
      </c>
      <c r="AJ307" s="1162"/>
      <c r="AK307" s="1274">
        <f>AK14</f>
        <v>8096.3</v>
      </c>
      <c r="AL307" s="1274">
        <f>AL14</f>
        <v>8036.7</v>
      </c>
      <c r="AM307" s="1274">
        <f>AM14</f>
        <v>8322.5</v>
      </c>
      <c r="AN307" s="1274">
        <f>AN14</f>
        <v>8592.9</v>
      </c>
      <c r="AO307" s="1162"/>
      <c r="AP307" s="1274">
        <f>AP14</f>
        <v>8669.7000000000007</v>
      </c>
      <c r="AQ307" s="1274">
        <f>AQ14</f>
        <v>8825.7000000000007</v>
      </c>
      <c r="AR307" s="1274">
        <f>AR14</f>
        <v>9219.9</v>
      </c>
      <c r="AS307" s="1274">
        <f>AS14</f>
        <v>9517.7000000000007</v>
      </c>
      <c r="AT307" s="1162"/>
      <c r="AU307" s="1274">
        <f>AU14</f>
        <v>9898.1</v>
      </c>
      <c r="AV307" s="1274">
        <f>AV14</f>
        <v>10215.700000000001</v>
      </c>
      <c r="AW307" s="1274">
        <f>AW14</f>
        <v>10572.1</v>
      </c>
      <c r="AX307" s="1274">
        <f>AX14</f>
        <v>11016.1</v>
      </c>
      <c r="AY307" s="1162"/>
      <c r="AZ307" s="1274">
        <f>AZ14</f>
        <v>10824.7</v>
      </c>
      <c r="BA307" s="1274">
        <f>BA14</f>
        <v>11308.8</v>
      </c>
      <c r="BB307" s="1274">
        <f>BB14</f>
        <v>11407.9</v>
      </c>
      <c r="BC307" s="1162"/>
      <c r="BD307" s="1162"/>
      <c r="BE307" s="1242"/>
      <c r="BF307" s="1162"/>
      <c r="BG307" s="1162"/>
      <c r="BH307" s="1162"/>
      <c r="BI307" s="1261"/>
      <c r="BJ307" s="1242"/>
      <c r="BK307" s="1162"/>
      <c r="BL307" s="1162"/>
      <c r="BM307" s="1162"/>
      <c r="BN307" s="1261"/>
      <c r="BO307" s="1242"/>
      <c r="BP307" s="1162"/>
      <c r="BQ307" s="1162"/>
      <c r="BR307" s="1162"/>
      <c r="BS307" s="1261"/>
      <c r="BT307" s="1242"/>
      <c r="BU307" s="1162"/>
      <c r="BV307" s="1162"/>
      <c r="BW307" s="1162"/>
      <c r="BX307" s="1261"/>
      <c r="BY307" s="1242"/>
      <c r="BZ307" s="1162"/>
      <c r="CA307" s="1162"/>
      <c r="CB307" s="1162"/>
      <c r="CC307" s="1261"/>
      <c r="CD307" s="1242"/>
      <c r="CE307" s="1162"/>
      <c r="CF307" s="1162"/>
      <c r="CG307" s="1162"/>
      <c r="CH307" s="1261"/>
      <c r="CI307" s="1162"/>
      <c r="CJ307" s="1162"/>
      <c r="CK307" s="1217">
        <f>L307/G307-1</f>
        <v>0.17046997349148718</v>
      </c>
      <c r="CL307" s="1217">
        <f>M307/H307-1</f>
        <v>0.16755909885218601</v>
      </c>
      <c r="CM307" s="1217">
        <f>N307/I307-1</f>
        <v>0.13388490722662305</v>
      </c>
      <c r="CN307" s="1217">
        <f>O307/J307-1</f>
        <v>9.8375167319380674E-2</v>
      </c>
      <c r="CO307" s="1217"/>
      <c r="CP307" s="1217">
        <f>Q307/L307-1</f>
        <v>5.4906723166761484E-2</v>
      </c>
      <c r="CQ307" s="1217">
        <f>R307/M307-1</f>
        <v>8.0787235113504829E-2</v>
      </c>
      <c r="CR307" s="1217">
        <f>S307/N307-1</f>
        <v>0.1224219062875449</v>
      </c>
      <c r="CS307" s="1217">
        <f>T307/O307-1</f>
        <v>0.13579058800885413</v>
      </c>
      <c r="CT307" s="860"/>
      <c r="CU307" s="1217">
        <f>V307/Q307-1</f>
        <v>0.15374629534376782</v>
      </c>
      <c r="CV307" s="1217">
        <f>W307/R307-1</f>
        <v>0.13992641579731768</v>
      </c>
      <c r="CW307" s="1217">
        <f>(X307-X305)/S307-1</f>
        <v>0.13652075017282517</v>
      </c>
      <c r="CX307" s="1217"/>
      <c r="CY307" s="860"/>
      <c r="CZ307" s="860"/>
      <c r="DA307" s="860"/>
      <c r="DB307" s="860"/>
      <c r="DC307" s="860"/>
      <c r="DD307" s="860"/>
      <c r="DE307" s="860"/>
      <c r="DF307" s="860"/>
      <c r="DG307" s="860"/>
      <c r="DH307" s="860"/>
      <c r="DI307" s="860"/>
      <c r="DJ307" s="860"/>
      <c r="DK307" s="860"/>
      <c r="DL307" s="860"/>
      <c r="DM307" s="860"/>
      <c r="DN307" s="860"/>
      <c r="DO307" s="860"/>
      <c r="DP307" s="860"/>
      <c r="DQ307" s="860"/>
      <c r="DR307" s="860"/>
      <c r="DS307" s="860"/>
      <c r="DT307" s="860"/>
      <c r="DU307" s="860"/>
      <c r="DV307" s="860"/>
      <c r="DW307" s="860"/>
      <c r="DX307" s="860"/>
      <c r="DY307" s="860"/>
      <c r="DZ307" s="860"/>
      <c r="EA307" s="860"/>
      <c r="EB307" s="860"/>
      <c r="EC307" s="860"/>
      <c r="ED307" s="860"/>
      <c r="EE307" s="860"/>
      <c r="EF307" s="860"/>
      <c r="EG307" s="860"/>
      <c r="EH307" s="860"/>
      <c r="EI307" s="1233"/>
      <c r="EJ307" s="860"/>
      <c r="EK307" s="860"/>
      <c r="EL307" s="860"/>
      <c r="EM307" s="1232"/>
      <c r="EN307" s="1233"/>
      <c r="EO307" s="860"/>
      <c r="EP307" s="860"/>
      <c r="EQ307" s="860"/>
      <c r="ER307" s="1232"/>
      <c r="ES307" s="860"/>
      <c r="ET307" s="860"/>
      <c r="EU307" s="860"/>
      <c r="EV307" s="860"/>
      <c r="EW307" s="1232"/>
      <c r="EX307" s="860"/>
      <c r="EY307" s="860"/>
      <c r="EZ307" s="860"/>
      <c r="FA307" s="860"/>
      <c r="FB307" s="860"/>
      <c r="FC307" s="860"/>
      <c r="FD307" s="860"/>
      <c r="FE307" s="860"/>
      <c r="FF307" s="860"/>
      <c r="FG307" s="860"/>
      <c r="FH307" s="860"/>
      <c r="FI307" s="860"/>
      <c r="FJ307" s="860"/>
      <c r="FK307" s="860"/>
      <c r="FL307" s="860"/>
      <c r="FM307" s="860"/>
      <c r="FN307" s="860"/>
      <c r="FO307" s="860"/>
      <c r="FP307" s="860"/>
      <c r="FQ307" s="860"/>
      <c r="FR307" s="860"/>
      <c r="FS307" s="860"/>
      <c r="FT307" s="860"/>
      <c r="FU307" s="860"/>
      <c r="FV307" s="860"/>
      <c r="FW307" s="860"/>
      <c r="FX307" s="860"/>
      <c r="FY307" s="860"/>
      <c r="FZ307" s="860"/>
      <c r="GA307" s="860"/>
      <c r="GB307" s="860"/>
      <c r="GC307" s="860"/>
      <c r="GD307" s="860"/>
      <c r="GE307" s="860"/>
      <c r="GF307" s="860"/>
      <c r="GG307" s="860"/>
      <c r="GH307" s="860"/>
      <c r="GI307" s="860"/>
      <c r="GJ307" s="860"/>
      <c r="GK307" s="860"/>
      <c r="GL307" s="860"/>
      <c r="GM307" s="860"/>
      <c r="GN307" s="860"/>
      <c r="GO307" s="860"/>
      <c r="GP307" s="860"/>
      <c r="GQ307" s="860"/>
      <c r="GR307" s="1162"/>
      <c r="GS307" s="860"/>
      <c r="GT307" s="1162"/>
      <c r="GU307" s="860"/>
      <c r="GV307" s="1162"/>
      <c r="GW307" s="860"/>
      <c r="GX307" s="860"/>
      <c r="GY307" s="1162"/>
      <c r="GZ307" s="860"/>
      <c r="HA307" s="860"/>
      <c r="HB307" s="1162"/>
      <c r="HC307" s="860"/>
      <c r="HE307" s="1162"/>
      <c r="HF307" s="860"/>
      <c r="HH307" s="1162"/>
      <c r="HI307" s="1162"/>
      <c r="HJ307" s="860"/>
      <c r="HL307" s="1162"/>
      <c r="HM307" s="860"/>
      <c r="HO307" s="1162"/>
      <c r="HP307" s="860"/>
      <c r="HR307" s="1162"/>
    </row>
    <row r="308" spans="1:226" hidden="1">
      <c r="A308" s="1132" t="s">
        <v>772</v>
      </c>
      <c r="B308" s="1274"/>
      <c r="C308" s="1274"/>
      <c r="D308" s="1274"/>
      <c r="E308" s="1274"/>
      <c r="F308" s="1274"/>
      <c r="G308" s="1274">
        <f t="shared" ref="G308:X308" si="306">G307-G14</f>
        <v>76.835056559610166</v>
      </c>
      <c r="H308" s="1274">
        <f t="shared" si="306"/>
        <v>70.468202711283993</v>
      </c>
      <c r="I308" s="1274">
        <f t="shared" si="306"/>
        <v>128.66166223509208</v>
      </c>
      <c r="J308" s="1274">
        <f t="shared" si="306"/>
        <v>105.9350784940134</v>
      </c>
      <c r="K308" s="1274">
        <f t="shared" si="306"/>
        <v>381.89999999999782</v>
      </c>
      <c r="L308" s="1274">
        <f t="shared" si="306"/>
        <v>99.099999999999909</v>
      </c>
      <c r="M308" s="1274">
        <f t="shared" si="306"/>
        <v>101.69999999999982</v>
      </c>
      <c r="N308" s="1274">
        <f t="shared" si="306"/>
        <v>104.60000000000082</v>
      </c>
      <c r="O308" s="1274">
        <f t="shared" si="306"/>
        <v>119.39999999999964</v>
      </c>
      <c r="P308" s="1274">
        <f t="shared" si="306"/>
        <v>424.79999999999745</v>
      </c>
      <c r="Q308" s="1274">
        <f t="shared" si="306"/>
        <v>106.19999999999982</v>
      </c>
      <c r="R308" s="1274">
        <f t="shared" si="306"/>
        <v>106</v>
      </c>
      <c r="S308" s="1274">
        <f t="shared" si="306"/>
        <v>109.80000000000018</v>
      </c>
      <c r="T308" s="1274">
        <f t="shared" si="306"/>
        <v>121.40000000000146</v>
      </c>
      <c r="U308" s="1274">
        <f t="shared" si="306"/>
        <v>443.40000000000146</v>
      </c>
      <c r="V308" s="1274">
        <f t="shared" si="306"/>
        <v>109.80000000000018</v>
      </c>
      <c r="W308" s="1274">
        <f t="shared" si="306"/>
        <v>91.600000000000364</v>
      </c>
      <c r="X308" s="1274">
        <f t="shared" si="306"/>
        <v>121.09999999999945</v>
      </c>
      <c r="Y308" s="1274"/>
      <c r="Z308" s="1274">
        <f>-Cable!I242</f>
        <v>450</v>
      </c>
      <c r="AA308" s="1274"/>
      <c r="AB308" s="1274"/>
      <c r="AC308" s="1274"/>
      <c r="AD308" s="1274"/>
      <c r="AE308" s="1162"/>
      <c r="AF308" s="1162"/>
      <c r="AG308" s="1162"/>
      <c r="AH308" s="1162"/>
      <c r="AI308" s="1162"/>
      <c r="AJ308" s="1162"/>
      <c r="AK308" s="1162"/>
      <c r="AL308" s="1162"/>
      <c r="AM308" s="1162"/>
      <c r="AN308" s="1162"/>
      <c r="AO308" s="1162"/>
      <c r="AP308" s="1162"/>
      <c r="AQ308" s="1162"/>
      <c r="AR308" s="1162"/>
      <c r="AS308" s="1162"/>
      <c r="AT308" s="1162"/>
      <c r="AU308" s="1162"/>
      <c r="AV308" s="1162"/>
      <c r="AW308" s="1162"/>
      <c r="AX308" s="1162"/>
      <c r="AY308" s="1162"/>
      <c r="AZ308" s="1162"/>
      <c r="BA308" s="1162"/>
      <c r="BB308" s="1162"/>
      <c r="BC308" s="1162"/>
      <c r="BD308" s="1162"/>
      <c r="BE308" s="1242"/>
      <c r="BF308" s="1162"/>
      <c r="BG308" s="1162"/>
      <c r="BH308" s="1162"/>
      <c r="BI308" s="1261"/>
      <c r="BJ308" s="1242"/>
      <c r="BK308" s="1162"/>
      <c r="BL308" s="1162"/>
      <c r="BM308" s="1162"/>
      <c r="BN308" s="1261"/>
      <c r="BO308" s="1242"/>
      <c r="BP308" s="1162"/>
      <c r="BQ308" s="1162"/>
      <c r="BR308" s="1162"/>
      <c r="BS308" s="1261"/>
      <c r="BT308" s="1242"/>
      <c r="BU308" s="1162"/>
      <c r="BV308" s="1162"/>
      <c r="BW308" s="1162"/>
      <c r="BX308" s="1261"/>
      <c r="BY308" s="1242"/>
      <c r="BZ308" s="1162"/>
      <c r="CA308" s="1162"/>
      <c r="CB308" s="1162"/>
      <c r="CC308" s="1261"/>
      <c r="CD308" s="1242"/>
      <c r="CE308" s="1162"/>
      <c r="CF308" s="1162"/>
      <c r="CG308" s="1162"/>
      <c r="CH308" s="1261"/>
      <c r="CI308" s="1162"/>
      <c r="CJ308" s="1162"/>
      <c r="CK308" s="1217"/>
      <c r="CL308" s="1217"/>
      <c r="CM308" s="1217"/>
      <c r="CN308" s="1217"/>
      <c r="CO308" s="1217"/>
      <c r="CP308" s="1217"/>
      <c r="CQ308" s="1217"/>
      <c r="CR308" s="1217"/>
      <c r="CS308" s="1217"/>
      <c r="CT308" s="860"/>
      <c r="CU308" s="1217"/>
      <c r="CV308" s="1217"/>
      <c r="CW308" s="1217"/>
      <c r="CX308" s="1217"/>
      <c r="CY308" s="860"/>
      <c r="CZ308" s="860"/>
      <c r="DA308" s="860"/>
      <c r="DB308" s="860"/>
      <c r="DC308" s="860"/>
      <c r="DD308" s="860"/>
      <c r="DE308" s="860"/>
      <c r="DF308" s="860"/>
      <c r="DG308" s="860"/>
      <c r="DH308" s="860"/>
      <c r="DI308" s="860"/>
      <c r="DJ308" s="860"/>
      <c r="DK308" s="860"/>
      <c r="DL308" s="860"/>
      <c r="DM308" s="860"/>
      <c r="DN308" s="860"/>
      <c r="DO308" s="860"/>
      <c r="DP308" s="860"/>
      <c r="DQ308" s="860"/>
      <c r="DR308" s="860"/>
      <c r="DS308" s="860"/>
      <c r="DT308" s="860"/>
      <c r="DU308" s="860"/>
      <c r="DV308" s="860"/>
      <c r="DW308" s="860"/>
      <c r="DX308" s="860"/>
      <c r="DY308" s="860"/>
      <c r="DZ308" s="860"/>
      <c r="EA308" s="860"/>
      <c r="EB308" s="860"/>
      <c r="EC308" s="860"/>
      <c r="ED308" s="860"/>
      <c r="EE308" s="860"/>
      <c r="EF308" s="860"/>
      <c r="EG308" s="860"/>
      <c r="EH308" s="860"/>
      <c r="EI308" s="1233"/>
      <c r="EJ308" s="860"/>
      <c r="EK308" s="860"/>
      <c r="EL308" s="860"/>
      <c r="EM308" s="1232"/>
      <c r="EN308" s="1233"/>
      <c r="EO308" s="860"/>
      <c r="EP308" s="860"/>
      <c r="EQ308" s="860"/>
      <c r="ER308" s="1232"/>
      <c r="ES308" s="860"/>
      <c r="ET308" s="860"/>
      <c r="EU308" s="860"/>
      <c r="EV308" s="860"/>
      <c r="EW308" s="1232"/>
      <c r="EX308" s="860"/>
      <c r="EY308" s="860"/>
      <c r="EZ308" s="860"/>
      <c r="FA308" s="860"/>
      <c r="FB308" s="860"/>
      <c r="FC308" s="860"/>
      <c r="FD308" s="860"/>
      <c r="FE308" s="860"/>
      <c r="FF308" s="860"/>
      <c r="FG308" s="860"/>
      <c r="FH308" s="860"/>
      <c r="FI308" s="860"/>
      <c r="FJ308" s="860"/>
      <c r="FK308" s="860"/>
      <c r="FL308" s="860"/>
      <c r="FM308" s="860"/>
      <c r="FN308" s="860"/>
      <c r="FO308" s="860"/>
      <c r="FP308" s="860"/>
      <c r="FQ308" s="860"/>
      <c r="FR308" s="860"/>
      <c r="FS308" s="860"/>
      <c r="FT308" s="860"/>
      <c r="FU308" s="860"/>
      <c r="FV308" s="860"/>
      <c r="FW308" s="860"/>
      <c r="FX308" s="860"/>
      <c r="FY308" s="860"/>
      <c r="FZ308" s="860"/>
      <c r="GA308" s="860"/>
      <c r="GB308" s="860"/>
      <c r="GC308" s="860"/>
      <c r="GD308" s="860"/>
      <c r="GE308" s="860"/>
      <c r="GF308" s="860"/>
      <c r="GG308" s="860"/>
      <c r="GH308" s="860"/>
      <c r="GI308" s="860"/>
      <c r="GJ308" s="860"/>
      <c r="GK308" s="860"/>
      <c r="GL308" s="860"/>
      <c r="GM308" s="860"/>
      <c r="GN308" s="860"/>
      <c r="GO308" s="860"/>
      <c r="GP308" s="860"/>
      <c r="GQ308" s="860"/>
      <c r="GR308" s="1162"/>
      <c r="GS308" s="860"/>
      <c r="GT308" s="1162"/>
      <c r="GU308" s="860"/>
      <c r="GV308" s="1162"/>
      <c r="GW308" s="860"/>
      <c r="GX308" s="860"/>
      <c r="GY308" s="1162"/>
      <c r="GZ308" s="860"/>
      <c r="HA308" s="860"/>
      <c r="HB308" s="1162"/>
      <c r="HC308" s="860"/>
      <c r="HE308" s="1162"/>
      <c r="HF308" s="860"/>
      <c r="HH308" s="1162"/>
      <c r="HI308" s="1162"/>
      <c r="HJ308" s="860"/>
      <c r="HL308" s="1162"/>
      <c r="HM308" s="860"/>
      <c r="HO308" s="1162"/>
      <c r="HP308" s="860"/>
      <c r="HR308" s="1162"/>
    </row>
    <row r="309" spans="1:226" hidden="1">
      <c r="A309" s="1132"/>
      <c r="B309" s="1274"/>
      <c r="C309" s="1274"/>
      <c r="D309" s="1274"/>
      <c r="E309" s="1274"/>
      <c r="F309" s="1274"/>
      <c r="G309" s="1274"/>
      <c r="H309" s="1274"/>
      <c r="I309" s="1274"/>
      <c r="J309" s="1274"/>
      <c r="K309" s="1274"/>
      <c r="L309" s="1274"/>
      <c r="M309" s="1274"/>
      <c r="N309" s="1274"/>
      <c r="O309" s="1274"/>
      <c r="P309" s="1274"/>
      <c r="Q309" s="1274">
        <f t="shared" ref="Q309:X309" si="307">Q307-Q308</f>
        <v>3976.5</v>
      </c>
      <c r="R309" s="1274">
        <f t="shared" si="307"/>
        <v>4188.3999999999996</v>
      </c>
      <c r="S309" s="1274">
        <f t="shared" si="307"/>
        <v>4374.5</v>
      </c>
      <c r="T309" s="1274">
        <f t="shared" si="307"/>
        <v>4599.3999999999996</v>
      </c>
      <c r="U309" s="1274">
        <f t="shared" si="307"/>
        <v>17138.8</v>
      </c>
      <c r="V309" s="1274">
        <f t="shared" si="307"/>
        <v>4600.6000000000004</v>
      </c>
      <c r="W309" s="1274">
        <f t="shared" si="307"/>
        <v>4803.7</v>
      </c>
      <c r="X309" s="1274">
        <f t="shared" si="307"/>
        <v>5305.1</v>
      </c>
      <c r="Y309" s="1274">
        <f>Y14</f>
        <v>6227.8</v>
      </c>
      <c r="Z309" s="1274">
        <f>Z307-Z308</f>
        <v>20937.199999999997</v>
      </c>
      <c r="AA309" s="1274"/>
      <c r="AB309" s="1274"/>
      <c r="AC309" s="1274"/>
      <c r="AD309" s="1274"/>
      <c r="AE309" s="1162"/>
      <c r="AF309" s="1162"/>
      <c r="AG309" s="1162"/>
      <c r="AH309" s="1162"/>
      <c r="AI309" s="1162"/>
      <c r="AJ309" s="1162"/>
      <c r="AK309" s="1162"/>
      <c r="AL309" s="1162"/>
      <c r="AM309" s="1162"/>
      <c r="AN309" s="1162"/>
      <c r="AO309" s="1162"/>
      <c r="AP309" s="1162"/>
      <c r="AQ309" s="1162"/>
      <c r="AR309" s="1162"/>
      <c r="AS309" s="1162"/>
      <c r="AT309" s="1162"/>
      <c r="AU309" s="1162"/>
      <c r="AV309" s="1162"/>
      <c r="AW309" s="1162"/>
      <c r="AX309" s="1162"/>
      <c r="AY309" s="1162"/>
      <c r="AZ309" s="1162"/>
      <c r="BA309" s="1162"/>
      <c r="BB309" s="1162"/>
      <c r="BC309" s="1162"/>
      <c r="BD309" s="1162"/>
      <c r="BE309" s="1242"/>
      <c r="BF309" s="1162"/>
      <c r="BG309" s="1162"/>
      <c r="BH309" s="1162"/>
      <c r="BI309" s="1261"/>
      <c r="BJ309" s="1242"/>
      <c r="BK309" s="1162"/>
      <c r="BL309" s="1162"/>
      <c r="BM309" s="1162"/>
      <c r="BN309" s="1261"/>
      <c r="BO309" s="1242"/>
      <c r="BP309" s="1162"/>
      <c r="BS309" s="1261"/>
      <c r="BT309" s="1242"/>
      <c r="BU309" s="1162"/>
      <c r="BV309" s="1162"/>
      <c r="BW309" s="1162"/>
      <c r="BX309" s="1261"/>
      <c r="BY309" s="1242"/>
      <c r="BZ309" s="1162"/>
      <c r="CA309" s="1162"/>
      <c r="CB309" s="1162"/>
      <c r="CC309" s="1261"/>
      <c r="CD309" s="1242"/>
      <c r="CE309" s="1162"/>
      <c r="CF309" s="1162"/>
      <c r="CG309" s="1162"/>
      <c r="CH309" s="1261"/>
      <c r="CI309" s="1162"/>
      <c r="CJ309" s="1162"/>
      <c r="CK309" s="1217"/>
      <c r="CL309" s="1217"/>
      <c r="CM309" s="1217"/>
      <c r="CN309" s="1217"/>
      <c r="CO309" s="1217"/>
      <c r="CP309" s="1217"/>
      <c r="CQ309" s="1217"/>
      <c r="CR309" s="1217"/>
      <c r="CS309" s="1217"/>
      <c r="CT309" s="860"/>
      <c r="CU309" s="1217"/>
      <c r="CV309" s="1217"/>
      <c r="CW309" s="1217"/>
      <c r="CX309" s="1217"/>
      <c r="CY309" s="860"/>
      <c r="CZ309" s="860"/>
      <c r="DA309" s="860"/>
      <c r="DB309" s="860"/>
      <c r="DC309" s="860"/>
      <c r="DD309" s="860"/>
      <c r="DE309" s="860"/>
      <c r="DF309" s="860"/>
      <c r="DG309" s="860"/>
      <c r="DH309" s="860"/>
      <c r="DI309" s="860"/>
      <c r="DJ309" s="860"/>
      <c r="DK309" s="860"/>
      <c r="DL309" s="860"/>
      <c r="DM309" s="860"/>
      <c r="DN309" s="860"/>
      <c r="DO309" s="860"/>
      <c r="DP309" s="860"/>
      <c r="DQ309" s="860"/>
      <c r="DR309" s="860"/>
      <c r="DS309" s="860"/>
      <c r="DT309" s="860"/>
      <c r="DU309" s="860"/>
      <c r="DV309" s="860"/>
      <c r="DW309" s="860"/>
      <c r="DX309" s="860"/>
      <c r="DY309" s="860"/>
      <c r="DZ309" s="860"/>
      <c r="EA309" s="860"/>
      <c r="EB309" s="860"/>
      <c r="EC309" s="860"/>
      <c r="ED309" s="860"/>
      <c r="EE309" s="860"/>
      <c r="EF309" s="860"/>
      <c r="EG309" s="860"/>
      <c r="EH309" s="860"/>
      <c r="EI309" s="1233"/>
      <c r="EJ309" s="860"/>
      <c r="EK309" s="860"/>
      <c r="EL309" s="860"/>
      <c r="EM309" s="1232"/>
      <c r="EN309" s="1233"/>
      <c r="EO309" s="860"/>
      <c r="EP309" s="860"/>
      <c r="EQ309" s="860"/>
      <c r="ER309" s="1232"/>
      <c r="ES309" s="860"/>
      <c r="ET309" s="860"/>
      <c r="EU309" s="860"/>
      <c r="EV309" s="860"/>
      <c r="EW309" s="1232"/>
      <c r="EX309" s="860"/>
      <c r="EY309" s="860"/>
      <c r="EZ309" s="860"/>
      <c r="FA309" s="860"/>
      <c r="FB309" s="860"/>
      <c r="FC309" s="860"/>
      <c r="FD309" s="860"/>
      <c r="FE309" s="860"/>
      <c r="FF309" s="860"/>
      <c r="FG309" s="860"/>
      <c r="FH309" s="860"/>
      <c r="FI309" s="860"/>
      <c r="FJ309" s="860"/>
      <c r="FK309" s="860"/>
      <c r="FL309" s="860"/>
      <c r="FM309" s="860"/>
      <c r="FN309" s="860"/>
      <c r="FO309" s="860"/>
      <c r="FP309" s="860"/>
      <c r="FQ309" s="860"/>
      <c r="FR309" s="860"/>
      <c r="FS309" s="860"/>
      <c r="FT309" s="860"/>
      <c r="FU309" s="860"/>
      <c r="FV309" s="860"/>
      <c r="FW309" s="860"/>
      <c r="FX309" s="860"/>
      <c r="FY309" s="860"/>
      <c r="FZ309" s="860"/>
      <c r="GA309" s="860"/>
      <c r="GB309" s="860"/>
      <c r="GC309" s="860"/>
      <c r="GD309" s="860"/>
      <c r="GE309" s="860"/>
      <c r="GF309" s="860"/>
      <c r="GG309" s="860"/>
      <c r="GH309" s="860"/>
      <c r="GI309" s="860"/>
      <c r="GJ309" s="860"/>
      <c r="GK309" s="860"/>
      <c r="GL309" s="860"/>
      <c r="GM309" s="860"/>
      <c r="GN309" s="860"/>
      <c r="GO309" s="860"/>
      <c r="GP309" s="860"/>
      <c r="GQ309" s="860"/>
      <c r="GR309" s="1162"/>
      <c r="GS309" s="860"/>
      <c r="GT309" s="1162"/>
      <c r="GU309" s="860"/>
      <c r="GV309" s="1162"/>
      <c r="GW309" s="860"/>
      <c r="GX309" s="860"/>
      <c r="GY309" s="1162"/>
      <c r="GZ309" s="860"/>
      <c r="HA309" s="860"/>
      <c r="HB309" s="1162"/>
      <c r="HC309" s="860"/>
      <c r="HE309" s="1162"/>
      <c r="HF309" s="860"/>
      <c r="HH309" s="1162"/>
      <c r="HI309" s="1162"/>
      <c r="HJ309" s="860"/>
      <c r="HL309" s="1162"/>
      <c r="HM309" s="860"/>
      <c r="HO309" s="1162"/>
      <c r="HP309" s="860"/>
      <c r="HR309" s="1162"/>
    </row>
    <row r="310" spans="1:226" hidden="1">
      <c r="A310" s="860"/>
      <c r="B310" s="860"/>
      <c r="C310" s="860"/>
      <c r="D310" s="860"/>
      <c r="E310" s="860"/>
      <c r="F310" s="860"/>
      <c r="G310" s="1274">
        <f>(G307-G304)</f>
        <v>2655.9846755265871</v>
      </c>
      <c r="H310" s="1274">
        <f>(H307-H304)</f>
        <v>2733.7237582668395</v>
      </c>
      <c r="I310" s="1274">
        <f>(I307-I304)</f>
        <v>2829.9934009655431</v>
      </c>
      <c r="J310" s="1274">
        <f>(J307-J304)</f>
        <v>3070.5981652410301</v>
      </c>
      <c r="K310" s="860"/>
      <c r="L310" s="1274">
        <f>(L307-L304)</f>
        <v>3101.8999999999996</v>
      </c>
      <c r="M310" s="1274">
        <f>(M307-M304)</f>
        <v>3202.2</v>
      </c>
      <c r="N310" s="1274">
        <f>(N307-N304)</f>
        <v>3241.4000000000005</v>
      </c>
      <c r="O310" s="1274">
        <f>(O307-O304)</f>
        <v>3409.8999999999996</v>
      </c>
      <c r="P310" s="860"/>
      <c r="Q310" s="1274">
        <f t="shared" ref="Q310:X310" si="308">(Q307-Q304)</f>
        <v>3410.7</v>
      </c>
      <c r="R310" s="1274">
        <f t="shared" si="308"/>
        <v>3549.5999999999995</v>
      </c>
      <c r="S310" s="1274">
        <f t="shared" si="308"/>
        <v>3664.2000000000003</v>
      </c>
      <c r="T310" s="1274">
        <f t="shared" si="308"/>
        <v>3906.3000000000011</v>
      </c>
      <c r="U310" s="1274">
        <f t="shared" si="308"/>
        <v>14530.800000000001</v>
      </c>
      <c r="V310" s="1274">
        <f t="shared" si="308"/>
        <v>3944.6000000000004</v>
      </c>
      <c r="W310" s="1274">
        <f t="shared" si="308"/>
        <v>4059.6000000000004</v>
      </c>
      <c r="X310" s="1274">
        <f t="shared" si="308"/>
        <v>4483.0999999999995</v>
      </c>
      <c r="Y310" s="1274"/>
      <c r="Z310" s="1274">
        <f>(Z307-Z304)</f>
        <v>17944.326499999999</v>
      </c>
      <c r="AA310" s="1274"/>
      <c r="AB310" s="1274"/>
      <c r="AC310" s="1274"/>
      <c r="AD310" s="1274"/>
      <c r="AE310" s="1162"/>
      <c r="AF310" s="1162"/>
      <c r="AG310" s="1162"/>
      <c r="AH310" s="1162"/>
      <c r="AI310" s="1162"/>
      <c r="AJ310" s="1162"/>
      <c r="AK310" s="1162"/>
      <c r="AL310" s="1162"/>
      <c r="AM310" s="1162"/>
      <c r="AN310" s="1162"/>
      <c r="AO310" s="1162"/>
      <c r="AP310" s="1162"/>
      <c r="AQ310" s="1162"/>
      <c r="AR310" s="1162"/>
      <c r="AS310" s="1162"/>
      <c r="AT310" s="1162"/>
      <c r="AU310" s="1162"/>
      <c r="AV310" s="1162"/>
      <c r="AW310" s="1162"/>
      <c r="AX310" s="1162"/>
      <c r="AY310" s="1162"/>
      <c r="AZ310" s="1162"/>
      <c r="BA310" s="1162"/>
      <c r="BB310" s="1162"/>
      <c r="BC310" s="1162"/>
      <c r="BD310" s="1162"/>
      <c r="BE310" s="1242"/>
      <c r="BF310" s="1162"/>
      <c r="BG310" s="1162"/>
      <c r="BH310" s="1162"/>
      <c r="BI310" s="1261"/>
      <c r="BJ310" s="1242"/>
      <c r="BK310" s="1162"/>
      <c r="BL310" s="1162"/>
      <c r="BM310" s="1162"/>
      <c r="BN310" s="1261"/>
      <c r="BO310" s="1242"/>
      <c r="BP310" s="1162"/>
      <c r="BS310" s="1261"/>
      <c r="BT310" s="1242"/>
      <c r="BU310" s="1162"/>
      <c r="BV310" s="1162"/>
      <c r="BW310" s="1162"/>
      <c r="BX310" s="1261"/>
      <c r="BY310" s="1242"/>
      <c r="BZ310" s="1162"/>
      <c r="CA310" s="1162"/>
      <c r="CB310" s="1162"/>
      <c r="CC310" s="1261"/>
      <c r="CD310" s="1242"/>
      <c r="CE310" s="1162"/>
      <c r="CF310" s="1162"/>
      <c r="CG310" s="1162"/>
      <c r="CH310" s="1261"/>
      <c r="CI310" s="1162"/>
      <c r="CJ310" s="1162"/>
      <c r="CK310" s="1217">
        <v>0.182</v>
      </c>
      <c r="CL310" s="1217">
        <v>0.221</v>
      </c>
      <c r="CM310" s="1217">
        <v>9.4E-2</v>
      </c>
      <c r="CN310" s="1217">
        <f>O310/J310-1</f>
        <v>0.11050024018116211</v>
      </c>
      <c r="CO310" s="860"/>
      <c r="CP310" s="1217">
        <f>Q310/L310-1</f>
        <v>9.9551887552790319E-2</v>
      </c>
      <c r="CQ310" s="1217">
        <f>R310/M310-1</f>
        <v>0.10848791455874074</v>
      </c>
      <c r="CR310" s="1217">
        <f>S310/N310-1</f>
        <v>0.13043746529277467</v>
      </c>
      <c r="CS310" s="1217">
        <f>T310/O310-1</f>
        <v>0.14557611660166025</v>
      </c>
      <c r="CT310" s="860"/>
      <c r="CU310" s="1217">
        <f>V310/Q310-1</f>
        <v>0.15653678130589044</v>
      </c>
      <c r="CV310" s="1217">
        <f>W310/R310-1</f>
        <v>0.14367816091954055</v>
      </c>
      <c r="CW310" s="1217">
        <f>X310/S310-1</f>
        <v>0.22348670924076175</v>
      </c>
      <c r="CX310" s="1217"/>
      <c r="CY310" s="860"/>
      <c r="CZ310" s="860"/>
      <c r="DA310" s="860"/>
      <c r="DB310" s="860"/>
      <c r="DC310" s="860"/>
      <c r="DD310" s="860"/>
      <c r="DE310" s="860"/>
      <c r="DF310" s="860"/>
      <c r="DG310" s="860"/>
      <c r="DH310" s="860"/>
      <c r="DI310" s="860"/>
      <c r="DJ310" s="860"/>
      <c r="DK310" s="860"/>
      <c r="DL310" s="860"/>
      <c r="DM310" s="860"/>
      <c r="DN310" s="860"/>
      <c r="DO310" s="860"/>
      <c r="DP310" s="860"/>
      <c r="DQ310" s="860"/>
      <c r="DR310" s="860"/>
      <c r="DS310" s="860"/>
      <c r="DT310" s="860"/>
      <c r="DU310" s="860"/>
      <c r="DV310" s="860"/>
      <c r="DW310" s="860"/>
      <c r="DX310" s="860"/>
      <c r="DY310" s="860"/>
      <c r="DZ310" s="860"/>
      <c r="EA310" s="860"/>
      <c r="EB310" s="860"/>
      <c r="EC310" s="860"/>
      <c r="ED310" s="860"/>
      <c r="EE310" s="860"/>
      <c r="EF310" s="860"/>
      <c r="EG310" s="860"/>
      <c r="EH310" s="860"/>
      <c r="EI310" s="1233"/>
      <c r="EJ310" s="860"/>
      <c r="EK310" s="860"/>
      <c r="EL310" s="860"/>
      <c r="EM310" s="1232"/>
      <c r="EN310" s="1233"/>
      <c r="EO310" s="860"/>
      <c r="EP310" s="860"/>
      <c r="EQ310" s="860"/>
      <c r="ER310" s="1232"/>
      <c r="ES310" s="860"/>
      <c r="ET310" s="860"/>
      <c r="EU310" s="860"/>
      <c r="EV310" s="860"/>
      <c r="EW310" s="1232"/>
      <c r="EX310" s="860"/>
      <c r="EY310" s="860"/>
      <c r="EZ310" s="860"/>
      <c r="FA310" s="860"/>
      <c r="FB310" s="860"/>
      <c r="FC310" s="860"/>
      <c r="FD310" s="860"/>
      <c r="FE310" s="860"/>
      <c r="FF310" s="860"/>
      <c r="FG310" s="860"/>
      <c r="FH310" s="860"/>
      <c r="FI310" s="860"/>
      <c r="FJ310" s="860"/>
      <c r="FK310" s="860"/>
      <c r="FL310" s="860"/>
      <c r="FM310" s="860"/>
      <c r="FN310" s="860"/>
      <c r="FO310" s="860"/>
      <c r="FP310" s="860"/>
      <c r="FQ310" s="860"/>
      <c r="FR310" s="860"/>
      <c r="FS310" s="860"/>
      <c r="FT310" s="860"/>
      <c r="FU310" s="860"/>
      <c r="FV310" s="860"/>
      <c r="FW310" s="860"/>
      <c r="FX310" s="860"/>
      <c r="FY310" s="860"/>
      <c r="FZ310" s="860"/>
      <c r="GA310" s="860"/>
      <c r="GB310" s="860"/>
      <c r="GC310" s="860"/>
      <c r="GD310" s="860"/>
      <c r="GE310" s="860"/>
      <c r="GF310" s="860"/>
      <c r="GG310" s="860"/>
      <c r="GH310" s="860"/>
      <c r="GI310" s="860"/>
      <c r="GJ310" s="860"/>
      <c r="GK310" s="860"/>
      <c r="GL310" s="860"/>
      <c r="GM310" s="860"/>
      <c r="GN310" s="860"/>
      <c r="GO310" s="860"/>
      <c r="GP310" s="860"/>
      <c r="GQ310" s="860"/>
      <c r="GR310" s="1162"/>
      <c r="GS310" s="860"/>
      <c r="GT310" s="1162"/>
      <c r="GU310" s="860"/>
      <c r="GV310" s="1162"/>
      <c r="GW310" s="860"/>
      <c r="GX310" s="860"/>
      <c r="GY310" s="1162"/>
      <c r="GZ310" s="860"/>
      <c r="HA310" s="860"/>
      <c r="HB310" s="1162"/>
      <c r="HC310" s="860"/>
      <c r="HE310" s="1162"/>
      <c r="HF310" s="860"/>
      <c r="HH310" s="1162"/>
      <c r="HI310" s="1162"/>
      <c r="HJ310" s="860"/>
      <c r="HL310" s="1162"/>
      <c r="HM310" s="860"/>
      <c r="HO310" s="1162"/>
      <c r="HP310" s="860"/>
      <c r="HR310" s="1162"/>
    </row>
    <row r="311" spans="1:226" hidden="1">
      <c r="A311" s="860"/>
      <c r="B311" s="860"/>
      <c r="C311" s="860"/>
      <c r="D311" s="860"/>
      <c r="E311" s="860"/>
      <c r="F311" s="860"/>
      <c r="G311" s="1274"/>
      <c r="H311" s="1274"/>
      <c r="I311" s="1274"/>
      <c r="J311" s="1274"/>
      <c r="K311" s="860"/>
      <c r="L311" s="1274"/>
      <c r="M311" s="1274"/>
      <c r="N311" s="1274"/>
      <c r="O311" s="1274"/>
      <c r="P311" s="860"/>
      <c r="Q311" s="1274"/>
      <c r="R311" s="1274"/>
      <c r="S311" s="1274"/>
      <c r="T311" s="1274"/>
      <c r="U311" s="1274"/>
      <c r="V311" s="1274"/>
      <c r="W311" s="1274"/>
      <c r="X311" s="1274"/>
      <c r="Y311" s="1274"/>
      <c r="Z311" s="1274"/>
      <c r="AA311" s="1274"/>
      <c r="AB311" s="1274"/>
      <c r="AC311" s="1274"/>
      <c r="AD311" s="1274"/>
      <c r="AE311" s="1162"/>
      <c r="AF311" s="1162"/>
      <c r="AG311" s="1162"/>
      <c r="AH311" s="1162"/>
      <c r="AI311" s="1162"/>
      <c r="AJ311" s="1162"/>
      <c r="AK311" s="1162"/>
      <c r="AL311" s="1162"/>
      <c r="AM311" s="1162"/>
      <c r="AN311" s="1162"/>
      <c r="AO311" s="1162"/>
      <c r="AP311" s="1162"/>
      <c r="AQ311" s="1162"/>
      <c r="AR311" s="1162"/>
      <c r="AS311" s="1162"/>
      <c r="AT311" s="1162"/>
      <c r="AU311" s="1162"/>
      <c r="AV311" s="1162"/>
      <c r="AW311" s="1162"/>
      <c r="AX311" s="1162"/>
      <c r="AY311" s="1162"/>
      <c r="AZ311" s="1162"/>
      <c r="BA311" s="1162"/>
      <c r="BB311" s="1162"/>
      <c r="BC311" s="1162"/>
      <c r="BD311" s="1162"/>
      <c r="BE311" s="1242"/>
      <c r="BF311" s="1162"/>
      <c r="BG311" s="1162"/>
      <c r="BH311" s="1162"/>
      <c r="BI311" s="1261"/>
      <c r="BJ311" s="1242"/>
      <c r="BK311" s="1162"/>
      <c r="BL311" s="1162"/>
      <c r="BM311" s="1162"/>
      <c r="BN311" s="1261"/>
      <c r="BO311" s="1242"/>
      <c r="BP311" s="1162"/>
      <c r="BS311" s="1261"/>
      <c r="BT311" s="1242"/>
      <c r="BU311" s="1162"/>
      <c r="BV311" s="1162"/>
      <c r="BW311" s="1162"/>
      <c r="BX311" s="1261"/>
      <c r="BY311" s="1242"/>
      <c r="BZ311" s="1162"/>
      <c r="CA311" s="1162"/>
      <c r="CB311" s="1162"/>
      <c r="CC311" s="1261"/>
      <c r="CD311" s="1242"/>
      <c r="CE311" s="1162"/>
      <c r="CF311" s="1162"/>
      <c r="CG311" s="1162"/>
      <c r="CH311" s="1261"/>
      <c r="CI311" s="1162"/>
      <c r="CJ311" s="1162"/>
      <c r="CK311" s="1217"/>
      <c r="CL311" s="1217"/>
      <c r="CM311" s="1217"/>
      <c r="CN311" s="1217"/>
      <c r="CO311" s="860"/>
      <c r="CP311" s="1217"/>
      <c r="CQ311" s="1217"/>
      <c r="CR311" s="1217"/>
      <c r="CS311" s="1217"/>
      <c r="CT311" s="860"/>
      <c r="CU311" s="1217"/>
      <c r="CV311" s="1217"/>
      <c r="CW311" s="1217"/>
      <c r="CX311" s="1217"/>
      <c r="CY311" s="860"/>
      <c r="CZ311" s="860"/>
      <c r="DA311" s="860"/>
      <c r="DB311" s="860"/>
      <c r="DC311" s="860"/>
      <c r="DD311" s="860"/>
      <c r="DE311" s="860"/>
      <c r="DF311" s="860"/>
      <c r="DG311" s="860"/>
      <c r="DH311" s="860"/>
      <c r="DI311" s="860"/>
      <c r="DJ311" s="860"/>
      <c r="DK311" s="860"/>
      <c r="DL311" s="860"/>
      <c r="DM311" s="860"/>
      <c r="DN311" s="860"/>
      <c r="DO311" s="860"/>
      <c r="DP311" s="860"/>
      <c r="DQ311" s="860"/>
      <c r="DR311" s="860"/>
      <c r="DS311" s="860"/>
      <c r="DT311" s="860"/>
      <c r="DU311" s="860"/>
      <c r="DV311" s="860"/>
      <c r="DW311" s="860"/>
      <c r="DX311" s="860"/>
      <c r="DY311" s="860"/>
      <c r="DZ311" s="860"/>
      <c r="EA311" s="860"/>
      <c r="EB311" s="860"/>
      <c r="EC311" s="860"/>
      <c r="ED311" s="860"/>
      <c r="EE311" s="860"/>
      <c r="EF311" s="860"/>
      <c r="EG311" s="860"/>
      <c r="EH311" s="860"/>
      <c r="EI311" s="1233"/>
      <c r="EJ311" s="860"/>
      <c r="EK311" s="860"/>
      <c r="EL311" s="860"/>
      <c r="EM311" s="1232"/>
      <c r="EN311" s="1233"/>
      <c r="EO311" s="860"/>
      <c r="EP311" s="860"/>
      <c r="EQ311" s="860"/>
      <c r="ER311" s="1232"/>
      <c r="ES311" s="860"/>
      <c r="ET311" s="860"/>
      <c r="EU311" s="860"/>
      <c r="EV311" s="860"/>
      <c r="EW311" s="1232"/>
      <c r="EX311" s="860"/>
      <c r="EY311" s="860"/>
      <c r="EZ311" s="860"/>
      <c r="FA311" s="860"/>
      <c r="FB311" s="860"/>
      <c r="FC311" s="860"/>
      <c r="FD311" s="860"/>
      <c r="FE311" s="860"/>
      <c r="FF311" s="860"/>
      <c r="FG311" s="860"/>
      <c r="FH311" s="860"/>
      <c r="FI311" s="860"/>
      <c r="FJ311" s="860"/>
      <c r="FK311" s="860"/>
      <c r="FL311" s="860"/>
      <c r="FM311" s="860"/>
      <c r="FN311" s="860"/>
      <c r="FO311" s="860"/>
      <c r="FP311" s="860"/>
      <c r="FQ311" s="860"/>
      <c r="FR311" s="860"/>
      <c r="FS311" s="860"/>
      <c r="FT311" s="860"/>
      <c r="FU311" s="860"/>
      <c r="FV311" s="860"/>
      <c r="FW311" s="860"/>
      <c r="FX311" s="860"/>
      <c r="FY311" s="860"/>
      <c r="FZ311" s="860"/>
      <c r="GA311" s="860"/>
      <c r="GB311" s="860"/>
      <c r="GC311" s="860"/>
      <c r="GD311" s="860"/>
      <c r="GE311" s="860"/>
      <c r="GF311" s="860"/>
      <c r="GG311" s="860"/>
      <c r="GH311" s="860"/>
      <c r="GI311" s="860"/>
      <c r="GJ311" s="860"/>
      <c r="GK311" s="860"/>
      <c r="GL311" s="860"/>
      <c r="GM311" s="860"/>
      <c r="GN311" s="860"/>
      <c r="GO311" s="860"/>
      <c r="GP311" s="860"/>
      <c r="GQ311" s="860"/>
      <c r="GR311" s="1162"/>
      <c r="GS311" s="860"/>
      <c r="GT311" s="1162"/>
      <c r="GU311" s="860"/>
      <c r="GV311" s="1162"/>
      <c r="GW311" s="860"/>
      <c r="GX311" s="860"/>
      <c r="GY311" s="1162"/>
      <c r="GZ311" s="860"/>
      <c r="HA311" s="860"/>
      <c r="HB311" s="1162"/>
      <c r="HC311" s="860"/>
      <c r="HE311" s="1162"/>
      <c r="HF311" s="860"/>
      <c r="HH311" s="1162"/>
      <c r="HI311" s="1162"/>
      <c r="HJ311" s="860"/>
      <c r="HL311" s="1162"/>
      <c r="HM311" s="860"/>
      <c r="HO311" s="1162"/>
      <c r="HP311" s="860"/>
      <c r="HR311" s="1162"/>
    </row>
    <row r="312" spans="1:226" hidden="1">
      <c r="A312" s="1322" t="s">
        <v>483</v>
      </c>
      <c r="B312" s="860"/>
      <c r="C312" s="860"/>
      <c r="D312" s="860"/>
      <c r="E312" s="860"/>
      <c r="F312" s="860"/>
      <c r="G312" s="1274"/>
      <c r="H312" s="1274"/>
      <c r="I312" s="1274"/>
      <c r="J312" s="1274"/>
      <c r="K312" s="860"/>
      <c r="L312" s="1274"/>
      <c r="M312" s="1274"/>
      <c r="N312" s="1274"/>
      <c r="O312" s="1274"/>
      <c r="P312" s="860"/>
      <c r="Q312" s="1274"/>
      <c r="R312" s="1274"/>
      <c r="S312" s="1274"/>
      <c r="T312" s="1274"/>
      <c r="U312" s="1274"/>
      <c r="V312" s="1274"/>
      <c r="W312" s="1274"/>
      <c r="X312" s="1274"/>
      <c r="Y312" s="1274"/>
      <c r="Z312" s="1274"/>
      <c r="AA312" s="1274"/>
      <c r="AB312" s="1274"/>
      <c r="AC312" s="1274"/>
      <c r="AD312" s="1274"/>
      <c r="AE312" s="1162"/>
      <c r="AF312" s="1162"/>
      <c r="AG312" s="1162"/>
      <c r="AH312" s="1162"/>
      <c r="AI312" s="1162"/>
      <c r="AJ312" s="1162"/>
      <c r="AK312" s="1162"/>
      <c r="AL312" s="1162"/>
      <c r="AM312" s="1162"/>
      <c r="AN312" s="1162"/>
      <c r="AO312" s="1162"/>
      <c r="AP312" s="1162"/>
      <c r="AQ312" s="1162"/>
      <c r="AR312" s="1162"/>
      <c r="AS312" s="1162"/>
      <c r="AT312" s="1162"/>
      <c r="AU312" s="1162"/>
      <c r="AV312" s="1162"/>
      <c r="AW312" s="1162"/>
      <c r="AX312" s="1162"/>
      <c r="AY312" s="1162"/>
      <c r="AZ312" s="1162"/>
      <c r="BA312" s="1162"/>
      <c r="BB312" s="1162"/>
      <c r="BC312" s="1162"/>
      <c r="BD312" s="1162"/>
      <c r="BE312" s="1242"/>
      <c r="BF312" s="1162"/>
      <c r="BG312" s="1162"/>
      <c r="BH312" s="1162"/>
      <c r="BI312" s="1261"/>
      <c r="BJ312" s="1242"/>
      <c r="BK312" s="1162"/>
      <c r="BL312" s="1162"/>
      <c r="BM312" s="1162"/>
      <c r="BN312" s="1261"/>
      <c r="BO312" s="1242"/>
      <c r="BP312" s="1162"/>
      <c r="BQ312" s="1162"/>
      <c r="BR312" s="1162"/>
      <c r="BS312" s="1261"/>
      <c r="BT312" s="1242"/>
      <c r="BU312" s="1162"/>
      <c r="BV312" s="1162"/>
      <c r="BW312" s="1162"/>
      <c r="BX312" s="1261"/>
      <c r="BY312" s="1242"/>
      <c r="BZ312" s="1162"/>
      <c r="CA312" s="1162"/>
      <c r="CB312" s="1162"/>
      <c r="CC312" s="1261"/>
      <c r="CD312" s="1242"/>
      <c r="CE312" s="1162"/>
      <c r="CF312" s="1162"/>
      <c r="CG312" s="1162"/>
      <c r="CH312" s="1261"/>
      <c r="CI312" s="1162"/>
      <c r="CJ312" s="1162"/>
      <c r="CK312" s="1217"/>
      <c r="CL312" s="1217"/>
      <c r="CM312" s="1217"/>
      <c r="CN312" s="1217"/>
      <c r="CO312" s="860"/>
      <c r="CP312" s="1217"/>
      <c r="CQ312" s="1217"/>
      <c r="CR312" s="1217"/>
      <c r="CS312" s="1217"/>
      <c r="CT312" s="860"/>
      <c r="CU312" s="1217"/>
      <c r="CV312" s="1217"/>
      <c r="CW312" s="1217"/>
      <c r="CX312" s="1217"/>
      <c r="CY312" s="860"/>
      <c r="CZ312" s="860"/>
      <c r="DA312" s="860"/>
      <c r="DB312" s="860"/>
      <c r="DC312" s="860"/>
      <c r="DD312" s="860"/>
      <c r="DE312" s="860"/>
      <c r="DF312" s="860"/>
      <c r="DG312" s="860"/>
      <c r="DH312" s="860"/>
      <c r="DI312" s="860"/>
      <c r="DJ312" s="860"/>
      <c r="DK312" s="860"/>
      <c r="DL312" s="860"/>
      <c r="DM312" s="860"/>
      <c r="DN312" s="860"/>
      <c r="DO312" s="860"/>
      <c r="DP312" s="860"/>
      <c r="DQ312" s="860"/>
      <c r="DR312" s="860"/>
      <c r="DS312" s="860"/>
      <c r="DT312" s="860"/>
      <c r="DU312" s="860"/>
      <c r="DV312" s="860"/>
      <c r="DW312" s="860"/>
      <c r="DX312" s="860"/>
      <c r="DY312" s="860"/>
      <c r="DZ312" s="860"/>
      <c r="EA312" s="860"/>
      <c r="EB312" s="860"/>
      <c r="EC312" s="860"/>
      <c r="ED312" s="860"/>
      <c r="EE312" s="860"/>
      <c r="EF312" s="860"/>
      <c r="EG312" s="860"/>
      <c r="EH312" s="860"/>
      <c r="EI312" s="1233"/>
      <c r="EJ312" s="860"/>
      <c r="EK312" s="860"/>
      <c r="EL312" s="860"/>
      <c r="EM312" s="1232"/>
      <c r="EN312" s="1233"/>
      <c r="EO312" s="860"/>
      <c r="EP312" s="860"/>
      <c r="EQ312" s="860"/>
      <c r="ER312" s="1232"/>
      <c r="ES312" s="860"/>
      <c r="ET312" s="860"/>
      <c r="EU312" s="860"/>
      <c r="EV312" s="860"/>
      <c r="EW312" s="1232"/>
      <c r="EX312" s="860"/>
      <c r="EY312" s="860"/>
      <c r="EZ312" s="860"/>
      <c r="FA312" s="860"/>
      <c r="FB312" s="860"/>
      <c r="FC312" s="860"/>
      <c r="FD312" s="860"/>
      <c r="FE312" s="860"/>
      <c r="FF312" s="860"/>
      <c r="FG312" s="860"/>
      <c r="FH312" s="860"/>
      <c r="FI312" s="860"/>
      <c r="FJ312" s="860"/>
      <c r="FK312" s="860"/>
      <c r="FL312" s="860"/>
      <c r="FM312" s="860"/>
      <c r="FN312" s="860"/>
      <c r="FO312" s="860"/>
      <c r="FP312" s="860"/>
      <c r="FQ312" s="860"/>
      <c r="FR312" s="860"/>
      <c r="FS312" s="860"/>
      <c r="FT312" s="860"/>
      <c r="FU312" s="860"/>
      <c r="FV312" s="860"/>
      <c r="FW312" s="860"/>
      <c r="FX312" s="860"/>
      <c r="FY312" s="860"/>
      <c r="FZ312" s="860"/>
      <c r="GA312" s="860"/>
      <c r="GB312" s="860"/>
      <c r="GC312" s="860"/>
      <c r="GD312" s="860"/>
      <c r="GE312" s="860"/>
      <c r="GF312" s="860"/>
      <c r="GG312" s="860"/>
      <c r="GH312" s="860"/>
      <c r="GI312" s="860"/>
      <c r="GJ312" s="860"/>
      <c r="GK312" s="860"/>
      <c r="GL312" s="860"/>
      <c r="GM312" s="860"/>
      <c r="GN312" s="860"/>
      <c r="GO312" s="860"/>
      <c r="GP312" s="860"/>
      <c r="GQ312" s="860"/>
      <c r="GR312" s="1162"/>
      <c r="GS312" s="860"/>
      <c r="GT312" s="1162"/>
      <c r="GU312" s="860"/>
      <c r="GV312" s="1162"/>
      <c r="GW312" s="860"/>
      <c r="GX312" s="860"/>
      <c r="GY312" s="1162"/>
      <c r="GZ312" s="860"/>
      <c r="HA312" s="860"/>
      <c r="HB312" s="1162"/>
      <c r="HC312" s="860"/>
      <c r="HE312" s="1162"/>
      <c r="HF312" s="860"/>
      <c r="HH312" s="1162"/>
      <c r="HI312" s="1162"/>
      <c r="HJ312" s="860"/>
      <c r="HL312" s="1162"/>
      <c r="HM312" s="860"/>
      <c r="HO312" s="1162"/>
      <c r="HP312" s="860"/>
      <c r="HR312" s="1162"/>
    </row>
    <row r="313" spans="1:226" hidden="1">
      <c r="A313" s="860" t="s">
        <v>33</v>
      </c>
      <c r="B313" s="860"/>
      <c r="C313" s="860"/>
      <c r="D313" s="860"/>
      <c r="E313" s="860"/>
      <c r="F313" s="860"/>
      <c r="G313" s="1274"/>
      <c r="H313" s="1274"/>
      <c r="I313" s="1274"/>
      <c r="J313" s="1274"/>
      <c r="K313" s="860"/>
      <c r="L313" s="1274"/>
      <c r="M313" s="1274"/>
      <c r="N313" s="1274"/>
      <c r="O313" s="1274"/>
      <c r="P313" s="860"/>
      <c r="Q313" s="1274"/>
      <c r="R313" s="1274"/>
      <c r="S313" s="1274"/>
      <c r="T313" s="1274"/>
      <c r="U313" s="1274"/>
      <c r="V313" s="1274"/>
      <c r="W313" s="1274"/>
      <c r="X313" s="1274">
        <v>2513</v>
      </c>
      <c r="Y313" s="1274">
        <v>2579</v>
      </c>
      <c r="Z313" s="1274"/>
      <c r="AA313" s="1274">
        <v>2578.3000000000002</v>
      </c>
      <c r="AB313" s="1274">
        <v>2659</v>
      </c>
      <c r="AC313" s="1274">
        <v>2864</v>
      </c>
      <c r="AD313" s="1274">
        <v>2963</v>
      </c>
      <c r="AE313" s="1162"/>
      <c r="AF313" s="1274">
        <v>2927.8</v>
      </c>
      <c r="AG313" s="1274">
        <v>3037</v>
      </c>
      <c r="AH313" s="1274">
        <v>3153</v>
      </c>
      <c r="AI313" s="1274"/>
      <c r="AJ313" s="1162"/>
      <c r="AK313" s="1162"/>
      <c r="AL313" s="1162"/>
      <c r="AM313" s="1162"/>
      <c r="AN313" s="1162"/>
      <c r="AO313" s="1162"/>
      <c r="AP313" s="1162"/>
      <c r="AQ313" s="1162"/>
      <c r="AR313" s="1162"/>
      <c r="AS313" s="1162"/>
      <c r="AT313" s="1162"/>
      <c r="AU313" s="1162"/>
      <c r="AV313" s="1162"/>
      <c r="AW313" s="1162"/>
      <c r="AX313" s="1162"/>
      <c r="AY313" s="1162"/>
      <c r="AZ313" s="1162"/>
      <c r="BA313" s="1162"/>
      <c r="BB313" s="1162"/>
      <c r="BC313" s="1162"/>
      <c r="BD313" s="1162"/>
      <c r="BE313" s="1242"/>
      <c r="BF313" s="1162"/>
      <c r="BG313" s="1162"/>
      <c r="BH313" s="1162"/>
      <c r="BI313" s="1261"/>
      <c r="BJ313" s="1242"/>
      <c r="BK313" s="1162"/>
      <c r="BL313" s="1162"/>
      <c r="BM313" s="1162"/>
      <c r="BN313" s="1261"/>
      <c r="BO313" s="1242"/>
      <c r="BP313" s="1162"/>
      <c r="BQ313" s="1162"/>
      <c r="BR313" s="1162"/>
      <c r="BS313" s="1261"/>
      <c r="BT313" s="1242"/>
      <c r="BU313" s="1162"/>
      <c r="BV313" s="1162"/>
      <c r="BW313" s="1162"/>
      <c r="BX313" s="1261"/>
      <c r="BY313" s="1242"/>
      <c r="BZ313" s="1162"/>
      <c r="CA313" s="1162"/>
      <c r="CB313" s="1162"/>
      <c r="CC313" s="1261"/>
      <c r="CD313" s="1242"/>
      <c r="CE313" s="1162"/>
      <c r="CF313" s="1162"/>
      <c r="CG313" s="1162"/>
      <c r="CH313" s="1261"/>
      <c r="CI313" s="1162"/>
      <c r="CJ313" s="1162"/>
      <c r="CK313" s="1217"/>
      <c r="CL313" s="1217"/>
      <c r="CM313" s="1217"/>
      <c r="CN313" s="1217"/>
      <c r="CO313" s="860"/>
      <c r="CP313" s="1217"/>
      <c r="CQ313" s="1217"/>
      <c r="CR313" s="1217"/>
      <c r="CS313" s="1217"/>
      <c r="CT313" s="860"/>
      <c r="CU313" s="1217"/>
      <c r="CV313" s="1217"/>
      <c r="CW313" s="1217"/>
      <c r="CX313" s="1217"/>
      <c r="CY313" s="860"/>
      <c r="CZ313" s="860"/>
      <c r="DA313" s="860"/>
      <c r="DB313" s="860"/>
      <c r="DC313" s="860"/>
      <c r="DD313" s="860"/>
      <c r="DE313" s="860"/>
      <c r="DF313" s="860"/>
      <c r="DG313" s="860"/>
      <c r="DH313" s="860"/>
      <c r="DI313" s="860"/>
      <c r="DJ313" s="860"/>
      <c r="DK313" s="860"/>
      <c r="DL313" s="860"/>
      <c r="DM313" s="860"/>
      <c r="DN313" s="860"/>
      <c r="DO313" s="860"/>
      <c r="DP313" s="860"/>
      <c r="DQ313" s="860"/>
      <c r="DR313" s="860"/>
      <c r="DS313" s="860"/>
      <c r="DT313" s="860"/>
      <c r="DU313" s="860"/>
      <c r="DV313" s="860"/>
      <c r="DW313" s="860"/>
      <c r="DX313" s="860"/>
      <c r="DY313" s="860"/>
      <c r="DZ313" s="860"/>
      <c r="EA313" s="860"/>
      <c r="EB313" s="860"/>
      <c r="EC313" s="860"/>
      <c r="ED313" s="860"/>
      <c r="EE313" s="860"/>
      <c r="EF313" s="860"/>
      <c r="EG313" s="860"/>
      <c r="EH313" s="860"/>
      <c r="EI313" s="1233"/>
      <c r="EJ313" s="860"/>
      <c r="EK313" s="860"/>
      <c r="EL313" s="860"/>
      <c r="EM313" s="1232"/>
      <c r="EN313" s="1233"/>
      <c r="EO313" s="860"/>
      <c r="EP313" s="860"/>
      <c r="EQ313" s="860"/>
      <c r="ER313" s="1232"/>
      <c r="ES313" s="860"/>
      <c r="ET313" s="860"/>
      <c r="EU313" s="860"/>
      <c r="EV313" s="860"/>
      <c r="EW313" s="1232"/>
      <c r="EX313" s="860"/>
      <c r="EY313" s="860"/>
      <c r="EZ313" s="860"/>
      <c r="FA313" s="860"/>
      <c r="FB313" s="860"/>
      <c r="FC313" s="860"/>
      <c r="FD313" s="860"/>
      <c r="FE313" s="860"/>
      <c r="FF313" s="860"/>
      <c r="FG313" s="860"/>
      <c r="FH313" s="860"/>
      <c r="FI313" s="860"/>
      <c r="FJ313" s="860"/>
      <c r="FK313" s="860"/>
      <c r="FL313" s="860"/>
      <c r="FM313" s="860"/>
      <c r="FN313" s="860"/>
      <c r="FO313" s="860"/>
      <c r="FP313" s="860"/>
      <c r="FQ313" s="860"/>
      <c r="FR313" s="860"/>
      <c r="FS313" s="860"/>
      <c r="FT313" s="860"/>
      <c r="FU313" s="860"/>
      <c r="FV313" s="860"/>
      <c r="FW313" s="860"/>
      <c r="FX313" s="860"/>
      <c r="FY313" s="860"/>
      <c r="FZ313" s="860"/>
      <c r="GA313" s="860"/>
      <c r="GB313" s="860"/>
      <c r="GC313" s="860"/>
      <c r="GD313" s="860"/>
      <c r="GE313" s="860"/>
      <c r="GF313" s="860"/>
      <c r="GG313" s="860"/>
      <c r="GH313" s="860"/>
      <c r="GI313" s="860"/>
      <c r="GJ313" s="860"/>
      <c r="GK313" s="860"/>
      <c r="GL313" s="860"/>
      <c r="GM313" s="860"/>
      <c r="GN313" s="860"/>
      <c r="GO313" s="860"/>
      <c r="GP313" s="860"/>
      <c r="GQ313" s="860"/>
      <c r="GR313" s="1162"/>
      <c r="GS313" s="860"/>
      <c r="GT313" s="1162"/>
      <c r="GU313" s="860"/>
      <c r="GV313" s="1162"/>
      <c r="GW313" s="860"/>
      <c r="GX313" s="860"/>
      <c r="GY313" s="1162"/>
      <c r="GZ313" s="860"/>
      <c r="HA313" s="860"/>
      <c r="HB313" s="1162"/>
      <c r="HC313" s="860"/>
      <c r="HE313" s="1162"/>
      <c r="HF313" s="860"/>
      <c r="HH313" s="1162"/>
      <c r="HI313" s="1162"/>
      <c r="HJ313" s="860"/>
      <c r="HL313" s="1162"/>
      <c r="HM313" s="860"/>
      <c r="HO313" s="1162"/>
      <c r="HP313" s="860"/>
      <c r="HR313" s="1162"/>
    </row>
    <row r="314" spans="1:226" hidden="1">
      <c r="A314" s="860"/>
      <c r="B314" s="860"/>
      <c r="C314" s="860"/>
      <c r="D314" s="860"/>
      <c r="E314" s="860"/>
      <c r="F314" s="860"/>
      <c r="G314" s="1274"/>
      <c r="H314" s="1274"/>
      <c r="I314" s="1274"/>
      <c r="J314" s="1274"/>
      <c r="K314" s="860"/>
      <c r="L314" s="1274"/>
      <c r="M314" s="1274"/>
      <c r="N314" s="1274"/>
      <c r="O314" s="1274"/>
      <c r="P314" s="860"/>
      <c r="Q314" s="1274"/>
      <c r="R314" s="1274"/>
      <c r="S314" s="1274"/>
      <c r="T314" s="1274"/>
      <c r="U314" s="1274"/>
      <c r="V314" s="1274"/>
      <c r="W314" s="1274"/>
      <c r="X314" s="1274"/>
      <c r="Y314" s="1274"/>
      <c r="Z314" s="1274"/>
      <c r="AA314" s="1274"/>
      <c r="AB314" s="1274"/>
      <c r="AC314" s="1217">
        <f>AC313/X313-1</f>
        <v>0.13967369677676089</v>
      </c>
      <c r="AD314" s="1217">
        <f>AD313/Y313-1</f>
        <v>0.14889492051182618</v>
      </c>
      <c r="AE314" s="1162"/>
      <c r="AF314" s="1217">
        <f>AF313/AA313-1</f>
        <v>0.13555443509289056</v>
      </c>
      <c r="AG314" s="1217">
        <f>AG313/AB313-1</f>
        <v>0.14215870628055649</v>
      </c>
      <c r="AH314" s="1217">
        <f>AH313/AC313-1</f>
        <v>0.10090782122905018</v>
      </c>
      <c r="AI314" s="1217"/>
      <c r="AJ314" s="1162"/>
      <c r="AK314" s="1162"/>
      <c r="AL314" s="1162"/>
      <c r="AM314" s="1162"/>
      <c r="AN314" s="1162"/>
      <c r="AO314" s="1162"/>
      <c r="AP314" s="1162"/>
      <c r="AQ314" s="1162"/>
      <c r="AR314" s="1162"/>
      <c r="AS314" s="1162"/>
      <c r="AT314" s="1162"/>
      <c r="AU314" s="1162"/>
      <c r="AV314" s="1162"/>
      <c r="AW314" s="1162"/>
      <c r="AX314" s="1162"/>
      <c r="AY314" s="1162"/>
      <c r="AZ314" s="1162"/>
      <c r="BA314" s="1162"/>
      <c r="BB314" s="1162"/>
      <c r="BC314" s="1162"/>
      <c r="BD314" s="1162"/>
      <c r="BE314" s="1242"/>
      <c r="BF314" s="1162"/>
      <c r="BG314" s="1162"/>
      <c r="BH314" s="1162"/>
      <c r="BI314" s="1261"/>
      <c r="BJ314" s="1242"/>
      <c r="BK314" s="1162"/>
      <c r="BL314" s="1162"/>
      <c r="BM314" s="1162"/>
      <c r="BN314" s="1261"/>
      <c r="BO314" s="1242"/>
      <c r="BP314" s="1162"/>
      <c r="BQ314" s="1162"/>
      <c r="BR314" s="1162"/>
      <c r="BS314" s="1261"/>
      <c r="BT314" s="1242"/>
      <c r="BU314" s="1162"/>
      <c r="BV314" s="1162"/>
      <c r="BW314" s="1162"/>
      <c r="BX314" s="1261"/>
      <c r="BY314" s="1242"/>
      <c r="BZ314" s="1162"/>
      <c r="CA314" s="1162"/>
      <c r="CB314" s="1162"/>
      <c r="CC314" s="1261"/>
      <c r="CD314" s="1242"/>
      <c r="CE314" s="1162"/>
      <c r="CF314" s="1162"/>
      <c r="CG314" s="1162"/>
      <c r="CH314" s="1261"/>
      <c r="CI314" s="1162"/>
      <c r="CJ314" s="1162"/>
      <c r="CK314" s="1217"/>
      <c r="CL314" s="1217"/>
      <c r="CM314" s="1217"/>
      <c r="CN314" s="1217"/>
      <c r="CO314" s="860"/>
      <c r="CP314" s="1217"/>
      <c r="CQ314" s="1217"/>
      <c r="CR314" s="1217"/>
      <c r="CS314" s="1217"/>
      <c r="CT314" s="860"/>
      <c r="CU314" s="1217"/>
      <c r="CV314" s="1217"/>
      <c r="CW314" s="1217"/>
      <c r="CX314" s="1217"/>
      <c r="CY314" s="860"/>
      <c r="CZ314" s="860"/>
      <c r="DA314" s="860"/>
      <c r="DB314" s="860"/>
      <c r="DC314" s="860"/>
      <c r="DD314" s="860"/>
      <c r="DE314" s="860"/>
      <c r="DF314" s="860"/>
      <c r="DG314" s="860"/>
      <c r="DH314" s="860"/>
      <c r="DI314" s="860"/>
      <c r="DJ314" s="860"/>
      <c r="DK314" s="860"/>
      <c r="DL314" s="860"/>
      <c r="DM314" s="860"/>
      <c r="DN314" s="860"/>
      <c r="DO314" s="860"/>
      <c r="DP314" s="860"/>
      <c r="DQ314" s="860"/>
      <c r="DR314" s="860"/>
      <c r="DS314" s="860"/>
      <c r="DT314" s="860"/>
      <c r="DU314" s="860"/>
      <c r="DV314" s="860"/>
      <c r="DW314" s="860"/>
      <c r="DX314" s="860"/>
      <c r="DY314" s="860"/>
      <c r="DZ314" s="860"/>
      <c r="EA314" s="860"/>
      <c r="EB314" s="860"/>
      <c r="EC314" s="860"/>
      <c r="ED314" s="860"/>
      <c r="EE314" s="860"/>
      <c r="EF314" s="860"/>
      <c r="EG314" s="860"/>
      <c r="EH314" s="860"/>
      <c r="EI314" s="1233"/>
      <c r="EJ314" s="860"/>
      <c r="EK314" s="860"/>
      <c r="EL314" s="860"/>
      <c r="EM314" s="1232"/>
      <c r="EN314" s="1233"/>
      <c r="EO314" s="860"/>
      <c r="EP314" s="860"/>
      <c r="EQ314" s="860"/>
      <c r="ER314" s="1232"/>
      <c r="ES314" s="860"/>
      <c r="ET314" s="860"/>
      <c r="EU314" s="860"/>
      <c r="EV314" s="860"/>
      <c r="EW314" s="1232"/>
      <c r="EX314" s="860"/>
      <c r="EY314" s="860"/>
      <c r="EZ314" s="860"/>
      <c r="FA314" s="860"/>
      <c r="FB314" s="860"/>
      <c r="FC314" s="860"/>
      <c r="FD314" s="860"/>
      <c r="FE314" s="860"/>
      <c r="FF314" s="860"/>
      <c r="FG314" s="860"/>
      <c r="FH314" s="860"/>
      <c r="FI314" s="860"/>
      <c r="FJ314" s="860"/>
      <c r="FK314" s="860"/>
      <c r="FL314" s="860"/>
      <c r="FM314" s="860"/>
      <c r="FN314" s="860"/>
      <c r="FO314" s="860"/>
      <c r="FP314" s="860"/>
      <c r="FQ314" s="860"/>
      <c r="FR314" s="860"/>
      <c r="FS314" s="860"/>
      <c r="FT314" s="860"/>
      <c r="FU314" s="860"/>
      <c r="FV314" s="860"/>
      <c r="FW314" s="860"/>
      <c r="FX314" s="860"/>
      <c r="FY314" s="860"/>
      <c r="FZ314" s="860"/>
      <c r="GA314" s="860"/>
      <c r="GB314" s="860"/>
      <c r="GC314" s="860"/>
      <c r="GD314" s="860"/>
      <c r="GE314" s="860"/>
      <c r="GF314" s="860"/>
      <c r="GG314" s="860"/>
      <c r="GH314" s="860"/>
      <c r="GI314" s="860"/>
      <c r="GJ314" s="860"/>
      <c r="GK314" s="860"/>
      <c r="GL314" s="860"/>
      <c r="GM314" s="860"/>
      <c r="GN314" s="860"/>
      <c r="GO314" s="860"/>
      <c r="GP314" s="860"/>
      <c r="GQ314" s="860"/>
      <c r="GR314" s="1162"/>
      <c r="GS314" s="860"/>
      <c r="GT314" s="1162"/>
      <c r="GU314" s="860"/>
      <c r="GV314" s="1162"/>
      <c r="GW314" s="860"/>
      <c r="GX314" s="860"/>
      <c r="GY314" s="1162"/>
      <c r="GZ314" s="860"/>
      <c r="HA314" s="860"/>
      <c r="HB314" s="1162"/>
      <c r="HC314" s="860"/>
      <c r="HE314" s="1162"/>
      <c r="HF314" s="860"/>
      <c r="HH314" s="1162"/>
      <c r="HI314" s="1162"/>
      <c r="HJ314" s="860"/>
      <c r="HL314" s="1162"/>
      <c r="HM314" s="860"/>
      <c r="HO314" s="1162"/>
      <c r="HP314" s="860"/>
      <c r="HR314" s="1162"/>
    </row>
    <row r="315" spans="1:226" hidden="1">
      <c r="A315" s="860" t="s">
        <v>34</v>
      </c>
      <c r="B315" s="860"/>
      <c r="C315" s="860"/>
      <c r="D315" s="860"/>
      <c r="E315" s="860"/>
      <c r="F315" s="860"/>
      <c r="G315" s="1274"/>
      <c r="H315" s="1274"/>
      <c r="I315" s="1274"/>
      <c r="J315" s="1274"/>
      <c r="K315" s="860"/>
      <c r="L315" s="1274"/>
      <c r="M315" s="1274"/>
      <c r="N315" s="1274"/>
      <c r="O315" s="1274"/>
      <c r="P315" s="860"/>
      <c r="Q315" s="1274"/>
      <c r="R315" s="1274"/>
      <c r="S315" s="1274"/>
      <c r="T315" s="1274"/>
      <c r="U315" s="1274"/>
      <c r="V315" s="1274"/>
      <c r="W315" s="1274"/>
      <c r="X315" s="1274">
        <v>997</v>
      </c>
      <c r="Y315" s="1274">
        <v>686</v>
      </c>
      <c r="Z315" s="1274"/>
      <c r="AA315" s="1274">
        <v>1027.8</v>
      </c>
      <c r="AB315" s="1274">
        <v>1050</v>
      </c>
      <c r="AC315" s="1274">
        <v>1174</v>
      </c>
      <c r="AD315" s="1274">
        <v>1189</v>
      </c>
      <c r="AE315" s="1162"/>
      <c r="AF315" s="1274">
        <v>1207.2</v>
      </c>
      <c r="AG315" s="1274">
        <v>1286</v>
      </c>
      <c r="AH315" s="1274">
        <v>1323</v>
      </c>
      <c r="AI315" s="1274"/>
      <c r="AJ315" s="1162"/>
      <c r="AK315" s="1162"/>
      <c r="AL315" s="1162"/>
      <c r="AM315" s="1162"/>
      <c r="AN315" s="1162"/>
      <c r="AO315" s="1162"/>
      <c r="AP315" s="1162"/>
      <c r="AQ315" s="1162"/>
      <c r="AR315" s="1162"/>
      <c r="AS315" s="1162"/>
      <c r="AT315" s="1162"/>
      <c r="AU315" s="1162"/>
      <c r="AV315" s="1162"/>
      <c r="AW315" s="1162"/>
      <c r="AX315" s="1162"/>
      <c r="AY315" s="1162"/>
      <c r="AZ315" s="1162"/>
      <c r="BA315" s="1162"/>
      <c r="BB315" s="1162"/>
      <c r="BC315" s="1162"/>
      <c r="BD315" s="1162"/>
      <c r="BE315" s="1242"/>
      <c r="BF315" s="1162"/>
      <c r="BG315" s="1162"/>
      <c r="BH315" s="1162"/>
      <c r="BI315" s="1261"/>
      <c r="BJ315" s="1242"/>
      <c r="BK315" s="1162"/>
      <c r="BL315" s="1162"/>
      <c r="BM315" s="1162"/>
      <c r="BN315" s="1261"/>
      <c r="BO315" s="1242"/>
      <c r="BP315" s="1162"/>
      <c r="BQ315" s="1162"/>
      <c r="BR315" s="1162"/>
      <c r="BS315" s="1261"/>
      <c r="BT315" s="1242"/>
      <c r="BU315" s="1162"/>
      <c r="BV315" s="1162"/>
      <c r="BW315" s="1162"/>
      <c r="BX315" s="1261"/>
      <c r="BY315" s="1242"/>
      <c r="BZ315" s="1162"/>
      <c r="CA315" s="1162"/>
      <c r="CB315" s="1162"/>
      <c r="CC315" s="1261"/>
      <c r="CD315" s="1242"/>
      <c r="CE315" s="1162"/>
      <c r="CF315" s="1162"/>
      <c r="CG315" s="1162"/>
      <c r="CH315" s="1261"/>
      <c r="CI315" s="1162"/>
      <c r="CJ315" s="1162"/>
      <c r="CK315" s="1217"/>
      <c r="CL315" s="1217"/>
      <c r="CM315" s="1217"/>
      <c r="CN315" s="1217"/>
      <c r="CO315" s="860"/>
      <c r="CP315" s="1217"/>
      <c r="CQ315" s="1217"/>
      <c r="CR315" s="1217"/>
      <c r="CS315" s="1217"/>
      <c r="CT315" s="860"/>
      <c r="CU315" s="1217"/>
      <c r="CV315" s="1217"/>
      <c r="CW315" s="1217"/>
      <c r="CX315" s="1217"/>
      <c r="CY315" s="860"/>
      <c r="CZ315" s="860"/>
      <c r="DA315" s="860"/>
      <c r="DB315" s="860"/>
      <c r="DC315" s="860"/>
      <c r="DD315" s="860"/>
      <c r="DE315" s="860"/>
      <c r="DF315" s="860"/>
      <c r="DG315" s="860"/>
      <c r="DH315" s="860"/>
      <c r="DI315" s="860"/>
      <c r="DJ315" s="860"/>
      <c r="DK315" s="860"/>
      <c r="DL315" s="860"/>
      <c r="DM315" s="860"/>
      <c r="DN315" s="860"/>
      <c r="DO315" s="860"/>
      <c r="DP315" s="860"/>
      <c r="DQ315" s="860"/>
      <c r="DR315" s="860"/>
      <c r="DS315" s="860"/>
      <c r="DT315" s="860"/>
      <c r="DU315" s="860"/>
      <c r="DV315" s="860"/>
      <c r="DW315" s="860"/>
      <c r="DX315" s="860"/>
      <c r="DY315" s="860"/>
      <c r="DZ315" s="860"/>
      <c r="EA315" s="860"/>
      <c r="EB315" s="860"/>
      <c r="EC315" s="860"/>
      <c r="ED315" s="860"/>
      <c r="EE315" s="860"/>
      <c r="EF315" s="860"/>
      <c r="EG315" s="860"/>
      <c r="EH315" s="860"/>
      <c r="EI315" s="1233"/>
      <c r="EJ315" s="860"/>
      <c r="EK315" s="860"/>
      <c r="EL315" s="860"/>
      <c r="EM315" s="1232"/>
      <c r="EN315" s="1233"/>
      <c r="EO315" s="860"/>
      <c r="EP315" s="860"/>
      <c r="EQ315" s="860"/>
      <c r="ER315" s="1232"/>
      <c r="ES315" s="860"/>
      <c r="ET315" s="860"/>
      <c r="EU315" s="860"/>
      <c r="EV315" s="860"/>
      <c r="EW315" s="1232"/>
      <c r="EX315" s="860"/>
      <c r="EY315" s="860"/>
      <c r="EZ315" s="860"/>
      <c r="FA315" s="860"/>
      <c r="FB315" s="860"/>
      <c r="FC315" s="860"/>
      <c r="FD315" s="860"/>
      <c r="FE315" s="860"/>
      <c r="FF315" s="860"/>
      <c r="FG315" s="860"/>
      <c r="FH315" s="860"/>
      <c r="FI315" s="860"/>
      <c r="FJ315" s="860"/>
      <c r="FK315" s="860"/>
      <c r="FL315" s="860"/>
      <c r="FM315" s="860"/>
      <c r="FN315" s="860"/>
      <c r="FO315" s="860"/>
      <c r="FP315" s="860"/>
      <c r="FQ315" s="860"/>
      <c r="FR315" s="860"/>
      <c r="FS315" s="860"/>
      <c r="FT315" s="860"/>
      <c r="FU315" s="860"/>
      <c r="FV315" s="860"/>
      <c r="FW315" s="860"/>
      <c r="FX315" s="860"/>
      <c r="FY315" s="860"/>
      <c r="FZ315" s="860"/>
      <c r="GA315" s="860"/>
      <c r="GB315" s="860"/>
      <c r="GC315" s="860"/>
      <c r="GD315" s="860"/>
      <c r="GE315" s="860"/>
      <c r="GF315" s="860"/>
      <c r="GG315" s="860"/>
      <c r="GH315" s="860"/>
      <c r="GI315" s="860"/>
      <c r="GJ315" s="860"/>
      <c r="GK315" s="860"/>
      <c r="GL315" s="860"/>
      <c r="GM315" s="860"/>
      <c r="GN315" s="860"/>
      <c r="GO315" s="860"/>
      <c r="GP315" s="860"/>
      <c r="GQ315" s="860"/>
      <c r="GR315" s="1162"/>
      <c r="GS315" s="860"/>
      <c r="GT315" s="1162"/>
      <c r="GU315" s="860"/>
      <c r="GV315" s="1162"/>
      <c r="GW315" s="860"/>
      <c r="GX315" s="860"/>
      <c r="GY315" s="1162"/>
      <c r="GZ315" s="860"/>
      <c r="HA315" s="860"/>
      <c r="HB315" s="1162"/>
      <c r="HC315" s="860"/>
      <c r="HE315" s="1162"/>
      <c r="HF315" s="860"/>
      <c r="HH315" s="1162"/>
      <c r="HI315" s="1162"/>
      <c r="HJ315" s="860"/>
      <c r="HL315" s="1162"/>
      <c r="HM315" s="860"/>
      <c r="HO315" s="1162"/>
      <c r="HP315" s="860"/>
      <c r="HR315" s="1162"/>
    </row>
    <row r="316" spans="1:226" hidden="1">
      <c r="A316" s="860" t="s">
        <v>834</v>
      </c>
      <c r="B316" s="860"/>
      <c r="C316" s="860"/>
      <c r="D316" s="860"/>
      <c r="E316" s="860"/>
      <c r="F316" s="860"/>
      <c r="G316" s="1274"/>
      <c r="H316" s="1274"/>
      <c r="I316" s="1274"/>
      <c r="J316" s="1274"/>
      <c r="K316" s="860"/>
      <c r="L316" s="1274"/>
      <c r="M316" s="1274"/>
      <c r="N316" s="1274"/>
      <c r="O316" s="1274"/>
      <c r="P316" s="860"/>
      <c r="Q316" s="1274"/>
      <c r="R316" s="1274"/>
      <c r="S316" s="1274"/>
      <c r="T316" s="1274"/>
      <c r="U316" s="1274"/>
      <c r="V316" s="1274"/>
      <c r="W316" s="1274"/>
      <c r="X316" s="1217">
        <f>X315/X313</f>
        <v>0.39673696776760842</v>
      </c>
      <c r="Y316" s="1217">
        <f>Y315/Y313</f>
        <v>0.26599457153935635</v>
      </c>
      <c r="Z316" s="1274"/>
      <c r="AA316" s="1217">
        <f>AA315/AA313</f>
        <v>0.39863475933754794</v>
      </c>
      <c r="AB316" s="1217">
        <f>AB315/AB313</f>
        <v>0.39488529522376831</v>
      </c>
      <c r="AC316" s="1217">
        <f>AC315/AC313</f>
        <v>0.40991620111731841</v>
      </c>
      <c r="AD316" s="1217">
        <f>AD315/AD313</f>
        <v>0.40128248396895039</v>
      </c>
      <c r="AE316" s="1162"/>
      <c r="AF316" s="1217">
        <f>AF315/AF313</f>
        <v>0.41232324612336907</v>
      </c>
      <c r="AG316" s="1217">
        <f>AG315/AG313</f>
        <v>0.4234441883437603</v>
      </c>
      <c r="AH316" s="1217">
        <f>AH315/AH313</f>
        <v>0.41960038058991439</v>
      </c>
      <c r="AI316" s="1217"/>
      <c r="AJ316" s="1162"/>
      <c r="AK316" s="1162"/>
      <c r="AL316" s="1162"/>
      <c r="AM316" s="1162"/>
      <c r="AN316" s="1162"/>
      <c r="AO316" s="1162"/>
      <c r="AP316" s="1162"/>
      <c r="AQ316" s="1162"/>
      <c r="AR316" s="1162"/>
      <c r="AS316" s="1162"/>
      <c r="AT316" s="1162"/>
      <c r="AU316" s="1162"/>
      <c r="AV316" s="1162"/>
      <c r="AW316" s="1162"/>
      <c r="AX316" s="1162"/>
      <c r="AY316" s="1162"/>
      <c r="AZ316" s="1162"/>
      <c r="BA316" s="1162"/>
      <c r="BB316" s="1162"/>
      <c r="BC316" s="1162"/>
      <c r="BD316" s="1162"/>
      <c r="BE316" s="1242"/>
      <c r="BF316" s="1162"/>
      <c r="BG316" s="1162"/>
      <c r="BH316" s="1162"/>
      <c r="BI316" s="1261"/>
      <c r="BJ316" s="1242"/>
      <c r="BK316" s="1162"/>
      <c r="BL316" s="1162"/>
      <c r="BM316" s="1162"/>
      <c r="BN316" s="1261"/>
      <c r="BO316" s="1242"/>
      <c r="BP316" s="1162"/>
      <c r="BQ316" s="1162"/>
      <c r="BR316" s="1162"/>
      <c r="BS316" s="1261"/>
      <c r="BT316" s="1242"/>
      <c r="BU316" s="1162"/>
      <c r="BV316" s="1162"/>
      <c r="BW316" s="1162"/>
      <c r="BX316" s="1261"/>
      <c r="BY316" s="1242"/>
      <c r="BZ316" s="1162"/>
      <c r="CA316" s="1162"/>
      <c r="CB316" s="1162"/>
      <c r="CC316" s="1261"/>
      <c r="CD316" s="1242"/>
      <c r="CE316" s="1162"/>
      <c r="CF316" s="1162"/>
      <c r="CG316" s="1162"/>
      <c r="CH316" s="1261"/>
      <c r="CI316" s="1162"/>
      <c r="CJ316" s="1162"/>
      <c r="CK316" s="1217"/>
      <c r="CL316" s="1217"/>
      <c r="CM316" s="1217"/>
      <c r="CN316" s="1217"/>
      <c r="CO316" s="860"/>
      <c r="CP316" s="1217"/>
      <c r="CQ316" s="1217"/>
      <c r="CR316" s="1217"/>
      <c r="CS316" s="1217"/>
      <c r="CT316" s="860"/>
      <c r="CU316" s="1217"/>
      <c r="CV316" s="1217"/>
      <c r="CW316" s="1217"/>
      <c r="CX316" s="1217"/>
      <c r="CY316" s="860"/>
      <c r="CZ316" s="860"/>
      <c r="DA316" s="860"/>
      <c r="DB316" s="860"/>
      <c r="DC316" s="860"/>
      <c r="DD316" s="860"/>
      <c r="DE316" s="860"/>
      <c r="DF316" s="860"/>
      <c r="DG316" s="860"/>
      <c r="DH316" s="860"/>
      <c r="DI316" s="860"/>
      <c r="DJ316" s="860"/>
      <c r="DK316" s="860"/>
      <c r="DL316" s="860"/>
      <c r="DM316" s="860"/>
      <c r="DN316" s="860"/>
      <c r="DO316" s="860"/>
      <c r="DP316" s="860"/>
      <c r="DQ316" s="860"/>
      <c r="DR316" s="860"/>
      <c r="DS316" s="860"/>
      <c r="DT316" s="860"/>
      <c r="DU316" s="860"/>
      <c r="DV316" s="860"/>
      <c r="DW316" s="860"/>
      <c r="DX316" s="860"/>
      <c r="DY316" s="860"/>
      <c r="DZ316" s="860"/>
      <c r="EA316" s="860"/>
      <c r="EB316" s="860"/>
      <c r="EC316" s="860"/>
      <c r="ED316" s="860"/>
      <c r="EE316" s="860"/>
      <c r="EF316" s="860"/>
      <c r="EG316" s="860"/>
      <c r="EH316" s="860"/>
      <c r="EI316" s="1233"/>
      <c r="EJ316" s="860"/>
      <c r="EK316" s="860"/>
      <c r="EL316" s="860"/>
      <c r="EM316" s="1232"/>
      <c r="EN316" s="1233"/>
      <c r="EO316" s="860"/>
      <c r="EP316" s="860"/>
      <c r="EQ316" s="860"/>
      <c r="ER316" s="1232"/>
      <c r="ES316" s="860"/>
      <c r="ET316" s="860"/>
      <c r="EU316" s="860"/>
      <c r="EV316" s="860"/>
      <c r="EW316" s="1232"/>
      <c r="EX316" s="860"/>
      <c r="EY316" s="860"/>
      <c r="EZ316" s="860"/>
      <c r="FA316" s="860"/>
      <c r="FB316" s="860"/>
      <c r="FC316" s="860"/>
      <c r="FD316" s="860"/>
      <c r="FE316" s="860"/>
      <c r="FF316" s="860"/>
      <c r="FG316" s="860"/>
      <c r="FH316" s="860"/>
      <c r="FI316" s="860"/>
      <c r="FJ316" s="860"/>
      <c r="FK316" s="860"/>
      <c r="FL316" s="860"/>
      <c r="FM316" s="860"/>
      <c r="FN316" s="860"/>
      <c r="FO316" s="860"/>
      <c r="FP316" s="860"/>
      <c r="FQ316" s="860"/>
      <c r="FR316" s="860"/>
      <c r="FS316" s="860"/>
      <c r="FT316" s="860"/>
      <c r="FU316" s="860"/>
      <c r="FV316" s="860"/>
      <c r="FW316" s="860"/>
      <c r="FX316" s="860"/>
      <c r="FY316" s="860"/>
      <c r="FZ316" s="860"/>
      <c r="GA316" s="860"/>
      <c r="GB316" s="860"/>
      <c r="GC316" s="860"/>
      <c r="GD316" s="860"/>
      <c r="GE316" s="860"/>
      <c r="GF316" s="860"/>
      <c r="GG316" s="860"/>
      <c r="GH316" s="860"/>
      <c r="GI316" s="860"/>
      <c r="GJ316" s="860"/>
      <c r="GK316" s="860"/>
      <c r="GL316" s="860"/>
      <c r="GM316" s="860"/>
      <c r="GN316" s="860"/>
      <c r="GO316" s="860"/>
      <c r="GP316" s="860"/>
      <c r="GQ316" s="860"/>
      <c r="GR316" s="1162"/>
      <c r="GS316" s="860"/>
      <c r="GT316" s="1162"/>
      <c r="GU316" s="860"/>
      <c r="GV316" s="1162"/>
      <c r="GW316" s="860"/>
      <c r="GX316" s="860"/>
      <c r="GY316" s="1162"/>
      <c r="GZ316" s="860"/>
      <c r="HA316" s="860"/>
      <c r="HB316" s="1162"/>
      <c r="HC316" s="860"/>
      <c r="HE316" s="1162"/>
      <c r="HF316" s="860"/>
      <c r="HH316" s="1162"/>
      <c r="HI316" s="1162"/>
      <c r="HJ316" s="860"/>
      <c r="HL316" s="1162"/>
      <c r="HM316" s="860"/>
      <c r="HO316" s="1162"/>
      <c r="HP316" s="860"/>
      <c r="HR316" s="1162"/>
    </row>
    <row r="317" spans="1:226" hidden="1">
      <c r="A317" s="860"/>
      <c r="B317" s="860"/>
      <c r="C317" s="860"/>
      <c r="D317" s="860"/>
      <c r="E317" s="860"/>
      <c r="F317" s="860"/>
      <c r="G317" s="1274"/>
      <c r="H317" s="1274"/>
      <c r="I317" s="1274"/>
      <c r="J317" s="1274"/>
      <c r="K317" s="860"/>
      <c r="L317" s="1274"/>
      <c r="M317" s="1274"/>
      <c r="N317" s="1274"/>
      <c r="O317" s="1274"/>
      <c r="P317" s="860"/>
      <c r="Q317" s="1274"/>
      <c r="R317" s="1274"/>
      <c r="S317" s="1274"/>
      <c r="T317" s="1274"/>
      <c r="U317" s="1274"/>
      <c r="V317" s="1274"/>
      <c r="W317" s="1274"/>
      <c r="X317" s="1274"/>
      <c r="Y317" s="1274"/>
      <c r="Z317" s="1274"/>
      <c r="AA317" s="1274"/>
      <c r="AB317" s="1274"/>
      <c r="AC317" s="1274"/>
      <c r="AD317" s="1274"/>
      <c r="AE317" s="1162"/>
      <c r="AF317" s="1162"/>
      <c r="AG317" s="1162"/>
      <c r="AH317" s="1162"/>
      <c r="AI317" s="1162"/>
      <c r="AJ317" s="1162"/>
      <c r="AK317" s="1162"/>
      <c r="AL317" s="1162"/>
      <c r="AM317" s="1162"/>
      <c r="AN317" s="1162"/>
      <c r="AO317" s="1162"/>
      <c r="AP317" s="1162"/>
      <c r="AQ317" s="1162"/>
      <c r="AR317" s="1162"/>
      <c r="AS317" s="1162"/>
      <c r="AT317" s="1162"/>
      <c r="AU317" s="1162"/>
      <c r="AV317" s="1162"/>
      <c r="AW317" s="1162"/>
      <c r="AX317" s="1162"/>
      <c r="AY317" s="1162"/>
      <c r="AZ317" s="1162"/>
      <c r="BA317" s="1162"/>
      <c r="BB317" s="1162"/>
      <c r="BC317" s="1162"/>
      <c r="BD317" s="1162"/>
      <c r="BE317" s="1242"/>
      <c r="BF317" s="1162"/>
      <c r="BG317" s="1162"/>
      <c r="BH317" s="1162"/>
      <c r="BI317" s="1261"/>
      <c r="BJ317" s="1242"/>
      <c r="BK317" s="1162"/>
      <c r="BL317" s="1162"/>
      <c r="BM317" s="1162"/>
      <c r="BN317" s="1261"/>
      <c r="BO317" s="1242"/>
      <c r="BP317" s="1162"/>
      <c r="BQ317" s="1162"/>
      <c r="BR317" s="1162"/>
      <c r="BS317" s="1261"/>
      <c r="BT317" s="1242"/>
      <c r="BU317" s="1162"/>
      <c r="BV317" s="1162"/>
      <c r="BW317" s="1162"/>
      <c r="BX317" s="1261"/>
      <c r="BY317" s="1242"/>
      <c r="BZ317" s="1162"/>
      <c r="CA317" s="1162"/>
      <c r="CB317" s="1162"/>
      <c r="CC317" s="1261"/>
      <c r="CD317" s="1242"/>
      <c r="CE317" s="1162"/>
      <c r="CF317" s="1162"/>
      <c r="CG317" s="1162"/>
      <c r="CH317" s="1261"/>
      <c r="CI317" s="1162"/>
      <c r="CJ317" s="1162"/>
      <c r="CK317" s="1217"/>
      <c r="CL317" s="1217"/>
      <c r="CM317" s="1217"/>
      <c r="CN317" s="1217"/>
      <c r="CO317" s="860"/>
      <c r="CP317" s="1217"/>
      <c r="CQ317" s="1217"/>
      <c r="CR317" s="1217"/>
      <c r="CS317" s="1217"/>
      <c r="CT317" s="860"/>
      <c r="CU317" s="1217"/>
      <c r="CV317" s="1217"/>
      <c r="CW317" s="1217"/>
      <c r="CX317" s="1217"/>
      <c r="CY317" s="860"/>
      <c r="CZ317" s="860"/>
      <c r="DA317" s="860"/>
      <c r="DB317" s="860"/>
      <c r="DC317" s="860"/>
      <c r="DD317" s="860"/>
      <c r="DE317" s="860"/>
      <c r="DF317" s="860"/>
      <c r="DG317" s="860"/>
      <c r="DH317" s="860"/>
      <c r="DI317" s="860"/>
      <c r="DJ317" s="860"/>
      <c r="DK317" s="860"/>
      <c r="DL317" s="860"/>
      <c r="DM317" s="860"/>
      <c r="DN317" s="860"/>
      <c r="DO317" s="860"/>
      <c r="DP317" s="860"/>
      <c r="DQ317" s="860"/>
      <c r="DR317" s="860"/>
      <c r="DS317" s="860"/>
      <c r="DT317" s="860"/>
      <c r="DU317" s="860"/>
      <c r="DV317" s="860"/>
      <c r="DW317" s="860"/>
      <c r="DX317" s="860"/>
      <c r="DY317" s="860"/>
      <c r="DZ317" s="860"/>
      <c r="EA317" s="860"/>
      <c r="EB317" s="860"/>
      <c r="EC317" s="860"/>
      <c r="ED317" s="860"/>
      <c r="EE317" s="860"/>
      <c r="EF317" s="860"/>
      <c r="EG317" s="860"/>
      <c r="EH317" s="860"/>
      <c r="EI317" s="1233"/>
      <c r="EJ317" s="860"/>
      <c r="EK317" s="860"/>
      <c r="EL317" s="860"/>
      <c r="EM317" s="1232"/>
      <c r="EN317" s="1233"/>
      <c r="EO317" s="860"/>
      <c r="EP317" s="860"/>
      <c r="EQ317" s="860"/>
      <c r="ER317" s="1232"/>
      <c r="ES317" s="860"/>
      <c r="ET317" s="860"/>
      <c r="EU317" s="860"/>
      <c r="EV317" s="860"/>
      <c r="EW317" s="1232"/>
      <c r="EX317" s="860"/>
      <c r="EY317" s="860"/>
      <c r="EZ317" s="860"/>
      <c r="FA317" s="860"/>
      <c r="FB317" s="860"/>
      <c r="FC317" s="860"/>
      <c r="FD317" s="860"/>
      <c r="FE317" s="860"/>
      <c r="FF317" s="860"/>
      <c r="FG317" s="860"/>
      <c r="FH317" s="860"/>
      <c r="FI317" s="860"/>
      <c r="FJ317" s="860"/>
      <c r="FK317" s="860"/>
      <c r="FL317" s="860"/>
      <c r="FM317" s="860"/>
      <c r="FN317" s="860"/>
      <c r="FO317" s="860"/>
      <c r="FP317" s="860"/>
      <c r="FQ317" s="860"/>
      <c r="FR317" s="860"/>
      <c r="FS317" s="860"/>
      <c r="FT317" s="860"/>
      <c r="FU317" s="860"/>
      <c r="FV317" s="860"/>
      <c r="FW317" s="860"/>
      <c r="FX317" s="860"/>
      <c r="FY317" s="860"/>
      <c r="FZ317" s="860"/>
      <c r="GA317" s="860"/>
      <c r="GB317" s="860"/>
      <c r="GC317" s="860"/>
      <c r="GD317" s="860"/>
      <c r="GE317" s="860"/>
      <c r="GF317" s="860"/>
      <c r="GG317" s="860"/>
      <c r="GH317" s="860"/>
      <c r="GI317" s="860"/>
      <c r="GJ317" s="860"/>
      <c r="GK317" s="860"/>
      <c r="GL317" s="860"/>
      <c r="GM317" s="860"/>
      <c r="GN317" s="860"/>
      <c r="GO317" s="860"/>
      <c r="GP317" s="860"/>
      <c r="GQ317" s="860"/>
      <c r="GR317" s="1162"/>
      <c r="GS317" s="860"/>
      <c r="GT317" s="1162"/>
      <c r="GU317" s="860"/>
      <c r="GV317" s="1162"/>
      <c r="GW317" s="860"/>
      <c r="GX317" s="860"/>
      <c r="GY317" s="1162"/>
      <c r="GZ317" s="860"/>
      <c r="HA317" s="860"/>
      <c r="HB317" s="1162"/>
      <c r="HC317" s="860"/>
      <c r="HE317" s="1162"/>
      <c r="HF317" s="860"/>
      <c r="HH317" s="1162"/>
      <c r="HI317" s="1162"/>
      <c r="HJ317" s="860"/>
      <c r="HL317" s="1162"/>
      <c r="HM317" s="860"/>
      <c r="HO317" s="1162"/>
      <c r="HP317" s="860"/>
      <c r="HR317" s="1162"/>
    </row>
    <row r="318" spans="1:226" hidden="1">
      <c r="A318" s="860" t="s">
        <v>6</v>
      </c>
      <c r="B318" s="860"/>
      <c r="C318" s="860"/>
      <c r="D318" s="860"/>
      <c r="E318" s="860"/>
      <c r="F318" s="860"/>
      <c r="G318" s="1274"/>
      <c r="H318" s="1274"/>
      <c r="I318" s="1274"/>
      <c r="J318" s="1274"/>
      <c r="K318" s="860"/>
      <c r="L318" s="1274"/>
      <c r="M318" s="1274"/>
      <c r="N318" s="1274"/>
      <c r="O318" s="1274"/>
      <c r="P318" s="860"/>
      <c r="Q318" s="1274"/>
      <c r="R318" s="1274"/>
      <c r="S318" s="1274"/>
      <c r="T318" s="1274"/>
      <c r="U318" s="1274"/>
      <c r="V318" s="1274"/>
      <c r="W318" s="1274"/>
      <c r="X318" s="1274">
        <v>883.16399999999999</v>
      </c>
      <c r="Y318" s="1274">
        <f>Z318</f>
        <v>890.32299999999998</v>
      </c>
      <c r="Z318" s="1274">
        <v>890.32299999999998</v>
      </c>
      <c r="AA318" s="1274">
        <v>904.06600000000003</v>
      </c>
      <c r="AB318" s="1274">
        <v>921.48199999999997</v>
      </c>
      <c r="AC318" s="1274">
        <v>932.87</v>
      </c>
      <c r="AD318" s="1274">
        <f>AE318</f>
        <v>975.601</v>
      </c>
      <c r="AE318" s="1274">
        <v>975.601</v>
      </c>
      <c r="AF318" s="1274">
        <v>1004.371</v>
      </c>
      <c r="AG318" s="1274">
        <v>1015.364</v>
      </c>
      <c r="AH318" s="1274">
        <v>1028.2249999999999</v>
      </c>
      <c r="AI318" s="1274"/>
      <c r="AJ318" s="1162"/>
      <c r="AK318" s="1162"/>
      <c r="AL318" s="1162"/>
      <c r="AM318" s="1162"/>
      <c r="AN318" s="1162"/>
      <c r="AO318" s="1162"/>
      <c r="AP318" s="1162"/>
      <c r="AQ318" s="1162"/>
      <c r="AR318" s="1162"/>
      <c r="AS318" s="1162"/>
      <c r="AT318" s="1162"/>
      <c r="AU318" s="1162"/>
      <c r="AV318" s="1162"/>
      <c r="AW318" s="1162"/>
      <c r="AX318" s="1162"/>
      <c r="AY318" s="1162"/>
      <c r="AZ318" s="1162"/>
      <c r="BA318" s="1162"/>
      <c r="BB318" s="1162"/>
      <c r="BC318" s="1162"/>
      <c r="BD318" s="1162"/>
      <c r="BE318" s="1242"/>
      <c r="BF318" s="1162"/>
      <c r="BG318" s="1162"/>
      <c r="BH318" s="1162"/>
      <c r="BI318" s="1261"/>
      <c r="BJ318" s="1242"/>
      <c r="BK318" s="1162"/>
      <c r="BL318" s="1162"/>
      <c r="BM318" s="1162"/>
      <c r="BN318" s="1261"/>
      <c r="BO318" s="1242"/>
      <c r="BP318" s="1162"/>
      <c r="BQ318" s="1162"/>
      <c r="BR318" s="1162"/>
      <c r="BS318" s="1261"/>
      <c r="BT318" s="1242"/>
      <c r="BU318" s="1162"/>
      <c r="BV318" s="1162"/>
      <c r="BW318" s="1162"/>
      <c r="BX318" s="1261"/>
      <c r="BY318" s="1242"/>
      <c r="BZ318" s="1162"/>
      <c r="CA318" s="1162"/>
      <c r="CB318" s="1162"/>
      <c r="CC318" s="1261"/>
      <c r="CD318" s="1242"/>
      <c r="CE318" s="1162"/>
      <c r="CF318" s="1162"/>
      <c r="CG318" s="1162"/>
      <c r="CH318" s="1261"/>
      <c r="CI318" s="1162"/>
      <c r="CJ318" s="1162"/>
      <c r="CK318" s="1217"/>
      <c r="CL318" s="1217"/>
      <c r="CM318" s="1217"/>
      <c r="CN318" s="1217"/>
      <c r="CO318" s="860"/>
      <c r="CP318" s="1217"/>
      <c r="CQ318" s="1217"/>
      <c r="CR318" s="1217"/>
      <c r="CS318" s="1217"/>
      <c r="CT318" s="860"/>
      <c r="CU318" s="1217"/>
      <c r="CV318" s="1217"/>
      <c r="CW318" s="1217"/>
      <c r="CX318" s="1217"/>
      <c r="CY318" s="860"/>
      <c r="CZ318" s="860"/>
      <c r="DA318" s="860"/>
      <c r="DB318" s="860"/>
      <c r="DC318" s="860"/>
      <c r="DD318" s="860"/>
      <c r="DE318" s="860"/>
      <c r="DF318" s="860"/>
      <c r="DG318" s="860"/>
      <c r="DH318" s="860"/>
      <c r="DI318" s="860"/>
      <c r="DJ318" s="860"/>
      <c r="DK318" s="860"/>
      <c r="DL318" s="860"/>
      <c r="DM318" s="860"/>
      <c r="DN318" s="860"/>
      <c r="DO318" s="860"/>
      <c r="DP318" s="860"/>
      <c r="DQ318" s="860"/>
      <c r="DR318" s="860"/>
      <c r="DS318" s="860"/>
      <c r="DT318" s="860"/>
      <c r="DU318" s="860"/>
      <c r="DV318" s="860"/>
      <c r="DW318" s="860"/>
      <c r="DX318" s="860"/>
      <c r="DY318" s="860"/>
      <c r="DZ318" s="860"/>
      <c r="EA318" s="860"/>
      <c r="EB318" s="860"/>
      <c r="EC318" s="860"/>
      <c r="ED318" s="860"/>
      <c r="EE318" s="860"/>
      <c r="EF318" s="860"/>
      <c r="EG318" s="860"/>
      <c r="EH318" s="860"/>
      <c r="EI318" s="1233"/>
      <c r="EJ318" s="860"/>
      <c r="EK318" s="860"/>
      <c r="EL318" s="860"/>
      <c r="EM318" s="1232"/>
      <c r="EN318" s="1233"/>
      <c r="EO318" s="860"/>
      <c r="EP318" s="860"/>
      <c r="EQ318" s="860"/>
      <c r="ER318" s="1232"/>
      <c r="ES318" s="860"/>
      <c r="ET318" s="860"/>
      <c r="EU318" s="860"/>
      <c r="EV318" s="860"/>
      <c r="EW318" s="1232"/>
      <c r="EX318" s="860"/>
      <c r="EY318" s="860"/>
      <c r="EZ318" s="860"/>
      <c r="FA318" s="860"/>
      <c r="FB318" s="860"/>
      <c r="FC318" s="860"/>
      <c r="FD318" s="860"/>
      <c r="FE318" s="860"/>
      <c r="FF318" s="860"/>
      <c r="FG318" s="860"/>
      <c r="FH318" s="860"/>
      <c r="FI318" s="860"/>
      <c r="FJ318" s="860"/>
      <c r="FK318" s="860"/>
      <c r="FL318" s="860"/>
      <c r="FM318" s="860"/>
      <c r="FN318" s="860"/>
      <c r="FO318" s="860"/>
      <c r="FP318" s="860"/>
      <c r="FQ318" s="860"/>
      <c r="FR318" s="860"/>
      <c r="FS318" s="860"/>
      <c r="FT318" s="860"/>
      <c r="FU318" s="860"/>
      <c r="FV318" s="860"/>
      <c r="FW318" s="860"/>
      <c r="FX318" s="860"/>
      <c r="FY318" s="860"/>
      <c r="FZ318" s="860"/>
      <c r="GA318" s="860"/>
      <c r="GB318" s="860"/>
      <c r="GC318" s="860"/>
      <c r="GD318" s="860"/>
      <c r="GE318" s="860"/>
      <c r="GF318" s="860"/>
      <c r="GG318" s="860"/>
      <c r="GH318" s="860"/>
      <c r="GI318" s="860"/>
      <c r="GJ318" s="860"/>
      <c r="GK318" s="860"/>
      <c r="GL318" s="860"/>
      <c r="GM318" s="860"/>
      <c r="GN318" s="860"/>
      <c r="GO318" s="860"/>
      <c r="GP318" s="860"/>
      <c r="GQ318" s="860"/>
      <c r="GR318" s="1162"/>
      <c r="GS318" s="860"/>
      <c r="GT318" s="1162"/>
      <c r="GU318" s="860"/>
      <c r="GV318" s="1162"/>
      <c r="GW318" s="860"/>
      <c r="GX318" s="860"/>
      <c r="GY318" s="1162"/>
      <c r="GZ318" s="860"/>
      <c r="HA318" s="860"/>
      <c r="HB318" s="1162"/>
      <c r="HC318" s="860"/>
      <c r="HE318" s="1162"/>
      <c r="HF318" s="860"/>
      <c r="HH318" s="1162"/>
      <c r="HI318" s="1162"/>
      <c r="HJ318" s="860"/>
      <c r="HL318" s="1162"/>
      <c r="HM318" s="860"/>
      <c r="HO318" s="1162"/>
      <c r="HP318" s="860"/>
      <c r="HR318" s="1162"/>
    </row>
    <row r="319" spans="1:226" hidden="1">
      <c r="A319" s="860" t="s">
        <v>835</v>
      </c>
      <c r="B319" s="860"/>
      <c r="C319" s="860"/>
      <c r="D319" s="860"/>
      <c r="E319" s="860"/>
      <c r="F319" s="860"/>
      <c r="G319" s="1274"/>
      <c r="H319" s="1274"/>
      <c r="I319" s="1274"/>
      <c r="J319" s="1274"/>
      <c r="K319" s="860"/>
      <c r="L319" s="1274"/>
      <c r="M319" s="1274"/>
      <c r="N319" s="1274"/>
      <c r="O319" s="1274"/>
      <c r="P319" s="860"/>
      <c r="Q319" s="1274"/>
      <c r="R319" s="1274"/>
      <c r="S319" s="1274"/>
      <c r="T319" s="1274"/>
      <c r="U319" s="1274"/>
      <c r="V319" s="1274"/>
      <c r="W319" s="1274"/>
      <c r="X319" s="1274">
        <v>739.06500000000005</v>
      </c>
      <c r="Y319" s="1274">
        <f>Z319</f>
        <v>778.15700000000004</v>
      </c>
      <c r="Z319" s="1274">
        <v>778.15700000000004</v>
      </c>
      <c r="AA319" s="1274">
        <v>828.15899999999999</v>
      </c>
      <c r="AB319" s="1274">
        <v>875.18100000000004</v>
      </c>
      <c r="AC319" s="1274">
        <v>921.13800000000003</v>
      </c>
      <c r="AD319" s="1274">
        <f>AE319</f>
        <v>967.553</v>
      </c>
      <c r="AE319" s="1274">
        <v>967.553</v>
      </c>
      <c r="AF319" s="1274">
        <v>991.69</v>
      </c>
      <c r="AG319" s="1274">
        <v>1019.174</v>
      </c>
      <c r="AH319" s="1274">
        <v>1053.5</v>
      </c>
      <c r="AI319" s="1274"/>
      <c r="AJ319" s="1162"/>
      <c r="AK319" s="1162"/>
      <c r="AL319" s="1162"/>
      <c r="AM319" s="1162"/>
      <c r="AN319" s="1162"/>
      <c r="AO319" s="1162"/>
      <c r="AP319" s="1162"/>
      <c r="AQ319" s="1162"/>
      <c r="AR319" s="1162"/>
      <c r="AS319" s="1162"/>
      <c r="AT319" s="1162"/>
      <c r="AU319" s="1162"/>
      <c r="AV319" s="1162"/>
      <c r="AW319" s="1162"/>
      <c r="AX319" s="1162"/>
      <c r="AY319" s="1162"/>
      <c r="AZ319" s="1162"/>
      <c r="BA319" s="1162"/>
      <c r="BB319" s="1162"/>
      <c r="BC319" s="1162"/>
      <c r="BD319" s="1162"/>
      <c r="BE319" s="1242"/>
      <c r="BF319" s="1162"/>
      <c r="BG319" s="1162"/>
      <c r="BH319" s="1162"/>
      <c r="BI319" s="1261"/>
      <c r="BJ319" s="1242"/>
      <c r="BK319" s="1162"/>
      <c r="BL319" s="1162"/>
      <c r="BM319" s="1162"/>
      <c r="BN319" s="1261"/>
      <c r="BO319" s="1242"/>
      <c r="BP319" s="1162"/>
      <c r="BQ319" s="1162"/>
      <c r="BR319" s="1162"/>
      <c r="BS319" s="1261"/>
      <c r="BT319" s="1242"/>
      <c r="BU319" s="1162"/>
      <c r="BV319" s="1162"/>
      <c r="BW319" s="1162"/>
      <c r="BX319" s="1261"/>
      <c r="BY319" s="1242"/>
      <c r="BZ319" s="1162"/>
      <c r="CA319" s="1162"/>
      <c r="CB319" s="1162"/>
      <c r="CC319" s="1261"/>
      <c r="CD319" s="1242"/>
      <c r="CE319" s="1162"/>
      <c r="CF319" s="1162"/>
      <c r="CG319" s="1162"/>
      <c r="CH319" s="1261"/>
      <c r="CI319" s="1162"/>
      <c r="CJ319" s="1162"/>
      <c r="CK319" s="1217"/>
      <c r="CL319" s="1217"/>
      <c r="CM319" s="1217"/>
      <c r="CN319" s="1217"/>
      <c r="CO319" s="860"/>
      <c r="CP319" s="1217"/>
      <c r="CQ319" s="1217"/>
      <c r="CR319" s="1217"/>
      <c r="CS319" s="1217"/>
      <c r="CT319" s="860"/>
      <c r="CU319" s="1217"/>
      <c r="CV319" s="1217"/>
      <c r="CW319" s="1217"/>
      <c r="CX319" s="1217"/>
      <c r="CY319" s="860"/>
      <c r="CZ319" s="860"/>
      <c r="DA319" s="860"/>
      <c r="DB319" s="860"/>
      <c r="DC319" s="860"/>
      <c r="DD319" s="860"/>
      <c r="DE319" s="860"/>
      <c r="DF319" s="860"/>
      <c r="DG319" s="860"/>
      <c r="DH319" s="860"/>
      <c r="DI319" s="860"/>
      <c r="DJ319" s="860"/>
      <c r="DK319" s="860"/>
      <c r="DL319" s="860"/>
      <c r="DM319" s="860"/>
      <c r="DN319" s="860"/>
      <c r="DO319" s="860"/>
      <c r="DP319" s="860"/>
      <c r="DQ319" s="860"/>
      <c r="DR319" s="860"/>
      <c r="DS319" s="860"/>
      <c r="DT319" s="860"/>
      <c r="DU319" s="860"/>
      <c r="DV319" s="860"/>
      <c r="DW319" s="860"/>
      <c r="DX319" s="860"/>
      <c r="DY319" s="860"/>
      <c r="DZ319" s="860"/>
      <c r="EA319" s="860"/>
      <c r="EB319" s="860"/>
      <c r="EC319" s="860"/>
      <c r="ED319" s="860"/>
      <c r="EE319" s="860"/>
      <c r="EF319" s="860"/>
      <c r="EG319" s="860"/>
      <c r="EH319" s="860"/>
      <c r="EI319" s="1233"/>
      <c r="EJ319" s="860"/>
      <c r="EK319" s="860"/>
      <c r="EL319" s="860"/>
      <c r="EM319" s="1232"/>
      <c r="EN319" s="1233"/>
      <c r="EO319" s="860"/>
      <c r="EP319" s="860"/>
      <c r="EQ319" s="860"/>
      <c r="ER319" s="1232"/>
      <c r="ES319" s="860"/>
      <c r="ET319" s="860"/>
      <c r="EU319" s="860"/>
      <c r="EV319" s="860"/>
      <c r="EW319" s="1232"/>
      <c r="EX319" s="860"/>
      <c r="EY319" s="860"/>
      <c r="EZ319" s="860"/>
      <c r="FA319" s="860"/>
      <c r="FB319" s="860"/>
      <c r="FC319" s="860"/>
      <c r="FD319" s="860"/>
      <c r="FE319" s="860"/>
      <c r="FF319" s="860"/>
      <c r="FG319" s="860"/>
      <c r="FH319" s="860"/>
      <c r="FI319" s="860"/>
      <c r="FJ319" s="860"/>
      <c r="FK319" s="860"/>
      <c r="FL319" s="860"/>
      <c r="FM319" s="860"/>
      <c r="FN319" s="860"/>
      <c r="FO319" s="860"/>
      <c r="FP319" s="860"/>
      <c r="FQ319" s="860"/>
      <c r="FR319" s="860"/>
      <c r="FS319" s="860"/>
      <c r="FT319" s="860"/>
      <c r="FU319" s="860"/>
      <c r="FV319" s="860"/>
      <c r="FW319" s="860"/>
      <c r="FX319" s="860"/>
      <c r="FY319" s="860"/>
      <c r="FZ319" s="860"/>
      <c r="GA319" s="860"/>
      <c r="GB319" s="860"/>
      <c r="GC319" s="860"/>
      <c r="GD319" s="860"/>
      <c r="GE319" s="860"/>
      <c r="GF319" s="860"/>
      <c r="GG319" s="860"/>
      <c r="GH319" s="860"/>
      <c r="GI319" s="860"/>
      <c r="GJ319" s="860"/>
      <c r="GK319" s="860"/>
      <c r="GL319" s="860"/>
      <c r="GM319" s="860"/>
      <c r="GN319" s="860"/>
      <c r="GO319" s="860"/>
      <c r="GP319" s="860"/>
      <c r="GQ319" s="860"/>
      <c r="GR319" s="1162"/>
      <c r="GS319" s="860"/>
      <c r="GT319" s="1162"/>
      <c r="GU319" s="860"/>
      <c r="GV319" s="1162"/>
      <c r="GW319" s="860"/>
      <c r="GX319" s="860"/>
      <c r="GY319" s="1162"/>
      <c r="GZ319" s="860"/>
      <c r="HA319" s="860"/>
      <c r="HB319" s="1162"/>
      <c r="HC319" s="860"/>
      <c r="HE319" s="1162"/>
      <c r="HF319" s="860"/>
      <c r="HH319" s="1162"/>
      <c r="HI319" s="1162"/>
      <c r="HJ319" s="860"/>
      <c r="HL319" s="1162"/>
      <c r="HM319" s="860"/>
      <c r="HO319" s="1162"/>
      <c r="HP319" s="860"/>
      <c r="HR319" s="1162"/>
    </row>
    <row r="320" spans="1:226" hidden="1">
      <c r="A320" s="1294" t="s">
        <v>518</v>
      </c>
      <c r="B320" s="1294"/>
      <c r="C320" s="1294"/>
      <c r="D320" s="1294"/>
      <c r="E320" s="1294"/>
      <c r="F320" s="1294"/>
      <c r="G320" s="967"/>
      <c r="H320" s="967"/>
      <c r="I320" s="967"/>
      <c r="J320" s="967"/>
      <c r="K320" s="1294"/>
      <c r="L320" s="967"/>
      <c r="M320" s="967"/>
      <c r="N320" s="967"/>
      <c r="O320" s="967"/>
      <c r="P320" s="1294"/>
      <c r="Q320" s="967"/>
      <c r="R320" s="967"/>
      <c r="S320" s="967"/>
      <c r="T320" s="967"/>
      <c r="U320" s="967"/>
      <c r="V320" s="967"/>
      <c r="W320" s="967"/>
      <c r="X320" s="967">
        <v>438.50700000000001</v>
      </c>
      <c r="Y320" s="967">
        <f>Z320</f>
        <v>479.17099999999999</v>
      </c>
      <c r="Z320" s="967">
        <v>479.17099999999999</v>
      </c>
      <c r="AA320" s="967">
        <v>543.125</v>
      </c>
      <c r="AB320" s="967">
        <v>596.28599999999994</v>
      </c>
      <c r="AC320" s="967">
        <v>647.37400000000002</v>
      </c>
      <c r="AD320" s="967">
        <f>AE320</f>
        <v>696.00400000000002</v>
      </c>
      <c r="AE320" s="967">
        <v>696.00400000000002</v>
      </c>
      <c r="AF320" s="967">
        <v>720.31700000000001</v>
      </c>
      <c r="AG320" s="967">
        <v>743.11800000000005</v>
      </c>
      <c r="AH320" s="967">
        <v>765.4</v>
      </c>
      <c r="AI320" s="1274"/>
      <c r="AJ320" s="1162"/>
      <c r="AK320" s="1162"/>
      <c r="AL320" s="1162"/>
      <c r="AM320" s="1162"/>
      <c r="AN320" s="1162"/>
      <c r="AO320" s="1162"/>
      <c r="AP320" s="1162"/>
      <c r="AQ320" s="1162"/>
      <c r="AR320" s="1162"/>
      <c r="AS320" s="1162"/>
      <c r="AT320" s="1162"/>
      <c r="AU320" s="1162"/>
      <c r="AV320" s="1162"/>
      <c r="AW320" s="1162"/>
      <c r="AX320" s="1162"/>
      <c r="AY320" s="1162"/>
      <c r="AZ320" s="1162"/>
      <c r="BA320" s="1162"/>
      <c r="BB320" s="1162"/>
      <c r="BC320" s="1162"/>
      <c r="BD320" s="1162"/>
      <c r="BE320" s="1242"/>
      <c r="BF320" s="1162"/>
      <c r="BG320" s="1162"/>
      <c r="BH320" s="1162"/>
      <c r="BI320" s="1261"/>
      <c r="BJ320" s="1242"/>
      <c r="BK320" s="1162"/>
      <c r="BL320" s="1162"/>
      <c r="BM320" s="1162"/>
      <c r="BN320" s="1261"/>
      <c r="BO320" s="1242"/>
      <c r="BP320" s="1162"/>
      <c r="BQ320" s="1162"/>
      <c r="BR320" s="1162"/>
      <c r="BS320" s="1261"/>
      <c r="BT320" s="1242"/>
      <c r="BU320" s="1162"/>
      <c r="BV320" s="1162"/>
      <c r="BW320" s="1162"/>
      <c r="BX320" s="1261"/>
      <c r="BY320" s="1242"/>
      <c r="BZ320" s="1162"/>
      <c r="CA320" s="1162"/>
      <c r="CB320" s="1162"/>
      <c r="CC320" s="1261"/>
      <c r="CD320" s="1242"/>
      <c r="CE320" s="1162"/>
      <c r="CF320" s="1162"/>
      <c r="CG320" s="1162"/>
      <c r="CH320" s="1261"/>
      <c r="CI320" s="1162"/>
      <c r="CJ320" s="1162"/>
      <c r="CK320" s="1217"/>
      <c r="CL320" s="1217"/>
      <c r="CM320" s="1217"/>
      <c r="CN320" s="1217"/>
      <c r="CO320" s="860"/>
      <c r="CP320" s="1217"/>
      <c r="CQ320" s="1217"/>
      <c r="CR320" s="1217"/>
      <c r="CS320" s="1217"/>
      <c r="CT320" s="860"/>
      <c r="CU320" s="1217"/>
      <c r="CV320" s="1217"/>
      <c r="CW320" s="1217"/>
      <c r="CX320" s="1217"/>
      <c r="CY320" s="860"/>
      <c r="CZ320" s="860"/>
      <c r="DA320" s="860"/>
      <c r="DB320" s="860"/>
      <c r="DC320" s="860"/>
      <c r="DD320" s="860"/>
      <c r="DE320" s="860"/>
      <c r="DF320" s="860"/>
      <c r="DG320" s="860"/>
      <c r="DH320" s="860"/>
      <c r="DI320" s="860"/>
      <c r="DJ320" s="860"/>
      <c r="DK320" s="860"/>
      <c r="DL320" s="860"/>
      <c r="DM320" s="860"/>
      <c r="DN320" s="860"/>
      <c r="DO320" s="860"/>
      <c r="DP320" s="860"/>
      <c r="DQ320" s="860"/>
      <c r="DR320" s="860"/>
      <c r="DS320" s="860"/>
      <c r="DT320" s="860"/>
      <c r="DU320" s="860"/>
      <c r="DV320" s="860"/>
      <c r="DW320" s="860"/>
      <c r="DX320" s="860"/>
      <c r="DY320" s="860"/>
      <c r="DZ320" s="860"/>
      <c r="EA320" s="860"/>
      <c r="EB320" s="860"/>
      <c r="EC320" s="860"/>
      <c r="ED320" s="860"/>
      <c r="EE320" s="860"/>
      <c r="EF320" s="860"/>
      <c r="EG320" s="860"/>
      <c r="EH320" s="860"/>
      <c r="EI320" s="1233"/>
      <c r="EJ320" s="860"/>
      <c r="EK320" s="860"/>
      <c r="EL320" s="860"/>
      <c r="EM320" s="1232"/>
      <c r="EN320" s="1233"/>
      <c r="EO320" s="860"/>
      <c r="EP320" s="860"/>
      <c r="EQ320" s="860"/>
      <c r="ER320" s="1232"/>
      <c r="ES320" s="860"/>
      <c r="ET320" s="860"/>
      <c r="EU320" s="860"/>
      <c r="EV320" s="860"/>
      <c r="EW320" s="1232"/>
      <c r="EX320" s="860"/>
      <c r="EY320" s="860"/>
      <c r="EZ320" s="860"/>
      <c r="FA320" s="860"/>
      <c r="FB320" s="860"/>
      <c r="FC320" s="860"/>
      <c r="FD320" s="860"/>
      <c r="FE320" s="860"/>
      <c r="FF320" s="860"/>
      <c r="FG320" s="860"/>
      <c r="FH320" s="860"/>
      <c r="FI320" s="860"/>
      <c r="FJ320" s="860"/>
      <c r="FK320" s="860"/>
      <c r="FL320" s="860"/>
      <c r="FM320" s="860"/>
      <c r="FN320" s="860"/>
      <c r="FO320" s="860"/>
      <c r="FP320" s="860"/>
      <c r="FQ320" s="860"/>
      <c r="FR320" s="860"/>
      <c r="FS320" s="860"/>
      <c r="FT320" s="860"/>
      <c r="FU320" s="860"/>
      <c r="FV320" s="860"/>
      <c r="FW320" s="860"/>
      <c r="FX320" s="860"/>
      <c r="FY320" s="860"/>
      <c r="FZ320" s="860"/>
      <c r="GA320" s="860"/>
      <c r="GB320" s="860"/>
      <c r="GC320" s="860"/>
      <c r="GD320" s="860"/>
      <c r="GE320" s="860"/>
      <c r="GF320" s="860"/>
      <c r="GG320" s="860"/>
      <c r="GH320" s="860"/>
      <c r="GI320" s="860"/>
      <c r="GJ320" s="860"/>
      <c r="GK320" s="860"/>
      <c r="GL320" s="860"/>
      <c r="GM320" s="860"/>
      <c r="GN320" s="860"/>
      <c r="GO320" s="860"/>
      <c r="GP320" s="860"/>
      <c r="GQ320" s="860"/>
      <c r="GR320" s="1162"/>
      <c r="GS320" s="860"/>
      <c r="GT320" s="1162"/>
      <c r="GU320" s="860"/>
      <c r="GV320" s="1162"/>
      <c r="GW320" s="860"/>
      <c r="GX320" s="860"/>
      <c r="GY320" s="1162"/>
      <c r="GZ320" s="860"/>
      <c r="HA320" s="860"/>
      <c r="HB320" s="1162"/>
      <c r="HC320" s="860"/>
      <c r="HE320" s="1162"/>
      <c r="HF320" s="860"/>
      <c r="HH320" s="1162"/>
      <c r="HI320" s="1162"/>
      <c r="HJ320" s="860"/>
      <c r="HL320" s="1162"/>
      <c r="HM320" s="860"/>
      <c r="HO320" s="1162"/>
      <c r="HP320" s="860"/>
      <c r="HR320" s="1162"/>
    </row>
    <row r="321" spans="1:226" hidden="1">
      <c r="A321" s="860" t="s">
        <v>836</v>
      </c>
      <c r="B321" s="860"/>
      <c r="C321" s="860"/>
      <c r="D321" s="860"/>
      <c r="E321" s="860"/>
      <c r="F321" s="860"/>
      <c r="G321" s="1274"/>
      <c r="H321" s="1274"/>
      <c r="I321" s="1274"/>
      <c r="J321" s="1274"/>
      <c r="K321" s="860"/>
      <c r="L321" s="1274"/>
      <c r="M321" s="1274"/>
      <c r="N321" s="1274"/>
      <c r="O321" s="1274"/>
      <c r="P321" s="860"/>
      <c r="Q321" s="1274"/>
      <c r="R321" s="1274"/>
      <c r="S321" s="1274"/>
      <c r="T321" s="1274"/>
      <c r="U321" s="1274"/>
      <c r="V321" s="1274"/>
      <c r="W321" s="1274"/>
      <c r="X321" s="1274">
        <f t="shared" ref="X321:AH321" si="309">SUM(X318:X320)</f>
        <v>2060.7359999999999</v>
      </c>
      <c r="Y321" s="1274">
        <f t="shared" si="309"/>
        <v>2147.6509999999998</v>
      </c>
      <c r="Z321" s="1274">
        <f t="shared" si="309"/>
        <v>2147.6509999999998</v>
      </c>
      <c r="AA321" s="1274">
        <f t="shared" si="309"/>
        <v>2275.35</v>
      </c>
      <c r="AB321" s="1274">
        <f t="shared" si="309"/>
        <v>2392.9490000000001</v>
      </c>
      <c r="AC321" s="1274">
        <f t="shared" si="309"/>
        <v>2501.3820000000001</v>
      </c>
      <c r="AD321" s="1274">
        <f t="shared" si="309"/>
        <v>2639.1579999999999</v>
      </c>
      <c r="AE321" s="1274">
        <f t="shared" si="309"/>
        <v>2639.1579999999999</v>
      </c>
      <c r="AF321" s="1274">
        <f t="shared" si="309"/>
        <v>2716.3780000000002</v>
      </c>
      <c r="AG321" s="1274">
        <f t="shared" si="309"/>
        <v>2777.6559999999999</v>
      </c>
      <c r="AH321" s="1274">
        <f t="shared" si="309"/>
        <v>2847.125</v>
      </c>
      <c r="AI321" s="1274"/>
      <c r="AJ321" s="1162"/>
      <c r="AK321" s="1162"/>
      <c r="AL321" s="1162"/>
      <c r="AM321" s="1162"/>
      <c r="AN321" s="1162"/>
      <c r="AO321" s="1162"/>
      <c r="AP321" s="1162"/>
      <c r="AQ321" s="1162"/>
      <c r="AR321" s="1162"/>
      <c r="AS321" s="1162"/>
      <c r="AT321" s="1162"/>
      <c r="AU321" s="1162"/>
      <c r="AV321" s="1162"/>
      <c r="AW321" s="1162"/>
      <c r="AX321" s="1162"/>
      <c r="AY321" s="1162"/>
      <c r="AZ321" s="1162"/>
      <c r="BA321" s="1162"/>
      <c r="BB321" s="1162"/>
      <c r="BC321" s="1162"/>
      <c r="BD321" s="1162"/>
      <c r="BE321" s="1242"/>
      <c r="BF321" s="1162"/>
      <c r="BG321" s="1162"/>
      <c r="BH321" s="1162"/>
      <c r="BI321" s="1261"/>
      <c r="BJ321" s="1242"/>
      <c r="BK321" s="1162"/>
      <c r="BL321" s="1162"/>
      <c r="BM321" s="1162"/>
      <c r="BN321" s="1261"/>
      <c r="BO321" s="1242"/>
      <c r="BP321" s="1162"/>
      <c r="BQ321" s="1162"/>
      <c r="BR321" s="1162"/>
      <c r="BS321" s="1261"/>
      <c r="BT321" s="1242"/>
      <c r="BU321" s="1162"/>
      <c r="BV321" s="1162"/>
      <c r="BW321" s="1162"/>
      <c r="BX321" s="1261"/>
      <c r="BY321" s="1242"/>
      <c r="BZ321" s="1162"/>
      <c r="CA321" s="1162"/>
      <c r="CB321" s="1162"/>
      <c r="CC321" s="1261"/>
      <c r="CD321" s="1242"/>
      <c r="CE321" s="1162"/>
      <c r="CF321" s="1162"/>
      <c r="CG321" s="1162"/>
      <c r="CH321" s="1261"/>
      <c r="CI321" s="1162"/>
      <c r="CJ321" s="1162"/>
      <c r="CK321" s="1217"/>
      <c r="CL321" s="1217"/>
      <c r="CM321" s="1217"/>
      <c r="CN321" s="1217"/>
      <c r="CO321" s="860"/>
      <c r="CP321" s="1217"/>
      <c r="CQ321" s="1217"/>
      <c r="CR321" s="1217"/>
      <c r="CS321" s="1217"/>
      <c r="CT321" s="860"/>
      <c r="CU321" s="1217"/>
      <c r="CV321" s="1217"/>
      <c r="CW321" s="1217"/>
      <c r="CX321" s="1217"/>
      <c r="CY321" s="860"/>
      <c r="CZ321" s="860"/>
      <c r="DA321" s="860"/>
      <c r="DB321" s="860"/>
      <c r="DC321" s="860"/>
      <c r="DD321" s="860"/>
      <c r="DE321" s="860"/>
      <c r="DF321" s="860"/>
      <c r="DG321" s="860"/>
      <c r="DH321" s="860"/>
      <c r="DI321" s="860"/>
      <c r="DJ321" s="860"/>
      <c r="DK321" s="860"/>
      <c r="DL321" s="860"/>
      <c r="DM321" s="860"/>
      <c r="DN321" s="860"/>
      <c r="DO321" s="860"/>
      <c r="DP321" s="860"/>
      <c r="DQ321" s="860"/>
      <c r="DR321" s="860"/>
      <c r="DS321" s="860"/>
      <c r="DT321" s="860"/>
      <c r="DU321" s="860"/>
      <c r="DV321" s="860"/>
      <c r="DW321" s="860"/>
      <c r="DX321" s="860"/>
      <c r="DY321" s="860"/>
      <c r="DZ321" s="860"/>
      <c r="EA321" s="860"/>
      <c r="EB321" s="860"/>
      <c r="EC321" s="860"/>
      <c r="ED321" s="860"/>
      <c r="EE321" s="860"/>
      <c r="EF321" s="860"/>
      <c r="EG321" s="860"/>
      <c r="EH321" s="860"/>
      <c r="EI321" s="1233"/>
      <c r="EJ321" s="860"/>
      <c r="EK321" s="860"/>
      <c r="EL321" s="860"/>
      <c r="EM321" s="1232"/>
      <c r="EN321" s="1233"/>
      <c r="EO321" s="860"/>
      <c r="EP321" s="860"/>
      <c r="EQ321" s="860"/>
      <c r="ER321" s="1232"/>
      <c r="ES321" s="860"/>
      <c r="ET321" s="860"/>
      <c r="EU321" s="860"/>
      <c r="EV321" s="860"/>
      <c r="EW321" s="1232"/>
      <c r="EX321" s="860"/>
      <c r="EY321" s="860"/>
      <c r="EZ321" s="860"/>
      <c r="FA321" s="860"/>
      <c r="FB321" s="860"/>
      <c r="FC321" s="860"/>
      <c r="FD321" s="860"/>
      <c r="FE321" s="860"/>
      <c r="FF321" s="860"/>
      <c r="FG321" s="860"/>
      <c r="FH321" s="860"/>
      <c r="FI321" s="860"/>
      <c r="FJ321" s="860"/>
      <c r="FK321" s="860"/>
      <c r="FL321" s="860"/>
      <c r="FM321" s="860"/>
      <c r="FN321" s="860"/>
      <c r="FO321" s="860"/>
      <c r="FP321" s="860"/>
      <c r="FQ321" s="860"/>
      <c r="FR321" s="860"/>
      <c r="FS321" s="860"/>
      <c r="FT321" s="860"/>
      <c r="FU321" s="860"/>
      <c r="FV321" s="860"/>
      <c r="FW321" s="860"/>
      <c r="FX321" s="860"/>
      <c r="FY321" s="860"/>
      <c r="FZ321" s="860"/>
      <c r="GA321" s="860"/>
      <c r="GB321" s="860"/>
      <c r="GC321" s="860"/>
      <c r="GD321" s="860"/>
      <c r="GE321" s="860"/>
      <c r="GF321" s="860"/>
      <c r="GG321" s="860"/>
      <c r="GH321" s="860"/>
      <c r="GI321" s="860"/>
      <c r="GJ321" s="860"/>
      <c r="GK321" s="860"/>
      <c r="GL321" s="860"/>
      <c r="GM321" s="860"/>
      <c r="GN321" s="860"/>
      <c r="GO321" s="860"/>
      <c r="GP321" s="860"/>
      <c r="GQ321" s="860"/>
      <c r="GR321" s="1162"/>
      <c r="GS321" s="860"/>
      <c r="GT321" s="1162"/>
      <c r="GU321" s="860"/>
      <c r="GV321" s="1162"/>
      <c r="GW321" s="860"/>
      <c r="GX321" s="860"/>
      <c r="GY321" s="1162"/>
      <c r="GZ321" s="860"/>
      <c r="HA321" s="860"/>
      <c r="HB321" s="1162"/>
      <c r="HC321" s="860"/>
      <c r="HE321" s="1162"/>
      <c r="HF321" s="860"/>
      <c r="HH321" s="1162"/>
      <c r="HI321" s="1162"/>
      <c r="HJ321" s="860"/>
      <c r="HL321" s="1162"/>
      <c r="HM321" s="860"/>
      <c r="HO321" s="1162"/>
      <c r="HP321" s="860"/>
      <c r="HR321" s="1162"/>
    </row>
    <row r="322" spans="1:226" hidden="1">
      <c r="A322" s="860" t="s">
        <v>837</v>
      </c>
      <c r="B322" s="860"/>
      <c r="C322" s="860"/>
      <c r="D322" s="860"/>
      <c r="E322" s="860"/>
      <c r="F322" s="860"/>
      <c r="G322" s="1274"/>
      <c r="H322" s="1274"/>
      <c r="I322" s="1274"/>
      <c r="J322" s="1274"/>
      <c r="K322" s="860"/>
      <c r="L322" s="1274"/>
      <c r="M322" s="1274"/>
      <c r="N322" s="1274"/>
      <c r="O322" s="1274"/>
      <c r="P322" s="860"/>
      <c r="Q322" s="1274"/>
      <c r="R322" s="1274"/>
      <c r="S322" s="1274"/>
      <c r="T322" s="1274"/>
      <c r="U322" s="1274"/>
      <c r="V322" s="1274"/>
      <c r="W322" s="1274"/>
      <c r="X322" s="1274"/>
      <c r="Y322" s="1274">
        <f>Y321-X321</f>
        <v>86.914999999999964</v>
      </c>
      <c r="Z322" s="1274"/>
      <c r="AA322" s="1274">
        <f>AA321-Z321</f>
        <v>127.69900000000007</v>
      </c>
      <c r="AB322" s="1274">
        <f>AB321-AA321</f>
        <v>117.59900000000016</v>
      </c>
      <c r="AC322" s="1274">
        <f>AC321-AB321</f>
        <v>108.43299999999999</v>
      </c>
      <c r="AD322" s="1274">
        <f>AD321-AC321</f>
        <v>137.77599999999984</v>
      </c>
      <c r="AE322" s="1162"/>
      <c r="AF322" s="1274">
        <f>AF321-AE321</f>
        <v>77.220000000000255</v>
      </c>
      <c r="AG322" s="1274">
        <f>AG321-AF321</f>
        <v>61.277999999999793</v>
      </c>
      <c r="AH322" s="1274">
        <f>AH321-AG321</f>
        <v>69.469000000000051</v>
      </c>
      <c r="AI322" s="1274"/>
      <c r="AJ322" s="1162"/>
      <c r="AK322" s="1162"/>
      <c r="AL322" s="1162"/>
      <c r="AM322" s="1162"/>
      <c r="AN322" s="1162"/>
      <c r="AO322" s="1162"/>
      <c r="AP322" s="1162"/>
      <c r="AQ322" s="1162"/>
      <c r="AR322" s="1162"/>
      <c r="AS322" s="1162"/>
      <c r="AT322" s="1162"/>
      <c r="AU322" s="1162"/>
      <c r="AV322" s="1162"/>
      <c r="AW322" s="1162"/>
      <c r="AX322" s="1162"/>
      <c r="AY322" s="1162"/>
      <c r="AZ322" s="1162"/>
      <c r="BA322" s="1162"/>
      <c r="BB322" s="1162"/>
      <c r="BC322" s="1162"/>
      <c r="BD322" s="1162"/>
      <c r="BE322" s="1242"/>
      <c r="BF322" s="1162"/>
      <c r="BG322" s="1162"/>
      <c r="BH322" s="1162"/>
      <c r="BI322" s="1261"/>
      <c r="BJ322" s="1242"/>
      <c r="BK322" s="1162"/>
      <c r="BL322" s="1162"/>
      <c r="BM322" s="1162"/>
      <c r="BN322" s="1261"/>
      <c r="BO322" s="1242"/>
      <c r="BP322" s="1162"/>
      <c r="BQ322" s="1162"/>
      <c r="BR322" s="1162"/>
      <c r="BS322" s="1261"/>
      <c r="BT322" s="1242"/>
      <c r="BU322" s="1162"/>
      <c r="BV322" s="1162"/>
      <c r="BW322" s="1162"/>
      <c r="BX322" s="1261"/>
      <c r="BY322" s="1242"/>
      <c r="BZ322" s="1162"/>
      <c r="CA322" s="1162"/>
      <c r="CB322" s="1162"/>
      <c r="CC322" s="1261"/>
      <c r="CD322" s="1242"/>
      <c r="CE322" s="1162"/>
      <c r="CF322" s="1162"/>
      <c r="CG322" s="1162"/>
      <c r="CH322" s="1261"/>
      <c r="CI322" s="1162"/>
      <c r="CJ322" s="1162"/>
      <c r="CK322" s="1217"/>
      <c r="CL322" s="1217"/>
      <c r="CM322" s="1217"/>
      <c r="CN322" s="1217"/>
      <c r="CO322" s="860"/>
      <c r="CP322" s="1217"/>
      <c r="CQ322" s="1217"/>
      <c r="CR322" s="1217"/>
      <c r="CS322" s="1217"/>
      <c r="CT322" s="860"/>
      <c r="CU322" s="1217"/>
      <c r="CV322" s="1217"/>
      <c r="CW322" s="1217"/>
      <c r="CX322" s="1217"/>
      <c r="CY322" s="860"/>
      <c r="CZ322" s="860"/>
      <c r="DA322" s="860"/>
      <c r="DB322" s="860"/>
      <c r="DC322" s="860"/>
      <c r="DD322" s="860"/>
      <c r="DE322" s="860"/>
      <c r="DF322" s="860"/>
      <c r="DG322" s="860"/>
      <c r="DH322" s="860"/>
      <c r="DI322" s="860"/>
      <c r="DJ322" s="860"/>
      <c r="DK322" s="860"/>
      <c r="DL322" s="860"/>
      <c r="DM322" s="860"/>
      <c r="DN322" s="860"/>
      <c r="DO322" s="860"/>
      <c r="DP322" s="860"/>
      <c r="DQ322" s="860"/>
      <c r="DR322" s="860"/>
      <c r="DS322" s="860"/>
      <c r="DT322" s="860"/>
      <c r="DU322" s="860"/>
      <c r="DV322" s="860"/>
      <c r="DW322" s="860"/>
      <c r="DX322" s="860"/>
      <c r="DY322" s="860"/>
      <c r="DZ322" s="860"/>
      <c r="EA322" s="860"/>
      <c r="EB322" s="860"/>
      <c r="EC322" s="860"/>
      <c r="ED322" s="860"/>
      <c r="EE322" s="860"/>
      <c r="EF322" s="860"/>
      <c r="EG322" s="860"/>
      <c r="EH322" s="860"/>
      <c r="EI322" s="1233"/>
      <c r="EJ322" s="860"/>
      <c r="EK322" s="860"/>
      <c r="EL322" s="860"/>
      <c r="EM322" s="1232"/>
      <c r="EN322" s="1233"/>
      <c r="EO322" s="860"/>
      <c r="EP322" s="860"/>
      <c r="EQ322" s="860"/>
      <c r="ER322" s="1232"/>
      <c r="ES322" s="860"/>
      <c r="ET322" s="860"/>
      <c r="EU322" s="860"/>
      <c r="EV322" s="860"/>
      <c r="EW322" s="1232"/>
      <c r="EX322" s="860"/>
      <c r="EY322" s="860"/>
      <c r="EZ322" s="860"/>
      <c r="FA322" s="860"/>
      <c r="FB322" s="860"/>
      <c r="FC322" s="860"/>
      <c r="FD322" s="860"/>
      <c r="FE322" s="860"/>
      <c r="FF322" s="860"/>
      <c r="FG322" s="860"/>
      <c r="FH322" s="860"/>
      <c r="FI322" s="860"/>
      <c r="FJ322" s="860"/>
      <c r="FK322" s="860"/>
      <c r="FL322" s="860"/>
      <c r="FM322" s="860"/>
      <c r="FN322" s="860"/>
      <c r="FO322" s="860"/>
      <c r="FP322" s="860"/>
      <c r="FQ322" s="860"/>
      <c r="FR322" s="860"/>
      <c r="FS322" s="860"/>
      <c r="FT322" s="860"/>
      <c r="FU322" s="860"/>
      <c r="FV322" s="860"/>
      <c r="FW322" s="860"/>
      <c r="FX322" s="860"/>
      <c r="FY322" s="860"/>
      <c r="FZ322" s="860"/>
      <c r="GA322" s="860"/>
      <c r="GB322" s="860"/>
      <c r="GC322" s="860"/>
      <c r="GD322" s="860"/>
      <c r="GE322" s="860"/>
      <c r="GF322" s="860"/>
      <c r="GG322" s="860"/>
      <c r="GH322" s="860"/>
      <c r="GI322" s="860"/>
      <c r="GJ322" s="860"/>
      <c r="GK322" s="860"/>
      <c r="GL322" s="860"/>
      <c r="GM322" s="860"/>
      <c r="GN322" s="860"/>
      <c r="GO322" s="860"/>
      <c r="GP322" s="860"/>
      <c r="GQ322" s="860"/>
      <c r="GR322" s="1162"/>
      <c r="GS322" s="860"/>
      <c r="GT322" s="1162"/>
      <c r="GU322" s="860"/>
      <c r="GV322" s="1162"/>
      <c r="GW322" s="860"/>
      <c r="GX322" s="860"/>
      <c r="GY322" s="1162"/>
      <c r="GZ322" s="860"/>
      <c r="HA322" s="860"/>
      <c r="HB322" s="1162"/>
      <c r="HC322" s="860"/>
      <c r="HE322" s="1162"/>
      <c r="HF322" s="860"/>
      <c r="HH322" s="1162"/>
      <c r="HI322" s="1162"/>
      <c r="HJ322" s="860"/>
      <c r="HL322" s="1162"/>
      <c r="HM322" s="860"/>
      <c r="HO322" s="1162"/>
      <c r="HP322" s="860"/>
      <c r="HR322" s="1162"/>
    </row>
    <row r="323" spans="1:226" hidden="1">
      <c r="A323" s="860" t="s">
        <v>592</v>
      </c>
      <c r="B323" s="860"/>
      <c r="C323" s="860"/>
      <c r="D323" s="860"/>
      <c r="E323" s="860"/>
      <c r="F323" s="860"/>
      <c r="G323" s="1274"/>
      <c r="H323" s="1274"/>
      <c r="I323" s="1274"/>
      <c r="J323" s="1274"/>
      <c r="K323" s="860"/>
      <c r="L323" s="1274"/>
      <c r="M323" s="1274"/>
      <c r="N323" s="1274"/>
      <c r="O323" s="1274"/>
      <c r="P323" s="860"/>
      <c r="Q323" s="1274"/>
      <c r="R323" s="1274"/>
      <c r="S323" s="1274"/>
      <c r="T323" s="1274"/>
      <c r="U323" s="1274"/>
      <c r="V323" s="1274"/>
      <c r="W323" s="1274"/>
      <c r="X323" s="1274"/>
      <c r="Y323" s="1162">
        <f>Y322/Y273</f>
        <v>0.35113199314824939</v>
      </c>
      <c r="Z323" s="1274"/>
      <c r="AA323" s="1162">
        <f>AA322/AA273</f>
        <v>0.32298034534128173</v>
      </c>
      <c r="AB323" s="1162">
        <f>AB322/AB273</f>
        <v>0.34418480774071147</v>
      </c>
      <c r="AC323" s="1162">
        <f>AC322/AC273</f>
        <v>0.32012009706960731</v>
      </c>
      <c r="AD323" s="1162">
        <f>AD322/AD273</f>
        <v>0.32805371684365919</v>
      </c>
      <c r="AE323" s="1162"/>
      <c r="AF323" s="1162">
        <f>AF322/AF273</f>
        <v>0.30913225191756766</v>
      </c>
      <c r="AG323" s="1162">
        <f>AG322/AG273</f>
        <v>0.23548173880963999</v>
      </c>
      <c r="AH323" s="1162">
        <f>AH322/AH273</f>
        <v>0.46514851219969516</v>
      </c>
      <c r="AI323" s="1162"/>
      <c r="AJ323" s="1162"/>
      <c r="AK323" s="1162"/>
      <c r="AL323" s="1162"/>
      <c r="AM323" s="1162"/>
      <c r="AN323" s="1162"/>
      <c r="AO323" s="1162"/>
      <c r="AP323" s="1162"/>
      <c r="AQ323" s="1162"/>
      <c r="AR323" s="1162"/>
      <c r="AS323" s="1162"/>
      <c r="AT323" s="1162"/>
      <c r="AU323" s="1162"/>
      <c r="AV323" s="1162"/>
      <c r="AW323" s="1162"/>
      <c r="AX323" s="1162"/>
      <c r="AY323" s="1162"/>
      <c r="AZ323" s="1162"/>
      <c r="BA323" s="1162"/>
      <c r="BB323" s="1162"/>
      <c r="BC323" s="1162"/>
      <c r="BD323" s="1162"/>
      <c r="BE323" s="1242"/>
      <c r="BF323" s="1162"/>
      <c r="BG323" s="1162"/>
      <c r="BH323" s="1162"/>
      <c r="BI323" s="1261"/>
      <c r="BJ323" s="1242"/>
      <c r="BK323" s="1162"/>
      <c r="BL323" s="1162"/>
      <c r="BM323" s="1162"/>
      <c r="BN323" s="1261"/>
      <c r="BO323" s="1242"/>
      <c r="BP323" s="1162"/>
      <c r="BQ323" s="1162"/>
      <c r="BR323" s="1162"/>
      <c r="BS323" s="1261"/>
      <c r="BT323" s="1242"/>
      <c r="BU323" s="1162"/>
      <c r="BV323" s="1162"/>
      <c r="BW323" s="1162"/>
      <c r="BX323" s="1261"/>
      <c r="BY323" s="1242"/>
      <c r="BZ323" s="1162"/>
      <c r="CA323" s="1162"/>
      <c r="CB323" s="1162"/>
      <c r="CC323" s="1261"/>
      <c r="CD323" s="1242"/>
      <c r="CE323" s="1162"/>
      <c r="CF323" s="1162"/>
      <c r="CG323" s="1162"/>
      <c r="CH323" s="1261"/>
      <c r="CI323" s="1162"/>
      <c r="CJ323" s="1162"/>
      <c r="CK323" s="1217"/>
      <c r="CL323" s="1217"/>
      <c r="CM323" s="1217"/>
      <c r="CN323" s="1217"/>
      <c r="CO323" s="860"/>
      <c r="CP323" s="1217"/>
      <c r="CQ323" s="1217"/>
      <c r="CR323" s="1217"/>
      <c r="CS323" s="1217"/>
      <c r="CT323" s="860"/>
      <c r="CU323" s="1217"/>
      <c r="CV323" s="1217"/>
      <c r="CW323" s="1217"/>
      <c r="CX323" s="1217"/>
      <c r="CY323" s="860"/>
      <c r="CZ323" s="860"/>
      <c r="DA323" s="860"/>
      <c r="DB323" s="860"/>
      <c r="DC323" s="860"/>
      <c r="DD323" s="860"/>
      <c r="DE323" s="860"/>
      <c r="DF323" s="860"/>
      <c r="DG323" s="860"/>
      <c r="DH323" s="860"/>
      <c r="DI323" s="860"/>
      <c r="DJ323" s="860"/>
      <c r="DK323" s="860"/>
      <c r="DL323" s="860"/>
      <c r="DM323" s="860"/>
      <c r="DN323" s="860"/>
      <c r="DO323" s="860"/>
      <c r="DP323" s="860"/>
      <c r="DQ323" s="860"/>
      <c r="DR323" s="860"/>
      <c r="DS323" s="860"/>
      <c r="DT323" s="860"/>
      <c r="DU323" s="860"/>
      <c r="DV323" s="860"/>
      <c r="DW323" s="860"/>
      <c r="DX323" s="860"/>
      <c r="DY323" s="860"/>
      <c r="DZ323" s="860"/>
      <c r="EA323" s="860"/>
      <c r="EB323" s="860"/>
      <c r="EC323" s="860"/>
      <c r="ED323" s="860"/>
      <c r="EE323" s="860"/>
      <c r="EF323" s="860"/>
      <c r="EG323" s="860"/>
      <c r="EH323" s="860"/>
      <c r="EI323" s="1233"/>
      <c r="EJ323" s="860"/>
      <c r="EK323" s="860"/>
      <c r="EL323" s="860"/>
      <c r="EM323" s="1232"/>
      <c r="EN323" s="1233"/>
      <c r="EO323" s="860"/>
      <c r="EP323" s="860"/>
      <c r="EQ323" s="860"/>
      <c r="ER323" s="1232"/>
      <c r="ES323" s="860"/>
      <c r="ET323" s="860"/>
      <c r="EU323" s="860"/>
      <c r="EV323" s="860"/>
      <c r="EW323" s="1232"/>
      <c r="EX323" s="860"/>
      <c r="EY323" s="860"/>
      <c r="EZ323" s="860"/>
      <c r="FA323" s="860"/>
      <c r="FB323" s="860"/>
      <c r="FC323" s="860"/>
      <c r="FD323" s="860"/>
      <c r="FE323" s="860"/>
      <c r="FF323" s="860"/>
      <c r="FG323" s="860"/>
      <c r="FH323" s="860"/>
      <c r="FI323" s="860"/>
      <c r="FJ323" s="860"/>
      <c r="FK323" s="860"/>
      <c r="FL323" s="860"/>
      <c r="FM323" s="860"/>
      <c r="FN323" s="860"/>
      <c r="FO323" s="860"/>
      <c r="FP323" s="860"/>
      <c r="FQ323" s="860"/>
      <c r="FR323" s="860"/>
      <c r="FS323" s="860"/>
      <c r="FT323" s="860"/>
      <c r="FU323" s="860"/>
      <c r="FV323" s="860"/>
      <c r="FW323" s="860"/>
      <c r="FX323" s="860"/>
      <c r="FY323" s="860"/>
      <c r="FZ323" s="860"/>
      <c r="GA323" s="860"/>
      <c r="GB323" s="860"/>
      <c r="GC323" s="860"/>
      <c r="GD323" s="860"/>
      <c r="GE323" s="860"/>
      <c r="GF323" s="860"/>
      <c r="GG323" s="860"/>
      <c r="GH323" s="860"/>
      <c r="GI323" s="860"/>
      <c r="GJ323" s="860"/>
      <c r="GK323" s="860"/>
      <c r="GL323" s="860"/>
      <c r="GM323" s="860"/>
      <c r="GN323" s="860"/>
      <c r="GO323" s="860"/>
      <c r="GP323" s="860"/>
      <c r="GQ323" s="860"/>
      <c r="GR323" s="1162"/>
      <c r="GS323" s="860"/>
      <c r="GT323" s="1162"/>
      <c r="GU323" s="860"/>
      <c r="GV323" s="1162"/>
      <c r="GW323" s="860"/>
      <c r="GX323" s="860"/>
      <c r="GY323" s="1162"/>
      <c r="GZ323" s="860"/>
      <c r="HA323" s="860"/>
      <c r="HB323" s="1162"/>
      <c r="HC323" s="860"/>
      <c r="HE323" s="1162"/>
      <c r="HF323" s="860"/>
      <c r="HH323" s="1162"/>
      <c r="HI323" s="1162"/>
      <c r="HJ323" s="860"/>
      <c r="HL323" s="1162"/>
      <c r="HM323" s="860"/>
      <c r="HO323" s="1162"/>
      <c r="HP323" s="860"/>
      <c r="HR323" s="1162"/>
    </row>
    <row r="324" spans="1:226" hidden="1">
      <c r="A324" s="860"/>
      <c r="B324" s="860"/>
      <c r="C324" s="860"/>
      <c r="D324" s="860"/>
      <c r="E324" s="860"/>
      <c r="F324" s="860"/>
      <c r="G324" s="1274"/>
      <c r="H324" s="1274"/>
      <c r="I324" s="1274"/>
      <c r="J324" s="1274"/>
      <c r="K324" s="860"/>
      <c r="L324" s="1274"/>
      <c r="M324" s="1274"/>
      <c r="N324" s="1274"/>
      <c r="O324" s="1274"/>
      <c r="P324" s="860"/>
      <c r="Q324" s="1274"/>
      <c r="R324" s="1274"/>
      <c r="S324" s="1274"/>
      <c r="T324" s="1274"/>
      <c r="U324" s="1274"/>
      <c r="V324" s="1274"/>
      <c r="W324" s="1274"/>
      <c r="X324" s="1274"/>
      <c r="Y324" s="1274"/>
      <c r="Z324" s="1274"/>
      <c r="AA324" s="1274"/>
      <c r="AB324" s="1274"/>
      <c r="AC324" s="1274"/>
      <c r="AD324" s="1274"/>
      <c r="AE324" s="1162"/>
      <c r="AF324" s="1162"/>
      <c r="AG324" s="1162"/>
      <c r="AH324" s="1162"/>
      <c r="AI324" s="1162"/>
      <c r="AJ324" s="1162"/>
      <c r="AK324" s="1162"/>
      <c r="AL324" s="1162"/>
      <c r="AM324" s="1162"/>
      <c r="AN324" s="1162"/>
      <c r="AO324" s="1162"/>
      <c r="AP324" s="1162"/>
      <c r="AQ324" s="1162"/>
      <c r="AR324" s="1162"/>
      <c r="AS324" s="1162"/>
      <c r="AT324" s="1162"/>
      <c r="AU324" s="1162"/>
      <c r="AV324" s="1162"/>
      <c r="AW324" s="1162"/>
      <c r="AX324" s="1162"/>
      <c r="AY324" s="1162"/>
      <c r="AZ324" s="1162"/>
      <c r="BA324" s="1162"/>
      <c r="BB324" s="1162"/>
      <c r="BC324" s="1162"/>
      <c r="BD324" s="1162"/>
      <c r="BE324" s="1242"/>
      <c r="BF324" s="1162"/>
      <c r="BG324" s="1162"/>
      <c r="BH324" s="1162"/>
      <c r="BI324" s="1261"/>
      <c r="BJ324" s="1242"/>
      <c r="BK324" s="1162"/>
      <c r="BL324" s="1162"/>
      <c r="BM324" s="1162"/>
      <c r="BN324" s="1261"/>
      <c r="BO324" s="1242"/>
      <c r="BP324" s="1162"/>
      <c r="BQ324" s="1162"/>
      <c r="BR324" s="1162"/>
      <c r="BS324" s="1261"/>
      <c r="BT324" s="1242"/>
      <c r="BU324" s="1162"/>
      <c r="BV324" s="1162"/>
      <c r="BW324" s="1162"/>
      <c r="BX324" s="1261"/>
      <c r="BY324" s="1242"/>
      <c r="BZ324" s="1162"/>
      <c r="CA324" s="1162"/>
      <c r="CB324" s="1162"/>
      <c r="CC324" s="1261"/>
      <c r="CD324" s="1242"/>
      <c r="CE324" s="1162"/>
      <c r="CF324" s="1162"/>
      <c r="CG324" s="1162"/>
      <c r="CH324" s="1261"/>
      <c r="CI324" s="1162"/>
      <c r="CJ324" s="1162"/>
      <c r="CK324" s="1217"/>
      <c r="CL324" s="1217"/>
      <c r="CM324" s="1217"/>
      <c r="CN324" s="1217"/>
      <c r="CO324" s="860"/>
      <c r="CP324" s="1217"/>
      <c r="CQ324" s="1217"/>
      <c r="CR324" s="1217"/>
      <c r="CS324" s="1217"/>
      <c r="CT324" s="860"/>
      <c r="CU324" s="1217"/>
      <c r="CV324" s="1217"/>
      <c r="CW324" s="1217"/>
      <c r="CX324" s="1217"/>
      <c r="CY324" s="860"/>
      <c r="CZ324" s="860"/>
      <c r="DA324" s="860"/>
      <c r="DB324" s="860"/>
      <c r="DC324" s="860"/>
      <c r="DD324" s="860"/>
      <c r="DE324" s="860"/>
      <c r="DF324" s="860"/>
      <c r="DG324" s="860"/>
      <c r="DH324" s="860"/>
      <c r="DI324" s="860"/>
      <c r="DJ324" s="860"/>
      <c r="DK324" s="860"/>
      <c r="DL324" s="860"/>
      <c r="DM324" s="860"/>
      <c r="DN324" s="860"/>
      <c r="DO324" s="860"/>
      <c r="DP324" s="860"/>
      <c r="DQ324" s="860"/>
      <c r="DR324" s="860"/>
      <c r="DS324" s="860"/>
      <c r="DT324" s="860"/>
      <c r="DU324" s="860"/>
      <c r="DV324" s="860"/>
      <c r="DW324" s="860"/>
      <c r="DX324" s="860"/>
      <c r="DY324" s="860"/>
      <c r="DZ324" s="860"/>
      <c r="EA324" s="860"/>
      <c r="EB324" s="860"/>
      <c r="EC324" s="860"/>
      <c r="ED324" s="860"/>
      <c r="EE324" s="860"/>
      <c r="EF324" s="860"/>
      <c r="EG324" s="860"/>
      <c r="EH324" s="860"/>
      <c r="EI324" s="1233"/>
      <c r="EJ324" s="860"/>
      <c r="EK324" s="860"/>
      <c r="EL324" s="860"/>
      <c r="EM324" s="1232"/>
      <c r="EN324" s="1233"/>
      <c r="EO324" s="860"/>
      <c r="EP324" s="860"/>
      <c r="EQ324" s="860"/>
      <c r="ER324" s="1232"/>
      <c r="ES324" s="860"/>
      <c r="ET324" s="860"/>
      <c r="EU324" s="860"/>
      <c r="EV324" s="860"/>
      <c r="EW324" s="1232"/>
      <c r="EX324" s="860"/>
      <c r="EY324" s="860"/>
      <c r="EZ324" s="860"/>
      <c r="FA324" s="860"/>
      <c r="FB324" s="860"/>
      <c r="FC324" s="860"/>
      <c r="FD324" s="860"/>
      <c r="FE324" s="860"/>
      <c r="FF324" s="860"/>
      <c r="FG324" s="860"/>
      <c r="FH324" s="860"/>
      <c r="FI324" s="860"/>
      <c r="FJ324" s="860"/>
      <c r="FK324" s="860"/>
      <c r="FL324" s="860"/>
      <c r="FM324" s="860"/>
      <c r="FN324" s="860"/>
      <c r="FO324" s="860"/>
      <c r="FP324" s="860"/>
      <c r="FQ324" s="860"/>
      <c r="FR324" s="860"/>
      <c r="FS324" s="860"/>
      <c r="FT324" s="860"/>
      <c r="FU324" s="860"/>
      <c r="FV324" s="860"/>
      <c r="FW324" s="860"/>
      <c r="FX324" s="860"/>
      <c r="FY324" s="860"/>
      <c r="FZ324" s="860"/>
      <c r="GA324" s="860"/>
      <c r="GB324" s="860"/>
      <c r="GC324" s="860"/>
      <c r="GD324" s="860"/>
      <c r="GE324" s="860"/>
      <c r="GF324" s="860"/>
      <c r="GG324" s="860"/>
      <c r="GH324" s="860"/>
      <c r="GI324" s="860"/>
      <c r="GJ324" s="860"/>
      <c r="GK324" s="860"/>
      <c r="GL324" s="860"/>
      <c r="GM324" s="860"/>
      <c r="GN324" s="860"/>
      <c r="GO324" s="860"/>
      <c r="GP324" s="860"/>
      <c r="GQ324" s="860"/>
      <c r="GR324" s="1162"/>
      <c r="GS324" s="860"/>
      <c r="GT324" s="1162"/>
      <c r="GU324" s="860"/>
      <c r="GV324" s="1162"/>
      <c r="GW324" s="860"/>
      <c r="GX324" s="860"/>
      <c r="GY324" s="1162"/>
      <c r="GZ324" s="860"/>
      <c r="HA324" s="860"/>
      <c r="HB324" s="1162"/>
      <c r="HC324" s="860"/>
      <c r="HE324" s="1162"/>
      <c r="HF324" s="860"/>
      <c r="HH324" s="1162"/>
      <c r="HI324" s="1162"/>
      <c r="HJ324" s="860"/>
      <c r="HL324" s="1162"/>
      <c r="HM324" s="860"/>
      <c r="HO324" s="1162"/>
      <c r="HP324" s="860"/>
      <c r="HR324" s="1162"/>
    </row>
    <row r="325" spans="1:226" hidden="1">
      <c r="A325" s="860" t="s">
        <v>838</v>
      </c>
      <c r="B325" s="860"/>
      <c r="C325" s="860"/>
      <c r="D325" s="860"/>
      <c r="E325" s="860"/>
      <c r="F325" s="860"/>
      <c r="G325" s="1274"/>
      <c r="H325" s="1274"/>
      <c r="I325" s="1274"/>
      <c r="J325" s="1274"/>
      <c r="K325" s="860"/>
      <c r="L325" s="1274"/>
      <c r="M325" s="1274"/>
      <c r="N325" s="1274"/>
      <c r="O325" s="1274"/>
      <c r="P325" s="860"/>
      <c r="Q325" s="1274"/>
      <c r="R325" s="1274"/>
      <c r="S325" s="1274"/>
      <c r="T325" s="1274"/>
      <c r="U325" s="1274"/>
      <c r="V325" s="1274"/>
      <c r="W325" s="1274"/>
      <c r="X325" s="1274"/>
      <c r="Y325" s="1274">
        <f>Y313/AVERAGE(X321,Y321)/3*1000</f>
        <v>408.54924543140481</v>
      </c>
      <c r="Z325" s="1274"/>
      <c r="AA325" s="1274">
        <f>AA313/AVERAGE(Z321,AA321)/3*1000</f>
        <v>388.62000408018599</v>
      </c>
      <c r="AB325" s="1274">
        <f>AB313/AVERAGE(AA321,AB321)/3*1000</f>
        <v>379.7243207143901</v>
      </c>
      <c r="AC325" s="1274">
        <f>AC313/AVERAGE(AB321,AC321)/3*1000</f>
        <v>390.111198718136</v>
      </c>
      <c r="AD325" s="1274">
        <f>AD313/AVERAGE(AC321,AD321)/3*1000</f>
        <v>384.26572565009383</v>
      </c>
      <c r="AE325" s="1162"/>
      <c r="AF325" s="1274">
        <f>AF313/AVERAGE(AE321,AF321)/3*1000</f>
        <v>364.45776233539772</v>
      </c>
      <c r="AG325" s="1274">
        <f>AG313/AVERAGE(AF321,AG321)/3*1000</f>
        <v>368.52095685368289</v>
      </c>
      <c r="AH325" s="1274">
        <f>AH313/AVERAGE(AG321,AH321)/3*1000</f>
        <v>373.70343840942428</v>
      </c>
      <c r="AI325" s="1274"/>
      <c r="AJ325" s="1162"/>
      <c r="AK325" s="1162"/>
      <c r="AL325" s="1162"/>
      <c r="AM325" s="1162"/>
      <c r="AN325" s="1162"/>
      <c r="AO325" s="1162"/>
      <c r="AP325" s="1162"/>
      <c r="AQ325" s="1162"/>
      <c r="AR325" s="1162"/>
      <c r="AS325" s="1162"/>
      <c r="AT325" s="1162"/>
      <c r="AU325" s="1162"/>
      <c r="AV325" s="1162"/>
      <c r="AW325" s="1162"/>
      <c r="AX325" s="1162"/>
      <c r="AY325" s="1162"/>
      <c r="AZ325" s="1162"/>
      <c r="BA325" s="1162"/>
      <c r="BB325" s="1162"/>
      <c r="BC325" s="1162"/>
      <c r="BD325" s="1162"/>
      <c r="BE325" s="1242"/>
      <c r="BF325" s="1162"/>
      <c r="BG325" s="1162"/>
      <c r="BH325" s="1162"/>
      <c r="BI325" s="1261"/>
      <c r="BJ325" s="1242"/>
      <c r="BK325" s="1162"/>
      <c r="BL325" s="1162"/>
      <c r="BM325" s="1162"/>
      <c r="BN325" s="1261"/>
      <c r="BO325" s="1242"/>
      <c r="BP325" s="1162"/>
      <c r="BQ325" s="1162"/>
      <c r="BR325" s="1162"/>
      <c r="BS325" s="1261"/>
      <c r="BT325" s="1242"/>
      <c r="BU325" s="1162"/>
      <c r="BV325" s="1162"/>
      <c r="BW325" s="1162"/>
      <c r="BX325" s="1261"/>
      <c r="BY325" s="1242"/>
      <c r="BZ325" s="1162"/>
      <c r="CA325" s="1162"/>
      <c r="CB325" s="1162"/>
      <c r="CC325" s="1261"/>
      <c r="CD325" s="1242"/>
      <c r="CE325" s="1162"/>
      <c r="CF325" s="1162"/>
      <c r="CG325" s="1162"/>
      <c r="CH325" s="1261"/>
      <c r="CI325" s="1162"/>
      <c r="CJ325" s="1162"/>
      <c r="CK325" s="1217"/>
      <c r="CL325" s="1217"/>
      <c r="CM325" s="1217"/>
      <c r="CN325" s="1217"/>
      <c r="CO325" s="860"/>
      <c r="CP325" s="1217"/>
      <c r="CQ325" s="1217"/>
      <c r="CR325" s="1217"/>
      <c r="CS325" s="1217"/>
      <c r="CT325" s="860"/>
      <c r="CU325" s="1217"/>
      <c r="CV325" s="1217"/>
      <c r="CW325" s="1217"/>
      <c r="CX325" s="1217"/>
      <c r="CY325" s="860"/>
      <c r="CZ325" s="860"/>
      <c r="DA325" s="860"/>
      <c r="DB325" s="860"/>
      <c r="DC325" s="860"/>
      <c r="DD325" s="860"/>
      <c r="DE325" s="860"/>
      <c r="DF325" s="860"/>
      <c r="DG325" s="860"/>
      <c r="DH325" s="860"/>
      <c r="DI325" s="860"/>
      <c r="DJ325" s="860"/>
      <c r="DK325" s="860"/>
      <c r="DL325" s="860"/>
      <c r="DM325" s="860"/>
      <c r="DN325" s="860"/>
      <c r="DO325" s="860"/>
      <c r="DP325" s="860"/>
      <c r="DQ325" s="860"/>
      <c r="DR325" s="860"/>
      <c r="DS325" s="860"/>
      <c r="DT325" s="860"/>
      <c r="DU325" s="860"/>
      <c r="DV325" s="860"/>
      <c r="DW325" s="860"/>
      <c r="DX325" s="860"/>
      <c r="DY325" s="860"/>
      <c r="DZ325" s="860"/>
      <c r="EA325" s="860"/>
      <c r="EB325" s="860"/>
      <c r="EC325" s="860"/>
      <c r="ED325" s="860"/>
      <c r="EE325" s="860"/>
      <c r="EF325" s="860"/>
      <c r="EG325" s="860"/>
      <c r="EH325" s="860"/>
      <c r="EI325" s="1233"/>
      <c r="EJ325" s="860"/>
      <c r="EK325" s="860"/>
      <c r="EL325" s="860"/>
      <c r="EM325" s="1232"/>
      <c r="EN325" s="1233"/>
      <c r="EO325" s="860"/>
      <c r="EP325" s="860"/>
      <c r="EQ325" s="860"/>
      <c r="ER325" s="1232"/>
      <c r="ES325" s="860"/>
      <c r="ET325" s="860"/>
      <c r="EU325" s="860"/>
      <c r="EV325" s="860"/>
      <c r="EW325" s="1232"/>
      <c r="EX325" s="860"/>
      <c r="EY325" s="860"/>
      <c r="EZ325" s="860"/>
      <c r="FA325" s="860"/>
      <c r="FB325" s="860"/>
      <c r="FC325" s="860"/>
      <c r="FD325" s="860"/>
      <c r="FE325" s="860"/>
      <c r="FF325" s="860"/>
      <c r="FG325" s="860"/>
      <c r="FH325" s="860"/>
      <c r="FI325" s="860"/>
      <c r="FJ325" s="860"/>
      <c r="FK325" s="860"/>
      <c r="FL325" s="860"/>
      <c r="FM325" s="860"/>
      <c r="FN325" s="860"/>
      <c r="FO325" s="860"/>
      <c r="FP325" s="860"/>
      <c r="FQ325" s="860"/>
      <c r="FR325" s="860"/>
      <c r="FS325" s="860"/>
      <c r="FT325" s="860"/>
      <c r="FU325" s="860"/>
      <c r="FV325" s="860"/>
      <c r="FW325" s="860"/>
      <c r="FX325" s="860"/>
      <c r="FY325" s="860"/>
      <c r="FZ325" s="860"/>
      <c r="GA325" s="860"/>
      <c r="GB325" s="860"/>
      <c r="GC325" s="860"/>
      <c r="GD325" s="860"/>
      <c r="GE325" s="860"/>
      <c r="GF325" s="860"/>
      <c r="GG325" s="860"/>
      <c r="GH325" s="860"/>
      <c r="GI325" s="860"/>
      <c r="GJ325" s="860"/>
      <c r="GK325" s="860"/>
      <c r="GL325" s="860"/>
      <c r="GM325" s="860"/>
      <c r="GN325" s="860"/>
      <c r="GO325" s="860"/>
      <c r="GP325" s="860"/>
      <c r="GQ325" s="860"/>
      <c r="GR325" s="1162"/>
      <c r="GS325" s="860"/>
      <c r="GT325" s="1162"/>
      <c r="GU325" s="860"/>
      <c r="GV325" s="1162"/>
      <c r="GW325" s="860"/>
      <c r="GX325" s="860"/>
      <c r="GY325" s="1162"/>
      <c r="GZ325" s="860"/>
      <c r="HA325" s="860"/>
      <c r="HB325" s="1162"/>
      <c r="HC325" s="860"/>
      <c r="HE325" s="1162"/>
      <c r="HF325" s="860"/>
      <c r="HH325" s="1162"/>
      <c r="HI325" s="1162"/>
      <c r="HJ325" s="860"/>
      <c r="HL325" s="1162"/>
      <c r="HM325" s="860"/>
      <c r="HO325" s="1162"/>
      <c r="HP325" s="860"/>
      <c r="HR325" s="1162"/>
    </row>
    <row r="326" spans="1:226" hidden="1">
      <c r="A326" s="860"/>
      <c r="B326" s="860"/>
      <c r="C326" s="860"/>
      <c r="D326" s="860"/>
      <c r="E326" s="860"/>
      <c r="F326" s="860"/>
      <c r="G326" s="1274"/>
      <c r="H326" s="1274"/>
      <c r="I326" s="1274"/>
      <c r="J326" s="1274"/>
      <c r="K326" s="860"/>
      <c r="L326" s="1274"/>
      <c r="M326" s="1274"/>
      <c r="N326" s="1274"/>
      <c r="O326" s="1274"/>
      <c r="P326" s="860"/>
      <c r="Q326" s="1274"/>
      <c r="R326" s="1274"/>
      <c r="S326" s="1274"/>
      <c r="T326" s="1274"/>
      <c r="U326" s="1274"/>
      <c r="V326" s="1274"/>
      <c r="W326" s="1274"/>
      <c r="X326" s="1274"/>
      <c r="Y326" s="1274"/>
      <c r="Z326" s="1274"/>
      <c r="AA326" s="1274"/>
      <c r="AB326" s="1274"/>
      <c r="AC326" s="1274"/>
      <c r="AD326" s="1274"/>
      <c r="AE326" s="1162"/>
      <c r="AF326" s="1162"/>
      <c r="AG326" s="1162"/>
      <c r="AH326" s="1162"/>
      <c r="AI326" s="1162"/>
      <c r="AJ326" s="1162"/>
      <c r="AK326" s="1162"/>
      <c r="AL326" s="1162"/>
      <c r="AM326" s="1162"/>
      <c r="AN326" s="1162"/>
      <c r="AO326" s="1162"/>
      <c r="AP326" s="1162"/>
      <c r="AQ326" s="1162"/>
      <c r="AR326" s="1162"/>
      <c r="AS326" s="1162"/>
      <c r="AT326" s="1162"/>
      <c r="AU326" s="1162"/>
      <c r="AV326" s="1162"/>
      <c r="AW326" s="1162"/>
      <c r="AX326" s="1162"/>
      <c r="AY326" s="1162"/>
      <c r="AZ326" s="1162"/>
      <c r="BA326" s="1162"/>
      <c r="BB326" s="1162"/>
      <c r="BC326" s="1162"/>
      <c r="BD326" s="1162"/>
      <c r="BE326" s="1242"/>
      <c r="BF326" s="1162"/>
      <c r="BG326" s="1162"/>
      <c r="BH326" s="1162"/>
      <c r="BI326" s="1261"/>
      <c r="BJ326" s="1242"/>
      <c r="BK326" s="1162"/>
      <c r="BL326" s="1162"/>
      <c r="BM326" s="1162"/>
      <c r="BN326" s="1261"/>
      <c r="BO326" s="1242"/>
      <c r="BP326" s="1162"/>
      <c r="BQ326" s="1162"/>
      <c r="BR326" s="1162"/>
      <c r="BS326" s="1261"/>
      <c r="BT326" s="1242"/>
      <c r="BU326" s="1162"/>
      <c r="BV326" s="1162"/>
      <c r="BW326" s="1162"/>
      <c r="BX326" s="1261"/>
      <c r="BY326" s="1242"/>
      <c r="BZ326" s="1162"/>
      <c r="CA326" s="1162"/>
      <c r="CB326" s="1162"/>
      <c r="CC326" s="1261"/>
      <c r="CD326" s="1242"/>
      <c r="CE326" s="1162"/>
      <c r="CF326" s="1162"/>
      <c r="CG326" s="1162"/>
      <c r="CH326" s="1261"/>
      <c r="CI326" s="1162"/>
      <c r="CJ326" s="1162"/>
      <c r="CK326" s="1217"/>
      <c r="CL326" s="1217"/>
      <c r="CM326" s="1217"/>
      <c r="CN326" s="1217"/>
      <c r="CO326" s="860"/>
      <c r="CP326" s="1217"/>
      <c r="CQ326" s="1217"/>
      <c r="CR326" s="1217"/>
      <c r="CS326" s="1217"/>
      <c r="CT326" s="860"/>
      <c r="CU326" s="1217"/>
      <c r="CV326" s="1217"/>
      <c r="CW326" s="1217"/>
      <c r="CX326" s="1217"/>
      <c r="CY326" s="860"/>
      <c r="CZ326" s="860"/>
      <c r="DA326" s="860"/>
      <c r="DB326" s="860"/>
      <c r="DC326" s="860"/>
      <c r="DD326" s="860"/>
      <c r="DE326" s="860"/>
      <c r="DF326" s="860"/>
      <c r="DG326" s="860"/>
      <c r="DH326" s="860"/>
      <c r="DI326" s="860"/>
      <c r="DJ326" s="860"/>
      <c r="DK326" s="860"/>
      <c r="DL326" s="860"/>
      <c r="DM326" s="860"/>
      <c r="DN326" s="860"/>
      <c r="DO326" s="860"/>
      <c r="DP326" s="860"/>
      <c r="DQ326" s="860"/>
      <c r="DR326" s="860"/>
      <c r="DS326" s="860"/>
      <c r="DT326" s="860"/>
      <c r="DU326" s="860"/>
      <c r="DV326" s="860"/>
      <c r="DW326" s="860"/>
      <c r="DX326" s="860"/>
      <c r="DY326" s="860"/>
      <c r="DZ326" s="860"/>
      <c r="EA326" s="860"/>
      <c r="EB326" s="860"/>
      <c r="EC326" s="860"/>
      <c r="ED326" s="860"/>
      <c r="EE326" s="860"/>
      <c r="EF326" s="860"/>
      <c r="EG326" s="860"/>
      <c r="EH326" s="860"/>
      <c r="EI326" s="1233"/>
      <c r="EJ326" s="860"/>
      <c r="EK326" s="860"/>
      <c r="EL326" s="860"/>
      <c r="EM326" s="1232"/>
      <c r="EN326" s="1233"/>
      <c r="EO326" s="860"/>
      <c r="EP326" s="860"/>
      <c r="EQ326" s="860"/>
      <c r="ER326" s="1232"/>
      <c r="ES326" s="860"/>
      <c r="ET326" s="860"/>
      <c r="EU326" s="860"/>
      <c r="EV326" s="860"/>
      <c r="EW326" s="1232"/>
      <c r="EX326" s="860"/>
      <c r="EY326" s="860"/>
      <c r="EZ326" s="860"/>
      <c r="FA326" s="860"/>
      <c r="FB326" s="860"/>
      <c r="FC326" s="860"/>
      <c r="FD326" s="860"/>
      <c r="FE326" s="860"/>
      <c r="FF326" s="860"/>
      <c r="FG326" s="860"/>
      <c r="FH326" s="860"/>
      <c r="FI326" s="860"/>
      <c r="FJ326" s="860"/>
      <c r="FK326" s="860"/>
      <c r="FL326" s="860"/>
      <c r="FM326" s="860"/>
      <c r="FN326" s="860"/>
      <c r="FO326" s="860"/>
      <c r="FP326" s="860"/>
      <c r="FQ326" s="860"/>
      <c r="FR326" s="860"/>
      <c r="FS326" s="860"/>
      <c r="FT326" s="860"/>
      <c r="FU326" s="860"/>
      <c r="FV326" s="860"/>
      <c r="FW326" s="860"/>
      <c r="FX326" s="860"/>
      <c r="FY326" s="860"/>
      <c r="FZ326" s="860"/>
      <c r="GA326" s="860"/>
      <c r="GB326" s="860"/>
      <c r="GC326" s="860"/>
      <c r="GD326" s="860"/>
      <c r="GE326" s="860"/>
      <c r="GF326" s="860"/>
      <c r="GG326" s="860"/>
      <c r="GH326" s="860"/>
      <c r="GI326" s="860"/>
      <c r="GJ326" s="860"/>
      <c r="GK326" s="860"/>
      <c r="GL326" s="860"/>
      <c r="GM326" s="860"/>
      <c r="GN326" s="860"/>
      <c r="GO326" s="860"/>
      <c r="GP326" s="860"/>
      <c r="GQ326" s="860"/>
      <c r="GR326" s="1162"/>
      <c r="GS326" s="860"/>
      <c r="GT326" s="1162"/>
      <c r="GU326" s="860"/>
      <c r="GV326" s="1162"/>
      <c r="GW326" s="860"/>
      <c r="GX326" s="860"/>
      <c r="GY326" s="1162"/>
      <c r="GZ326" s="860"/>
      <c r="HA326" s="860"/>
      <c r="HB326" s="1162"/>
      <c r="HC326" s="860"/>
      <c r="HE326" s="1162"/>
      <c r="HF326" s="860"/>
      <c r="HH326" s="1162"/>
      <c r="HI326" s="1162"/>
      <c r="HJ326" s="860"/>
      <c r="HL326" s="1162"/>
      <c r="HM326" s="860"/>
      <c r="HO326" s="1162"/>
      <c r="HP326" s="860"/>
      <c r="HR326" s="1162"/>
    </row>
    <row r="327" spans="1:226" hidden="1">
      <c r="A327" s="860" t="s">
        <v>839</v>
      </c>
      <c r="B327" s="860"/>
      <c r="C327" s="860"/>
      <c r="D327" s="860"/>
      <c r="E327" s="860"/>
      <c r="F327" s="860"/>
      <c r="G327" s="1274"/>
      <c r="H327" s="1274"/>
      <c r="I327" s="1274"/>
      <c r="J327" s="1274"/>
      <c r="K327" s="860"/>
      <c r="L327" s="1274"/>
      <c r="M327" s="1274"/>
      <c r="N327" s="1274"/>
      <c r="O327" s="1274"/>
      <c r="P327" s="860"/>
      <c r="Q327" s="1274"/>
      <c r="R327" s="1274"/>
      <c r="S327" s="1274"/>
      <c r="T327" s="1274"/>
      <c r="U327" s="1274"/>
      <c r="V327" s="1274"/>
      <c r="W327" s="1274"/>
      <c r="X327" s="1274"/>
      <c r="Y327" s="1274"/>
      <c r="Z327" s="1274"/>
      <c r="AA327" s="1274"/>
      <c r="AB327" s="1274"/>
      <c r="AC327" s="1274"/>
      <c r="AD327" s="1274"/>
      <c r="AE327" s="1162"/>
      <c r="AF327" s="1162"/>
      <c r="AG327" s="1162"/>
      <c r="AH327" s="1162"/>
      <c r="AI327" s="1162"/>
      <c r="AJ327" s="1162"/>
      <c r="AK327" s="1162"/>
      <c r="AL327" s="1162"/>
      <c r="AM327" s="1162"/>
      <c r="AN327" s="1162"/>
      <c r="AO327" s="1162"/>
      <c r="AP327" s="1162"/>
      <c r="AQ327" s="1162"/>
      <c r="AR327" s="1162"/>
      <c r="AS327" s="1162"/>
      <c r="AT327" s="1162"/>
      <c r="AU327" s="1162"/>
      <c r="AV327" s="1162"/>
      <c r="AW327" s="1162"/>
      <c r="AX327" s="1162"/>
      <c r="AY327" s="1162"/>
      <c r="AZ327" s="1162"/>
      <c r="BA327" s="1162"/>
      <c r="BB327" s="1162"/>
      <c r="BC327" s="1162"/>
      <c r="BD327" s="1162"/>
      <c r="BE327" s="1242"/>
      <c r="BF327" s="1162"/>
      <c r="BG327" s="1162"/>
      <c r="BH327" s="1162"/>
      <c r="BI327" s="1261"/>
      <c r="BJ327" s="1242"/>
      <c r="BK327" s="1162"/>
      <c r="BL327" s="1162"/>
      <c r="BM327" s="1162"/>
      <c r="BN327" s="1261"/>
      <c r="BO327" s="1242"/>
      <c r="BP327" s="1162"/>
      <c r="BQ327" s="1162"/>
      <c r="BR327" s="1162"/>
      <c r="BS327" s="1261"/>
      <c r="BT327" s="1242"/>
      <c r="BU327" s="1162"/>
      <c r="BV327" s="1162"/>
      <c r="BW327" s="1162"/>
      <c r="BX327" s="1261"/>
      <c r="BY327" s="1242"/>
      <c r="BZ327" s="1162"/>
      <c r="CA327" s="1162"/>
      <c r="CB327" s="1162"/>
      <c r="CC327" s="1261"/>
      <c r="CD327" s="1242"/>
      <c r="CE327" s="1162"/>
      <c r="CF327" s="1162"/>
      <c r="CG327" s="1162"/>
      <c r="CH327" s="1261"/>
      <c r="CI327" s="1162"/>
      <c r="CJ327" s="1162"/>
      <c r="CK327" s="1217"/>
      <c r="CL327" s="1217"/>
      <c r="CM327" s="1217"/>
      <c r="CN327" s="1217"/>
      <c r="CO327" s="860"/>
      <c r="CP327" s="1217"/>
      <c r="CQ327" s="1217"/>
      <c r="CR327" s="1217"/>
      <c r="CS327" s="1217"/>
      <c r="CT327" s="860"/>
      <c r="CU327" s="1217"/>
      <c r="CV327" s="1217"/>
      <c r="CW327" s="1217"/>
      <c r="CX327" s="1217"/>
      <c r="CY327" s="860"/>
      <c r="CZ327" s="860"/>
      <c r="DA327" s="860"/>
      <c r="DB327" s="860"/>
      <c r="DC327" s="860"/>
      <c r="DD327" s="860"/>
      <c r="DE327" s="860"/>
      <c r="DF327" s="860"/>
      <c r="DG327" s="860"/>
      <c r="DH327" s="860"/>
      <c r="DI327" s="860"/>
      <c r="DJ327" s="860"/>
      <c r="DK327" s="860"/>
      <c r="DL327" s="860"/>
      <c r="DM327" s="860"/>
      <c r="DN327" s="860"/>
      <c r="DO327" s="860"/>
      <c r="DP327" s="860"/>
      <c r="DQ327" s="860"/>
      <c r="DR327" s="860"/>
      <c r="DS327" s="860"/>
      <c r="DT327" s="860"/>
      <c r="DU327" s="860"/>
      <c r="DV327" s="860"/>
      <c r="DW327" s="860"/>
      <c r="DX327" s="860"/>
      <c r="DY327" s="860"/>
      <c r="DZ327" s="860"/>
      <c r="EA327" s="860"/>
      <c r="EB327" s="860"/>
      <c r="EC327" s="860"/>
      <c r="ED327" s="860"/>
      <c r="EE327" s="860"/>
      <c r="EF327" s="860"/>
      <c r="EG327" s="860"/>
      <c r="EH327" s="860"/>
      <c r="EI327" s="1233"/>
      <c r="EJ327" s="860"/>
      <c r="EK327" s="860"/>
      <c r="EL327" s="860"/>
      <c r="EM327" s="1232"/>
      <c r="EN327" s="1233"/>
      <c r="EO327" s="860"/>
      <c r="EP327" s="860"/>
      <c r="EQ327" s="860"/>
      <c r="ER327" s="1232"/>
      <c r="ES327" s="860"/>
      <c r="ET327" s="860"/>
      <c r="EU327" s="860"/>
      <c r="EV327" s="860"/>
      <c r="EW327" s="1232"/>
      <c r="EX327" s="860"/>
      <c r="EY327" s="860"/>
      <c r="EZ327" s="860"/>
      <c r="FA327" s="860"/>
      <c r="FB327" s="860"/>
      <c r="FC327" s="860"/>
      <c r="FD327" s="860"/>
      <c r="FE327" s="860"/>
      <c r="FF327" s="860"/>
      <c r="FG327" s="860"/>
      <c r="FH327" s="860"/>
      <c r="FI327" s="860"/>
      <c r="FJ327" s="860"/>
      <c r="FK327" s="860"/>
      <c r="FL327" s="860"/>
      <c r="FM327" s="860"/>
      <c r="FN327" s="860"/>
      <c r="FO327" s="860"/>
      <c r="FP327" s="860"/>
      <c r="FQ327" s="860"/>
      <c r="FR327" s="860"/>
      <c r="FS327" s="860"/>
      <c r="FT327" s="860"/>
      <c r="FU327" s="860"/>
      <c r="FV327" s="860"/>
      <c r="FW327" s="860"/>
      <c r="FX327" s="860"/>
      <c r="FY327" s="860"/>
      <c r="FZ327" s="860"/>
      <c r="GA327" s="860"/>
      <c r="GB327" s="860"/>
      <c r="GC327" s="860"/>
      <c r="GD327" s="860"/>
      <c r="GE327" s="860"/>
      <c r="GF327" s="860"/>
      <c r="GG327" s="860"/>
      <c r="GH327" s="860"/>
      <c r="GI327" s="860"/>
      <c r="GJ327" s="860"/>
      <c r="GK327" s="860"/>
      <c r="GL327" s="860"/>
      <c r="GM327" s="860"/>
      <c r="GN327" s="860"/>
      <c r="GO327" s="860"/>
      <c r="GP327" s="860"/>
      <c r="GQ327" s="860"/>
      <c r="GR327" s="1162"/>
      <c r="GS327" s="860"/>
      <c r="GT327" s="1162"/>
      <c r="GU327" s="860"/>
      <c r="GV327" s="1162"/>
      <c r="GW327" s="860"/>
      <c r="GX327" s="860"/>
      <c r="GY327" s="1162"/>
      <c r="GZ327" s="860"/>
      <c r="HA327" s="860"/>
      <c r="HB327" s="1162"/>
      <c r="HC327" s="860"/>
      <c r="HE327" s="1162"/>
      <c r="HF327" s="860"/>
      <c r="HH327" s="1162"/>
      <c r="HI327" s="1162"/>
      <c r="HJ327" s="860"/>
      <c r="HL327" s="1162"/>
      <c r="HM327" s="860"/>
      <c r="HO327" s="1162"/>
      <c r="HP327" s="860"/>
      <c r="HR327" s="1162"/>
    </row>
    <row r="328" spans="1:226" hidden="1">
      <c r="A328" s="860" t="str">
        <f>A313</f>
        <v>Revenue</v>
      </c>
      <c r="B328" s="860"/>
      <c r="C328" s="860"/>
      <c r="D328" s="860"/>
      <c r="E328" s="860"/>
      <c r="F328" s="860"/>
      <c r="G328" s="1274"/>
      <c r="H328" s="1274"/>
      <c r="I328" s="1274"/>
      <c r="J328" s="1274"/>
      <c r="K328" s="860"/>
      <c r="L328" s="1274"/>
      <c r="M328" s="1274"/>
      <c r="N328" s="1274"/>
      <c r="O328" s="1274"/>
      <c r="P328" s="860"/>
      <c r="Q328" s="1274"/>
      <c r="R328" s="1274"/>
      <c r="S328" s="1274"/>
      <c r="T328" s="1274"/>
      <c r="U328" s="1274"/>
      <c r="V328" s="1274"/>
      <c r="W328" s="1274"/>
      <c r="X328" s="1274"/>
      <c r="Y328" s="1274"/>
      <c r="Z328" s="1274"/>
      <c r="AA328" s="1274">
        <f>AA307-AA313</f>
        <v>4136.2</v>
      </c>
      <c r="AB328" s="1274">
        <f>AB307-AB313</f>
        <v>4250.7</v>
      </c>
      <c r="AC328" s="1274">
        <f>AC307-AC313</f>
        <v>4430</v>
      </c>
      <c r="AD328" s="1274">
        <f>AD307-AD313</f>
        <v>4607.0999999999985</v>
      </c>
      <c r="AE328" s="1162"/>
      <c r="AF328" s="1274">
        <f>AF307-AF313</f>
        <v>4693.3</v>
      </c>
      <c r="AG328" s="1274">
        <f>AG307-AG313</f>
        <v>4765.1000000000004</v>
      </c>
      <c r="AH328" s="1274">
        <f>AH307-AH313</f>
        <v>5002.2</v>
      </c>
      <c r="AI328" s="1274"/>
      <c r="AJ328" s="1162"/>
      <c r="AK328" s="1162"/>
      <c r="AL328" s="1162"/>
      <c r="AM328" s="1162"/>
      <c r="AN328" s="1162"/>
      <c r="AO328" s="1162"/>
      <c r="AP328" s="1162"/>
      <c r="AQ328" s="1162"/>
      <c r="AR328" s="1162"/>
      <c r="AS328" s="1162"/>
      <c r="AT328" s="1162"/>
      <c r="AU328" s="1162"/>
      <c r="AV328" s="1162"/>
      <c r="AW328" s="1162"/>
      <c r="AX328" s="1162"/>
      <c r="AY328" s="1162"/>
      <c r="AZ328" s="1162"/>
      <c r="BA328" s="1162"/>
      <c r="BB328" s="1162"/>
      <c r="BC328" s="1162"/>
      <c r="BD328" s="1162"/>
      <c r="BE328" s="1242"/>
      <c r="BF328" s="1162"/>
      <c r="BG328" s="1162"/>
      <c r="BH328" s="1162"/>
      <c r="BI328" s="1261"/>
      <c r="BJ328" s="1242"/>
      <c r="BK328" s="1162"/>
      <c r="BL328" s="1162"/>
      <c r="BM328" s="1162"/>
      <c r="BN328" s="1261"/>
      <c r="BO328" s="1242"/>
      <c r="BP328" s="1162"/>
      <c r="BQ328" s="1162"/>
      <c r="BR328" s="1162"/>
      <c r="BS328" s="1261"/>
      <c r="BT328" s="1242"/>
      <c r="BU328" s="1162"/>
      <c r="BV328" s="1162"/>
      <c r="BW328" s="1162"/>
      <c r="BX328" s="1261"/>
      <c r="BY328" s="1242"/>
      <c r="BZ328" s="1162"/>
      <c r="CA328" s="1162"/>
      <c r="CB328" s="1162"/>
      <c r="CC328" s="1261"/>
      <c r="CD328" s="1242"/>
      <c r="CE328" s="1162"/>
      <c r="CF328" s="1162"/>
      <c r="CG328" s="1162"/>
      <c r="CH328" s="1261"/>
      <c r="CI328" s="1162"/>
      <c r="CJ328" s="1162"/>
      <c r="CK328" s="1217"/>
      <c r="CL328" s="1217"/>
      <c r="CM328" s="1217"/>
      <c r="CN328" s="1217"/>
      <c r="CO328" s="860"/>
      <c r="CP328" s="1217"/>
      <c r="CQ328" s="1217"/>
      <c r="CR328" s="1217"/>
      <c r="CS328" s="1217"/>
      <c r="CT328" s="860"/>
      <c r="CU328" s="1217"/>
      <c r="CV328" s="1217"/>
      <c r="CW328" s="1217"/>
      <c r="CX328" s="1217"/>
      <c r="CY328" s="860"/>
      <c r="CZ328" s="860"/>
      <c r="DA328" s="860"/>
      <c r="DB328" s="860"/>
      <c r="DC328" s="860"/>
      <c r="DD328" s="860"/>
      <c r="DE328" s="860"/>
      <c r="DF328" s="860"/>
      <c r="DG328" s="860"/>
      <c r="DH328" s="860"/>
      <c r="DI328" s="860"/>
      <c r="DJ328" s="860"/>
      <c r="DK328" s="860"/>
      <c r="DL328" s="860"/>
      <c r="DM328" s="860"/>
      <c r="DN328" s="860"/>
      <c r="DO328" s="860"/>
      <c r="DP328" s="860"/>
      <c r="DQ328" s="860"/>
      <c r="DR328" s="860"/>
      <c r="DS328" s="860"/>
      <c r="DT328" s="860"/>
      <c r="DU328" s="860"/>
      <c r="DV328" s="860"/>
      <c r="DW328" s="860"/>
      <c r="DX328" s="860"/>
      <c r="DY328" s="860"/>
      <c r="DZ328" s="860"/>
      <c r="EA328" s="860"/>
      <c r="EB328" s="860"/>
      <c r="EC328" s="860"/>
      <c r="ED328" s="860"/>
      <c r="EE328" s="860"/>
      <c r="EF328" s="860"/>
      <c r="EG328" s="860"/>
      <c r="EH328" s="860"/>
      <c r="EI328" s="1233"/>
      <c r="EJ328" s="860"/>
      <c r="EK328" s="860"/>
      <c r="EL328" s="860"/>
      <c r="EM328" s="1232"/>
      <c r="EN328" s="1233"/>
      <c r="EO328" s="860"/>
      <c r="EP328" s="860"/>
      <c r="EQ328" s="860"/>
      <c r="ER328" s="1232"/>
      <c r="ES328" s="860"/>
      <c r="ET328" s="860"/>
      <c r="EU328" s="860"/>
      <c r="EV328" s="860"/>
      <c r="EW328" s="1232"/>
      <c r="EX328" s="860"/>
      <c r="EY328" s="860"/>
      <c r="EZ328" s="860"/>
      <c r="FA328" s="860"/>
      <c r="FB328" s="860"/>
      <c r="FC328" s="860"/>
      <c r="FD328" s="860"/>
      <c r="FE328" s="860"/>
      <c r="FF328" s="860"/>
      <c r="FG328" s="860"/>
      <c r="FH328" s="860"/>
      <c r="FI328" s="860"/>
      <c r="FJ328" s="860"/>
      <c r="FK328" s="860"/>
      <c r="FL328" s="860"/>
      <c r="FM328" s="860"/>
      <c r="FN328" s="860"/>
      <c r="FO328" s="860"/>
      <c r="FP328" s="860"/>
      <c r="FQ328" s="860"/>
      <c r="FR328" s="860"/>
      <c r="FS328" s="860"/>
      <c r="FT328" s="860"/>
      <c r="FU328" s="860"/>
      <c r="FV328" s="860"/>
      <c r="FW328" s="860"/>
      <c r="FX328" s="860"/>
      <c r="FY328" s="860"/>
      <c r="FZ328" s="860"/>
      <c r="GA328" s="860"/>
      <c r="GB328" s="860"/>
      <c r="GC328" s="860"/>
      <c r="GD328" s="860"/>
      <c r="GE328" s="860"/>
      <c r="GF328" s="860"/>
      <c r="GG328" s="860"/>
      <c r="GH328" s="860"/>
      <c r="GI328" s="860"/>
      <c r="GJ328" s="860"/>
      <c r="GK328" s="860"/>
      <c r="GL328" s="860"/>
      <c r="GM328" s="860"/>
      <c r="GN328" s="860"/>
      <c r="GO328" s="860"/>
      <c r="GP328" s="860"/>
      <c r="GQ328" s="860"/>
      <c r="GR328" s="1162"/>
      <c r="GS328" s="860"/>
      <c r="GT328" s="1162"/>
      <c r="GU328" s="860"/>
      <c r="GV328" s="1162"/>
      <c r="GW328" s="860"/>
      <c r="GX328" s="860"/>
      <c r="GY328" s="1162"/>
      <c r="GZ328" s="860"/>
      <c r="HA328" s="860"/>
      <c r="HB328" s="1162"/>
      <c r="HC328" s="860"/>
      <c r="HE328" s="1162"/>
      <c r="HF328" s="860"/>
      <c r="HH328" s="1162"/>
      <c r="HI328" s="1162"/>
      <c r="HJ328" s="860"/>
      <c r="HL328" s="1162"/>
      <c r="HM328" s="860"/>
      <c r="HO328" s="1162"/>
      <c r="HP328" s="860"/>
      <c r="HR328" s="1162"/>
    </row>
    <row r="329" spans="1:226" hidden="1">
      <c r="A329" s="860"/>
      <c r="B329" s="860"/>
      <c r="C329" s="860"/>
      <c r="D329" s="860"/>
      <c r="E329" s="860"/>
      <c r="F329" s="860"/>
      <c r="G329" s="1274"/>
      <c r="H329" s="1274"/>
      <c r="I329" s="1274"/>
      <c r="J329" s="1274"/>
      <c r="K329" s="860"/>
      <c r="L329" s="1274"/>
      <c r="M329" s="1274"/>
      <c r="N329" s="1274"/>
      <c r="O329" s="1274"/>
      <c r="P329" s="860"/>
      <c r="Q329" s="1274"/>
      <c r="R329" s="1274"/>
      <c r="S329" s="1274"/>
      <c r="T329" s="1274"/>
      <c r="U329" s="1274"/>
      <c r="V329" s="1274"/>
      <c r="W329" s="1274"/>
      <c r="X329" s="1274"/>
      <c r="Y329" s="1274"/>
      <c r="Z329" s="1274"/>
      <c r="AA329" s="1274"/>
      <c r="AB329" s="1274"/>
      <c r="AC329" s="1274"/>
      <c r="AD329" s="1274"/>
      <c r="AE329" s="1162"/>
      <c r="AF329" s="1217">
        <f>AF328/AA328-1</f>
        <v>0.13468884483342203</v>
      </c>
      <c r="AG329" s="1217">
        <f>AG328/AB328-1</f>
        <v>0.12101536217564179</v>
      </c>
      <c r="AH329" s="1217">
        <f>AH328/AC328-1</f>
        <v>0.12916478555304733</v>
      </c>
      <c r="AI329" s="1217"/>
      <c r="AJ329" s="1162"/>
      <c r="AK329" s="1162"/>
      <c r="AL329" s="1162"/>
      <c r="AM329" s="1162"/>
      <c r="AN329" s="1162"/>
      <c r="AO329" s="1162"/>
      <c r="AP329" s="1162"/>
      <c r="AQ329" s="1162"/>
      <c r="AR329" s="1162"/>
      <c r="AS329" s="1162"/>
      <c r="AT329" s="1162"/>
      <c r="AU329" s="1162"/>
      <c r="AV329" s="1162"/>
      <c r="AW329" s="1162"/>
      <c r="AX329" s="1162"/>
      <c r="AY329" s="1162"/>
      <c r="AZ329" s="1162"/>
      <c r="BA329" s="1162"/>
      <c r="BB329" s="1162"/>
      <c r="BC329" s="1162"/>
      <c r="BD329" s="1162"/>
      <c r="BE329" s="1242"/>
      <c r="BF329" s="1162"/>
      <c r="BG329" s="1162"/>
      <c r="BH329" s="1162"/>
      <c r="BI329" s="1261"/>
      <c r="BJ329" s="1242"/>
      <c r="BK329" s="1162"/>
      <c r="BL329" s="1162"/>
      <c r="BM329" s="1162"/>
      <c r="BN329" s="1261"/>
      <c r="BO329" s="1242"/>
      <c r="BP329" s="1162"/>
      <c r="BQ329" s="1162"/>
      <c r="BR329" s="1162"/>
      <c r="BS329" s="1261"/>
      <c r="BT329" s="1242"/>
      <c r="BU329" s="1162"/>
      <c r="BV329" s="1162"/>
      <c r="BW329" s="1162"/>
      <c r="BX329" s="1261"/>
      <c r="BY329" s="1242"/>
      <c r="BZ329" s="1162"/>
      <c r="CA329" s="1162"/>
      <c r="CB329" s="1162"/>
      <c r="CC329" s="1261"/>
      <c r="CD329" s="1242"/>
      <c r="CE329" s="1162"/>
      <c r="CF329" s="1162"/>
      <c r="CG329" s="1162"/>
      <c r="CH329" s="1261"/>
      <c r="CI329" s="1162"/>
      <c r="CJ329" s="1162"/>
      <c r="CK329" s="1217"/>
      <c r="CL329" s="1217"/>
      <c r="CM329" s="1217"/>
      <c r="CN329" s="1217"/>
      <c r="CO329" s="860"/>
      <c r="CP329" s="1217"/>
      <c r="CQ329" s="1217"/>
      <c r="CR329" s="1217"/>
      <c r="CS329" s="1217"/>
      <c r="CT329" s="860"/>
      <c r="CU329" s="1217"/>
      <c r="CV329" s="1217"/>
      <c r="CW329" s="1217"/>
      <c r="CX329" s="1217"/>
      <c r="CY329" s="860"/>
      <c r="CZ329" s="860"/>
      <c r="DA329" s="860"/>
      <c r="DB329" s="860"/>
      <c r="DC329" s="860"/>
      <c r="DD329" s="860"/>
      <c r="DE329" s="860"/>
      <c r="DF329" s="860"/>
      <c r="DG329" s="860"/>
      <c r="DH329" s="860"/>
      <c r="DI329" s="860"/>
      <c r="DJ329" s="860"/>
      <c r="DK329" s="860"/>
      <c r="DL329" s="860"/>
      <c r="DM329" s="860"/>
      <c r="DN329" s="860"/>
      <c r="DO329" s="860"/>
      <c r="DP329" s="860"/>
      <c r="DQ329" s="860"/>
      <c r="DR329" s="860"/>
      <c r="DS329" s="860"/>
      <c r="DT329" s="860"/>
      <c r="DU329" s="860"/>
      <c r="DV329" s="860"/>
      <c r="DW329" s="860"/>
      <c r="DX329" s="860"/>
      <c r="DY329" s="860"/>
      <c r="DZ329" s="860"/>
      <c r="EA329" s="860"/>
      <c r="EB329" s="860"/>
      <c r="EC329" s="860"/>
      <c r="ED329" s="860"/>
      <c r="EE329" s="860"/>
      <c r="EF329" s="860"/>
      <c r="EG329" s="860"/>
      <c r="EH329" s="860"/>
      <c r="EI329" s="1233"/>
      <c r="EJ329" s="860"/>
      <c r="EK329" s="860"/>
      <c r="EL329" s="860"/>
      <c r="EM329" s="1232"/>
      <c r="EN329" s="1233"/>
      <c r="EO329" s="860"/>
      <c r="EP329" s="860"/>
      <c r="EQ329" s="860"/>
      <c r="ER329" s="1232"/>
      <c r="ES329" s="860"/>
      <c r="ET329" s="860"/>
      <c r="EU329" s="860"/>
      <c r="EV329" s="860"/>
      <c r="EW329" s="1232"/>
      <c r="EX329" s="860"/>
      <c r="EY329" s="860"/>
      <c r="EZ329" s="860"/>
      <c r="FA329" s="860"/>
      <c r="FB329" s="860"/>
      <c r="FC329" s="860"/>
      <c r="FD329" s="860"/>
      <c r="FE329" s="860"/>
      <c r="FF329" s="860"/>
      <c r="FG329" s="860"/>
      <c r="FH329" s="860"/>
      <c r="FI329" s="860"/>
      <c r="FJ329" s="860"/>
      <c r="FK329" s="860"/>
      <c r="FL329" s="860"/>
      <c r="FM329" s="860"/>
      <c r="FN329" s="860"/>
      <c r="FO329" s="860"/>
      <c r="FP329" s="860"/>
      <c r="FQ329" s="860"/>
      <c r="FR329" s="860"/>
      <c r="FS329" s="860"/>
      <c r="FT329" s="860"/>
      <c r="FU329" s="860"/>
      <c r="FV329" s="860"/>
      <c r="FW329" s="860"/>
      <c r="FX329" s="860"/>
      <c r="FY329" s="860"/>
      <c r="FZ329" s="860"/>
      <c r="GA329" s="860"/>
      <c r="GB329" s="860"/>
      <c r="GC329" s="860"/>
      <c r="GD329" s="860"/>
      <c r="GE329" s="860"/>
      <c r="GF329" s="860"/>
      <c r="GG329" s="860"/>
      <c r="GH329" s="860"/>
      <c r="GI329" s="860"/>
      <c r="GJ329" s="860"/>
      <c r="GK329" s="860"/>
      <c r="GL329" s="860"/>
      <c r="GM329" s="860"/>
      <c r="GN329" s="860"/>
      <c r="GO329" s="860"/>
      <c r="GP329" s="860"/>
      <c r="GQ329" s="860"/>
      <c r="GR329" s="1162"/>
      <c r="GS329" s="860"/>
      <c r="GT329" s="1162"/>
      <c r="GU329" s="860"/>
      <c r="GV329" s="1162"/>
      <c r="GW329" s="860"/>
      <c r="GX329" s="860"/>
      <c r="GY329" s="1162"/>
      <c r="GZ329" s="860"/>
      <c r="HA329" s="860"/>
      <c r="HB329" s="1162"/>
      <c r="HC329" s="860"/>
      <c r="HE329" s="1162"/>
      <c r="HF329" s="860"/>
      <c r="HH329" s="1162"/>
      <c r="HI329" s="1162"/>
      <c r="HJ329" s="860"/>
      <c r="HL329" s="1162"/>
      <c r="HM329" s="860"/>
      <c r="HO329" s="1162"/>
      <c r="HP329" s="860"/>
      <c r="HR329" s="1162"/>
    </row>
    <row r="330" spans="1:226" hidden="1">
      <c r="A330" s="860" t="str">
        <f>A315</f>
        <v>EBITDA</v>
      </c>
      <c r="B330" s="860"/>
      <c r="C330" s="860"/>
      <c r="D330" s="860"/>
      <c r="E330" s="860"/>
      <c r="F330" s="860"/>
      <c r="G330" s="1274"/>
      <c r="H330" s="1274"/>
      <c r="I330" s="1274"/>
      <c r="J330" s="1274"/>
      <c r="K330" s="860"/>
      <c r="L330" s="1274"/>
      <c r="M330" s="1274"/>
      <c r="N330" s="1274"/>
      <c r="O330" s="1274"/>
      <c r="P330" s="860"/>
      <c r="Q330" s="1274"/>
      <c r="R330" s="1274"/>
      <c r="S330" s="1274"/>
      <c r="T330" s="1274"/>
      <c r="U330" s="1274"/>
      <c r="V330" s="1274"/>
      <c r="W330" s="1274"/>
      <c r="X330" s="1274"/>
      <c r="Y330" s="1274"/>
      <c r="Z330" s="1274"/>
      <c r="AA330" s="1274">
        <f>AA32-AA315</f>
        <v>1630.0000000000002</v>
      </c>
      <c r="AB330" s="1274">
        <f>AB32-AB315</f>
        <v>1714.1999999999998</v>
      </c>
      <c r="AC330" s="1274">
        <f>AC32-AC315</f>
        <v>1799</v>
      </c>
      <c r="AD330" s="1274">
        <f>AD32-AD315</f>
        <v>1821.5999999999995</v>
      </c>
      <c r="AE330" s="1162"/>
      <c r="AF330" s="1274">
        <f>AF32-AF315</f>
        <v>1945.2</v>
      </c>
      <c r="AG330" s="1274">
        <f>AG32-AG315</f>
        <v>2008.1999999999998</v>
      </c>
      <c r="AH330" s="1274">
        <f>AH32-AH315</f>
        <v>2120.1999999999998</v>
      </c>
      <c r="AI330" s="1274"/>
      <c r="AJ330" s="1162"/>
      <c r="AK330" s="1162"/>
      <c r="AL330" s="1162"/>
      <c r="AM330" s="1162"/>
      <c r="AN330" s="1162"/>
      <c r="AO330" s="1162"/>
      <c r="AP330" s="1162"/>
      <c r="AQ330" s="1162"/>
      <c r="AR330" s="1162"/>
      <c r="AS330" s="1162"/>
      <c r="AT330" s="1162"/>
      <c r="AU330" s="1162"/>
      <c r="AV330" s="1162"/>
      <c r="AW330" s="1162"/>
      <c r="AX330" s="1162"/>
      <c r="AY330" s="1162"/>
      <c r="AZ330" s="1162"/>
      <c r="BA330" s="1162"/>
      <c r="BB330" s="1162"/>
      <c r="BC330" s="1162"/>
      <c r="BD330" s="1162"/>
      <c r="BE330" s="1242"/>
      <c r="BF330" s="1162"/>
      <c r="BG330" s="1162"/>
      <c r="BH330" s="1162"/>
      <c r="BI330" s="1261"/>
      <c r="BJ330" s="1242"/>
      <c r="BK330" s="1162"/>
      <c r="BL330" s="1162"/>
      <c r="BM330" s="1162"/>
      <c r="BN330" s="1261"/>
      <c r="BO330" s="1242"/>
      <c r="BP330" s="1162"/>
      <c r="BQ330" s="1162"/>
      <c r="BR330" s="1162"/>
      <c r="BS330" s="1261"/>
      <c r="BT330" s="1242"/>
      <c r="BU330" s="1162"/>
      <c r="BV330" s="1162"/>
      <c r="BW330" s="1162"/>
      <c r="BX330" s="1261"/>
      <c r="BY330" s="1242"/>
      <c r="BZ330" s="1162"/>
      <c r="CA330" s="1162"/>
      <c r="CB330" s="1162"/>
      <c r="CC330" s="1261"/>
      <c r="CD330" s="1242"/>
      <c r="CE330" s="1162"/>
      <c r="CF330" s="1162"/>
      <c r="CG330" s="1162"/>
      <c r="CH330" s="1261"/>
      <c r="CI330" s="1162"/>
      <c r="CJ330" s="1162"/>
      <c r="CK330" s="1217"/>
      <c r="CL330" s="1217"/>
      <c r="CM330" s="1217"/>
      <c r="CN330" s="1217"/>
      <c r="CO330" s="860"/>
      <c r="CP330" s="1217"/>
      <c r="CQ330" s="1217"/>
      <c r="CR330" s="1217"/>
      <c r="CS330" s="1217"/>
      <c r="CT330" s="860"/>
      <c r="CU330" s="1217"/>
      <c r="CV330" s="1217"/>
      <c r="CW330" s="1217"/>
      <c r="CX330" s="1217"/>
      <c r="CY330" s="860"/>
      <c r="CZ330" s="860"/>
      <c r="DA330" s="860"/>
      <c r="DB330" s="860"/>
      <c r="DC330" s="860"/>
      <c r="DD330" s="860"/>
      <c r="DE330" s="860"/>
      <c r="DF330" s="860"/>
      <c r="DG330" s="860"/>
      <c r="DH330" s="860"/>
      <c r="DI330" s="860"/>
      <c r="DJ330" s="860"/>
      <c r="DK330" s="860"/>
      <c r="DL330" s="860"/>
      <c r="DM330" s="860"/>
      <c r="DN330" s="860"/>
      <c r="DO330" s="860"/>
      <c r="DP330" s="860"/>
      <c r="DQ330" s="860"/>
      <c r="DR330" s="860"/>
      <c r="DS330" s="860"/>
      <c r="DT330" s="860"/>
      <c r="DU330" s="860"/>
      <c r="DV330" s="860"/>
      <c r="DW330" s="860"/>
      <c r="DX330" s="860"/>
      <c r="DY330" s="860"/>
      <c r="DZ330" s="860"/>
      <c r="EA330" s="860"/>
      <c r="EB330" s="860"/>
      <c r="EC330" s="860"/>
      <c r="ED330" s="860"/>
      <c r="EE330" s="860"/>
      <c r="EF330" s="860"/>
      <c r="EG330" s="860"/>
      <c r="EH330" s="860"/>
      <c r="EI330" s="1233"/>
      <c r="EJ330" s="860"/>
      <c r="EK330" s="860"/>
      <c r="EL330" s="860"/>
      <c r="EM330" s="1232"/>
      <c r="EN330" s="1233"/>
      <c r="EO330" s="860"/>
      <c r="EP330" s="860"/>
      <c r="EQ330" s="860"/>
      <c r="ER330" s="1232"/>
      <c r="ES330" s="860"/>
      <c r="ET330" s="860"/>
      <c r="EU330" s="860"/>
      <c r="EV330" s="860"/>
      <c r="EW330" s="1232"/>
      <c r="EX330" s="860"/>
      <c r="EY330" s="860"/>
      <c r="EZ330" s="860"/>
      <c r="FA330" s="860"/>
      <c r="FB330" s="860"/>
      <c r="FC330" s="860"/>
      <c r="FD330" s="860"/>
      <c r="FE330" s="860"/>
      <c r="FF330" s="860"/>
      <c r="FG330" s="860"/>
      <c r="FH330" s="860"/>
      <c r="FI330" s="860"/>
      <c r="FJ330" s="860"/>
      <c r="FK330" s="860"/>
      <c r="FL330" s="860"/>
      <c r="FM330" s="860"/>
      <c r="FN330" s="860"/>
      <c r="FO330" s="860"/>
      <c r="FP330" s="860"/>
      <c r="FQ330" s="860"/>
      <c r="FR330" s="860"/>
      <c r="FS330" s="860"/>
      <c r="FT330" s="860"/>
      <c r="FU330" s="860"/>
      <c r="FV330" s="860"/>
      <c r="FW330" s="860"/>
      <c r="FX330" s="860"/>
      <c r="FY330" s="860"/>
      <c r="FZ330" s="860"/>
      <c r="GA330" s="860"/>
      <c r="GB330" s="860"/>
      <c r="GC330" s="860"/>
      <c r="GD330" s="860"/>
      <c r="GE330" s="860"/>
      <c r="GF330" s="860"/>
      <c r="GG330" s="860"/>
      <c r="GH330" s="860"/>
      <c r="GI330" s="860"/>
      <c r="GJ330" s="860"/>
      <c r="GK330" s="860"/>
      <c r="GL330" s="860"/>
      <c r="GM330" s="860"/>
      <c r="GN330" s="860"/>
      <c r="GO330" s="860"/>
      <c r="GP330" s="860"/>
      <c r="GQ330" s="860"/>
      <c r="GR330" s="1162"/>
      <c r="GS330" s="860"/>
      <c r="GT330" s="1162"/>
      <c r="GU330" s="860"/>
      <c r="GV330" s="1162"/>
      <c r="GW330" s="860"/>
      <c r="GX330" s="860"/>
      <c r="GY330" s="1162"/>
      <c r="GZ330" s="860"/>
      <c r="HA330" s="860"/>
      <c r="HB330" s="1162"/>
      <c r="HC330" s="860"/>
      <c r="HE330" s="1162"/>
      <c r="HF330" s="860"/>
      <c r="HH330" s="1162"/>
      <c r="HI330" s="1162"/>
      <c r="HJ330" s="860"/>
      <c r="HL330" s="1162"/>
      <c r="HM330" s="860"/>
      <c r="HO330" s="1162"/>
      <c r="HP330" s="860"/>
      <c r="HR330" s="1162"/>
    </row>
    <row r="331" spans="1:226" hidden="1">
      <c r="A331" s="860" t="str">
        <f>A316</f>
        <v>margin</v>
      </c>
      <c r="B331" s="860"/>
      <c r="C331" s="860"/>
      <c r="D331" s="860"/>
      <c r="E331" s="860"/>
      <c r="F331" s="860"/>
      <c r="G331" s="1274"/>
      <c r="H331" s="1274"/>
      <c r="I331" s="1274"/>
      <c r="J331" s="1274"/>
      <c r="K331" s="860"/>
      <c r="L331" s="1274"/>
      <c r="M331" s="1274"/>
      <c r="N331" s="1274"/>
      <c r="O331" s="1274"/>
      <c r="P331" s="860"/>
      <c r="Q331" s="1274"/>
      <c r="R331" s="1274"/>
      <c r="S331" s="1274"/>
      <c r="T331" s="1274"/>
      <c r="U331" s="1274"/>
      <c r="V331" s="1274"/>
      <c r="W331" s="1274"/>
      <c r="X331" s="1274"/>
      <c r="Y331" s="1217"/>
      <c r="Z331" s="1274"/>
      <c r="AA331" s="1217">
        <f>AA330/AA328</f>
        <v>0.39408152410425035</v>
      </c>
      <c r="AB331" s="1217">
        <f>AB330/AB328</f>
        <v>0.40327475474627705</v>
      </c>
      <c r="AC331" s="1217">
        <f>AC330/AC328</f>
        <v>0.40609480812641086</v>
      </c>
      <c r="AD331" s="1217">
        <f>AD330/AD328</f>
        <v>0.39538972455557725</v>
      </c>
      <c r="AE331" s="1162"/>
      <c r="AF331" s="1217">
        <f>AF330/AF328</f>
        <v>0.41446317090320245</v>
      </c>
      <c r="AG331" s="1217">
        <f>AG330/AG328</f>
        <v>0.4214392142872132</v>
      </c>
      <c r="AH331" s="1217">
        <f>AH330/AH328</f>
        <v>0.42385350445803843</v>
      </c>
      <c r="AI331" s="1217"/>
      <c r="AJ331" s="1162"/>
      <c r="AK331" s="1162"/>
      <c r="AL331" s="1162"/>
      <c r="AM331" s="1162"/>
      <c r="AN331" s="1162"/>
      <c r="AO331" s="1162"/>
      <c r="AP331" s="1162"/>
      <c r="AQ331" s="1162"/>
      <c r="AR331" s="1162"/>
      <c r="AS331" s="1162"/>
      <c r="AT331" s="1162"/>
      <c r="AU331" s="1162"/>
      <c r="AV331" s="1162"/>
      <c r="AW331" s="1162"/>
      <c r="AX331" s="1162"/>
      <c r="AY331" s="1162"/>
      <c r="AZ331" s="1162"/>
      <c r="BA331" s="1162"/>
      <c r="BB331" s="1162"/>
      <c r="BC331" s="1162"/>
      <c r="BD331" s="1162"/>
      <c r="BE331" s="1242"/>
      <c r="BF331" s="1162"/>
      <c r="BG331" s="1162"/>
      <c r="BH331" s="1162"/>
      <c r="BI331" s="1261"/>
      <c r="BJ331" s="1242"/>
      <c r="BK331" s="1162"/>
      <c r="BL331" s="1162"/>
      <c r="BM331" s="1162"/>
      <c r="BN331" s="1261"/>
      <c r="BO331" s="1242"/>
      <c r="BP331" s="1162"/>
      <c r="BQ331" s="1162"/>
      <c r="BR331" s="1162"/>
      <c r="BS331" s="1261"/>
      <c r="BT331" s="1242"/>
      <c r="BU331" s="1162"/>
      <c r="BV331" s="1162"/>
      <c r="BW331" s="1162"/>
      <c r="BX331" s="1261"/>
      <c r="BY331" s="1242"/>
      <c r="BZ331" s="1162"/>
      <c r="CA331" s="1162"/>
      <c r="CB331" s="1162"/>
      <c r="CC331" s="1261"/>
      <c r="CD331" s="1242"/>
      <c r="CE331" s="1162"/>
      <c r="CF331" s="1162"/>
      <c r="CG331" s="1162"/>
      <c r="CH331" s="1261"/>
      <c r="CI331" s="1162"/>
      <c r="CJ331" s="1162"/>
      <c r="CK331" s="1217"/>
      <c r="CL331" s="1217"/>
      <c r="CM331" s="1217"/>
      <c r="CN331" s="1217"/>
      <c r="CO331" s="860"/>
      <c r="CP331" s="1217"/>
      <c r="CQ331" s="1217"/>
      <c r="CR331" s="1217"/>
      <c r="CS331" s="1217"/>
      <c r="CT331" s="860"/>
      <c r="CU331" s="1217"/>
      <c r="CV331" s="1217"/>
      <c r="CW331" s="1217"/>
      <c r="CX331" s="1217"/>
      <c r="CY331" s="860"/>
      <c r="CZ331" s="860"/>
      <c r="DA331" s="860"/>
      <c r="DB331" s="860"/>
      <c r="DC331" s="860"/>
      <c r="DD331" s="860"/>
      <c r="DE331" s="860"/>
      <c r="DF331" s="860"/>
      <c r="DG331" s="860"/>
      <c r="DH331" s="860"/>
      <c r="DI331" s="860"/>
      <c r="DJ331" s="860"/>
      <c r="DK331" s="860"/>
      <c r="DL331" s="860"/>
      <c r="DM331" s="860"/>
      <c r="DN331" s="860"/>
      <c r="DO331" s="860"/>
      <c r="DP331" s="860"/>
      <c r="DQ331" s="860"/>
      <c r="DR331" s="860"/>
      <c r="DS331" s="860"/>
      <c r="DT331" s="860"/>
      <c r="DU331" s="860"/>
      <c r="DV331" s="860"/>
      <c r="DW331" s="860"/>
      <c r="DX331" s="860"/>
      <c r="DY331" s="860"/>
      <c r="DZ331" s="860"/>
      <c r="EA331" s="860"/>
      <c r="EB331" s="860"/>
      <c r="EC331" s="860"/>
      <c r="ED331" s="860"/>
      <c r="EE331" s="860"/>
      <c r="EF331" s="860"/>
      <c r="EG331" s="860"/>
      <c r="EH331" s="860"/>
      <c r="EI331" s="1233"/>
      <c r="EJ331" s="860"/>
      <c r="EK331" s="860"/>
      <c r="EL331" s="860"/>
      <c r="EM331" s="1232"/>
      <c r="EN331" s="1233"/>
      <c r="EO331" s="860"/>
      <c r="EP331" s="860"/>
      <c r="EQ331" s="860"/>
      <c r="ER331" s="1232"/>
      <c r="ES331" s="860"/>
      <c r="ET331" s="860"/>
      <c r="EU331" s="860"/>
      <c r="EV331" s="860"/>
      <c r="EW331" s="1232"/>
      <c r="EX331" s="860"/>
      <c r="EY331" s="860"/>
      <c r="EZ331" s="860"/>
      <c r="FA331" s="860"/>
      <c r="FB331" s="860"/>
      <c r="FC331" s="860"/>
      <c r="FD331" s="860"/>
      <c r="FE331" s="860"/>
      <c r="FF331" s="860"/>
      <c r="FG331" s="860"/>
      <c r="FH331" s="860"/>
      <c r="FI331" s="860"/>
      <c r="FJ331" s="860"/>
      <c r="FK331" s="860"/>
      <c r="FL331" s="860"/>
      <c r="FM331" s="860"/>
      <c r="FN331" s="860"/>
      <c r="FO331" s="860"/>
      <c r="FP331" s="860"/>
      <c r="FQ331" s="860"/>
      <c r="FR331" s="860"/>
      <c r="FS331" s="860"/>
      <c r="FT331" s="860"/>
      <c r="FU331" s="860"/>
      <c r="FV331" s="860"/>
      <c r="FW331" s="860"/>
      <c r="FX331" s="860"/>
      <c r="FY331" s="860"/>
      <c r="FZ331" s="860"/>
      <c r="GA331" s="860"/>
      <c r="GB331" s="860"/>
      <c r="GC331" s="860"/>
      <c r="GD331" s="860"/>
      <c r="GE331" s="860"/>
      <c r="GF331" s="860"/>
      <c r="GG331" s="860"/>
      <c r="GH331" s="860"/>
      <c r="GI331" s="860"/>
      <c r="GJ331" s="860"/>
      <c r="GK331" s="860"/>
      <c r="GL331" s="860"/>
      <c r="GM331" s="860"/>
      <c r="GN331" s="860"/>
      <c r="GO331" s="860"/>
      <c r="GP331" s="860"/>
      <c r="GQ331" s="860"/>
      <c r="GR331" s="1162"/>
      <c r="GS331" s="860"/>
      <c r="GT331" s="1162"/>
      <c r="GU331" s="860"/>
      <c r="GV331" s="1162"/>
      <c r="GW331" s="860"/>
      <c r="GX331" s="860"/>
      <c r="GY331" s="1162"/>
      <c r="GZ331" s="860"/>
      <c r="HA331" s="860"/>
      <c r="HB331" s="1162"/>
      <c r="HC331" s="860"/>
      <c r="HE331" s="1162"/>
      <c r="HF331" s="860"/>
      <c r="HH331" s="1162"/>
      <c r="HI331" s="1162"/>
      <c r="HJ331" s="860"/>
      <c r="HL331" s="1162"/>
      <c r="HM331" s="860"/>
      <c r="HO331" s="1162"/>
      <c r="HP331" s="860"/>
      <c r="HR331" s="1162"/>
    </row>
    <row r="332" spans="1:226" hidden="1">
      <c r="A332" s="860"/>
      <c r="B332" s="860"/>
      <c r="C332" s="860"/>
      <c r="D332" s="860"/>
      <c r="E332" s="860"/>
      <c r="F332" s="860"/>
      <c r="G332" s="1274"/>
      <c r="H332" s="1274"/>
      <c r="I332" s="1274"/>
      <c r="J332" s="1274"/>
      <c r="K332" s="860"/>
      <c r="L332" s="1274"/>
      <c r="M332" s="1274"/>
      <c r="N332" s="1274"/>
      <c r="O332" s="1274"/>
      <c r="P332" s="860"/>
      <c r="Q332" s="1274"/>
      <c r="R332" s="1274"/>
      <c r="S332" s="1274"/>
      <c r="T332" s="1274"/>
      <c r="U332" s="1274"/>
      <c r="V332" s="1274"/>
      <c r="W332" s="1274"/>
      <c r="X332" s="1274"/>
      <c r="Y332" s="1274"/>
      <c r="Z332" s="1274"/>
      <c r="AA332" s="1274"/>
      <c r="AB332" s="1274"/>
      <c r="AC332" s="1274"/>
      <c r="AD332" s="1274"/>
      <c r="AE332" s="1162"/>
      <c r="AF332" s="1162"/>
      <c r="AG332" s="1217"/>
      <c r="AH332" s="1217"/>
      <c r="AI332" s="1217"/>
      <c r="AJ332" s="1162"/>
      <c r="AK332" s="1162"/>
      <c r="AL332" s="1162"/>
      <c r="AM332" s="1162"/>
      <c r="AN332" s="1162"/>
      <c r="AO332" s="1162"/>
      <c r="AP332" s="1162"/>
      <c r="AQ332" s="1162"/>
      <c r="AR332" s="1162"/>
      <c r="AS332" s="1162"/>
      <c r="AT332" s="1162"/>
      <c r="AU332" s="1162"/>
      <c r="AV332" s="1162"/>
      <c r="AW332" s="1162"/>
      <c r="AX332" s="1162"/>
      <c r="AY332" s="1162"/>
      <c r="AZ332" s="1162"/>
      <c r="BA332" s="1162"/>
      <c r="BB332" s="1162"/>
      <c r="BC332" s="1162"/>
      <c r="BD332" s="1162"/>
      <c r="BE332" s="1242"/>
      <c r="BF332" s="1162"/>
      <c r="BG332" s="1162"/>
      <c r="BH332" s="1162"/>
      <c r="BI332" s="1261"/>
      <c r="BJ332" s="1242"/>
      <c r="BK332" s="1162"/>
      <c r="BL332" s="1162"/>
      <c r="BM332" s="1162"/>
      <c r="BN332" s="1261"/>
      <c r="BO332" s="1242"/>
      <c r="BP332" s="1162"/>
      <c r="BQ332" s="1162"/>
      <c r="BR332" s="1162"/>
      <c r="BS332" s="1261"/>
      <c r="BT332" s="1242"/>
      <c r="BU332" s="1162"/>
      <c r="BV332" s="1162"/>
      <c r="BW332" s="1162"/>
      <c r="BX332" s="1261"/>
      <c r="BY332" s="1242"/>
      <c r="BZ332" s="1162"/>
      <c r="CA332" s="1162"/>
      <c r="CB332" s="1162"/>
      <c r="CC332" s="1261"/>
      <c r="CD332" s="1242"/>
      <c r="CE332" s="1162"/>
      <c r="CF332" s="1162"/>
      <c r="CG332" s="1162"/>
      <c r="CH332" s="1261"/>
      <c r="CI332" s="1162"/>
      <c r="CJ332" s="1162"/>
      <c r="CK332" s="1217"/>
      <c r="CL332" s="1217"/>
      <c r="CM332" s="1217"/>
      <c r="CN332" s="1217"/>
      <c r="CO332" s="860"/>
      <c r="CP332" s="1217"/>
      <c r="CQ332" s="1217"/>
      <c r="CR332" s="1217"/>
      <c r="CS332" s="1217"/>
      <c r="CT332" s="860"/>
      <c r="CU332" s="1217"/>
      <c r="CV332" s="1217"/>
      <c r="CW332" s="1217"/>
      <c r="CX332" s="1217"/>
      <c r="CY332" s="860"/>
      <c r="CZ332" s="860"/>
      <c r="DA332" s="860"/>
      <c r="DB332" s="860"/>
      <c r="DC332" s="860"/>
      <c r="DD332" s="860"/>
      <c r="DE332" s="860"/>
      <c r="DF332" s="860"/>
      <c r="DG332" s="860"/>
      <c r="DH332" s="860"/>
      <c r="DI332" s="860"/>
      <c r="DJ332" s="860"/>
      <c r="DK332" s="860"/>
      <c r="DL332" s="860"/>
      <c r="DM332" s="860"/>
      <c r="DN332" s="860"/>
      <c r="DO332" s="860"/>
      <c r="DP332" s="860"/>
      <c r="DQ332" s="860"/>
      <c r="DR332" s="860"/>
      <c r="DS332" s="860"/>
      <c r="DT332" s="860"/>
      <c r="DU332" s="860"/>
      <c r="DV332" s="860"/>
      <c r="DW332" s="860"/>
      <c r="DX332" s="860"/>
      <c r="DY332" s="860"/>
      <c r="DZ332" s="860"/>
      <c r="EA332" s="860"/>
      <c r="EB332" s="860"/>
      <c r="EC332" s="860"/>
      <c r="ED332" s="860"/>
      <c r="EE332" s="860"/>
      <c r="EF332" s="860"/>
      <c r="EG332" s="860"/>
      <c r="EH332" s="860"/>
      <c r="EI332" s="1233"/>
      <c r="EJ332" s="860"/>
      <c r="EK332" s="860"/>
      <c r="EL332" s="860"/>
      <c r="EM332" s="1232"/>
      <c r="EN332" s="1233"/>
      <c r="EO332" s="860"/>
      <c r="EP332" s="860"/>
      <c r="EQ332" s="860"/>
      <c r="ER332" s="1232"/>
      <c r="ES332" s="860"/>
      <c r="ET332" s="860"/>
      <c r="EU332" s="860"/>
      <c r="EV332" s="860"/>
      <c r="EW332" s="1232"/>
      <c r="EX332" s="860"/>
      <c r="EY332" s="860"/>
      <c r="EZ332" s="860"/>
      <c r="FA332" s="860"/>
      <c r="FB332" s="860"/>
      <c r="FC332" s="860"/>
      <c r="FD332" s="860"/>
      <c r="FE332" s="860"/>
      <c r="FF332" s="860"/>
      <c r="FG332" s="860"/>
      <c r="FH332" s="860"/>
      <c r="FI332" s="860"/>
      <c r="FJ332" s="860"/>
      <c r="FK332" s="860"/>
      <c r="FL332" s="860"/>
      <c r="FM332" s="860"/>
      <c r="FN332" s="860"/>
      <c r="FO332" s="860"/>
      <c r="FP332" s="860"/>
      <c r="FQ332" s="860"/>
      <c r="FR332" s="860"/>
      <c r="FS332" s="860"/>
      <c r="FT332" s="860"/>
      <c r="FU332" s="860"/>
      <c r="FV332" s="860"/>
      <c r="FW332" s="860"/>
      <c r="FX332" s="860"/>
      <c r="FY332" s="860"/>
      <c r="FZ332" s="860"/>
      <c r="GA332" s="860"/>
      <c r="GB332" s="860"/>
      <c r="GC332" s="860"/>
      <c r="GD332" s="860"/>
      <c r="GE332" s="860"/>
      <c r="GF332" s="860"/>
      <c r="GG332" s="860"/>
      <c r="GH332" s="860"/>
      <c r="GI332" s="860"/>
      <c r="GJ332" s="860"/>
      <c r="GK332" s="860"/>
      <c r="GL332" s="860"/>
      <c r="GM332" s="860"/>
      <c r="GN332" s="860"/>
      <c r="GO332" s="860"/>
      <c r="GP332" s="860"/>
      <c r="GQ332" s="860"/>
      <c r="GR332" s="1162"/>
      <c r="GS332" s="860"/>
      <c r="GT332" s="1162"/>
      <c r="GU332" s="860"/>
      <c r="GV332" s="1162"/>
      <c r="GW332" s="860"/>
      <c r="GX332" s="860"/>
      <c r="GY332" s="1162"/>
      <c r="GZ332" s="860"/>
      <c r="HA332" s="860"/>
      <c r="HB332" s="1162"/>
      <c r="HC332" s="860"/>
      <c r="HE332" s="1162"/>
      <c r="HF332" s="860"/>
      <c r="HH332" s="1162"/>
      <c r="HI332" s="1162"/>
      <c r="HJ332" s="860"/>
      <c r="HL332" s="1162"/>
      <c r="HM332" s="860"/>
      <c r="HO332" s="1162"/>
      <c r="HP332" s="860"/>
      <c r="HR332" s="1162"/>
    </row>
    <row r="333" spans="1:226" hidden="1">
      <c r="A333" s="860" t="s">
        <v>840</v>
      </c>
      <c r="B333" s="860"/>
      <c r="C333" s="860"/>
      <c r="D333" s="860"/>
      <c r="E333" s="860"/>
      <c r="F333" s="860"/>
      <c r="G333" s="860"/>
      <c r="H333" s="860"/>
      <c r="I333" s="860"/>
      <c r="J333" s="860"/>
      <c r="K333" s="860"/>
      <c r="L333" s="860"/>
      <c r="M333" s="860"/>
      <c r="N333" s="860"/>
      <c r="O333" s="860"/>
      <c r="P333" s="860"/>
      <c r="Q333" s="860"/>
      <c r="R333" s="860"/>
      <c r="S333" s="860"/>
      <c r="T333" s="860"/>
      <c r="U333" s="1162"/>
      <c r="V333" s="1162"/>
      <c r="W333" s="1162"/>
      <c r="X333" s="1162"/>
      <c r="Y333" s="1162"/>
      <c r="Z333" s="1162"/>
      <c r="AA333" s="1162"/>
      <c r="AB333" s="1162"/>
      <c r="AC333" s="1162"/>
      <c r="AD333" s="1162"/>
      <c r="AE333" s="1162"/>
      <c r="AF333" s="1162"/>
      <c r="AG333" s="1162"/>
      <c r="AH333" s="1162"/>
      <c r="AI333" s="1162"/>
      <c r="AJ333" s="1162"/>
      <c r="AK333" s="1162"/>
      <c r="AL333" s="1162"/>
      <c r="AM333" s="1162"/>
      <c r="AN333" s="1162"/>
      <c r="AO333" s="1162"/>
      <c r="AP333" s="1162"/>
      <c r="AQ333" s="1162"/>
      <c r="AR333" s="1162"/>
      <c r="AS333" s="1162"/>
      <c r="AT333" s="1162"/>
      <c r="AU333" s="1162"/>
      <c r="AV333" s="1162"/>
      <c r="AW333" s="1162"/>
      <c r="AX333" s="1162"/>
      <c r="AY333" s="1162"/>
      <c r="AZ333" s="1162"/>
      <c r="BA333" s="1162"/>
      <c r="BB333" s="1162"/>
      <c r="BC333" s="1162"/>
      <c r="BD333" s="1162"/>
      <c r="BE333" s="1242"/>
      <c r="BF333" s="1162"/>
      <c r="BG333" s="1162"/>
      <c r="BH333" s="1162"/>
      <c r="BI333" s="1261"/>
      <c r="BJ333" s="1242"/>
      <c r="BK333" s="1162"/>
      <c r="BL333" s="1162"/>
      <c r="BM333" s="1162"/>
      <c r="BN333" s="1261"/>
      <c r="BO333" s="1242"/>
      <c r="BP333" s="1162"/>
      <c r="BQ333" s="1162"/>
      <c r="BR333" s="1162"/>
      <c r="BS333" s="1261"/>
      <c r="BT333" s="1242"/>
      <c r="BU333" s="1162"/>
      <c r="BV333" s="1162"/>
      <c r="BW333" s="1162"/>
      <c r="BX333" s="1261"/>
      <c r="BY333" s="1242"/>
      <c r="BZ333" s="1162"/>
      <c r="CA333" s="1162"/>
      <c r="CB333" s="1162"/>
      <c r="CC333" s="1261"/>
      <c r="CD333" s="1242"/>
      <c r="CE333" s="1162"/>
      <c r="CF333" s="1162"/>
      <c r="CG333" s="1162"/>
      <c r="CH333" s="1261"/>
      <c r="CI333" s="1162"/>
      <c r="CJ333" s="1162"/>
      <c r="CK333" s="860"/>
      <c r="CL333" s="860"/>
      <c r="CM333" s="860"/>
      <c r="CN333" s="860"/>
      <c r="CO333" s="860"/>
      <c r="CP333" s="860"/>
      <c r="CQ333" s="860"/>
      <c r="CR333" s="860"/>
      <c r="CS333" s="860"/>
      <c r="CT333" s="860"/>
      <c r="CU333" s="860"/>
      <c r="CV333" s="860"/>
      <c r="CW333" s="860"/>
      <c r="CX333" s="860"/>
      <c r="CY333" s="860"/>
      <c r="CZ333" s="860"/>
      <c r="DA333" s="860"/>
      <c r="DB333" s="860"/>
      <c r="DC333" s="860"/>
      <c r="DD333" s="860"/>
      <c r="DE333" s="860"/>
      <c r="DF333" s="860"/>
      <c r="DG333" s="860"/>
      <c r="DH333" s="860"/>
      <c r="DI333" s="860"/>
      <c r="DJ333" s="860"/>
      <c r="DK333" s="860"/>
      <c r="DL333" s="860"/>
      <c r="DM333" s="860"/>
      <c r="DN333" s="860"/>
      <c r="DO333" s="860"/>
      <c r="DP333" s="860"/>
      <c r="DQ333" s="860"/>
      <c r="DR333" s="860"/>
      <c r="DS333" s="860"/>
      <c r="DT333" s="860"/>
      <c r="DU333" s="860"/>
      <c r="DV333" s="860"/>
      <c r="DW333" s="860"/>
      <c r="DX333" s="860"/>
      <c r="DY333" s="860"/>
      <c r="DZ333" s="860"/>
      <c r="EA333" s="860"/>
      <c r="EB333" s="860"/>
      <c r="EC333" s="860"/>
      <c r="ED333" s="860"/>
      <c r="EE333" s="860"/>
      <c r="EF333" s="860"/>
      <c r="EG333" s="860"/>
      <c r="EH333" s="860"/>
      <c r="EI333" s="1233"/>
      <c r="EJ333" s="860"/>
      <c r="EK333" s="860"/>
      <c r="EL333" s="860"/>
      <c r="EM333" s="1232"/>
      <c r="EN333" s="1233"/>
      <c r="EO333" s="860"/>
      <c r="EP333" s="860"/>
      <c r="EQ333" s="860"/>
      <c r="ER333" s="1232"/>
      <c r="ES333" s="860"/>
      <c r="ET333" s="860"/>
      <c r="EU333" s="860"/>
      <c r="EV333" s="860"/>
      <c r="EW333" s="1232"/>
      <c r="EX333" s="860"/>
      <c r="EY333" s="860"/>
      <c r="EZ333" s="860"/>
      <c r="FA333" s="860"/>
      <c r="FB333" s="860"/>
      <c r="FC333" s="860"/>
      <c r="FD333" s="860"/>
      <c r="FE333" s="860"/>
      <c r="FF333" s="860"/>
      <c r="FG333" s="860"/>
      <c r="FH333" s="860"/>
      <c r="FI333" s="860"/>
      <c r="FJ333" s="860"/>
      <c r="FK333" s="860"/>
      <c r="FL333" s="860"/>
      <c r="FM333" s="860"/>
      <c r="FN333" s="860"/>
      <c r="FO333" s="860"/>
      <c r="FP333" s="860"/>
      <c r="FQ333" s="860"/>
      <c r="FR333" s="860"/>
      <c r="FS333" s="860"/>
      <c r="FT333" s="860"/>
      <c r="FU333" s="860"/>
      <c r="FV333" s="860"/>
      <c r="FW333" s="860"/>
      <c r="FX333" s="860"/>
      <c r="FY333" s="860"/>
      <c r="FZ333" s="860"/>
      <c r="GA333" s="860"/>
      <c r="GB333" s="860"/>
      <c r="GC333" s="860"/>
      <c r="GD333" s="860"/>
      <c r="GE333" s="860"/>
      <c r="GF333" s="860"/>
      <c r="GG333" s="860"/>
      <c r="GH333" s="860"/>
      <c r="GI333" s="860"/>
      <c r="GJ333" s="860"/>
      <c r="GK333" s="860"/>
      <c r="GL333" s="860"/>
      <c r="GM333" s="860"/>
      <c r="GN333" s="860"/>
      <c r="GO333" s="860"/>
      <c r="GP333" s="860"/>
      <c r="GQ333" s="860"/>
      <c r="GR333" s="1162"/>
      <c r="GS333" s="860"/>
      <c r="GT333" s="1162"/>
      <c r="GU333" s="860"/>
      <c r="GV333" s="1162"/>
      <c r="GW333" s="860"/>
      <c r="GX333" s="860"/>
      <c r="GY333" s="1162"/>
      <c r="GZ333" s="860"/>
      <c r="HA333" s="860"/>
      <c r="HB333" s="1162"/>
      <c r="HC333" s="860"/>
      <c r="HE333" s="1162"/>
      <c r="HF333" s="860"/>
      <c r="HH333" s="1162"/>
      <c r="HI333" s="1162"/>
      <c r="HJ333" s="860"/>
      <c r="HL333" s="1162"/>
      <c r="HM333" s="860"/>
      <c r="HO333" s="1162"/>
      <c r="HP333" s="860"/>
      <c r="HR333" s="1162"/>
    </row>
    <row r="334" spans="1:226" hidden="1">
      <c r="A334" s="1275" t="str">
        <f>A301</f>
        <v>Cablevision</v>
      </c>
      <c r="B334" s="860"/>
      <c r="C334" s="860"/>
      <c r="D334" s="860"/>
      <c r="E334" s="860"/>
      <c r="F334" s="860"/>
      <c r="G334" s="1274">
        <f>G301/AVERAGE(E232,G232)/3*1000</f>
        <v>297.63848018319965</v>
      </c>
      <c r="H334" s="1274">
        <f>H301/AVERAGE(G232,H232)/3*1000</f>
        <v>295.59005854351813</v>
      </c>
      <c r="I334" s="1274">
        <f>I301/AVERAGE(H232,I232)/3*1000</f>
        <v>289.5246048465886</v>
      </c>
      <c r="J334" s="1274">
        <f>J301/AVERAGE(I232,J232)/3*1000</f>
        <v>286.61178536069593</v>
      </c>
      <c r="K334" s="860"/>
      <c r="L334" s="1274">
        <f>L301/AVERAGE(J232,L232)/3*1000</f>
        <v>281.78499941127984</v>
      </c>
      <c r="M334" s="1274">
        <f>M301/AVERAGE(L232,M232)/3*1000</f>
        <v>281.56221616712077</v>
      </c>
      <c r="N334" s="1274">
        <f>N301/AVERAGE(M232,N232)/3*1000</f>
        <v>279.48018082241197</v>
      </c>
      <c r="O334" s="1274">
        <f>O301/AVERAGE(N232,O232)/3*1000</f>
        <v>277.32477485309249</v>
      </c>
      <c r="P334" s="860"/>
      <c r="Q334" s="1274">
        <f>Q301/AVERAGE(O232,Q232)/3*1000</f>
        <v>268.14253222137978</v>
      </c>
      <c r="R334" s="1274">
        <f>R301/AVERAGE(Q232,R232)/3*1000</f>
        <v>266.19819191977848</v>
      </c>
      <c r="S334" s="1274">
        <f>S301/AVERAGE(R232,S232)/3*1000</f>
        <v>259.2478285789868</v>
      </c>
      <c r="T334" s="1274">
        <f>T301/AVERAGE(S232,T232)/3*1000</f>
        <v>273.45025930176303</v>
      </c>
      <c r="U334" s="1162"/>
      <c r="V334" s="1274">
        <f>V301/AVERAGE(T232,V232)/3*1000</f>
        <v>265.0750589287353</v>
      </c>
      <c r="W334" s="1274">
        <f>W301/AVERAGE(V232,W232)/3*1000</f>
        <v>265.73647250561231</v>
      </c>
      <c r="X334" s="1274">
        <f>X301/AVERAGE(W232,X232)/3*1000</f>
        <v>262.3762593645684</v>
      </c>
      <c r="Y334" s="1274"/>
      <c r="Z334" s="860"/>
      <c r="AA334" s="860"/>
      <c r="AB334" s="860"/>
      <c r="AC334" s="860"/>
      <c r="AD334" s="860"/>
      <c r="AE334" s="1162"/>
      <c r="AF334" s="1162"/>
      <c r="AG334" s="1162"/>
      <c r="AH334" s="1162"/>
      <c r="AI334" s="1162"/>
      <c r="AJ334" s="1162"/>
      <c r="AK334" s="1162"/>
      <c r="AL334" s="1162"/>
      <c r="AM334" s="1162"/>
      <c r="AN334" s="1162"/>
      <c r="AO334" s="1162"/>
      <c r="AP334" s="1162"/>
      <c r="AQ334" s="1162"/>
      <c r="AR334" s="1162"/>
      <c r="AS334" s="1162"/>
      <c r="AT334" s="1162"/>
      <c r="AU334" s="1162"/>
      <c r="AV334" s="1162"/>
      <c r="AW334" s="1162"/>
      <c r="AX334" s="1162"/>
      <c r="AY334" s="1162"/>
      <c r="AZ334" s="1162"/>
      <c r="BA334" s="1162"/>
      <c r="BB334" s="1162"/>
      <c r="BC334" s="1162"/>
      <c r="BD334" s="1162"/>
      <c r="BE334" s="1242"/>
      <c r="BF334" s="1162"/>
      <c r="BG334" s="1162"/>
      <c r="BH334" s="1162"/>
      <c r="BI334" s="1261"/>
      <c r="BJ334" s="1242"/>
      <c r="BK334" s="1162"/>
      <c r="BL334" s="1162"/>
      <c r="BM334" s="1162"/>
      <c r="BN334" s="1261"/>
      <c r="BO334" s="1242"/>
      <c r="BP334" s="1162"/>
      <c r="BQ334" s="1162"/>
      <c r="BR334" s="1162"/>
      <c r="BS334" s="1261"/>
      <c r="BT334" s="1242"/>
      <c r="BU334" s="1162"/>
      <c r="BV334" s="1162"/>
      <c r="BW334" s="1162"/>
      <c r="BX334" s="1261"/>
      <c r="BY334" s="1242"/>
      <c r="BZ334" s="1162"/>
      <c r="CA334" s="1162"/>
      <c r="CB334" s="1162"/>
      <c r="CC334" s="1261"/>
      <c r="CD334" s="1242"/>
      <c r="CE334" s="1162"/>
      <c r="CF334" s="1162"/>
      <c r="CG334" s="1162"/>
      <c r="CH334" s="1261"/>
      <c r="CI334" s="1162"/>
      <c r="CJ334" s="1162"/>
      <c r="CK334" s="1217">
        <f t="shared" ref="CK334:CN337" si="310">L334/G334-1</f>
        <v>-5.3264217590957341E-2</v>
      </c>
      <c r="CL334" s="1217">
        <f t="shared" si="310"/>
        <v>-4.7457084468664923E-2</v>
      </c>
      <c r="CM334" s="1217">
        <f t="shared" si="310"/>
        <v>-3.4692816624338096E-2</v>
      </c>
      <c r="CN334" s="1217">
        <f t="shared" si="310"/>
        <v>-3.2402751673019647E-2</v>
      </c>
      <c r="CO334" s="860"/>
      <c r="CP334" s="1217">
        <f t="shared" ref="CP334:CS337" si="311">Q334/L334-1</f>
        <v>-4.8414455057588679E-2</v>
      </c>
      <c r="CQ334" s="1217">
        <f t="shared" si="311"/>
        <v>-5.4567066762335026E-2</v>
      </c>
      <c r="CR334" s="1217">
        <f t="shared" si="311"/>
        <v>-7.2392797886019933E-2</v>
      </c>
      <c r="CS334" s="1217">
        <f t="shared" si="311"/>
        <v>-1.3971040104087007E-2</v>
      </c>
      <c r="CT334" s="860"/>
      <c r="CU334" s="1217">
        <f t="shared" ref="CU334:CV337" si="312">V334/Q334-1</f>
        <v>-1.1439711810105391E-2</v>
      </c>
      <c r="CV334" s="1217">
        <f t="shared" si="312"/>
        <v>-1.7344949296473899E-3</v>
      </c>
      <c r="CW334" s="1217"/>
      <c r="CX334" s="1217"/>
      <c r="CY334" s="860"/>
      <c r="CZ334" s="860"/>
      <c r="DA334" s="860"/>
      <c r="DB334" s="860"/>
      <c r="DC334" s="860"/>
      <c r="DD334" s="860"/>
      <c r="DE334" s="860"/>
      <c r="DF334" s="860"/>
      <c r="DG334" s="860"/>
      <c r="DH334" s="860"/>
      <c r="DI334" s="860"/>
      <c r="DJ334" s="860"/>
      <c r="DK334" s="860"/>
      <c r="DL334" s="860"/>
      <c r="DM334" s="860"/>
      <c r="DN334" s="860"/>
      <c r="DO334" s="860"/>
      <c r="DP334" s="860"/>
      <c r="DQ334" s="860"/>
      <c r="DR334" s="860"/>
      <c r="DS334" s="860"/>
      <c r="DT334" s="860"/>
      <c r="DU334" s="860"/>
      <c r="DV334" s="860"/>
      <c r="DW334" s="860"/>
      <c r="DX334" s="860"/>
      <c r="DY334" s="860"/>
      <c r="DZ334" s="860"/>
      <c r="EA334" s="860"/>
      <c r="EB334" s="860"/>
      <c r="EC334" s="860"/>
      <c r="ED334" s="860"/>
      <c r="EE334" s="860"/>
      <c r="EF334" s="860"/>
      <c r="EG334" s="860"/>
      <c r="EH334" s="860"/>
      <c r="EI334" s="1233"/>
      <c r="EJ334" s="860"/>
      <c r="EK334" s="860"/>
      <c r="EL334" s="860"/>
      <c r="EM334" s="1232"/>
      <c r="EN334" s="1233"/>
      <c r="EO334" s="860"/>
      <c r="EP334" s="860"/>
      <c r="EQ334" s="860"/>
      <c r="ER334" s="1232"/>
      <c r="ES334" s="860"/>
      <c r="ET334" s="860"/>
      <c r="EU334" s="860"/>
      <c r="EV334" s="860"/>
      <c r="EW334" s="1232"/>
      <c r="EX334" s="860"/>
      <c r="EY334" s="860"/>
      <c r="EZ334" s="860"/>
      <c r="FA334" s="860"/>
      <c r="FB334" s="860"/>
      <c r="FC334" s="860"/>
      <c r="FD334" s="860"/>
      <c r="FE334" s="860"/>
      <c r="FF334" s="860"/>
      <c r="FG334" s="860"/>
      <c r="FH334" s="860"/>
      <c r="FI334" s="860"/>
      <c r="FJ334" s="860"/>
      <c r="FK334" s="860"/>
      <c r="FL334" s="860"/>
      <c r="FM334" s="860"/>
      <c r="FN334" s="860"/>
      <c r="FO334" s="860"/>
      <c r="FP334" s="860"/>
      <c r="FQ334" s="860"/>
      <c r="FR334" s="860"/>
      <c r="FS334" s="860"/>
      <c r="FT334" s="860"/>
      <c r="FU334" s="860"/>
      <c r="FV334" s="860"/>
      <c r="FW334" s="860"/>
      <c r="FX334" s="860"/>
      <c r="FY334" s="860"/>
      <c r="FZ334" s="860"/>
      <c r="GA334" s="860"/>
      <c r="GB334" s="860"/>
      <c r="GC334" s="860"/>
      <c r="GD334" s="860"/>
      <c r="GE334" s="860"/>
      <c r="GF334" s="860"/>
      <c r="GG334" s="860"/>
      <c r="GH334" s="860"/>
      <c r="GI334" s="860"/>
      <c r="GJ334" s="860"/>
      <c r="GK334" s="860"/>
      <c r="GL334" s="860"/>
      <c r="GM334" s="860"/>
      <c r="GN334" s="860"/>
      <c r="GO334" s="860"/>
      <c r="GP334" s="860"/>
      <c r="GQ334" s="860"/>
      <c r="GR334" s="1162"/>
      <c r="GS334" s="860"/>
      <c r="GT334" s="1162"/>
      <c r="GU334" s="860"/>
      <c r="GV334" s="1162"/>
      <c r="GW334" s="860"/>
      <c r="GX334" s="860"/>
      <c r="GY334" s="1162"/>
      <c r="GZ334" s="860"/>
      <c r="HA334" s="860"/>
      <c r="HB334" s="1162"/>
      <c r="HC334" s="860"/>
      <c r="HE334" s="1162"/>
      <c r="HF334" s="860"/>
      <c r="HH334" s="1162"/>
      <c r="HI334" s="1162"/>
      <c r="HJ334" s="860"/>
      <c r="HL334" s="1162"/>
      <c r="HM334" s="860"/>
      <c r="HO334" s="1162"/>
      <c r="HP334" s="860"/>
      <c r="HR334" s="1162"/>
    </row>
    <row r="335" spans="1:226" hidden="1">
      <c r="A335" s="1275" t="str">
        <f>A302</f>
        <v>Cablemas</v>
      </c>
      <c r="B335" s="860"/>
      <c r="C335" s="860"/>
      <c r="D335" s="860"/>
      <c r="E335" s="860"/>
      <c r="F335" s="860"/>
      <c r="G335" s="1274">
        <f>G302/AVERAGE(E239,G239)/3*1000</f>
        <v>231.32370642880227</v>
      </c>
      <c r="H335" s="1274">
        <f>H302/AVERAGE(G239,H239)/3*1000</f>
        <v>231.18815065123789</v>
      </c>
      <c r="I335" s="1274">
        <f>I302/AVERAGE(H239,I239)/3*1000</f>
        <v>229.80517998453433</v>
      </c>
      <c r="J335" s="1274">
        <f>J302/AVERAGE(I239,J239)/3*1000</f>
        <v>248.35941630384238</v>
      </c>
      <c r="K335" s="860"/>
      <c r="L335" s="1274">
        <f>L302/AVERAGE(J239,L239)/3*1000</f>
        <v>236.92863595302623</v>
      </c>
      <c r="M335" s="1274">
        <f>M302/AVERAGE(L239,M239)/3*1000</f>
        <v>235.75290259682711</v>
      </c>
      <c r="N335" s="1274">
        <f>N302/AVERAGE(M239,N239)/3*1000</f>
        <v>234.98905520884281</v>
      </c>
      <c r="O335" s="1274">
        <f>O302/AVERAGE(N239,O239)/3*1000</f>
        <v>244.28342068939466</v>
      </c>
      <c r="P335" s="860"/>
      <c r="Q335" s="1274">
        <f>Q302/AVERAGE(O239,Q239)/3*1000</f>
        <v>235.50024855552567</v>
      </c>
      <c r="R335" s="1274">
        <f>R302/AVERAGE(Q239,R239)/3*1000</f>
        <v>239.99553941247689</v>
      </c>
      <c r="S335" s="1274">
        <f>S302/AVERAGE(R239,S239)/3*1000</f>
        <v>243.13689037615418</v>
      </c>
      <c r="T335" s="1274">
        <f>T302/AVERAGE(S239,T239)/3*1000</f>
        <v>243.55820374508173</v>
      </c>
      <c r="U335" s="1162"/>
      <c r="V335" s="1274">
        <f>V302/AVERAGE(T239,V239)/3*1000</f>
        <v>242.36978240385397</v>
      </c>
      <c r="W335" s="1274">
        <f>W302/AVERAGE(V239,W239)/3*1000</f>
        <v>239.68584836887189</v>
      </c>
      <c r="X335" s="1274">
        <f>X302/AVERAGE(W239,X239)/3*1000</f>
        <v>239.02409720970721</v>
      </c>
      <c r="Y335" s="1274"/>
      <c r="Z335" s="860"/>
      <c r="AA335" s="860"/>
      <c r="AB335" s="860"/>
      <c r="AC335" s="860"/>
      <c r="AD335" s="860"/>
      <c r="AE335" s="1162"/>
      <c r="AF335" s="1162"/>
      <c r="AG335" s="1162"/>
      <c r="AH335" s="1162"/>
      <c r="AI335" s="1162"/>
      <c r="AJ335" s="1162"/>
      <c r="AK335" s="1162"/>
      <c r="AL335" s="1162"/>
      <c r="AM335" s="1162"/>
      <c r="AN335" s="1162"/>
      <c r="AO335" s="1162"/>
      <c r="AP335" s="1162"/>
      <c r="AQ335" s="1162"/>
      <c r="AR335" s="1162"/>
      <c r="AS335" s="1162"/>
      <c r="AT335" s="1162"/>
      <c r="AU335" s="1162"/>
      <c r="AV335" s="1162"/>
      <c r="AW335" s="1162"/>
      <c r="AX335" s="1162"/>
      <c r="AY335" s="1162"/>
      <c r="AZ335" s="1162"/>
      <c r="BA335" s="1162"/>
      <c r="BB335" s="1162"/>
      <c r="BC335" s="1162"/>
      <c r="BD335" s="1162"/>
      <c r="BE335" s="1242"/>
      <c r="BF335" s="1162"/>
      <c r="BG335" s="1162"/>
      <c r="BH335" s="1162"/>
      <c r="BI335" s="1261"/>
      <c r="BJ335" s="1242"/>
      <c r="BK335" s="1162"/>
      <c r="BL335" s="1162"/>
      <c r="BM335" s="1162"/>
      <c r="BN335" s="1261"/>
      <c r="BO335" s="1242"/>
      <c r="BP335" s="1162"/>
      <c r="BQ335" s="1162"/>
      <c r="BR335" s="1162"/>
      <c r="BS335" s="1261"/>
      <c r="BT335" s="1242"/>
      <c r="BU335" s="1162"/>
      <c r="BV335" s="1162"/>
      <c r="BW335" s="1162"/>
      <c r="BX335" s="1261"/>
      <c r="BY335" s="1242"/>
      <c r="BZ335" s="1162"/>
      <c r="CA335" s="1162"/>
      <c r="CB335" s="1162"/>
      <c r="CC335" s="1261"/>
      <c r="CD335" s="1242"/>
      <c r="CE335" s="1162"/>
      <c r="CF335" s="1162"/>
      <c r="CG335" s="1162"/>
      <c r="CH335" s="1261"/>
      <c r="CI335" s="1162"/>
      <c r="CJ335" s="1162"/>
      <c r="CK335" s="1217">
        <f t="shared" si="310"/>
        <v>2.4229810298103116E-2</v>
      </c>
      <c r="CL335" s="1217">
        <f t="shared" si="310"/>
        <v>1.9744748737038131E-2</v>
      </c>
      <c r="CM335" s="1217">
        <f t="shared" si="310"/>
        <v>2.2557695281965939E-2</v>
      </c>
      <c r="CN335" s="1217">
        <f t="shared" si="310"/>
        <v>-1.6411681405552825E-2</v>
      </c>
      <c r="CO335" s="860"/>
      <c r="CP335" s="1217">
        <f t="shared" si="311"/>
        <v>-6.0287663910062461E-3</v>
      </c>
      <c r="CQ335" s="1217">
        <f t="shared" si="311"/>
        <v>1.7996116989088762E-2</v>
      </c>
      <c r="CR335" s="1217">
        <f t="shared" si="311"/>
        <v>3.4673253867377296E-2</v>
      </c>
      <c r="CS335" s="1217">
        <f t="shared" si="311"/>
        <v>-2.9687522070318551E-3</v>
      </c>
      <c r="CT335" s="860"/>
      <c r="CU335" s="1217">
        <f t="shared" si="312"/>
        <v>2.9169964322600883E-2</v>
      </c>
      <c r="CV335" s="1217">
        <f t="shared" si="312"/>
        <v>-1.2904033315083163E-3</v>
      </c>
      <c r="CW335" s="1217"/>
      <c r="CX335" s="1217"/>
      <c r="CY335" s="860"/>
      <c r="CZ335" s="860"/>
      <c r="DA335" s="860"/>
      <c r="DB335" s="860"/>
      <c r="DC335" s="860"/>
      <c r="DD335" s="860"/>
      <c r="DE335" s="860"/>
      <c r="DF335" s="860"/>
      <c r="DG335" s="860"/>
      <c r="DH335" s="860"/>
      <c r="DI335" s="860"/>
      <c r="DJ335" s="860"/>
      <c r="DK335" s="860"/>
      <c r="DL335" s="860"/>
      <c r="DM335" s="860"/>
      <c r="DN335" s="860"/>
      <c r="DO335" s="860"/>
      <c r="DP335" s="860"/>
      <c r="DQ335" s="860"/>
      <c r="DR335" s="860"/>
      <c r="DS335" s="860"/>
      <c r="DT335" s="860"/>
      <c r="DU335" s="860"/>
      <c r="DV335" s="860"/>
      <c r="DW335" s="860"/>
      <c r="DX335" s="860"/>
      <c r="DY335" s="860"/>
      <c r="DZ335" s="860"/>
      <c r="EA335" s="860"/>
      <c r="EB335" s="860"/>
      <c r="EC335" s="860"/>
      <c r="ED335" s="860"/>
      <c r="EE335" s="860"/>
      <c r="EF335" s="860"/>
      <c r="EG335" s="860"/>
      <c r="EH335" s="860"/>
      <c r="EI335" s="1233"/>
      <c r="EJ335" s="860"/>
      <c r="EK335" s="860"/>
      <c r="EL335" s="860"/>
      <c r="EM335" s="1232"/>
      <c r="EN335" s="1233"/>
      <c r="EO335" s="860"/>
      <c r="EP335" s="860"/>
      <c r="EQ335" s="860"/>
      <c r="ER335" s="1232"/>
      <c r="ES335" s="860"/>
      <c r="ET335" s="860"/>
      <c r="EU335" s="860"/>
      <c r="EV335" s="860"/>
      <c r="EW335" s="1232"/>
      <c r="EX335" s="860"/>
      <c r="EY335" s="860"/>
      <c r="EZ335" s="860"/>
      <c r="FA335" s="860"/>
      <c r="FB335" s="860"/>
      <c r="FC335" s="860"/>
      <c r="FD335" s="860"/>
      <c r="FE335" s="860"/>
      <c r="FF335" s="860"/>
      <c r="FG335" s="860"/>
      <c r="FH335" s="860"/>
      <c r="FI335" s="860"/>
      <c r="FJ335" s="860"/>
      <c r="FK335" s="860"/>
      <c r="FL335" s="860"/>
      <c r="FM335" s="860"/>
      <c r="FN335" s="860"/>
      <c r="FO335" s="860"/>
      <c r="FP335" s="860"/>
      <c r="FQ335" s="860"/>
      <c r="FR335" s="860"/>
      <c r="FS335" s="860"/>
      <c r="FT335" s="860"/>
      <c r="FU335" s="860"/>
      <c r="FV335" s="860"/>
      <c r="FW335" s="860"/>
      <c r="FX335" s="860"/>
      <c r="FY335" s="860"/>
      <c r="FZ335" s="860"/>
      <c r="GA335" s="860"/>
      <c r="GB335" s="860"/>
      <c r="GC335" s="860"/>
      <c r="GD335" s="860"/>
      <c r="GE335" s="860"/>
      <c r="GF335" s="860"/>
      <c r="GG335" s="860"/>
      <c r="GH335" s="860"/>
      <c r="GI335" s="860"/>
      <c r="GJ335" s="860"/>
      <c r="GK335" s="860"/>
      <c r="GL335" s="860"/>
      <c r="GM335" s="860"/>
      <c r="GN335" s="860"/>
      <c r="GO335" s="860"/>
      <c r="GP335" s="860"/>
      <c r="GQ335" s="860"/>
      <c r="GR335" s="1162"/>
      <c r="GS335" s="860"/>
      <c r="GT335" s="1162"/>
      <c r="GU335" s="860"/>
      <c r="GV335" s="1162"/>
      <c r="GW335" s="860"/>
      <c r="GX335" s="860"/>
      <c r="GY335" s="1162"/>
      <c r="GZ335" s="860"/>
      <c r="HA335" s="860"/>
      <c r="HB335" s="1162"/>
      <c r="HC335" s="860"/>
      <c r="HE335" s="1162"/>
      <c r="HF335" s="860"/>
      <c r="HH335" s="1162"/>
      <c r="HI335" s="1162"/>
      <c r="HJ335" s="860"/>
      <c r="HL335" s="1162"/>
      <c r="HM335" s="860"/>
      <c r="HO335" s="1162"/>
      <c r="HP335" s="860"/>
      <c r="HR335" s="1162"/>
    </row>
    <row r="336" spans="1:226" hidden="1">
      <c r="A336" s="1323" t="str">
        <f>A303</f>
        <v>TVI</v>
      </c>
      <c r="B336" s="1294"/>
      <c r="C336" s="1294"/>
      <c r="D336" s="1294"/>
      <c r="E336" s="1294"/>
      <c r="F336" s="1294"/>
      <c r="G336" s="967">
        <f>G303/AVERAGE(E246,G246)/3*1000</f>
        <v>294.09041188008399</v>
      </c>
      <c r="H336" s="967">
        <f>H303/AVERAGE(G246,H246)/3*1000</f>
        <v>276.36632920860302</v>
      </c>
      <c r="I336" s="967">
        <f>I303/AVERAGE(H246,I246)/3*1000</f>
        <v>277.14971393412378</v>
      </c>
      <c r="J336" s="967">
        <f>J303/AVERAGE(I246,J246)/3*1000</f>
        <v>288.91617544870707</v>
      </c>
      <c r="K336" s="1294"/>
      <c r="L336" s="967">
        <f>L303/AVERAGE(J246,L246)/3*1000</f>
        <v>279.41660785697479</v>
      </c>
      <c r="M336" s="967">
        <f>M303/AVERAGE(L246,M246)/3*1000</f>
        <v>290.26629935720842</v>
      </c>
      <c r="N336" s="967">
        <f>N303/AVERAGE(M246,N246)/3*1000</f>
        <v>277.63630053720442</v>
      </c>
      <c r="O336" s="967">
        <f>O303/AVERAGE(N246,O246)/3*1000</f>
        <v>287.90061221205139</v>
      </c>
      <c r="P336" s="860"/>
      <c r="Q336" s="967">
        <f>Q303/AVERAGE(O246,Q246)/3*1000</f>
        <v>281.594011448701</v>
      </c>
      <c r="R336" s="967">
        <f>R303/AVERAGE(Q246,R246)/3*1000</f>
        <v>281.99932455251604</v>
      </c>
      <c r="S336" s="967">
        <f>S303/AVERAGE(R246,S246)/3*1000</f>
        <v>277.0078612529378</v>
      </c>
      <c r="T336" s="967">
        <f>T303/AVERAGE(S246,T246)/3*1000</f>
        <v>277.78418926716671</v>
      </c>
      <c r="U336" s="1162"/>
      <c r="V336" s="967">
        <f>V303/AVERAGE(T246,V246)/3*1000</f>
        <v>267.91307175705134</v>
      </c>
      <c r="W336" s="967">
        <f>W303/AVERAGE(V246,W246)/3*1000</f>
        <v>269.84737666363628</v>
      </c>
      <c r="X336" s="967">
        <f>X303/AVERAGE(W246,X246)/3*1000</f>
        <v>273.49667366429634</v>
      </c>
      <c r="Y336" s="967"/>
      <c r="Z336" s="860"/>
      <c r="AA336" s="1294"/>
      <c r="AB336" s="1294"/>
      <c r="AC336" s="1294"/>
      <c r="AD336" s="1294"/>
      <c r="AE336" s="1162"/>
      <c r="AF336" s="1295"/>
      <c r="AG336" s="1295"/>
      <c r="AH336" s="1295"/>
      <c r="AI336" s="1295"/>
      <c r="AJ336" s="1162"/>
      <c r="AK336" s="1295"/>
      <c r="AL336" s="1295"/>
      <c r="AM336" s="1295"/>
      <c r="AN336" s="1295"/>
      <c r="AO336" s="1162"/>
      <c r="AP336" s="1295"/>
      <c r="AQ336" s="1295"/>
      <c r="AR336" s="1295"/>
      <c r="AS336" s="1295"/>
      <c r="AT336" s="1162"/>
      <c r="AU336" s="1295"/>
      <c r="AV336" s="1295"/>
      <c r="AW336" s="1295"/>
      <c r="AX336" s="1295"/>
      <c r="AY336" s="1162"/>
      <c r="AZ336" s="1295"/>
      <c r="BA336" s="1295"/>
      <c r="BB336" s="1162"/>
      <c r="BC336" s="1162"/>
      <c r="BD336" s="1162"/>
      <c r="BE336" s="1242"/>
      <c r="BF336" s="1162"/>
      <c r="BG336" s="1162"/>
      <c r="BH336" s="1162"/>
      <c r="BI336" s="1261"/>
      <c r="BJ336" s="1242"/>
      <c r="BK336" s="1162"/>
      <c r="BL336" s="1162"/>
      <c r="BM336" s="1162"/>
      <c r="BN336" s="1261"/>
      <c r="BO336" s="1242"/>
      <c r="BP336" s="1162"/>
      <c r="BQ336" s="1162"/>
      <c r="BR336" s="1162"/>
      <c r="BS336" s="1261"/>
      <c r="BT336" s="1242"/>
      <c r="BU336" s="1162"/>
      <c r="BV336" s="1162"/>
      <c r="BW336" s="1162"/>
      <c r="BX336" s="1261"/>
      <c r="BY336" s="1242"/>
      <c r="BZ336" s="1162"/>
      <c r="CA336" s="1162"/>
      <c r="CB336" s="1162"/>
      <c r="CC336" s="1261"/>
      <c r="CD336" s="1242"/>
      <c r="CE336" s="1162"/>
      <c r="CF336" s="1162"/>
      <c r="CG336" s="1162"/>
      <c r="CH336" s="1261"/>
      <c r="CI336" s="1162"/>
      <c r="CJ336" s="1162"/>
      <c r="CK336" s="1320">
        <f t="shared" si="310"/>
        <v>-4.989555398729717E-2</v>
      </c>
      <c r="CL336" s="1320">
        <f t="shared" si="310"/>
        <v>5.0295454545454588E-2</v>
      </c>
      <c r="CM336" s="1320">
        <f t="shared" si="310"/>
        <v>1.7556814191634906E-3</v>
      </c>
      <c r="CN336" s="1320">
        <f t="shared" si="310"/>
        <v>-3.5150791923589386E-3</v>
      </c>
      <c r="CO336" s="1294"/>
      <c r="CP336" s="1320">
        <f t="shared" si="311"/>
        <v>7.792677781131685E-3</v>
      </c>
      <c r="CQ336" s="1320">
        <f t="shared" si="311"/>
        <v>-2.8480656634957358E-2</v>
      </c>
      <c r="CR336" s="1320">
        <f t="shared" si="311"/>
        <v>-2.2635342822628912E-3</v>
      </c>
      <c r="CS336" s="1320">
        <f t="shared" si="311"/>
        <v>-3.5138594764201114E-2</v>
      </c>
      <c r="CT336" s="860"/>
      <c r="CU336" s="1320">
        <f t="shared" si="312"/>
        <v>-4.8583915621167151E-2</v>
      </c>
      <c r="CV336" s="1320">
        <f t="shared" si="312"/>
        <v>-4.3092117004758013E-2</v>
      </c>
      <c r="CW336" s="1217"/>
      <c r="CX336" s="1217"/>
      <c r="CY336" s="860"/>
      <c r="CZ336" s="860"/>
      <c r="DA336" s="860"/>
      <c r="DB336" s="860"/>
      <c r="DC336" s="860"/>
      <c r="DD336" s="860"/>
      <c r="DE336" s="860"/>
      <c r="DF336" s="860"/>
      <c r="DG336" s="860"/>
      <c r="DH336" s="860"/>
      <c r="DI336" s="860"/>
      <c r="DJ336" s="860"/>
      <c r="DK336" s="860"/>
      <c r="DL336" s="860"/>
      <c r="DM336" s="860"/>
      <c r="DN336" s="860"/>
      <c r="DO336" s="860"/>
      <c r="DP336" s="860"/>
      <c r="DQ336" s="860"/>
      <c r="DR336" s="860"/>
      <c r="DS336" s="860"/>
      <c r="DT336" s="860"/>
      <c r="DU336" s="860"/>
      <c r="DV336" s="860"/>
      <c r="DW336" s="860"/>
      <c r="DX336" s="860"/>
      <c r="DY336" s="860"/>
      <c r="DZ336" s="860"/>
      <c r="EA336" s="860"/>
      <c r="EB336" s="860"/>
      <c r="EC336" s="860"/>
      <c r="ED336" s="860"/>
      <c r="EE336" s="860"/>
      <c r="EF336" s="860"/>
      <c r="EG336" s="860"/>
      <c r="EH336" s="860"/>
      <c r="EI336" s="1233"/>
      <c r="EJ336" s="860"/>
      <c r="EK336" s="860"/>
      <c r="EL336" s="860"/>
      <c r="EM336" s="1232"/>
      <c r="EN336" s="1233"/>
      <c r="EO336" s="860"/>
      <c r="EP336" s="860"/>
      <c r="EQ336" s="860"/>
      <c r="ER336" s="1232"/>
      <c r="ES336" s="860"/>
      <c r="ET336" s="860"/>
      <c r="EU336" s="860"/>
      <c r="EV336" s="860"/>
      <c r="EW336" s="1232"/>
      <c r="EX336" s="860"/>
      <c r="EY336" s="860"/>
      <c r="EZ336" s="860"/>
      <c r="FA336" s="860"/>
      <c r="FB336" s="860"/>
      <c r="FC336" s="860"/>
      <c r="FD336" s="860"/>
      <c r="FE336" s="860"/>
      <c r="FF336" s="860"/>
      <c r="FG336" s="860"/>
      <c r="FH336" s="860"/>
      <c r="FI336" s="860"/>
      <c r="FJ336" s="860"/>
      <c r="FK336" s="860"/>
      <c r="FL336" s="860"/>
      <c r="FM336" s="860"/>
      <c r="FN336" s="860"/>
      <c r="FO336" s="860"/>
      <c r="FP336" s="860"/>
      <c r="FQ336" s="860"/>
      <c r="FR336" s="860"/>
      <c r="FS336" s="860"/>
      <c r="FT336" s="860"/>
      <c r="FU336" s="860"/>
      <c r="FV336" s="860"/>
      <c r="FW336" s="860"/>
      <c r="FX336" s="860"/>
      <c r="FY336" s="860"/>
      <c r="FZ336" s="860"/>
      <c r="GA336" s="860"/>
      <c r="GB336" s="860"/>
      <c r="GC336" s="860"/>
      <c r="GD336" s="860"/>
      <c r="GE336" s="860"/>
      <c r="GF336" s="860"/>
      <c r="GG336" s="860"/>
      <c r="GH336" s="860"/>
      <c r="GI336" s="860"/>
      <c r="GJ336" s="860"/>
      <c r="GK336" s="860"/>
      <c r="GL336" s="860"/>
      <c r="GM336" s="860"/>
      <c r="GN336" s="860"/>
      <c r="GO336" s="860"/>
      <c r="GP336" s="860"/>
      <c r="GQ336" s="860"/>
      <c r="GR336" s="1162"/>
      <c r="GS336" s="860"/>
      <c r="GT336" s="1162"/>
      <c r="GU336" s="860"/>
      <c r="GV336" s="1162"/>
      <c r="GW336" s="860"/>
      <c r="GX336" s="860"/>
      <c r="GY336" s="1162"/>
      <c r="GZ336" s="860"/>
      <c r="HA336" s="860"/>
      <c r="HB336" s="1162"/>
      <c r="HC336" s="860"/>
      <c r="HE336" s="1162"/>
      <c r="HF336" s="860"/>
      <c r="HH336" s="1162"/>
      <c r="HI336" s="1162"/>
      <c r="HJ336" s="860"/>
      <c r="HL336" s="1162"/>
      <c r="HM336" s="860"/>
      <c r="HO336" s="1162"/>
      <c r="HP336" s="860"/>
      <c r="HR336" s="1162"/>
    </row>
    <row r="337" spans="1:226" hidden="1">
      <c r="A337" s="860" t="s">
        <v>85</v>
      </c>
      <c r="B337" s="860"/>
      <c r="C337" s="860"/>
      <c r="D337" s="860"/>
      <c r="E337" s="860"/>
      <c r="F337" s="860"/>
      <c r="G337" s="1274">
        <f>G307/AVERAGE(E263,G263)/3*1000</f>
        <v>330.38919430052056</v>
      </c>
      <c r="H337" s="1274">
        <f>H307/AVERAGE(G263,H263)/3*1000</f>
        <v>325.92713716528124</v>
      </c>
      <c r="I337" s="1274">
        <f>I307/AVERAGE(H263,I263)/3*1000</f>
        <v>323.06071262413167</v>
      </c>
      <c r="J337" s="1274">
        <f>J307/AVERAGE(I263,J263)/3*1000</f>
        <v>331.76705931036417</v>
      </c>
      <c r="K337" s="860"/>
      <c r="L337" s="1274">
        <f>L307/AVERAGE(J263,L263)/3*1000</f>
        <v>325.03569328966154</v>
      </c>
      <c r="M337" s="1274">
        <f>M307/AVERAGE(L263,M263)/3*1000</f>
        <v>325.06237984210742</v>
      </c>
      <c r="N337" s="1274">
        <f>N307/AVERAGE(M263,N263)/3*1000</f>
        <v>318.94022944185866</v>
      </c>
      <c r="O337" s="1274">
        <f>O307/AVERAGE(N263,O263)/3*1000</f>
        <v>321.75296689073411</v>
      </c>
      <c r="P337" s="860"/>
      <c r="Q337" s="1274">
        <f>Q307/AVERAGE(O263,Q263)/3*1000</f>
        <v>305.75838594441575</v>
      </c>
      <c r="R337" s="1274">
        <f>R307/AVERAGE(Q263,R263)/3*1000</f>
        <v>310.92479564427259</v>
      </c>
      <c r="S337" s="1274">
        <f>S307/AVERAGE(R263,S263)/3*1000</f>
        <v>312.14586622339914</v>
      </c>
      <c r="T337" s="1274">
        <f>T307/AVERAGE(S263,T263)/3*1000</f>
        <v>315.33932643712251</v>
      </c>
      <c r="U337" s="1162"/>
      <c r="V337" s="1274">
        <f>V307/AVERAGE(T263,V263)/3*1000</f>
        <v>305.17633920624803</v>
      </c>
      <c r="W337" s="1274">
        <f>W307/AVERAGE(V263,W263)/3*1000</f>
        <v>307.48196590601418</v>
      </c>
      <c r="X337" s="1274">
        <f>X307/AVERAGE(W263,X263)/3*1000</f>
        <v>300.75812253257936</v>
      </c>
      <c r="Y337" s="1274">
        <f>Y307/AVERAGE(X263,Y263)/3*1000</f>
        <v>307.55210343406185</v>
      </c>
      <c r="Z337" s="1162"/>
      <c r="AA337" s="1274">
        <f>AA307/AVERAGE(Y263,AA263)/3*1000</f>
        <v>302.6057875829955</v>
      </c>
      <c r="AB337" s="1274">
        <f>AB307/AVERAGE(AA263,AB263)/3*1000</f>
        <v>284.70701366830178</v>
      </c>
      <c r="AC337" s="1274">
        <f>AC307/AVERAGE(AB263,AC263)/3*1000</f>
        <v>288.41312717053711</v>
      </c>
      <c r="AD337" s="1274">
        <f>AD307/AVERAGE(AC263,AD263)/3*1000</f>
        <v>286.44056701617995</v>
      </c>
      <c r="AE337" s="1162"/>
      <c r="AF337" s="1274">
        <f>AF307/AVERAGE(AD263,AF263)/3*1000</f>
        <v>277.80943084480441</v>
      </c>
      <c r="AG337" s="1274">
        <f>AG307/AVERAGE(AF263,AG263)/3*1000</f>
        <v>276.69117065037267</v>
      </c>
      <c r="AH337" s="1274">
        <f>AH307/AVERAGE(AG263,AH263)/3*1000</f>
        <v>283.04654878752496</v>
      </c>
      <c r="AI337" s="1274">
        <f>AI307/AVERAGE(AH263,AI263)/3*1000</f>
        <v>285.53497380958856</v>
      </c>
      <c r="AJ337" s="1162"/>
      <c r="AK337" s="1274">
        <f>AK307/AVERAGE(AJ263,AK263)/3*1000</f>
        <v>280.60444102112319</v>
      </c>
      <c r="AL337" s="1274">
        <f>AL307/AVERAGE(AK263,AL263)/3*1000</f>
        <v>279.51384894660094</v>
      </c>
      <c r="AM337" s="1274">
        <f>AM307/AVERAGE(AL263,AM263)/3*1000</f>
        <v>284.14566216523264</v>
      </c>
      <c r="AN337" s="1274">
        <f>AN307/AVERAGE(AM263,AN263)/3*1000</f>
        <v>286.90327564350156</v>
      </c>
      <c r="AO337" s="1162"/>
      <c r="AP337" s="1274">
        <f>AP307/AVERAGE(AO263,AP263)/3*1000</f>
        <v>282.35256875474107</v>
      </c>
      <c r="AQ337" s="1274">
        <f>AQ307/AVERAGE(AP263,AQ263)/3*1000</f>
        <v>279.35975442854158</v>
      </c>
      <c r="AR337" s="1274">
        <f>AR307/AVERAGE(AQ263,AR263)/3*1000</f>
        <v>283.7126785309087</v>
      </c>
      <c r="AS337" s="1274">
        <f>AS307/AVERAGE(AR263,AS263)/3*1000</f>
        <v>278.15969438644032</v>
      </c>
      <c r="AT337" s="1162"/>
      <c r="AU337" s="1274">
        <f>AU307/AVERAGE(AT263,AU263)/3*1000</f>
        <v>275.31651343891502</v>
      </c>
      <c r="AV337" s="1274">
        <f>AV307/AVERAGE(AU263,AV263)/3*1000</f>
        <v>277.53678920522981</v>
      </c>
      <c r="AW337" s="1274">
        <f>AW307/AVERAGE(AV263,AW263)/3*1000</f>
        <v>282.48006763532743</v>
      </c>
      <c r="AX337" s="1274">
        <f>AX307/AVERAGE(AW263,AX263)/3*1000</f>
        <v>291.5363898407424</v>
      </c>
      <c r="AY337" s="1162"/>
      <c r="AZ337" s="1274">
        <f>AZ307/AVERAGE(AY263,AZ263)/3*1000</f>
        <v>279.51993025881296</v>
      </c>
      <c r="BA337" s="1274">
        <f>BA307/AVERAGE(AZ263,BA263)/3*1000</f>
        <v>286.53650144070173</v>
      </c>
      <c r="BB337" s="1274"/>
      <c r="BC337" s="1162"/>
      <c r="BD337" s="1162"/>
      <c r="BE337" s="1242"/>
      <c r="BF337" s="1162"/>
      <c r="BG337" s="1162"/>
      <c r="BH337" s="1162"/>
      <c r="BI337" s="1261"/>
      <c r="BJ337" s="1242"/>
      <c r="BK337" s="1162"/>
      <c r="BL337" s="1162"/>
      <c r="BM337" s="1162"/>
      <c r="BN337" s="1261"/>
      <c r="BO337" s="1242"/>
      <c r="BP337" s="1162"/>
      <c r="BQ337" s="1162"/>
      <c r="BR337" s="1162"/>
      <c r="BS337" s="1261"/>
      <c r="BT337" s="1242"/>
      <c r="BU337" s="1162"/>
      <c r="BV337" s="1162"/>
      <c r="BW337" s="1162"/>
      <c r="BX337" s="1261"/>
      <c r="BY337" s="1242"/>
      <c r="BZ337" s="1162"/>
      <c r="CA337" s="1162"/>
      <c r="CB337" s="1162"/>
      <c r="CC337" s="1261"/>
      <c r="CD337" s="1242"/>
      <c r="CE337" s="1162"/>
      <c r="CF337" s="1162"/>
      <c r="CG337" s="1162"/>
      <c r="CH337" s="1261"/>
      <c r="CI337" s="1162"/>
      <c r="CJ337" s="1162"/>
      <c r="CK337" s="1217">
        <f t="shared" si="310"/>
        <v>-1.6203620164373489E-2</v>
      </c>
      <c r="CL337" s="1217">
        <f t="shared" si="310"/>
        <v>-2.6532228359226195E-3</v>
      </c>
      <c r="CM337" s="1217">
        <f t="shared" si="310"/>
        <v>-1.2754516477115008E-2</v>
      </c>
      <c r="CN337" s="1217">
        <f t="shared" si="310"/>
        <v>-3.0184107007025007E-2</v>
      </c>
      <c r="CO337" s="860"/>
      <c r="CP337" s="1217">
        <f t="shared" si="311"/>
        <v>-5.9308278269815884E-2</v>
      </c>
      <c r="CQ337" s="1217">
        <f t="shared" si="311"/>
        <v>-4.3491911320842069E-2</v>
      </c>
      <c r="CR337" s="1217">
        <f t="shared" si="311"/>
        <v>-2.1302935758055863E-2</v>
      </c>
      <c r="CS337" s="1217">
        <f t="shared" si="311"/>
        <v>-1.9933430655169837E-2</v>
      </c>
      <c r="CT337" s="860"/>
      <c r="CU337" s="1217">
        <f t="shared" si="312"/>
        <v>-1.9036165970391927E-3</v>
      </c>
      <c r="CV337" s="1217">
        <f t="shared" si="312"/>
        <v>-1.1072869666520102E-2</v>
      </c>
      <c r="CW337" s="1217"/>
      <c r="CX337" s="1217"/>
      <c r="CY337" s="860"/>
      <c r="CZ337" s="860"/>
      <c r="DA337" s="860"/>
      <c r="DB337" s="860"/>
      <c r="DC337" s="860"/>
      <c r="DD337" s="860"/>
      <c r="DE337" s="1274"/>
      <c r="DF337" s="1162">
        <f>AG337/AB337-1</f>
        <v>-2.8154708641171644E-2</v>
      </c>
      <c r="DG337" s="1162">
        <f>AH337/AC337-1</f>
        <v>-1.8607261173098189E-2</v>
      </c>
      <c r="DH337" s="1162">
        <f>AI337/AD337-1</f>
        <v>-3.1615396381345917E-3</v>
      </c>
      <c r="DI337" s="860"/>
      <c r="DJ337" s="860"/>
      <c r="DK337" s="860"/>
      <c r="DL337" s="860"/>
      <c r="DM337" s="860"/>
      <c r="DN337" s="860"/>
      <c r="DO337" s="860"/>
      <c r="DP337" s="860"/>
      <c r="DQ337" s="860"/>
      <c r="DR337" s="860"/>
      <c r="DS337" s="860"/>
      <c r="DT337" s="860"/>
      <c r="DU337" s="860"/>
      <c r="DV337" s="860"/>
      <c r="DW337" s="860"/>
      <c r="DX337" s="860"/>
      <c r="DY337" s="860"/>
      <c r="DZ337" s="860"/>
      <c r="EA337" s="860"/>
      <c r="EB337" s="860"/>
      <c r="EC337" s="860"/>
      <c r="ED337" s="860"/>
      <c r="EE337" s="860"/>
      <c r="EF337" s="860"/>
      <c r="EG337" s="860"/>
      <c r="EH337" s="860"/>
      <c r="EI337" s="1233"/>
      <c r="EJ337" s="860"/>
      <c r="EK337" s="860"/>
      <c r="EL337" s="860"/>
      <c r="EM337" s="1232"/>
      <c r="EN337" s="1233"/>
      <c r="EO337" s="860"/>
      <c r="EP337" s="860"/>
      <c r="EQ337" s="860"/>
      <c r="ER337" s="1232"/>
      <c r="ES337" s="860"/>
      <c r="ET337" s="860"/>
      <c r="EU337" s="860"/>
      <c r="EV337" s="860"/>
      <c r="EW337" s="1232"/>
      <c r="EX337" s="860"/>
      <c r="EY337" s="860"/>
      <c r="EZ337" s="860"/>
      <c r="FA337" s="860"/>
      <c r="FB337" s="860"/>
      <c r="FC337" s="860"/>
      <c r="FD337" s="860"/>
      <c r="FE337" s="860"/>
      <c r="FF337" s="860"/>
      <c r="FG337" s="860"/>
      <c r="FH337" s="860"/>
      <c r="FI337" s="860"/>
      <c r="FJ337" s="860"/>
      <c r="FK337" s="860"/>
      <c r="FL337" s="860"/>
      <c r="FM337" s="860"/>
      <c r="FN337" s="860"/>
      <c r="FO337" s="860"/>
      <c r="FP337" s="860"/>
      <c r="FQ337" s="860"/>
      <c r="FR337" s="860"/>
      <c r="FS337" s="860"/>
      <c r="FT337" s="860"/>
      <c r="FU337" s="860"/>
      <c r="FV337" s="860"/>
      <c r="FW337" s="860"/>
      <c r="FX337" s="860"/>
      <c r="FY337" s="860"/>
      <c r="FZ337" s="860"/>
      <c r="GA337" s="860"/>
      <c r="GB337" s="860"/>
      <c r="GC337" s="860"/>
      <c r="GD337" s="860"/>
      <c r="GE337" s="860"/>
      <c r="GF337" s="860"/>
      <c r="GG337" s="860"/>
      <c r="GH337" s="860"/>
      <c r="GI337" s="860"/>
      <c r="GJ337" s="860"/>
      <c r="GK337" s="860"/>
      <c r="GL337" s="860"/>
      <c r="GM337" s="860"/>
      <c r="GN337" s="860"/>
      <c r="GO337" s="860"/>
      <c r="GP337" s="860"/>
      <c r="GQ337" s="860"/>
      <c r="GR337" s="1162"/>
      <c r="GS337" s="860"/>
      <c r="GT337" s="1162"/>
      <c r="GU337" s="860"/>
      <c r="GV337" s="1162"/>
      <c r="GW337" s="860"/>
      <c r="GX337" s="860"/>
      <c r="GY337" s="1162"/>
      <c r="GZ337" s="860"/>
      <c r="HA337" s="860"/>
      <c r="HB337" s="1162"/>
      <c r="HC337" s="860"/>
      <c r="HE337" s="1162"/>
      <c r="HF337" s="860"/>
      <c r="HH337" s="1162"/>
      <c r="HI337" s="1162"/>
      <c r="HJ337" s="860"/>
      <c r="HL337" s="1162"/>
      <c r="HM337" s="860"/>
      <c r="HO337" s="1162"/>
      <c r="HP337" s="860"/>
      <c r="HR337" s="1162"/>
    </row>
    <row r="338" spans="1:226" hidden="1">
      <c r="A338" s="860"/>
      <c r="B338" s="860"/>
      <c r="C338" s="860"/>
      <c r="D338" s="860"/>
      <c r="E338" s="860"/>
      <c r="F338" s="860"/>
      <c r="G338" s="860"/>
      <c r="H338" s="860"/>
      <c r="I338" s="860"/>
      <c r="J338" s="860"/>
      <c r="K338" s="860"/>
      <c r="L338" s="860"/>
      <c r="M338" s="860"/>
      <c r="N338" s="860"/>
      <c r="O338" s="860"/>
      <c r="P338" s="860"/>
      <c r="Q338" s="860"/>
      <c r="R338" s="860"/>
      <c r="S338" s="860"/>
      <c r="T338" s="860"/>
      <c r="U338" s="1162"/>
      <c r="V338" s="1162"/>
      <c r="W338" s="1162"/>
      <c r="X338" s="1162"/>
      <c r="Y338" s="1162"/>
      <c r="Z338" s="1162"/>
      <c r="AA338" s="1162"/>
      <c r="AB338" s="1162"/>
      <c r="AC338" s="1162"/>
      <c r="AD338" s="1162"/>
      <c r="AE338" s="1162"/>
      <c r="AF338" s="1162"/>
      <c r="AG338" s="1162"/>
      <c r="AH338" s="1162"/>
      <c r="AI338" s="1162"/>
      <c r="AJ338" s="1162"/>
      <c r="AK338" s="1162"/>
      <c r="AL338" s="1162"/>
      <c r="AM338" s="1162"/>
      <c r="AN338" s="1162"/>
      <c r="AO338" s="1162"/>
      <c r="AP338" s="1162"/>
      <c r="AQ338" s="1162"/>
      <c r="AR338" s="1162"/>
      <c r="AS338" s="1162"/>
      <c r="AT338" s="1162"/>
      <c r="AU338" s="1162"/>
      <c r="AV338" s="1162"/>
      <c r="AW338" s="1162"/>
      <c r="AX338" s="1162"/>
      <c r="AY338" s="1162"/>
      <c r="AZ338" s="1162"/>
      <c r="BA338" s="1162"/>
      <c r="BB338" s="1162"/>
      <c r="BC338" s="1162"/>
      <c r="BD338" s="1162"/>
      <c r="BE338" s="1242"/>
      <c r="BF338" s="1162"/>
      <c r="BG338" s="1162"/>
      <c r="BH338" s="1162"/>
      <c r="BI338" s="1261"/>
      <c r="BJ338" s="1242"/>
      <c r="BK338" s="1162"/>
      <c r="BL338" s="1162"/>
      <c r="BM338" s="1162"/>
      <c r="BN338" s="1261"/>
      <c r="BO338" s="1242"/>
      <c r="BP338" s="1162"/>
      <c r="BQ338" s="1162"/>
      <c r="BR338" s="1162"/>
      <c r="BS338" s="1261"/>
      <c r="BT338" s="1242"/>
      <c r="BU338" s="1162"/>
      <c r="BV338" s="1162"/>
      <c r="BW338" s="1162"/>
      <c r="BX338" s="1261"/>
      <c r="BY338" s="1242"/>
      <c r="BZ338" s="1162"/>
      <c r="CA338" s="1162"/>
      <c r="CB338" s="1162"/>
      <c r="CC338" s="1261"/>
      <c r="CD338" s="1242"/>
      <c r="CE338" s="1162"/>
      <c r="CF338" s="1162"/>
      <c r="CG338" s="1162"/>
      <c r="CH338" s="1261"/>
      <c r="CI338" s="1162"/>
      <c r="CJ338" s="1162"/>
      <c r="CK338" s="860"/>
      <c r="CL338" s="860"/>
      <c r="CM338" s="860"/>
      <c r="CN338" s="860"/>
      <c r="CO338" s="860"/>
      <c r="CP338" s="860"/>
      <c r="CQ338" s="860"/>
      <c r="CR338" s="860"/>
      <c r="CS338" s="860"/>
      <c r="CT338" s="860"/>
      <c r="CU338" s="860"/>
      <c r="CV338" s="860"/>
      <c r="CW338" s="860"/>
      <c r="CX338" s="860"/>
      <c r="CY338" s="860"/>
      <c r="CZ338" s="860"/>
      <c r="DA338" s="860"/>
      <c r="DB338" s="860"/>
      <c r="DC338" s="860"/>
      <c r="DD338" s="860"/>
      <c r="DE338" s="860"/>
      <c r="DF338" s="860"/>
      <c r="DG338" s="860"/>
      <c r="DH338" s="860"/>
      <c r="DI338" s="860"/>
      <c r="DJ338" s="860"/>
      <c r="DK338" s="860"/>
      <c r="DL338" s="860"/>
      <c r="DM338" s="860"/>
      <c r="DN338" s="860"/>
      <c r="DO338" s="860"/>
      <c r="DP338" s="860"/>
      <c r="DQ338" s="860"/>
      <c r="DR338" s="860"/>
      <c r="DS338" s="860"/>
      <c r="DT338" s="860"/>
      <c r="DU338" s="860"/>
      <c r="DV338" s="860"/>
      <c r="DW338" s="860"/>
      <c r="DX338" s="860"/>
      <c r="DY338" s="860"/>
      <c r="DZ338" s="860"/>
      <c r="EA338" s="860"/>
      <c r="EB338" s="860"/>
      <c r="EC338" s="860"/>
      <c r="ED338" s="860"/>
      <c r="EE338" s="860"/>
      <c r="EF338" s="860"/>
      <c r="EG338" s="860"/>
      <c r="EH338" s="860"/>
      <c r="EI338" s="1233"/>
      <c r="EJ338" s="860"/>
      <c r="EK338" s="860"/>
      <c r="EL338" s="860"/>
      <c r="EM338" s="1232"/>
      <c r="EN338" s="1233"/>
      <c r="EO338" s="860"/>
      <c r="EP338" s="860"/>
      <c r="EQ338" s="860"/>
      <c r="ER338" s="1232"/>
      <c r="ES338" s="860"/>
      <c r="ET338" s="860"/>
      <c r="EU338" s="860"/>
      <c r="EV338" s="860"/>
      <c r="EW338" s="1232"/>
      <c r="EX338" s="860"/>
      <c r="EY338" s="860"/>
      <c r="EZ338" s="860"/>
      <c r="FA338" s="860"/>
      <c r="FB338" s="860"/>
      <c r="FC338" s="860"/>
      <c r="FD338" s="860"/>
      <c r="FE338" s="860"/>
      <c r="FF338" s="860"/>
      <c r="FG338" s="860"/>
      <c r="FH338" s="860"/>
      <c r="FI338" s="860"/>
      <c r="FJ338" s="860"/>
      <c r="FK338" s="860"/>
      <c r="FL338" s="860"/>
      <c r="FM338" s="860"/>
      <c r="FN338" s="860"/>
      <c r="FO338" s="860"/>
      <c r="FP338" s="860"/>
      <c r="FQ338" s="860"/>
      <c r="FR338" s="860"/>
      <c r="FS338" s="860"/>
      <c r="FT338" s="860"/>
      <c r="FU338" s="860"/>
      <c r="FV338" s="860"/>
      <c r="FW338" s="860"/>
      <c r="FX338" s="860"/>
      <c r="FY338" s="860"/>
      <c r="FZ338" s="860"/>
      <c r="GA338" s="860"/>
      <c r="GB338" s="860"/>
      <c r="GC338" s="860"/>
      <c r="GD338" s="860"/>
      <c r="GE338" s="860"/>
      <c r="GF338" s="860"/>
      <c r="GG338" s="860"/>
      <c r="GH338" s="860"/>
      <c r="GI338" s="860"/>
      <c r="GJ338" s="860"/>
      <c r="GK338" s="860"/>
      <c r="GL338" s="860"/>
      <c r="GM338" s="860"/>
      <c r="GN338" s="860"/>
      <c r="GO338" s="860"/>
      <c r="GP338" s="860"/>
      <c r="GQ338" s="860"/>
      <c r="GR338" s="1162"/>
      <c r="GS338" s="860"/>
      <c r="GT338" s="1162"/>
      <c r="GU338" s="860"/>
      <c r="GV338" s="1162"/>
      <c r="GW338" s="860"/>
      <c r="GX338" s="860"/>
      <c r="GY338" s="1162"/>
      <c r="GZ338" s="860"/>
      <c r="HA338" s="860"/>
      <c r="HB338" s="1162"/>
      <c r="HC338" s="860"/>
      <c r="HE338" s="1162"/>
      <c r="HF338" s="860"/>
      <c r="HH338" s="1162"/>
      <c r="HI338" s="1162"/>
      <c r="HJ338" s="860"/>
      <c r="HL338" s="1162"/>
      <c r="HM338" s="860"/>
      <c r="HO338" s="1162"/>
      <c r="HP338" s="860"/>
      <c r="HR338" s="1162"/>
    </row>
    <row r="339" spans="1:226" hidden="1">
      <c r="A339" s="1258" t="s">
        <v>34</v>
      </c>
      <c r="B339" s="860"/>
      <c r="C339" s="860"/>
      <c r="D339" s="860"/>
      <c r="E339" s="860"/>
      <c r="F339" s="860"/>
      <c r="G339" s="860"/>
      <c r="H339" s="860"/>
      <c r="I339" s="860"/>
      <c r="J339" s="860"/>
      <c r="K339" s="860"/>
      <c r="L339" s="860"/>
      <c r="M339" s="860"/>
      <c r="N339" s="860"/>
      <c r="O339" s="860"/>
      <c r="P339" s="860"/>
      <c r="Q339" s="860"/>
      <c r="R339" s="860"/>
      <c r="S339" s="860"/>
      <c r="T339" s="860"/>
      <c r="U339" s="1162"/>
      <c r="V339" s="1162"/>
      <c r="W339" s="1162"/>
      <c r="X339" s="1162"/>
      <c r="Y339" s="1162"/>
      <c r="Z339" s="1162"/>
      <c r="AA339" s="1162"/>
      <c r="AB339" s="1162"/>
      <c r="AC339" s="1162"/>
      <c r="AD339" s="1162"/>
      <c r="AE339" s="1162"/>
      <c r="AF339" s="1162"/>
      <c r="AG339" s="1162"/>
      <c r="AH339" s="1162"/>
      <c r="AI339" s="1162"/>
      <c r="AJ339" s="1162"/>
      <c r="AK339" s="1162"/>
      <c r="AL339" s="1162"/>
      <c r="AM339" s="1162"/>
      <c r="AN339" s="1162"/>
      <c r="AO339" s="1162"/>
      <c r="AP339" s="1162"/>
      <c r="AQ339" s="1162"/>
      <c r="AR339" s="1162"/>
      <c r="AS339" s="1162"/>
      <c r="AT339" s="1162"/>
      <c r="AU339" s="1162"/>
      <c r="AV339" s="1162"/>
      <c r="AW339" s="1162"/>
      <c r="AX339" s="1162"/>
      <c r="AY339" s="1162"/>
      <c r="AZ339" s="1162"/>
      <c r="BA339" s="1162"/>
      <c r="BB339" s="1162"/>
      <c r="BC339" s="1162"/>
      <c r="BD339" s="1162"/>
      <c r="BE339" s="1242"/>
      <c r="BF339" s="1162"/>
      <c r="BG339" s="1162"/>
      <c r="BH339" s="1162"/>
      <c r="BI339" s="1261"/>
      <c r="BJ339" s="1242"/>
      <c r="BK339" s="1162"/>
      <c r="BL339" s="1162"/>
      <c r="BM339" s="1162"/>
      <c r="BN339" s="1261"/>
      <c r="BO339" s="1242"/>
      <c r="BP339" s="1162"/>
      <c r="BQ339" s="1162"/>
      <c r="BR339" s="1162"/>
      <c r="BS339" s="1261"/>
      <c r="BT339" s="1242"/>
      <c r="BU339" s="1162"/>
      <c r="BV339" s="1162"/>
      <c r="BW339" s="1162"/>
      <c r="BX339" s="1261"/>
      <c r="BY339" s="1242"/>
      <c r="BZ339" s="1162"/>
      <c r="CA339" s="1162"/>
      <c r="CB339" s="1162"/>
      <c r="CC339" s="1261"/>
      <c r="CD339" s="1242"/>
      <c r="CE339" s="1162"/>
      <c r="CF339" s="1162"/>
      <c r="CG339" s="1162"/>
      <c r="CH339" s="1261"/>
      <c r="CI339" s="1162"/>
      <c r="CJ339" s="1162"/>
      <c r="CK339" s="860"/>
      <c r="CL339" s="860"/>
      <c r="CM339" s="860"/>
      <c r="CN339" s="860"/>
      <c r="CO339" s="860"/>
      <c r="CP339" s="860"/>
      <c r="CQ339" s="860"/>
      <c r="CR339" s="860"/>
      <c r="CS339" s="860"/>
      <c r="CT339" s="860"/>
      <c r="CU339" s="860"/>
      <c r="CV339" s="860"/>
      <c r="CW339" s="860"/>
      <c r="CX339" s="860"/>
      <c r="CY339" s="860"/>
      <c r="CZ339" s="860"/>
      <c r="DA339" s="860"/>
      <c r="DB339" s="860"/>
      <c r="DC339" s="860"/>
      <c r="DD339" s="860"/>
      <c r="DE339" s="860"/>
      <c r="DF339" s="860"/>
      <c r="DG339" s="860"/>
      <c r="DH339" s="860"/>
      <c r="DI339" s="860"/>
      <c r="DJ339" s="860"/>
      <c r="DK339" s="860"/>
      <c r="DL339" s="860"/>
      <c r="DM339" s="860"/>
      <c r="DN339" s="860"/>
      <c r="DO339" s="860"/>
      <c r="DP339" s="860"/>
      <c r="DQ339" s="860"/>
      <c r="DR339" s="860"/>
      <c r="DS339" s="860"/>
      <c r="DT339" s="860"/>
      <c r="DU339" s="860"/>
      <c r="DV339" s="860"/>
      <c r="DW339" s="860"/>
      <c r="DX339" s="860"/>
      <c r="DY339" s="860"/>
      <c r="DZ339" s="860"/>
      <c r="EA339" s="860"/>
      <c r="EB339" s="860"/>
      <c r="EC339" s="860"/>
      <c r="ED339" s="860"/>
      <c r="EE339" s="860"/>
      <c r="EF339" s="860"/>
      <c r="EG339" s="860"/>
      <c r="EH339" s="860"/>
      <c r="EI339" s="1233"/>
      <c r="EJ339" s="860"/>
      <c r="EK339" s="860"/>
      <c r="EL339" s="860"/>
      <c r="EM339" s="1232"/>
      <c r="EN339" s="1233"/>
      <c r="EO339" s="860"/>
      <c r="EP339" s="860"/>
      <c r="EQ339" s="860"/>
      <c r="ER339" s="1232"/>
      <c r="ES339" s="860"/>
      <c r="ET339" s="860"/>
      <c r="EU339" s="860"/>
      <c r="EV339" s="860"/>
      <c r="EW339" s="1232"/>
      <c r="EX339" s="860"/>
      <c r="EY339" s="860"/>
      <c r="EZ339" s="860"/>
      <c r="FA339" s="860"/>
      <c r="FB339" s="860"/>
      <c r="FC339" s="860"/>
      <c r="FD339" s="860"/>
      <c r="FE339" s="860"/>
      <c r="FF339" s="860"/>
      <c r="FG339" s="860"/>
      <c r="FH339" s="860"/>
      <c r="FI339" s="860"/>
      <c r="FJ339" s="860"/>
      <c r="FK339" s="860"/>
      <c r="FL339" s="860"/>
      <c r="FM339" s="860"/>
      <c r="FN339" s="860"/>
      <c r="FO339" s="860"/>
      <c r="FP339" s="860"/>
      <c r="FQ339" s="860"/>
      <c r="FR339" s="860"/>
      <c r="FS339" s="860"/>
      <c r="FT339" s="860"/>
      <c r="FU339" s="860"/>
      <c r="FV339" s="860"/>
      <c r="FW339" s="860"/>
      <c r="FX339" s="860"/>
      <c r="FY339" s="860"/>
      <c r="FZ339" s="860"/>
      <c r="GA339" s="860"/>
      <c r="GB339" s="860"/>
      <c r="GC339" s="860"/>
      <c r="GD339" s="860"/>
      <c r="GE339" s="860"/>
      <c r="GF339" s="860"/>
      <c r="GG339" s="860"/>
      <c r="GH339" s="860"/>
      <c r="GI339" s="860"/>
      <c r="GJ339" s="860"/>
      <c r="GK339" s="860"/>
      <c r="GL339" s="860"/>
      <c r="GM339" s="860"/>
      <c r="GN339" s="860"/>
      <c r="GO339" s="860"/>
      <c r="GP339" s="860"/>
      <c r="GQ339" s="860"/>
      <c r="GR339" s="1162"/>
      <c r="GS339" s="860"/>
      <c r="GT339" s="1162"/>
      <c r="GU339" s="860"/>
      <c r="GV339" s="1162"/>
      <c r="GW339" s="860"/>
      <c r="GX339" s="860"/>
      <c r="GY339" s="1162"/>
      <c r="GZ339" s="860"/>
      <c r="HA339" s="860"/>
      <c r="HB339" s="1162"/>
      <c r="HC339" s="860"/>
      <c r="HE339" s="1162"/>
      <c r="HF339" s="860"/>
      <c r="HH339" s="1162"/>
      <c r="HI339" s="1162"/>
      <c r="HJ339" s="860"/>
      <c r="HL339" s="1162"/>
      <c r="HM339" s="860"/>
      <c r="HO339" s="1162"/>
      <c r="HP339" s="860"/>
      <c r="HR339" s="1162"/>
    </row>
    <row r="340" spans="1:226" hidden="1">
      <c r="A340" s="1236" t="s">
        <v>483</v>
      </c>
      <c r="B340" s="860"/>
      <c r="C340" s="860"/>
      <c r="D340" s="860"/>
      <c r="E340" s="860"/>
      <c r="F340" s="860"/>
      <c r="G340" s="860"/>
      <c r="H340" s="860"/>
      <c r="I340" s="1274">
        <v>427.1</v>
      </c>
      <c r="J340" s="1274"/>
      <c r="K340" s="1274">
        <v>1697.2</v>
      </c>
      <c r="L340" s="1274">
        <v>473.1</v>
      </c>
      <c r="M340" s="1274">
        <v>508.1</v>
      </c>
      <c r="N340" s="1274">
        <v>523.1</v>
      </c>
      <c r="O340" s="1274">
        <f>2033.8-L340-M340-N340</f>
        <v>529.49999999999989</v>
      </c>
      <c r="P340" s="1274">
        <f>SUM(L340:O340)</f>
        <v>2033.8000000000002</v>
      </c>
      <c r="Q340" s="1274">
        <v>525.6</v>
      </c>
      <c r="R340" s="1274">
        <v>532</v>
      </c>
      <c r="S340" s="1274">
        <v>540.29999999999995</v>
      </c>
      <c r="T340" s="1274">
        <f>2266.2-Q340-R340-S340</f>
        <v>668.3</v>
      </c>
      <c r="U340" s="1274">
        <f>SUM(Q340:T340)</f>
        <v>2266.1999999999998</v>
      </c>
      <c r="V340" s="1274">
        <v>644.5</v>
      </c>
      <c r="W340" s="1274">
        <v>672.8</v>
      </c>
      <c r="X340" s="1274">
        <v>664.3</v>
      </c>
      <c r="Y340" s="1274"/>
      <c r="Z340" s="1274">
        <f>Cable!I262</f>
        <v>2721.6552824999994</v>
      </c>
      <c r="AA340" s="1274"/>
      <c r="AB340" s="1274"/>
      <c r="AC340" s="1274"/>
      <c r="AD340" s="1274"/>
      <c r="AE340" s="860"/>
      <c r="AF340" s="860"/>
      <c r="AG340" s="860"/>
      <c r="AH340" s="860"/>
      <c r="AI340" s="860"/>
      <c r="AJ340" s="860"/>
      <c r="AK340" s="860"/>
      <c r="AL340" s="860"/>
      <c r="AM340" s="860"/>
      <c r="AN340" s="860"/>
      <c r="AO340" s="860"/>
      <c r="AP340" s="860"/>
      <c r="AQ340" s="860"/>
      <c r="AR340" s="860"/>
      <c r="AS340" s="860"/>
      <c r="AT340" s="860"/>
      <c r="AU340" s="860"/>
      <c r="AV340" s="860"/>
      <c r="AW340" s="860"/>
      <c r="AX340" s="860"/>
      <c r="AY340" s="860"/>
      <c r="AZ340" s="860"/>
      <c r="BA340" s="860"/>
      <c r="BB340" s="860"/>
      <c r="BC340" s="860"/>
      <c r="BD340" s="860"/>
      <c r="BE340" s="1233"/>
      <c r="BF340" s="860"/>
      <c r="BG340" s="860"/>
      <c r="BH340" s="860"/>
      <c r="BI340" s="1232"/>
      <c r="BJ340" s="1233"/>
      <c r="BK340" s="860"/>
      <c r="BL340" s="860"/>
      <c r="BM340" s="860"/>
      <c r="BN340" s="1232"/>
      <c r="BO340" s="1233"/>
      <c r="BP340" s="860"/>
      <c r="BQ340" s="860"/>
      <c r="BR340" s="860"/>
      <c r="BS340" s="1232"/>
      <c r="BT340" s="1233"/>
      <c r="BU340" s="860"/>
      <c r="BV340" s="860"/>
      <c r="BW340" s="860"/>
      <c r="BX340" s="1232"/>
      <c r="BY340" s="1233"/>
      <c r="BZ340" s="860"/>
      <c r="CA340" s="860"/>
      <c r="CB340" s="860"/>
      <c r="CC340" s="1232"/>
      <c r="CD340" s="1233"/>
      <c r="CE340" s="860"/>
      <c r="CF340" s="860"/>
      <c r="CG340" s="860"/>
      <c r="CH340" s="1232"/>
      <c r="CI340" s="860"/>
      <c r="CJ340" s="1162"/>
      <c r="CK340" s="860"/>
      <c r="CL340" s="860"/>
      <c r="CM340" s="860"/>
      <c r="CN340" s="860"/>
      <c r="CO340" s="860"/>
      <c r="CP340" s="860"/>
      <c r="CQ340" s="860"/>
      <c r="CR340" s="860"/>
      <c r="CS340" s="860"/>
      <c r="CT340" s="860"/>
      <c r="CU340" s="860"/>
      <c r="CV340" s="860"/>
      <c r="CW340" s="860"/>
      <c r="CX340" s="860"/>
      <c r="CY340" s="860"/>
      <c r="CZ340" s="860"/>
      <c r="DA340" s="860"/>
      <c r="DB340" s="860"/>
      <c r="DC340" s="860"/>
      <c r="DD340" s="860"/>
      <c r="DE340" s="860"/>
      <c r="DF340" s="860"/>
      <c r="DG340" s="860"/>
      <c r="DH340" s="860"/>
      <c r="DI340" s="860"/>
      <c r="DJ340" s="860"/>
      <c r="DK340" s="860"/>
      <c r="DL340" s="860"/>
      <c r="DM340" s="860"/>
      <c r="DN340" s="860"/>
      <c r="DO340" s="860"/>
      <c r="DP340" s="860"/>
      <c r="DQ340" s="860"/>
      <c r="DR340" s="860"/>
      <c r="DS340" s="860"/>
      <c r="DT340" s="860"/>
      <c r="DU340" s="860"/>
      <c r="DV340" s="860"/>
      <c r="DW340" s="860"/>
      <c r="DX340" s="860"/>
      <c r="DY340" s="860"/>
      <c r="DZ340" s="860"/>
      <c r="EA340" s="860"/>
      <c r="EB340" s="860"/>
      <c r="EC340" s="860"/>
      <c r="ED340" s="860"/>
      <c r="EE340" s="860"/>
      <c r="EF340" s="860"/>
      <c r="EG340" s="860"/>
      <c r="EH340" s="860"/>
      <c r="EI340" s="1233"/>
      <c r="EJ340" s="860"/>
      <c r="EK340" s="860"/>
      <c r="EL340" s="860"/>
      <c r="EM340" s="1232"/>
      <c r="EN340" s="1233"/>
      <c r="EO340" s="860"/>
      <c r="EP340" s="860"/>
      <c r="EQ340" s="860"/>
      <c r="ER340" s="1232"/>
      <c r="ES340" s="860"/>
      <c r="ET340" s="860"/>
      <c r="EU340" s="860"/>
      <c r="EV340" s="860"/>
      <c r="EW340" s="1232"/>
      <c r="EX340" s="860"/>
      <c r="EY340" s="860"/>
      <c r="EZ340" s="860"/>
      <c r="FA340" s="860"/>
      <c r="FB340" s="860"/>
      <c r="FC340" s="860"/>
      <c r="FD340" s="860"/>
      <c r="FE340" s="860"/>
      <c r="FF340" s="860"/>
      <c r="FG340" s="860"/>
      <c r="FH340" s="860"/>
      <c r="FI340" s="860"/>
      <c r="FJ340" s="860"/>
      <c r="FK340" s="860"/>
      <c r="FL340" s="860"/>
      <c r="FM340" s="860"/>
      <c r="FN340" s="860"/>
      <c r="FO340" s="860"/>
      <c r="FP340" s="860"/>
      <c r="FQ340" s="860"/>
      <c r="FR340" s="860"/>
      <c r="FS340" s="860"/>
      <c r="FT340" s="860"/>
      <c r="FU340" s="860"/>
      <c r="FV340" s="860"/>
      <c r="FW340" s="860"/>
      <c r="FX340" s="860"/>
      <c r="FY340" s="860"/>
      <c r="FZ340" s="860"/>
      <c r="GA340" s="860"/>
      <c r="GB340" s="860"/>
      <c r="GC340" s="860"/>
      <c r="GD340" s="860"/>
      <c r="GE340" s="860"/>
      <c r="GF340" s="860"/>
      <c r="GG340" s="860"/>
      <c r="GH340" s="860"/>
      <c r="GI340" s="860"/>
      <c r="GJ340" s="860"/>
      <c r="GK340" s="860"/>
      <c r="GL340" s="860"/>
      <c r="GM340" s="860"/>
      <c r="GN340" s="860"/>
      <c r="GO340" s="860"/>
      <c r="GP340" s="860"/>
      <c r="GQ340" s="860"/>
      <c r="GR340" s="860"/>
      <c r="GS340" s="860"/>
      <c r="GT340" s="860"/>
      <c r="GU340" s="860"/>
      <c r="GV340" s="860"/>
      <c r="GW340" s="860"/>
      <c r="GX340" s="860"/>
      <c r="GY340" s="860"/>
      <c r="GZ340" s="860"/>
      <c r="HA340" s="860"/>
      <c r="HB340" s="860"/>
      <c r="HC340" s="860"/>
      <c r="HE340" s="860"/>
      <c r="HF340" s="860"/>
      <c r="HH340" s="860"/>
      <c r="HI340" s="860"/>
      <c r="HJ340" s="860"/>
      <c r="HL340" s="860"/>
      <c r="HM340" s="860"/>
      <c r="HO340" s="860"/>
      <c r="HP340" s="860"/>
      <c r="HR340" s="860"/>
    </row>
    <row r="341" spans="1:226" hidden="1">
      <c r="A341" s="1236" t="s">
        <v>484</v>
      </c>
      <c r="B341" s="860"/>
      <c r="C341" s="860"/>
      <c r="D341" s="860"/>
      <c r="E341" s="860"/>
      <c r="F341" s="860"/>
      <c r="G341" s="860"/>
      <c r="H341" s="860"/>
      <c r="I341" s="1274">
        <v>442.8</v>
      </c>
      <c r="J341" s="1274"/>
      <c r="K341" s="1274">
        <v>1806.1</v>
      </c>
      <c r="L341" s="1274">
        <v>484.3</v>
      </c>
      <c r="M341" s="1274">
        <v>476.4</v>
      </c>
      <c r="N341" s="1274">
        <v>485.2</v>
      </c>
      <c r="O341" s="1274">
        <f>2007.6-L341-M341-N341</f>
        <v>561.70000000000005</v>
      </c>
      <c r="P341" s="1274">
        <f>SUM(L341:O341)</f>
        <v>2007.6000000000001</v>
      </c>
      <c r="Q341" s="1274">
        <v>503.6</v>
      </c>
      <c r="R341" s="1274">
        <v>557.79999999999995</v>
      </c>
      <c r="S341" s="1274">
        <v>516</v>
      </c>
      <c r="T341" s="1274">
        <f>2108.9-Q341-R341-S341</f>
        <v>531.50000000000023</v>
      </c>
      <c r="U341" s="1274">
        <f>SUM(Q341:T341)</f>
        <v>2108.9000000000005</v>
      </c>
      <c r="V341" s="1274">
        <v>562.70000000000005</v>
      </c>
      <c r="W341" s="1274">
        <v>635.20000000000005</v>
      </c>
      <c r="X341" s="1274">
        <v>630.79999999999995</v>
      </c>
      <c r="Y341" s="1274"/>
      <c r="Z341" s="1274">
        <f>Cable!I263</f>
        <v>2453.3442</v>
      </c>
      <c r="AA341" s="1274"/>
      <c r="AB341" s="1274"/>
      <c r="AC341" s="1274"/>
      <c r="AD341" s="1274"/>
      <c r="AE341" s="860"/>
      <c r="AF341" s="860"/>
      <c r="AG341" s="860"/>
      <c r="AH341" s="860"/>
      <c r="AI341" s="860"/>
      <c r="AJ341" s="860"/>
      <c r="AK341" s="860"/>
      <c r="AL341" s="860"/>
      <c r="AM341" s="860"/>
      <c r="AN341" s="860"/>
      <c r="AO341" s="860"/>
      <c r="AP341" s="860"/>
      <c r="AQ341" s="860"/>
      <c r="AR341" s="860"/>
      <c r="AS341" s="860"/>
      <c r="AT341" s="860"/>
      <c r="AU341" s="860"/>
      <c r="AV341" s="860"/>
      <c r="AW341" s="860"/>
      <c r="AX341" s="860"/>
      <c r="AY341" s="860"/>
      <c r="AZ341" s="860"/>
      <c r="BA341" s="860"/>
      <c r="BB341" s="860"/>
      <c r="BC341" s="860"/>
      <c r="BD341" s="860"/>
      <c r="BE341" s="1233"/>
      <c r="BF341" s="860"/>
      <c r="BG341" s="860"/>
      <c r="BH341" s="860"/>
      <c r="BI341" s="1232"/>
      <c r="BJ341" s="1233"/>
      <c r="BK341" s="860"/>
      <c r="BL341" s="860"/>
      <c r="BM341" s="860"/>
      <c r="BN341" s="1232"/>
      <c r="BO341" s="1233"/>
      <c r="BP341" s="860"/>
      <c r="BQ341" s="860"/>
      <c r="BR341" s="860"/>
      <c r="BS341" s="1232"/>
      <c r="BT341" s="1233"/>
      <c r="BU341" s="860"/>
      <c r="BV341" s="860"/>
      <c r="BW341" s="860"/>
      <c r="BX341" s="1232"/>
      <c r="BY341" s="1233"/>
      <c r="BZ341" s="860"/>
      <c r="CA341" s="860"/>
      <c r="CB341" s="860"/>
      <c r="CC341" s="1232"/>
      <c r="CD341" s="1233"/>
      <c r="CE341" s="860"/>
      <c r="CF341" s="860"/>
      <c r="CG341" s="860"/>
      <c r="CH341" s="1232"/>
      <c r="CI341" s="860"/>
      <c r="CJ341" s="860"/>
      <c r="CK341" s="860"/>
      <c r="CL341" s="860"/>
      <c r="CM341" s="860"/>
      <c r="CN341" s="860"/>
      <c r="CO341" s="860"/>
      <c r="CP341" s="860"/>
      <c r="CQ341" s="860"/>
      <c r="CR341" s="860"/>
      <c r="CS341" s="860"/>
      <c r="CT341" s="860"/>
      <c r="CU341" s="860"/>
      <c r="CV341" s="860"/>
      <c r="CW341" s="860"/>
      <c r="CX341" s="860"/>
      <c r="CY341" s="860"/>
      <c r="CZ341" s="860"/>
      <c r="DA341" s="860"/>
      <c r="DB341" s="860"/>
      <c r="DC341" s="860"/>
      <c r="DD341" s="860"/>
      <c r="DE341" s="860"/>
      <c r="DF341" s="860"/>
      <c r="DG341" s="860"/>
      <c r="DH341" s="860"/>
      <c r="DI341" s="860"/>
      <c r="DJ341" s="860"/>
      <c r="DK341" s="860"/>
      <c r="DL341" s="860"/>
      <c r="DM341" s="860"/>
      <c r="DN341" s="860"/>
      <c r="DO341" s="860"/>
      <c r="DP341" s="860"/>
      <c r="DQ341" s="860"/>
      <c r="DR341" s="860"/>
      <c r="DS341" s="860"/>
      <c r="DT341" s="860"/>
      <c r="DU341" s="860"/>
      <c r="DV341" s="860"/>
      <c r="DW341" s="860"/>
      <c r="DX341" s="860"/>
      <c r="DY341" s="860"/>
      <c r="DZ341" s="860"/>
      <c r="EA341" s="860"/>
      <c r="EB341" s="860"/>
      <c r="EC341" s="860"/>
      <c r="ED341" s="860"/>
      <c r="EE341" s="860"/>
      <c r="EF341" s="860"/>
      <c r="EG341" s="860"/>
      <c r="EH341" s="860"/>
      <c r="EI341" s="1233"/>
      <c r="EJ341" s="860"/>
      <c r="EK341" s="860"/>
      <c r="EL341" s="860"/>
      <c r="EM341" s="1232"/>
      <c r="EN341" s="1233"/>
      <c r="EO341" s="860"/>
      <c r="EP341" s="860"/>
      <c r="EQ341" s="860"/>
      <c r="ER341" s="1232"/>
      <c r="ES341" s="860"/>
      <c r="ET341" s="860"/>
      <c r="EU341" s="860"/>
      <c r="EV341" s="860"/>
      <c r="EW341" s="1232"/>
      <c r="EX341" s="860"/>
      <c r="EY341" s="860"/>
      <c r="EZ341" s="860"/>
      <c r="FA341" s="860"/>
      <c r="FB341" s="860"/>
      <c r="FC341" s="860"/>
      <c r="FD341" s="860"/>
      <c r="FE341" s="860"/>
      <c r="FF341" s="860"/>
      <c r="FG341" s="860"/>
      <c r="FH341" s="860"/>
      <c r="FI341" s="860"/>
      <c r="FJ341" s="860"/>
      <c r="FK341" s="860"/>
      <c r="FL341" s="860"/>
      <c r="FM341" s="860"/>
      <c r="FN341" s="860"/>
      <c r="FO341" s="860"/>
      <c r="FP341" s="860"/>
      <c r="FQ341" s="860"/>
      <c r="FR341" s="860"/>
      <c r="FS341" s="860"/>
      <c r="FT341" s="860"/>
      <c r="FU341" s="860"/>
      <c r="FV341" s="860"/>
      <c r="FW341" s="860"/>
      <c r="FX341" s="860"/>
      <c r="FY341" s="860"/>
      <c r="FZ341" s="860"/>
      <c r="GA341" s="860"/>
      <c r="GB341" s="860"/>
      <c r="GC341" s="860"/>
      <c r="GD341" s="860"/>
      <c r="GE341" s="860"/>
      <c r="GF341" s="860"/>
      <c r="GG341" s="860"/>
      <c r="GH341" s="860"/>
      <c r="GI341" s="860"/>
      <c r="GJ341" s="860"/>
      <c r="GK341" s="860"/>
      <c r="GL341" s="860"/>
      <c r="GM341" s="860"/>
      <c r="GN341" s="860"/>
      <c r="GO341" s="860"/>
      <c r="GP341" s="860"/>
      <c r="GQ341" s="860"/>
      <c r="GR341" s="860"/>
      <c r="GS341" s="860"/>
      <c r="GT341" s="860"/>
      <c r="GU341" s="860"/>
      <c r="GV341" s="860"/>
      <c r="GW341" s="860"/>
      <c r="GX341" s="860"/>
      <c r="GY341" s="860"/>
      <c r="GZ341" s="860"/>
      <c r="HA341" s="860"/>
      <c r="HB341" s="860"/>
      <c r="HC341" s="860"/>
      <c r="HE341" s="860"/>
      <c r="HF341" s="860"/>
      <c r="HH341" s="860"/>
      <c r="HI341" s="860"/>
      <c r="HJ341" s="860"/>
      <c r="HL341" s="860"/>
      <c r="HM341" s="860"/>
      <c r="HO341" s="860"/>
      <c r="HP341" s="860"/>
      <c r="HR341" s="860"/>
    </row>
    <row r="342" spans="1:226" hidden="1">
      <c r="A342" s="1236" t="s">
        <v>485</v>
      </c>
      <c r="B342" s="860"/>
      <c r="C342" s="860"/>
      <c r="D342" s="860"/>
      <c r="E342" s="860"/>
      <c r="F342" s="860"/>
      <c r="G342" s="860"/>
      <c r="H342" s="860"/>
      <c r="I342" s="1274">
        <v>199.6</v>
      </c>
      <c r="J342" s="1274"/>
      <c r="K342" s="1274">
        <v>926.2</v>
      </c>
      <c r="L342" s="1274">
        <v>236</v>
      </c>
      <c r="M342" s="1274">
        <v>259.5</v>
      </c>
      <c r="N342" s="1274">
        <v>227.9</v>
      </c>
      <c r="O342" s="1274">
        <f>1065.6-L342-M342-N342</f>
        <v>342.19999999999993</v>
      </c>
      <c r="P342" s="1274">
        <f>SUM(L342:O342)</f>
        <v>1065.5999999999999</v>
      </c>
      <c r="Q342" s="1274">
        <v>274.89999999999998</v>
      </c>
      <c r="R342" s="1274">
        <v>275.60000000000002</v>
      </c>
      <c r="S342" s="1274">
        <v>235</v>
      </c>
      <c r="T342" s="1274">
        <f>1177.6-Q342-R342-S342</f>
        <v>392.09999999999991</v>
      </c>
      <c r="U342" s="1274">
        <f>SUM(Q342:T342)</f>
        <v>1177.5999999999999</v>
      </c>
      <c r="V342" s="1274">
        <v>328.8</v>
      </c>
      <c r="W342" s="1274">
        <v>344.2</v>
      </c>
      <c r="X342" s="1274">
        <v>323.3</v>
      </c>
      <c r="Y342" s="1274">
        <f>Z342-V342-W342-X342</f>
        <v>348.36191999999977</v>
      </c>
      <c r="Z342" s="1274">
        <f>Cable!I264</f>
        <v>1344.6619199999998</v>
      </c>
      <c r="AA342" s="1274"/>
      <c r="AB342" s="1274"/>
      <c r="AC342" s="1274"/>
      <c r="AD342" s="1274"/>
      <c r="AE342" s="860"/>
      <c r="AF342" s="1162"/>
      <c r="AG342" s="1162"/>
      <c r="AH342" s="1162"/>
      <c r="AI342" s="1162"/>
      <c r="AJ342" s="1162"/>
      <c r="AK342" s="1162"/>
      <c r="AL342" s="1162"/>
      <c r="AM342" s="1162"/>
      <c r="AN342" s="1162"/>
      <c r="AO342" s="1162"/>
      <c r="AP342" s="1162"/>
      <c r="AQ342" s="1162"/>
      <c r="AR342" s="1162"/>
      <c r="AS342" s="1162"/>
      <c r="AT342" s="1162"/>
      <c r="AU342" s="1162"/>
      <c r="AV342" s="1162"/>
      <c r="AW342" s="1162"/>
      <c r="AX342" s="1162"/>
      <c r="AY342" s="1162"/>
      <c r="AZ342" s="1162"/>
      <c r="BA342" s="1162"/>
      <c r="BB342" s="1162"/>
      <c r="BC342" s="1162"/>
      <c r="BD342" s="1162"/>
      <c r="BE342" s="1242"/>
      <c r="BF342" s="1162"/>
      <c r="BG342" s="1162"/>
      <c r="BH342" s="1162"/>
      <c r="BI342" s="1261"/>
      <c r="BJ342" s="1242"/>
      <c r="BK342" s="1162"/>
      <c r="BL342" s="1162"/>
      <c r="BM342" s="1162"/>
      <c r="BN342" s="1261"/>
      <c r="BO342" s="1242"/>
      <c r="BP342" s="1162"/>
      <c r="BQ342" s="1162"/>
      <c r="BR342" s="1162"/>
      <c r="BS342" s="1261"/>
      <c r="BT342" s="1242"/>
      <c r="BU342" s="1162"/>
      <c r="BV342" s="1162"/>
      <c r="BW342" s="1162"/>
      <c r="BX342" s="1261"/>
      <c r="BY342" s="1242"/>
      <c r="BZ342" s="1162"/>
      <c r="CA342" s="1162"/>
      <c r="CB342" s="1162"/>
      <c r="CC342" s="1261"/>
      <c r="CD342" s="1242"/>
      <c r="CE342" s="1162"/>
      <c r="CF342" s="1162"/>
      <c r="CG342" s="1162"/>
      <c r="CH342" s="1261"/>
      <c r="CI342" s="1162"/>
      <c r="CJ342" s="1274"/>
      <c r="CK342" s="860"/>
      <c r="CL342" s="860"/>
      <c r="CM342" s="860"/>
      <c r="CN342" s="860"/>
      <c r="CO342" s="860"/>
      <c r="CP342" s="860"/>
      <c r="CQ342" s="860"/>
      <c r="CR342" s="860"/>
      <c r="CS342" s="860"/>
      <c r="CT342" s="860"/>
      <c r="CU342" s="860"/>
      <c r="CV342" s="860"/>
      <c r="CW342" s="860"/>
      <c r="CX342" s="860"/>
      <c r="CY342" s="860"/>
      <c r="CZ342" s="860"/>
      <c r="DA342" s="860"/>
      <c r="DB342" s="860"/>
      <c r="DC342" s="860"/>
      <c r="DD342" s="860"/>
      <c r="DE342" s="860"/>
      <c r="DF342" s="860"/>
      <c r="DG342" s="860"/>
      <c r="DH342" s="860"/>
      <c r="DI342" s="860"/>
      <c r="DJ342" s="860"/>
      <c r="DK342" s="860"/>
      <c r="DL342" s="860"/>
      <c r="DM342" s="860"/>
      <c r="DN342" s="860"/>
      <c r="DO342" s="860"/>
      <c r="DP342" s="860"/>
      <c r="DQ342" s="860"/>
      <c r="DR342" s="860"/>
      <c r="DS342" s="860"/>
      <c r="DT342" s="860"/>
      <c r="DU342" s="860"/>
      <c r="DV342" s="860"/>
      <c r="DW342" s="860"/>
      <c r="DX342" s="860"/>
      <c r="DY342" s="860"/>
      <c r="DZ342" s="860"/>
      <c r="EA342" s="860"/>
      <c r="EB342" s="860"/>
      <c r="EC342" s="860"/>
      <c r="ED342" s="860"/>
      <c r="EE342" s="860"/>
      <c r="EF342" s="860"/>
      <c r="EG342" s="860"/>
      <c r="EH342" s="860"/>
      <c r="EI342" s="1233"/>
      <c r="EJ342" s="860"/>
      <c r="EK342" s="860"/>
      <c r="EL342" s="860"/>
      <c r="EM342" s="1232"/>
      <c r="EN342" s="1233"/>
      <c r="EO342" s="860"/>
      <c r="EP342" s="860"/>
      <c r="EQ342" s="860"/>
      <c r="ER342" s="1232"/>
      <c r="ES342" s="860"/>
      <c r="ET342" s="860"/>
      <c r="EU342" s="860"/>
      <c r="EV342" s="860"/>
      <c r="EW342" s="1232"/>
      <c r="EX342" s="860"/>
      <c r="EY342" s="860"/>
      <c r="EZ342" s="860"/>
      <c r="FA342" s="860"/>
      <c r="FB342" s="860"/>
      <c r="FC342" s="860"/>
      <c r="FD342" s="860"/>
      <c r="FE342" s="860"/>
      <c r="FF342" s="860"/>
      <c r="FG342" s="860"/>
      <c r="FH342" s="860"/>
      <c r="FI342" s="860"/>
      <c r="FJ342" s="860"/>
      <c r="FK342" s="860"/>
      <c r="FL342" s="860"/>
      <c r="FM342" s="860"/>
      <c r="FN342" s="860"/>
      <c r="FO342" s="860"/>
      <c r="FP342" s="860"/>
      <c r="FQ342" s="860"/>
      <c r="FR342" s="860"/>
      <c r="FS342" s="860"/>
      <c r="FT342" s="860"/>
      <c r="FU342" s="860"/>
      <c r="FV342" s="860"/>
      <c r="FW342" s="860"/>
      <c r="FX342" s="860"/>
      <c r="FY342" s="860"/>
      <c r="FZ342" s="860"/>
      <c r="GA342" s="860"/>
      <c r="GB342" s="860"/>
      <c r="GC342" s="860"/>
      <c r="GD342" s="860"/>
      <c r="GE342" s="860"/>
      <c r="GF342" s="860"/>
      <c r="GG342" s="860"/>
      <c r="GH342" s="860"/>
      <c r="GI342" s="860"/>
      <c r="GJ342" s="860"/>
      <c r="GK342" s="860"/>
      <c r="GL342" s="860"/>
      <c r="GM342" s="860"/>
      <c r="GN342" s="860"/>
      <c r="GO342" s="860"/>
      <c r="GP342" s="860"/>
      <c r="GQ342" s="860"/>
      <c r="GR342" s="1162"/>
      <c r="GS342" s="860"/>
      <c r="GT342" s="1162"/>
      <c r="GU342" s="860"/>
      <c r="GV342" s="1162"/>
      <c r="GW342" s="860"/>
      <c r="GX342" s="860"/>
      <c r="GY342" s="1162"/>
      <c r="GZ342" s="860"/>
      <c r="HA342" s="860"/>
      <c r="HB342" s="1162"/>
      <c r="HC342" s="860"/>
      <c r="HE342" s="1162"/>
      <c r="HF342" s="860"/>
      <c r="HH342" s="1162"/>
      <c r="HI342" s="1162"/>
      <c r="HJ342" s="860"/>
      <c r="HL342" s="1162"/>
      <c r="HM342" s="860"/>
      <c r="HO342" s="1162"/>
      <c r="HP342" s="860"/>
      <c r="HR342" s="1162"/>
    </row>
    <row r="343" spans="1:226" hidden="1">
      <c r="A343" s="1132" t="s">
        <v>832</v>
      </c>
      <c r="B343" s="860"/>
      <c r="C343" s="860"/>
      <c r="D343" s="860"/>
      <c r="E343" s="860"/>
      <c r="F343" s="860"/>
      <c r="G343" s="860"/>
      <c r="H343" s="860"/>
      <c r="I343" s="1274">
        <v>182.4</v>
      </c>
      <c r="J343" s="1274"/>
      <c r="K343" s="1274">
        <v>573.4</v>
      </c>
      <c r="L343" s="1274">
        <v>208.6</v>
      </c>
      <c r="M343" s="1274">
        <v>281.7</v>
      </c>
      <c r="N343" s="1274">
        <v>251.3</v>
      </c>
      <c r="O343" s="1274">
        <f>955.6-L343-M343-N343</f>
        <v>214</v>
      </c>
      <c r="P343" s="1274">
        <f>SUM(L343:O343)</f>
        <v>955.59999999999991</v>
      </c>
      <c r="Q343" s="1274">
        <v>177.3</v>
      </c>
      <c r="R343" s="1274">
        <v>281</v>
      </c>
      <c r="S343" s="1274">
        <v>195.2</v>
      </c>
      <c r="T343" s="1274">
        <f>820.7-Q343-R343-S343</f>
        <v>167.2000000000001</v>
      </c>
      <c r="U343" s="1274">
        <f>SUM(Q343:T343)</f>
        <v>820.7</v>
      </c>
      <c r="V343" s="1274">
        <v>195.9</v>
      </c>
      <c r="W343" s="1274">
        <v>293.7</v>
      </c>
      <c r="X343" s="1274">
        <v>332.3</v>
      </c>
      <c r="Y343" s="1274"/>
      <c r="Z343" s="1274">
        <f>Cable!I265</f>
        <v>1137.5385974999992</v>
      </c>
      <c r="AA343" s="1274"/>
      <c r="AB343" s="1274"/>
      <c r="AC343" s="1274"/>
      <c r="AD343" s="1274"/>
      <c r="AE343" s="860"/>
      <c r="AF343" s="1162"/>
      <c r="AG343" s="1162"/>
      <c r="AH343" s="1162"/>
      <c r="AI343" s="1162"/>
      <c r="AJ343" s="1162"/>
      <c r="AK343" s="1162"/>
      <c r="AL343" s="1162"/>
      <c r="AM343" s="1162"/>
      <c r="AN343" s="1162"/>
      <c r="AO343" s="1162"/>
      <c r="AP343" s="1162"/>
      <c r="AQ343" s="1162"/>
      <c r="AR343" s="1162"/>
      <c r="AS343" s="1162"/>
      <c r="AT343" s="1162"/>
      <c r="AU343" s="1162"/>
      <c r="AV343" s="1162"/>
      <c r="AW343" s="1162"/>
      <c r="AX343" s="1162"/>
      <c r="AY343" s="1162"/>
      <c r="AZ343" s="1162"/>
      <c r="BA343" s="1162"/>
      <c r="BB343" s="1162"/>
      <c r="BC343" s="1162"/>
      <c r="BD343" s="1162"/>
      <c r="BE343" s="1242"/>
      <c r="BF343" s="1162"/>
      <c r="BG343" s="1162"/>
      <c r="BH343" s="1162"/>
      <c r="BI343" s="1261"/>
      <c r="BJ343" s="1242"/>
      <c r="BK343" s="1162"/>
      <c r="BL343" s="1162"/>
      <c r="BM343" s="1162"/>
      <c r="BN343" s="1261"/>
      <c r="BO343" s="1242"/>
      <c r="BP343" s="1162"/>
      <c r="BQ343" s="1162"/>
      <c r="BR343" s="1162"/>
      <c r="BS343" s="1261"/>
      <c r="BT343" s="1242"/>
      <c r="BU343" s="1162"/>
      <c r="BV343" s="1162"/>
      <c r="BW343" s="1162"/>
      <c r="BX343" s="1261"/>
      <c r="BY343" s="1242"/>
      <c r="BZ343" s="1162"/>
      <c r="CA343" s="1162"/>
      <c r="CB343" s="1162"/>
      <c r="CC343" s="1261"/>
      <c r="CD343" s="1242"/>
      <c r="CE343" s="1162"/>
      <c r="CF343" s="1162"/>
      <c r="CG343" s="1162"/>
      <c r="CH343" s="1261"/>
      <c r="CI343" s="1162"/>
      <c r="CJ343" s="1274"/>
      <c r="CK343" s="860"/>
      <c r="CL343" s="860"/>
      <c r="CM343" s="860"/>
      <c r="CN343" s="860"/>
      <c r="CO343" s="860"/>
      <c r="CP343" s="860"/>
      <c r="CQ343" s="860"/>
      <c r="CR343" s="860"/>
      <c r="CS343" s="860"/>
      <c r="CT343" s="860"/>
      <c r="CU343" s="860"/>
      <c r="CV343" s="860"/>
      <c r="CW343" s="860"/>
      <c r="CX343" s="860"/>
      <c r="CY343" s="860"/>
      <c r="CZ343" s="860"/>
      <c r="DA343" s="860"/>
      <c r="DB343" s="860"/>
      <c r="DC343" s="860"/>
      <c r="DD343" s="860"/>
      <c r="DE343" s="860"/>
      <c r="DF343" s="860"/>
      <c r="DG343" s="860"/>
      <c r="DH343" s="860"/>
      <c r="DI343" s="860"/>
      <c r="DJ343" s="860"/>
      <c r="DK343" s="860"/>
      <c r="DL343" s="860"/>
      <c r="DM343" s="860"/>
      <c r="DN343" s="860"/>
      <c r="DO343" s="860"/>
      <c r="DP343" s="860"/>
      <c r="DQ343" s="860"/>
      <c r="DR343" s="860"/>
      <c r="DS343" s="860"/>
      <c r="DT343" s="860"/>
      <c r="DU343" s="860"/>
      <c r="DV343" s="860"/>
      <c r="DW343" s="860"/>
      <c r="DX343" s="860"/>
      <c r="DY343" s="860"/>
      <c r="DZ343" s="860"/>
      <c r="EA343" s="860"/>
      <c r="EB343" s="860"/>
      <c r="EC343" s="860"/>
      <c r="ED343" s="860"/>
      <c r="EE343" s="860"/>
      <c r="EF343" s="860"/>
      <c r="EG343" s="860"/>
      <c r="EH343" s="860"/>
      <c r="EI343" s="1233"/>
      <c r="EJ343" s="860"/>
      <c r="EK343" s="860"/>
      <c r="EL343" s="860"/>
      <c r="EM343" s="1232"/>
      <c r="EN343" s="1233"/>
      <c r="EO343" s="860"/>
      <c r="EP343" s="860"/>
      <c r="EQ343" s="860"/>
      <c r="ER343" s="1232"/>
      <c r="ES343" s="860"/>
      <c r="ET343" s="860"/>
      <c r="EU343" s="860"/>
      <c r="EV343" s="860"/>
      <c r="EW343" s="1232"/>
      <c r="EX343" s="860"/>
      <c r="EY343" s="860"/>
      <c r="EZ343" s="860"/>
      <c r="FA343" s="860"/>
      <c r="FB343" s="860"/>
      <c r="FC343" s="860"/>
      <c r="FD343" s="860"/>
      <c r="FE343" s="860"/>
      <c r="FF343" s="860"/>
      <c r="FG343" s="860"/>
      <c r="FH343" s="860"/>
      <c r="FI343" s="860"/>
      <c r="FJ343" s="860"/>
      <c r="FK343" s="860"/>
      <c r="FL343" s="860"/>
      <c r="FM343" s="860"/>
      <c r="FN343" s="860"/>
      <c r="FO343" s="860"/>
      <c r="FP343" s="860"/>
      <c r="FQ343" s="860"/>
      <c r="FR343" s="860"/>
      <c r="FS343" s="860"/>
      <c r="FT343" s="860"/>
      <c r="FU343" s="860"/>
      <c r="FV343" s="860"/>
      <c r="FW343" s="860"/>
      <c r="FX343" s="860"/>
      <c r="FY343" s="860"/>
      <c r="FZ343" s="860"/>
      <c r="GA343" s="860"/>
      <c r="GB343" s="860"/>
      <c r="GC343" s="860"/>
      <c r="GD343" s="860"/>
      <c r="GE343" s="860"/>
      <c r="GF343" s="860"/>
      <c r="GG343" s="860"/>
      <c r="GH343" s="860"/>
      <c r="GI343" s="860"/>
      <c r="GJ343" s="860"/>
      <c r="GK343" s="860"/>
      <c r="GL343" s="860"/>
      <c r="GM343" s="860"/>
      <c r="GN343" s="860"/>
      <c r="GO343" s="860"/>
      <c r="GP343" s="860"/>
      <c r="GQ343" s="860"/>
      <c r="GR343" s="1162"/>
      <c r="GS343" s="860"/>
      <c r="GT343" s="1162"/>
      <c r="GU343" s="860"/>
      <c r="GV343" s="1162"/>
      <c r="GW343" s="860"/>
      <c r="GX343" s="860"/>
      <c r="GY343" s="1162"/>
      <c r="GZ343" s="860"/>
      <c r="HA343" s="860"/>
      <c r="HB343" s="1162"/>
      <c r="HC343" s="860"/>
      <c r="HE343" s="1162"/>
      <c r="HF343" s="860"/>
      <c r="HH343" s="1162"/>
      <c r="HI343" s="1162"/>
      <c r="HJ343" s="860"/>
      <c r="HL343" s="1162"/>
      <c r="HM343" s="860"/>
      <c r="HO343" s="1162"/>
      <c r="HP343" s="860"/>
      <c r="HR343" s="1162"/>
    </row>
    <row r="344" spans="1:226" hidden="1">
      <c r="A344" s="1317" t="s">
        <v>486</v>
      </c>
      <c r="B344" s="1294"/>
      <c r="C344" s="1294"/>
      <c r="D344" s="1294"/>
      <c r="E344" s="1294"/>
      <c r="F344" s="1294"/>
      <c r="G344" s="1294"/>
      <c r="H344" s="1294"/>
      <c r="I344" s="967"/>
      <c r="J344" s="967"/>
      <c r="K344" s="967"/>
      <c r="L344" s="967"/>
      <c r="M344" s="967"/>
      <c r="N344" s="967"/>
      <c r="O344" s="967"/>
      <c r="P344" s="967"/>
      <c r="Q344" s="967"/>
      <c r="R344" s="967"/>
      <c r="S344" s="967"/>
      <c r="T344" s="967"/>
      <c r="U344" s="967"/>
      <c r="V344" s="967"/>
      <c r="W344" s="967"/>
      <c r="X344" s="967">
        <v>157.30000000000001</v>
      </c>
      <c r="Y344" s="967">
        <v>430.8</v>
      </c>
      <c r="Z344" s="967">
        <f>Cable!I266</f>
        <v>588.1</v>
      </c>
      <c r="AA344" s="1274"/>
      <c r="AB344" s="1274"/>
      <c r="AC344" s="1274"/>
      <c r="AD344" s="1274"/>
      <c r="AE344" s="860"/>
      <c r="AF344" s="1162"/>
      <c r="AG344" s="1162"/>
      <c r="AH344" s="1162"/>
      <c r="AI344" s="1162"/>
      <c r="AJ344" s="1162"/>
      <c r="AK344" s="1162"/>
      <c r="AL344" s="1162"/>
      <c r="AM344" s="1162"/>
      <c r="AN344" s="1162"/>
      <c r="AO344" s="1162"/>
      <c r="AP344" s="1162"/>
      <c r="AQ344" s="1162"/>
      <c r="AR344" s="1162"/>
      <c r="AS344" s="1162"/>
      <c r="AT344" s="1162"/>
      <c r="AU344" s="1162"/>
      <c r="AV344" s="1162"/>
      <c r="AW344" s="1162"/>
      <c r="AX344" s="1162"/>
      <c r="AY344" s="1162"/>
      <c r="AZ344" s="1162"/>
      <c r="BA344" s="1162"/>
      <c r="BB344" s="1162"/>
      <c r="BC344" s="1162"/>
      <c r="BD344" s="1162"/>
      <c r="BE344" s="1242"/>
      <c r="BF344" s="1162"/>
      <c r="BG344" s="1162"/>
      <c r="BH344" s="1162"/>
      <c r="BI344" s="1261"/>
      <c r="BJ344" s="1242"/>
      <c r="BK344" s="1162"/>
      <c r="BL344" s="1162"/>
      <c r="BM344" s="1162"/>
      <c r="BN344" s="1261"/>
      <c r="BO344" s="1242"/>
      <c r="BP344" s="1162"/>
      <c r="BQ344" s="1162"/>
      <c r="BR344" s="1162"/>
      <c r="BS344" s="1261"/>
      <c r="BT344" s="1242"/>
      <c r="BU344" s="1162"/>
      <c r="BV344" s="1162"/>
      <c r="BW344" s="1162"/>
      <c r="BX344" s="1261"/>
      <c r="BY344" s="1242"/>
      <c r="BZ344" s="1162"/>
      <c r="CA344" s="1162"/>
      <c r="CB344" s="1162"/>
      <c r="CC344" s="1261"/>
      <c r="CD344" s="1242"/>
      <c r="CE344" s="1162"/>
      <c r="CF344" s="1162"/>
      <c r="CG344" s="1162"/>
      <c r="CH344" s="1261"/>
      <c r="CI344" s="1162"/>
      <c r="CJ344" s="1274"/>
      <c r="CK344" s="860"/>
      <c r="CL344" s="860"/>
      <c r="CM344" s="860"/>
      <c r="CN344" s="860"/>
      <c r="CO344" s="860"/>
      <c r="CP344" s="860"/>
      <c r="CQ344" s="860"/>
      <c r="CR344" s="860"/>
      <c r="CS344" s="860"/>
      <c r="CT344" s="860"/>
      <c r="CU344" s="860"/>
      <c r="CV344" s="860"/>
      <c r="CW344" s="860"/>
      <c r="CX344" s="860"/>
      <c r="CY344" s="860"/>
      <c r="CZ344" s="860"/>
      <c r="DA344" s="860"/>
      <c r="DB344" s="860"/>
      <c r="DC344" s="860"/>
      <c r="DD344" s="860"/>
      <c r="DE344" s="860"/>
      <c r="DF344" s="860"/>
      <c r="DG344" s="860"/>
      <c r="DH344" s="860"/>
      <c r="DI344" s="860"/>
      <c r="DJ344" s="860"/>
      <c r="DK344" s="860"/>
      <c r="DL344" s="860"/>
      <c r="DM344" s="860"/>
      <c r="DN344" s="860"/>
      <c r="DO344" s="860"/>
      <c r="DP344" s="860"/>
      <c r="DQ344" s="860"/>
      <c r="DR344" s="860"/>
      <c r="DS344" s="860"/>
      <c r="DT344" s="860"/>
      <c r="DU344" s="860"/>
      <c r="DV344" s="860"/>
      <c r="DW344" s="860"/>
      <c r="DX344" s="860"/>
      <c r="DY344" s="860"/>
      <c r="DZ344" s="860"/>
      <c r="EA344" s="860"/>
      <c r="EB344" s="860"/>
      <c r="EC344" s="860"/>
      <c r="ED344" s="860"/>
      <c r="EE344" s="860"/>
      <c r="EF344" s="860"/>
      <c r="EG344" s="860"/>
      <c r="EH344" s="860"/>
      <c r="EI344" s="1233"/>
      <c r="EJ344" s="860"/>
      <c r="EK344" s="860"/>
      <c r="EL344" s="860"/>
      <c r="EM344" s="1232"/>
      <c r="EN344" s="1233"/>
      <c r="EO344" s="860"/>
      <c r="EP344" s="860"/>
      <c r="EQ344" s="860"/>
      <c r="ER344" s="1232"/>
      <c r="ES344" s="860"/>
      <c r="ET344" s="860"/>
      <c r="EU344" s="860"/>
      <c r="EV344" s="860"/>
      <c r="EW344" s="1232"/>
      <c r="EX344" s="860"/>
      <c r="EY344" s="860"/>
      <c r="EZ344" s="860"/>
      <c r="FA344" s="860"/>
      <c r="FB344" s="860"/>
      <c r="FC344" s="860"/>
      <c r="FD344" s="860"/>
      <c r="FE344" s="860"/>
      <c r="FF344" s="860"/>
      <c r="FG344" s="860"/>
      <c r="FH344" s="860"/>
      <c r="FI344" s="860"/>
      <c r="FJ344" s="860"/>
      <c r="FK344" s="860"/>
      <c r="FL344" s="860"/>
      <c r="FM344" s="860"/>
      <c r="FN344" s="860"/>
      <c r="FO344" s="860"/>
      <c r="FP344" s="860"/>
      <c r="FQ344" s="860"/>
      <c r="FR344" s="860"/>
      <c r="FS344" s="860"/>
      <c r="FT344" s="860"/>
      <c r="FU344" s="860"/>
      <c r="FV344" s="860"/>
      <c r="FW344" s="860"/>
      <c r="FX344" s="860"/>
      <c r="FY344" s="860"/>
      <c r="FZ344" s="860"/>
      <c r="GA344" s="860"/>
      <c r="GB344" s="860"/>
      <c r="GC344" s="860"/>
      <c r="GD344" s="860"/>
      <c r="GE344" s="860"/>
      <c r="GF344" s="860"/>
      <c r="GG344" s="860"/>
      <c r="GH344" s="860"/>
      <c r="GI344" s="860"/>
      <c r="GJ344" s="860"/>
      <c r="GK344" s="860"/>
      <c r="GL344" s="860"/>
      <c r="GM344" s="860"/>
      <c r="GN344" s="860"/>
      <c r="GO344" s="860"/>
      <c r="GP344" s="860"/>
      <c r="GQ344" s="860"/>
      <c r="GR344" s="1162"/>
      <c r="GS344" s="860"/>
      <c r="GT344" s="1162"/>
      <c r="GU344" s="860"/>
      <c r="GV344" s="1162"/>
      <c r="GW344" s="860"/>
      <c r="GX344" s="860"/>
      <c r="GY344" s="1162"/>
      <c r="GZ344" s="860"/>
      <c r="HA344" s="860"/>
      <c r="HB344" s="1162"/>
      <c r="HC344" s="860"/>
      <c r="HE344" s="1162"/>
      <c r="HF344" s="860"/>
      <c r="HH344" s="1162"/>
      <c r="HI344" s="1162"/>
      <c r="HJ344" s="860"/>
      <c r="HL344" s="1162"/>
      <c r="HM344" s="860"/>
      <c r="HO344" s="1162"/>
      <c r="HP344" s="860"/>
      <c r="HR344" s="1162"/>
    </row>
    <row r="345" spans="1:226" hidden="1">
      <c r="A345" s="1236" t="s">
        <v>85</v>
      </c>
      <c r="B345" s="860"/>
      <c r="C345" s="860"/>
      <c r="D345" s="860"/>
      <c r="E345" s="860"/>
      <c r="F345" s="860"/>
      <c r="G345" s="860"/>
      <c r="H345" s="860"/>
      <c r="I345" s="1274">
        <f>SUM(I340:I343)</f>
        <v>1251.9000000000001</v>
      </c>
      <c r="J345" s="1274"/>
      <c r="K345" s="1274">
        <f>SUM(K340:K343)</f>
        <v>5002.8999999999996</v>
      </c>
      <c r="L345" s="1274">
        <f>SUM(L340:L343)</f>
        <v>1402</v>
      </c>
      <c r="M345" s="1274">
        <f>SUM(M340:M343)</f>
        <v>1525.7</v>
      </c>
      <c r="N345" s="1274">
        <f>SUM(N340:N343)</f>
        <v>1487.5</v>
      </c>
      <c r="O345" s="1274">
        <f>SUM(O340:O343)</f>
        <v>1647.3999999999996</v>
      </c>
      <c r="P345" s="1274">
        <f>Cable!G269</f>
        <v>6062.6</v>
      </c>
      <c r="Q345" s="1274">
        <f t="shared" ref="Q345:X345" si="313">SUM(Q340:Q343)</f>
        <v>1481.3999999999999</v>
      </c>
      <c r="R345" s="1274">
        <f t="shared" si="313"/>
        <v>1646.4</v>
      </c>
      <c r="S345" s="1274">
        <f t="shared" si="313"/>
        <v>1486.5</v>
      </c>
      <c r="T345" s="1274">
        <f t="shared" si="313"/>
        <v>1759.1000000000001</v>
      </c>
      <c r="U345" s="1274">
        <f t="shared" si="313"/>
        <v>6373.4000000000005</v>
      </c>
      <c r="V345" s="1274">
        <f t="shared" si="313"/>
        <v>1731.9</v>
      </c>
      <c r="W345" s="1274">
        <f t="shared" si="313"/>
        <v>1945.9</v>
      </c>
      <c r="X345" s="1274">
        <f t="shared" si="313"/>
        <v>1950.6999999999998</v>
      </c>
      <c r="Y345" s="1274"/>
      <c r="Z345" s="1274">
        <f>SUM(Z340:Z344)</f>
        <v>8245.2999999999975</v>
      </c>
      <c r="AA345" s="1274"/>
      <c r="AB345" s="1274"/>
      <c r="AC345" s="1274"/>
      <c r="AD345" s="1274"/>
      <c r="AE345" s="860"/>
      <c r="AF345" s="860"/>
      <c r="AG345" s="860"/>
      <c r="AH345" s="860"/>
      <c r="AI345" s="860"/>
      <c r="AJ345" s="860"/>
      <c r="AK345" s="860"/>
      <c r="AL345" s="860"/>
      <c r="AM345" s="860"/>
      <c r="AN345" s="860"/>
      <c r="AO345" s="860"/>
      <c r="AP345" s="860"/>
      <c r="AQ345" s="860"/>
      <c r="AR345" s="860"/>
      <c r="AS345" s="860"/>
      <c r="AT345" s="860"/>
      <c r="AU345" s="860"/>
      <c r="AV345" s="860"/>
      <c r="AW345" s="860"/>
      <c r="AX345" s="860"/>
      <c r="AY345" s="860"/>
      <c r="AZ345" s="860"/>
      <c r="BA345" s="860"/>
      <c r="BB345" s="860"/>
      <c r="BC345" s="860"/>
      <c r="BD345" s="860"/>
      <c r="BE345" s="1233"/>
      <c r="BF345" s="860"/>
      <c r="BG345" s="860"/>
      <c r="BH345" s="860"/>
      <c r="BI345" s="1232"/>
      <c r="BJ345" s="1233"/>
      <c r="BK345" s="860"/>
      <c r="BL345" s="860"/>
      <c r="BM345" s="860"/>
      <c r="BN345" s="1232"/>
      <c r="BO345" s="1233"/>
      <c r="BP345" s="860"/>
      <c r="BQ345" s="860"/>
      <c r="BR345" s="860"/>
      <c r="BS345" s="1232"/>
      <c r="BT345" s="1233"/>
      <c r="BU345" s="860"/>
      <c r="BV345" s="860"/>
      <c r="BW345" s="860"/>
      <c r="BX345" s="1232"/>
      <c r="BY345" s="1233"/>
      <c r="BZ345" s="860"/>
      <c r="CA345" s="860"/>
      <c r="CB345" s="860"/>
      <c r="CC345" s="1232"/>
      <c r="CD345" s="1233"/>
      <c r="CE345" s="860"/>
      <c r="CF345" s="860"/>
      <c r="CG345" s="860"/>
      <c r="CH345" s="1232"/>
      <c r="CI345" s="860"/>
      <c r="CJ345" s="860"/>
      <c r="CK345" s="860"/>
      <c r="CL345" s="860"/>
      <c r="CM345" s="860"/>
      <c r="CN345" s="860"/>
      <c r="CO345" s="860"/>
      <c r="CP345" s="860"/>
      <c r="CQ345" s="860"/>
      <c r="CR345" s="860"/>
      <c r="CS345" s="860"/>
      <c r="CT345" s="860"/>
      <c r="CU345" s="1217">
        <f>V345/Q345-1</f>
        <v>0.16909680032401808</v>
      </c>
      <c r="CV345" s="1217">
        <f>W345/R345-1</f>
        <v>0.18191205053449955</v>
      </c>
      <c r="CW345" s="1217">
        <f>(X345-X344)/S345-1</f>
        <v>0.20645812310797163</v>
      </c>
      <c r="CX345" s="1217"/>
      <c r="CY345" s="860"/>
      <c r="CZ345" s="860"/>
      <c r="DA345" s="860"/>
      <c r="DB345" s="860"/>
      <c r="DC345" s="860"/>
      <c r="DD345" s="860"/>
      <c r="DE345" s="860"/>
      <c r="DF345" s="860"/>
      <c r="DG345" s="860"/>
      <c r="DH345" s="860"/>
      <c r="DI345" s="860"/>
      <c r="DJ345" s="860"/>
      <c r="DK345" s="860"/>
      <c r="DL345" s="860"/>
      <c r="DM345" s="860"/>
      <c r="DN345" s="860"/>
      <c r="DO345" s="860"/>
      <c r="DP345" s="860"/>
      <c r="DQ345" s="860"/>
      <c r="DR345" s="860"/>
      <c r="DS345" s="860"/>
      <c r="DT345" s="860"/>
      <c r="DU345" s="860"/>
      <c r="DV345" s="860"/>
      <c r="DW345" s="860"/>
      <c r="DX345" s="860"/>
      <c r="DY345" s="860"/>
      <c r="DZ345" s="860"/>
      <c r="EA345" s="860"/>
      <c r="EB345" s="860"/>
      <c r="EC345" s="860"/>
      <c r="ED345" s="860"/>
      <c r="EE345" s="860"/>
      <c r="EF345" s="860"/>
      <c r="EG345" s="860"/>
      <c r="EH345" s="860"/>
      <c r="EI345" s="1233"/>
      <c r="EJ345" s="860"/>
      <c r="EK345" s="860"/>
      <c r="EL345" s="860"/>
      <c r="EM345" s="1232"/>
      <c r="EN345" s="1233"/>
      <c r="EO345" s="860"/>
      <c r="EP345" s="860"/>
      <c r="EQ345" s="860"/>
      <c r="ER345" s="1232"/>
      <c r="ES345" s="860"/>
      <c r="ET345" s="860"/>
      <c r="EU345" s="860"/>
      <c r="EV345" s="860"/>
      <c r="EW345" s="1232"/>
      <c r="EX345" s="860"/>
      <c r="EY345" s="860"/>
      <c r="EZ345" s="860"/>
      <c r="FA345" s="860"/>
      <c r="FB345" s="860"/>
      <c r="FC345" s="860"/>
      <c r="FD345" s="860"/>
      <c r="FE345" s="860"/>
      <c r="FF345" s="860"/>
      <c r="FG345" s="860"/>
      <c r="FH345" s="860"/>
      <c r="FI345" s="860"/>
      <c r="FJ345" s="860"/>
      <c r="FK345" s="860"/>
      <c r="FL345" s="860"/>
      <c r="FM345" s="860"/>
      <c r="FN345" s="860"/>
      <c r="FO345" s="860"/>
      <c r="FP345" s="860"/>
      <c r="FQ345" s="860"/>
      <c r="FR345" s="860"/>
      <c r="FS345" s="860"/>
      <c r="FT345" s="860"/>
      <c r="FU345" s="860"/>
      <c r="FV345" s="860"/>
      <c r="FW345" s="860"/>
      <c r="FX345" s="860"/>
      <c r="FY345" s="860"/>
      <c r="FZ345" s="860"/>
      <c r="GA345" s="860"/>
      <c r="GB345" s="860"/>
      <c r="GC345" s="860"/>
      <c r="GD345" s="860"/>
      <c r="GE345" s="860"/>
      <c r="GF345" s="860"/>
      <c r="GG345" s="860"/>
      <c r="GH345" s="860"/>
      <c r="GI345" s="860"/>
      <c r="GJ345" s="860"/>
      <c r="GK345" s="860"/>
      <c r="GL345" s="860"/>
      <c r="GM345" s="860"/>
      <c r="GN345" s="860"/>
      <c r="GO345" s="860"/>
      <c r="GP345" s="860"/>
      <c r="GQ345" s="860"/>
      <c r="GR345" s="860"/>
      <c r="GS345" s="860"/>
      <c r="GT345" s="860"/>
      <c r="GU345" s="860"/>
      <c r="GV345" s="860"/>
      <c r="GW345" s="860"/>
      <c r="GX345" s="860"/>
      <c r="GY345" s="860"/>
      <c r="GZ345" s="860"/>
      <c r="HA345" s="860"/>
      <c r="HB345" s="860"/>
      <c r="HC345" s="860"/>
      <c r="HE345" s="860"/>
      <c r="HF345" s="860"/>
      <c r="HH345" s="860"/>
      <c r="HI345" s="860"/>
      <c r="HJ345" s="860"/>
      <c r="HL345" s="860"/>
      <c r="HM345" s="860"/>
      <c r="HO345" s="860"/>
      <c r="HP345" s="860"/>
      <c r="HR345" s="860"/>
    </row>
    <row r="346" spans="1:226" hidden="1">
      <c r="A346" s="1132" t="s">
        <v>841</v>
      </c>
      <c r="B346" s="860"/>
      <c r="C346" s="860"/>
      <c r="D346" s="860"/>
      <c r="E346" s="860"/>
      <c r="F346" s="860"/>
      <c r="G346" s="860"/>
      <c r="H346" s="860"/>
      <c r="I346" s="1234">
        <f>I347-I345</f>
        <v>-50.300000000000182</v>
      </c>
      <c r="J346" s="860"/>
      <c r="K346" s="1234"/>
      <c r="L346" s="1234">
        <f>L347-L345</f>
        <v>-71.5</v>
      </c>
      <c r="M346" s="1234">
        <f>M347-M345</f>
        <v>-52.799999999999955</v>
      </c>
      <c r="N346" s="1234">
        <f>N347-N345</f>
        <v>-57.200000000000045</v>
      </c>
      <c r="O346" s="1234">
        <f>-249.8-L346-M346-N346</f>
        <v>-68.300000000000011</v>
      </c>
      <c r="P346" s="1234">
        <f>Cable!G270</f>
        <v>-249.80000000000109</v>
      </c>
      <c r="Q346" s="1234">
        <f t="shared" ref="Q346:X346" si="314">Q347-Q345</f>
        <v>-63.899999999999864</v>
      </c>
      <c r="R346" s="1234">
        <f t="shared" si="314"/>
        <v>-67.800000000000182</v>
      </c>
      <c r="S346" s="1234">
        <f t="shared" si="314"/>
        <v>-7.4000000000000909</v>
      </c>
      <c r="T346" s="1234">
        <f t="shared" si="314"/>
        <v>-102.49999999999977</v>
      </c>
      <c r="U346" s="1234">
        <f t="shared" si="314"/>
        <v>-241.60000000000036</v>
      </c>
      <c r="V346" s="1234">
        <f t="shared" si="314"/>
        <v>-104.70000000000005</v>
      </c>
      <c r="W346" s="1234">
        <f t="shared" si="314"/>
        <v>-167.70000000000005</v>
      </c>
      <c r="X346" s="1234">
        <f t="shared" si="314"/>
        <v>30.900000000000091</v>
      </c>
      <c r="Y346" s="1234"/>
      <c r="Z346" s="1274">
        <f>Cable!I270</f>
        <v>-362.40000000000055</v>
      </c>
      <c r="AA346" s="1274"/>
      <c r="AB346" s="1274"/>
      <c r="AC346" s="1274"/>
      <c r="AD346" s="1274"/>
      <c r="AE346" s="860"/>
      <c r="AF346" s="860"/>
      <c r="AG346" s="860"/>
      <c r="AH346" s="860"/>
      <c r="AI346" s="860"/>
      <c r="AJ346" s="860"/>
      <c r="AK346" s="860"/>
      <c r="AL346" s="860"/>
      <c r="AM346" s="860"/>
      <c r="AN346" s="860"/>
      <c r="AO346" s="860"/>
      <c r="AP346" s="860"/>
      <c r="AQ346" s="860"/>
      <c r="AR346" s="860"/>
      <c r="AS346" s="860"/>
      <c r="AT346" s="860"/>
      <c r="AU346" s="860"/>
      <c r="AV346" s="860"/>
      <c r="AW346" s="860"/>
      <c r="AX346" s="860"/>
      <c r="AY346" s="860"/>
      <c r="AZ346" s="860"/>
      <c r="BA346" s="860"/>
      <c r="BB346" s="860"/>
      <c r="BC346" s="860"/>
      <c r="BD346" s="860"/>
      <c r="BE346" s="1233"/>
      <c r="BF346" s="860"/>
      <c r="BG346" s="860"/>
      <c r="BH346" s="860"/>
      <c r="BI346" s="1232"/>
      <c r="BJ346" s="1233"/>
      <c r="BK346" s="860"/>
      <c r="BL346" s="860"/>
      <c r="BM346" s="860"/>
      <c r="BN346" s="1232"/>
      <c r="BO346" s="1233"/>
      <c r="BP346" s="860"/>
      <c r="BQ346" s="860"/>
      <c r="BR346" s="860"/>
      <c r="BS346" s="1232"/>
      <c r="BT346" s="1233"/>
      <c r="BU346" s="860"/>
      <c r="BV346" s="860"/>
      <c r="BW346" s="860"/>
      <c r="BX346" s="1232"/>
      <c r="BY346" s="1233"/>
      <c r="BZ346" s="860"/>
      <c r="CA346" s="860"/>
      <c r="CB346" s="860"/>
      <c r="CC346" s="1232"/>
      <c r="CD346" s="1233"/>
      <c r="CE346" s="860"/>
      <c r="CF346" s="860"/>
      <c r="CG346" s="860"/>
      <c r="CH346" s="1232"/>
      <c r="CI346" s="860"/>
      <c r="CJ346" s="860"/>
      <c r="CK346" s="860"/>
      <c r="CL346" s="860"/>
      <c r="CM346" s="860"/>
      <c r="CN346" s="860"/>
      <c r="CO346" s="860"/>
      <c r="CP346" s="860"/>
      <c r="CQ346" s="860"/>
      <c r="CR346" s="860"/>
      <c r="CS346" s="860"/>
      <c r="CT346" s="860"/>
      <c r="CU346" s="860"/>
      <c r="CV346" s="860"/>
      <c r="CW346" s="860"/>
      <c r="CX346" s="860"/>
      <c r="CY346" s="860"/>
      <c r="CZ346" s="860"/>
      <c r="DA346" s="860"/>
      <c r="DB346" s="860"/>
      <c r="DC346" s="860"/>
      <c r="DD346" s="860"/>
      <c r="DE346" s="860"/>
      <c r="DF346" s="860"/>
      <c r="DG346" s="860"/>
      <c r="DH346" s="860"/>
      <c r="DI346" s="860"/>
      <c r="DJ346" s="860"/>
      <c r="DK346" s="860"/>
      <c r="DL346" s="860"/>
      <c r="DM346" s="860"/>
      <c r="DN346" s="860"/>
      <c r="DO346" s="860"/>
      <c r="DP346" s="860"/>
      <c r="DQ346" s="860"/>
      <c r="DR346" s="860"/>
      <c r="DS346" s="860"/>
      <c r="DT346" s="860"/>
      <c r="DU346" s="860"/>
      <c r="DV346" s="860"/>
      <c r="DW346" s="860"/>
      <c r="DX346" s="860"/>
      <c r="DY346" s="860"/>
      <c r="DZ346" s="860"/>
      <c r="EA346" s="860"/>
      <c r="EB346" s="860"/>
      <c r="EC346" s="860"/>
      <c r="ED346" s="860"/>
      <c r="EE346" s="860"/>
      <c r="EF346" s="860"/>
      <c r="EG346" s="860"/>
      <c r="EH346" s="860"/>
      <c r="EI346" s="1233"/>
      <c r="EJ346" s="860"/>
      <c r="EK346" s="860"/>
      <c r="EL346" s="860"/>
      <c r="EM346" s="1232"/>
      <c r="EN346" s="1233"/>
      <c r="EO346" s="860"/>
      <c r="EP346" s="860"/>
      <c r="EQ346" s="860"/>
      <c r="ER346" s="1232"/>
      <c r="ES346" s="860"/>
      <c r="ET346" s="860"/>
      <c r="EU346" s="860"/>
      <c r="EV346" s="860"/>
      <c r="EW346" s="1232"/>
      <c r="EX346" s="860"/>
      <c r="EY346" s="860"/>
      <c r="EZ346" s="860"/>
      <c r="FA346" s="860"/>
      <c r="FB346" s="860"/>
      <c r="FC346" s="860"/>
      <c r="FD346" s="860"/>
      <c r="FE346" s="860"/>
      <c r="FF346" s="860"/>
      <c r="FG346" s="860"/>
      <c r="FH346" s="860"/>
      <c r="FI346" s="860"/>
      <c r="FJ346" s="860"/>
      <c r="FK346" s="860"/>
      <c r="FL346" s="860"/>
      <c r="FM346" s="860"/>
      <c r="FN346" s="860"/>
      <c r="FO346" s="860"/>
      <c r="FP346" s="860"/>
      <c r="FQ346" s="860"/>
      <c r="FR346" s="860"/>
      <c r="FS346" s="860"/>
      <c r="FT346" s="860"/>
      <c r="FU346" s="860"/>
      <c r="FV346" s="860"/>
      <c r="FW346" s="860"/>
      <c r="FX346" s="860"/>
      <c r="FY346" s="860"/>
      <c r="FZ346" s="860"/>
      <c r="GA346" s="860"/>
      <c r="GB346" s="860"/>
      <c r="GC346" s="860"/>
      <c r="GD346" s="860"/>
      <c r="GE346" s="860"/>
      <c r="GF346" s="860"/>
      <c r="GG346" s="860"/>
      <c r="GH346" s="860"/>
      <c r="GI346" s="860"/>
      <c r="GJ346" s="860"/>
      <c r="GK346" s="860"/>
      <c r="GL346" s="860"/>
      <c r="GM346" s="860"/>
      <c r="GN346" s="860"/>
      <c r="GO346" s="860"/>
      <c r="GP346" s="860"/>
      <c r="GQ346" s="860"/>
      <c r="GR346" s="860"/>
      <c r="GS346" s="860"/>
      <c r="GT346" s="860"/>
      <c r="GU346" s="860"/>
      <c r="GV346" s="860"/>
      <c r="GW346" s="860"/>
      <c r="GX346" s="860"/>
      <c r="GY346" s="860"/>
      <c r="GZ346" s="860"/>
      <c r="HA346" s="860"/>
      <c r="HB346" s="860"/>
      <c r="HC346" s="860"/>
      <c r="HE346" s="860"/>
      <c r="HF346" s="860"/>
      <c r="HH346" s="860"/>
      <c r="HI346" s="860"/>
      <c r="HJ346" s="860"/>
      <c r="HL346" s="860"/>
      <c r="HM346" s="860"/>
      <c r="HO346" s="860"/>
      <c r="HP346" s="860"/>
      <c r="HR346" s="860"/>
    </row>
    <row r="347" spans="1:226" hidden="1">
      <c r="A347" s="1132" t="s">
        <v>34</v>
      </c>
      <c r="B347" s="860"/>
      <c r="C347" s="860"/>
      <c r="D347" s="860"/>
      <c r="E347" s="860"/>
      <c r="F347" s="860"/>
      <c r="G347" s="860"/>
      <c r="H347" s="860"/>
      <c r="I347" s="1234">
        <f>I32</f>
        <v>1201.5999999999999</v>
      </c>
      <c r="J347" s="860"/>
      <c r="K347" s="1234"/>
      <c r="L347" s="1234">
        <f t="shared" ref="L347:Y347" si="315">L32</f>
        <v>1330.5</v>
      </c>
      <c r="M347" s="1234">
        <f t="shared" si="315"/>
        <v>1472.9</v>
      </c>
      <c r="N347" s="1234">
        <f t="shared" si="315"/>
        <v>1430.3</v>
      </c>
      <c r="O347" s="1234">
        <f t="shared" si="315"/>
        <v>1579.1</v>
      </c>
      <c r="P347" s="1234">
        <f t="shared" si="315"/>
        <v>5812.7999999999993</v>
      </c>
      <c r="Q347" s="1234">
        <f t="shared" si="315"/>
        <v>1417.5</v>
      </c>
      <c r="R347" s="1234">
        <f t="shared" si="315"/>
        <v>1578.6</v>
      </c>
      <c r="S347" s="1234">
        <f t="shared" si="315"/>
        <v>1479.1</v>
      </c>
      <c r="T347" s="1234">
        <f t="shared" si="315"/>
        <v>1656.6000000000004</v>
      </c>
      <c r="U347" s="1234">
        <f t="shared" si="315"/>
        <v>6131.8</v>
      </c>
      <c r="V347" s="1234">
        <f t="shared" si="315"/>
        <v>1627.2</v>
      </c>
      <c r="W347" s="1234">
        <f t="shared" si="315"/>
        <v>1778.2</v>
      </c>
      <c r="X347" s="1234">
        <f t="shared" si="315"/>
        <v>1981.6</v>
      </c>
      <c r="Y347" s="1234">
        <f t="shared" si="315"/>
        <v>2495.9</v>
      </c>
      <c r="Z347" s="1274">
        <f>Z345+Z346</f>
        <v>7882.8999999999969</v>
      </c>
      <c r="AA347" s="1274"/>
      <c r="AB347" s="1274"/>
      <c r="AC347" s="1274"/>
      <c r="AD347" s="1274"/>
      <c r="AE347" s="860"/>
      <c r="AF347" s="860"/>
      <c r="AG347" s="860"/>
      <c r="AH347" s="860"/>
      <c r="AI347" s="860"/>
      <c r="AJ347" s="860"/>
      <c r="AK347" s="860"/>
      <c r="AL347" s="860"/>
      <c r="AM347" s="860"/>
      <c r="AN347" s="860"/>
      <c r="AO347" s="860"/>
      <c r="AP347" s="860"/>
      <c r="AQ347" s="860"/>
      <c r="AR347" s="860"/>
      <c r="AS347" s="860"/>
      <c r="AT347" s="860"/>
      <c r="AU347" s="860"/>
      <c r="AV347" s="860"/>
      <c r="AW347" s="860"/>
      <c r="AX347" s="860"/>
      <c r="AY347" s="860"/>
      <c r="AZ347" s="860"/>
      <c r="BA347" s="860"/>
      <c r="BB347" s="860"/>
      <c r="BC347" s="860"/>
      <c r="BD347" s="860"/>
      <c r="BE347" s="1233"/>
      <c r="BF347" s="860"/>
      <c r="BG347" s="860"/>
      <c r="BH347" s="860"/>
      <c r="BI347" s="1232"/>
      <c r="BJ347" s="1233"/>
      <c r="BK347" s="860"/>
      <c r="BL347" s="860"/>
      <c r="BM347" s="860"/>
      <c r="BN347" s="1232"/>
      <c r="BO347" s="1233"/>
      <c r="BP347" s="860"/>
      <c r="BQ347" s="860"/>
      <c r="BR347" s="860"/>
      <c r="BS347" s="1232"/>
      <c r="BT347" s="1233"/>
      <c r="BU347" s="860"/>
      <c r="BV347" s="860"/>
      <c r="BW347" s="860"/>
      <c r="BX347" s="1232"/>
      <c r="BY347" s="1233"/>
      <c r="BZ347" s="860"/>
      <c r="CA347" s="860"/>
      <c r="CB347" s="860"/>
      <c r="CC347" s="1232"/>
      <c r="CD347" s="1233"/>
      <c r="CE347" s="860"/>
      <c r="CF347" s="860"/>
      <c r="CG347" s="860"/>
      <c r="CH347" s="1232"/>
      <c r="CI347" s="860"/>
      <c r="CJ347" s="860"/>
      <c r="CK347" s="860"/>
      <c r="CL347" s="860"/>
      <c r="CM347" s="860"/>
      <c r="CN347" s="860"/>
      <c r="CO347" s="860"/>
      <c r="CP347" s="860"/>
      <c r="CQ347" s="860"/>
      <c r="CR347" s="860"/>
      <c r="CS347" s="860"/>
      <c r="CT347" s="860"/>
      <c r="CU347" s="860"/>
      <c r="CV347" s="860"/>
      <c r="CW347" s="860"/>
      <c r="CX347" s="860"/>
      <c r="CY347" s="860"/>
      <c r="CZ347" s="860"/>
      <c r="DA347" s="860"/>
      <c r="DB347" s="860"/>
      <c r="DC347" s="860"/>
      <c r="DD347" s="860"/>
      <c r="DE347" s="860"/>
      <c r="DF347" s="860"/>
      <c r="DG347" s="860"/>
      <c r="DH347" s="860"/>
      <c r="DI347" s="860"/>
      <c r="DJ347" s="860"/>
      <c r="DK347" s="860"/>
      <c r="DL347" s="860"/>
      <c r="DM347" s="860"/>
      <c r="DN347" s="860"/>
      <c r="DO347" s="860"/>
      <c r="DP347" s="860"/>
      <c r="DQ347" s="860"/>
      <c r="DR347" s="860"/>
      <c r="DS347" s="860"/>
      <c r="DT347" s="860"/>
      <c r="DU347" s="860"/>
      <c r="DV347" s="860"/>
      <c r="DW347" s="860"/>
      <c r="DX347" s="860"/>
      <c r="DY347" s="860"/>
      <c r="DZ347" s="860"/>
      <c r="EA347" s="860"/>
      <c r="EB347" s="860"/>
      <c r="EC347" s="860"/>
      <c r="ED347" s="860"/>
      <c r="EE347" s="860"/>
      <c r="EF347" s="860"/>
      <c r="EG347" s="860"/>
      <c r="EH347" s="860"/>
      <c r="EI347" s="1233"/>
      <c r="EJ347" s="860"/>
      <c r="EK347" s="860"/>
      <c r="EL347" s="860"/>
      <c r="EM347" s="1232"/>
      <c r="EN347" s="1233"/>
      <c r="EO347" s="860"/>
      <c r="EP347" s="860"/>
      <c r="EQ347" s="860"/>
      <c r="ER347" s="1232"/>
      <c r="ES347" s="860"/>
      <c r="ET347" s="860"/>
      <c r="EU347" s="860"/>
      <c r="EV347" s="860"/>
      <c r="EW347" s="1232"/>
      <c r="EX347" s="860"/>
      <c r="EY347" s="860"/>
      <c r="EZ347" s="860"/>
      <c r="FA347" s="860"/>
      <c r="FB347" s="860"/>
      <c r="FC347" s="860"/>
      <c r="FD347" s="860"/>
      <c r="FE347" s="860"/>
      <c r="FF347" s="860"/>
      <c r="FG347" s="860"/>
      <c r="FH347" s="860"/>
      <c r="FI347" s="860"/>
      <c r="FJ347" s="860"/>
      <c r="FK347" s="860"/>
      <c r="FL347" s="860"/>
      <c r="FM347" s="860"/>
      <c r="FN347" s="860"/>
      <c r="FO347" s="860"/>
      <c r="FP347" s="860"/>
      <c r="FQ347" s="860"/>
      <c r="FR347" s="860"/>
      <c r="FS347" s="860"/>
      <c r="FT347" s="860"/>
      <c r="FU347" s="860"/>
      <c r="FV347" s="860"/>
      <c r="FW347" s="860"/>
      <c r="FX347" s="860"/>
      <c r="FY347" s="860"/>
      <c r="FZ347" s="860"/>
      <c r="GA347" s="860"/>
      <c r="GB347" s="860"/>
      <c r="GC347" s="860"/>
      <c r="GD347" s="860"/>
      <c r="GE347" s="860"/>
      <c r="GF347" s="860"/>
      <c r="GG347" s="860"/>
      <c r="GH347" s="860"/>
      <c r="GI347" s="860"/>
      <c r="GJ347" s="860"/>
      <c r="GK347" s="860"/>
      <c r="GL347" s="860"/>
      <c r="GM347" s="860"/>
      <c r="GN347" s="860"/>
      <c r="GO347" s="860"/>
      <c r="GP347" s="860"/>
      <c r="GQ347" s="860"/>
      <c r="GR347" s="860"/>
      <c r="GS347" s="860"/>
      <c r="GT347" s="860"/>
      <c r="GU347" s="860"/>
      <c r="GV347" s="860"/>
      <c r="GW347" s="860"/>
      <c r="GX347" s="860"/>
      <c r="GY347" s="860"/>
      <c r="GZ347" s="860"/>
      <c r="HA347" s="860"/>
      <c r="HB347" s="860"/>
      <c r="HC347" s="860"/>
      <c r="HE347" s="860"/>
      <c r="HF347" s="860"/>
      <c r="HH347" s="860"/>
      <c r="HI347" s="860"/>
      <c r="HJ347" s="860"/>
      <c r="HL347" s="860"/>
      <c r="HM347" s="860"/>
      <c r="HO347" s="860"/>
      <c r="HP347" s="860"/>
      <c r="HR347" s="860"/>
    </row>
    <row r="348" spans="1:226" hidden="1">
      <c r="A348" s="1132"/>
      <c r="B348" s="860"/>
      <c r="C348" s="860"/>
      <c r="D348" s="860"/>
      <c r="E348" s="860"/>
      <c r="F348" s="860"/>
      <c r="G348" s="860"/>
      <c r="H348" s="860"/>
      <c r="I348" s="1234"/>
      <c r="J348" s="860"/>
      <c r="K348" s="1234"/>
      <c r="L348" s="1234"/>
      <c r="M348" s="1234"/>
      <c r="N348" s="1234"/>
      <c r="O348" s="1234"/>
      <c r="P348" s="1234"/>
      <c r="Q348" s="1234"/>
      <c r="R348" s="1234"/>
      <c r="S348" s="1234"/>
      <c r="T348" s="1234"/>
      <c r="U348" s="1234"/>
      <c r="V348" s="1234"/>
      <c r="W348" s="1234"/>
      <c r="X348" s="1234"/>
      <c r="Y348" s="1234"/>
      <c r="Z348" s="1274"/>
      <c r="AA348" s="1274"/>
      <c r="AB348" s="1274"/>
      <c r="AC348" s="1274"/>
      <c r="AD348" s="1274"/>
      <c r="AE348" s="860"/>
      <c r="AF348" s="860"/>
      <c r="AG348" s="860"/>
      <c r="AH348" s="860"/>
      <c r="AI348" s="860"/>
      <c r="AJ348" s="860"/>
      <c r="AK348" s="860"/>
      <c r="AL348" s="860"/>
      <c r="AM348" s="860"/>
      <c r="AN348" s="860"/>
      <c r="AO348" s="860"/>
      <c r="AP348" s="860"/>
      <c r="AQ348" s="860"/>
      <c r="AR348" s="860"/>
      <c r="AS348" s="860"/>
      <c r="AT348" s="860"/>
      <c r="AU348" s="860"/>
      <c r="AV348" s="860"/>
      <c r="AW348" s="860"/>
      <c r="AX348" s="860"/>
      <c r="AY348" s="860"/>
      <c r="AZ348" s="860"/>
      <c r="BA348" s="860"/>
      <c r="BB348" s="860"/>
      <c r="BC348" s="860"/>
      <c r="BD348" s="860"/>
      <c r="BE348" s="1233"/>
      <c r="BF348" s="860"/>
      <c r="BG348" s="860"/>
      <c r="BH348" s="860"/>
      <c r="BI348" s="1232"/>
      <c r="BJ348" s="1233"/>
      <c r="BK348" s="860"/>
      <c r="BL348" s="860"/>
      <c r="BM348" s="860"/>
      <c r="BN348" s="1232"/>
      <c r="BO348" s="1233"/>
      <c r="BP348" s="860"/>
      <c r="BQ348" s="860"/>
      <c r="BR348" s="860"/>
      <c r="BS348" s="1232"/>
      <c r="BT348" s="1233"/>
      <c r="BU348" s="860"/>
      <c r="BV348" s="860"/>
      <c r="BW348" s="860"/>
      <c r="BX348" s="1232"/>
      <c r="BY348" s="1233"/>
      <c r="BZ348" s="860"/>
      <c r="CA348" s="860"/>
      <c r="CB348" s="860"/>
      <c r="CC348" s="1232"/>
      <c r="CD348" s="1233"/>
      <c r="CE348" s="860"/>
      <c r="CF348" s="860"/>
      <c r="CG348" s="860"/>
      <c r="CH348" s="1232"/>
      <c r="CI348" s="860"/>
      <c r="CJ348" s="860"/>
      <c r="CK348" s="860"/>
      <c r="CL348" s="860"/>
      <c r="CM348" s="860"/>
      <c r="CN348" s="860"/>
      <c r="CO348" s="860"/>
      <c r="CP348" s="860"/>
      <c r="CQ348" s="860"/>
      <c r="CR348" s="860"/>
      <c r="CS348" s="860"/>
      <c r="CT348" s="860"/>
      <c r="CU348" s="860"/>
      <c r="CV348" s="860"/>
      <c r="CW348" s="860"/>
      <c r="CX348" s="860"/>
      <c r="CY348" s="860"/>
      <c r="CZ348" s="860"/>
      <c r="DA348" s="860"/>
      <c r="DB348" s="860"/>
      <c r="DC348" s="860"/>
      <c r="DD348" s="860"/>
      <c r="DE348" s="860"/>
      <c r="DF348" s="860"/>
      <c r="DG348" s="860"/>
      <c r="DH348" s="860"/>
      <c r="DI348" s="860"/>
      <c r="DJ348" s="860"/>
      <c r="DK348" s="860"/>
      <c r="DL348" s="860"/>
      <c r="DM348" s="860"/>
      <c r="DN348" s="860"/>
      <c r="DO348" s="860"/>
      <c r="DP348" s="860"/>
      <c r="DQ348" s="860"/>
      <c r="DR348" s="860"/>
      <c r="DS348" s="860"/>
      <c r="DT348" s="860"/>
      <c r="DU348" s="860"/>
      <c r="DV348" s="860"/>
      <c r="DW348" s="860"/>
      <c r="DX348" s="860"/>
      <c r="DY348" s="860"/>
      <c r="DZ348" s="860"/>
      <c r="EA348" s="860"/>
      <c r="EB348" s="860"/>
      <c r="EC348" s="860"/>
      <c r="ED348" s="860"/>
      <c r="EE348" s="860"/>
      <c r="EF348" s="860"/>
      <c r="EG348" s="860"/>
      <c r="EH348" s="860"/>
      <c r="EI348" s="1233"/>
      <c r="EJ348" s="860"/>
      <c r="EK348" s="860"/>
      <c r="EL348" s="860"/>
      <c r="EM348" s="1232"/>
      <c r="EN348" s="1233"/>
      <c r="EO348" s="860"/>
      <c r="EP348" s="860"/>
      <c r="EQ348" s="860"/>
      <c r="ER348" s="1232"/>
      <c r="ES348" s="860"/>
      <c r="ET348" s="860"/>
      <c r="EU348" s="860"/>
      <c r="EV348" s="860"/>
      <c r="EW348" s="1232"/>
      <c r="EX348" s="860"/>
      <c r="EY348" s="860"/>
      <c r="EZ348" s="860"/>
      <c r="FA348" s="860"/>
      <c r="FB348" s="860"/>
      <c r="FC348" s="860"/>
      <c r="FD348" s="860"/>
      <c r="FE348" s="860"/>
      <c r="FF348" s="860"/>
      <c r="FG348" s="860"/>
      <c r="FH348" s="860"/>
      <c r="FI348" s="860"/>
      <c r="FJ348" s="860"/>
      <c r="FK348" s="860"/>
      <c r="FL348" s="860"/>
      <c r="FM348" s="860"/>
      <c r="FN348" s="860"/>
      <c r="FO348" s="860"/>
      <c r="FP348" s="860"/>
      <c r="FQ348" s="860"/>
      <c r="FR348" s="860"/>
      <c r="FS348" s="860"/>
      <c r="FT348" s="860"/>
      <c r="FU348" s="860"/>
      <c r="FV348" s="860"/>
      <c r="FW348" s="860"/>
      <c r="FX348" s="860"/>
      <c r="FY348" s="860"/>
      <c r="FZ348" s="860"/>
      <c r="GA348" s="860"/>
      <c r="GB348" s="860"/>
      <c r="GC348" s="860"/>
      <c r="GD348" s="860"/>
      <c r="GE348" s="860"/>
      <c r="GF348" s="860"/>
      <c r="GG348" s="860"/>
      <c r="GH348" s="860"/>
      <c r="GI348" s="860"/>
      <c r="GJ348" s="860"/>
      <c r="GK348" s="860"/>
      <c r="GL348" s="860"/>
      <c r="GM348" s="860"/>
      <c r="GN348" s="860"/>
      <c r="GO348" s="860"/>
      <c r="GP348" s="860"/>
      <c r="GQ348" s="860"/>
      <c r="GR348" s="860"/>
      <c r="GS348" s="860"/>
      <c r="GT348" s="860"/>
      <c r="GU348" s="860"/>
      <c r="GV348" s="860"/>
      <c r="GW348" s="860"/>
      <c r="GX348" s="860"/>
      <c r="GY348" s="860"/>
      <c r="GZ348" s="860"/>
      <c r="HA348" s="860"/>
      <c r="HB348" s="860"/>
      <c r="HC348" s="860"/>
      <c r="HE348" s="860"/>
      <c r="HF348" s="860"/>
      <c r="HH348" s="860"/>
      <c r="HI348" s="860"/>
      <c r="HJ348" s="860"/>
      <c r="HL348" s="860"/>
      <c r="HM348" s="860"/>
      <c r="HO348" s="860"/>
      <c r="HP348" s="860"/>
      <c r="HR348" s="860"/>
    </row>
    <row r="349" spans="1:226" hidden="1">
      <c r="A349" s="1132" t="s">
        <v>842</v>
      </c>
      <c r="B349" s="860"/>
      <c r="C349" s="860"/>
      <c r="D349" s="860"/>
      <c r="E349" s="860"/>
      <c r="F349" s="860"/>
      <c r="G349" s="860"/>
      <c r="H349" s="860"/>
      <c r="I349" s="1234"/>
      <c r="J349" s="860"/>
      <c r="K349" s="1234"/>
      <c r="L349" s="1234"/>
      <c r="M349" s="1234"/>
      <c r="N349" s="1234"/>
      <c r="O349" s="1234"/>
      <c r="P349" s="1234"/>
      <c r="Q349" s="1234">
        <f>Q347-Q344</f>
        <v>1417.5</v>
      </c>
      <c r="R349" s="1234">
        <f>R347-R344</f>
        <v>1578.6</v>
      </c>
      <c r="S349" s="1234">
        <f>S347-S344</f>
        <v>1479.1</v>
      </c>
      <c r="T349" s="1234">
        <f>T347-T344</f>
        <v>1656.6000000000004</v>
      </c>
      <c r="U349" s="1234"/>
      <c r="V349" s="1234">
        <f>V347-V344</f>
        <v>1627.2</v>
      </c>
      <c r="W349" s="1234">
        <f>W347-W344</f>
        <v>1778.2</v>
      </c>
      <c r="X349" s="1234">
        <f>X347-X344</f>
        <v>1824.3</v>
      </c>
      <c r="Y349" s="1234">
        <f>Y347-Y344</f>
        <v>2065.1</v>
      </c>
      <c r="Z349" s="1274"/>
      <c r="AA349" s="1274"/>
      <c r="AB349" s="1274"/>
      <c r="AC349" s="1274"/>
      <c r="AD349" s="1274"/>
      <c r="AE349" s="860"/>
      <c r="AF349" s="860"/>
      <c r="AG349" s="860"/>
      <c r="AH349" s="860"/>
      <c r="AI349" s="860"/>
      <c r="AJ349" s="860"/>
      <c r="AK349" s="860"/>
      <c r="AL349" s="860"/>
      <c r="AM349" s="860"/>
      <c r="AN349" s="860"/>
      <c r="AO349" s="860"/>
      <c r="AP349" s="860"/>
      <c r="AQ349" s="860"/>
      <c r="AR349" s="860"/>
      <c r="AS349" s="860"/>
      <c r="AT349" s="860"/>
      <c r="AU349" s="860"/>
      <c r="AV349" s="860"/>
      <c r="AW349" s="860"/>
      <c r="AX349" s="860"/>
      <c r="AY349" s="860"/>
      <c r="AZ349" s="860"/>
      <c r="BA349" s="860"/>
      <c r="BB349" s="860"/>
      <c r="BC349" s="860"/>
      <c r="BD349" s="860"/>
      <c r="BE349" s="1233"/>
      <c r="BF349" s="860"/>
      <c r="BG349" s="860"/>
      <c r="BH349" s="860"/>
      <c r="BI349" s="1232"/>
      <c r="BJ349" s="1233"/>
      <c r="BK349" s="860"/>
      <c r="BL349" s="860"/>
      <c r="BM349" s="860"/>
      <c r="BN349" s="1232"/>
      <c r="BO349" s="1233"/>
      <c r="BP349" s="860"/>
      <c r="BQ349" s="860"/>
      <c r="BR349" s="860"/>
      <c r="BS349" s="1232"/>
      <c r="BT349" s="1233"/>
      <c r="BU349" s="860"/>
      <c r="BV349" s="860"/>
      <c r="BW349" s="860"/>
      <c r="BX349" s="1232"/>
      <c r="BY349" s="1233"/>
      <c r="BZ349" s="860"/>
      <c r="CA349" s="860"/>
      <c r="CB349" s="860"/>
      <c r="CC349" s="1232"/>
      <c r="CD349" s="1233"/>
      <c r="CE349" s="860"/>
      <c r="CF349" s="860"/>
      <c r="CG349" s="860"/>
      <c r="CH349" s="1232"/>
      <c r="CI349" s="860"/>
      <c r="CJ349" s="860"/>
      <c r="CK349" s="860"/>
      <c r="CL349" s="860"/>
      <c r="CM349" s="860"/>
      <c r="CN349" s="860"/>
      <c r="CO349" s="860"/>
      <c r="CP349" s="860"/>
      <c r="CQ349" s="860"/>
      <c r="CR349" s="860"/>
      <c r="CS349" s="860"/>
      <c r="CT349" s="860"/>
      <c r="CU349" s="860"/>
      <c r="CV349" s="860"/>
      <c r="CW349" s="860"/>
      <c r="CX349" s="860"/>
      <c r="CY349" s="860"/>
      <c r="CZ349" s="860"/>
      <c r="DA349" s="860"/>
      <c r="DB349" s="860"/>
      <c r="DC349" s="860"/>
      <c r="DD349" s="860"/>
      <c r="DE349" s="860"/>
      <c r="DF349" s="860"/>
      <c r="DG349" s="860"/>
      <c r="DH349" s="860"/>
      <c r="DI349" s="860"/>
      <c r="DJ349" s="860"/>
      <c r="DK349" s="860"/>
      <c r="DL349" s="860"/>
      <c r="DM349" s="860"/>
      <c r="DN349" s="860"/>
      <c r="DO349" s="860"/>
      <c r="DP349" s="860"/>
      <c r="DQ349" s="860"/>
      <c r="DR349" s="860"/>
      <c r="DS349" s="860"/>
      <c r="DT349" s="860"/>
      <c r="DU349" s="860"/>
      <c r="DV349" s="860"/>
      <c r="DW349" s="860"/>
      <c r="DX349" s="860"/>
      <c r="DY349" s="860"/>
      <c r="DZ349" s="860"/>
      <c r="EA349" s="860"/>
      <c r="EB349" s="860"/>
      <c r="EC349" s="860"/>
      <c r="ED349" s="860"/>
      <c r="EE349" s="860"/>
      <c r="EF349" s="860"/>
      <c r="EG349" s="860"/>
      <c r="EH349" s="860"/>
      <c r="EI349" s="1233"/>
      <c r="EJ349" s="860"/>
      <c r="EK349" s="860"/>
      <c r="EL349" s="860"/>
      <c r="EM349" s="1232"/>
      <c r="EN349" s="1233"/>
      <c r="EO349" s="860"/>
      <c r="EP349" s="860"/>
      <c r="EQ349" s="860"/>
      <c r="ER349" s="1232"/>
      <c r="ES349" s="860"/>
      <c r="ET349" s="860"/>
      <c r="EU349" s="860"/>
      <c r="EV349" s="860"/>
      <c r="EW349" s="1232"/>
      <c r="EX349" s="860"/>
      <c r="EY349" s="860"/>
      <c r="EZ349" s="860"/>
      <c r="FA349" s="860"/>
      <c r="FB349" s="860"/>
      <c r="FC349" s="860"/>
      <c r="FD349" s="860"/>
      <c r="FE349" s="860"/>
      <c r="FF349" s="860"/>
      <c r="FG349" s="860"/>
      <c r="FH349" s="860"/>
      <c r="FI349" s="860"/>
      <c r="FJ349" s="860"/>
      <c r="FK349" s="860"/>
      <c r="FL349" s="860"/>
      <c r="FM349" s="860"/>
      <c r="FN349" s="860"/>
      <c r="FO349" s="860"/>
      <c r="FP349" s="860"/>
      <c r="FQ349" s="860"/>
      <c r="FR349" s="860"/>
      <c r="FS349" s="860"/>
      <c r="FT349" s="860"/>
      <c r="FU349" s="860"/>
      <c r="FV349" s="860"/>
      <c r="FW349" s="860"/>
      <c r="FX349" s="860"/>
      <c r="FY349" s="860"/>
      <c r="FZ349" s="860"/>
      <c r="GA349" s="860"/>
      <c r="GB349" s="860"/>
      <c r="GC349" s="860"/>
      <c r="GD349" s="860"/>
      <c r="GE349" s="860"/>
      <c r="GF349" s="860"/>
      <c r="GG349" s="860"/>
      <c r="GH349" s="860"/>
      <c r="GI349" s="860"/>
      <c r="GJ349" s="860"/>
      <c r="GK349" s="860"/>
      <c r="GL349" s="860"/>
      <c r="GM349" s="860"/>
      <c r="GN349" s="860"/>
      <c r="GO349" s="860"/>
      <c r="GP349" s="860"/>
      <c r="GQ349" s="860"/>
      <c r="GR349" s="860"/>
      <c r="GS349" s="860"/>
      <c r="GT349" s="860"/>
      <c r="GU349" s="860"/>
      <c r="GV349" s="860"/>
      <c r="GW349" s="860"/>
      <c r="GX349" s="860"/>
      <c r="GY349" s="860"/>
      <c r="GZ349" s="860"/>
      <c r="HA349" s="860"/>
      <c r="HB349" s="860"/>
      <c r="HC349" s="860"/>
      <c r="HE349" s="860"/>
      <c r="HF349" s="860"/>
      <c r="HH349" s="860"/>
      <c r="HI349" s="860"/>
      <c r="HJ349" s="860"/>
      <c r="HL349" s="860"/>
      <c r="HM349" s="860"/>
      <c r="HO349" s="860"/>
      <c r="HP349" s="860"/>
      <c r="HR349" s="860"/>
    </row>
    <row r="350" spans="1:226" hidden="1">
      <c r="A350" s="860"/>
      <c r="B350" s="860"/>
      <c r="C350" s="860"/>
      <c r="D350" s="860"/>
      <c r="E350" s="860"/>
      <c r="F350" s="860"/>
      <c r="G350" s="860"/>
      <c r="H350" s="860"/>
      <c r="I350" s="860"/>
      <c r="J350" s="860"/>
      <c r="K350" s="860"/>
      <c r="L350" s="860"/>
      <c r="M350" s="860"/>
      <c r="N350" s="860"/>
      <c r="O350" s="860"/>
      <c r="P350" s="860"/>
      <c r="Q350" s="860"/>
      <c r="R350" s="860"/>
      <c r="S350" s="860"/>
      <c r="T350" s="860"/>
      <c r="U350" s="860"/>
      <c r="V350" s="860"/>
      <c r="W350" s="860"/>
      <c r="X350" s="860"/>
      <c r="Y350" s="860"/>
      <c r="Z350" s="860"/>
      <c r="AA350" s="860"/>
      <c r="AB350" s="860"/>
      <c r="AC350" s="860"/>
      <c r="AD350" s="860"/>
      <c r="AE350" s="860"/>
      <c r="AF350" s="860"/>
      <c r="AG350" s="860"/>
      <c r="AH350" s="860"/>
      <c r="AI350" s="860"/>
      <c r="AJ350" s="860"/>
      <c r="AK350" s="860"/>
      <c r="AL350" s="860"/>
      <c r="AM350" s="860"/>
      <c r="AN350" s="860"/>
      <c r="AO350" s="860"/>
      <c r="AP350" s="860"/>
      <c r="AQ350" s="860"/>
      <c r="AR350" s="860"/>
      <c r="AS350" s="860"/>
      <c r="AT350" s="860"/>
      <c r="AU350" s="860"/>
      <c r="AV350" s="860"/>
      <c r="AW350" s="860"/>
      <c r="AX350" s="860"/>
      <c r="AY350" s="860"/>
      <c r="AZ350" s="860"/>
      <c r="BA350" s="860"/>
      <c r="BB350" s="860"/>
      <c r="BC350" s="860"/>
      <c r="BD350" s="860"/>
      <c r="BE350" s="1233"/>
      <c r="BF350" s="860"/>
      <c r="BG350" s="860"/>
      <c r="BH350" s="860"/>
      <c r="BI350" s="1232"/>
      <c r="BJ350" s="1233"/>
      <c r="BK350" s="860"/>
      <c r="BL350" s="860"/>
      <c r="BM350" s="860"/>
      <c r="BN350" s="1232"/>
      <c r="BO350" s="1233"/>
      <c r="BP350" s="860"/>
      <c r="BQ350" s="860"/>
      <c r="BR350" s="860"/>
      <c r="BS350" s="1232"/>
      <c r="BT350" s="1233"/>
      <c r="BU350" s="860"/>
      <c r="BV350" s="860"/>
      <c r="BW350" s="860"/>
      <c r="BX350" s="1232"/>
      <c r="BY350" s="1233"/>
      <c r="BZ350" s="860"/>
      <c r="CA350" s="860"/>
      <c r="CB350" s="860"/>
      <c r="CC350" s="1232"/>
      <c r="CD350" s="1233"/>
      <c r="CE350" s="860"/>
      <c r="CF350" s="860"/>
      <c r="CG350" s="860"/>
      <c r="CH350" s="1232"/>
      <c r="CI350" s="860"/>
      <c r="CJ350" s="860"/>
      <c r="CK350" s="860"/>
      <c r="CL350" s="860"/>
      <c r="CM350" s="860"/>
      <c r="CN350" s="860"/>
      <c r="CO350" s="860"/>
      <c r="CP350" s="860"/>
      <c r="CQ350" s="860"/>
      <c r="CR350" s="860"/>
      <c r="CS350" s="860"/>
      <c r="CT350" s="860"/>
      <c r="CU350" s="860"/>
      <c r="CV350" s="860"/>
      <c r="CW350" s="860"/>
      <c r="CX350" s="860"/>
      <c r="CY350" s="860"/>
      <c r="CZ350" s="860"/>
      <c r="DA350" s="860"/>
      <c r="DB350" s="860"/>
      <c r="DC350" s="860"/>
      <c r="DD350" s="860"/>
      <c r="DE350" s="860"/>
      <c r="DF350" s="860"/>
      <c r="DG350" s="860"/>
      <c r="DH350" s="860"/>
      <c r="DI350" s="860"/>
      <c r="DJ350" s="860"/>
      <c r="DK350" s="860"/>
      <c r="DL350" s="860"/>
      <c r="DM350" s="860"/>
      <c r="DN350" s="860"/>
      <c r="DO350" s="860"/>
      <c r="DP350" s="860"/>
      <c r="DQ350" s="860"/>
      <c r="DR350" s="860"/>
      <c r="DS350" s="860"/>
      <c r="DT350" s="860"/>
      <c r="DU350" s="860"/>
      <c r="DV350" s="860"/>
      <c r="DW350" s="860"/>
      <c r="DX350" s="860"/>
      <c r="DY350" s="860"/>
      <c r="DZ350" s="860"/>
      <c r="EA350" s="860"/>
      <c r="EB350" s="860"/>
      <c r="EC350" s="860"/>
      <c r="ED350" s="860"/>
      <c r="EE350" s="860"/>
      <c r="EF350" s="860"/>
      <c r="EG350" s="860"/>
      <c r="EH350" s="860"/>
      <c r="EI350" s="1233"/>
      <c r="EJ350" s="860"/>
      <c r="EK350" s="860"/>
      <c r="EL350" s="860"/>
      <c r="EM350" s="1232"/>
      <c r="EN350" s="1233"/>
      <c r="EO350" s="860"/>
      <c r="EP350" s="860"/>
      <c r="EQ350" s="860"/>
      <c r="ER350" s="1232"/>
      <c r="ES350" s="860"/>
      <c r="ET350" s="860"/>
      <c r="EU350" s="860"/>
      <c r="EV350" s="860"/>
      <c r="EW350" s="1232"/>
      <c r="EX350" s="860"/>
      <c r="EY350" s="860"/>
      <c r="EZ350" s="860"/>
      <c r="FA350" s="860"/>
      <c r="FB350" s="860"/>
      <c r="FC350" s="860"/>
      <c r="FD350" s="860"/>
      <c r="FE350" s="860"/>
      <c r="FF350" s="860"/>
      <c r="FG350" s="860"/>
      <c r="FH350" s="860"/>
      <c r="FI350" s="860"/>
      <c r="FJ350" s="860"/>
      <c r="FK350" s="860"/>
      <c r="FL350" s="860"/>
      <c r="FM350" s="860"/>
      <c r="FN350" s="860"/>
      <c r="FO350" s="860"/>
      <c r="FP350" s="860"/>
      <c r="FQ350" s="860"/>
      <c r="FR350" s="860"/>
      <c r="FS350" s="860"/>
      <c r="FT350" s="860"/>
      <c r="FU350" s="860"/>
      <c r="FV350" s="860"/>
      <c r="FW350" s="860"/>
      <c r="FX350" s="860"/>
      <c r="FY350" s="860"/>
      <c r="FZ350" s="860"/>
      <c r="GA350" s="860"/>
      <c r="GB350" s="860"/>
      <c r="GC350" s="860"/>
      <c r="GD350" s="860"/>
      <c r="GE350" s="860"/>
      <c r="GF350" s="860"/>
      <c r="GG350" s="860"/>
      <c r="GH350" s="860"/>
      <c r="GI350" s="860"/>
      <c r="GJ350" s="860"/>
      <c r="GK350" s="860"/>
      <c r="GL350" s="860"/>
      <c r="GM350" s="860"/>
      <c r="GN350" s="860"/>
      <c r="GO350" s="860"/>
      <c r="GP350" s="860"/>
      <c r="GQ350" s="860"/>
      <c r="GR350" s="860"/>
      <c r="GS350" s="860"/>
      <c r="GT350" s="860"/>
      <c r="GU350" s="860"/>
      <c r="GV350" s="860"/>
      <c r="GW350" s="860"/>
      <c r="GX350" s="860"/>
      <c r="GY350" s="860"/>
      <c r="GZ350" s="860"/>
      <c r="HA350" s="860"/>
      <c r="HB350" s="860"/>
      <c r="HC350" s="860"/>
      <c r="HE350" s="860"/>
      <c r="HF350" s="860"/>
      <c r="HH350" s="860"/>
      <c r="HI350" s="860"/>
      <c r="HJ350" s="860"/>
      <c r="HL350" s="860"/>
      <c r="HM350" s="860"/>
      <c r="HO350" s="860"/>
      <c r="HP350" s="860"/>
      <c r="HR350" s="860"/>
    </row>
    <row r="351" spans="1:226" hidden="1">
      <c r="A351" s="1258" t="s">
        <v>548</v>
      </c>
      <c r="B351" s="860"/>
      <c r="C351" s="860"/>
      <c r="D351" s="860"/>
      <c r="E351" s="860"/>
      <c r="F351" s="860"/>
      <c r="G351" s="860"/>
      <c r="H351" s="860"/>
      <c r="I351" s="860"/>
      <c r="J351" s="860"/>
      <c r="K351" s="860"/>
      <c r="L351" s="860"/>
      <c r="M351" s="860"/>
      <c r="N351" s="860"/>
      <c r="O351" s="860"/>
      <c r="P351" s="860"/>
      <c r="Q351" s="860"/>
      <c r="R351" s="860"/>
      <c r="S351" s="860"/>
      <c r="T351" s="860"/>
      <c r="U351" s="860"/>
      <c r="V351" s="860"/>
      <c r="W351" s="860"/>
      <c r="X351" s="860"/>
      <c r="Y351" s="860"/>
      <c r="Z351" s="860"/>
      <c r="AA351" s="860"/>
      <c r="AB351" s="860"/>
      <c r="AC351" s="860"/>
      <c r="AD351" s="860"/>
      <c r="AE351" s="860"/>
      <c r="AF351" s="860"/>
      <c r="AG351" s="860"/>
      <c r="AH351" s="860"/>
      <c r="AI351" s="860"/>
      <c r="AJ351" s="860"/>
      <c r="AK351" s="860"/>
      <c r="AL351" s="860"/>
      <c r="AM351" s="860"/>
      <c r="AN351" s="860"/>
      <c r="AO351" s="860"/>
      <c r="AP351" s="860"/>
      <c r="AQ351" s="860"/>
      <c r="AR351" s="860"/>
      <c r="AS351" s="860"/>
      <c r="AT351" s="860"/>
      <c r="AU351" s="860"/>
      <c r="AV351" s="860"/>
      <c r="AW351" s="860"/>
      <c r="AX351" s="860"/>
      <c r="AY351" s="860"/>
      <c r="AZ351" s="860"/>
      <c r="BA351" s="860"/>
      <c r="BB351" s="860"/>
      <c r="BC351" s="860"/>
      <c r="BD351" s="860"/>
      <c r="BE351" s="1233"/>
      <c r="BF351" s="860"/>
      <c r="BG351" s="860"/>
      <c r="BH351" s="860"/>
      <c r="BI351" s="1232"/>
      <c r="BJ351" s="1233"/>
      <c r="BK351" s="860"/>
      <c r="BL351" s="860"/>
      <c r="BM351" s="860"/>
      <c r="BN351" s="1232"/>
      <c r="BO351" s="1233"/>
      <c r="BP351" s="860"/>
      <c r="BQ351" s="860"/>
      <c r="BR351" s="860"/>
      <c r="BS351" s="1232"/>
      <c r="BT351" s="1233"/>
      <c r="BU351" s="860"/>
      <c r="BV351" s="860"/>
      <c r="BW351" s="860"/>
      <c r="BX351" s="1232"/>
      <c r="BY351" s="1233"/>
      <c r="BZ351" s="860"/>
      <c r="CA351" s="860"/>
      <c r="CB351" s="860"/>
      <c r="CC351" s="1232"/>
      <c r="CD351" s="1233"/>
      <c r="CE351" s="860"/>
      <c r="CF351" s="860"/>
      <c r="CG351" s="860"/>
      <c r="CH351" s="1232"/>
      <c r="CI351" s="860"/>
      <c r="CJ351" s="860"/>
      <c r="CK351" s="860"/>
      <c r="CL351" s="860"/>
      <c r="CM351" s="860"/>
      <c r="CN351" s="860"/>
      <c r="CO351" s="860"/>
      <c r="CP351" s="860"/>
      <c r="CQ351" s="860"/>
      <c r="CR351" s="860"/>
      <c r="CS351" s="860"/>
      <c r="CT351" s="860"/>
      <c r="CU351" s="860"/>
      <c r="CV351" s="860"/>
      <c r="CW351" s="860"/>
      <c r="CX351" s="860"/>
      <c r="CY351" s="860"/>
      <c r="CZ351" s="860"/>
      <c r="DA351" s="860"/>
      <c r="DB351" s="860"/>
      <c r="DC351" s="860"/>
      <c r="DD351" s="860"/>
      <c r="DE351" s="860"/>
      <c r="DF351" s="860"/>
      <c r="DG351" s="860"/>
      <c r="DH351" s="860"/>
      <c r="DI351" s="860"/>
      <c r="DJ351" s="860"/>
      <c r="DK351" s="860"/>
      <c r="DL351" s="860"/>
      <c r="DM351" s="860"/>
      <c r="DN351" s="860"/>
      <c r="DO351" s="860"/>
      <c r="DP351" s="860"/>
      <c r="DQ351" s="860"/>
      <c r="DR351" s="860"/>
      <c r="DS351" s="860"/>
      <c r="DT351" s="860"/>
      <c r="DU351" s="860"/>
      <c r="DV351" s="860"/>
      <c r="DW351" s="860"/>
      <c r="DX351" s="860"/>
      <c r="DY351" s="860"/>
      <c r="DZ351" s="860"/>
      <c r="EA351" s="860"/>
      <c r="EB351" s="860"/>
      <c r="EC351" s="860"/>
      <c r="ED351" s="860"/>
      <c r="EE351" s="860"/>
      <c r="EF351" s="860"/>
      <c r="EG351" s="860"/>
      <c r="EH351" s="860"/>
      <c r="EI351" s="1233"/>
      <c r="EJ351" s="860"/>
      <c r="EK351" s="860"/>
      <c r="EL351" s="860"/>
      <c r="EM351" s="1232"/>
      <c r="EN351" s="1233"/>
      <c r="EO351" s="860"/>
      <c r="EP351" s="860"/>
      <c r="EQ351" s="860"/>
      <c r="ER351" s="1232"/>
      <c r="ES351" s="860"/>
      <c r="ET351" s="860"/>
      <c r="EU351" s="860"/>
      <c r="EV351" s="860"/>
      <c r="EW351" s="1232"/>
      <c r="EX351" s="860"/>
      <c r="EY351" s="860"/>
      <c r="EZ351" s="860"/>
      <c r="FA351" s="860"/>
      <c r="FB351" s="860"/>
      <c r="FC351" s="860"/>
      <c r="FD351" s="860"/>
      <c r="FE351" s="860"/>
      <c r="FF351" s="860"/>
      <c r="FG351" s="860"/>
      <c r="FH351" s="860"/>
      <c r="FI351" s="860"/>
      <c r="FJ351" s="860"/>
      <c r="FK351" s="860"/>
      <c r="FL351" s="860"/>
      <c r="FM351" s="860"/>
      <c r="FN351" s="860"/>
      <c r="FO351" s="860"/>
      <c r="FP351" s="860"/>
      <c r="FQ351" s="860"/>
      <c r="FR351" s="860"/>
      <c r="FS351" s="860"/>
      <c r="FT351" s="860"/>
      <c r="FU351" s="860"/>
      <c r="FV351" s="860"/>
      <c r="FW351" s="860"/>
      <c r="FX351" s="860"/>
      <c r="FY351" s="860"/>
      <c r="FZ351" s="860"/>
      <c r="GA351" s="860"/>
      <c r="GB351" s="860"/>
      <c r="GC351" s="860"/>
      <c r="GD351" s="860"/>
      <c r="GE351" s="860"/>
      <c r="GF351" s="860"/>
      <c r="GG351" s="860"/>
      <c r="GH351" s="860"/>
      <c r="GI351" s="860"/>
      <c r="GJ351" s="860"/>
      <c r="GK351" s="860"/>
      <c r="GL351" s="860"/>
      <c r="GM351" s="860"/>
      <c r="GN351" s="860"/>
      <c r="GO351" s="860"/>
      <c r="GP351" s="860"/>
      <c r="GQ351" s="860"/>
      <c r="GR351" s="860"/>
      <c r="GS351" s="860"/>
      <c r="GT351" s="860"/>
      <c r="GU351" s="860"/>
      <c r="GV351" s="860"/>
      <c r="GW351" s="860"/>
      <c r="GX351" s="860"/>
      <c r="GY351" s="860"/>
      <c r="GZ351" s="860"/>
      <c r="HA351" s="860"/>
      <c r="HB351" s="860"/>
      <c r="HC351" s="860"/>
      <c r="HE351" s="860"/>
      <c r="HF351" s="860"/>
      <c r="HH351" s="860"/>
      <c r="HI351" s="860"/>
      <c r="HJ351" s="860"/>
      <c r="HL351" s="860"/>
      <c r="HM351" s="860"/>
      <c r="HO351" s="860"/>
      <c r="HP351" s="860"/>
      <c r="HR351" s="860"/>
    </row>
    <row r="352" spans="1:226" hidden="1">
      <c r="A352" s="1236" t="str">
        <f>A340</f>
        <v>Cablevision</v>
      </c>
      <c r="B352" s="860"/>
      <c r="C352" s="860"/>
      <c r="D352" s="860"/>
      <c r="E352" s="860"/>
      <c r="F352" s="860"/>
      <c r="G352" s="860"/>
      <c r="H352" s="860"/>
      <c r="I352" s="1217">
        <f>I340/I301</f>
        <v>0.38596987669736221</v>
      </c>
      <c r="J352" s="860"/>
      <c r="K352" s="1217">
        <f t="shared" ref="K352:X352" si="316">K340/K301</f>
        <v>0.38648267067450021</v>
      </c>
      <c r="L352" s="1217">
        <f t="shared" si="316"/>
        <v>0.39537021561089758</v>
      </c>
      <c r="M352" s="1217">
        <f t="shared" si="316"/>
        <v>0.40975806451612906</v>
      </c>
      <c r="N352" s="1217">
        <f t="shared" si="316"/>
        <v>0.40822537849227408</v>
      </c>
      <c r="O352" s="1217">
        <f t="shared" si="316"/>
        <v>0.40019650820043817</v>
      </c>
      <c r="P352" s="1217">
        <f t="shared" si="316"/>
        <v>0.40344369284481563</v>
      </c>
      <c r="Q352" s="1217">
        <f t="shared" si="316"/>
        <v>0.39629043202895275</v>
      </c>
      <c r="R352" s="1217">
        <f t="shared" si="316"/>
        <v>0.38688095411242823</v>
      </c>
      <c r="S352" s="1217">
        <f t="shared" si="316"/>
        <v>0.38286564625850333</v>
      </c>
      <c r="T352" s="1217">
        <f t="shared" si="316"/>
        <v>0.42689236665602037</v>
      </c>
      <c r="U352" s="1217">
        <f t="shared" si="316"/>
        <v>0.3991123791409098</v>
      </c>
      <c r="V352" s="1217">
        <f t="shared" si="316"/>
        <v>0.41383074354693716</v>
      </c>
      <c r="W352" s="1217">
        <f t="shared" si="316"/>
        <v>0.42139546536389827</v>
      </c>
      <c r="X352" s="1217">
        <f t="shared" si="316"/>
        <v>0.41181575847746577</v>
      </c>
      <c r="Y352" s="1217"/>
      <c r="Z352" s="860"/>
      <c r="AA352" s="860"/>
      <c r="AB352" s="860"/>
      <c r="AC352" s="860"/>
      <c r="AD352" s="860"/>
      <c r="AE352" s="860"/>
      <c r="AF352" s="860"/>
      <c r="AG352" s="860"/>
      <c r="AH352" s="860"/>
      <c r="AI352" s="860"/>
      <c r="AJ352" s="860"/>
      <c r="AK352" s="860"/>
      <c r="AL352" s="860"/>
      <c r="AM352" s="860"/>
      <c r="AN352" s="860"/>
      <c r="AO352" s="860"/>
      <c r="AP352" s="860"/>
      <c r="AQ352" s="860"/>
      <c r="AR352" s="860"/>
      <c r="AS352" s="860"/>
      <c r="AT352" s="860"/>
      <c r="AU352" s="860"/>
      <c r="AV352" s="860"/>
      <c r="AW352" s="860"/>
      <c r="AX352" s="860"/>
      <c r="AY352" s="860"/>
      <c r="AZ352" s="860"/>
      <c r="BA352" s="860"/>
      <c r="BB352" s="860"/>
      <c r="BC352" s="860"/>
      <c r="BD352" s="860"/>
      <c r="BE352" s="1233"/>
      <c r="BF352" s="860"/>
      <c r="BG352" s="860"/>
      <c r="BH352" s="860"/>
      <c r="BI352" s="1232"/>
      <c r="BJ352" s="1233"/>
      <c r="BK352" s="860"/>
      <c r="BL352" s="860"/>
      <c r="BM352" s="860"/>
      <c r="BN352" s="1232"/>
      <c r="BO352" s="1233"/>
      <c r="BP352" s="860"/>
      <c r="BQ352" s="860"/>
      <c r="BR352" s="860"/>
      <c r="BS352" s="1232"/>
      <c r="BT352" s="1233"/>
      <c r="BU352" s="860"/>
      <c r="BV352" s="860"/>
      <c r="BW352" s="860"/>
      <c r="BX352" s="1232"/>
      <c r="BY352" s="1233"/>
      <c r="BZ352" s="860"/>
      <c r="CA352" s="860"/>
      <c r="CB352" s="860"/>
      <c r="CC352" s="1232"/>
      <c r="CD352" s="1233"/>
      <c r="CE352" s="860"/>
      <c r="CF352" s="860"/>
      <c r="CG352" s="860"/>
      <c r="CH352" s="1232"/>
      <c r="CI352" s="860"/>
      <c r="CJ352" s="860"/>
      <c r="CK352" s="860"/>
      <c r="CL352" s="860"/>
      <c r="CM352" s="860"/>
      <c r="CN352" s="860"/>
      <c r="CO352" s="860"/>
      <c r="CP352" s="860"/>
      <c r="CQ352" s="860"/>
      <c r="CR352" s="860"/>
      <c r="CS352" s="860"/>
      <c r="CT352" s="860"/>
      <c r="CU352" s="860"/>
      <c r="CV352" s="860"/>
      <c r="CW352" s="860"/>
      <c r="CX352" s="860"/>
      <c r="CY352" s="860"/>
      <c r="CZ352" s="860"/>
      <c r="DA352" s="860"/>
      <c r="DB352" s="860"/>
      <c r="DC352" s="860"/>
      <c r="DD352" s="860"/>
      <c r="DE352" s="860"/>
      <c r="DF352" s="860"/>
      <c r="DG352" s="860"/>
      <c r="DH352" s="860"/>
      <c r="DI352" s="860"/>
      <c r="DJ352" s="860"/>
      <c r="DK352" s="860"/>
      <c r="DL352" s="860"/>
      <c r="DM352" s="860"/>
      <c r="DN352" s="860"/>
      <c r="DO352" s="860"/>
      <c r="DP352" s="860"/>
      <c r="DQ352" s="860"/>
      <c r="DR352" s="860"/>
      <c r="DS352" s="860"/>
      <c r="DT352" s="860"/>
      <c r="DU352" s="860"/>
      <c r="DV352" s="860"/>
      <c r="DW352" s="860"/>
      <c r="DX352" s="860"/>
      <c r="DY352" s="860"/>
      <c r="DZ352" s="860"/>
      <c r="EA352" s="860"/>
      <c r="EB352" s="860"/>
      <c r="EC352" s="860"/>
      <c r="ED352" s="860"/>
      <c r="EE352" s="860"/>
      <c r="EF352" s="860"/>
      <c r="EG352" s="860"/>
      <c r="EH352" s="860"/>
      <c r="EI352" s="1233"/>
      <c r="EJ352" s="860"/>
      <c r="EK352" s="860"/>
      <c r="EL352" s="860"/>
      <c r="EM352" s="1232"/>
      <c r="EN352" s="1233"/>
      <c r="EO352" s="860"/>
      <c r="EP352" s="860"/>
      <c r="EQ352" s="860"/>
      <c r="ER352" s="1232"/>
      <c r="ES352" s="860"/>
      <c r="ET352" s="860"/>
      <c r="EU352" s="860"/>
      <c r="EV352" s="860"/>
      <c r="EW352" s="1232"/>
      <c r="EX352" s="860"/>
      <c r="EY352" s="860"/>
      <c r="EZ352" s="860"/>
      <c r="FA352" s="860"/>
      <c r="FB352" s="860"/>
      <c r="FC352" s="860"/>
      <c r="FD352" s="860"/>
      <c r="FE352" s="860"/>
      <c r="FF352" s="860"/>
      <c r="FG352" s="860"/>
      <c r="FH352" s="860"/>
      <c r="FI352" s="860"/>
      <c r="FJ352" s="860"/>
      <c r="FK352" s="860"/>
      <c r="FL352" s="860"/>
      <c r="FM352" s="860"/>
      <c r="FN352" s="860"/>
      <c r="FO352" s="860"/>
      <c r="FP352" s="860"/>
      <c r="FQ352" s="860"/>
      <c r="FR352" s="860"/>
      <c r="FS352" s="860"/>
      <c r="FT352" s="860"/>
      <c r="FU352" s="860"/>
      <c r="FV352" s="860"/>
      <c r="FW352" s="860"/>
      <c r="FX352" s="860"/>
      <c r="FY352" s="860"/>
      <c r="FZ352" s="860"/>
      <c r="GA352" s="860"/>
      <c r="GB352" s="860"/>
      <c r="GC352" s="860"/>
      <c r="GD352" s="860"/>
      <c r="GE352" s="860"/>
      <c r="GF352" s="860"/>
      <c r="GG352" s="860"/>
      <c r="GH352" s="860"/>
      <c r="GI352" s="860"/>
      <c r="GJ352" s="860"/>
      <c r="GK352" s="860"/>
      <c r="GL352" s="860"/>
      <c r="GM352" s="860"/>
      <c r="GN352" s="860"/>
      <c r="GO352" s="860"/>
      <c r="GP352" s="860"/>
      <c r="GQ352" s="860"/>
      <c r="GR352" s="860"/>
      <c r="GS352" s="860"/>
      <c r="GT352" s="860"/>
      <c r="GU352" s="860"/>
      <c r="GV352" s="860"/>
      <c r="GW352" s="860"/>
      <c r="GX352" s="860"/>
      <c r="GY352" s="860"/>
      <c r="GZ352" s="860"/>
      <c r="HA352" s="860"/>
      <c r="HB352" s="860"/>
      <c r="HC352" s="860"/>
      <c r="HE352" s="860"/>
      <c r="HF352" s="860"/>
      <c r="HH352" s="860"/>
      <c r="HI352" s="860"/>
      <c r="HJ352" s="860"/>
      <c r="HL352" s="860"/>
      <c r="HM352" s="860"/>
      <c r="HO352" s="860"/>
      <c r="HP352" s="860"/>
      <c r="HR352" s="860"/>
    </row>
    <row r="353" spans="1:226" hidden="1">
      <c r="A353" s="1236" t="str">
        <f>A341</f>
        <v>Cablemas</v>
      </c>
      <c r="B353" s="860"/>
      <c r="C353" s="860"/>
      <c r="D353" s="860"/>
      <c r="E353" s="860"/>
      <c r="F353" s="860"/>
      <c r="G353" s="860"/>
      <c r="H353" s="860"/>
      <c r="I353" s="1217">
        <f>I341/I302</f>
        <v>0.38004921434924394</v>
      </c>
      <c r="J353" s="860"/>
      <c r="K353" s="1217">
        <f t="shared" ref="K353:X353" si="317">K341/K302</f>
        <v>0.38214633320638142</v>
      </c>
      <c r="L353" s="1217">
        <f t="shared" si="317"/>
        <v>0.36929998474912307</v>
      </c>
      <c r="M353" s="1217">
        <f t="shared" si="317"/>
        <v>0.35819548872180451</v>
      </c>
      <c r="N353" s="1217">
        <f t="shared" si="317"/>
        <v>0.3596205158612511</v>
      </c>
      <c r="O353" s="1217">
        <f t="shared" si="317"/>
        <v>0.38761990200814322</v>
      </c>
      <c r="P353" s="1217">
        <f t="shared" si="317"/>
        <v>0.36906447046712137</v>
      </c>
      <c r="Q353" s="1217">
        <f t="shared" si="317"/>
        <v>0.34853623088102981</v>
      </c>
      <c r="R353" s="1217">
        <f t="shared" si="317"/>
        <v>0.37026219714570191</v>
      </c>
      <c r="S353" s="1217">
        <f t="shared" si="317"/>
        <v>0.32878807187460174</v>
      </c>
      <c r="T353" s="1217">
        <f t="shared" si="317"/>
        <v>0.32834991042194361</v>
      </c>
      <c r="U353" s="1217">
        <f t="shared" si="317"/>
        <v>0.34349702744523181</v>
      </c>
      <c r="V353" s="1217">
        <f t="shared" si="317"/>
        <v>0.3408856848609681</v>
      </c>
      <c r="W353" s="1217">
        <f t="shared" si="317"/>
        <v>0.37733159082808604</v>
      </c>
      <c r="X353" s="1217">
        <f t="shared" si="317"/>
        <v>0.36655238537974311</v>
      </c>
      <c r="Y353" s="1217"/>
      <c r="Z353" s="860"/>
      <c r="AA353" s="860"/>
      <c r="AB353" s="860"/>
      <c r="AC353" s="860"/>
      <c r="AD353" s="860"/>
      <c r="AE353" s="860"/>
      <c r="AF353" s="860"/>
      <c r="AG353" s="860"/>
      <c r="AH353" s="860"/>
      <c r="AI353" s="860"/>
      <c r="AJ353" s="860"/>
      <c r="AK353" s="860"/>
      <c r="AL353" s="860"/>
      <c r="AM353" s="860"/>
      <c r="AN353" s="860"/>
      <c r="AO353" s="860"/>
      <c r="AP353" s="860"/>
      <c r="AQ353" s="860"/>
      <c r="AR353" s="860"/>
      <c r="AS353" s="860"/>
      <c r="AT353" s="860"/>
      <c r="AU353" s="860"/>
      <c r="AV353" s="860"/>
      <c r="AW353" s="860"/>
      <c r="AX353" s="860"/>
      <c r="AY353" s="860"/>
      <c r="AZ353" s="860"/>
      <c r="BA353" s="860"/>
      <c r="BB353" s="860"/>
      <c r="BC353" s="860"/>
      <c r="BD353" s="860"/>
      <c r="BE353" s="1233"/>
      <c r="BF353" s="860"/>
      <c r="BG353" s="860"/>
      <c r="BH353" s="860"/>
      <c r="BI353" s="1232"/>
      <c r="BJ353" s="1233"/>
      <c r="BK353" s="860"/>
      <c r="BL353" s="860"/>
      <c r="BM353" s="860"/>
      <c r="BN353" s="1232"/>
      <c r="BO353" s="1233"/>
      <c r="BP353" s="860"/>
      <c r="BQ353" s="860"/>
      <c r="BR353" s="860"/>
      <c r="BS353" s="1232"/>
      <c r="BT353" s="1233"/>
      <c r="BU353" s="860"/>
      <c r="BV353" s="860"/>
      <c r="BW353" s="860"/>
      <c r="BX353" s="1232"/>
      <c r="BY353" s="1233"/>
      <c r="BZ353" s="860"/>
      <c r="CA353" s="860"/>
      <c r="CB353" s="860"/>
      <c r="CC353" s="1232"/>
      <c r="CD353" s="1233"/>
      <c r="CE353" s="860"/>
      <c r="CF353" s="860"/>
      <c r="CG353" s="860"/>
      <c r="CH353" s="1232"/>
      <c r="CI353" s="860"/>
      <c r="CJ353" s="860"/>
      <c r="CK353" s="860"/>
      <c r="CL353" s="860"/>
      <c r="CM353" s="860"/>
      <c r="CN353" s="860"/>
      <c r="CO353" s="860"/>
      <c r="CP353" s="860"/>
      <c r="CQ353" s="860"/>
      <c r="CR353" s="860"/>
      <c r="CS353" s="860"/>
      <c r="CT353" s="860"/>
      <c r="CU353" s="860"/>
      <c r="CV353" s="860"/>
      <c r="CW353" s="860"/>
      <c r="CX353" s="860"/>
      <c r="CY353" s="860"/>
      <c r="CZ353" s="860"/>
      <c r="DA353" s="860"/>
      <c r="DB353" s="860"/>
      <c r="DC353" s="860"/>
      <c r="DD353" s="860"/>
      <c r="DE353" s="860"/>
      <c r="DF353" s="860"/>
      <c r="DG353" s="860"/>
      <c r="DH353" s="860"/>
      <c r="DI353" s="860"/>
      <c r="DJ353" s="860"/>
      <c r="DK353" s="860"/>
      <c r="DL353" s="860"/>
      <c r="DM353" s="860"/>
      <c r="DN353" s="860"/>
      <c r="DO353" s="860"/>
      <c r="DP353" s="860"/>
      <c r="DQ353" s="860"/>
      <c r="DR353" s="860"/>
      <c r="DS353" s="860"/>
      <c r="DT353" s="860"/>
      <c r="DU353" s="860"/>
      <c r="DV353" s="860"/>
      <c r="DW353" s="860"/>
      <c r="DX353" s="860"/>
      <c r="DY353" s="860"/>
      <c r="DZ353" s="860"/>
      <c r="EA353" s="860"/>
      <c r="EB353" s="860"/>
      <c r="EC353" s="860"/>
      <c r="ED353" s="860"/>
      <c r="EE353" s="860"/>
      <c r="EF353" s="860"/>
      <c r="EG353" s="860"/>
      <c r="EH353" s="860"/>
      <c r="EI353" s="1233"/>
      <c r="EJ353" s="860"/>
      <c r="EK353" s="860"/>
      <c r="EL353" s="860"/>
      <c r="EM353" s="1232"/>
      <c r="EN353" s="1233"/>
      <c r="EO353" s="860"/>
      <c r="EP353" s="860"/>
      <c r="EQ353" s="860"/>
      <c r="ER353" s="1232"/>
      <c r="ES353" s="860"/>
      <c r="ET353" s="860"/>
      <c r="EU353" s="860"/>
      <c r="EV353" s="860"/>
      <c r="EW353" s="1232"/>
      <c r="EX353" s="860"/>
      <c r="EY353" s="860"/>
      <c r="EZ353" s="860"/>
      <c r="FA353" s="860"/>
      <c r="FB353" s="860"/>
      <c r="FC353" s="860"/>
      <c r="FD353" s="860"/>
      <c r="FE353" s="860"/>
      <c r="FF353" s="860"/>
      <c r="FG353" s="860"/>
      <c r="FH353" s="860"/>
      <c r="FI353" s="860"/>
      <c r="FJ353" s="860"/>
      <c r="FK353" s="860"/>
      <c r="FL353" s="860"/>
      <c r="FM353" s="860"/>
      <c r="FN353" s="860"/>
      <c r="FO353" s="860"/>
      <c r="FP353" s="860"/>
      <c r="FQ353" s="860"/>
      <c r="FR353" s="860"/>
      <c r="FS353" s="860"/>
      <c r="FT353" s="860"/>
      <c r="FU353" s="860"/>
      <c r="FV353" s="860"/>
      <c r="FW353" s="860"/>
      <c r="FX353" s="860"/>
      <c r="FY353" s="860"/>
      <c r="FZ353" s="860"/>
      <c r="GA353" s="860"/>
      <c r="GB353" s="860"/>
      <c r="GC353" s="860"/>
      <c r="GD353" s="860"/>
      <c r="GE353" s="860"/>
      <c r="GF353" s="860"/>
      <c r="GG353" s="860"/>
      <c r="GH353" s="860"/>
      <c r="GI353" s="860"/>
      <c r="GJ353" s="860"/>
      <c r="GK353" s="860"/>
      <c r="GL353" s="860"/>
      <c r="GM353" s="860"/>
      <c r="GN353" s="860"/>
      <c r="GO353" s="860"/>
      <c r="GP353" s="860"/>
      <c r="GQ353" s="860"/>
      <c r="GR353" s="860"/>
      <c r="GS353" s="860"/>
      <c r="GT353" s="860"/>
      <c r="GU353" s="860"/>
      <c r="GV353" s="860"/>
      <c r="GW353" s="860"/>
      <c r="GX353" s="860"/>
      <c r="GY353" s="860"/>
      <c r="GZ353" s="860"/>
      <c r="HA353" s="860"/>
      <c r="HB353" s="860"/>
      <c r="HC353" s="860"/>
      <c r="HE353" s="860"/>
      <c r="HF353" s="860"/>
      <c r="HH353" s="860"/>
      <c r="HI353" s="860"/>
      <c r="HJ353" s="860"/>
      <c r="HL353" s="860"/>
      <c r="HM353" s="860"/>
      <c r="HO353" s="860"/>
      <c r="HP353" s="860"/>
      <c r="HR353" s="860"/>
    </row>
    <row r="354" spans="1:226" hidden="1">
      <c r="A354" s="1236" t="str">
        <f>A342</f>
        <v>TVI</v>
      </c>
      <c r="B354" s="860"/>
      <c r="C354" s="860"/>
      <c r="D354" s="860"/>
      <c r="E354" s="860"/>
      <c r="F354" s="860"/>
      <c r="G354" s="860"/>
      <c r="H354" s="860"/>
      <c r="I354" s="1217">
        <f>I342/I303</f>
        <v>0.35750229207596601</v>
      </c>
      <c r="J354" s="860"/>
      <c r="K354" s="1217">
        <f t="shared" ref="K354:X354" si="318">K342/K303</f>
        <v>0.42628986974731908</v>
      </c>
      <c r="L354" s="1217">
        <f t="shared" si="318"/>
        <v>0.39737329516753661</v>
      </c>
      <c r="M354" s="1217">
        <f t="shared" si="318"/>
        <v>0.4104713698196773</v>
      </c>
      <c r="N354" s="1217">
        <f t="shared" si="318"/>
        <v>0.37311722331368702</v>
      </c>
      <c r="O354" s="1217">
        <f t="shared" si="318"/>
        <v>0.53661596361925679</v>
      </c>
      <c r="P354" s="1217">
        <f t="shared" si="318"/>
        <v>0.43061504889679147</v>
      </c>
      <c r="Q354" s="1217">
        <f t="shared" si="318"/>
        <v>0.42986708365910864</v>
      </c>
      <c r="R354" s="1217">
        <f t="shared" si="318"/>
        <v>0.41257485029940122</v>
      </c>
      <c r="S354" s="1217">
        <f t="shared" si="318"/>
        <v>0.34376828554710354</v>
      </c>
      <c r="T354" s="1217">
        <f t="shared" si="318"/>
        <v>0.54299958454507691</v>
      </c>
      <c r="U354" s="1217">
        <f t="shared" si="318"/>
        <v>0.43402624207577767</v>
      </c>
      <c r="V354" s="1217">
        <f t="shared" si="318"/>
        <v>0.44643584521384932</v>
      </c>
      <c r="W354" s="1217">
        <f t="shared" si="318"/>
        <v>0.44150846587993842</v>
      </c>
      <c r="X354" s="1217">
        <f t="shared" si="318"/>
        <v>0.39455699292165003</v>
      </c>
      <c r="Y354" s="1217"/>
      <c r="Z354" s="860"/>
      <c r="AA354" s="860"/>
      <c r="AB354" s="860"/>
      <c r="AC354" s="860"/>
      <c r="AD354" s="860"/>
      <c r="AE354" s="860"/>
      <c r="AF354" s="860"/>
      <c r="AG354" s="860"/>
      <c r="AH354" s="860"/>
      <c r="AI354" s="860"/>
      <c r="AJ354" s="860"/>
      <c r="AK354" s="860"/>
      <c r="AL354" s="860"/>
      <c r="AM354" s="860"/>
      <c r="AN354" s="860"/>
      <c r="AO354" s="860"/>
      <c r="AP354" s="860"/>
      <c r="AQ354" s="860"/>
      <c r="AR354" s="860"/>
      <c r="AS354" s="860"/>
      <c r="AT354" s="860"/>
      <c r="AU354" s="860"/>
      <c r="AV354" s="860"/>
      <c r="AW354" s="860"/>
      <c r="AX354" s="860"/>
      <c r="AY354" s="860"/>
      <c r="AZ354" s="860"/>
      <c r="BA354" s="860"/>
      <c r="BB354" s="860"/>
      <c r="BC354" s="860"/>
      <c r="BD354" s="860"/>
      <c r="BE354" s="1233"/>
      <c r="BF354" s="860"/>
      <c r="BG354" s="860"/>
      <c r="BH354" s="860"/>
      <c r="BI354" s="1232"/>
      <c r="BJ354" s="1233"/>
      <c r="BK354" s="860"/>
      <c r="BL354" s="860"/>
      <c r="BM354" s="860"/>
      <c r="BN354" s="1232"/>
      <c r="BO354" s="1233"/>
      <c r="BP354" s="860"/>
      <c r="BQ354" s="860"/>
      <c r="BR354" s="860"/>
      <c r="BS354" s="1232"/>
      <c r="BT354" s="1233"/>
      <c r="BU354" s="860"/>
      <c r="BV354" s="860"/>
      <c r="BW354" s="860"/>
      <c r="BX354" s="1232"/>
      <c r="BY354" s="1233"/>
      <c r="BZ354" s="860"/>
      <c r="CA354" s="860"/>
      <c r="CB354" s="860"/>
      <c r="CC354" s="1232"/>
      <c r="CD354" s="1233"/>
      <c r="CE354" s="860"/>
      <c r="CF354" s="860"/>
      <c r="CG354" s="860"/>
      <c r="CH354" s="1232"/>
      <c r="CI354" s="860"/>
      <c r="CJ354" s="860"/>
      <c r="CK354" s="860"/>
      <c r="CL354" s="860"/>
      <c r="CM354" s="860"/>
      <c r="CN354" s="860"/>
      <c r="CO354" s="860"/>
      <c r="CP354" s="860"/>
      <c r="CQ354" s="860"/>
      <c r="CR354" s="860"/>
      <c r="CS354" s="860"/>
      <c r="CT354" s="860"/>
      <c r="CU354" s="860"/>
      <c r="CV354" s="860"/>
      <c r="CW354" s="860"/>
      <c r="CX354" s="860"/>
      <c r="CY354" s="860"/>
      <c r="CZ354" s="860"/>
      <c r="DA354" s="860"/>
      <c r="DB354" s="860"/>
      <c r="DC354" s="860"/>
      <c r="DD354" s="860"/>
      <c r="DE354" s="860"/>
      <c r="DF354" s="860"/>
      <c r="DG354" s="860"/>
      <c r="DH354" s="860"/>
      <c r="DI354" s="860"/>
      <c r="DJ354" s="860"/>
      <c r="DK354" s="860"/>
      <c r="DL354" s="860"/>
      <c r="DM354" s="860"/>
      <c r="DN354" s="860"/>
      <c r="DO354" s="860"/>
      <c r="DP354" s="860"/>
      <c r="DQ354" s="860"/>
      <c r="DR354" s="860"/>
      <c r="DS354" s="860"/>
      <c r="DT354" s="860"/>
      <c r="DU354" s="860"/>
      <c r="DV354" s="860"/>
      <c r="DW354" s="860"/>
      <c r="DX354" s="860"/>
      <c r="DY354" s="860"/>
      <c r="DZ354" s="860"/>
      <c r="EA354" s="860"/>
      <c r="EB354" s="860"/>
      <c r="EC354" s="860"/>
      <c r="ED354" s="860"/>
      <c r="EE354" s="860"/>
      <c r="EF354" s="860"/>
      <c r="EG354" s="860"/>
      <c r="EH354" s="860"/>
      <c r="EI354" s="1233"/>
      <c r="EJ354" s="860"/>
      <c r="EK354" s="860"/>
      <c r="EL354" s="860"/>
      <c r="EM354" s="1232"/>
      <c r="EN354" s="1233"/>
      <c r="EO354" s="860"/>
      <c r="EP354" s="860"/>
      <c r="EQ354" s="860"/>
      <c r="ER354" s="1232"/>
      <c r="ES354" s="860"/>
      <c r="ET354" s="860"/>
      <c r="EU354" s="860"/>
      <c r="EV354" s="860"/>
      <c r="EW354" s="1232"/>
      <c r="EX354" s="860"/>
      <c r="EY354" s="860"/>
      <c r="EZ354" s="860"/>
      <c r="FA354" s="860"/>
      <c r="FB354" s="860"/>
      <c r="FC354" s="860"/>
      <c r="FD354" s="860"/>
      <c r="FE354" s="860"/>
      <c r="FF354" s="860"/>
      <c r="FG354" s="860"/>
      <c r="FH354" s="860"/>
      <c r="FI354" s="860"/>
      <c r="FJ354" s="860"/>
      <c r="FK354" s="860"/>
      <c r="FL354" s="860"/>
      <c r="FM354" s="860"/>
      <c r="FN354" s="860"/>
      <c r="FO354" s="860"/>
      <c r="FP354" s="860"/>
      <c r="FQ354" s="860"/>
      <c r="FR354" s="860"/>
      <c r="FS354" s="860"/>
      <c r="FT354" s="860"/>
      <c r="FU354" s="860"/>
      <c r="FV354" s="860"/>
      <c r="FW354" s="860"/>
      <c r="FX354" s="860"/>
      <c r="FY354" s="860"/>
      <c r="FZ354" s="860"/>
      <c r="GA354" s="860"/>
      <c r="GB354" s="860"/>
      <c r="GC354" s="860"/>
      <c r="GD354" s="860"/>
      <c r="GE354" s="860"/>
      <c r="GF354" s="860"/>
      <c r="GG354" s="860"/>
      <c r="GH354" s="860"/>
      <c r="GI354" s="860"/>
      <c r="GJ354" s="860"/>
      <c r="GK354" s="860"/>
      <c r="GL354" s="860"/>
      <c r="GM354" s="860"/>
      <c r="GN354" s="860"/>
      <c r="GO354" s="860"/>
      <c r="GP354" s="860"/>
      <c r="GQ354" s="860"/>
      <c r="GR354" s="860"/>
      <c r="GS354" s="860"/>
      <c r="GT354" s="860"/>
      <c r="GU354" s="860"/>
      <c r="GV354" s="860"/>
      <c r="GW354" s="860"/>
      <c r="GX354" s="860"/>
      <c r="GY354" s="860"/>
      <c r="GZ354" s="860"/>
      <c r="HA354" s="860"/>
      <c r="HB354" s="860"/>
      <c r="HC354" s="860"/>
      <c r="HE354" s="860"/>
      <c r="HF354" s="860"/>
      <c r="HH354" s="860"/>
      <c r="HI354" s="860"/>
      <c r="HJ354" s="860"/>
      <c r="HL354" s="860"/>
      <c r="HM354" s="860"/>
      <c r="HO354" s="860"/>
      <c r="HP354" s="860"/>
      <c r="HR354" s="860"/>
    </row>
    <row r="355" spans="1:226" hidden="1">
      <c r="A355" s="1132" t="str">
        <f>A343</f>
        <v>Bestel</v>
      </c>
      <c r="B355" s="860"/>
      <c r="C355" s="860"/>
      <c r="D355" s="860"/>
      <c r="E355" s="860"/>
      <c r="F355" s="860"/>
      <c r="G355" s="860"/>
      <c r="H355" s="860"/>
      <c r="I355" s="1217">
        <f>I343/I304</f>
        <v>0.26302573626956754</v>
      </c>
      <c r="J355" s="860"/>
      <c r="K355" s="1217">
        <f t="shared" ref="K355:X355" si="319">K343/K304</f>
        <v>0.21026769343601026</v>
      </c>
      <c r="L355" s="1217">
        <f t="shared" si="319"/>
        <v>0.27150852531563191</v>
      </c>
      <c r="M355" s="1217">
        <f t="shared" si="319"/>
        <v>0.36527489626556015</v>
      </c>
      <c r="N355" s="1217">
        <f t="shared" si="319"/>
        <v>0.33337755372777927</v>
      </c>
      <c r="O355" s="1217">
        <f t="shared" si="319"/>
        <v>0.28667113194909577</v>
      </c>
      <c r="P355" s="1217">
        <f t="shared" si="319"/>
        <v>0.31436278702546216</v>
      </c>
      <c r="Q355" s="1217">
        <f t="shared" si="319"/>
        <v>0.26383928571428572</v>
      </c>
      <c r="R355" s="1217">
        <f t="shared" si="319"/>
        <v>0.37728249194414609</v>
      </c>
      <c r="S355" s="1217">
        <f t="shared" si="319"/>
        <v>0.23801975368857453</v>
      </c>
      <c r="T355" s="1217">
        <f t="shared" si="319"/>
        <v>0.205279312461633</v>
      </c>
      <c r="U355" s="1217">
        <f t="shared" si="319"/>
        <v>0.26895851084747985</v>
      </c>
      <c r="V355" s="1217">
        <f t="shared" si="319"/>
        <v>0.25581091668843042</v>
      </c>
      <c r="W355" s="1217">
        <f t="shared" si="319"/>
        <v>0.35144190498982886</v>
      </c>
      <c r="X355" s="1217">
        <f t="shared" si="319"/>
        <v>0.35234863747216627</v>
      </c>
      <c r="Y355" s="1217"/>
      <c r="Z355" s="860"/>
      <c r="AA355" s="860"/>
      <c r="AB355" s="860"/>
      <c r="AC355" s="860"/>
      <c r="AD355" s="860"/>
      <c r="AE355" s="860"/>
      <c r="AF355" s="860"/>
      <c r="AG355" s="860"/>
      <c r="AH355" s="860"/>
      <c r="AI355" s="860"/>
      <c r="AJ355" s="860"/>
      <c r="AK355" s="860"/>
      <c r="AL355" s="860"/>
      <c r="AM355" s="860"/>
      <c r="AN355" s="860"/>
      <c r="AO355" s="860"/>
      <c r="AP355" s="860"/>
      <c r="AQ355" s="860"/>
      <c r="AR355" s="860"/>
      <c r="AS355" s="860"/>
      <c r="AT355" s="860"/>
      <c r="AU355" s="860"/>
      <c r="AV355" s="860"/>
      <c r="AW355" s="860"/>
      <c r="AX355" s="860"/>
      <c r="AY355" s="860"/>
      <c r="AZ355" s="860"/>
      <c r="BA355" s="860"/>
      <c r="BB355" s="860"/>
      <c r="BC355" s="860"/>
      <c r="BD355" s="860"/>
      <c r="BE355" s="1233"/>
      <c r="BF355" s="860"/>
      <c r="BG355" s="860"/>
      <c r="BH355" s="860"/>
      <c r="BI355" s="1232"/>
      <c r="BJ355" s="1233"/>
      <c r="BK355" s="860"/>
      <c r="BL355" s="860"/>
      <c r="BM355" s="860"/>
      <c r="BN355" s="1232"/>
      <c r="BO355" s="1233"/>
      <c r="BP355" s="860"/>
      <c r="BQ355" s="860"/>
      <c r="BR355" s="860"/>
      <c r="BS355" s="1232"/>
      <c r="BT355" s="1233"/>
      <c r="BU355" s="860"/>
      <c r="BV355" s="860"/>
      <c r="BW355" s="860"/>
      <c r="BX355" s="1232"/>
      <c r="BY355" s="1233"/>
      <c r="BZ355" s="860"/>
      <c r="CA355" s="860"/>
      <c r="CB355" s="860"/>
      <c r="CC355" s="1232"/>
      <c r="CD355" s="1233"/>
      <c r="CE355" s="860"/>
      <c r="CF355" s="860"/>
      <c r="CG355" s="860"/>
      <c r="CH355" s="1232"/>
      <c r="CI355" s="860"/>
      <c r="CJ355" s="860"/>
      <c r="CK355" s="860"/>
      <c r="CL355" s="860"/>
      <c r="CM355" s="860"/>
      <c r="CN355" s="860"/>
      <c r="CO355" s="860"/>
      <c r="CP355" s="860"/>
      <c r="CQ355" s="860"/>
      <c r="CR355" s="860"/>
      <c r="CS355" s="860"/>
      <c r="CT355" s="860"/>
      <c r="CU355" s="860"/>
      <c r="CV355" s="860"/>
      <c r="CW355" s="860"/>
      <c r="CX355" s="860"/>
      <c r="CY355" s="860"/>
      <c r="CZ355" s="860"/>
      <c r="DA355" s="860"/>
      <c r="DB355" s="860"/>
      <c r="DC355" s="860"/>
      <c r="DD355" s="860"/>
      <c r="DE355" s="860"/>
      <c r="DF355" s="860"/>
      <c r="DG355" s="860"/>
      <c r="DH355" s="860"/>
      <c r="DI355" s="860"/>
      <c r="DJ355" s="860"/>
      <c r="DK355" s="860"/>
      <c r="DL355" s="860"/>
      <c r="DM355" s="860"/>
      <c r="DN355" s="860"/>
      <c r="DO355" s="860"/>
      <c r="DP355" s="860"/>
      <c r="DQ355" s="860"/>
      <c r="DR355" s="860"/>
      <c r="DS355" s="860"/>
      <c r="DT355" s="860"/>
      <c r="DU355" s="860"/>
      <c r="DV355" s="860"/>
      <c r="DW355" s="860"/>
      <c r="DX355" s="860"/>
      <c r="DY355" s="860"/>
      <c r="DZ355" s="860"/>
      <c r="EA355" s="860"/>
      <c r="EB355" s="860"/>
      <c r="EC355" s="860"/>
      <c r="ED355" s="860"/>
      <c r="EE355" s="860"/>
      <c r="EF355" s="860"/>
      <c r="EG355" s="860"/>
      <c r="EH355" s="860"/>
      <c r="EI355" s="1233"/>
      <c r="EJ355" s="860"/>
      <c r="EK355" s="860"/>
      <c r="EL355" s="860"/>
      <c r="EM355" s="1232"/>
      <c r="EN355" s="1233"/>
      <c r="EO355" s="860"/>
      <c r="EP355" s="860"/>
      <c r="EQ355" s="860"/>
      <c r="ER355" s="1232"/>
      <c r="ES355" s="860"/>
      <c r="ET355" s="860"/>
      <c r="EU355" s="860"/>
      <c r="EV355" s="860"/>
      <c r="EW355" s="1232"/>
      <c r="EX355" s="860"/>
      <c r="EY355" s="860"/>
      <c r="EZ355" s="860"/>
      <c r="FA355" s="860"/>
      <c r="FB355" s="860"/>
      <c r="FC355" s="860"/>
      <c r="FD355" s="860"/>
      <c r="FE355" s="860"/>
      <c r="FF355" s="860"/>
      <c r="FG355" s="860"/>
      <c r="FH355" s="860"/>
      <c r="FI355" s="860"/>
      <c r="FJ355" s="860"/>
      <c r="FK355" s="860"/>
      <c r="FL355" s="860"/>
      <c r="FM355" s="860"/>
      <c r="FN355" s="860"/>
      <c r="FO355" s="860"/>
      <c r="FP355" s="860"/>
      <c r="FQ355" s="860"/>
      <c r="FR355" s="860"/>
      <c r="FS355" s="860"/>
      <c r="FT355" s="860"/>
      <c r="FU355" s="860"/>
      <c r="FV355" s="860"/>
      <c r="FW355" s="860"/>
      <c r="FX355" s="860"/>
      <c r="FY355" s="860"/>
      <c r="FZ355" s="860"/>
      <c r="GA355" s="860"/>
      <c r="GB355" s="860"/>
      <c r="GC355" s="860"/>
      <c r="GD355" s="860"/>
      <c r="GE355" s="860"/>
      <c r="GF355" s="860"/>
      <c r="GG355" s="860"/>
      <c r="GH355" s="860"/>
      <c r="GI355" s="860"/>
      <c r="GJ355" s="860"/>
      <c r="GK355" s="860"/>
      <c r="GL355" s="860"/>
      <c r="GM355" s="860"/>
      <c r="GN355" s="860"/>
      <c r="GO355" s="860"/>
      <c r="GP355" s="860"/>
      <c r="GQ355" s="860"/>
      <c r="GR355" s="860"/>
      <c r="GS355" s="860"/>
      <c r="GT355" s="860"/>
      <c r="GU355" s="860"/>
      <c r="GV355" s="860"/>
      <c r="GW355" s="860"/>
      <c r="GX355" s="860"/>
      <c r="GY355" s="860"/>
      <c r="GZ355" s="860"/>
      <c r="HA355" s="860"/>
      <c r="HB355" s="860"/>
      <c r="HC355" s="860"/>
      <c r="HE355" s="860"/>
      <c r="HF355" s="860"/>
      <c r="HH355" s="860"/>
      <c r="HI355" s="860"/>
      <c r="HJ355" s="860"/>
      <c r="HL355" s="860"/>
      <c r="HM355" s="860"/>
      <c r="HO355" s="860"/>
      <c r="HP355" s="860"/>
      <c r="HR355" s="860"/>
    </row>
    <row r="356" spans="1:226" hidden="1">
      <c r="A356" s="1317" t="s">
        <v>486</v>
      </c>
      <c r="B356" s="1294"/>
      <c r="C356" s="1294"/>
      <c r="D356" s="1294"/>
      <c r="E356" s="1294"/>
      <c r="F356" s="1294"/>
      <c r="G356" s="1294"/>
      <c r="H356" s="1294"/>
      <c r="I356" s="1320"/>
      <c r="J356" s="1294"/>
      <c r="K356" s="1320"/>
      <c r="L356" s="1320"/>
      <c r="M356" s="1320"/>
      <c r="N356" s="1320"/>
      <c r="O356" s="1320"/>
      <c r="P356" s="1320"/>
      <c r="Q356" s="1320"/>
      <c r="R356" s="1320"/>
      <c r="S356" s="1320"/>
      <c r="T356" s="1320"/>
      <c r="U356" s="1320"/>
      <c r="V356" s="1320"/>
      <c r="W356" s="1320"/>
      <c r="X356" s="1320">
        <f>X344/X305</f>
        <v>0.47710039429784656</v>
      </c>
      <c r="Y356" s="1320">
        <f>Y344/Y305</f>
        <v>0.41423076923076924</v>
      </c>
      <c r="Z356" s="1294"/>
      <c r="AA356" s="860"/>
      <c r="AB356" s="860"/>
      <c r="AC356" s="860"/>
      <c r="AD356" s="860"/>
      <c r="AE356" s="860"/>
      <c r="AF356" s="860"/>
      <c r="AG356" s="860"/>
      <c r="AH356" s="860"/>
      <c r="AI356" s="860"/>
      <c r="AJ356" s="860"/>
      <c r="AK356" s="860"/>
      <c r="AL356" s="860"/>
      <c r="AM356" s="860"/>
      <c r="AN356" s="860"/>
      <c r="AO356" s="860"/>
      <c r="AP356" s="860"/>
      <c r="AQ356" s="860"/>
      <c r="AR356" s="860"/>
      <c r="AS356" s="860"/>
      <c r="AT356" s="860"/>
      <c r="AU356" s="860"/>
      <c r="AV356" s="860"/>
      <c r="AW356" s="860"/>
      <c r="AX356" s="860"/>
      <c r="AY356" s="860"/>
      <c r="AZ356" s="860"/>
      <c r="BA356" s="860"/>
      <c r="BB356" s="860"/>
      <c r="BC356" s="860"/>
      <c r="BD356" s="860"/>
      <c r="BE356" s="1233"/>
      <c r="BF356" s="860"/>
      <c r="BG356" s="860"/>
      <c r="BH356" s="860"/>
      <c r="BI356" s="1232"/>
      <c r="BJ356" s="1233"/>
      <c r="BK356" s="860"/>
      <c r="BL356" s="860"/>
      <c r="BM356" s="860"/>
      <c r="BN356" s="1232"/>
      <c r="BO356" s="1233"/>
      <c r="BP356" s="860"/>
      <c r="BQ356" s="860"/>
      <c r="BR356" s="860"/>
      <c r="BS356" s="1232"/>
      <c r="BT356" s="1233"/>
      <c r="BU356" s="860"/>
      <c r="BV356" s="860"/>
      <c r="BW356" s="860"/>
      <c r="BX356" s="1232"/>
      <c r="BY356" s="1233"/>
      <c r="BZ356" s="860"/>
      <c r="CA356" s="860"/>
      <c r="CB356" s="860"/>
      <c r="CC356" s="1232"/>
      <c r="CD356" s="1233"/>
      <c r="CE356" s="860"/>
      <c r="CF356" s="860"/>
      <c r="CG356" s="860"/>
      <c r="CH356" s="1232"/>
      <c r="CI356" s="860"/>
      <c r="CJ356" s="860"/>
      <c r="CK356" s="860"/>
      <c r="CL356" s="860"/>
      <c r="CM356" s="860"/>
      <c r="CN356" s="860"/>
      <c r="CO356" s="860"/>
      <c r="CP356" s="860"/>
      <c r="CQ356" s="860"/>
      <c r="CR356" s="860"/>
      <c r="CS356" s="860"/>
      <c r="CT356" s="860"/>
      <c r="CU356" s="860"/>
      <c r="CV356" s="860"/>
      <c r="CW356" s="860"/>
      <c r="CX356" s="860"/>
      <c r="CY356" s="860"/>
      <c r="CZ356" s="860"/>
      <c r="DA356" s="860"/>
      <c r="DB356" s="860"/>
      <c r="DC356" s="860"/>
      <c r="DD356" s="860"/>
      <c r="DE356" s="860"/>
      <c r="DF356" s="860"/>
      <c r="DG356" s="860"/>
      <c r="DH356" s="860"/>
      <c r="DI356" s="860"/>
      <c r="DJ356" s="860"/>
      <c r="DK356" s="860"/>
      <c r="DL356" s="860"/>
      <c r="DM356" s="860"/>
      <c r="DN356" s="860"/>
      <c r="DO356" s="860"/>
      <c r="DP356" s="860"/>
      <c r="DQ356" s="860"/>
      <c r="DR356" s="860"/>
      <c r="DS356" s="860"/>
      <c r="DT356" s="860"/>
      <c r="DU356" s="860"/>
      <c r="DV356" s="860"/>
      <c r="DW356" s="860"/>
      <c r="DX356" s="860"/>
      <c r="DY356" s="860"/>
      <c r="DZ356" s="860"/>
      <c r="EA356" s="860"/>
      <c r="EB356" s="860"/>
      <c r="EC356" s="860"/>
      <c r="ED356" s="860"/>
      <c r="EE356" s="860"/>
      <c r="EF356" s="860"/>
      <c r="EG356" s="860"/>
      <c r="EH356" s="860"/>
      <c r="EI356" s="1233"/>
      <c r="EJ356" s="860"/>
      <c r="EK356" s="860"/>
      <c r="EL356" s="860"/>
      <c r="EM356" s="1232"/>
      <c r="EN356" s="1233"/>
      <c r="EO356" s="860"/>
      <c r="EP356" s="860"/>
      <c r="EQ356" s="860"/>
      <c r="ER356" s="1232"/>
      <c r="ES356" s="860"/>
      <c r="ET356" s="860"/>
      <c r="EU356" s="860"/>
      <c r="EV356" s="860"/>
      <c r="EW356" s="1232"/>
      <c r="EX356" s="860"/>
      <c r="EY356" s="860"/>
      <c r="EZ356" s="860"/>
      <c r="FA356" s="860"/>
      <c r="FB356" s="860"/>
      <c r="FC356" s="860"/>
      <c r="FD356" s="860"/>
      <c r="FE356" s="860"/>
      <c r="FF356" s="860"/>
      <c r="FG356" s="860"/>
      <c r="FH356" s="860"/>
      <c r="FI356" s="860"/>
      <c r="FJ356" s="860"/>
      <c r="FK356" s="860"/>
      <c r="FL356" s="860"/>
      <c r="FM356" s="860"/>
      <c r="FN356" s="860"/>
      <c r="FO356" s="860"/>
      <c r="FP356" s="860"/>
      <c r="FQ356" s="860"/>
      <c r="FR356" s="860"/>
      <c r="FS356" s="860"/>
      <c r="FT356" s="860"/>
      <c r="FU356" s="860"/>
      <c r="FV356" s="860"/>
      <c r="FW356" s="860"/>
      <c r="FX356" s="860"/>
      <c r="FY356" s="860"/>
      <c r="FZ356" s="860"/>
      <c r="GA356" s="860"/>
      <c r="GB356" s="860"/>
      <c r="GC356" s="860"/>
      <c r="GD356" s="860"/>
      <c r="GE356" s="860"/>
      <c r="GF356" s="860"/>
      <c r="GG356" s="860"/>
      <c r="GH356" s="860"/>
      <c r="GI356" s="860"/>
      <c r="GJ356" s="860"/>
      <c r="GK356" s="860"/>
      <c r="GL356" s="860"/>
      <c r="GM356" s="860"/>
      <c r="GN356" s="860"/>
      <c r="GO356" s="860"/>
      <c r="GP356" s="860"/>
      <c r="GQ356" s="860"/>
      <c r="GR356" s="860"/>
      <c r="GS356" s="860"/>
      <c r="GT356" s="860"/>
      <c r="GU356" s="860"/>
      <c r="GV356" s="860"/>
      <c r="GW356" s="860"/>
      <c r="GX356" s="860"/>
      <c r="GY356" s="860"/>
      <c r="GZ356" s="860"/>
      <c r="HA356" s="860"/>
      <c r="HB356" s="860"/>
      <c r="HC356" s="860"/>
      <c r="HE356" s="860"/>
      <c r="HF356" s="860"/>
      <c r="HH356" s="860"/>
      <c r="HI356" s="860"/>
      <c r="HJ356" s="860"/>
      <c r="HL356" s="860"/>
      <c r="HM356" s="860"/>
      <c r="HO356" s="860"/>
      <c r="HP356" s="860"/>
      <c r="HR356" s="860"/>
    </row>
    <row r="357" spans="1:226" hidden="1">
      <c r="A357" s="1236" t="str">
        <f>A345</f>
        <v>Total</v>
      </c>
      <c r="B357" s="860"/>
      <c r="C357" s="860"/>
      <c r="D357" s="860"/>
      <c r="E357" s="860"/>
      <c r="F357" s="860"/>
      <c r="G357" s="860"/>
      <c r="H357" s="860"/>
      <c r="I357" s="1217">
        <f>I345/I307</f>
        <v>0.35530399363161025</v>
      </c>
      <c r="J357" s="860"/>
      <c r="K357" s="1217">
        <f t="shared" ref="K357:Y357" si="320">K345/K307</f>
        <v>0.3569089624963438</v>
      </c>
      <c r="L357" s="1217">
        <f t="shared" si="320"/>
        <v>0.36225518061082118</v>
      </c>
      <c r="M357" s="1217">
        <f t="shared" si="320"/>
        <v>0.38397845673730313</v>
      </c>
      <c r="N357" s="1217">
        <f t="shared" si="320"/>
        <v>0.37232178614337197</v>
      </c>
      <c r="O357" s="1217">
        <f t="shared" si="320"/>
        <v>0.39635261283803286</v>
      </c>
      <c r="P357" s="1217">
        <f t="shared" si="320"/>
        <v>0.3790262078623588</v>
      </c>
      <c r="Q357" s="1217">
        <f t="shared" si="320"/>
        <v>0.36284811521787053</v>
      </c>
      <c r="R357" s="1217">
        <f t="shared" si="320"/>
        <v>0.38338301043219081</v>
      </c>
      <c r="S357" s="1217">
        <f t="shared" si="320"/>
        <v>0.33148986463885111</v>
      </c>
      <c r="T357" s="1217">
        <f t="shared" si="320"/>
        <v>0.37262752075919331</v>
      </c>
      <c r="U357" s="1217">
        <f t="shared" si="320"/>
        <v>0.36249161083368409</v>
      </c>
      <c r="V357" s="1217">
        <f t="shared" si="320"/>
        <v>0.36767578125</v>
      </c>
      <c r="W357" s="1217">
        <f t="shared" si="320"/>
        <v>0.39750372806569567</v>
      </c>
      <c r="X357" s="1217">
        <f t="shared" si="320"/>
        <v>0.35949651689948764</v>
      </c>
      <c r="Y357" s="1217">
        <f t="shared" si="320"/>
        <v>0</v>
      </c>
      <c r="Z357" s="860"/>
      <c r="AA357" s="860"/>
      <c r="AB357" s="860"/>
      <c r="AC357" s="860"/>
      <c r="AD357" s="860"/>
      <c r="AE357" s="860"/>
      <c r="AF357" s="860"/>
      <c r="AG357" s="860"/>
      <c r="AH357" s="860"/>
      <c r="AI357" s="860"/>
      <c r="AJ357" s="860"/>
      <c r="AK357" s="860"/>
      <c r="AL357" s="860"/>
      <c r="AM357" s="860"/>
      <c r="AN357" s="860"/>
      <c r="AO357" s="860"/>
      <c r="AP357" s="860"/>
      <c r="AQ357" s="860"/>
      <c r="AR357" s="860"/>
      <c r="AS357" s="860"/>
      <c r="AT357" s="860"/>
      <c r="AU357" s="860"/>
      <c r="AV357" s="860"/>
      <c r="AW357" s="860"/>
      <c r="AX357" s="860"/>
      <c r="AY357" s="860"/>
      <c r="AZ357" s="860"/>
      <c r="BA357" s="860"/>
      <c r="BB357" s="860"/>
      <c r="BC357" s="860"/>
      <c r="BD357" s="860"/>
      <c r="BE357" s="1233"/>
      <c r="BF357" s="860"/>
      <c r="BG357" s="860"/>
      <c r="BH357" s="860"/>
      <c r="BI357" s="1232"/>
      <c r="BJ357" s="1233"/>
      <c r="BK357" s="860"/>
      <c r="BL357" s="860"/>
      <c r="BM357" s="860"/>
      <c r="BN357" s="1232"/>
      <c r="BO357" s="1233"/>
      <c r="BP357" s="860"/>
      <c r="BQ357" s="860"/>
      <c r="BR357" s="860"/>
      <c r="BS357" s="1232"/>
      <c r="BT357" s="1233"/>
      <c r="BU357" s="860"/>
      <c r="BV357" s="860"/>
      <c r="BW357" s="860"/>
      <c r="BX357" s="1232"/>
      <c r="BY357" s="1233"/>
      <c r="BZ357" s="860"/>
      <c r="CA357" s="860"/>
      <c r="CB357" s="860"/>
      <c r="CC357" s="1232"/>
      <c r="CD357" s="1233"/>
      <c r="CE357" s="860"/>
      <c r="CF357" s="860"/>
      <c r="CG357" s="860"/>
      <c r="CH357" s="1232"/>
      <c r="CI357" s="860"/>
      <c r="CJ357" s="860"/>
      <c r="CK357" s="860"/>
      <c r="CL357" s="860"/>
      <c r="CM357" s="860"/>
      <c r="CN357" s="860"/>
      <c r="CO357" s="860"/>
      <c r="CP357" s="860"/>
      <c r="CQ357" s="860"/>
      <c r="CR357" s="860"/>
      <c r="CS357" s="860"/>
      <c r="CT357" s="860"/>
      <c r="CU357" s="860"/>
      <c r="CV357" s="860"/>
      <c r="CW357" s="860"/>
      <c r="CX357" s="860"/>
      <c r="CY357" s="860"/>
      <c r="CZ357" s="860"/>
      <c r="DA357" s="860"/>
      <c r="DB357" s="860"/>
      <c r="DC357" s="860"/>
      <c r="DD357" s="860"/>
      <c r="DE357" s="860"/>
      <c r="DF357" s="860"/>
      <c r="DG357" s="860"/>
      <c r="DH357" s="860"/>
      <c r="DI357" s="860"/>
      <c r="DJ357" s="860"/>
      <c r="DK357" s="860"/>
      <c r="DL357" s="860"/>
      <c r="DM357" s="860"/>
      <c r="DN357" s="860"/>
      <c r="DO357" s="860"/>
      <c r="DP357" s="860"/>
      <c r="DQ357" s="860"/>
      <c r="DR357" s="860"/>
      <c r="DS357" s="860"/>
      <c r="DT357" s="860"/>
      <c r="DU357" s="860"/>
      <c r="DV357" s="860"/>
      <c r="DW357" s="860"/>
      <c r="DX357" s="860"/>
      <c r="DY357" s="860"/>
      <c r="DZ357" s="860"/>
      <c r="EA357" s="860"/>
      <c r="EB357" s="860"/>
      <c r="EC357" s="860"/>
      <c r="ED357" s="860"/>
      <c r="EE357" s="860"/>
      <c r="EF357" s="860"/>
      <c r="EG357" s="860"/>
      <c r="EH357" s="860"/>
      <c r="EI357" s="1233"/>
      <c r="EJ357" s="860"/>
      <c r="EK357" s="860"/>
      <c r="EL357" s="860"/>
      <c r="EM357" s="1232"/>
      <c r="EN357" s="1233"/>
      <c r="EO357" s="860"/>
      <c r="EP357" s="860"/>
      <c r="EQ357" s="860"/>
      <c r="ER357" s="1232"/>
      <c r="ES357" s="860"/>
      <c r="ET357" s="860"/>
      <c r="EU357" s="860"/>
      <c r="EV357" s="860"/>
      <c r="EW357" s="1232"/>
      <c r="EX357" s="860"/>
      <c r="EY357" s="860"/>
      <c r="EZ357" s="860"/>
      <c r="FA357" s="860"/>
      <c r="FB357" s="860"/>
      <c r="FC357" s="860"/>
      <c r="FD357" s="860"/>
      <c r="FE357" s="860"/>
      <c r="FF357" s="860"/>
      <c r="FG357" s="860"/>
      <c r="FH357" s="860"/>
      <c r="FI357" s="860"/>
      <c r="FJ357" s="860"/>
      <c r="FK357" s="860"/>
      <c r="FL357" s="860"/>
      <c r="FM357" s="860"/>
      <c r="FN357" s="860"/>
      <c r="FO357" s="860"/>
      <c r="FP357" s="860"/>
      <c r="FQ357" s="860"/>
      <c r="FR357" s="860"/>
      <c r="FS357" s="860"/>
      <c r="FT357" s="860"/>
      <c r="FU357" s="860"/>
      <c r="FV357" s="860"/>
      <c r="FW357" s="860"/>
      <c r="FX357" s="860"/>
      <c r="FY357" s="860"/>
      <c r="FZ357" s="860"/>
      <c r="GA357" s="860"/>
      <c r="GB357" s="860"/>
      <c r="GC357" s="860"/>
      <c r="GD357" s="860"/>
      <c r="GE357" s="860"/>
      <c r="GF357" s="860"/>
      <c r="GG357" s="860"/>
      <c r="GH357" s="860"/>
      <c r="GI357" s="860"/>
      <c r="GJ357" s="860"/>
      <c r="GK357" s="860"/>
      <c r="GL357" s="860"/>
      <c r="GM357" s="860"/>
      <c r="GN357" s="860"/>
      <c r="GO357" s="860"/>
      <c r="GP357" s="860"/>
      <c r="GQ357" s="860"/>
      <c r="GR357" s="860"/>
      <c r="GS357" s="860"/>
      <c r="GT357" s="860"/>
      <c r="GU357" s="860"/>
      <c r="GV357" s="860"/>
      <c r="GW357" s="860"/>
      <c r="GX357" s="860"/>
      <c r="GY357" s="860"/>
      <c r="GZ357" s="860"/>
      <c r="HA357" s="860"/>
      <c r="HB357" s="860"/>
      <c r="HC357" s="860"/>
      <c r="HE357" s="860"/>
      <c r="HF357" s="860"/>
      <c r="HH357" s="860"/>
      <c r="HI357" s="860"/>
      <c r="HJ357" s="860"/>
      <c r="HL357" s="860"/>
      <c r="HM357" s="860"/>
      <c r="HO357" s="860"/>
      <c r="HP357" s="860"/>
      <c r="HR357" s="860"/>
    </row>
    <row r="358" spans="1:226" hidden="1">
      <c r="A358" s="1132"/>
      <c r="B358" s="860"/>
      <c r="C358" s="860"/>
      <c r="D358" s="860"/>
      <c r="E358" s="860"/>
      <c r="F358" s="860"/>
      <c r="G358" s="860"/>
      <c r="H358" s="860"/>
      <c r="I358" s="1217"/>
      <c r="J358" s="860"/>
      <c r="K358" s="1217"/>
      <c r="L358" s="1217"/>
      <c r="M358" s="1217"/>
      <c r="N358" s="1217"/>
      <c r="O358" s="1217"/>
      <c r="P358" s="1217"/>
      <c r="Q358" s="1217"/>
      <c r="R358" s="1217"/>
      <c r="S358" s="1217"/>
      <c r="T358" s="1217"/>
      <c r="U358" s="1217"/>
      <c r="V358" s="1217"/>
      <c r="W358" s="1217"/>
      <c r="X358" s="1217"/>
      <c r="Y358" s="1217"/>
      <c r="Z358" s="860"/>
      <c r="AA358" s="860"/>
      <c r="AB358" s="860"/>
      <c r="AC358" s="860"/>
      <c r="AD358" s="860"/>
      <c r="AE358" s="860"/>
      <c r="AF358" s="860"/>
      <c r="AG358" s="860"/>
      <c r="AH358" s="860"/>
      <c r="AI358" s="860"/>
      <c r="AJ358" s="860"/>
      <c r="AK358" s="860"/>
      <c r="AL358" s="860"/>
      <c r="AM358" s="860"/>
      <c r="AN358" s="860"/>
      <c r="AO358" s="860"/>
      <c r="AP358" s="860"/>
      <c r="AQ358" s="860"/>
      <c r="AR358" s="860"/>
      <c r="AS358" s="860"/>
      <c r="AT358" s="860"/>
      <c r="AU358" s="860"/>
      <c r="AV358" s="860"/>
      <c r="AW358" s="860"/>
      <c r="AX358" s="860"/>
      <c r="AY358" s="860"/>
      <c r="AZ358" s="860"/>
      <c r="BA358" s="860"/>
      <c r="BB358" s="860"/>
      <c r="BC358" s="860"/>
      <c r="BD358" s="860"/>
      <c r="BE358" s="1233"/>
      <c r="BF358" s="860"/>
      <c r="BG358" s="860"/>
      <c r="BH358" s="860"/>
      <c r="BI358" s="1232"/>
      <c r="BJ358" s="1233"/>
      <c r="BK358" s="860"/>
      <c r="BL358" s="860"/>
      <c r="BM358" s="860"/>
      <c r="BN358" s="1232"/>
      <c r="BO358" s="1233"/>
      <c r="BP358" s="860"/>
      <c r="BQ358" s="860"/>
      <c r="BR358" s="860"/>
      <c r="BS358" s="1232"/>
      <c r="BT358" s="1233"/>
      <c r="BU358" s="860"/>
      <c r="BV358" s="860"/>
      <c r="BW358" s="860"/>
      <c r="BX358" s="1232"/>
      <c r="BY358" s="1233"/>
      <c r="BZ358" s="860"/>
      <c r="CA358" s="860"/>
      <c r="CB358" s="860"/>
      <c r="CC358" s="1232"/>
      <c r="CD358" s="1233"/>
      <c r="CE358" s="860"/>
      <c r="CF358" s="860"/>
      <c r="CG358" s="860"/>
      <c r="CH358" s="1232"/>
      <c r="CI358" s="860"/>
      <c r="CJ358" s="860"/>
      <c r="CK358" s="860"/>
      <c r="CL358" s="860"/>
      <c r="CM358" s="860"/>
      <c r="CN358" s="860"/>
      <c r="CO358" s="860"/>
      <c r="CP358" s="860"/>
      <c r="CQ358" s="860"/>
      <c r="CR358" s="860"/>
      <c r="CS358" s="860"/>
      <c r="CT358" s="860"/>
      <c r="CU358" s="860"/>
      <c r="CV358" s="860"/>
      <c r="CW358" s="860"/>
      <c r="CX358" s="860"/>
      <c r="CY358" s="860"/>
      <c r="CZ358" s="860"/>
      <c r="DA358" s="860"/>
      <c r="DB358" s="860"/>
      <c r="DC358" s="860"/>
      <c r="DD358" s="860"/>
      <c r="DE358" s="860"/>
      <c r="DF358" s="860"/>
      <c r="DG358" s="860"/>
      <c r="DH358" s="860"/>
      <c r="DI358" s="860"/>
      <c r="DJ358" s="860"/>
      <c r="DK358" s="860"/>
      <c r="DL358" s="860"/>
      <c r="DM358" s="860"/>
      <c r="DN358" s="860"/>
      <c r="DO358" s="860"/>
      <c r="DP358" s="860"/>
      <c r="DQ358" s="860"/>
      <c r="DR358" s="860"/>
      <c r="DS358" s="860"/>
      <c r="DT358" s="860"/>
      <c r="DU358" s="860"/>
      <c r="DV358" s="860"/>
      <c r="DW358" s="860"/>
      <c r="DX358" s="860"/>
      <c r="DY358" s="860"/>
      <c r="DZ358" s="860"/>
      <c r="EA358" s="860"/>
      <c r="EB358" s="860"/>
      <c r="EC358" s="860"/>
      <c r="ED358" s="860"/>
      <c r="EE358" s="860"/>
      <c r="EF358" s="860"/>
      <c r="EG358" s="860"/>
      <c r="EH358" s="860"/>
      <c r="EI358" s="1233"/>
      <c r="EJ358" s="860"/>
      <c r="EK358" s="860"/>
      <c r="EL358" s="860"/>
      <c r="EM358" s="1232"/>
      <c r="EN358" s="1233"/>
      <c r="EO358" s="860"/>
      <c r="EP358" s="860"/>
      <c r="EQ358" s="860"/>
      <c r="ER358" s="1232"/>
      <c r="ES358" s="860"/>
      <c r="ET358" s="860"/>
      <c r="EU358" s="860"/>
      <c r="EV358" s="860"/>
      <c r="EW358" s="1232"/>
      <c r="EX358" s="860"/>
      <c r="EY358" s="860"/>
      <c r="EZ358" s="860"/>
      <c r="FA358" s="860"/>
      <c r="FB358" s="860"/>
      <c r="FC358" s="860"/>
      <c r="FD358" s="860"/>
      <c r="FE358" s="860"/>
      <c r="FF358" s="860"/>
      <c r="FG358" s="860"/>
      <c r="FH358" s="860"/>
      <c r="FI358" s="860"/>
      <c r="FJ358" s="860"/>
      <c r="FK358" s="860"/>
      <c r="FL358" s="860"/>
      <c r="FM358" s="860"/>
      <c r="FN358" s="860"/>
      <c r="FO358" s="860"/>
      <c r="FP358" s="860"/>
      <c r="FQ358" s="860"/>
      <c r="FR358" s="860"/>
      <c r="FS358" s="860"/>
      <c r="FT358" s="860"/>
      <c r="FU358" s="860"/>
      <c r="FV358" s="860"/>
      <c r="FW358" s="860"/>
      <c r="FX358" s="860"/>
      <c r="FY358" s="860"/>
      <c r="FZ358" s="860"/>
      <c r="GA358" s="860"/>
      <c r="GB358" s="860"/>
      <c r="GC358" s="860"/>
      <c r="GD358" s="860"/>
      <c r="GE358" s="860"/>
      <c r="GF358" s="860"/>
      <c r="GG358" s="860"/>
      <c r="GH358" s="860"/>
      <c r="GI358" s="860"/>
      <c r="GJ358" s="860"/>
      <c r="GK358" s="860"/>
      <c r="GL358" s="860"/>
      <c r="GM358" s="860"/>
      <c r="GN358" s="860"/>
      <c r="GO358" s="860"/>
      <c r="GP358" s="860"/>
      <c r="GQ358" s="860"/>
      <c r="GR358" s="860"/>
      <c r="GS358" s="860"/>
      <c r="GT358" s="860"/>
      <c r="GU358" s="860"/>
      <c r="GV358" s="860"/>
      <c r="GW358" s="860"/>
      <c r="GX358" s="860"/>
      <c r="GY358" s="860"/>
      <c r="GZ358" s="860"/>
      <c r="HA358" s="860"/>
      <c r="HB358" s="860"/>
      <c r="HC358" s="860"/>
      <c r="HE358" s="860"/>
      <c r="HF358" s="860"/>
      <c r="HH358" s="860"/>
      <c r="HI358" s="860"/>
      <c r="HJ358" s="860"/>
      <c r="HL358" s="860"/>
      <c r="HM358" s="860"/>
      <c r="HO358" s="860"/>
      <c r="HP358" s="860"/>
      <c r="HR358" s="860"/>
    </row>
    <row r="359" spans="1:226" hidden="1">
      <c r="A359" s="1141" t="s">
        <v>843</v>
      </c>
      <c r="B359" s="1294"/>
      <c r="C359" s="1294"/>
      <c r="D359" s="1294"/>
      <c r="E359" s="1294"/>
      <c r="F359" s="1294"/>
      <c r="G359" s="1294"/>
      <c r="H359" s="1294"/>
      <c r="I359" s="1320"/>
      <c r="J359" s="1294"/>
      <c r="K359" s="1320"/>
      <c r="L359" s="1320"/>
      <c r="M359" s="1320"/>
      <c r="N359" s="1320"/>
      <c r="O359" s="1320"/>
      <c r="P359" s="1320"/>
      <c r="Q359" s="1320" t="e">
        <f>Q349/Q313</f>
        <v>#DIV/0!</v>
      </c>
      <c r="R359" s="1320" t="e">
        <f>R349/R313</f>
        <v>#DIV/0!</v>
      </c>
      <c r="S359" s="1320" t="e">
        <f>S349/S313</f>
        <v>#DIV/0!</v>
      </c>
      <c r="T359" s="1320" t="e">
        <f>T349/T313</f>
        <v>#DIV/0!</v>
      </c>
      <c r="U359" s="1320"/>
      <c r="V359" s="1320" t="e">
        <f>V349/V313</f>
        <v>#DIV/0!</v>
      </c>
      <c r="W359" s="1320" t="e">
        <f>W349/W313</f>
        <v>#DIV/0!</v>
      </c>
      <c r="X359" s="1320">
        <f>X349/X313</f>
        <v>0.72594508555511339</v>
      </c>
      <c r="Y359" s="1320">
        <f>Y349/Y313</f>
        <v>0.80073671965878246</v>
      </c>
      <c r="Z359" s="1294"/>
      <c r="AA359" s="1294"/>
      <c r="AB359" s="1294"/>
      <c r="AC359" s="1294"/>
      <c r="AD359" s="1294"/>
      <c r="AE359" s="1294"/>
      <c r="AF359" s="1294"/>
      <c r="AG359" s="1294"/>
      <c r="AH359" s="1294"/>
      <c r="AI359" s="1294"/>
      <c r="AJ359" s="1294"/>
      <c r="AK359" s="1294"/>
      <c r="AL359" s="1294"/>
      <c r="AM359" s="1294"/>
      <c r="AN359" s="1294"/>
      <c r="AO359" s="1294"/>
      <c r="AP359" s="1294"/>
      <c r="AQ359" s="1294"/>
      <c r="AR359" s="1294"/>
      <c r="AS359" s="1294"/>
      <c r="AT359" s="1294"/>
      <c r="AU359" s="1294"/>
      <c r="AV359" s="1294"/>
      <c r="AW359" s="1294"/>
      <c r="AX359" s="1294"/>
      <c r="AY359" s="1294"/>
      <c r="AZ359" s="1294"/>
      <c r="BA359" s="1294"/>
      <c r="BB359" s="1294"/>
      <c r="BC359" s="1294"/>
      <c r="BD359" s="1294"/>
      <c r="BE359" s="1354"/>
      <c r="BF359" s="1294"/>
      <c r="BG359" s="1294"/>
      <c r="BH359" s="1294"/>
      <c r="BI359" s="1269"/>
      <c r="BJ359" s="1354"/>
      <c r="BK359" s="1294"/>
      <c r="BL359" s="1294"/>
      <c r="BM359" s="1294"/>
      <c r="BN359" s="1269"/>
      <c r="BO359" s="1354"/>
      <c r="BP359" s="1294"/>
      <c r="BQ359" s="1294"/>
      <c r="BR359" s="1294"/>
      <c r="BS359" s="1269"/>
      <c r="BT359" s="1354"/>
      <c r="BU359" s="1294"/>
      <c r="BV359" s="1294"/>
      <c r="BW359" s="1294"/>
      <c r="BX359" s="1269"/>
      <c r="BY359" s="1354"/>
      <c r="BZ359" s="1294"/>
      <c r="CA359" s="1294"/>
      <c r="CB359" s="1294"/>
      <c r="CC359" s="1269"/>
      <c r="CD359" s="1354"/>
      <c r="CE359" s="1294"/>
      <c r="CF359" s="1294"/>
      <c r="CG359" s="1294"/>
      <c r="CH359" s="1269"/>
      <c r="CI359" s="860"/>
      <c r="CJ359" s="860"/>
      <c r="CK359" s="860"/>
      <c r="CL359" s="860"/>
      <c r="CM359" s="860"/>
      <c r="CN359" s="860"/>
      <c r="CO359" s="860"/>
      <c r="CP359" s="860"/>
      <c r="CQ359" s="860"/>
      <c r="CR359" s="860"/>
      <c r="CS359" s="860"/>
      <c r="CT359" s="860"/>
      <c r="CU359" s="860"/>
      <c r="CV359" s="860"/>
      <c r="CW359" s="860"/>
      <c r="CX359" s="860"/>
      <c r="CY359" s="860"/>
      <c r="CZ359" s="860"/>
      <c r="DA359" s="860"/>
      <c r="DB359" s="860"/>
      <c r="DC359" s="860"/>
      <c r="DD359" s="860"/>
      <c r="DE359" s="860"/>
      <c r="DF359" s="860"/>
      <c r="DG359" s="860"/>
      <c r="DH359" s="860"/>
      <c r="DI359" s="860"/>
      <c r="DJ359" s="860"/>
      <c r="DK359" s="860"/>
      <c r="DL359" s="860"/>
      <c r="DM359" s="860"/>
      <c r="DN359" s="860"/>
      <c r="DO359" s="860"/>
      <c r="DP359" s="860"/>
      <c r="DQ359" s="860"/>
      <c r="DR359" s="860"/>
      <c r="DS359" s="860"/>
      <c r="DT359" s="860"/>
      <c r="DU359" s="860"/>
      <c r="DV359" s="860"/>
      <c r="DW359" s="860"/>
      <c r="DX359" s="860"/>
      <c r="DY359" s="860"/>
      <c r="DZ359" s="860"/>
      <c r="EA359" s="860"/>
      <c r="EB359" s="860"/>
      <c r="EC359" s="860"/>
      <c r="ED359" s="860"/>
      <c r="EE359" s="860"/>
      <c r="EF359" s="860"/>
      <c r="EG359" s="860"/>
      <c r="EH359" s="860"/>
      <c r="EI359" s="1354"/>
      <c r="EJ359" s="1294"/>
      <c r="EK359" s="1294"/>
      <c r="EL359" s="1294"/>
      <c r="EM359" s="1269"/>
      <c r="EN359" s="1354"/>
      <c r="EO359" s="1294"/>
      <c r="EP359" s="1294"/>
      <c r="EQ359" s="1294"/>
      <c r="ER359" s="1269"/>
      <c r="ES359" s="1294"/>
      <c r="ET359" s="1294"/>
      <c r="EU359" s="1294"/>
      <c r="EV359" s="1294"/>
      <c r="EW359" s="1269"/>
      <c r="EX359" s="1294"/>
      <c r="EY359" s="1294"/>
      <c r="EZ359" s="1294"/>
      <c r="FA359" s="1294"/>
      <c r="FB359" s="860"/>
      <c r="FC359" s="1294"/>
      <c r="FD359" s="860"/>
      <c r="FE359" s="860"/>
      <c r="FF359" s="860"/>
      <c r="FG359" s="860"/>
      <c r="FH359" s="860"/>
      <c r="FI359" s="860"/>
      <c r="FJ359" s="860"/>
      <c r="FK359" s="860"/>
      <c r="FL359" s="860"/>
      <c r="FM359" s="860"/>
      <c r="FN359" s="860"/>
      <c r="FO359" s="860"/>
      <c r="FP359" s="860"/>
      <c r="FQ359" s="860"/>
      <c r="FR359" s="860"/>
      <c r="FS359" s="860"/>
      <c r="FT359" s="860"/>
      <c r="FU359" s="860"/>
      <c r="FV359" s="860"/>
      <c r="FW359" s="860"/>
      <c r="FX359" s="860"/>
      <c r="FY359" s="860"/>
      <c r="FZ359" s="860"/>
      <c r="GA359" s="860"/>
      <c r="GB359" s="860"/>
      <c r="GC359" s="860"/>
      <c r="GD359" s="860"/>
      <c r="GE359" s="860"/>
      <c r="GF359" s="860"/>
      <c r="GG359" s="860"/>
      <c r="GH359" s="860"/>
      <c r="GI359" s="860"/>
      <c r="GJ359" s="860"/>
      <c r="GK359" s="860"/>
      <c r="GL359" s="860"/>
      <c r="GM359" s="860"/>
      <c r="GN359" s="860"/>
      <c r="GO359" s="860"/>
      <c r="GP359" s="860"/>
      <c r="GQ359" s="860"/>
      <c r="GR359" s="860"/>
      <c r="GS359" s="860"/>
      <c r="GT359" s="860"/>
      <c r="GU359" s="860"/>
      <c r="GV359" s="860"/>
      <c r="GW359" s="860"/>
      <c r="GX359" s="860"/>
      <c r="GY359" s="860"/>
      <c r="GZ359" s="860"/>
      <c r="HA359" s="860"/>
      <c r="HB359" s="860"/>
      <c r="HC359" s="860"/>
      <c r="HE359" s="860"/>
      <c r="HF359" s="860"/>
      <c r="HH359" s="860"/>
      <c r="HI359" s="1294"/>
      <c r="HJ359" s="1294"/>
      <c r="HL359" s="1294"/>
      <c r="HM359" s="1294"/>
      <c r="HO359" s="1294"/>
      <c r="HP359" s="860"/>
      <c r="HR359" s="860"/>
    </row>
    <row r="360" spans="1:226">
      <c r="A360" s="860"/>
      <c r="B360" s="860"/>
      <c r="C360" s="860"/>
      <c r="D360" s="860"/>
      <c r="E360" s="860"/>
      <c r="F360" s="860"/>
      <c r="G360" s="860"/>
      <c r="H360" s="860"/>
      <c r="I360" s="860"/>
      <c r="J360" s="860"/>
      <c r="K360" s="860"/>
      <c r="L360" s="860"/>
      <c r="M360" s="860"/>
      <c r="N360" s="860"/>
      <c r="O360" s="860"/>
      <c r="P360" s="860"/>
      <c r="Q360" s="860"/>
      <c r="R360" s="860"/>
      <c r="S360" s="860"/>
      <c r="T360" s="860"/>
      <c r="U360" s="860"/>
      <c r="V360" s="860"/>
      <c r="W360" s="860"/>
      <c r="X360" s="860"/>
      <c r="Y360" s="860"/>
      <c r="Z360" s="860"/>
      <c r="AA360" s="860"/>
      <c r="AB360" s="860"/>
      <c r="AC360" s="860"/>
      <c r="AD360" s="860"/>
      <c r="AE360" s="860"/>
      <c r="AF360" s="860"/>
      <c r="AG360" s="860"/>
      <c r="AH360" s="860"/>
      <c r="AI360" s="860"/>
      <c r="AJ360" s="860"/>
      <c r="AK360" s="860"/>
      <c r="AL360" s="860"/>
      <c r="AM360" s="860"/>
      <c r="AN360" s="860"/>
      <c r="AO360" s="860"/>
      <c r="AP360" s="860"/>
      <c r="AQ360" s="860"/>
      <c r="AR360" s="860"/>
      <c r="AS360" s="860"/>
      <c r="AT360" s="860"/>
      <c r="AU360" s="860"/>
      <c r="AV360" s="860"/>
      <c r="AW360" s="860"/>
      <c r="AX360" s="860"/>
      <c r="AY360" s="860"/>
      <c r="AZ360" s="860"/>
      <c r="BA360" s="860"/>
      <c r="BB360" s="860"/>
      <c r="BC360" s="860"/>
      <c r="BD360" s="860"/>
      <c r="BE360" s="860"/>
      <c r="BF360" s="860"/>
      <c r="BG360" s="860"/>
      <c r="BH360" s="860"/>
      <c r="BI360" s="860"/>
      <c r="BJ360" s="860"/>
      <c r="BK360" s="860"/>
      <c r="BL360" s="860"/>
      <c r="BM360" s="860"/>
      <c r="BN360" s="860"/>
      <c r="BO360" s="860"/>
      <c r="BP360" s="860"/>
      <c r="BQ360" s="860"/>
      <c r="BR360" s="860"/>
      <c r="BS360" s="860"/>
      <c r="BT360" s="860"/>
      <c r="BU360" s="860"/>
      <c r="BV360" s="860"/>
      <c r="BW360" s="860"/>
      <c r="BX360" s="860"/>
      <c r="BY360" s="860"/>
      <c r="BZ360" s="860"/>
      <c r="CA360" s="860"/>
      <c r="CB360" s="860"/>
      <c r="CC360" s="860"/>
      <c r="CD360" s="860"/>
      <c r="CE360" s="860"/>
      <c r="CF360" s="860"/>
      <c r="CG360" s="860"/>
      <c r="CH360" s="860"/>
      <c r="CI360" s="860"/>
      <c r="CJ360" s="860"/>
      <c r="CK360" s="860"/>
      <c r="CL360" s="860"/>
      <c r="CM360" s="860"/>
      <c r="CN360" s="860"/>
      <c r="CO360" s="860"/>
      <c r="CP360" s="860"/>
      <c r="CQ360" s="860"/>
      <c r="CR360" s="860"/>
      <c r="CS360" s="860"/>
      <c r="CT360" s="860"/>
      <c r="CU360" s="860"/>
      <c r="CV360" s="860"/>
      <c r="CW360" s="860"/>
      <c r="CX360" s="860"/>
      <c r="CY360" s="860"/>
      <c r="CZ360" s="860"/>
      <c r="DA360" s="860"/>
      <c r="DB360" s="860"/>
      <c r="DC360" s="860"/>
      <c r="DD360" s="860"/>
      <c r="DE360" s="860"/>
      <c r="DF360" s="860"/>
      <c r="DG360" s="860"/>
      <c r="DH360" s="860"/>
      <c r="DI360" s="860"/>
      <c r="DJ360" s="860"/>
      <c r="DK360" s="860"/>
      <c r="DL360" s="860"/>
      <c r="DM360" s="860"/>
      <c r="DN360" s="860"/>
      <c r="DO360" s="860"/>
      <c r="DP360" s="860"/>
      <c r="DQ360" s="860"/>
      <c r="DR360" s="860"/>
      <c r="DS360" s="860"/>
      <c r="DT360" s="860"/>
      <c r="DU360" s="860"/>
      <c r="DV360" s="860"/>
      <c r="DW360" s="860"/>
      <c r="DX360" s="860"/>
      <c r="DY360" s="860"/>
      <c r="DZ360" s="860"/>
      <c r="EA360" s="860"/>
      <c r="EB360" s="860"/>
      <c r="EC360" s="860"/>
      <c r="ED360" s="860"/>
      <c r="EE360" s="860"/>
      <c r="EF360" s="860"/>
      <c r="EG360" s="860"/>
      <c r="EH360" s="860"/>
      <c r="EI360" s="860"/>
      <c r="EJ360" s="860"/>
      <c r="EK360" s="860"/>
      <c r="EL360" s="860"/>
      <c r="EM360" s="860"/>
      <c r="EN360" s="860"/>
      <c r="EO360" s="860"/>
      <c r="EP360" s="860"/>
      <c r="EQ360" s="860"/>
      <c r="ER360" s="860"/>
      <c r="ES360" s="860"/>
      <c r="ET360" s="860"/>
      <c r="EU360" s="860"/>
      <c r="EV360" s="860"/>
      <c r="EW360" s="860"/>
      <c r="EX360" s="860"/>
      <c r="EY360" s="860"/>
      <c r="EZ360" s="860"/>
      <c r="FA360" s="860"/>
      <c r="FB360" s="860"/>
      <c r="FC360" s="860"/>
      <c r="FD360" s="860"/>
      <c r="FE360" s="860"/>
      <c r="FF360" s="860"/>
      <c r="FG360" s="860"/>
      <c r="FH360" s="860"/>
      <c r="FI360" s="860"/>
      <c r="FJ360" s="860"/>
      <c r="FK360" s="860"/>
      <c r="FL360" s="860"/>
      <c r="FM360" s="860"/>
      <c r="FN360" s="860"/>
      <c r="FO360" s="860"/>
      <c r="FP360" s="860"/>
      <c r="FQ360" s="860"/>
      <c r="FR360" s="860"/>
      <c r="FS360" s="860"/>
      <c r="FT360" s="860"/>
      <c r="FU360" s="860"/>
      <c r="FV360" s="860"/>
      <c r="FW360" s="860"/>
      <c r="FX360" s="860"/>
      <c r="FY360" s="860"/>
      <c r="FZ360" s="860"/>
      <c r="GA360" s="860"/>
      <c r="GB360" s="860"/>
      <c r="GC360" s="860"/>
      <c r="GD360" s="860"/>
      <c r="GE360" s="860"/>
      <c r="GF360" s="860"/>
      <c r="GG360" s="860"/>
      <c r="GH360" s="860"/>
      <c r="GI360" s="860"/>
      <c r="GJ360" s="860"/>
      <c r="GK360" s="860"/>
      <c r="GL360" s="860"/>
      <c r="GM360" s="860"/>
      <c r="GN360" s="860"/>
      <c r="GO360" s="860"/>
      <c r="GP360" s="860"/>
      <c r="GQ360" s="860"/>
      <c r="GR360" s="860"/>
      <c r="GS360" s="860"/>
      <c r="GT360" s="860"/>
      <c r="GU360" s="860"/>
      <c r="GV360" s="860"/>
      <c r="GW360" s="860"/>
      <c r="GX360" s="860"/>
      <c r="GY360" s="860"/>
      <c r="GZ360" s="860"/>
      <c r="HA360" s="860"/>
      <c r="HB360" s="860"/>
      <c r="HC360" s="860"/>
      <c r="HE360" s="860"/>
      <c r="HF360" s="860"/>
      <c r="HH360" s="860"/>
      <c r="HI360" s="860"/>
      <c r="HJ360" s="860"/>
      <c r="HL360" s="860"/>
      <c r="HM360" s="860"/>
      <c r="HO360" s="860"/>
      <c r="HP360" s="860"/>
      <c r="HR360" s="860"/>
    </row>
    <row r="361" spans="1:226">
      <c r="A361" s="860"/>
      <c r="B361" s="860"/>
      <c r="C361" s="860"/>
      <c r="D361" s="860"/>
      <c r="E361" s="860"/>
      <c r="F361" s="860"/>
      <c r="G361" s="860"/>
      <c r="H361" s="860"/>
      <c r="I361" s="860"/>
      <c r="J361" s="860"/>
      <c r="K361" s="860"/>
      <c r="L361" s="860"/>
      <c r="M361" s="860"/>
      <c r="N361" s="860"/>
      <c r="O361" s="860"/>
      <c r="P361" s="860"/>
      <c r="Q361" s="860"/>
      <c r="R361" s="860"/>
      <c r="S361" s="860"/>
      <c r="T361" s="860"/>
      <c r="U361" s="860"/>
      <c r="V361" s="860"/>
      <c r="W361" s="860"/>
      <c r="X361" s="860"/>
      <c r="Y361" s="860"/>
      <c r="Z361" s="860"/>
      <c r="AA361" s="860"/>
      <c r="AB361" s="860"/>
      <c r="AC361" s="860"/>
      <c r="AD361" s="860"/>
      <c r="AE361" s="860"/>
      <c r="AF361" s="860"/>
      <c r="AG361" s="860"/>
      <c r="AH361" s="860"/>
      <c r="AI361" s="860"/>
      <c r="AJ361" s="860"/>
      <c r="AK361" s="860"/>
      <c r="AL361" s="860"/>
      <c r="AM361" s="860"/>
      <c r="AN361" s="860"/>
      <c r="AO361" s="860"/>
      <c r="AP361" s="860"/>
      <c r="AQ361" s="860"/>
      <c r="AR361" s="860"/>
      <c r="AS361" s="860"/>
      <c r="AT361" s="860"/>
      <c r="AU361" s="860"/>
      <c r="AV361" s="860"/>
      <c r="AW361" s="860"/>
      <c r="AX361" s="860"/>
      <c r="AY361" s="860"/>
      <c r="AZ361" s="860"/>
      <c r="BA361" s="860"/>
      <c r="BB361" s="860"/>
      <c r="BC361" s="860"/>
      <c r="BD361" s="860"/>
      <c r="BE361" s="860"/>
      <c r="BF361" s="860"/>
      <c r="BG361" s="860"/>
      <c r="BH361" s="860"/>
      <c r="BI361" s="860"/>
      <c r="BJ361" s="860"/>
      <c r="BK361" s="860"/>
      <c r="BL361" s="860"/>
      <c r="BM361" s="860"/>
      <c r="BN361" s="860"/>
      <c r="BO361" s="860"/>
      <c r="BP361" s="860"/>
      <c r="BQ361" s="860"/>
      <c r="BR361" s="860"/>
      <c r="BS361" s="860"/>
      <c r="BT361" s="860"/>
      <c r="BU361" s="860"/>
      <c r="BV361" s="860"/>
      <c r="BW361" s="860"/>
      <c r="BX361" s="860"/>
      <c r="BY361" s="860"/>
      <c r="BZ361" s="860"/>
      <c r="CA361" s="860"/>
      <c r="CB361" s="860"/>
      <c r="CC361" s="860"/>
      <c r="CD361" s="860"/>
      <c r="CE361" s="860"/>
      <c r="CF361" s="860"/>
      <c r="CG361" s="860"/>
      <c r="CH361" s="860"/>
      <c r="CI361" s="860"/>
      <c r="CJ361" s="860"/>
      <c r="CK361" s="860"/>
      <c r="CL361" s="860"/>
      <c r="CM361" s="860"/>
      <c r="CN361" s="860"/>
      <c r="CO361" s="860"/>
      <c r="CP361" s="860"/>
      <c r="CQ361" s="860"/>
      <c r="CR361" s="860"/>
      <c r="CS361" s="860"/>
      <c r="CT361" s="860"/>
      <c r="CU361" s="860"/>
      <c r="CV361" s="860"/>
      <c r="CW361" s="860"/>
      <c r="CX361" s="860"/>
      <c r="CY361" s="860"/>
      <c r="CZ361" s="860"/>
      <c r="DA361" s="860"/>
      <c r="DB361" s="860"/>
      <c r="DC361" s="860"/>
      <c r="DD361" s="860"/>
      <c r="DE361" s="860"/>
      <c r="DF361" s="860"/>
      <c r="DG361" s="860"/>
      <c r="DH361" s="860"/>
      <c r="DI361" s="860"/>
      <c r="DJ361" s="860"/>
      <c r="DK361" s="860"/>
      <c r="DL361" s="860"/>
      <c r="DM361" s="860"/>
      <c r="DN361" s="860"/>
      <c r="DO361" s="860"/>
      <c r="DP361" s="860"/>
      <c r="DQ361" s="860"/>
      <c r="DR361" s="860"/>
      <c r="DS361" s="860"/>
      <c r="DT361" s="860"/>
      <c r="DU361" s="860"/>
      <c r="DV361" s="860"/>
      <c r="DW361" s="860"/>
      <c r="DX361" s="860"/>
      <c r="DY361" s="860"/>
      <c r="DZ361" s="860"/>
      <c r="EA361" s="860"/>
      <c r="EB361" s="860"/>
      <c r="EC361" s="860"/>
      <c r="ED361" s="860"/>
      <c r="EE361" s="860"/>
      <c r="EF361" s="860"/>
      <c r="EG361" s="860"/>
      <c r="EH361" s="860"/>
      <c r="EI361" s="860"/>
      <c r="EJ361" s="860"/>
      <c r="EK361" s="860"/>
      <c r="EL361" s="860"/>
      <c r="EM361" s="860"/>
      <c r="EN361" s="860"/>
      <c r="EO361" s="860"/>
      <c r="EP361" s="860"/>
      <c r="EQ361" s="860"/>
      <c r="ER361" s="860"/>
      <c r="ES361" s="860"/>
      <c r="ET361" s="860"/>
      <c r="EU361" s="860"/>
      <c r="EV361" s="860"/>
      <c r="EW361" s="860"/>
      <c r="EX361" s="860"/>
      <c r="EY361" s="860"/>
      <c r="EZ361" s="860"/>
      <c r="FA361" s="860"/>
      <c r="FB361" s="860"/>
      <c r="FC361" s="860"/>
      <c r="FD361" s="860"/>
      <c r="FE361" s="860"/>
      <c r="FF361" s="860"/>
      <c r="FG361" s="860"/>
      <c r="FH361" s="860"/>
      <c r="FI361" s="860"/>
      <c r="FJ361" s="860"/>
      <c r="FK361" s="860"/>
      <c r="FL361" s="860"/>
      <c r="FM361" s="860"/>
      <c r="FN361" s="860"/>
      <c r="FO361" s="860"/>
      <c r="FP361" s="860"/>
      <c r="FQ361" s="860"/>
      <c r="FR361" s="860"/>
      <c r="FS361" s="860"/>
      <c r="FT361" s="860"/>
      <c r="FU361" s="860"/>
      <c r="FV361" s="860"/>
      <c r="FW361" s="860"/>
      <c r="FX361" s="860"/>
      <c r="FY361" s="860"/>
      <c r="FZ361" s="860"/>
      <c r="GA361" s="860"/>
      <c r="GB361" s="860"/>
      <c r="GC361" s="860"/>
      <c r="GD361" s="860"/>
      <c r="GE361" s="860"/>
      <c r="GF361" s="860"/>
      <c r="GG361" s="860"/>
      <c r="GH361" s="860"/>
      <c r="GI361" s="860"/>
      <c r="GJ361" s="860"/>
      <c r="GK361" s="860"/>
      <c r="GL361" s="860"/>
      <c r="GM361" s="860"/>
      <c r="GN361" s="860"/>
      <c r="GO361" s="860"/>
      <c r="GP361" s="860"/>
      <c r="GQ361" s="860"/>
      <c r="GR361" s="860"/>
      <c r="GS361" s="860"/>
      <c r="GT361" s="860"/>
      <c r="GU361" s="860"/>
      <c r="GV361" s="860"/>
      <c r="GW361" s="860"/>
      <c r="GX361" s="860"/>
      <c r="GY361" s="860"/>
      <c r="GZ361" s="860"/>
      <c r="HA361" s="860"/>
      <c r="HB361" s="860"/>
      <c r="HC361" s="860"/>
      <c r="HE361" s="860"/>
      <c r="HF361" s="860"/>
      <c r="HH361" s="860"/>
      <c r="HI361" s="860"/>
      <c r="HJ361" s="860"/>
      <c r="HL361" s="860"/>
      <c r="HM361" s="860"/>
      <c r="HO361" s="860"/>
      <c r="HP361" s="860"/>
      <c r="HR361" s="860"/>
    </row>
    <row r="362" spans="1:226">
      <c r="A362" s="860"/>
      <c r="B362" s="860"/>
      <c r="C362" s="860"/>
      <c r="D362" s="860"/>
      <c r="E362" s="860"/>
      <c r="F362" s="860"/>
      <c r="G362" s="860"/>
      <c r="H362" s="860"/>
      <c r="I362" s="860"/>
      <c r="J362" s="860"/>
      <c r="K362" s="860"/>
      <c r="L362" s="860"/>
      <c r="M362" s="860"/>
      <c r="N362" s="860"/>
      <c r="O362" s="860"/>
      <c r="P362" s="860"/>
      <c r="Q362" s="860"/>
      <c r="R362" s="860"/>
      <c r="S362" s="860"/>
      <c r="T362" s="860"/>
      <c r="U362" s="860"/>
      <c r="V362" s="860"/>
      <c r="W362" s="860"/>
      <c r="X362" s="860"/>
      <c r="Y362" s="860"/>
      <c r="Z362" s="860"/>
      <c r="AA362" s="860"/>
      <c r="AB362" s="860"/>
      <c r="AC362" s="860"/>
      <c r="AD362" s="860"/>
      <c r="AE362" s="860"/>
      <c r="AF362" s="860"/>
      <c r="AG362" s="860"/>
      <c r="AH362" s="860"/>
      <c r="AI362" s="860"/>
      <c r="AJ362" s="860"/>
      <c r="AK362" s="860"/>
      <c r="AL362" s="860"/>
      <c r="AM362" s="860"/>
      <c r="AN362" s="860"/>
      <c r="AO362" s="860"/>
      <c r="AP362" s="860"/>
      <c r="AQ362" s="860"/>
      <c r="AR362" s="860"/>
      <c r="AS362" s="860"/>
      <c r="AT362" s="860"/>
      <c r="AU362" s="860"/>
      <c r="AV362" s="860"/>
      <c r="AW362" s="860"/>
      <c r="AX362" s="860"/>
      <c r="AY362" s="860"/>
      <c r="AZ362" s="860"/>
      <c r="BA362" s="860"/>
      <c r="BB362" s="860"/>
      <c r="BC362" s="860"/>
      <c r="BD362" s="860"/>
      <c r="BE362" s="860"/>
      <c r="BF362" s="860"/>
      <c r="BG362" s="860"/>
      <c r="BH362" s="860"/>
      <c r="BI362" s="860"/>
      <c r="BJ362" s="860"/>
      <c r="BK362" s="860"/>
      <c r="BL362" s="860"/>
      <c r="BM362" s="860"/>
      <c r="BN362" s="860"/>
      <c r="BO362" s="860"/>
      <c r="BP362" s="860"/>
      <c r="BQ362" s="860"/>
      <c r="BR362" s="860"/>
      <c r="BS362" s="860"/>
      <c r="BT362" s="860"/>
      <c r="BU362" s="860"/>
      <c r="BV362" s="860"/>
      <c r="BW362" s="860"/>
      <c r="BX362" s="860"/>
      <c r="BY362" s="860"/>
      <c r="BZ362" s="860"/>
      <c r="CA362" s="860"/>
      <c r="CB362" s="860"/>
      <c r="CC362" s="860"/>
      <c r="CD362" s="860"/>
      <c r="CE362" s="860"/>
      <c r="CF362" s="860"/>
      <c r="CG362" s="860"/>
      <c r="CH362" s="860"/>
      <c r="CI362" s="860"/>
      <c r="CJ362" s="860"/>
      <c r="CK362" s="860"/>
      <c r="CL362" s="860"/>
      <c r="CM362" s="860"/>
      <c r="CN362" s="860"/>
      <c r="CO362" s="860"/>
      <c r="CP362" s="860"/>
      <c r="CQ362" s="860"/>
      <c r="CR362" s="860"/>
      <c r="CS362" s="860"/>
      <c r="CT362" s="860"/>
      <c r="CU362" s="860"/>
      <c r="CV362" s="860"/>
      <c r="CW362" s="860"/>
      <c r="CX362" s="860"/>
      <c r="CY362" s="860"/>
      <c r="CZ362" s="860"/>
      <c r="DA362" s="860"/>
      <c r="DB362" s="860"/>
      <c r="DC362" s="860"/>
      <c r="DD362" s="860"/>
      <c r="DE362" s="860"/>
      <c r="DF362" s="860"/>
      <c r="DG362" s="860"/>
      <c r="DH362" s="860"/>
      <c r="DI362" s="860"/>
      <c r="DJ362" s="860"/>
      <c r="DK362" s="860"/>
      <c r="DL362" s="860"/>
      <c r="DM362" s="860"/>
      <c r="DN362" s="860"/>
      <c r="DO362" s="860"/>
      <c r="DP362" s="860"/>
      <c r="DQ362" s="860"/>
      <c r="DR362" s="860"/>
      <c r="DS362" s="860"/>
      <c r="DT362" s="860"/>
      <c r="DU362" s="860"/>
      <c r="DV362" s="860"/>
      <c r="DW362" s="860"/>
      <c r="DX362" s="860"/>
      <c r="DY362" s="860"/>
      <c r="DZ362" s="860"/>
      <c r="EA362" s="860"/>
      <c r="EB362" s="860"/>
      <c r="EC362" s="860"/>
      <c r="ED362" s="860"/>
      <c r="EE362" s="860"/>
      <c r="EF362" s="860"/>
      <c r="EG362" s="860"/>
      <c r="EH362" s="860"/>
      <c r="EI362" s="860"/>
      <c r="EJ362" s="860"/>
      <c r="EK362" s="860"/>
      <c r="EL362" s="860"/>
      <c r="EM362" s="860"/>
      <c r="EN362" s="860"/>
      <c r="EO362" s="860"/>
      <c r="EP362" s="860"/>
      <c r="EQ362" s="860"/>
      <c r="ER362" s="860"/>
      <c r="ES362" s="860"/>
      <c r="ET362" s="860"/>
      <c r="EU362" s="860"/>
      <c r="EV362" s="860"/>
      <c r="EW362" s="860"/>
      <c r="EX362" s="860"/>
      <c r="EY362" s="860"/>
      <c r="EZ362" s="860"/>
      <c r="FA362" s="860"/>
      <c r="FB362" s="860"/>
      <c r="FC362" s="860"/>
      <c r="FD362" s="860"/>
      <c r="FE362" s="860"/>
      <c r="FF362" s="860"/>
      <c r="FG362" s="860"/>
      <c r="FH362" s="860"/>
      <c r="FI362" s="860"/>
      <c r="FJ362" s="860"/>
      <c r="FK362" s="860"/>
      <c r="FL362" s="860"/>
      <c r="FM362" s="860"/>
      <c r="FN362" s="860"/>
      <c r="FO362" s="860"/>
      <c r="FP362" s="860"/>
      <c r="FQ362" s="860"/>
      <c r="FR362" s="860"/>
      <c r="FS362" s="860"/>
      <c r="FT362" s="860"/>
      <c r="FU362" s="860"/>
      <c r="FV362" s="860"/>
      <c r="FW362" s="860"/>
      <c r="FX362" s="860"/>
      <c r="FY362" s="860"/>
      <c r="FZ362" s="860"/>
      <c r="GA362" s="860"/>
      <c r="GB362" s="860"/>
      <c r="GC362" s="860"/>
      <c r="GD362" s="860"/>
      <c r="GE362" s="860"/>
      <c r="GF362" s="860"/>
      <c r="GG362" s="860"/>
      <c r="GH362" s="860"/>
      <c r="GI362" s="860"/>
      <c r="GJ362" s="860"/>
      <c r="GK362" s="860"/>
      <c r="GL362" s="860"/>
      <c r="GM362" s="860"/>
      <c r="GN362" s="860"/>
      <c r="GO362" s="860"/>
      <c r="GP362" s="860"/>
      <c r="GQ362" s="860"/>
      <c r="GR362" s="860"/>
      <c r="GS362" s="860"/>
      <c r="GT362" s="860"/>
      <c r="GU362" s="860"/>
      <c r="GV362" s="860"/>
      <c r="GW362" s="860"/>
      <c r="GX362" s="860"/>
      <c r="GY362" s="860"/>
      <c r="GZ362" s="860"/>
      <c r="HA362" s="860"/>
      <c r="HB362" s="860"/>
      <c r="HC362" s="860"/>
      <c r="HE362" s="860"/>
      <c r="HF362" s="860"/>
      <c r="HH362" s="860"/>
      <c r="HI362" s="860"/>
      <c r="HJ362" s="860"/>
      <c r="HL362" s="860"/>
      <c r="HM362" s="860"/>
      <c r="HO362" s="860"/>
      <c r="HP362" s="860"/>
      <c r="HR362" s="860"/>
    </row>
    <row r="363" spans="1:226">
      <c r="A363" s="860"/>
      <c r="B363" s="860"/>
      <c r="C363" s="860"/>
      <c r="D363" s="860"/>
      <c r="E363" s="860"/>
      <c r="F363" s="860"/>
      <c r="G363" s="860"/>
      <c r="H363" s="860"/>
      <c r="I363" s="860"/>
      <c r="J363" s="860"/>
      <c r="K363" s="860"/>
      <c r="L363" s="860"/>
      <c r="M363" s="860"/>
      <c r="N363" s="860"/>
      <c r="O363" s="860"/>
      <c r="P363" s="860"/>
      <c r="Q363" s="860"/>
      <c r="R363" s="860"/>
      <c r="S363" s="860"/>
      <c r="T363" s="860"/>
      <c r="U363" s="860"/>
      <c r="V363" s="860"/>
      <c r="W363" s="860"/>
      <c r="X363" s="860"/>
      <c r="Y363" s="860"/>
      <c r="Z363" s="860"/>
      <c r="AA363" s="860"/>
      <c r="AB363" s="860"/>
      <c r="AC363" s="860"/>
      <c r="AD363" s="860"/>
      <c r="AE363" s="860"/>
      <c r="AF363" s="860"/>
      <c r="AG363" s="860"/>
      <c r="AH363" s="860"/>
      <c r="AI363" s="860"/>
      <c r="AJ363" s="860"/>
      <c r="AK363" s="860"/>
      <c r="AL363" s="860"/>
      <c r="AM363" s="860"/>
      <c r="AN363" s="860"/>
      <c r="AO363" s="860"/>
      <c r="AP363" s="860"/>
      <c r="AQ363" s="860"/>
      <c r="AR363" s="860"/>
      <c r="AS363" s="860"/>
      <c r="AT363" s="860"/>
      <c r="AU363" s="860"/>
      <c r="AV363" s="860"/>
      <c r="AW363" s="860"/>
      <c r="AX363" s="860"/>
      <c r="AY363" s="860"/>
      <c r="AZ363" s="860"/>
      <c r="BA363" s="860"/>
      <c r="BB363" s="860"/>
      <c r="BC363" s="860"/>
      <c r="BD363" s="860"/>
      <c r="BE363" s="860"/>
      <c r="BF363" s="860"/>
      <c r="BG363" s="860"/>
      <c r="BH363" s="860"/>
      <c r="BI363" s="860"/>
      <c r="BJ363" s="860"/>
      <c r="BK363" s="860"/>
      <c r="BL363" s="860"/>
      <c r="BM363" s="860"/>
      <c r="BN363" s="860"/>
      <c r="BO363" s="860"/>
      <c r="BP363" s="860"/>
      <c r="BQ363" s="860"/>
      <c r="BR363" s="860"/>
      <c r="BS363" s="860"/>
      <c r="BT363" s="860"/>
      <c r="BU363" s="860"/>
      <c r="BV363" s="860"/>
      <c r="BW363" s="860"/>
      <c r="BX363" s="860"/>
      <c r="BY363" s="860"/>
      <c r="BZ363" s="860"/>
      <c r="CA363" s="860"/>
      <c r="CB363" s="860"/>
      <c r="CC363" s="860"/>
      <c r="CD363" s="860"/>
      <c r="CE363" s="860"/>
      <c r="CF363" s="860"/>
      <c r="CG363" s="860"/>
      <c r="CH363" s="860"/>
      <c r="CI363" s="860"/>
      <c r="CJ363" s="860"/>
      <c r="CK363" s="860"/>
      <c r="CL363" s="860"/>
      <c r="CM363" s="860"/>
      <c r="CN363" s="860"/>
      <c r="CO363" s="860"/>
      <c r="CP363" s="860"/>
      <c r="CQ363" s="860"/>
      <c r="CR363" s="860"/>
      <c r="CS363" s="860"/>
      <c r="CT363" s="860"/>
      <c r="CU363" s="860"/>
      <c r="CV363" s="860"/>
      <c r="CW363" s="860"/>
      <c r="CX363" s="860"/>
      <c r="CY363" s="860"/>
      <c r="CZ363" s="860"/>
      <c r="DA363" s="860"/>
      <c r="DB363" s="860"/>
      <c r="DC363" s="860"/>
      <c r="DD363" s="860"/>
      <c r="DE363" s="860"/>
      <c r="DF363" s="860"/>
      <c r="DG363" s="860"/>
      <c r="DH363" s="860"/>
      <c r="DI363" s="860"/>
      <c r="DJ363" s="860"/>
      <c r="DK363" s="860"/>
      <c r="DL363" s="860"/>
      <c r="DM363" s="860"/>
      <c r="DN363" s="860"/>
      <c r="DO363" s="860"/>
      <c r="DP363" s="860"/>
      <c r="DQ363" s="860"/>
      <c r="DR363" s="860"/>
      <c r="DS363" s="860"/>
      <c r="DT363" s="860"/>
      <c r="DU363" s="860"/>
      <c r="DV363" s="860"/>
      <c r="DW363" s="860"/>
      <c r="DX363" s="860"/>
      <c r="DY363" s="860"/>
      <c r="DZ363" s="860"/>
      <c r="EA363" s="860"/>
      <c r="EB363" s="860"/>
      <c r="EC363" s="860"/>
      <c r="ED363" s="860"/>
      <c r="EE363" s="860"/>
      <c r="EF363" s="860"/>
      <c r="EG363" s="860"/>
      <c r="EH363" s="860"/>
      <c r="EI363" s="860"/>
      <c r="EJ363" s="860"/>
      <c r="EK363" s="860"/>
      <c r="EL363" s="860"/>
      <c r="EM363" s="860"/>
      <c r="EN363" s="860"/>
      <c r="EO363" s="860"/>
      <c r="EP363" s="860"/>
      <c r="EQ363" s="860"/>
      <c r="ER363" s="860"/>
      <c r="ES363" s="860"/>
      <c r="ET363" s="860"/>
      <c r="EU363" s="860"/>
      <c r="EV363" s="860"/>
      <c r="EW363" s="860"/>
      <c r="EX363" s="860"/>
      <c r="EY363" s="860"/>
      <c r="EZ363" s="860"/>
      <c r="FA363" s="860"/>
      <c r="FB363" s="860"/>
      <c r="FC363" s="860"/>
      <c r="FD363" s="860"/>
      <c r="FE363" s="860"/>
      <c r="FF363" s="860"/>
      <c r="FG363" s="860"/>
      <c r="FH363" s="860"/>
      <c r="FI363" s="860"/>
      <c r="FJ363" s="860"/>
      <c r="FK363" s="860"/>
      <c r="FL363" s="860"/>
      <c r="FM363" s="860"/>
      <c r="FN363" s="860"/>
      <c r="FO363" s="860"/>
      <c r="FP363" s="860"/>
      <c r="FQ363" s="860"/>
      <c r="FR363" s="860"/>
      <c r="FS363" s="860"/>
      <c r="FT363" s="860"/>
      <c r="FU363" s="860"/>
      <c r="FV363" s="860"/>
      <c r="FW363" s="860"/>
      <c r="FX363" s="860"/>
      <c r="FY363" s="860"/>
      <c r="FZ363" s="860"/>
      <c r="GA363" s="860"/>
      <c r="GB363" s="860"/>
      <c r="GC363" s="860"/>
      <c r="GD363" s="860"/>
      <c r="GE363" s="860"/>
      <c r="GF363" s="860"/>
      <c r="GG363" s="860"/>
      <c r="GH363" s="860"/>
      <c r="GI363" s="860"/>
      <c r="GJ363" s="860"/>
      <c r="GK363" s="860"/>
      <c r="GL363" s="860"/>
      <c r="GM363" s="860"/>
      <c r="GN363" s="860"/>
      <c r="GO363" s="860"/>
      <c r="GP363" s="860"/>
      <c r="GQ363" s="860"/>
      <c r="GR363" s="860"/>
      <c r="GS363" s="860"/>
      <c r="GT363" s="860"/>
      <c r="GU363" s="860"/>
      <c r="GV363" s="860"/>
      <c r="GW363" s="860"/>
      <c r="GX363" s="860"/>
      <c r="GY363" s="860"/>
      <c r="GZ363" s="860"/>
      <c r="HA363" s="860"/>
      <c r="HB363" s="860"/>
      <c r="HC363" s="860"/>
      <c r="HE363" s="860"/>
      <c r="HF363" s="860"/>
      <c r="HH363" s="860"/>
      <c r="HI363" s="860"/>
      <c r="HJ363" s="860"/>
      <c r="HL363" s="860"/>
      <c r="HM363" s="860"/>
      <c r="HO363" s="860"/>
      <c r="HP363" s="860"/>
      <c r="HR363" s="860"/>
    </row>
    <row r="364" spans="1:226">
      <c r="A364" s="860"/>
      <c r="B364" s="860"/>
      <c r="C364" s="860"/>
      <c r="D364" s="860"/>
      <c r="E364" s="860"/>
      <c r="F364" s="860"/>
      <c r="G364" s="860"/>
      <c r="H364" s="860"/>
      <c r="I364" s="860"/>
      <c r="J364" s="860"/>
      <c r="K364" s="860"/>
      <c r="L364" s="860"/>
      <c r="M364" s="860"/>
      <c r="N364" s="860"/>
      <c r="O364" s="860"/>
      <c r="P364" s="860"/>
      <c r="Q364" s="860"/>
      <c r="R364" s="860"/>
      <c r="S364" s="860"/>
      <c r="T364" s="860"/>
      <c r="U364" s="860"/>
      <c r="V364" s="860"/>
      <c r="W364" s="860"/>
      <c r="X364" s="860"/>
      <c r="Y364" s="860"/>
      <c r="Z364" s="860"/>
      <c r="AA364" s="860"/>
      <c r="AB364" s="860"/>
      <c r="AC364" s="860"/>
      <c r="AD364" s="860"/>
      <c r="AE364" s="860"/>
      <c r="AF364" s="860"/>
      <c r="AG364" s="860"/>
      <c r="AH364" s="860"/>
      <c r="AI364" s="860"/>
      <c r="AJ364" s="860"/>
      <c r="AK364" s="860"/>
      <c r="AL364" s="860"/>
      <c r="AM364" s="860"/>
      <c r="AN364" s="860"/>
      <c r="AO364" s="860"/>
      <c r="AP364" s="860"/>
      <c r="AQ364" s="860"/>
      <c r="AR364" s="860"/>
      <c r="AS364" s="860"/>
      <c r="AT364" s="860"/>
      <c r="AU364" s="860"/>
      <c r="AV364" s="860"/>
      <c r="AW364" s="860"/>
      <c r="AX364" s="860"/>
      <c r="AY364" s="860"/>
      <c r="AZ364" s="860"/>
      <c r="BA364" s="860"/>
      <c r="BB364" s="860"/>
      <c r="BC364" s="860"/>
      <c r="BD364" s="860"/>
      <c r="BE364" s="860"/>
      <c r="BF364" s="860"/>
      <c r="BG364" s="860"/>
      <c r="BH364" s="860"/>
      <c r="BI364" s="860"/>
      <c r="BJ364" s="860"/>
      <c r="BK364" s="860"/>
      <c r="BL364" s="860"/>
      <c r="BM364" s="860"/>
      <c r="BN364" s="860"/>
      <c r="BO364" s="860"/>
      <c r="BP364" s="860"/>
      <c r="BQ364" s="860"/>
      <c r="BR364" s="860"/>
      <c r="BS364" s="860"/>
      <c r="BT364" s="860"/>
      <c r="BU364" s="860"/>
      <c r="BV364" s="860"/>
      <c r="BW364" s="860"/>
      <c r="BX364" s="860"/>
      <c r="BY364" s="860"/>
      <c r="BZ364" s="860"/>
      <c r="CA364" s="860"/>
      <c r="CB364" s="860"/>
      <c r="CC364" s="860"/>
      <c r="CD364" s="860"/>
      <c r="CE364" s="860"/>
      <c r="CF364" s="860"/>
      <c r="CG364" s="860"/>
      <c r="CH364" s="860"/>
      <c r="CI364" s="860"/>
      <c r="CJ364" s="860"/>
      <c r="CK364" s="860"/>
      <c r="CL364" s="860"/>
      <c r="CM364" s="860"/>
      <c r="CN364" s="860"/>
      <c r="CO364" s="860"/>
      <c r="CP364" s="860"/>
      <c r="CQ364" s="860"/>
      <c r="CR364" s="860"/>
      <c r="CS364" s="860"/>
      <c r="CT364" s="860"/>
      <c r="CU364" s="860"/>
      <c r="CV364" s="860"/>
      <c r="CW364" s="860"/>
      <c r="CX364" s="860"/>
      <c r="CY364" s="860"/>
      <c r="CZ364" s="860"/>
      <c r="DA364" s="860"/>
      <c r="DB364" s="860"/>
      <c r="DC364" s="860"/>
      <c r="DD364" s="860"/>
      <c r="DE364" s="860"/>
      <c r="DF364" s="860"/>
      <c r="DG364" s="860"/>
      <c r="DH364" s="860"/>
      <c r="DI364" s="860"/>
      <c r="DJ364" s="860"/>
      <c r="DK364" s="860"/>
      <c r="DL364" s="860"/>
      <c r="DM364" s="860"/>
      <c r="DN364" s="860"/>
      <c r="DO364" s="860"/>
      <c r="DP364" s="860"/>
      <c r="DQ364" s="860"/>
      <c r="DR364" s="860"/>
      <c r="DS364" s="860"/>
      <c r="DT364" s="860"/>
      <c r="DU364" s="860"/>
      <c r="DV364" s="860"/>
      <c r="DW364" s="860"/>
      <c r="DX364" s="860"/>
      <c r="DY364" s="860"/>
      <c r="DZ364" s="860"/>
      <c r="EA364" s="860"/>
      <c r="EB364" s="860"/>
      <c r="EC364" s="860"/>
      <c r="ED364" s="860"/>
      <c r="EE364" s="860"/>
      <c r="EF364" s="860"/>
      <c r="EG364" s="860"/>
      <c r="EH364" s="860"/>
      <c r="EI364" s="860"/>
      <c r="EJ364" s="860"/>
      <c r="EK364" s="860"/>
      <c r="EL364" s="860"/>
      <c r="EM364" s="860"/>
      <c r="EN364" s="860"/>
      <c r="EO364" s="860"/>
      <c r="EP364" s="860"/>
      <c r="EQ364" s="860"/>
      <c r="ER364" s="860"/>
      <c r="ES364" s="860"/>
      <c r="ET364" s="860"/>
      <c r="EU364" s="860"/>
      <c r="EV364" s="860"/>
      <c r="EW364" s="860"/>
      <c r="EX364" s="860"/>
      <c r="EY364" s="860"/>
      <c r="EZ364" s="860"/>
      <c r="FA364" s="860"/>
      <c r="FB364" s="860"/>
      <c r="FC364" s="860"/>
      <c r="FD364" s="860"/>
      <c r="FE364" s="860"/>
      <c r="FF364" s="860"/>
      <c r="FG364" s="860"/>
      <c r="FH364" s="860"/>
      <c r="FI364" s="860"/>
      <c r="FJ364" s="860"/>
      <c r="FK364" s="860"/>
      <c r="FL364" s="1240" t="str">
        <f t="shared" ref="FL364:FW364" si="321">FL368</f>
        <v>Q1 18</v>
      </c>
      <c r="FM364" s="1240" t="str">
        <f t="shared" si="321"/>
        <v>Q2 18</v>
      </c>
      <c r="FN364" s="1240" t="str">
        <f t="shared" si="321"/>
        <v>Q3 18</v>
      </c>
      <c r="FO364" s="1240" t="str">
        <f t="shared" si="321"/>
        <v>Q4 18</v>
      </c>
      <c r="FP364" s="1240" t="str">
        <f t="shared" si="321"/>
        <v>Q1 19</v>
      </c>
      <c r="FQ364" s="1240" t="str">
        <f t="shared" si="321"/>
        <v>Q2 19</v>
      </c>
      <c r="FR364" s="1240" t="str">
        <f t="shared" si="321"/>
        <v>Q3 19</v>
      </c>
      <c r="FS364" s="1240" t="str">
        <f t="shared" si="321"/>
        <v>Q4 19</v>
      </c>
      <c r="FT364" s="1240" t="str">
        <f t="shared" si="321"/>
        <v>Q1 20</v>
      </c>
      <c r="FU364" s="1240" t="str">
        <f t="shared" si="321"/>
        <v>Q2 20</v>
      </c>
      <c r="FV364" s="1240" t="str">
        <f t="shared" si="321"/>
        <v>Q3 20</v>
      </c>
      <c r="FW364" s="1240" t="str">
        <f t="shared" si="321"/>
        <v>Q4 20</v>
      </c>
      <c r="FX364" s="860"/>
      <c r="FY364" s="860"/>
      <c r="FZ364" s="860"/>
      <c r="GA364" s="860"/>
      <c r="GB364" s="860"/>
      <c r="GC364" s="860"/>
      <c r="GD364" s="860"/>
      <c r="GE364" s="860"/>
      <c r="GF364" s="860"/>
      <c r="GG364" s="860"/>
      <c r="GH364" s="860"/>
      <c r="GI364" s="860"/>
      <c r="GJ364" s="860"/>
      <c r="GK364" s="860"/>
      <c r="GL364" s="860"/>
      <c r="GM364" s="860"/>
      <c r="GN364" s="860"/>
      <c r="GO364" s="860"/>
      <c r="GP364" s="860"/>
      <c r="GQ364" s="860"/>
      <c r="GR364" s="860"/>
      <c r="GS364" s="860"/>
      <c r="GT364" s="860"/>
      <c r="GU364" s="860"/>
      <c r="GV364" s="860"/>
      <c r="GW364" s="860"/>
      <c r="GX364" s="860"/>
      <c r="GY364" s="860"/>
      <c r="GZ364" s="860"/>
      <c r="HA364" s="860"/>
      <c r="HB364" s="860"/>
      <c r="HC364" s="860"/>
      <c r="HE364" s="860"/>
      <c r="HF364" s="860"/>
      <c r="HH364" s="860"/>
      <c r="HI364" s="860"/>
      <c r="HJ364" s="860"/>
      <c r="HL364" s="860"/>
      <c r="HM364" s="860"/>
      <c r="HO364" s="860"/>
      <c r="HP364" s="860"/>
      <c r="HR364" s="860"/>
    </row>
    <row r="365" spans="1:226">
      <c r="A365" s="860"/>
      <c r="B365" s="860"/>
      <c r="C365" s="860"/>
      <c r="D365" s="860"/>
      <c r="E365" s="860"/>
      <c r="F365" s="860"/>
      <c r="G365" s="860"/>
      <c r="H365" s="860"/>
      <c r="I365" s="860"/>
      <c r="J365" s="860"/>
      <c r="K365" s="860"/>
      <c r="L365" s="860"/>
      <c r="M365" s="860"/>
      <c r="N365" s="860"/>
      <c r="O365" s="860"/>
      <c r="P365" s="860"/>
      <c r="Q365" s="860"/>
      <c r="R365" s="860"/>
      <c r="S365" s="860"/>
      <c r="T365" s="860"/>
      <c r="U365" s="860"/>
      <c r="V365" s="860"/>
      <c r="W365" s="860"/>
      <c r="X365" s="860"/>
      <c r="Y365" s="860"/>
      <c r="Z365" s="860"/>
      <c r="AA365" s="860"/>
      <c r="AB365" s="860"/>
      <c r="AC365" s="860"/>
      <c r="AD365" s="860"/>
      <c r="AE365" s="860"/>
      <c r="AF365" s="860"/>
      <c r="AG365" s="860"/>
      <c r="AH365" s="860"/>
      <c r="AI365" s="860"/>
      <c r="AJ365" s="860"/>
      <c r="AK365" s="860"/>
      <c r="AL365" s="860"/>
      <c r="AM365" s="860"/>
      <c r="AN365" s="860"/>
      <c r="AO365" s="860"/>
      <c r="AP365" s="860"/>
      <c r="AQ365" s="860"/>
      <c r="AR365" s="860"/>
      <c r="AS365" s="860"/>
      <c r="AT365" s="860"/>
      <c r="AU365" s="860"/>
      <c r="AV365" s="860"/>
      <c r="AW365" s="860"/>
      <c r="AX365" s="860"/>
      <c r="AY365" s="860"/>
      <c r="AZ365" s="860"/>
      <c r="BA365" s="860"/>
      <c r="BB365" s="860"/>
      <c r="BC365" s="860"/>
      <c r="BD365" s="860"/>
      <c r="BE365" s="860"/>
      <c r="BF365" s="860"/>
      <c r="BG365" s="860"/>
      <c r="BH365" s="860"/>
      <c r="BI365" s="860"/>
      <c r="BJ365" s="860"/>
      <c r="BK365" s="860"/>
      <c r="BL365" s="860"/>
      <c r="BM365" s="860"/>
      <c r="BN365" s="860"/>
      <c r="BO365" s="860"/>
      <c r="BP365" s="860"/>
      <c r="BQ365" s="860"/>
      <c r="BR365" s="860"/>
      <c r="BS365" s="860"/>
      <c r="BT365" s="860"/>
      <c r="BU365" s="860"/>
      <c r="BV365" s="860"/>
      <c r="BW365" s="860"/>
      <c r="BX365" s="860"/>
      <c r="BY365" s="860"/>
      <c r="BZ365" s="860"/>
      <c r="CA365" s="860"/>
      <c r="CB365" s="860"/>
      <c r="CC365" s="860"/>
      <c r="CD365" s="860"/>
      <c r="CE365" s="860"/>
      <c r="CF365" s="860"/>
      <c r="CG365" s="860"/>
      <c r="CH365" s="860"/>
      <c r="CI365" s="860"/>
      <c r="CJ365" s="860"/>
      <c r="CK365" s="860"/>
      <c r="CL365" s="860"/>
      <c r="CM365" s="860"/>
      <c r="CN365" s="860"/>
      <c r="CO365" s="860"/>
      <c r="CP365" s="860"/>
      <c r="CQ365" s="860"/>
      <c r="CR365" s="860"/>
      <c r="CS365" s="860"/>
      <c r="CT365" s="860"/>
      <c r="CU365" s="860"/>
      <c r="CV365" s="860"/>
      <c r="CW365" s="860"/>
      <c r="CX365" s="860"/>
      <c r="CY365" s="860"/>
      <c r="CZ365" s="860"/>
      <c r="DA365" s="860"/>
      <c r="DB365" s="860"/>
      <c r="DC365" s="860"/>
      <c r="DD365" s="860"/>
      <c r="DE365" s="860"/>
      <c r="DF365" s="860"/>
      <c r="DG365" s="860"/>
      <c r="DH365" s="860"/>
      <c r="DI365" s="860"/>
      <c r="DJ365" s="860"/>
      <c r="DK365" s="860"/>
      <c r="DL365" s="860"/>
      <c r="DM365" s="860"/>
      <c r="DN365" s="860"/>
      <c r="DO365" s="860"/>
      <c r="DP365" s="860"/>
      <c r="DQ365" s="860"/>
      <c r="DR365" s="860"/>
      <c r="DS365" s="860"/>
      <c r="DT365" s="860"/>
      <c r="DU365" s="860"/>
      <c r="DV365" s="860"/>
      <c r="DW365" s="860"/>
      <c r="DX365" s="860"/>
      <c r="DY365" s="860"/>
      <c r="DZ365" s="860"/>
      <c r="EA365" s="860"/>
      <c r="EB365" s="860"/>
      <c r="EC365" s="860"/>
      <c r="ED365" s="860"/>
      <c r="EE365" s="860"/>
      <c r="EF365" s="860"/>
      <c r="EG365" s="860"/>
      <c r="EH365" s="860"/>
      <c r="EI365" s="860"/>
      <c r="EJ365" s="860"/>
      <c r="EK365" s="860"/>
      <c r="EL365" s="860"/>
      <c r="EM365" s="860"/>
      <c r="EN365" s="860"/>
      <c r="EO365" s="860"/>
      <c r="EP365" s="860"/>
      <c r="EQ365" s="860"/>
      <c r="ER365" s="860"/>
      <c r="ES365" s="860"/>
      <c r="ET365" s="860"/>
      <c r="EU365" s="860"/>
      <c r="EV365" s="860"/>
      <c r="EW365" s="860"/>
      <c r="EX365" s="860"/>
      <c r="EY365" s="860"/>
      <c r="EZ365" s="860"/>
      <c r="FA365" s="860"/>
      <c r="FB365" s="860"/>
      <c r="FC365" s="860"/>
      <c r="FD365" s="860"/>
      <c r="FE365" s="860"/>
      <c r="FF365" s="860"/>
      <c r="FG365" s="860"/>
      <c r="FH365" s="860"/>
      <c r="FI365" s="860"/>
      <c r="FJ365" s="860"/>
      <c r="FK365" s="860"/>
      <c r="FL365" s="1217">
        <f>DO8</f>
        <v>3.5003149072234896E-2</v>
      </c>
      <c r="FM365" s="1217">
        <f>DP8</f>
        <v>9.0995731985248351E-2</v>
      </c>
      <c r="FN365" s="1217">
        <f>DQ8</f>
        <v>2.1724179780735486E-2</v>
      </c>
      <c r="FO365" s="1217">
        <f>DR8</f>
        <v>-3.7431273367054985E-2</v>
      </c>
      <c r="FP365" s="1217">
        <f t="shared" ref="FP365:FW365" si="322">DT8</f>
        <v>-0.13827322302057243</v>
      </c>
      <c r="FQ365" s="1217">
        <f t="shared" si="322"/>
        <v>-0.17005963006570701</v>
      </c>
      <c r="FR365" s="1217">
        <f t="shared" si="322"/>
        <v>-5.2324200190053904E-2</v>
      </c>
      <c r="FS365" s="1217">
        <f t="shared" si="322"/>
        <v>8.4384329494910926E-3</v>
      </c>
      <c r="FT365" s="1217">
        <f t="shared" si="322"/>
        <v>0</v>
      </c>
      <c r="FU365" s="1217">
        <f t="shared" si="322"/>
        <v>-0.28430973138868521</v>
      </c>
      <c r="FV365" s="1217">
        <f t="shared" si="322"/>
        <v>-0.33135025055488188</v>
      </c>
      <c r="FW365" s="1217">
        <f t="shared" si="322"/>
        <v>-0.13004240740353878</v>
      </c>
      <c r="FX365" s="860"/>
      <c r="FY365" s="860"/>
      <c r="FZ365" s="860"/>
      <c r="GA365" s="860"/>
      <c r="GB365" s="860"/>
      <c r="GC365" s="860"/>
      <c r="GD365" s="860"/>
      <c r="GE365" s="860"/>
      <c r="GF365" s="860"/>
      <c r="GG365" s="860"/>
      <c r="GH365" s="860"/>
      <c r="GI365" s="860"/>
      <c r="GJ365" s="860"/>
      <c r="GK365" s="860"/>
      <c r="GL365" s="860"/>
      <c r="GM365" s="860"/>
      <c r="GN365" s="860"/>
      <c r="GO365" s="860"/>
      <c r="GP365" s="860"/>
      <c r="GQ365" s="860"/>
      <c r="GR365" s="860"/>
      <c r="GS365" s="860"/>
      <c r="GT365" s="860"/>
      <c r="GU365" s="860"/>
      <c r="GV365" s="860"/>
      <c r="GW365" s="860"/>
      <c r="GX365" s="860"/>
      <c r="GY365" s="860"/>
      <c r="GZ365" s="860"/>
      <c r="HA365" s="860"/>
      <c r="HB365" s="860"/>
      <c r="HC365" s="860"/>
      <c r="HE365" s="860"/>
      <c r="HF365" s="860"/>
      <c r="HH365" s="860"/>
      <c r="HI365" s="860"/>
      <c r="HJ365" s="860"/>
      <c r="HL365" s="860"/>
      <c r="HM365" s="860"/>
      <c r="HO365" s="860"/>
      <c r="HP365" s="860"/>
      <c r="HR365" s="860"/>
    </row>
    <row r="366" spans="1:226">
      <c r="A366" s="860"/>
      <c r="B366" s="860"/>
      <c r="C366" s="860"/>
      <c r="D366" s="860"/>
      <c r="E366" s="860"/>
      <c r="F366" s="860"/>
      <c r="G366" s="860"/>
      <c r="H366" s="860"/>
      <c r="I366" s="860"/>
      <c r="J366" s="860"/>
      <c r="K366" s="860"/>
      <c r="L366" s="860"/>
      <c r="M366" s="860"/>
      <c r="N366" s="860"/>
      <c r="O366" s="860"/>
      <c r="P366" s="860"/>
      <c r="Q366" s="860"/>
      <c r="R366" s="860"/>
      <c r="S366" s="860"/>
      <c r="T366" s="860"/>
      <c r="U366" s="860"/>
      <c r="V366" s="860"/>
      <c r="W366" s="860"/>
      <c r="X366" s="860"/>
      <c r="Y366" s="860"/>
      <c r="Z366" s="860"/>
      <c r="AA366" s="860"/>
      <c r="AB366" s="860"/>
      <c r="AC366" s="860"/>
      <c r="AD366" s="860"/>
      <c r="AE366" s="860"/>
      <c r="AF366" s="860"/>
      <c r="AG366" s="860"/>
      <c r="AH366" s="860"/>
      <c r="AI366" s="860"/>
      <c r="AJ366" s="860"/>
      <c r="AK366" s="860"/>
      <c r="AL366" s="860"/>
      <c r="AM366" s="860"/>
      <c r="AN366" s="860"/>
      <c r="AO366" s="860"/>
      <c r="AP366" s="860"/>
      <c r="AQ366" s="860"/>
      <c r="AR366" s="860"/>
      <c r="AS366" s="860"/>
      <c r="AT366" s="860"/>
      <c r="AU366" s="860"/>
      <c r="AV366" s="860"/>
      <c r="AW366" s="860"/>
      <c r="AX366" s="860"/>
      <c r="AY366" s="860"/>
      <c r="AZ366" s="860"/>
      <c r="BA366" s="860"/>
      <c r="BB366" s="860"/>
      <c r="BC366" s="860"/>
      <c r="BD366" s="860"/>
      <c r="BE366" s="860"/>
      <c r="BF366" s="860"/>
      <c r="BG366" s="860"/>
      <c r="BH366" s="860"/>
      <c r="BI366" s="860"/>
      <c r="BJ366" s="860"/>
      <c r="BK366" s="860"/>
      <c r="BL366" s="860"/>
      <c r="BM366" s="860"/>
      <c r="BN366" s="860"/>
      <c r="BO366" s="860"/>
      <c r="BP366" s="860"/>
      <c r="BQ366" s="860"/>
      <c r="BR366" s="860"/>
      <c r="BS366" s="860"/>
      <c r="BT366" s="860"/>
      <c r="BU366" s="860"/>
      <c r="BV366" s="860"/>
      <c r="BW366" s="860"/>
      <c r="BX366" s="860"/>
      <c r="BY366" s="860"/>
      <c r="BZ366" s="860"/>
      <c r="CA366" s="860"/>
      <c r="CB366" s="860"/>
      <c r="CC366" s="860"/>
      <c r="CD366" s="860"/>
      <c r="CE366" s="860"/>
      <c r="CF366" s="860"/>
      <c r="CG366" s="860"/>
      <c r="CH366" s="860"/>
      <c r="CI366" s="860"/>
      <c r="CJ366" s="860"/>
      <c r="CK366" s="860"/>
      <c r="CL366" s="860"/>
      <c r="CM366" s="860"/>
      <c r="CN366" s="860"/>
      <c r="CO366" s="860"/>
      <c r="CP366" s="860"/>
      <c r="CQ366" s="860"/>
      <c r="CR366" s="860"/>
      <c r="CS366" s="860"/>
      <c r="CT366" s="860"/>
      <c r="CU366" s="860"/>
      <c r="CV366" s="860"/>
      <c r="CW366" s="860"/>
      <c r="CX366" s="860"/>
      <c r="CY366" s="860"/>
      <c r="CZ366" s="860"/>
      <c r="DA366" s="860"/>
      <c r="DB366" s="860"/>
      <c r="DC366" s="860"/>
      <c r="DD366" s="860"/>
      <c r="DE366" s="860"/>
      <c r="DF366" s="860"/>
      <c r="DG366" s="860"/>
      <c r="DH366" s="860"/>
      <c r="DI366" s="860"/>
      <c r="DJ366" s="860"/>
      <c r="DK366" s="860"/>
      <c r="DL366" s="860"/>
      <c r="DM366" s="860"/>
      <c r="DN366" s="860"/>
      <c r="DO366" s="860"/>
      <c r="DP366" s="860"/>
      <c r="DQ366" s="860"/>
      <c r="DR366" s="860"/>
      <c r="DS366" s="860"/>
      <c r="DT366" s="860"/>
      <c r="DU366" s="860"/>
      <c r="DV366" s="860"/>
      <c r="DW366" s="860"/>
      <c r="DX366" s="860"/>
      <c r="DY366" s="860"/>
      <c r="DZ366" s="860"/>
      <c r="EA366" s="860"/>
      <c r="EB366" s="860"/>
      <c r="EC366" s="860"/>
      <c r="ED366" s="860"/>
      <c r="EE366" s="860"/>
      <c r="EF366" s="860"/>
      <c r="EG366" s="860"/>
      <c r="EH366" s="860"/>
      <c r="EI366" s="860"/>
      <c r="EJ366" s="860"/>
      <c r="EK366" s="860"/>
      <c r="EL366" s="860"/>
      <c r="EM366" s="860"/>
      <c r="EN366" s="860"/>
      <c r="EO366" s="860"/>
      <c r="EP366" s="860"/>
      <c r="EQ366" s="860"/>
      <c r="ER366" s="860"/>
      <c r="ES366" s="860"/>
      <c r="ET366" s="860"/>
      <c r="EU366" s="860"/>
      <c r="EV366" s="860"/>
      <c r="EW366" s="860"/>
      <c r="EX366" s="860"/>
      <c r="EY366" s="860"/>
      <c r="EZ366" s="860"/>
      <c r="FA366" s="860"/>
      <c r="FB366" s="860"/>
      <c r="FC366" s="860"/>
      <c r="FD366" s="860"/>
      <c r="FE366" s="860"/>
      <c r="FF366" s="860"/>
      <c r="FG366" s="860"/>
      <c r="FH366" s="860"/>
      <c r="FI366" s="860"/>
      <c r="FJ366" s="860"/>
      <c r="FK366" s="860"/>
      <c r="FL366" s="860"/>
      <c r="FM366" s="860"/>
      <c r="FN366" s="860"/>
      <c r="FO366" s="860"/>
      <c r="FP366" s="860"/>
      <c r="FQ366" s="860"/>
      <c r="FR366" s="860"/>
      <c r="FS366" s="860"/>
      <c r="FT366" s="860"/>
      <c r="FU366" s="860"/>
      <c r="FV366" s="860"/>
      <c r="FW366" s="860"/>
      <c r="FX366" s="860"/>
      <c r="FY366" s="860"/>
      <c r="FZ366" s="860"/>
      <c r="GA366" s="860"/>
      <c r="GB366" s="860"/>
      <c r="GC366" s="860"/>
      <c r="GD366" s="860"/>
      <c r="GE366" s="860"/>
      <c r="GF366" s="860"/>
      <c r="GG366" s="860"/>
      <c r="GH366" s="860"/>
      <c r="GI366" s="860"/>
      <c r="GJ366" s="860"/>
      <c r="GK366" s="860"/>
      <c r="GL366" s="860"/>
      <c r="GM366" s="860"/>
      <c r="GN366" s="860"/>
      <c r="GO366" s="860"/>
      <c r="GP366" s="860"/>
      <c r="GQ366" s="860"/>
      <c r="GR366" s="860"/>
      <c r="GS366" s="860"/>
      <c r="GT366" s="860"/>
      <c r="GU366" s="860"/>
      <c r="GV366" s="860"/>
      <c r="GW366" s="860"/>
      <c r="GX366" s="860"/>
      <c r="GY366" s="860"/>
      <c r="GZ366" s="860"/>
      <c r="HA366" s="860"/>
      <c r="HB366" s="860"/>
      <c r="HC366" s="860"/>
      <c r="HE366" s="860"/>
      <c r="HF366" s="860"/>
      <c r="HH366" s="860"/>
      <c r="HI366" s="860"/>
      <c r="HJ366" s="860"/>
      <c r="HL366" s="860"/>
      <c r="HM366" s="860"/>
      <c r="HO366" s="860"/>
      <c r="HP366" s="860"/>
      <c r="HR366" s="860"/>
    </row>
    <row r="367" spans="1:226">
      <c r="A367" s="860"/>
      <c r="B367" s="860"/>
      <c r="C367" s="860"/>
      <c r="D367" s="860"/>
      <c r="E367" s="860"/>
      <c r="F367" s="860"/>
      <c r="G367" s="860"/>
      <c r="H367" s="860"/>
      <c r="I367" s="860"/>
      <c r="J367" s="860"/>
      <c r="K367" s="860"/>
      <c r="L367" s="860"/>
      <c r="M367" s="860"/>
      <c r="N367" s="860"/>
      <c r="O367" s="860"/>
      <c r="P367" s="860"/>
      <c r="Q367" s="860"/>
      <c r="R367" s="860"/>
      <c r="S367" s="860"/>
      <c r="T367" s="860"/>
      <c r="U367" s="860"/>
      <c r="V367" s="860"/>
      <c r="W367" s="860"/>
      <c r="X367" s="860"/>
      <c r="Y367" s="860"/>
      <c r="Z367" s="860"/>
      <c r="AA367" s="860"/>
      <c r="AB367" s="860"/>
      <c r="AC367" s="860"/>
      <c r="AD367" s="860"/>
      <c r="AE367" s="860"/>
      <c r="AF367" s="860"/>
      <c r="AG367" s="860"/>
      <c r="AH367" s="860"/>
      <c r="AI367" s="860"/>
      <c r="AJ367" s="860"/>
      <c r="AK367" s="860"/>
      <c r="AL367" s="860"/>
      <c r="AM367" s="860"/>
      <c r="AN367" s="860"/>
      <c r="AO367" s="860"/>
      <c r="AP367" s="860"/>
      <c r="AQ367" s="860"/>
      <c r="AR367" s="860"/>
      <c r="AS367" s="860"/>
      <c r="AT367" s="860"/>
      <c r="AU367" s="860"/>
      <c r="AV367" s="860"/>
      <c r="AW367" s="860"/>
      <c r="AX367" s="860"/>
      <c r="AY367" s="860"/>
      <c r="AZ367" s="860"/>
      <c r="BA367" s="860"/>
      <c r="BB367" s="860"/>
      <c r="BC367" s="860"/>
      <c r="BD367" s="860"/>
      <c r="BE367" s="860"/>
      <c r="BF367" s="860"/>
      <c r="BG367" s="860"/>
      <c r="BH367" s="860"/>
      <c r="BI367" s="860"/>
      <c r="BJ367" s="860"/>
      <c r="BK367" s="860"/>
      <c r="BL367" s="860"/>
      <c r="BM367" s="860"/>
      <c r="BN367" s="860"/>
      <c r="BO367" s="860"/>
      <c r="BP367" s="860"/>
      <c r="BQ367" s="860"/>
      <c r="BR367" s="860"/>
      <c r="BS367" s="860"/>
      <c r="BT367" s="860"/>
      <c r="BU367" s="860"/>
      <c r="BV367" s="860"/>
      <c r="BW367" s="860"/>
      <c r="BX367" s="860"/>
      <c r="BY367" s="860"/>
      <c r="BZ367" s="860"/>
      <c r="CA367" s="860"/>
      <c r="CB367" s="860"/>
      <c r="CC367" s="860"/>
      <c r="CD367" s="860"/>
      <c r="CE367" s="860"/>
      <c r="CF367" s="860"/>
      <c r="CG367" s="860"/>
      <c r="CH367" s="860"/>
      <c r="CI367" s="860"/>
      <c r="CJ367" s="860"/>
      <c r="CK367" s="860"/>
      <c r="CL367" s="860"/>
      <c r="CM367" s="860"/>
      <c r="CN367" s="860"/>
      <c r="CO367" s="860"/>
      <c r="CP367" s="860"/>
      <c r="CQ367" s="860"/>
      <c r="CR367" s="860"/>
      <c r="CS367" s="860"/>
      <c r="CT367" s="860"/>
      <c r="CU367" s="860"/>
      <c r="CV367" s="860"/>
      <c r="CW367" s="860"/>
      <c r="CX367" s="860"/>
      <c r="CY367" s="860"/>
      <c r="CZ367" s="860"/>
      <c r="DA367" s="860"/>
      <c r="DB367" s="860"/>
      <c r="DC367" s="860"/>
      <c r="DD367" s="860"/>
      <c r="DE367" s="860"/>
      <c r="DF367" s="860"/>
      <c r="DG367" s="860"/>
      <c r="DH367" s="860"/>
      <c r="DI367" s="860"/>
      <c r="DJ367" s="860"/>
      <c r="DK367" s="860"/>
      <c r="DL367" s="860"/>
      <c r="DM367" s="860"/>
      <c r="DN367" s="860"/>
      <c r="DO367" s="860"/>
      <c r="DP367" s="860"/>
      <c r="DQ367" s="860"/>
      <c r="DR367" s="860"/>
      <c r="DS367" s="860"/>
      <c r="DT367" s="860"/>
      <c r="DU367" s="860"/>
      <c r="DV367" s="860"/>
      <c r="DW367" s="860"/>
      <c r="DX367" s="860"/>
      <c r="DY367" s="860"/>
      <c r="DZ367" s="860"/>
      <c r="EA367" s="860"/>
      <c r="EB367" s="860"/>
      <c r="EC367" s="860"/>
      <c r="ED367" s="860"/>
      <c r="EE367" s="860"/>
      <c r="EF367" s="860"/>
      <c r="EG367" s="860"/>
      <c r="EH367" s="860"/>
      <c r="EI367" s="860"/>
      <c r="EJ367" s="860"/>
      <c r="EK367" s="860"/>
      <c r="EL367" s="860"/>
      <c r="EM367" s="860"/>
      <c r="EN367" s="860"/>
      <c r="EO367" s="860"/>
      <c r="EP367" s="860"/>
      <c r="EQ367" s="860"/>
      <c r="ER367" s="860"/>
      <c r="ES367" s="860"/>
      <c r="ET367" s="860"/>
      <c r="EU367" s="860"/>
      <c r="EV367" s="860"/>
      <c r="EW367" s="860"/>
      <c r="EX367" s="860"/>
      <c r="EY367" s="860"/>
      <c r="EZ367" s="860"/>
      <c r="FA367" s="860"/>
      <c r="FB367" s="860"/>
      <c r="FC367" s="860"/>
      <c r="FD367" s="860"/>
      <c r="FE367" s="860"/>
      <c r="FF367" s="860"/>
      <c r="FG367" s="860"/>
      <c r="FH367" s="860"/>
      <c r="FI367" s="860"/>
      <c r="FJ367" s="860"/>
      <c r="FK367" s="860"/>
      <c r="FL367" s="860"/>
      <c r="FM367" s="860"/>
      <c r="FN367" s="860"/>
      <c r="FO367" s="860"/>
      <c r="FP367" s="860"/>
      <c r="FQ367" s="860"/>
      <c r="FR367" s="860"/>
      <c r="FS367" s="860"/>
      <c r="FT367" s="860"/>
      <c r="FU367" s="860"/>
      <c r="FV367" s="860"/>
      <c r="FW367" s="860"/>
      <c r="FY367" s="860"/>
      <c r="FZ367" s="860"/>
      <c r="GA367" s="860"/>
      <c r="GB367" s="860"/>
      <c r="GC367" s="860"/>
      <c r="GD367" s="860"/>
      <c r="GE367" s="860"/>
      <c r="GF367" s="860"/>
      <c r="GG367" s="860"/>
      <c r="GH367" s="860"/>
      <c r="GI367" s="860"/>
      <c r="GJ367" s="860"/>
      <c r="GK367" s="860"/>
      <c r="GL367" s="860"/>
      <c r="GM367" s="860"/>
      <c r="GN367" s="860"/>
      <c r="GO367" s="860"/>
      <c r="GP367" s="860"/>
      <c r="GQ367" s="860"/>
      <c r="GR367" s="860"/>
      <c r="GS367" s="860"/>
      <c r="GT367" s="860"/>
      <c r="GU367" s="860"/>
      <c r="GV367" s="860"/>
      <c r="GW367" s="860"/>
      <c r="GX367" s="860"/>
      <c r="GY367" s="860"/>
      <c r="GZ367" s="860"/>
      <c r="HA367" s="860"/>
      <c r="HB367" s="860"/>
      <c r="HC367" s="860"/>
      <c r="HE367" s="860"/>
      <c r="HF367" s="860"/>
      <c r="HH367" s="860"/>
      <c r="HI367" s="860"/>
      <c r="HJ367" s="860"/>
      <c r="HL367" s="860"/>
      <c r="HM367" s="860"/>
      <c r="HO367" s="860"/>
      <c r="HP367" s="860"/>
      <c r="HR367" s="860"/>
    </row>
    <row r="368" spans="1:226">
      <c r="A368" s="860"/>
      <c r="B368" s="860"/>
      <c r="C368" s="860"/>
      <c r="D368" s="860"/>
      <c r="E368" s="860"/>
      <c r="F368" s="860"/>
      <c r="G368" s="860"/>
      <c r="H368" s="860"/>
      <c r="I368" s="860"/>
      <c r="J368" s="860"/>
      <c r="K368" s="860"/>
      <c r="L368" s="860"/>
      <c r="M368" s="860"/>
      <c r="N368" s="860"/>
      <c r="O368" s="860"/>
      <c r="P368" s="860"/>
      <c r="Q368" s="860"/>
      <c r="R368" s="860"/>
      <c r="S368" s="860"/>
      <c r="T368" s="860"/>
      <c r="U368" s="860"/>
      <c r="V368" s="860"/>
      <c r="W368" s="860"/>
      <c r="X368" s="860"/>
      <c r="Y368" s="860"/>
      <c r="Z368" s="860"/>
      <c r="AA368" s="860"/>
      <c r="AB368" s="860"/>
      <c r="AC368" s="860"/>
      <c r="AD368" s="860"/>
      <c r="AE368" s="860"/>
      <c r="AF368" s="860"/>
      <c r="AG368" s="860"/>
      <c r="AH368" s="860"/>
      <c r="AI368" s="860"/>
      <c r="AJ368" s="860"/>
      <c r="AK368" s="860"/>
      <c r="AL368" s="860"/>
      <c r="AM368" s="860"/>
      <c r="AN368" s="860"/>
      <c r="AO368" s="860"/>
      <c r="AP368" s="860"/>
      <c r="AQ368" s="860"/>
      <c r="AR368" s="860"/>
      <c r="AS368" s="860"/>
      <c r="AT368" s="860"/>
      <c r="AU368" s="860"/>
      <c r="AV368" s="860"/>
      <c r="AW368" s="860"/>
      <c r="AX368" s="860"/>
      <c r="AY368" s="860"/>
      <c r="AZ368" s="860"/>
      <c r="BA368" s="860"/>
      <c r="BB368" s="860"/>
      <c r="BC368" s="860"/>
      <c r="BD368" s="860"/>
      <c r="BE368" s="860"/>
      <c r="BF368" s="860"/>
      <c r="BG368" s="860"/>
      <c r="BH368" s="860"/>
      <c r="BI368" s="860"/>
      <c r="BJ368" s="860"/>
      <c r="BK368" s="860"/>
      <c r="BL368" s="860"/>
      <c r="BM368" s="860"/>
      <c r="BN368" s="860"/>
      <c r="BO368" s="860"/>
      <c r="BP368" s="860"/>
      <c r="BQ368" s="860"/>
      <c r="BR368" s="860"/>
      <c r="BS368" s="860"/>
      <c r="BT368" s="860"/>
      <c r="BU368" s="860"/>
      <c r="BV368" s="860"/>
      <c r="BW368" s="860"/>
      <c r="BX368" s="860"/>
      <c r="BY368" s="860"/>
      <c r="BZ368" s="860"/>
      <c r="CA368" s="860"/>
      <c r="CB368" s="860"/>
      <c r="CC368" s="860"/>
      <c r="CD368" s="860"/>
      <c r="CE368" s="860"/>
      <c r="CF368" s="860"/>
      <c r="CG368" s="860"/>
      <c r="CH368" s="860"/>
      <c r="CI368" s="860"/>
      <c r="CJ368" s="860"/>
      <c r="CK368" s="860"/>
      <c r="CL368" s="860"/>
      <c r="CM368" s="860"/>
      <c r="CN368" s="860"/>
      <c r="CO368" s="860"/>
      <c r="CP368" s="860"/>
      <c r="CQ368" s="860"/>
      <c r="CR368" s="860"/>
      <c r="CS368" s="860"/>
      <c r="CT368" s="860"/>
      <c r="CU368" s="860"/>
      <c r="CV368" s="860"/>
      <c r="CW368" s="860"/>
      <c r="CX368" s="860"/>
      <c r="CY368" s="860"/>
      <c r="CZ368" s="860"/>
      <c r="DA368" s="860"/>
      <c r="DB368" s="860"/>
      <c r="DC368" s="860"/>
      <c r="DD368" s="860"/>
      <c r="DE368" s="860"/>
      <c r="DF368" s="860"/>
      <c r="DG368" s="860"/>
      <c r="DH368" s="860"/>
      <c r="DI368" s="860"/>
      <c r="DJ368" s="860"/>
      <c r="DK368" s="860"/>
      <c r="DL368" s="860"/>
      <c r="DM368" s="860"/>
      <c r="DN368" s="860"/>
      <c r="DO368" s="860"/>
      <c r="DP368" s="860"/>
      <c r="DQ368" s="860"/>
      <c r="DR368" s="860"/>
      <c r="DS368" s="860"/>
      <c r="DT368" s="860"/>
      <c r="DU368" s="860"/>
      <c r="DV368" s="860"/>
      <c r="DW368" s="860"/>
      <c r="DX368" s="860"/>
      <c r="DY368" s="860"/>
      <c r="DZ368" s="860"/>
      <c r="EA368" s="860"/>
      <c r="EB368" s="860"/>
      <c r="EC368" s="860"/>
      <c r="ED368" s="860"/>
      <c r="EE368" s="860"/>
      <c r="EF368" s="860"/>
      <c r="EG368" s="860"/>
      <c r="EH368" s="860"/>
      <c r="EI368" s="860"/>
      <c r="EJ368" s="860"/>
      <c r="EK368" s="860"/>
      <c r="EL368" s="860"/>
      <c r="EM368" s="860"/>
      <c r="EN368" s="860"/>
      <c r="EO368" s="860"/>
      <c r="EP368" s="860"/>
      <c r="EQ368" s="860"/>
      <c r="ER368" s="860"/>
      <c r="ES368" s="860"/>
      <c r="ET368" s="860"/>
      <c r="EU368" s="860"/>
      <c r="EV368" s="860"/>
      <c r="EW368" s="860"/>
      <c r="EX368" s="860"/>
      <c r="EY368" s="860"/>
      <c r="EZ368" s="860"/>
      <c r="FA368" s="860"/>
      <c r="FB368" s="860"/>
      <c r="FC368" s="860"/>
      <c r="FD368" s="860"/>
      <c r="FE368" s="860"/>
      <c r="FF368" s="860"/>
      <c r="FG368" s="860"/>
      <c r="FH368" s="860"/>
      <c r="FI368" s="860"/>
      <c r="FJ368" s="860"/>
      <c r="FK368" s="1244"/>
      <c r="FL368" s="1245" t="s">
        <v>745</v>
      </c>
      <c r="FM368" s="1245" t="s">
        <v>746</v>
      </c>
      <c r="FN368" s="1245" t="s">
        <v>747</v>
      </c>
      <c r="FO368" s="1245" t="s">
        <v>748</v>
      </c>
      <c r="FP368" s="1245" t="s">
        <v>749</v>
      </c>
      <c r="FQ368" s="1245" t="s">
        <v>750</v>
      </c>
      <c r="FR368" s="1245" t="s">
        <v>751</v>
      </c>
      <c r="FS368" s="1245" t="s">
        <v>752</v>
      </c>
      <c r="FT368" s="1245" t="s">
        <v>753</v>
      </c>
      <c r="FU368" s="1245" t="s">
        <v>754</v>
      </c>
      <c r="FV368" s="1245" t="s">
        <v>755</v>
      </c>
      <c r="FW368" s="1245" t="s">
        <v>756</v>
      </c>
      <c r="FX368" s="860"/>
      <c r="FY368" s="860"/>
      <c r="FZ368" s="860"/>
      <c r="GA368" s="860"/>
      <c r="GB368" s="860"/>
      <c r="GC368" s="860"/>
      <c r="GD368" s="860"/>
      <c r="GE368" s="860"/>
      <c r="GF368" s="860"/>
      <c r="GG368" s="860"/>
      <c r="GH368" s="860"/>
      <c r="GI368" s="860"/>
      <c r="GJ368" s="860"/>
      <c r="GK368" s="860"/>
      <c r="GL368" s="860"/>
      <c r="GM368" s="860"/>
      <c r="GN368" s="860"/>
      <c r="GO368" s="860"/>
      <c r="GP368" s="860"/>
      <c r="GQ368" s="860"/>
      <c r="GR368" s="860"/>
      <c r="GS368" s="860"/>
      <c r="GT368" s="860"/>
      <c r="GU368" s="860"/>
      <c r="GV368" s="860"/>
      <c r="GW368" s="860"/>
      <c r="GX368" s="860"/>
      <c r="GY368" s="860"/>
      <c r="GZ368" s="860"/>
      <c r="HA368" s="860"/>
      <c r="HB368" s="860"/>
      <c r="HC368" s="860"/>
      <c r="HE368" s="860"/>
      <c r="HF368" s="860"/>
      <c r="HH368" s="860"/>
      <c r="HI368" s="860"/>
      <c r="HJ368" s="860"/>
      <c r="HL368" s="860"/>
      <c r="HM368" s="860"/>
      <c r="HO368" s="860"/>
      <c r="HP368" s="860"/>
      <c r="HR368" s="860"/>
    </row>
    <row r="369" spans="1:226">
      <c r="A369" s="860"/>
      <c r="B369" s="860"/>
      <c r="C369" s="860"/>
      <c r="D369" s="860"/>
      <c r="E369" s="860"/>
      <c r="F369" s="860"/>
      <c r="G369" s="860"/>
      <c r="H369" s="860"/>
      <c r="I369" s="860"/>
      <c r="J369" s="860"/>
      <c r="K369" s="860"/>
      <c r="L369" s="860"/>
      <c r="M369" s="860"/>
      <c r="N369" s="860"/>
      <c r="O369" s="860"/>
      <c r="P369" s="860"/>
      <c r="Q369" s="860"/>
      <c r="R369" s="860"/>
      <c r="S369" s="860"/>
      <c r="T369" s="860"/>
      <c r="U369" s="860"/>
      <c r="V369" s="860"/>
      <c r="W369" s="860"/>
      <c r="X369" s="860"/>
      <c r="Y369" s="860"/>
      <c r="Z369" s="860"/>
      <c r="AA369" s="860"/>
      <c r="AB369" s="860"/>
      <c r="AC369" s="860"/>
      <c r="AD369" s="860"/>
      <c r="AE369" s="860"/>
      <c r="AF369" s="860"/>
      <c r="AG369" s="860"/>
      <c r="AH369" s="860"/>
      <c r="AI369" s="860"/>
      <c r="AJ369" s="860"/>
      <c r="AK369" s="860"/>
      <c r="AL369" s="860"/>
      <c r="AM369" s="860"/>
      <c r="AN369" s="860"/>
      <c r="AO369" s="860"/>
      <c r="AP369" s="860"/>
      <c r="AQ369" s="860"/>
      <c r="AR369" s="860"/>
      <c r="AS369" s="860"/>
      <c r="AT369" s="860"/>
      <c r="AU369" s="860"/>
      <c r="AV369" s="860"/>
      <c r="AW369" s="860"/>
      <c r="AX369" s="860"/>
      <c r="AY369" s="860"/>
      <c r="AZ369" s="860"/>
      <c r="BA369" s="860"/>
      <c r="BB369" s="860"/>
      <c r="BC369" s="860"/>
      <c r="BD369" s="860"/>
      <c r="BE369" s="860"/>
      <c r="BF369" s="860"/>
      <c r="BG369" s="860"/>
      <c r="BH369" s="860"/>
      <c r="BI369" s="860"/>
      <c r="BJ369" s="860"/>
      <c r="BK369" s="860"/>
      <c r="BL369" s="860"/>
      <c r="BM369" s="860"/>
      <c r="BN369" s="860"/>
      <c r="BO369" s="860"/>
      <c r="BP369" s="860"/>
      <c r="BQ369" s="860"/>
      <c r="BR369" s="860"/>
      <c r="BS369" s="860"/>
      <c r="BT369" s="860"/>
      <c r="BU369" s="860"/>
      <c r="BV369" s="860"/>
      <c r="BW369" s="860"/>
      <c r="BX369" s="860"/>
      <c r="BY369" s="860"/>
      <c r="BZ369" s="860"/>
      <c r="CA369" s="860"/>
      <c r="CB369" s="860"/>
      <c r="CC369" s="860"/>
      <c r="CD369" s="860"/>
      <c r="CE369" s="860"/>
      <c r="CF369" s="860"/>
      <c r="CG369" s="860"/>
      <c r="CH369" s="860"/>
      <c r="CI369" s="860"/>
      <c r="CJ369" s="860"/>
      <c r="CK369" s="860"/>
      <c r="CL369" s="860"/>
      <c r="CM369" s="860"/>
      <c r="CN369" s="860"/>
      <c r="CO369" s="860"/>
      <c r="CP369" s="860"/>
      <c r="CQ369" s="860"/>
      <c r="CR369" s="860"/>
      <c r="CS369" s="860"/>
      <c r="CT369" s="860"/>
      <c r="CU369" s="860"/>
      <c r="CV369" s="860"/>
      <c r="CW369" s="860"/>
      <c r="CX369" s="860"/>
      <c r="CY369" s="860"/>
      <c r="CZ369" s="860"/>
      <c r="DA369" s="860"/>
      <c r="DB369" s="860"/>
      <c r="DC369" s="860"/>
      <c r="DD369" s="860"/>
      <c r="DE369" s="860"/>
      <c r="DF369" s="860"/>
      <c r="DG369" s="860"/>
      <c r="DH369" s="860"/>
      <c r="DI369" s="860"/>
      <c r="DJ369" s="860"/>
      <c r="DK369" s="860"/>
      <c r="DL369" s="860"/>
      <c r="DM369" s="860"/>
      <c r="DN369" s="860"/>
      <c r="DO369" s="860"/>
      <c r="DP369" s="860"/>
      <c r="DQ369" s="860"/>
      <c r="DR369" s="860"/>
      <c r="DS369" s="860"/>
      <c r="DT369" s="860"/>
      <c r="DU369" s="860"/>
      <c r="DV369" s="860"/>
      <c r="DW369" s="860"/>
      <c r="DX369" s="860"/>
      <c r="DY369" s="860"/>
      <c r="DZ369" s="860"/>
      <c r="EA369" s="860"/>
      <c r="EB369" s="860"/>
      <c r="EC369" s="860"/>
      <c r="ED369" s="860"/>
      <c r="EE369" s="860"/>
      <c r="EF369" s="860"/>
      <c r="EG369" s="860"/>
      <c r="EH369" s="860"/>
      <c r="EI369" s="860"/>
      <c r="EJ369" s="860"/>
      <c r="EK369" s="860"/>
      <c r="EL369" s="860"/>
      <c r="EM369" s="860"/>
      <c r="EN369" s="860"/>
      <c r="EO369" s="860"/>
      <c r="EP369" s="860"/>
      <c r="EQ369" s="860"/>
      <c r="ER369" s="860"/>
      <c r="ES369" s="860"/>
      <c r="ET369" s="860"/>
      <c r="EU369" s="860"/>
      <c r="EV369" s="860"/>
      <c r="EW369" s="860"/>
      <c r="EX369" s="860"/>
      <c r="EY369" s="860"/>
      <c r="EZ369" s="860"/>
      <c r="FA369" s="860"/>
      <c r="FB369" s="860"/>
      <c r="FC369" s="860"/>
      <c r="FD369" s="860"/>
      <c r="FE369" s="860"/>
      <c r="FF369" s="860"/>
      <c r="FG369" s="860"/>
      <c r="FH369" s="860"/>
      <c r="FI369" s="860"/>
      <c r="FJ369" s="860"/>
      <c r="FK369" s="860" t="s">
        <v>844</v>
      </c>
      <c r="FL369" s="1217">
        <f>DO14</f>
        <v>7.082247446364387E-2</v>
      </c>
      <c r="FM369" s="1217">
        <f>DP14</f>
        <v>9.8174623912800074E-2</v>
      </c>
      <c r="FN369" s="1217">
        <f>DQ14</f>
        <v>0.10782817662961852</v>
      </c>
      <c r="FO369" s="1217">
        <f>DR14</f>
        <v>0.10762373587496676</v>
      </c>
      <c r="FP369" s="1217">
        <f>DT14</f>
        <v>0.14168887043380973</v>
      </c>
      <c r="FQ369" s="1217">
        <f>DU14</f>
        <v>0.15749458966427587</v>
      </c>
      <c r="FR369" s="1217">
        <f>DV14</f>
        <v>0.14666102669226366</v>
      </c>
      <c r="FS369" s="1217">
        <f>DW14</f>
        <v>0.15743299326517946</v>
      </c>
      <c r="FT369" s="1217">
        <f>DY14</f>
        <v>9.3613925904971751E-2</v>
      </c>
      <c r="FU369" s="1217">
        <f>DZ14</f>
        <v>0.10700196755973623</v>
      </c>
      <c r="FV369" s="1217">
        <f>EA14</f>
        <v>7.9057140965371087E-2</v>
      </c>
      <c r="FW369" s="1217">
        <f>EB14</f>
        <v>7.3492433801435553E-2</v>
      </c>
      <c r="FX369" s="860"/>
      <c r="FY369" s="860"/>
      <c r="FZ369" s="860"/>
      <c r="GA369" s="860"/>
      <c r="GB369" s="860"/>
      <c r="GC369" s="860"/>
      <c r="GD369" s="860"/>
      <c r="GE369" s="860"/>
      <c r="GF369" s="860"/>
      <c r="GG369" s="860"/>
      <c r="GH369" s="860"/>
      <c r="GI369" s="860"/>
      <c r="GJ369" s="860"/>
      <c r="GK369" s="860"/>
      <c r="GL369" s="860"/>
      <c r="GM369" s="860"/>
      <c r="GN369" s="860"/>
      <c r="GO369" s="860"/>
      <c r="GP369" s="860"/>
      <c r="GQ369" s="860"/>
      <c r="GR369" s="860"/>
      <c r="GS369" s="860"/>
      <c r="GT369" s="860"/>
      <c r="GU369" s="860"/>
      <c r="GV369" s="860"/>
      <c r="GW369" s="860"/>
      <c r="GX369" s="860"/>
      <c r="GY369" s="860"/>
      <c r="GZ369" s="860"/>
      <c r="HA369" s="860"/>
      <c r="HB369" s="860"/>
      <c r="HC369" s="860"/>
      <c r="HE369" s="860"/>
      <c r="HF369" s="860"/>
      <c r="HH369" s="860"/>
      <c r="HI369" s="860"/>
      <c r="HJ369" s="860"/>
      <c r="HL369" s="860"/>
      <c r="HM369" s="860"/>
      <c r="HO369" s="860"/>
      <c r="HP369" s="860"/>
      <c r="HR369" s="860"/>
    </row>
    <row r="370" spans="1:226">
      <c r="A370" s="860"/>
      <c r="B370" s="860"/>
      <c r="C370" s="860"/>
      <c r="D370" s="860"/>
      <c r="E370" s="860"/>
      <c r="F370" s="860"/>
      <c r="G370" s="860"/>
      <c r="H370" s="860"/>
      <c r="I370" s="860"/>
      <c r="J370" s="860"/>
      <c r="K370" s="860"/>
      <c r="L370" s="860"/>
      <c r="M370" s="860"/>
      <c r="N370" s="860"/>
      <c r="O370" s="860"/>
      <c r="P370" s="860"/>
      <c r="Q370" s="860"/>
      <c r="R370" s="860"/>
      <c r="S370" s="860"/>
      <c r="T370" s="860"/>
      <c r="U370" s="860"/>
      <c r="V370" s="860"/>
      <c r="W370" s="860"/>
      <c r="X370" s="860"/>
      <c r="Y370" s="860"/>
      <c r="Z370" s="860"/>
      <c r="AA370" s="860"/>
      <c r="AB370" s="860"/>
      <c r="AC370" s="860"/>
      <c r="AD370" s="860"/>
      <c r="AE370" s="860"/>
      <c r="AF370" s="860"/>
      <c r="AG370" s="860"/>
      <c r="AH370" s="860"/>
      <c r="AI370" s="860"/>
      <c r="AJ370" s="860"/>
      <c r="AK370" s="860"/>
      <c r="AL370" s="860"/>
      <c r="AM370" s="860"/>
      <c r="AN370" s="860"/>
      <c r="AO370" s="860"/>
      <c r="AP370" s="860"/>
      <c r="AQ370" s="860"/>
      <c r="AR370" s="860"/>
      <c r="AS370" s="860"/>
      <c r="AT370" s="860"/>
      <c r="AU370" s="860"/>
      <c r="AV370" s="860"/>
      <c r="AW370" s="860"/>
      <c r="AX370" s="860"/>
      <c r="AY370" s="860"/>
      <c r="AZ370" s="860"/>
      <c r="BA370" s="860"/>
      <c r="BB370" s="860"/>
      <c r="BC370" s="860"/>
      <c r="BD370" s="860"/>
      <c r="BE370" s="860"/>
      <c r="BF370" s="860"/>
      <c r="BG370" s="860"/>
      <c r="BH370" s="860"/>
      <c r="BI370" s="860"/>
      <c r="BJ370" s="860"/>
      <c r="BK370" s="860"/>
      <c r="BL370" s="860"/>
      <c r="BM370" s="860"/>
      <c r="BN370" s="860"/>
      <c r="BO370" s="860"/>
      <c r="BP370" s="860"/>
      <c r="BQ370" s="860"/>
      <c r="BR370" s="860"/>
      <c r="BS370" s="860"/>
      <c r="BT370" s="860"/>
      <c r="BU370" s="860"/>
      <c r="BV370" s="860"/>
      <c r="BW370" s="860"/>
      <c r="BX370" s="860"/>
      <c r="BY370" s="860"/>
      <c r="BZ370" s="860"/>
      <c r="CA370" s="860"/>
      <c r="CB370" s="860"/>
      <c r="CC370" s="860"/>
      <c r="CD370" s="860"/>
      <c r="CE370" s="860"/>
      <c r="CF370" s="860"/>
      <c r="CG370" s="860"/>
      <c r="CH370" s="860"/>
      <c r="CI370" s="860"/>
      <c r="CJ370" s="860"/>
      <c r="CK370" s="860"/>
      <c r="CL370" s="860"/>
      <c r="CM370" s="860"/>
      <c r="CN370" s="860"/>
      <c r="CO370" s="860"/>
      <c r="CP370" s="860"/>
      <c r="CQ370" s="860"/>
      <c r="CR370" s="860"/>
      <c r="CS370" s="860"/>
      <c r="CT370" s="860"/>
      <c r="CU370" s="860"/>
      <c r="CV370" s="860"/>
      <c r="CW370" s="860"/>
      <c r="CX370" s="860"/>
      <c r="CY370" s="860"/>
      <c r="CZ370" s="860"/>
      <c r="DA370" s="860"/>
      <c r="DB370" s="860"/>
      <c r="DC370" s="860"/>
      <c r="DD370" s="860"/>
      <c r="DE370" s="860"/>
      <c r="DF370" s="860"/>
      <c r="DG370" s="860"/>
      <c r="DH370" s="860"/>
      <c r="DI370" s="860"/>
      <c r="DJ370" s="860"/>
      <c r="DK370" s="860"/>
      <c r="DL370" s="860"/>
      <c r="DM370" s="860"/>
      <c r="DN370" s="860"/>
      <c r="DO370" s="860"/>
      <c r="DP370" s="860"/>
      <c r="DQ370" s="860"/>
      <c r="DR370" s="860"/>
      <c r="DS370" s="860"/>
      <c r="DT370" s="860"/>
      <c r="DU370" s="860"/>
      <c r="DV370" s="860"/>
      <c r="DW370" s="860"/>
      <c r="DX370" s="860"/>
      <c r="DY370" s="860"/>
      <c r="DZ370" s="860"/>
      <c r="EA370" s="860"/>
      <c r="EB370" s="860"/>
      <c r="EC370" s="860"/>
      <c r="ED370" s="860"/>
      <c r="EE370" s="860"/>
      <c r="EF370" s="860"/>
      <c r="EG370" s="860"/>
      <c r="EH370" s="860"/>
      <c r="EI370" s="860"/>
      <c r="EJ370" s="860"/>
      <c r="EK370" s="860"/>
      <c r="EL370" s="860"/>
      <c r="EM370" s="860"/>
      <c r="EN370" s="860"/>
      <c r="EO370" s="860"/>
      <c r="EP370" s="860"/>
      <c r="EQ370" s="860"/>
      <c r="ER370" s="860"/>
      <c r="ES370" s="860"/>
      <c r="ET370" s="860"/>
      <c r="EU370" s="860"/>
      <c r="EV370" s="860"/>
      <c r="EW370" s="860"/>
      <c r="EX370" s="860"/>
      <c r="EY370" s="860"/>
      <c r="EZ370" s="860"/>
      <c r="FA370" s="860"/>
      <c r="FB370" s="860"/>
      <c r="FC370" s="860"/>
      <c r="FD370" s="860"/>
      <c r="FE370" s="860"/>
      <c r="FF370" s="860"/>
      <c r="FG370" s="860"/>
      <c r="FH370" s="860"/>
      <c r="FI370" s="860"/>
      <c r="FJ370" s="860"/>
      <c r="FK370" s="860" t="s">
        <v>845</v>
      </c>
      <c r="FL370" s="860"/>
      <c r="FM370" s="860"/>
      <c r="FN370" s="860"/>
      <c r="FO370" s="860"/>
      <c r="FP370" s="1217">
        <f t="shared" ref="FP370:FU370" si="323">FP369</f>
        <v>0.14168887043380973</v>
      </c>
      <c r="FQ370" s="1217">
        <f t="shared" si="323"/>
        <v>0.15749458966427587</v>
      </c>
      <c r="FR370" s="1217">
        <f t="shared" si="323"/>
        <v>0.14666102669226366</v>
      </c>
      <c r="FS370" s="1217">
        <f t="shared" si="323"/>
        <v>0.15743299326517946</v>
      </c>
      <c r="FT370" s="1217">
        <f t="shared" si="323"/>
        <v>9.3613925904971751E-2</v>
      </c>
      <c r="FU370" s="1217">
        <f t="shared" si="323"/>
        <v>0.10700196755973623</v>
      </c>
      <c r="FV370" s="1217">
        <f>FV369</f>
        <v>7.9057140965371087E-2</v>
      </c>
      <c r="FW370" s="1217">
        <f>FW369+2%</f>
        <v>9.3492433801435557E-2</v>
      </c>
      <c r="FX370" s="860"/>
      <c r="FY370" s="860"/>
      <c r="FZ370" s="860"/>
      <c r="GA370" s="860"/>
      <c r="GB370" s="860"/>
      <c r="GC370" s="860"/>
      <c r="GD370" s="860"/>
      <c r="GE370" s="860"/>
      <c r="GF370" s="860"/>
      <c r="GG370" s="860"/>
      <c r="GH370" s="860"/>
      <c r="GI370" s="860"/>
      <c r="GJ370" s="860"/>
      <c r="GK370" s="860"/>
      <c r="GL370" s="860"/>
      <c r="GM370" s="860"/>
      <c r="GN370" s="860"/>
      <c r="GO370" s="860"/>
      <c r="GP370" s="860"/>
      <c r="GQ370" s="860"/>
      <c r="GR370" s="860"/>
      <c r="GS370" s="860"/>
      <c r="GT370" s="860"/>
      <c r="GU370" s="860"/>
      <c r="GV370" s="860"/>
      <c r="GW370" s="860"/>
      <c r="GX370" s="860"/>
      <c r="GY370" s="860"/>
      <c r="GZ370" s="860"/>
      <c r="HA370" s="860"/>
      <c r="HB370" s="860"/>
      <c r="HC370" s="860"/>
      <c r="HE370" s="860"/>
      <c r="HF370" s="860"/>
      <c r="HH370" s="860"/>
      <c r="HI370" s="860"/>
      <c r="HJ370" s="860"/>
      <c r="HL370" s="860"/>
      <c r="HM370" s="860"/>
      <c r="HO370" s="860"/>
      <c r="HP370" s="860"/>
      <c r="HR370" s="860"/>
    </row>
    <row r="371" spans="1:226">
      <c r="A371" s="860"/>
      <c r="B371" s="860"/>
      <c r="C371" s="860"/>
      <c r="D371" s="860"/>
      <c r="E371" s="860"/>
      <c r="F371" s="860"/>
      <c r="G371" s="860"/>
      <c r="H371" s="860"/>
      <c r="I371" s="860"/>
      <c r="J371" s="860"/>
      <c r="K371" s="860"/>
      <c r="L371" s="860"/>
      <c r="M371" s="860"/>
      <c r="N371" s="860"/>
      <c r="O371" s="860"/>
      <c r="P371" s="860"/>
      <c r="Q371" s="860"/>
      <c r="R371" s="860"/>
      <c r="S371" s="860"/>
      <c r="T371" s="860"/>
      <c r="U371" s="860"/>
      <c r="V371" s="860"/>
      <c r="W371" s="860"/>
      <c r="X371" s="860"/>
      <c r="Y371" s="860"/>
      <c r="Z371" s="860"/>
      <c r="AA371" s="860"/>
      <c r="AB371" s="860"/>
      <c r="AC371" s="860"/>
      <c r="AD371" s="860"/>
      <c r="AE371" s="860"/>
      <c r="AF371" s="860"/>
      <c r="AG371" s="860"/>
      <c r="AH371" s="860"/>
      <c r="AI371" s="860"/>
      <c r="AJ371" s="860"/>
      <c r="AK371" s="860"/>
      <c r="AL371" s="860"/>
      <c r="AM371" s="860"/>
      <c r="AN371" s="860"/>
      <c r="AO371" s="860"/>
      <c r="AP371" s="860"/>
      <c r="AQ371" s="860"/>
      <c r="AR371" s="860"/>
      <c r="AS371" s="860"/>
      <c r="AT371" s="860"/>
      <c r="AU371" s="860"/>
      <c r="AV371" s="860"/>
      <c r="AW371" s="860"/>
      <c r="AX371" s="860"/>
      <c r="AY371" s="860"/>
      <c r="AZ371" s="860"/>
      <c r="BA371" s="860"/>
      <c r="BB371" s="860"/>
      <c r="BC371" s="860"/>
      <c r="BD371" s="860"/>
      <c r="BE371" s="860"/>
      <c r="BF371" s="860"/>
      <c r="BG371" s="860"/>
      <c r="BH371" s="860"/>
      <c r="BI371" s="860"/>
      <c r="BJ371" s="860"/>
      <c r="BK371" s="860"/>
      <c r="BL371" s="860"/>
      <c r="BM371" s="860"/>
      <c r="BN371" s="860"/>
      <c r="BO371" s="860"/>
      <c r="BP371" s="860"/>
      <c r="BQ371" s="860"/>
      <c r="BR371" s="860"/>
      <c r="BS371" s="860"/>
      <c r="BT371" s="860"/>
      <c r="BU371" s="860"/>
      <c r="BV371" s="860"/>
      <c r="BW371" s="860"/>
      <c r="BX371" s="860"/>
      <c r="BY371" s="860"/>
      <c r="BZ371" s="860"/>
      <c r="CA371" s="860"/>
      <c r="CB371" s="860"/>
      <c r="CC371" s="860"/>
      <c r="CD371" s="860"/>
      <c r="CE371" s="860"/>
      <c r="CF371" s="860"/>
      <c r="CG371" s="860"/>
      <c r="CH371" s="860"/>
      <c r="CI371" s="860"/>
      <c r="CJ371" s="860"/>
      <c r="CK371" s="860"/>
      <c r="CL371" s="860"/>
      <c r="CM371" s="860"/>
      <c r="CN371" s="860"/>
      <c r="CO371" s="860"/>
      <c r="CP371" s="860"/>
      <c r="CQ371" s="860"/>
      <c r="CR371" s="860"/>
      <c r="CS371" s="860"/>
      <c r="CT371" s="860"/>
      <c r="CU371" s="860"/>
      <c r="CV371" s="860"/>
      <c r="CW371" s="860"/>
      <c r="CX371" s="860"/>
      <c r="CY371" s="860"/>
      <c r="CZ371" s="860"/>
      <c r="DA371" s="860"/>
      <c r="DB371" s="860"/>
      <c r="DC371" s="860"/>
      <c r="DD371" s="860"/>
      <c r="DE371" s="860"/>
      <c r="DF371" s="860"/>
      <c r="DG371" s="860"/>
      <c r="DH371" s="860"/>
      <c r="DI371" s="860"/>
      <c r="DJ371" s="860"/>
      <c r="DK371" s="860"/>
      <c r="DL371" s="860"/>
      <c r="DM371" s="860"/>
      <c r="DN371" s="860"/>
      <c r="DO371" s="860"/>
      <c r="DP371" s="860"/>
      <c r="DQ371" s="860"/>
      <c r="DR371" s="860"/>
      <c r="DS371" s="860"/>
      <c r="DT371" s="860"/>
      <c r="DU371" s="860"/>
      <c r="DV371" s="860"/>
      <c r="DW371" s="860"/>
      <c r="DX371" s="860"/>
      <c r="DY371" s="860"/>
      <c r="DZ371" s="860"/>
      <c r="EA371" s="860"/>
      <c r="EB371" s="860"/>
      <c r="EC371" s="860"/>
      <c r="ED371" s="860"/>
      <c r="EE371" s="860"/>
      <c r="EF371" s="860"/>
      <c r="EG371" s="860"/>
      <c r="EH371" s="860"/>
      <c r="EI371" s="860"/>
      <c r="EJ371" s="860"/>
      <c r="EK371" s="860"/>
      <c r="EL371" s="860"/>
      <c r="EM371" s="860"/>
      <c r="EN371" s="860"/>
      <c r="EO371" s="860"/>
      <c r="EP371" s="860"/>
      <c r="EQ371" s="860"/>
      <c r="ER371" s="860"/>
      <c r="ES371" s="860"/>
      <c r="ET371" s="860"/>
      <c r="EU371" s="860"/>
      <c r="EV371" s="860"/>
      <c r="EW371" s="860"/>
      <c r="EX371" s="860"/>
      <c r="EY371" s="860"/>
      <c r="EZ371" s="860"/>
      <c r="FA371" s="860"/>
      <c r="FB371" s="860"/>
      <c r="FC371" s="860"/>
      <c r="FD371" s="860"/>
      <c r="FE371" s="860"/>
      <c r="FF371" s="860"/>
      <c r="FG371" s="860"/>
      <c r="FH371" s="860"/>
      <c r="FI371" s="860"/>
      <c r="FJ371" s="860"/>
      <c r="FK371" s="860"/>
      <c r="FL371" s="860"/>
      <c r="FM371" s="860"/>
      <c r="FN371" s="860"/>
      <c r="FO371" s="860"/>
      <c r="FP371" s="860"/>
      <c r="FQ371" s="860"/>
      <c r="FR371" s="860"/>
      <c r="FS371" s="860"/>
      <c r="FT371" s="860"/>
      <c r="FU371" s="860"/>
      <c r="FV371" s="860"/>
      <c r="FW371" s="860"/>
      <c r="FX371" s="860"/>
      <c r="FY371" s="860"/>
      <c r="FZ371" s="860"/>
      <c r="GA371" s="860"/>
      <c r="GB371" s="860"/>
      <c r="GC371" s="860"/>
      <c r="GD371" s="860"/>
      <c r="GE371" s="860"/>
      <c r="GF371" s="860"/>
      <c r="GG371" s="860"/>
      <c r="GH371" s="860"/>
      <c r="GI371" s="860"/>
      <c r="GJ371" s="860"/>
      <c r="GK371" s="860"/>
      <c r="GL371" s="860"/>
      <c r="GM371" s="860"/>
      <c r="GN371" s="860"/>
      <c r="GO371" s="860"/>
      <c r="GP371" s="860"/>
      <c r="GQ371" s="860"/>
      <c r="GR371" s="860"/>
      <c r="GS371" s="860"/>
      <c r="GT371" s="860"/>
      <c r="GU371" s="860"/>
      <c r="GV371" s="860"/>
      <c r="GW371" s="860"/>
      <c r="GX371" s="860"/>
      <c r="GY371" s="860"/>
      <c r="GZ371" s="860"/>
      <c r="HA371" s="860"/>
      <c r="HB371" s="860"/>
      <c r="HC371" s="860"/>
      <c r="HE371" s="860"/>
      <c r="HF371" s="860"/>
      <c r="HH371" s="860"/>
      <c r="HI371" s="860"/>
      <c r="HJ371" s="860"/>
      <c r="HL371" s="860"/>
      <c r="HM371" s="860"/>
      <c r="HO371" s="860"/>
      <c r="HP371" s="860"/>
      <c r="HR371" s="860"/>
    </row>
    <row r="372" spans="1:226">
      <c r="A372" s="860"/>
      <c r="B372" s="860"/>
      <c r="C372" s="860"/>
      <c r="D372" s="860"/>
      <c r="E372" s="860"/>
      <c r="F372" s="860"/>
      <c r="G372" s="860"/>
      <c r="H372" s="860"/>
      <c r="I372" s="860"/>
      <c r="J372" s="860"/>
      <c r="K372" s="860"/>
      <c r="L372" s="860"/>
      <c r="M372" s="860"/>
      <c r="N372" s="860"/>
      <c r="O372" s="860"/>
      <c r="P372" s="860"/>
      <c r="Q372" s="860"/>
      <c r="R372" s="860"/>
      <c r="S372" s="860"/>
      <c r="T372" s="860"/>
      <c r="U372" s="860"/>
      <c r="V372" s="860"/>
      <c r="W372" s="860"/>
      <c r="X372" s="860"/>
      <c r="Y372" s="860"/>
      <c r="Z372" s="860"/>
      <c r="AA372" s="860"/>
      <c r="AB372" s="860"/>
      <c r="AC372" s="860"/>
      <c r="AD372" s="860"/>
      <c r="AE372" s="860"/>
      <c r="AF372" s="860"/>
      <c r="AG372" s="860"/>
      <c r="AH372" s="860"/>
      <c r="AI372" s="860"/>
      <c r="AJ372" s="860"/>
      <c r="AK372" s="860"/>
      <c r="AL372" s="860"/>
      <c r="AM372" s="860"/>
      <c r="AN372" s="860"/>
      <c r="AO372" s="860"/>
      <c r="AP372" s="860"/>
      <c r="AQ372" s="860"/>
      <c r="AR372" s="860"/>
      <c r="AS372" s="860"/>
      <c r="AT372" s="860"/>
      <c r="AU372" s="860"/>
      <c r="AV372" s="860"/>
      <c r="AW372" s="860"/>
      <c r="AX372" s="860"/>
      <c r="AY372" s="860"/>
      <c r="AZ372" s="860"/>
      <c r="BA372" s="860"/>
      <c r="BB372" s="860"/>
      <c r="BC372" s="860"/>
      <c r="BD372" s="860"/>
      <c r="BE372" s="860"/>
      <c r="BF372" s="860"/>
      <c r="BG372" s="860"/>
      <c r="BH372" s="860"/>
      <c r="BI372" s="860"/>
      <c r="BJ372" s="860"/>
      <c r="BK372" s="860"/>
      <c r="BL372" s="860"/>
      <c r="BM372" s="860"/>
      <c r="BN372" s="860"/>
      <c r="BO372" s="860"/>
      <c r="BP372" s="860"/>
      <c r="BQ372" s="860"/>
      <c r="BR372" s="860"/>
      <c r="BS372" s="860"/>
      <c r="BT372" s="860"/>
      <c r="BU372" s="860"/>
      <c r="BV372" s="860"/>
      <c r="BW372" s="860"/>
      <c r="BX372" s="860"/>
      <c r="BY372" s="860"/>
      <c r="BZ372" s="860"/>
      <c r="CA372" s="860"/>
      <c r="CB372" s="860"/>
      <c r="CC372" s="860"/>
      <c r="CD372" s="860"/>
      <c r="CE372" s="860"/>
      <c r="CF372" s="860"/>
      <c r="CG372" s="860"/>
      <c r="CH372" s="860"/>
      <c r="CI372" s="860"/>
      <c r="CJ372" s="860"/>
      <c r="CK372" s="860"/>
      <c r="CL372" s="860"/>
      <c r="CM372" s="860"/>
      <c r="CN372" s="860"/>
      <c r="CO372" s="860"/>
      <c r="CP372" s="860"/>
      <c r="CQ372" s="860"/>
      <c r="CR372" s="860"/>
      <c r="CS372" s="860"/>
      <c r="CT372" s="860"/>
      <c r="CU372" s="860"/>
      <c r="CV372" s="860"/>
      <c r="CW372" s="860"/>
      <c r="CX372" s="860"/>
      <c r="CY372" s="860"/>
      <c r="CZ372" s="860"/>
      <c r="DA372" s="860"/>
      <c r="DB372" s="860"/>
      <c r="DC372" s="860"/>
      <c r="DD372" s="860"/>
      <c r="DE372" s="860"/>
      <c r="DF372" s="860"/>
      <c r="DG372" s="860"/>
      <c r="DH372" s="860"/>
      <c r="DI372" s="860"/>
      <c r="DJ372" s="860"/>
      <c r="DK372" s="860"/>
      <c r="DL372" s="860"/>
      <c r="DM372" s="860"/>
      <c r="DN372" s="860"/>
      <c r="DO372" s="860"/>
      <c r="DP372" s="860"/>
      <c r="DQ372" s="860"/>
      <c r="DR372" s="860"/>
      <c r="DS372" s="860"/>
      <c r="DT372" s="860"/>
      <c r="DU372" s="860"/>
      <c r="DV372" s="860"/>
      <c r="DW372" s="860"/>
      <c r="DX372" s="860"/>
      <c r="DY372" s="860"/>
      <c r="DZ372" s="860"/>
      <c r="EA372" s="860"/>
      <c r="EB372" s="860"/>
      <c r="EC372" s="860"/>
      <c r="ED372" s="860"/>
      <c r="EE372" s="860"/>
      <c r="EF372" s="860"/>
      <c r="EG372" s="860"/>
      <c r="EH372" s="860"/>
      <c r="EI372" s="860"/>
      <c r="EJ372" s="860"/>
      <c r="EK372" s="860"/>
      <c r="EL372" s="860"/>
      <c r="EM372" s="860"/>
      <c r="EN372" s="860"/>
      <c r="EO372" s="860"/>
      <c r="EP372" s="860"/>
      <c r="EQ372" s="860"/>
      <c r="ER372" s="860"/>
      <c r="ES372" s="860"/>
      <c r="ET372" s="860"/>
      <c r="EU372" s="860"/>
      <c r="EV372" s="860"/>
      <c r="EW372" s="860"/>
      <c r="EX372" s="860"/>
      <c r="EY372" s="860"/>
      <c r="EZ372" s="860"/>
      <c r="FA372" s="860"/>
      <c r="FB372" s="860"/>
      <c r="FC372" s="860"/>
      <c r="FD372" s="860"/>
      <c r="FE372" s="860"/>
      <c r="FF372" s="860"/>
      <c r="FG372" s="860"/>
      <c r="FH372" s="860"/>
      <c r="FI372" s="860"/>
      <c r="FJ372" s="860"/>
      <c r="FX372" s="860"/>
      <c r="FY372" s="860"/>
      <c r="FZ372" s="860"/>
      <c r="GA372" s="860"/>
      <c r="GB372" s="860"/>
      <c r="GC372" s="860"/>
      <c r="GD372" s="860"/>
      <c r="GE372" s="860"/>
      <c r="GF372" s="860"/>
      <c r="GG372" s="860"/>
      <c r="GH372" s="860"/>
      <c r="GI372" s="860"/>
      <c r="GJ372" s="860"/>
      <c r="GK372" s="860"/>
      <c r="GL372" s="860"/>
      <c r="GM372" s="860"/>
      <c r="GN372" s="860"/>
      <c r="GO372" s="860"/>
      <c r="GP372" s="860"/>
      <c r="GQ372" s="860"/>
      <c r="GR372" s="860"/>
      <c r="GS372" s="860"/>
      <c r="GT372" s="860"/>
      <c r="GU372" s="860"/>
      <c r="GV372" s="860"/>
      <c r="GW372" s="860"/>
      <c r="GX372" s="860"/>
      <c r="GY372" s="860"/>
      <c r="GZ372" s="860"/>
      <c r="HA372" s="860"/>
      <c r="HB372" s="860"/>
      <c r="HC372" s="860"/>
      <c r="HE372" s="860"/>
      <c r="HF372" s="860"/>
      <c r="HH372" s="860"/>
      <c r="HI372" s="860"/>
      <c r="HJ372" s="860"/>
      <c r="HL372" s="860"/>
      <c r="HM372" s="860"/>
      <c r="HO372" s="860"/>
      <c r="HP372" s="860"/>
      <c r="HR372" s="860"/>
    </row>
    <row r="373" spans="1:226">
      <c r="A373" s="860"/>
      <c r="B373" s="860"/>
      <c r="C373" s="860"/>
      <c r="D373" s="860"/>
      <c r="E373" s="860"/>
      <c r="F373" s="860"/>
      <c r="G373" s="860"/>
      <c r="H373" s="860"/>
      <c r="I373" s="860"/>
      <c r="J373" s="860"/>
      <c r="K373" s="860"/>
      <c r="L373" s="860"/>
      <c r="M373" s="860"/>
      <c r="N373" s="860"/>
      <c r="O373" s="860"/>
      <c r="P373" s="860"/>
      <c r="Q373" s="860"/>
      <c r="R373" s="860"/>
      <c r="S373" s="860"/>
      <c r="T373" s="860"/>
      <c r="U373" s="860"/>
      <c r="V373" s="860"/>
      <c r="W373" s="860"/>
      <c r="X373" s="860"/>
      <c r="Y373" s="860"/>
      <c r="Z373" s="860"/>
      <c r="AA373" s="860"/>
      <c r="AB373" s="860"/>
      <c r="AC373" s="860"/>
      <c r="AD373" s="860"/>
      <c r="AE373" s="860"/>
      <c r="AF373" s="860"/>
      <c r="AG373" s="860"/>
      <c r="AH373" s="860"/>
      <c r="AI373" s="860"/>
      <c r="AJ373" s="860"/>
      <c r="AK373" s="860"/>
      <c r="AL373" s="860"/>
      <c r="AM373" s="860"/>
      <c r="AN373" s="860"/>
      <c r="AO373" s="860"/>
      <c r="AP373" s="860"/>
      <c r="AQ373" s="860"/>
      <c r="AR373" s="860"/>
      <c r="AS373" s="860"/>
      <c r="AT373" s="860"/>
      <c r="AU373" s="860"/>
      <c r="AV373" s="860"/>
      <c r="AW373" s="860"/>
      <c r="AX373" s="860"/>
      <c r="AY373" s="860"/>
      <c r="AZ373" s="860"/>
      <c r="BA373" s="860"/>
      <c r="BB373" s="860"/>
      <c r="BC373" s="860"/>
      <c r="BD373" s="860"/>
      <c r="BE373" s="860"/>
      <c r="BF373" s="860"/>
      <c r="BG373" s="860"/>
      <c r="BH373" s="860"/>
      <c r="BI373" s="860"/>
      <c r="BJ373" s="860"/>
      <c r="BK373" s="860"/>
      <c r="BL373" s="860"/>
      <c r="BM373" s="860"/>
      <c r="BN373" s="860"/>
      <c r="BO373" s="860"/>
      <c r="BP373" s="860"/>
      <c r="BQ373" s="860"/>
      <c r="BR373" s="860"/>
      <c r="BS373" s="860"/>
      <c r="BT373" s="860"/>
      <c r="BU373" s="860"/>
      <c r="BV373" s="860"/>
      <c r="BW373" s="860"/>
      <c r="BX373" s="860"/>
      <c r="BY373" s="860"/>
      <c r="BZ373" s="860"/>
      <c r="CA373" s="860"/>
      <c r="CB373" s="860"/>
      <c r="CC373" s="860"/>
      <c r="CD373" s="860"/>
      <c r="CE373" s="860"/>
      <c r="CF373" s="860"/>
      <c r="CG373" s="860"/>
      <c r="CH373" s="860"/>
      <c r="CI373" s="860"/>
      <c r="CJ373" s="860"/>
      <c r="CK373" s="860"/>
      <c r="CL373" s="860"/>
      <c r="CM373" s="860"/>
      <c r="CN373" s="860"/>
      <c r="CO373" s="860"/>
      <c r="CP373" s="860"/>
      <c r="CQ373" s="860"/>
      <c r="CR373" s="860"/>
      <c r="CS373" s="860"/>
      <c r="CT373" s="860"/>
      <c r="CU373" s="860"/>
      <c r="CV373" s="860"/>
      <c r="CW373" s="860"/>
      <c r="CX373" s="860"/>
      <c r="CY373" s="860"/>
      <c r="CZ373" s="860"/>
      <c r="DA373" s="860"/>
      <c r="DB373" s="860"/>
      <c r="DC373" s="860"/>
      <c r="DD373" s="860"/>
      <c r="DE373" s="860"/>
      <c r="DF373" s="860"/>
      <c r="DG373" s="860"/>
      <c r="DH373" s="860"/>
      <c r="DI373" s="860"/>
      <c r="DJ373" s="860"/>
      <c r="DK373" s="860"/>
      <c r="DL373" s="860"/>
      <c r="DM373" s="860"/>
      <c r="DN373" s="860"/>
      <c r="DO373" s="860"/>
      <c r="DP373" s="860"/>
      <c r="DQ373" s="860"/>
      <c r="DR373" s="860"/>
      <c r="DS373" s="860"/>
      <c r="DT373" s="860"/>
      <c r="DU373" s="860"/>
      <c r="DV373" s="860"/>
      <c r="DW373" s="860"/>
      <c r="DX373" s="860"/>
      <c r="DY373" s="860"/>
      <c r="DZ373" s="860"/>
      <c r="EA373" s="860"/>
      <c r="EB373" s="860"/>
      <c r="EC373" s="860"/>
      <c r="ED373" s="860"/>
      <c r="EE373" s="860"/>
      <c r="EF373" s="860"/>
      <c r="EG373" s="860"/>
      <c r="EH373" s="860"/>
      <c r="EI373" s="860"/>
      <c r="EJ373" s="860"/>
      <c r="EK373" s="860"/>
      <c r="EL373" s="860"/>
      <c r="EM373" s="860"/>
      <c r="EN373" s="860"/>
      <c r="EO373" s="860"/>
      <c r="EP373" s="860"/>
      <c r="EQ373" s="860"/>
      <c r="ER373" s="860"/>
      <c r="ES373" s="860"/>
      <c r="ET373" s="860"/>
      <c r="EU373" s="860"/>
      <c r="EV373" s="860"/>
      <c r="EW373" s="860"/>
      <c r="EX373" s="860"/>
      <c r="EY373" s="860"/>
      <c r="EZ373" s="860"/>
      <c r="FA373" s="860"/>
      <c r="FB373" s="860"/>
      <c r="FC373" s="860"/>
      <c r="FD373" s="860"/>
      <c r="FE373" s="860"/>
      <c r="FF373" s="860"/>
      <c r="FG373" s="860"/>
      <c r="FH373" s="860"/>
      <c r="FI373" s="860"/>
      <c r="FJ373" s="860"/>
      <c r="FK373" s="1264"/>
      <c r="FL373" s="1373" t="s">
        <v>745</v>
      </c>
      <c r="FM373" s="1373" t="s">
        <v>746</v>
      </c>
      <c r="FN373" s="1373" t="s">
        <v>747</v>
      </c>
      <c r="FO373" s="1373" t="s">
        <v>748</v>
      </c>
      <c r="FP373" s="1373" t="str">
        <f t="shared" ref="FP373:FW373" si="324">FP368</f>
        <v>Q1 19</v>
      </c>
      <c r="FQ373" s="1373" t="str">
        <f t="shared" si="324"/>
        <v>Q2 19</v>
      </c>
      <c r="FR373" s="1373" t="str">
        <f t="shared" si="324"/>
        <v>Q3 19</v>
      </c>
      <c r="FS373" s="1373" t="str">
        <f t="shared" si="324"/>
        <v>Q4 19</v>
      </c>
      <c r="FT373" s="1373" t="str">
        <f t="shared" si="324"/>
        <v>Q1 20</v>
      </c>
      <c r="FU373" s="1373" t="str">
        <f t="shared" si="324"/>
        <v>Q2 20</v>
      </c>
      <c r="FV373" s="1373" t="str">
        <f t="shared" si="324"/>
        <v>Q3 20</v>
      </c>
      <c r="FW373" s="1373" t="str">
        <f t="shared" si="324"/>
        <v>Q4 20</v>
      </c>
      <c r="FX373" s="860"/>
      <c r="FY373" s="860"/>
      <c r="FZ373" s="860"/>
      <c r="GA373" s="860"/>
      <c r="GB373" s="860"/>
      <c r="GC373" s="860"/>
      <c r="GD373" s="860"/>
      <c r="GE373" s="860"/>
      <c r="GF373" s="860"/>
      <c r="GG373" s="860"/>
      <c r="GH373" s="860"/>
      <c r="GI373" s="860"/>
      <c r="GJ373" s="860"/>
      <c r="GK373" s="860"/>
      <c r="GL373" s="860"/>
      <c r="GM373" s="860"/>
      <c r="GN373" s="860"/>
      <c r="GO373" s="860"/>
      <c r="GP373" s="860"/>
      <c r="GQ373" s="860"/>
      <c r="GR373" s="860"/>
      <c r="GS373" s="860"/>
      <c r="GT373" s="860"/>
      <c r="GU373" s="860"/>
      <c r="GV373" s="860"/>
      <c r="GW373" s="860"/>
      <c r="GX373" s="860"/>
      <c r="GY373" s="860"/>
      <c r="GZ373" s="860"/>
      <c r="HA373" s="860"/>
      <c r="HB373" s="860"/>
      <c r="HC373" s="860"/>
      <c r="HE373" s="860"/>
      <c r="HF373" s="860"/>
      <c r="HH373" s="860"/>
      <c r="HI373" s="860"/>
      <c r="HJ373" s="860"/>
      <c r="HL373" s="860"/>
      <c r="HM373" s="860"/>
      <c r="HO373" s="860"/>
      <c r="HP373" s="860"/>
      <c r="HR373" s="860"/>
    </row>
    <row r="374" spans="1:226">
      <c r="A374" s="860"/>
      <c r="B374" s="860"/>
      <c r="C374" s="860"/>
      <c r="D374" s="860"/>
      <c r="E374" s="860"/>
      <c r="F374" s="860"/>
      <c r="G374" s="860"/>
      <c r="H374" s="860"/>
      <c r="I374" s="860"/>
      <c r="J374" s="860"/>
      <c r="K374" s="860"/>
      <c r="L374" s="860"/>
      <c r="M374" s="860"/>
      <c r="N374" s="860"/>
      <c r="O374" s="860"/>
      <c r="P374" s="860"/>
      <c r="Q374" s="860"/>
      <c r="R374" s="860"/>
      <c r="S374" s="860"/>
      <c r="T374" s="860"/>
      <c r="U374" s="860"/>
      <c r="V374" s="860"/>
      <c r="W374" s="860"/>
      <c r="X374" s="860"/>
      <c r="Y374" s="860"/>
      <c r="Z374" s="860"/>
      <c r="AA374" s="860"/>
      <c r="AB374" s="860"/>
      <c r="AC374" s="860"/>
      <c r="AD374" s="860"/>
      <c r="AE374" s="860"/>
      <c r="AF374" s="860"/>
      <c r="AG374" s="860"/>
      <c r="AH374" s="860"/>
      <c r="AI374" s="860"/>
      <c r="AJ374" s="860"/>
      <c r="AK374" s="860"/>
      <c r="AL374" s="860"/>
      <c r="AM374" s="860"/>
      <c r="AN374" s="860"/>
      <c r="AO374" s="860"/>
      <c r="AP374" s="860"/>
      <c r="AQ374" s="860"/>
      <c r="AR374" s="860"/>
      <c r="AS374" s="860"/>
      <c r="AT374" s="860"/>
      <c r="AU374" s="860"/>
      <c r="AV374" s="860"/>
      <c r="AW374" s="860"/>
      <c r="AX374" s="860"/>
      <c r="AY374" s="860"/>
      <c r="AZ374" s="860"/>
      <c r="BA374" s="860"/>
      <c r="BB374" s="860"/>
      <c r="BC374" s="860"/>
      <c r="BD374" s="860"/>
      <c r="BE374" s="860"/>
      <c r="BF374" s="860"/>
      <c r="BG374" s="860"/>
      <c r="BH374" s="860"/>
      <c r="BI374" s="860"/>
      <c r="BJ374" s="860"/>
      <c r="BK374" s="860"/>
      <c r="BL374" s="860"/>
      <c r="BM374" s="860"/>
      <c r="BN374" s="860"/>
      <c r="BO374" s="860"/>
      <c r="BP374" s="860"/>
      <c r="BQ374" s="860"/>
      <c r="BR374" s="860"/>
      <c r="BS374" s="860"/>
      <c r="BT374" s="860"/>
      <c r="BU374" s="860"/>
      <c r="BV374" s="860"/>
      <c r="BW374" s="860"/>
      <c r="BX374" s="860"/>
      <c r="BY374" s="860"/>
      <c r="BZ374" s="860"/>
      <c r="CA374" s="860"/>
      <c r="CB374" s="860"/>
      <c r="CC374" s="860"/>
      <c r="CD374" s="860"/>
      <c r="CE374" s="860"/>
      <c r="CF374" s="860"/>
      <c r="CG374" s="860"/>
      <c r="CH374" s="860"/>
      <c r="CI374" s="860"/>
      <c r="CJ374" s="860"/>
      <c r="CK374" s="860"/>
      <c r="CL374" s="860"/>
      <c r="CM374" s="860"/>
      <c r="CN374" s="860"/>
      <c r="CO374" s="860"/>
      <c r="CP374" s="860"/>
      <c r="CQ374" s="860"/>
      <c r="CR374" s="860"/>
      <c r="CS374" s="860"/>
      <c r="CT374" s="860"/>
      <c r="CU374" s="860"/>
      <c r="CV374" s="860"/>
      <c r="CW374" s="860"/>
      <c r="CX374" s="860"/>
      <c r="CY374" s="860"/>
      <c r="CZ374" s="860"/>
      <c r="DA374" s="860"/>
      <c r="DB374" s="860"/>
      <c r="DC374" s="860"/>
      <c r="DD374" s="860"/>
      <c r="DE374" s="860"/>
      <c r="DF374" s="860"/>
      <c r="DG374" s="860"/>
      <c r="DH374" s="860"/>
      <c r="DI374" s="860"/>
      <c r="DJ374" s="860"/>
      <c r="DK374" s="860"/>
      <c r="DL374" s="860"/>
      <c r="DM374" s="860"/>
      <c r="DN374" s="860"/>
      <c r="DO374" s="860"/>
      <c r="DP374" s="860"/>
      <c r="DQ374" s="860"/>
      <c r="DR374" s="860"/>
      <c r="DS374" s="860"/>
      <c r="DT374" s="860"/>
      <c r="DU374" s="860"/>
      <c r="DV374" s="860"/>
      <c r="DW374" s="860"/>
      <c r="DX374" s="860"/>
      <c r="DY374" s="860"/>
      <c r="DZ374" s="860"/>
      <c r="EA374" s="860"/>
      <c r="EB374" s="860"/>
      <c r="EC374" s="860"/>
      <c r="ED374" s="860"/>
      <c r="EE374" s="860"/>
      <c r="EF374" s="860"/>
      <c r="EG374" s="860"/>
      <c r="EH374" s="860"/>
      <c r="EI374" s="860"/>
      <c r="EJ374" s="860"/>
      <c r="EK374" s="860"/>
      <c r="EL374" s="860"/>
      <c r="EM374" s="860"/>
      <c r="EN374" s="860"/>
      <c r="EO374" s="860"/>
      <c r="EP374" s="860"/>
      <c r="EQ374" s="860"/>
      <c r="ER374" s="860"/>
      <c r="ES374" s="860"/>
      <c r="ET374" s="860"/>
      <c r="EU374" s="860"/>
      <c r="EV374" s="860"/>
      <c r="EW374" s="860"/>
      <c r="EX374" s="860"/>
      <c r="EY374" s="860"/>
      <c r="EZ374" s="860"/>
      <c r="FA374" s="860"/>
      <c r="FB374" s="860"/>
      <c r="FC374" s="860"/>
      <c r="FD374" s="860"/>
      <c r="FE374" s="860"/>
      <c r="FF374" s="860"/>
      <c r="FG374" s="860"/>
      <c r="FH374" s="860"/>
      <c r="FI374" s="860"/>
      <c r="FJ374" s="860"/>
      <c r="FK374" s="860" t="s">
        <v>844</v>
      </c>
      <c r="FL374" s="1217">
        <f>DO32</f>
        <v>7.8768433756218226E-2</v>
      </c>
      <c r="FM374" s="1217">
        <f>DP32</f>
        <v>8.1951021119600176E-2</v>
      </c>
      <c r="FN374" s="1217">
        <f>DQ32</f>
        <v>0.10898254576415489</v>
      </c>
      <c r="FO374" s="1217">
        <f>DR32</f>
        <v>9.0966037530299637E-2</v>
      </c>
      <c r="FP374" s="1217">
        <f>DT32</f>
        <v>0.17250129607901998</v>
      </c>
      <c r="FQ374" s="1217">
        <f>DU32</f>
        <v>0.20118676833852422</v>
      </c>
      <c r="FR374" s="1217">
        <f>DV32</f>
        <v>0.14694817658349324</v>
      </c>
      <c r="FS374" s="1217">
        <f>DW32</f>
        <v>0.13463314776443558</v>
      </c>
      <c r="FT374" s="1217">
        <f>DY32</f>
        <v>4.4960554792767171E-2</v>
      </c>
      <c r="FU374" s="1217">
        <f>DZ32</f>
        <v>4.0861032255180341E-2</v>
      </c>
      <c r="FV374" s="1217">
        <f>EA32</f>
        <v>7.0285829038088332E-2</v>
      </c>
      <c r="FW374" s="1217">
        <f>EB32</f>
        <v>9.0165016501650097E-2</v>
      </c>
      <c r="FX374" s="860"/>
      <c r="FY374" s="860"/>
      <c r="FZ374" s="860"/>
      <c r="GA374" s="860"/>
      <c r="GB374" s="860"/>
      <c r="GC374" s="860"/>
      <c r="GD374" s="860"/>
      <c r="GE374" s="860"/>
      <c r="GF374" s="860"/>
      <c r="GG374" s="860"/>
      <c r="GH374" s="860"/>
      <c r="GI374" s="860"/>
      <c r="GJ374" s="860"/>
      <c r="GK374" s="860"/>
      <c r="GL374" s="860"/>
      <c r="GM374" s="860"/>
      <c r="GN374" s="860"/>
      <c r="GO374" s="860"/>
      <c r="GP374" s="860"/>
      <c r="GQ374" s="860"/>
      <c r="GR374" s="860"/>
      <c r="GS374" s="860"/>
      <c r="GT374" s="860"/>
      <c r="GU374" s="860"/>
      <c r="GV374" s="860"/>
      <c r="GW374" s="860"/>
      <c r="GX374" s="860"/>
      <c r="GY374" s="860"/>
      <c r="GZ374" s="860"/>
      <c r="HA374" s="860"/>
      <c r="HB374" s="860"/>
      <c r="HC374" s="860"/>
      <c r="HE374" s="860"/>
      <c r="HF374" s="860"/>
      <c r="HH374" s="860"/>
      <c r="HI374" s="860"/>
      <c r="HJ374" s="860"/>
      <c r="HL374" s="860"/>
      <c r="HM374" s="860"/>
      <c r="HO374" s="860"/>
      <c r="HP374" s="860"/>
      <c r="HR374" s="860"/>
    </row>
    <row r="375" spans="1:226">
      <c r="A375" s="860"/>
      <c r="B375" s="860"/>
      <c r="C375" s="860"/>
      <c r="D375" s="860"/>
      <c r="E375" s="860"/>
      <c r="F375" s="860"/>
      <c r="G375" s="860"/>
      <c r="H375" s="860"/>
      <c r="I375" s="860"/>
      <c r="J375" s="860"/>
      <c r="K375" s="860"/>
      <c r="L375" s="860"/>
      <c r="M375" s="860"/>
      <c r="N375" s="860"/>
      <c r="O375" s="860"/>
      <c r="P375" s="860"/>
      <c r="Q375" s="860"/>
      <c r="R375" s="860"/>
      <c r="S375" s="860"/>
      <c r="T375" s="860"/>
      <c r="U375" s="860"/>
      <c r="V375" s="860"/>
      <c r="W375" s="860"/>
      <c r="X375" s="860"/>
      <c r="Y375" s="860"/>
      <c r="Z375" s="860"/>
      <c r="AA375" s="860"/>
      <c r="AB375" s="860"/>
      <c r="AC375" s="860"/>
      <c r="AD375" s="860"/>
      <c r="AE375" s="860"/>
      <c r="AF375" s="860"/>
      <c r="AG375" s="860"/>
      <c r="AH375" s="860"/>
      <c r="AI375" s="860"/>
      <c r="AJ375" s="860"/>
      <c r="AK375" s="860"/>
      <c r="AL375" s="860"/>
      <c r="AM375" s="860"/>
      <c r="AN375" s="860"/>
      <c r="AO375" s="860"/>
      <c r="AP375" s="860"/>
      <c r="AQ375" s="860"/>
      <c r="AR375" s="860"/>
      <c r="AS375" s="860"/>
      <c r="AT375" s="860"/>
      <c r="AU375" s="860"/>
      <c r="AV375" s="860"/>
      <c r="AW375" s="860"/>
      <c r="AX375" s="860"/>
      <c r="AY375" s="860"/>
      <c r="AZ375" s="860"/>
      <c r="BA375" s="860"/>
      <c r="BB375" s="860"/>
      <c r="BC375" s="860"/>
      <c r="BD375" s="860"/>
      <c r="BE375" s="860"/>
      <c r="BF375" s="860"/>
      <c r="BG375" s="860"/>
      <c r="BH375" s="860"/>
      <c r="BI375" s="860"/>
      <c r="BJ375" s="860"/>
      <c r="BK375" s="860"/>
      <c r="BL375" s="860"/>
      <c r="BM375" s="860"/>
      <c r="BN375" s="860"/>
      <c r="BO375" s="860"/>
      <c r="BP375" s="860"/>
      <c r="BQ375" s="860"/>
      <c r="BR375" s="860"/>
      <c r="BS375" s="860"/>
      <c r="BT375" s="860"/>
      <c r="BU375" s="860"/>
      <c r="BV375" s="860"/>
      <c r="BW375" s="860"/>
      <c r="BX375" s="860"/>
      <c r="BY375" s="860"/>
      <c r="BZ375" s="860"/>
      <c r="CA375" s="860"/>
      <c r="CB375" s="860"/>
      <c r="CC375" s="860"/>
      <c r="CD375" s="860"/>
      <c r="CE375" s="860"/>
      <c r="CF375" s="860"/>
      <c r="CG375" s="860"/>
      <c r="CH375" s="860"/>
      <c r="CI375" s="860"/>
      <c r="CJ375" s="860"/>
      <c r="CK375" s="860"/>
      <c r="CL375" s="860"/>
      <c r="CM375" s="860"/>
      <c r="CN375" s="860"/>
      <c r="CO375" s="860"/>
      <c r="CP375" s="860"/>
      <c r="CQ375" s="860"/>
      <c r="CR375" s="860"/>
      <c r="CS375" s="860"/>
      <c r="CT375" s="860"/>
      <c r="CU375" s="860"/>
      <c r="CV375" s="860"/>
      <c r="CW375" s="860"/>
      <c r="CX375" s="860"/>
      <c r="CY375" s="860"/>
      <c r="CZ375" s="860"/>
      <c r="DA375" s="860"/>
      <c r="DB375" s="860"/>
      <c r="DC375" s="860"/>
      <c r="DD375" s="860"/>
      <c r="DE375" s="860"/>
      <c r="DF375" s="860"/>
      <c r="DG375" s="860"/>
      <c r="DH375" s="860"/>
      <c r="DI375" s="860"/>
      <c r="DJ375" s="860"/>
      <c r="DK375" s="860"/>
      <c r="DL375" s="860"/>
      <c r="DM375" s="860"/>
      <c r="DN375" s="860"/>
      <c r="DO375" s="860"/>
      <c r="DP375" s="860"/>
      <c r="DQ375" s="860"/>
      <c r="DR375" s="860"/>
      <c r="DS375" s="860"/>
      <c r="DT375" s="860"/>
      <c r="DU375" s="860"/>
      <c r="DV375" s="860"/>
      <c r="DW375" s="860"/>
      <c r="DX375" s="860"/>
      <c r="DY375" s="860"/>
      <c r="DZ375" s="860"/>
      <c r="EA375" s="860"/>
      <c r="EB375" s="860"/>
      <c r="EC375" s="860"/>
      <c r="ED375" s="860"/>
      <c r="EE375" s="860"/>
      <c r="EF375" s="860"/>
      <c r="EG375" s="860"/>
      <c r="EH375" s="860"/>
      <c r="EI375" s="860"/>
      <c r="EJ375" s="860"/>
      <c r="EK375" s="860"/>
      <c r="EL375" s="860"/>
      <c r="EM375" s="860"/>
      <c r="EN375" s="860"/>
      <c r="EO375" s="860"/>
      <c r="EP375" s="860"/>
      <c r="EQ375" s="860"/>
      <c r="ER375" s="860"/>
      <c r="ES375" s="860"/>
      <c r="ET375" s="860"/>
      <c r="EU375" s="860"/>
      <c r="EV375" s="860"/>
      <c r="EW375" s="860"/>
      <c r="EX375" s="860"/>
      <c r="EY375" s="860"/>
      <c r="EZ375" s="860"/>
      <c r="FA375" s="860"/>
      <c r="FB375" s="860"/>
      <c r="FC375" s="860"/>
      <c r="FD375" s="860"/>
      <c r="FE375" s="860"/>
      <c r="FF375" s="860"/>
      <c r="FG375" s="860"/>
      <c r="FH375" s="860"/>
      <c r="FI375" s="860"/>
      <c r="FJ375" s="860"/>
      <c r="FW375" s="860"/>
      <c r="FX375" s="860"/>
      <c r="FY375" s="860"/>
      <c r="FZ375" s="860"/>
      <c r="GA375" s="860"/>
      <c r="GB375" s="860"/>
      <c r="GC375" s="860"/>
      <c r="GD375" s="860"/>
      <c r="GE375" s="860"/>
      <c r="GF375" s="860"/>
      <c r="GG375" s="860"/>
      <c r="GH375" s="860"/>
      <c r="GI375" s="860"/>
      <c r="GJ375" s="860"/>
      <c r="GK375" s="860"/>
      <c r="GL375" s="860"/>
      <c r="GM375" s="860"/>
      <c r="GN375" s="860"/>
      <c r="GO375" s="860"/>
      <c r="GP375" s="860"/>
      <c r="GQ375" s="860"/>
      <c r="GR375" s="860"/>
      <c r="GS375" s="860"/>
      <c r="GT375" s="860"/>
      <c r="GU375" s="860"/>
      <c r="GV375" s="860"/>
      <c r="GW375" s="860"/>
      <c r="GX375" s="860"/>
      <c r="GY375" s="860"/>
      <c r="GZ375" s="860"/>
      <c r="HA375" s="860"/>
      <c r="HB375" s="860"/>
      <c r="HC375" s="860"/>
      <c r="HE375" s="860"/>
      <c r="HF375" s="860"/>
      <c r="HH375" s="860"/>
      <c r="HI375" s="860"/>
      <c r="HJ375" s="860"/>
      <c r="HL375" s="860"/>
      <c r="HM375" s="860"/>
      <c r="HO375" s="860"/>
      <c r="HP375" s="860"/>
      <c r="HR375" s="860"/>
    </row>
    <row r="376" spans="1:226">
      <c r="A376" s="860"/>
      <c r="B376" s="860"/>
      <c r="C376" s="860"/>
      <c r="D376" s="860"/>
      <c r="E376" s="860"/>
      <c r="F376" s="860"/>
      <c r="G376" s="860"/>
      <c r="H376" s="860"/>
      <c r="I376" s="860"/>
      <c r="J376" s="860"/>
      <c r="K376" s="860"/>
      <c r="L376" s="860"/>
      <c r="M376" s="860"/>
      <c r="N376" s="860"/>
      <c r="O376" s="860"/>
      <c r="P376" s="860"/>
      <c r="Q376" s="860"/>
      <c r="R376" s="860"/>
      <c r="S376" s="860"/>
      <c r="T376" s="860"/>
      <c r="U376" s="860"/>
      <c r="V376" s="860"/>
      <c r="W376" s="860"/>
      <c r="X376" s="860"/>
      <c r="Y376" s="860"/>
      <c r="Z376" s="860"/>
      <c r="AA376" s="860"/>
      <c r="AB376" s="860"/>
      <c r="AC376" s="860"/>
      <c r="AD376" s="860"/>
      <c r="AE376" s="860"/>
      <c r="AF376" s="860"/>
      <c r="AG376" s="860"/>
      <c r="AH376" s="860"/>
      <c r="AI376" s="860"/>
      <c r="AJ376" s="860"/>
      <c r="AK376" s="860"/>
      <c r="AL376" s="860"/>
      <c r="AM376" s="860"/>
      <c r="AN376" s="860"/>
      <c r="AO376" s="860"/>
      <c r="AP376" s="860"/>
      <c r="AQ376" s="860"/>
      <c r="AR376" s="860"/>
      <c r="AS376" s="860"/>
      <c r="AT376" s="860"/>
      <c r="AU376" s="860"/>
      <c r="AV376" s="860"/>
      <c r="AW376" s="860"/>
      <c r="AX376" s="860"/>
      <c r="AY376" s="860"/>
      <c r="AZ376" s="860"/>
      <c r="BA376" s="860"/>
      <c r="BB376" s="860"/>
      <c r="BC376" s="860"/>
      <c r="BD376" s="860"/>
      <c r="BE376" s="860"/>
      <c r="BF376" s="860"/>
      <c r="BG376" s="860"/>
      <c r="BH376" s="860"/>
      <c r="BI376" s="860"/>
      <c r="BJ376" s="860"/>
      <c r="BK376" s="860"/>
      <c r="BL376" s="860"/>
      <c r="BM376" s="860"/>
      <c r="BN376" s="860"/>
      <c r="BO376" s="860"/>
      <c r="BP376" s="860"/>
      <c r="BQ376" s="860"/>
      <c r="BR376" s="860"/>
      <c r="BS376" s="860"/>
      <c r="BT376" s="860"/>
      <c r="BU376" s="860"/>
      <c r="BV376" s="860"/>
      <c r="BW376" s="860"/>
      <c r="BX376" s="860"/>
      <c r="BY376" s="860"/>
      <c r="BZ376" s="860"/>
      <c r="CA376" s="860"/>
      <c r="CB376" s="860"/>
      <c r="CC376" s="860"/>
      <c r="CD376" s="860"/>
      <c r="CE376" s="860"/>
      <c r="CF376" s="860"/>
      <c r="CG376" s="860"/>
      <c r="CH376" s="860"/>
      <c r="CI376" s="860"/>
      <c r="CJ376" s="860"/>
      <c r="CK376" s="860"/>
      <c r="CL376" s="860"/>
      <c r="CM376" s="860"/>
      <c r="CN376" s="860"/>
      <c r="CO376" s="860"/>
      <c r="CP376" s="860"/>
      <c r="CQ376" s="860"/>
      <c r="CR376" s="860"/>
      <c r="CS376" s="860"/>
      <c r="CT376" s="860"/>
      <c r="CU376" s="860"/>
      <c r="CV376" s="860"/>
      <c r="CW376" s="860"/>
      <c r="CX376" s="860"/>
      <c r="CY376" s="860"/>
      <c r="CZ376" s="860"/>
      <c r="DA376" s="860"/>
      <c r="DB376" s="860"/>
      <c r="DC376" s="860"/>
      <c r="DD376" s="860"/>
      <c r="DE376" s="860"/>
      <c r="DF376" s="860"/>
      <c r="DG376" s="860"/>
      <c r="DH376" s="860"/>
      <c r="DI376" s="860"/>
      <c r="DJ376" s="860"/>
      <c r="DK376" s="860"/>
      <c r="DL376" s="860"/>
      <c r="DM376" s="860"/>
      <c r="DN376" s="860"/>
      <c r="DO376" s="860"/>
      <c r="DP376" s="860"/>
      <c r="DQ376" s="860"/>
      <c r="DR376" s="860"/>
      <c r="DS376" s="860"/>
      <c r="DT376" s="860"/>
      <c r="DU376" s="860"/>
      <c r="DV376" s="860"/>
      <c r="DW376" s="860"/>
      <c r="DX376" s="860"/>
      <c r="DY376" s="860"/>
      <c r="DZ376" s="860"/>
      <c r="EA376" s="860"/>
      <c r="EB376" s="860"/>
      <c r="EC376" s="860"/>
      <c r="ED376" s="860"/>
      <c r="EE376" s="860"/>
      <c r="EF376" s="860"/>
      <c r="EG376" s="860"/>
      <c r="EH376" s="860"/>
      <c r="EI376" s="860"/>
      <c r="EJ376" s="860"/>
      <c r="EK376" s="860"/>
      <c r="EL376" s="860"/>
      <c r="EM376" s="860"/>
      <c r="EN376" s="860"/>
      <c r="EO376" s="860"/>
      <c r="EP376" s="860"/>
      <c r="EQ376" s="860"/>
      <c r="ER376" s="860"/>
      <c r="ES376" s="860"/>
      <c r="ET376" s="860"/>
      <c r="EU376" s="860"/>
      <c r="EV376" s="860"/>
      <c r="EW376" s="860"/>
      <c r="EX376" s="860"/>
      <c r="EY376" s="860"/>
      <c r="EZ376" s="860"/>
      <c r="FA376" s="860"/>
      <c r="FB376" s="860"/>
      <c r="FC376" s="860"/>
      <c r="FD376" s="860"/>
      <c r="FE376" s="860"/>
      <c r="FF376" s="860"/>
      <c r="FG376" s="860"/>
      <c r="FH376" s="860"/>
      <c r="FI376" s="860"/>
      <c r="FJ376" s="860"/>
      <c r="FW376" s="860"/>
      <c r="FX376" s="860"/>
      <c r="FY376" s="860"/>
      <c r="FZ376" s="860"/>
      <c r="GA376" s="860"/>
      <c r="GB376" s="860"/>
      <c r="GC376" s="860"/>
      <c r="GD376" s="860"/>
      <c r="GE376" s="860"/>
      <c r="GF376" s="860"/>
      <c r="GG376" s="860"/>
      <c r="GH376" s="860"/>
      <c r="GI376" s="860"/>
      <c r="GJ376" s="860"/>
      <c r="GK376" s="860"/>
      <c r="GL376" s="860"/>
      <c r="GM376" s="860"/>
      <c r="GN376" s="860"/>
      <c r="GO376" s="860"/>
      <c r="GP376" s="860"/>
      <c r="GQ376" s="860"/>
      <c r="GR376" s="860"/>
      <c r="GS376" s="860"/>
      <c r="GT376" s="860"/>
      <c r="GU376" s="860"/>
      <c r="GV376" s="860"/>
      <c r="GW376" s="860"/>
      <c r="GX376" s="860"/>
      <c r="GY376" s="860"/>
      <c r="GZ376" s="860"/>
      <c r="HA376" s="860"/>
      <c r="HB376" s="860"/>
      <c r="HC376" s="860"/>
      <c r="HE376" s="860"/>
      <c r="HF376" s="860"/>
      <c r="HH376" s="860"/>
      <c r="HI376" s="860"/>
      <c r="HJ376" s="860"/>
      <c r="HL376" s="860"/>
      <c r="HM376" s="860"/>
      <c r="HO376" s="860"/>
      <c r="HP376" s="860"/>
      <c r="HR376" s="860"/>
    </row>
    <row r="377" spans="1:226">
      <c r="A377" s="860"/>
      <c r="B377" s="860"/>
      <c r="C377" s="860"/>
      <c r="D377" s="860"/>
      <c r="E377" s="860"/>
      <c r="F377" s="860"/>
      <c r="G377" s="860"/>
      <c r="H377" s="860"/>
      <c r="I377" s="860"/>
      <c r="J377" s="860"/>
      <c r="K377" s="860"/>
      <c r="L377" s="860"/>
      <c r="M377" s="860"/>
      <c r="N377" s="860"/>
      <c r="O377" s="860"/>
      <c r="P377" s="860"/>
      <c r="Q377" s="860"/>
      <c r="R377" s="860"/>
      <c r="S377" s="860"/>
      <c r="T377" s="860"/>
      <c r="U377" s="860"/>
      <c r="V377" s="860"/>
      <c r="W377" s="860"/>
      <c r="X377" s="860"/>
      <c r="Y377" s="860"/>
      <c r="Z377" s="860"/>
      <c r="AA377" s="860"/>
      <c r="AB377" s="860"/>
      <c r="AC377" s="860"/>
      <c r="AD377" s="860"/>
      <c r="AE377" s="860"/>
      <c r="AF377" s="860"/>
      <c r="AG377" s="860"/>
      <c r="AH377" s="860"/>
      <c r="AI377" s="860"/>
      <c r="AJ377" s="860"/>
      <c r="AK377" s="860"/>
      <c r="AL377" s="860"/>
      <c r="AM377" s="860"/>
      <c r="AN377" s="860"/>
      <c r="AO377" s="860"/>
      <c r="AP377" s="860"/>
      <c r="AQ377" s="860"/>
      <c r="AR377" s="860"/>
      <c r="AS377" s="860"/>
      <c r="AT377" s="860"/>
      <c r="AU377" s="860"/>
      <c r="AV377" s="860"/>
      <c r="AW377" s="860"/>
      <c r="AX377" s="860"/>
      <c r="AY377" s="860"/>
      <c r="AZ377" s="860"/>
      <c r="BA377" s="860"/>
      <c r="BB377" s="860"/>
      <c r="BC377" s="860"/>
      <c r="BD377" s="860"/>
      <c r="BE377" s="860"/>
      <c r="BF377" s="860"/>
      <c r="BG377" s="860"/>
      <c r="BH377" s="860"/>
      <c r="BI377" s="860"/>
      <c r="BJ377" s="860"/>
      <c r="BK377" s="860"/>
      <c r="BL377" s="860"/>
      <c r="BM377" s="860"/>
      <c r="BN377" s="860"/>
      <c r="BO377" s="860"/>
      <c r="BP377" s="860"/>
      <c r="BQ377" s="860"/>
      <c r="BR377" s="860"/>
      <c r="BS377" s="860"/>
      <c r="BT377" s="860"/>
      <c r="BU377" s="860"/>
      <c r="BV377" s="860"/>
      <c r="BW377" s="860"/>
      <c r="BX377" s="860"/>
      <c r="BY377" s="860"/>
      <c r="BZ377" s="860"/>
      <c r="CA377" s="860"/>
      <c r="CB377" s="860"/>
      <c r="CC377" s="860"/>
      <c r="CD377" s="860"/>
      <c r="CE377" s="860"/>
      <c r="CF377" s="860"/>
      <c r="CG377" s="860"/>
      <c r="CH377" s="860"/>
      <c r="CI377" s="860"/>
      <c r="CJ377" s="860"/>
      <c r="CK377" s="860"/>
      <c r="CL377" s="860"/>
      <c r="CM377" s="860"/>
      <c r="CN377" s="860"/>
      <c r="CO377" s="860"/>
      <c r="CP377" s="860"/>
      <c r="CQ377" s="860"/>
      <c r="CR377" s="860"/>
      <c r="CS377" s="860"/>
      <c r="CT377" s="860"/>
      <c r="CU377" s="860"/>
      <c r="CV377" s="860"/>
      <c r="CW377" s="860"/>
      <c r="CX377" s="860"/>
      <c r="CY377" s="860"/>
      <c r="CZ377" s="860"/>
      <c r="DA377" s="860"/>
      <c r="DB377" s="860"/>
      <c r="DC377" s="860"/>
      <c r="DD377" s="860"/>
      <c r="DE377" s="860"/>
      <c r="DF377" s="860"/>
      <c r="DG377" s="860"/>
      <c r="DH377" s="860"/>
      <c r="DI377" s="860"/>
      <c r="DJ377" s="860"/>
      <c r="DK377" s="860"/>
      <c r="DL377" s="860"/>
      <c r="DM377" s="860"/>
      <c r="DN377" s="860"/>
      <c r="DO377" s="860"/>
      <c r="DP377" s="860"/>
      <c r="DQ377" s="860"/>
      <c r="DR377" s="860"/>
      <c r="DS377" s="860"/>
      <c r="DT377" s="860"/>
      <c r="DU377" s="860"/>
      <c r="DV377" s="860"/>
      <c r="DW377" s="860"/>
      <c r="DX377" s="860"/>
      <c r="DY377" s="860"/>
      <c r="DZ377" s="860"/>
      <c r="EA377" s="860"/>
      <c r="EB377" s="860"/>
      <c r="EC377" s="860"/>
      <c r="ED377" s="860"/>
      <c r="EE377" s="860"/>
      <c r="EF377" s="860"/>
      <c r="EG377" s="860"/>
      <c r="EH377" s="860"/>
      <c r="EI377" s="860"/>
      <c r="EJ377" s="860"/>
      <c r="EK377" s="860"/>
      <c r="EL377" s="860"/>
      <c r="EM377" s="860"/>
      <c r="EN377" s="860"/>
      <c r="EO377" s="860"/>
      <c r="EP377" s="860"/>
      <c r="EQ377" s="860"/>
      <c r="ER377" s="860"/>
      <c r="ES377" s="860"/>
      <c r="ET377" s="860"/>
      <c r="EU377" s="860"/>
      <c r="EV377" s="860"/>
      <c r="EW377" s="860"/>
      <c r="EX377" s="860"/>
      <c r="EY377" s="860"/>
      <c r="EZ377" s="860"/>
      <c r="FA377" s="860"/>
      <c r="FB377" s="860"/>
      <c r="FC377" s="860"/>
      <c r="FD377" s="860"/>
      <c r="FE377" s="860"/>
      <c r="FF377" s="860"/>
      <c r="FG377" s="860"/>
      <c r="FH377" s="860"/>
      <c r="FI377" s="860"/>
      <c r="FJ377" s="860"/>
      <c r="FW377" s="860"/>
      <c r="FX377" s="860"/>
      <c r="FY377" s="860"/>
      <c r="FZ377" s="860"/>
      <c r="GA377" s="860"/>
      <c r="GB377" s="860"/>
      <c r="GC377" s="860"/>
      <c r="GD377" s="860"/>
      <c r="GE377" s="860"/>
      <c r="GF377" s="860"/>
      <c r="GG377" s="860"/>
      <c r="GH377" s="860"/>
      <c r="GI377" s="860"/>
      <c r="GJ377" s="860"/>
      <c r="GK377" s="860"/>
      <c r="GL377" s="860"/>
      <c r="GM377" s="860"/>
      <c r="GN377" s="860"/>
      <c r="GO377" s="860"/>
      <c r="GP377" s="860"/>
      <c r="GQ377" s="860"/>
      <c r="GR377" s="860"/>
      <c r="GS377" s="860"/>
      <c r="GT377" s="860"/>
      <c r="GU377" s="860"/>
      <c r="GV377" s="860"/>
      <c r="GW377" s="860"/>
      <c r="GX377" s="860"/>
      <c r="GY377" s="860"/>
      <c r="GZ377" s="860"/>
      <c r="HA377" s="860"/>
      <c r="HB377" s="860"/>
      <c r="HC377" s="860"/>
      <c r="HE377" s="860"/>
      <c r="HF377" s="860"/>
      <c r="HH377" s="860"/>
      <c r="HI377" s="860"/>
      <c r="HJ377" s="860"/>
      <c r="HL377" s="860"/>
      <c r="HM377" s="860"/>
      <c r="HO377" s="860"/>
      <c r="HP377" s="860"/>
      <c r="HR377" s="860"/>
    </row>
    <row r="378" spans="1:226">
      <c r="A378" s="860"/>
      <c r="B378" s="860"/>
      <c r="C378" s="860"/>
      <c r="D378" s="860"/>
      <c r="E378" s="860"/>
      <c r="F378" s="860"/>
      <c r="G378" s="860"/>
      <c r="H378" s="860"/>
      <c r="I378" s="860"/>
      <c r="J378" s="860"/>
      <c r="K378" s="860"/>
      <c r="L378" s="860"/>
      <c r="M378" s="860"/>
      <c r="N378" s="860"/>
      <c r="O378" s="860"/>
      <c r="P378" s="860"/>
      <c r="Q378" s="860"/>
      <c r="R378" s="860"/>
      <c r="S378" s="860"/>
      <c r="T378" s="860"/>
      <c r="U378" s="860"/>
      <c r="V378" s="860"/>
      <c r="W378" s="860"/>
      <c r="X378" s="860"/>
      <c r="Y378" s="860"/>
      <c r="Z378" s="860"/>
      <c r="AA378" s="860"/>
      <c r="AB378" s="860"/>
      <c r="AC378" s="860"/>
      <c r="AD378" s="860"/>
      <c r="AE378" s="860"/>
      <c r="AF378" s="860"/>
      <c r="AG378" s="860"/>
      <c r="AH378" s="860"/>
      <c r="AI378" s="860"/>
      <c r="AJ378" s="860"/>
      <c r="AK378" s="860"/>
      <c r="AL378" s="860"/>
      <c r="AM378" s="860"/>
      <c r="AN378" s="860"/>
      <c r="AO378" s="860"/>
      <c r="AP378" s="860"/>
      <c r="AQ378" s="860"/>
      <c r="AR378" s="860"/>
      <c r="AS378" s="860"/>
      <c r="AT378" s="860"/>
      <c r="AU378" s="860"/>
      <c r="AV378" s="860"/>
      <c r="AW378" s="860"/>
      <c r="AX378" s="860"/>
      <c r="AY378" s="860"/>
      <c r="AZ378" s="860"/>
      <c r="BA378" s="860"/>
      <c r="BB378" s="860"/>
      <c r="BC378" s="860"/>
      <c r="BD378" s="860"/>
      <c r="BE378" s="860"/>
      <c r="BF378" s="860"/>
      <c r="BG378" s="860"/>
      <c r="BH378" s="860"/>
      <c r="BI378" s="860"/>
      <c r="BJ378" s="860"/>
      <c r="BK378" s="860"/>
      <c r="BL378" s="860"/>
      <c r="BM378" s="860"/>
      <c r="BN378" s="860"/>
      <c r="BO378" s="860"/>
      <c r="BP378" s="860"/>
      <c r="BQ378" s="860"/>
      <c r="BR378" s="860"/>
      <c r="BS378" s="860"/>
      <c r="BT378" s="860"/>
      <c r="BU378" s="860"/>
      <c r="BV378" s="860"/>
      <c r="BW378" s="860"/>
      <c r="BX378" s="860"/>
      <c r="BY378" s="860"/>
      <c r="BZ378" s="860"/>
      <c r="CA378" s="860"/>
      <c r="CB378" s="860"/>
      <c r="CC378" s="860"/>
      <c r="CD378" s="860"/>
      <c r="CE378" s="860"/>
      <c r="CF378" s="860"/>
      <c r="CG378" s="860"/>
      <c r="CH378" s="860"/>
      <c r="CI378" s="860"/>
      <c r="CJ378" s="860"/>
      <c r="CK378" s="860"/>
      <c r="CL378" s="860"/>
      <c r="CM378" s="860"/>
      <c r="CN378" s="860"/>
      <c r="CO378" s="860"/>
      <c r="CP378" s="860"/>
      <c r="CQ378" s="860"/>
      <c r="CR378" s="860"/>
      <c r="CS378" s="860"/>
      <c r="CT378" s="860"/>
      <c r="CU378" s="860"/>
      <c r="CV378" s="860"/>
      <c r="CW378" s="860"/>
      <c r="CX378" s="860"/>
      <c r="CY378" s="860"/>
      <c r="CZ378" s="860"/>
      <c r="DA378" s="860"/>
      <c r="DB378" s="860"/>
      <c r="DC378" s="860"/>
      <c r="DD378" s="860"/>
      <c r="DE378" s="860"/>
      <c r="DF378" s="860"/>
      <c r="DG378" s="860"/>
      <c r="DH378" s="860"/>
      <c r="DI378" s="860"/>
      <c r="DJ378" s="860"/>
      <c r="DK378" s="860"/>
      <c r="DL378" s="860"/>
      <c r="DM378" s="860"/>
      <c r="DN378" s="860"/>
      <c r="DO378" s="860"/>
      <c r="DP378" s="860"/>
      <c r="DQ378" s="860"/>
      <c r="DR378" s="860"/>
      <c r="DS378" s="860"/>
      <c r="DT378" s="860"/>
      <c r="DU378" s="860"/>
      <c r="DV378" s="860"/>
      <c r="DW378" s="860"/>
      <c r="DX378" s="860"/>
      <c r="DY378" s="860"/>
      <c r="DZ378" s="860"/>
      <c r="EA378" s="860"/>
      <c r="EB378" s="860"/>
      <c r="EC378" s="860"/>
      <c r="ED378" s="860"/>
      <c r="EE378" s="860"/>
      <c r="EF378" s="860"/>
      <c r="EG378" s="860"/>
      <c r="EH378" s="860"/>
      <c r="EI378" s="860"/>
      <c r="EJ378" s="860"/>
      <c r="EK378" s="860"/>
      <c r="EL378" s="860"/>
      <c r="EM378" s="860"/>
      <c r="EN378" s="860"/>
      <c r="EO378" s="860"/>
      <c r="EP378" s="860"/>
      <c r="EQ378" s="860"/>
      <c r="ER378" s="860"/>
      <c r="ES378" s="860"/>
      <c r="ET378" s="860"/>
      <c r="EU378" s="860"/>
      <c r="EV378" s="860"/>
      <c r="EW378" s="860"/>
      <c r="EX378" s="860"/>
      <c r="EY378" s="860"/>
      <c r="EZ378" s="860"/>
      <c r="FA378" s="860"/>
      <c r="FB378" s="860"/>
      <c r="FC378" s="860"/>
      <c r="FD378" s="860"/>
      <c r="FE378" s="860"/>
      <c r="FF378" s="860"/>
      <c r="FG378" s="860"/>
      <c r="FH378" s="860"/>
      <c r="FI378" s="860"/>
      <c r="FJ378" s="860"/>
      <c r="FW378" s="860"/>
      <c r="FX378" s="860"/>
      <c r="FY378" s="860"/>
      <c r="FZ378" s="860"/>
      <c r="GA378" s="860"/>
      <c r="GB378" s="860"/>
      <c r="GC378" s="860"/>
      <c r="GD378" s="860"/>
      <c r="GE378" s="860"/>
      <c r="GF378" s="860"/>
      <c r="GG378" s="860"/>
      <c r="GH378" s="860"/>
      <c r="GI378" s="860"/>
      <c r="GJ378" s="860"/>
      <c r="GK378" s="860"/>
      <c r="GL378" s="860"/>
      <c r="GM378" s="860"/>
      <c r="GN378" s="860"/>
      <c r="GO378" s="860"/>
      <c r="GP378" s="860"/>
      <c r="GQ378" s="860"/>
      <c r="GR378" s="860"/>
      <c r="GS378" s="860"/>
      <c r="GT378" s="860"/>
      <c r="GU378" s="860"/>
      <c r="GV378" s="860"/>
      <c r="GW378" s="860"/>
      <c r="GX378" s="860"/>
      <c r="GY378" s="860"/>
      <c r="GZ378" s="860"/>
      <c r="HA378" s="860"/>
      <c r="HB378" s="860"/>
      <c r="HC378" s="860"/>
      <c r="HE378" s="860"/>
      <c r="HF378" s="860"/>
      <c r="HH378" s="860"/>
      <c r="HI378" s="860"/>
      <c r="HJ378" s="860"/>
      <c r="HL378" s="860"/>
      <c r="HM378" s="860"/>
      <c r="HO378" s="860"/>
      <c r="HP378" s="860"/>
      <c r="HR378" s="860"/>
    </row>
    <row r="379" spans="1:226">
      <c r="A379" s="860"/>
      <c r="B379" s="860"/>
      <c r="C379" s="860"/>
      <c r="D379" s="860"/>
      <c r="E379" s="860"/>
      <c r="F379" s="860"/>
      <c r="G379" s="860"/>
      <c r="H379" s="860"/>
      <c r="I379" s="860"/>
      <c r="J379" s="860"/>
      <c r="K379" s="860"/>
      <c r="L379" s="860"/>
      <c r="M379" s="860"/>
      <c r="N379" s="860"/>
      <c r="O379" s="860"/>
      <c r="P379" s="860"/>
      <c r="Q379" s="860"/>
      <c r="R379" s="860"/>
      <c r="S379" s="860"/>
      <c r="T379" s="860"/>
      <c r="U379" s="860"/>
      <c r="V379" s="860"/>
      <c r="W379" s="860"/>
      <c r="X379" s="860"/>
      <c r="Y379" s="860"/>
      <c r="Z379" s="860"/>
      <c r="AA379" s="860"/>
      <c r="AB379" s="860"/>
      <c r="AC379" s="860"/>
      <c r="AD379" s="860"/>
      <c r="AE379" s="860"/>
      <c r="AF379" s="860"/>
      <c r="AG379" s="860"/>
      <c r="AH379" s="860"/>
      <c r="AI379" s="860"/>
      <c r="AJ379" s="860"/>
      <c r="AK379" s="860"/>
      <c r="AL379" s="860"/>
      <c r="AM379" s="860"/>
      <c r="AN379" s="860"/>
      <c r="AO379" s="860"/>
      <c r="AP379" s="860"/>
      <c r="AQ379" s="860"/>
      <c r="AR379" s="860"/>
      <c r="AS379" s="860"/>
      <c r="AT379" s="860"/>
      <c r="AU379" s="860"/>
      <c r="AV379" s="860"/>
      <c r="AW379" s="860"/>
      <c r="AX379" s="860"/>
      <c r="AY379" s="860"/>
      <c r="AZ379" s="860"/>
      <c r="BA379" s="860"/>
      <c r="BB379" s="860"/>
      <c r="BC379" s="860"/>
      <c r="BD379" s="860"/>
      <c r="BE379" s="860"/>
      <c r="BF379" s="860"/>
      <c r="BG379" s="860"/>
      <c r="BH379" s="860"/>
      <c r="BI379" s="860"/>
      <c r="BJ379" s="860"/>
      <c r="BK379" s="860"/>
      <c r="BL379" s="860"/>
      <c r="BM379" s="860"/>
      <c r="BN379" s="860"/>
      <c r="BO379" s="860"/>
      <c r="BP379" s="860"/>
      <c r="BQ379" s="860"/>
      <c r="BR379" s="860"/>
      <c r="BS379" s="860"/>
      <c r="BT379" s="860"/>
      <c r="BU379" s="860"/>
      <c r="BV379" s="860"/>
      <c r="BW379" s="860"/>
      <c r="BX379" s="860"/>
      <c r="BY379" s="860"/>
      <c r="BZ379" s="860"/>
      <c r="CA379" s="860"/>
      <c r="CB379" s="860"/>
      <c r="CC379" s="860"/>
      <c r="CD379" s="860"/>
      <c r="CE379" s="860"/>
      <c r="CF379" s="860"/>
      <c r="CG379" s="860"/>
      <c r="CH379" s="860"/>
      <c r="CI379" s="860"/>
      <c r="CJ379" s="860"/>
      <c r="CK379" s="860"/>
      <c r="CL379" s="860"/>
      <c r="CM379" s="860"/>
      <c r="CN379" s="860"/>
      <c r="CO379" s="860"/>
      <c r="CP379" s="860"/>
      <c r="CQ379" s="860"/>
      <c r="CR379" s="860"/>
      <c r="CS379" s="860"/>
      <c r="CT379" s="860"/>
      <c r="CU379" s="860"/>
      <c r="CV379" s="860"/>
      <c r="CW379" s="860"/>
      <c r="CX379" s="860"/>
      <c r="CY379" s="860"/>
      <c r="CZ379" s="860"/>
      <c r="DA379" s="860"/>
      <c r="DB379" s="860"/>
      <c r="DC379" s="860"/>
      <c r="DD379" s="860"/>
      <c r="DE379" s="860"/>
      <c r="DF379" s="860"/>
      <c r="DG379" s="860"/>
      <c r="DH379" s="860"/>
      <c r="DI379" s="860"/>
      <c r="DJ379" s="860"/>
      <c r="DK379" s="860"/>
      <c r="DL379" s="860"/>
      <c r="DM379" s="860"/>
      <c r="DN379" s="860"/>
      <c r="DO379" s="860"/>
      <c r="DP379" s="860"/>
      <c r="DQ379" s="860"/>
      <c r="DR379" s="860"/>
      <c r="DS379" s="860"/>
      <c r="DT379" s="860"/>
      <c r="DU379" s="860"/>
      <c r="DV379" s="860"/>
      <c r="DW379" s="860"/>
      <c r="DX379" s="860"/>
      <c r="DY379" s="860"/>
      <c r="DZ379" s="860"/>
      <c r="EA379" s="860"/>
      <c r="EB379" s="860"/>
      <c r="EC379" s="860"/>
      <c r="ED379" s="860"/>
      <c r="EE379" s="860"/>
      <c r="EF379" s="860"/>
      <c r="EG379" s="860"/>
      <c r="EH379" s="860"/>
      <c r="EI379" s="860"/>
      <c r="EJ379" s="860"/>
      <c r="EK379" s="860"/>
      <c r="EL379" s="860"/>
      <c r="EM379" s="860"/>
      <c r="EN379" s="860"/>
      <c r="EO379" s="860"/>
      <c r="EP379" s="860"/>
      <c r="EQ379" s="860"/>
      <c r="ER379" s="860"/>
      <c r="ES379" s="860"/>
      <c r="ET379" s="860"/>
      <c r="EU379" s="860"/>
      <c r="EV379" s="860"/>
      <c r="EW379" s="860"/>
      <c r="EX379" s="860"/>
      <c r="EY379" s="860"/>
      <c r="EZ379" s="860"/>
      <c r="FA379" s="860"/>
      <c r="FB379" s="860"/>
      <c r="FC379" s="860"/>
      <c r="FD379" s="860"/>
      <c r="FE379" s="860"/>
      <c r="FF379" s="860"/>
      <c r="FG379" s="860"/>
      <c r="FH379" s="860"/>
      <c r="FI379" s="860"/>
      <c r="FJ379" s="860"/>
      <c r="FW379" s="860"/>
      <c r="FX379" s="860"/>
      <c r="FY379" s="860"/>
      <c r="FZ379" s="860"/>
      <c r="GA379" s="860"/>
      <c r="GB379" s="860"/>
      <c r="GC379" s="860"/>
      <c r="GD379" s="860"/>
      <c r="GE379" s="860"/>
      <c r="GF379" s="860"/>
      <c r="GG379" s="860"/>
      <c r="GH379" s="860"/>
      <c r="GI379" s="860"/>
      <c r="GJ379" s="860"/>
      <c r="GK379" s="860"/>
      <c r="GL379" s="860"/>
      <c r="GM379" s="860"/>
      <c r="GN379" s="860"/>
      <c r="GO379" s="860"/>
      <c r="GP379" s="860"/>
      <c r="GQ379" s="860"/>
      <c r="GR379" s="860"/>
      <c r="GS379" s="860"/>
      <c r="GT379" s="860"/>
      <c r="GU379" s="860"/>
      <c r="GV379" s="860"/>
      <c r="GW379" s="860"/>
      <c r="GX379" s="860"/>
      <c r="GY379" s="860"/>
      <c r="GZ379" s="860"/>
      <c r="HA379" s="860"/>
      <c r="HB379" s="860"/>
      <c r="HC379" s="860"/>
      <c r="HE379" s="860"/>
      <c r="HF379" s="860"/>
      <c r="HH379" s="860"/>
      <c r="HI379" s="860"/>
      <c r="HJ379" s="860"/>
      <c r="HL379" s="860"/>
      <c r="HM379" s="860"/>
      <c r="HO379" s="860"/>
      <c r="HP379" s="860"/>
      <c r="HR379" s="860"/>
    </row>
    <row r="380" spans="1:226">
      <c r="A380" s="860"/>
      <c r="B380" s="860"/>
      <c r="C380" s="860"/>
      <c r="D380" s="860"/>
      <c r="E380" s="860"/>
      <c r="F380" s="860"/>
      <c r="G380" s="860"/>
      <c r="H380" s="860"/>
      <c r="I380" s="860"/>
      <c r="J380" s="860"/>
      <c r="K380" s="860"/>
      <c r="L380" s="860"/>
      <c r="M380" s="860"/>
      <c r="N380" s="860"/>
      <c r="O380" s="860"/>
      <c r="P380" s="860"/>
      <c r="Q380" s="860"/>
      <c r="R380" s="860"/>
      <c r="S380" s="860"/>
      <c r="T380" s="860"/>
      <c r="U380" s="860"/>
      <c r="V380" s="860"/>
      <c r="W380" s="860"/>
      <c r="X380" s="860"/>
      <c r="Y380" s="860"/>
      <c r="Z380" s="860"/>
      <c r="AA380" s="860"/>
      <c r="AB380" s="860"/>
      <c r="AC380" s="860"/>
      <c r="AD380" s="860"/>
      <c r="AE380" s="860"/>
      <c r="AF380" s="860"/>
      <c r="AG380" s="860"/>
      <c r="AH380" s="860"/>
      <c r="AI380" s="860"/>
      <c r="AJ380" s="860"/>
      <c r="AK380" s="860"/>
      <c r="AL380" s="860"/>
      <c r="AM380" s="860"/>
      <c r="AN380" s="860"/>
      <c r="AO380" s="860"/>
      <c r="AP380" s="860"/>
      <c r="AQ380" s="860"/>
      <c r="AR380" s="860"/>
      <c r="AS380" s="860"/>
      <c r="AT380" s="860"/>
      <c r="AU380" s="860"/>
      <c r="AV380" s="860"/>
      <c r="AW380" s="860"/>
      <c r="AX380" s="860"/>
      <c r="AY380" s="860"/>
      <c r="AZ380" s="860"/>
      <c r="BA380" s="860"/>
      <c r="BB380" s="860"/>
      <c r="BC380" s="860"/>
      <c r="BD380" s="860"/>
      <c r="BE380" s="860"/>
      <c r="BF380" s="860"/>
      <c r="BG380" s="860"/>
      <c r="BH380" s="860"/>
      <c r="BI380" s="860"/>
      <c r="BJ380" s="860"/>
      <c r="BK380" s="860"/>
      <c r="BL380" s="860"/>
      <c r="BM380" s="860"/>
      <c r="BN380" s="860"/>
      <c r="BO380" s="860"/>
      <c r="BP380" s="860"/>
      <c r="BQ380" s="860"/>
      <c r="BR380" s="860"/>
      <c r="BS380" s="860"/>
      <c r="BT380" s="860"/>
      <c r="BU380" s="860"/>
      <c r="BV380" s="860"/>
      <c r="BW380" s="860"/>
      <c r="BX380" s="860"/>
      <c r="BY380" s="860"/>
      <c r="BZ380" s="860"/>
      <c r="CA380" s="860"/>
      <c r="CB380" s="860"/>
      <c r="CC380" s="860"/>
      <c r="CD380" s="860"/>
      <c r="CE380" s="860"/>
      <c r="CF380" s="860"/>
      <c r="CG380" s="860"/>
      <c r="CH380" s="860"/>
      <c r="CI380" s="860"/>
      <c r="CJ380" s="860"/>
      <c r="CK380" s="860"/>
      <c r="CL380" s="860"/>
      <c r="CM380" s="860"/>
      <c r="CN380" s="860"/>
      <c r="CO380" s="860"/>
      <c r="CP380" s="860"/>
      <c r="CQ380" s="860"/>
      <c r="CR380" s="860"/>
      <c r="CS380" s="860"/>
      <c r="CT380" s="860"/>
      <c r="CU380" s="860"/>
      <c r="CV380" s="860"/>
      <c r="CW380" s="860"/>
      <c r="CX380" s="860"/>
      <c r="CY380" s="860"/>
      <c r="CZ380" s="860"/>
      <c r="DA380" s="860"/>
      <c r="DB380" s="860"/>
      <c r="DC380" s="860"/>
      <c r="DD380" s="860"/>
      <c r="DE380" s="860"/>
      <c r="DF380" s="860"/>
      <c r="DG380" s="860"/>
      <c r="DH380" s="860"/>
      <c r="DI380" s="860"/>
      <c r="DJ380" s="860"/>
      <c r="DK380" s="860"/>
      <c r="DL380" s="860"/>
      <c r="DM380" s="860"/>
      <c r="DN380" s="860"/>
      <c r="DO380" s="860"/>
      <c r="DP380" s="860"/>
      <c r="DQ380" s="860"/>
      <c r="DR380" s="860"/>
      <c r="DS380" s="860"/>
      <c r="DT380" s="860"/>
      <c r="DU380" s="860"/>
      <c r="DV380" s="860"/>
      <c r="DW380" s="860"/>
      <c r="DX380" s="860"/>
      <c r="DY380" s="860"/>
      <c r="DZ380" s="860"/>
      <c r="EA380" s="860"/>
      <c r="EB380" s="860"/>
      <c r="EC380" s="860"/>
      <c r="ED380" s="860"/>
      <c r="EE380" s="860"/>
      <c r="EF380" s="860"/>
      <c r="EG380" s="860"/>
      <c r="EH380" s="860"/>
      <c r="EI380" s="860"/>
      <c r="EJ380" s="860"/>
      <c r="EK380" s="860"/>
      <c r="EL380" s="860"/>
      <c r="EM380" s="860"/>
      <c r="EN380" s="860"/>
      <c r="EO380" s="860"/>
      <c r="EP380" s="860"/>
      <c r="EQ380" s="860"/>
      <c r="ER380" s="860"/>
      <c r="ES380" s="860"/>
      <c r="ET380" s="860"/>
      <c r="EU380" s="860"/>
      <c r="EV380" s="860"/>
      <c r="EW380" s="860"/>
      <c r="EX380" s="860"/>
      <c r="EY380" s="860"/>
      <c r="EZ380" s="860"/>
      <c r="FA380" s="860"/>
      <c r="FB380" s="860"/>
      <c r="FC380" s="860"/>
      <c r="FD380" s="860"/>
      <c r="FE380" s="860"/>
      <c r="FF380" s="860"/>
      <c r="FG380" s="860"/>
      <c r="FH380" s="860"/>
      <c r="FI380" s="860"/>
      <c r="FJ380" s="860"/>
      <c r="FW380" s="860"/>
      <c r="FX380" s="860"/>
      <c r="FY380" s="860"/>
      <c r="FZ380" s="860"/>
      <c r="GA380" s="860"/>
      <c r="GB380" s="860"/>
      <c r="GC380" s="860"/>
      <c r="GD380" s="860"/>
      <c r="GE380" s="860"/>
      <c r="GF380" s="860"/>
      <c r="GG380" s="860"/>
      <c r="GH380" s="860"/>
      <c r="GI380" s="860"/>
      <c r="GJ380" s="860"/>
      <c r="GK380" s="860"/>
      <c r="GL380" s="860"/>
      <c r="GM380" s="860"/>
      <c r="GN380" s="860"/>
      <c r="GO380" s="860"/>
      <c r="GP380" s="860"/>
      <c r="GQ380" s="860"/>
      <c r="GR380" s="860"/>
      <c r="GS380" s="860"/>
      <c r="GT380" s="860"/>
      <c r="GU380" s="860"/>
      <c r="GV380" s="860"/>
      <c r="GW380" s="860"/>
      <c r="GX380" s="860"/>
      <c r="GY380" s="860"/>
      <c r="GZ380" s="860"/>
      <c r="HA380" s="860"/>
      <c r="HB380" s="860"/>
      <c r="HC380" s="860"/>
      <c r="HE380" s="860"/>
      <c r="HF380" s="860"/>
      <c r="HH380" s="860"/>
      <c r="HI380" s="860"/>
      <c r="HJ380" s="860"/>
      <c r="HL380" s="860"/>
      <c r="HM380" s="860"/>
      <c r="HO380" s="860"/>
      <c r="HP380" s="860"/>
      <c r="HR380" s="860"/>
    </row>
    <row r="381" spans="1:226">
      <c r="A381" s="860"/>
      <c r="B381" s="860"/>
      <c r="C381" s="860"/>
      <c r="D381" s="860"/>
      <c r="E381" s="860"/>
      <c r="F381" s="860"/>
      <c r="G381" s="860"/>
      <c r="H381" s="860"/>
      <c r="I381" s="860"/>
      <c r="J381" s="860"/>
      <c r="K381" s="860"/>
      <c r="L381" s="860"/>
      <c r="M381" s="860"/>
      <c r="N381" s="860"/>
      <c r="O381" s="860"/>
      <c r="P381" s="860"/>
      <c r="Q381" s="860"/>
      <c r="R381" s="860"/>
      <c r="S381" s="860"/>
      <c r="T381" s="860"/>
      <c r="U381" s="860"/>
      <c r="V381" s="860"/>
      <c r="W381" s="860"/>
      <c r="X381" s="860"/>
      <c r="Y381" s="860"/>
      <c r="Z381" s="860"/>
      <c r="AA381" s="860"/>
      <c r="AB381" s="860"/>
      <c r="AC381" s="860"/>
      <c r="AD381" s="860"/>
      <c r="AE381" s="860"/>
      <c r="AF381" s="860"/>
      <c r="AG381" s="860"/>
      <c r="AH381" s="860"/>
      <c r="AI381" s="860"/>
      <c r="AJ381" s="860"/>
      <c r="AK381" s="860"/>
      <c r="AL381" s="860"/>
      <c r="AM381" s="860"/>
      <c r="AN381" s="860"/>
      <c r="AO381" s="860"/>
      <c r="AP381" s="860"/>
      <c r="AQ381" s="860"/>
      <c r="AR381" s="860"/>
      <c r="AS381" s="860"/>
      <c r="AT381" s="860"/>
      <c r="AU381" s="860"/>
      <c r="AV381" s="860"/>
      <c r="AW381" s="860"/>
      <c r="AX381" s="860"/>
      <c r="AY381" s="860"/>
      <c r="AZ381" s="860"/>
      <c r="BA381" s="860"/>
      <c r="BB381" s="860"/>
      <c r="BC381" s="860"/>
      <c r="BD381" s="860"/>
      <c r="BE381" s="860"/>
      <c r="BF381" s="860"/>
      <c r="BG381" s="860"/>
      <c r="BH381" s="860"/>
      <c r="BI381" s="860"/>
      <c r="BJ381" s="860"/>
      <c r="BK381" s="860"/>
      <c r="BL381" s="860"/>
      <c r="BM381" s="860"/>
      <c r="BN381" s="860"/>
      <c r="BO381" s="860"/>
      <c r="BP381" s="860"/>
      <c r="BQ381" s="860"/>
      <c r="BR381" s="860"/>
      <c r="BS381" s="860"/>
      <c r="BT381" s="860"/>
      <c r="BU381" s="860"/>
      <c r="BV381" s="860"/>
      <c r="BW381" s="860"/>
      <c r="BX381" s="860"/>
      <c r="BY381" s="860"/>
      <c r="BZ381" s="860"/>
      <c r="CA381" s="860"/>
      <c r="CB381" s="860"/>
      <c r="CC381" s="860"/>
      <c r="CD381" s="860"/>
      <c r="CE381" s="860"/>
      <c r="CF381" s="860"/>
      <c r="CG381" s="860"/>
      <c r="CH381" s="860"/>
      <c r="CI381" s="860"/>
      <c r="CJ381" s="860"/>
      <c r="CK381" s="860"/>
      <c r="CL381" s="860"/>
      <c r="CM381" s="860"/>
      <c r="CN381" s="860"/>
      <c r="CO381" s="860"/>
      <c r="CP381" s="860"/>
      <c r="CQ381" s="860"/>
      <c r="CR381" s="860"/>
      <c r="CS381" s="860"/>
      <c r="CT381" s="860"/>
      <c r="CU381" s="860"/>
      <c r="CV381" s="860"/>
      <c r="CW381" s="860"/>
      <c r="CX381" s="860"/>
      <c r="CY381" s="860"/>
      <c r="CZ381" s="860"/>
      <c r="DA381" s="860"/>
      <c r="DB381" s="860"/>
      <c r="DC381" s="860"/>
      <c r="DD381" s="860"/>
      <c r="DE381" s="860"/>
      <c r="DF381" s="860"/>
      <c r="DG381" s="860"/>
      <c r="DH381" s="860"/>
      <c r="DI381" s="860"/>
      <c r="DJ381" s="860"/>
      <c r="DK381" s="860"/>
      <c r="DL381" s="860"/>
      <c r="DM381" s="860"/>
      <c r="DN381" s="860"/>
      <c r="DO381" s="860"/>
      <c r="DP381" s="860"/>
      <c r="DQ381" s="860"/>
      <c r="DR381" s="860"/>
      <c r="DS381" s="860"/>
      <c r="DT381" s="860"/>
      <c r="DU381" s="860"/>
      <c r="DV381" s="860"/>
      <c r="DW381" s="860"/>
      <c r="DX381" s="860"/>
      <c r="DY381" s="860"/>
      <c r="DZ381" s="860"/>
      <c r="EA381" s="860"/>
      <c r="EB381" s="860"/>
      <c r="EC381" s="860"/>
      <c r="ED381" s="860"/>
      <c r="EE381" s="860"/>
      <c r="EF381" s="860"/>
      <c r="EG381" s="860"/>
      <c r="EH381" s="860"/>
      <c r="EI381" s="860"/>
      <c r="EJ381" s="860"/>
      <c r="EK381" s="860"/>
      <c r="EL381" s="860"/>
      <c r="EM381" s="860"/>
      <c r="EN381" s="860"/>
      <c r="EO381" s="860"/>
      <c r="EP381" s="860"/>
      <c r="EQ381" s="860"/>
      <c r="ER381" s="860"/>
      <c r="ES381" s="860"/>
      <c r="ET381" s="860"/>
      <c r="EU381" s="860"/>
      <c r="EV381" s="860"/>
      <c r="EW381" s="860"/>
      <c r="EX381" s="860"/>
      <c r="EY381" s="860"/>
      <c r="EZ381" s="860"/>
      <c r="FA381" s="860"/>
      <c r="FB381" s="860"/>
      <c r="FC381" s="860"/>
      <c r="FD381" s="860"/>
      <c r="FE381" s="860"/>
      <c r="FF381" s="860"/>
      <c r="FG381" s="860"/>
      <c r="FH381" s="860"/>
      <c r="FI381" s="860"/>
      <c r="FJ381" s="860"/>
      <c r="FW381" s="860"/>
      <c r="FX381" s="860"/>
      <c r="FY381" s="860"/>
      <c r="FZ381" s="860"/>
      <c r="GA381" s="860"/>
      <c r="GB381" s="860"/>
      <c r="GC381" s="860"/>
      <c r="GD381" s="860"/>
      <c r="GE381" s="860"/>
      <c r="GF381" s="860"/>
      <c r="GG381" s="860"/>
      <c r="GH381" s="860"/>
      <c r="GI381" s="860"/>
      <c r="GJ381" s="860"/>
      <c r="GK381" s="860"/>
      <c r="GL381" s="860"/>
      <c r="GM381" s="860"/>
      <c r="GN381" s="860"/>
      <c r="GO381" s="860"/>
      <c r="GP381" s="860"/>
      <c r="GQ381" s="860"/>
      <c r="GR381" s="860"/>
      <c r="GS381" s="860"/>
      <c r="GT381" s="860"/>
      <c r="GU381" s="860"/>
      <c r="GV381" s="860"/>
      <c r="GW381" s="860"/>
      <c r="GX381" s="860"/>
      <c r="GY381" s="860"/>
      <c r="GZ381" s="860"/>
      <c r="HA381" s="860"/>
      <c r="HB381" s="860"/>
      <c r="HC381" s="860"/>
      <c r="HE381" s="860"/>
      <c r="HF381" s="860"/>
      <c r="HH381" s="860"/>
      <c r="HI381" s="860"/>
      <c r="HJ381" s="860"/>
      <c r="HL381" s="860"/>
      <c r="HM381" s="860"/>
      <c r="HO381" s="860"/>
      <c r="HP381" s="860"/>
      <c r="HR381" s="860"/>
    </row>
    <row r="382" spans="1:226">
      <c r="A382" s="860"/>
      <c r="B382" s="860"/>
      <c r="C382" s="860"/>
      <c r="D382" s="860"/>
      <c r="E382" s="860"/>
      <c r="F382" s="860"/>
      <c r="G382" s="860"/>
      <c r="H382" s="860"/>
      <c r="I382" s="860"/>
      <c r="J382" s="860"/>
      <c r="K382" s="860"/>
      <c r="L382" s="860"/>
      <c r="M382" s="860"/>
      <c r="N382" s="860"/>
      <c r="O382" s="860"/>
      <c r="P382" s="860"/>
      <c r="Q382" s="860"/>
      <c r="R382" s="860"/>
      <c r="S382" s="860"/>
      <c r="T382" s="860"/>
      <c r="U382" s="860"/>
      <c r="V382" s="860"/>
      <c r="W382" s="860"/>
      <c r="X382" s="860"/>
      <c r="Y382" s="860"/>
      <c r="Z382" s="860"/>
      <c r="AA382" s="860"/>
      <c r="AB382" s="860"/>
      <c r="AC382" s="860"/>
      <c r="AD382" s="860"/>
      <c r="AE382" s="860"/>
      <c r="AF382" s="860"/>
      <c r="AG382" s="860"/>
      <c r="AH382" s="860"/>
      <c r="AI382" s="860"/>
      <c r="AJ382" s="860"/>
      <c r="AK382" s="860"/>
      <c r="AL382" s="860"/>
      <c r="AM382" s="860"/>
      <c r="AN382" s="860"/>
      <c r="AO382" s="860"/>
      <c r="AP382" s="860"/>
      <c r="AQ382" s="860"/>
      <c r="AR382" s="860"/>
      <c r="AS382" s="860"/>
      <c r="AT382" s="860"/>
      <c r="AU382" s="860"/>
      <c r="AV382" s="860"/>
      <c r="AW382" s="860"/>
      <c r="AX382" s="860"/>
      <c r="AY382" s="860"/>
      <c r="AZ382" s="860"/>
      <c r="BA382" s="860"/>
      <c r="BB382" s="860"/>
      <c r="BC382" s="860"/>
      <c r="BD382" s="860"/>
      <c r="BE382" s="860"/>
      <c r="BF382" s="860"/>
      <c r="BG382" s="860"/>
      <c r="BH382" s="860"/>
      <c r="BI382" s="860"/>
      <c r="BJ382" s="860"/>
      <c r="BK382" s="860"/>
      <c r="BL382" s="860"/>
      <c r="BM382" s="860"/>
      <c r="BN382" s="860"/>
      <c r="BO382" s="860"/>
      <c r="BP382" s="860"/>
      <c r="BQ382" s="860"/>
      <c r="BR382" s="860"/>
      <c r="BS382" s="860"/>
      <c r="BT382" s="860"/>
      <c r="BU382" s="860"/>
      <c r="BV382" s="860"/>
      <c r="BW382" s="860"/>
      <c r="BX382" s="860"/>
      <c r="BY382" s="860"/>
      <c r="BZ382" s="860"/>
      <c r="CA382" s="860"/>
      <c r="CB382" s="860"/>
      <c r="CC382" s="860"/>
      <c r="CD382" s="860"/>
      <c r="CE382" s="860"/>
      <c r="CF382" s="860"/>
      <c r="CG382" s="860"/>
      <c r="CH382" s="860"/>
      <c r="CI382" s="860"/>
      <c r="CJ382" s="860"/>
      <c r="CK382" s="860"/>
      <c r="CL382" s="860"/>
      <c r="CM382" s="860"/>
      <c r="CN382" s="860"/>
      <c r="CO382" s="860"/>
      <c r="CP382" s="860"/>
      <c r="CQ382" s="860"/>
      <c r="CR382" s="860"/>
      <c r="CS382" s="860"/>
      <c r="CT382" s="860"/>
      <c r="CU382" s="860"/>
      <c r="CV382" s="860"/>
      <c r="CW382" s="860"/>
      <c r="CX382" s="860"/>
      <c r="CY382" s="860"/>
      <c r="CZ382" s="860"/>
      <c r="DA382" s="860"/>
      <c r="DB382" s="860"/>
      <c r="DC382" s="860"/>
      <c r="DD382" s="860"/>
      <c r="DE382" s="860"/>
      <c r="DF382" s="860"/>
      <c r="DG382" s="860"/>
      <c r="DH382" s="860"/>
      <c r="DI382" s="860"/>
      <c r="DJ382" s="860"/>
      <c r="DK382" s="860"/>
      <c r="DL382" s="860"/>
      <c r="DM382" s="860"/>
      <c r="DN382" s="860"/>
      <c r="DO382" s="860"/>
      <c r="DP382" s="860"/>
      <c r="DQ382" s="860"/>
      <c r="DR382" s="860"/>
      <c r="DS382" s="860"/>
      <c r="DT382" s="860"/>
      <c r="DU382" s="860"/>
      <c r="DV382" s="860"/>
      <c r="DW382" s="860"/>
      <c r="DX382" s="860"/>
      <c r="DY382" s="860"/>
      <c r="DZ382" s="860"/>
      <c r="EA382" s="860"/>
      <c r="EB382" s="860"/>
      <c r="EC382" s="860"/>
      <c r="ED382" s="860"/>
      <c r="EE382" s="860"/>
      <c r="EF382" s="860"/>
      <c r="EG382" s="860"/>
      <c r="EH382" s="860"/>
      <c r="EI382" s="860"/>
      <c r="EJ382" s="860"/>
      <c r="EK382" s="860"/>
      <c r="EL382" s="860"/>
      <c r="EM382" s="860"/>
      <c r="EN382" s="860"/>
      <c r="EO382" s="860"/>
      <c r="EP382" s="860"/>
      <c r="EQ382" s="860"/>
      <c r="ER382" s="860"/>
      <c r="ES382" s="860"/>
      <c r="ET382" s="860"/>
      <c r="EU382" s="860"/>
      <c r="EV382" s="860"/>
      <c r="EW382" s="860"/>
      <c r="EX382" s="860"/>
      <c r="EY382" s="860"/>
      <c r="EZ382" s="860"/>
      <c r="FA382" s="860"/>
      <c r="FB382" s="860"/>
      <c r="FC382" s="860"/>
      <c r="FD382" s="860"/>
      <c r="FE382" s="860"/>
      <c r="FF382" s="860"/>
      <c r="FG382" s="860"/>
      <c r="FH382" s="860"/>
      <c r="FI382" s="860"/>
      <c r="FJ382" s="860"/>
      <c r="FW382" s="860"/>
      <c r="FX382" s="860"/>
      <c r="FY382" s="860"/>
      <c r="FZ382" s="860"/>
      <c r="GA382" s="860"/>
      <c r="GB382" s="860"/>
      <c r="GC382" s="860"/>
      <c r="GD382" s="860"/>
      <c r="GE382" s="860"/>
      <c r="GF382" s="860"/>
      <c r="GG382" s="860"/>
      <c r="GH382" s="860"/>
      <c r="GI382" s="860"/>
      <c r="GJ382" s="860"/>
      <c r="GK382" s="860"/>
      <c r="GL382" s="860"/>
      <c r="GM382" s="860"/>
      <c r="GN382" s="860"/>
      <c r="GO382" s="860"/>
      <c r="GP382" s="860"/>
      <c r="GQ382" s="860"/>
      <c r="GR382" s="860"/>
      <c r="GS382" s="860"/>
      <c r="GT382" s="860"/>
      <c r="GU382" s="860"/>
      <c r="GV382" s="860"/>
      <c r="GW382" s="860"/>
      <c r="GX382" s="860"/>
      <c r="GY382" s="860"/>
      <c r="GZ382" s="860"/>
      <c r="HA382" s="860"/>
      <c r="HB382" s="860"/>
      <c r="HC382" s="860"/>
      <c r="HE382" s="860"/>
      <c r="HF382" s="860"/>
      <c r="HH382" s="860"/>
      <c r="HI382" s="860"/>
      <c r="HJ382" s="860"/>
      <c r="HL382" s="860"/>
      <c r="HM382" s="860"/>
      <c r="HO382" s="860"/>
      <c r="HP382" s="860"/>
      <c r="HR382" s="860"/>
    </row>
    <row r="383" spans="1:226">
      <c r="A383" s="860"/>
      <c r="B383" s="860"/>
      <c r="C383" s="860"/>
      <c r="D383" s="860"/>
      <c r="E383" s="860"/>
      <c r="F383" s="860"/>
      <c r="G383" s="860"/>
      <c r="H383" s="860"/>
      <c r="I383" s="860"/>
      <c r="J383" s="860"/>
      <c r="K383" s="860"/>
      <c r="L383" s="860"/>
      <c r="M383" s="860"/>
      <c r="N383" s="860"/>
      <c r="O383" s="860"/>
      <c r="P383" s="860"/>
      <c r="Q383" s="860"/>
      <c r="R383" s="860"/>
      <c r="S383" s="860"/>
      <c r="T383" s="860"/>
      <c r="U383" s="860"/>
      <c r="V383" s="860"/>
      <c r="W383" s="860"/>
      <c r="X383" s="860"/>
      <c r="Y383" s="860"/>
      <c r="Z383" s="860"/>
      <c r="AA383" s="860"/>
      <c r="AB383" s="860"/>
      <c r="AC383" s="860"/>
      <c r="AD383" s="860"/>
      <c r="AE383" s="860"/>
      <c r="AF383" s="860"/>
      <c r="AG383" s="860"/>
      <c r="AH383" s="860"/>
      <c r="AI383" s="860"/>
      <c r="AJ383" s="860"/>
      <c r="AK383" s="860"/>
      <c r="AL383" s="860"/>
      <c r="AM383" s="860"/>
      <c r="AN383" s="860"/>
      <c r="AO383" s="860"/>
      <c r="AP383" s="860"/>
      <c r="AQ383" s="860"/>
      <c r="AR383" s="860"/>
      <c r="AS383" s="860"/>
      <c r="AT383" s="860"/>
      <c r="AU383" s="860"/>
      <c r="AV383" s="860"/>
      <c r="AW383" s="860"/>
      <c r="AX383" s="860"/>
      <c r="AY383" s="860"/>
      <c r="AZ383" s="860"/>
      <c r="BA383" s="860"/>
      <c r="BB383" s="860"/>
      <c r="BC383" s="860"/>
      <c r="BD383" s="860"/>
      <c r="BE383" s="860"/>
      <c r="BF383" s="860"/>
      <c r="BG383" s="860"/>
      <c r="BH383" s="860"/>
      <c r="BI383" s="860"/>
      <c r="BJ383" s="860"/>
      <c r="BK383" s="860"/>
      <c r="BL383" s="860"/>
      <c r="BM383" s="860"/>
      <c r="BN383" s="860"/>
      <c r="BO383" s="860"/>
      <c r="BP383" s="860"/>
      <c r="BQ383" s="860"/>
      <c r="BR383" s="860"/>
      <c r="BS383" s="860"/>
      <c r="BT383" s="860"/>
      <c r="BU383" s="860"/>
      <c r="BV383" s="860"/>
      <c r="BW383" s="860"/>
      <c r="BX383" s="860"/>
      <c r="BY383" s="860"/>
      <c r="BZ383" s="860"/>
      <c r="CA383" s="860"/>
      <c r="CB383" s="860"/>
      <c r="CC383" s="860"/>
      <c r="CD383" s="860"/>
      <c r="CE383" s="860"/>
      <c r="CF383" s="860"/>
      <c r="CG383" s="860"/>
      <c r="CH383" s="860"/>
      <c r="CI383" s="860"/>
      <c r="CJ383" s="860"/>
      <c r="CK383" s="860"/>
      <c r="CL383" s="860"/>
      <c r="CM383" s="860"/>
      <c r="CN383" s="860"/>
      <c r="CO383" s="860"/>
      <c r="CP383" s="860"/>
      <c r="CQ383" s="860"/>
      <c r="CR383" s="860"/>
      <c r="CS383" s="860"/>
      <c r="CT383" s="860"/>
      <c r="CU383" s="860"/>
      <c r="CV383" s="860"/>
      <c r="CW383" s="860"/>
      <c r="CX383" s="860"/>
      <c r="CY383" s="860"/>
      <c r="CZ383" s="860"/>
      <c r="DA383" s="860"/>
      <c r="DB383" s="860"/>
      <c r="DC383" s="860"/>
      <c r="DD383" s="860"/>
      <c r="DE383" s="860"/>
      <c r="DF383" s="860"/>
      <c r="DG383" s="860"/>
      <c r="DH383" s="860"/>
      <c r="DI383" s="860"/>
      <c r="DJ383" s="860"/>
      <c r="DK383" s="860"/>
      <c r="DL383" s="860"/>
      <c r="DM383" s="860"/>
      <c r="DN383" s="860"/>
      <c r="DO383" s="860"/>
      <c r="DP383" s="860"/>
      <c r="DQ383" s="860"/>
      <c r="DR383" s="860"/>
      <c r="DS383" s="860"/>
      <c r="DT383" s="860"/>
      <c r="DU383" s="860"/>
      <c r="DV383" s="860"/>
      <c r="DW383" s="860"/>
      <c r="DX383" s="860"/>
      <c r="DY383" s="860"/>
      <c r="DZ383" s="860"/>
      <c r="EA383" s="860"/>
      <c r="EB383" s="860"/>
      <c r="EC383" s="860"/>
      <c r="ED383" s="860"/>
      <c r="EE383" s="860"/>
      <c r="EF383" s="860"/>
      <c r="EG383" s="860"/>
      <c r="EH383" s="860"/>
      <c r="EI383" s="860"/>
      <c r="EJ383" s="860"/>
      <c r="EK383" s="860"/>
      <c r="EL383" s="860"/>
      <c r="EM383" s="860"/>
      <c r="EN383" s="860"/>
      <c r="EO383" s="860"/>
      <c r="EP383" s="860"/>
      <c r="EQ383" s="860"/>
      <c r="ER383" s="860"/>
      <c r="ES383" s="860"/>
      <c r="ET383" s="860"/>
      <c r="EU383" s="860"/>
      <c r="EV383" s="860"/>
      <c r="EW383" s="860"/>
      <c r="EX383" s="860"/>
      <c r="EY383" s="860"/>
      <c r="EZ383" s="860"/>
      <c r="FA383" s="860"/>
      <c r="FB383" s="860"/>
      <c r="FC383" s="860"/>
      <c r="FD383" s="860"/>
      <c r="FE383" s="860"/>
      <c r="FF383" s="860"/>
      <c r="FG383" s="860"/>
      <c r="FH383" s="860"/>
      <c r="FI383" s="860"/>
      <c r="FJ383" s="860"/>
      <c r="FW383" s="860"/>
      <c r="FX383" s="860"/>
      <c r="FY383" s="860"/>
      <c r="FZ383" s="860"/>
      <c r="GA383" s="860"/>
      <c r="GB383" s="860"/>
      <c r="GC383" s="860"/>
      <c r="GD383" s="860"/>
      <c r="GE383" s="860"/>
      <c r="GF383" s="860"/>
      <c r="GG383" s="860"/>
      <c r="GH383" s="860"/>
      <c r="GI383" s="860"/>
      <c r="GJ383" s="860"/>
      <c r="GK383" s="860"/>
      <c r="GL383" s="860"/>
      <c r="GM383" s="860"/>
      <c r="GN383" s="860"/>
      <c r="GO383" s="860"/>
      <c r="GP383" s="860"/>
      <c r="GQ383" s="860"/>
      <c r="GR383" s="860"/>
      <c r="GS383" s="860"/>
      <c r="GT383" s="860"/>
      <c r="GU383" s="860"/>
      <c r="GV383" s="860"/>
      <c r="GW383" s="860"/>
      <c r="GX383" s="860"/>
      <c r="GY383" s="860"/>
      <c r="GZ383" s="860"/>
      <c r="HA383" s="860"/>
      <c r="HB383" s="860"/>
      <c r="HC383" s="860"/>
      <c r="HE383" s="860"/>
      <c r="HF383" s="860"/>
      <c r="HH383" s="860"/>
      <c r="HI383" s="860"/>
      <c r="HJ383" s="860"/>
      <c r="HL383" s="860"/>
      <c r="HM383" s="860"/>
      <c r="HO383" s="860"/>
      <c r="HP383" s="860"/>
      <c r="HR383" s="860"/>
    </row>
    <row r="384" spans="1:226">
      <c r="A384" s="860"/>
      <c r="B384" s="860"/>
      <c r="C384" s="860"/>
      <c r="D384" s="860"/>
      <c r="E384" s="860"/>
      <c r="F384" s="860"/>
      <c r="G384" s="860"/>
      <c r="H384" s="860"/>
      <c r="I384" s="860"/>
      <c r="J384" s="860"/>
      <c r="K384" s="860"/>
      <c r="L384" s="860"/>
      <c r="M384" s="860"/>
      <c r="N384" s="860"/>
      <c r="O384" s="860"/>
      <c r="P384" s="860"/>
      <c r="Q384" s="860"/>
      <c r="R384" s="860"/>
      <c r="S384" s="860"/>
      <c r="T384" s="860"/>
      <c r="U384" s="860"/>
      <c r="V384" s="860"/>
      <c r="W384" s="860"/>
      <c r="X384" s="860"/>
      <c r="Y384" s="860"/>
      <c r="Z384" s="860"/>
      <c r="AA384" s="860"/>
      <c r="AB384" s="860"/>
      <c r="AC384" s="860"/>
      <c r="AD384" s="860"/>
      <c r="AE384" s="860"/>
      <c r="AF384" s="860"/>
      <c r="AG384" s="860"/>
      <c r="AH384" s="860"/>
      <c r="AI384" s="860"/>
      <c r="AJ384" s="860"/>
      <c r="AK384" s="860"/>
      <c r="AL384" s="860"/>
      <c r="AM384" s="860"/>
      <c r="AN384" s="860"/>
      <c r="AO384" s="860"/>
      <c r="AP384" s="860"/>
      <c r="AQ384" s="860"/>
      <c r="AR384" s="860"/>
      <c r="AS384" s="860"/>
      <c r="AT384" s="860"/>
      <c r="AU384" s="860"/>
      <c r="AV384" s="860"/>
      <c r="AW384" s="860"/>
      <c r="AX384" s="860"/>
      <c r="AY384" s="860"/>
      <c r="AZ384" s="860"/>
      <c r="BA384" s="860"/>
      <c r="BB384" s="860"/>
      <c r="BC384" s="860"/>
      <c r="BD384" s="860"/>
      <c r="BE384" s="860"/>
      <c r="BF384" s="860"/>
      <c r="BG384" s="860"/>
      <c r="BH384" s="860"/>
      <c r="BI384" s="860"/>
      <c r="BJ384" s="860"/>
      <c r="BK384" s="860"/>
      <c r="BL384" s="860"/>
      <c r="BM384" s="860"/>
      <c r="BN384" s="860"/>
      <c r="BO384" s="860"/>
      <c r="BP384" s="860"/>
      <c r="BQ384" s="860"/>
      <c r="BR384" s="860"/>
      <c r="BS384" s="860"/>
      <c r="BT384" s="860"/>
      <c r="BU384" s="860"/>
      <c r="BV384" s="860"/>
      <c r="BW384" s="860"/>
      <c r="BX384" s="860"/>
      <c r="BY384" s="860"/>
      <c r="BZ384" s="860"/>
      <c r="CA384" s="860"/>
      <c r="CB384" s="860"/>
      <c r="CC384" s="860"/>
      <c r="CD384" s="860"/>
      <c r="CE384" s="860"/>
      <c r="CF384" s="860"/>
      <c r="CG384" s="860"/>
      <c r="CH384" s="860"/>
      <c r="CI384" s="860"/>
      <c r="CJ384" s="860"/>
      <c r="CK384" s="860"/>
      <c r="CL384" s="860"/>
      <c r="CM384" s="860"/>
      <c r="CN384" s="860"/>
      <c r="CO384" s="860"/>
      <c r="CP384" s="860"/>
      <c r="CQ384" s="860"/>
      <c r="CR384" s="860"/>
      <c r="CS384" s="860"/>
      <c r="CT384" s="860"/>
      <c r="CU384" s="860"/>
      <c r="CV384" s="860"/>
      <c r="CW384" s="860"/>
      <c r="CX384" s="860"/>
      <c r="CY384" s="860"/>
      <c r="CZ384" s="860"/>
      <c r="DA384" s="860"/>
      <c r="DB384" s="860"/>
      <c r="DC384" s="860"/>
      <c r="DD384" s="860"/>
      <c r="DE384" s="860"/>
      <c r="DF384" s="860"/>
      <c r="DG384" s="860"/>
      <c r="DH384" s="860"/>
      <c r="DI384" s="860"/>
      <c r="DJ384" s="860"/>
      <c r="DK384" s="860"/>
      <c r="DL384" s="860"/>
      <c r="DM384" s="860"/>
      <c r="DN384" s="860"/>
      <c r="DO384" s="860"/>
      <c r="DP384" s="860"/>
      <c r="DQ384" s="860"/>
      <c r="DR384" s="860"/>
      <c r="DS384" s="860"/>
      <c r="DT384" s="860"/>
      <c r="DU384" s="860"/>
      <c r="DV384" s="860"/>
      <c r="DW384" s="860"/>
      <c r="DX384" s="860"/>
      <c r="DY384" s="860"/>
      <c r="DZ384" s="860"/>
      <c r="EA384" s="860"/>
      <c r="EB384" s="860"/>
      <c r="EC384" s="860"/>
      <c r="ED384" s="860"/>
      <c r="EE384" s="860"/>
      <c r="EF384" s="860"/>
      <c r="EG384" s="860"/>
      <c r="EH384" s="860"/>
      <c r="EI384" s="860"/>
      <c r="EJ384" s="860"/>
      <c r="EK384" s="860"/>
      <c r="EL384" s="860"/>
      <c r="EM384" s="860"/>
      <c r="EN384" s="860"/>
      <c r="EO384" s="860"/>
      <c r="EP384" s="860"/>
      <c r="EQ384" s="860"/>
      <c r="ER384" s="860"/>
      <c r="ES384" s="860"/>
      <c r="ET384" s="860"/>
      <c r="EU384" s="860"/>
      <c r="EV384" s="860"/>
      <c r="EW384" s="860"/>
      <c r="EX384" s="860"/>
      <c r="EY384" s="860"/>
      <c r="EZ384" s="860"/>
      <c r="FA384" s="860"/>
      <c r="FB384" s="860"/>
      <c r="FC384" s="860"/>
      <c r="FD384" s="860"/>
      <c r="FE384" s="860"/>
      <c r="FF384" s="860"/>
      <c r="FG384" s="860"/>
      <c r="FH384" s="860"/>
      <c r="FI384" s="860"/>
      <c r="FJ384" s="860"/>
      <c r="FW384" s="860"/>
      <c r="FX384" s="860"/>
      <c r="FY384" s="860"/>
      <c r="FZ384" s="860"/>
      <c r="GA384" s="860"/>
      <c r="GB384" s="860"/>
      <c r="GC384" s="860"/>
      <c r="GD384" s="860"/>
      <c r="GE384" s="860"/>
      <c r="GF384" s="860"/>
      <c r="GG384" s="860"/>
      <c r="GH384" s="860"/>
      <c r="GI384" s="860"/>
      <c r="GJ384" s="860"/>
      <c r="GK384" s="860"/>
      <c r="GL384" s="860"/>
      <c r="GM384" s="860"/>
      <c r="GN384" s="860"/>
      <c r="GO384" s="860"/>
      <c r="GP384" s="860"/>
      <c r="GQ384" s="860"/>
      <c r="GR384" s="860"/>
      <c r="GS384" s="860"/>
      <c r="GT384" s="860"/>
      <c r="GU384" s="860"/>
      <c r="GV384" s="860"/>
      <c r="GW384" s="860"/>
      <c r="GX384" s="860"/>
      <c r="GY384" s="860"/>
      <c r="GZ384" s="860"/>
      <c r="HA384" s="860"/>
      <c r="HB384" s="860"/>
      <c r="HC384" s="860"/>
      <c r="HE384" s="860"/>
      <c r="HF384" s="860"/>
      <c r="HH384" s="860"/>
      <c r="HI384" s="860"/>
      <c r="HJ384" s="860"/>
      <c r="HL384" s="860"/>
      <c r="HM384" s="860"/>
      <c r="HO384" s="860"/>
      <c r="HP384" s="860"/>
      <c r="HR384" s="860"/>
    </row>
    <row r="385" spans="1:226">
      <c r="A385" s="860"/>
      <c r="B385" s="860"/>
      <c r="C385" s="860"/>
      <c r="D385" s="860"/>
      <c r="E385" s="860"/>
      <c r="F385" s="860"/>
      <c r="G385" s="860"/>
      <c r="H385" s="860"/>
      <c r="I385" s="860"/>
      <c r="J385" s="860"/>
      <c r="K385" s="860"/>
      <c r="L385" s="860"/>
      <c r="M385" s="860"/>
      <c r="N385" s="860"/>
      <c r="O385" s="860"/>
      <c r="P385" s="860"/>
      <c r="Q385" s="860"/>
      <c r="R385" s="860"/>
      <c r="S385" s="860"/>
      <c r="T385" s="860"/>
      <c r="U385" s="860"/>
      <c r="V385" s="860"/>
      <c r="W385" s="860"/>
      <c r="X385" s="860"/>
      <c r="Y385" s="860"/>
      <c r="Z385" s="860"/>
      <c r="AA385" s="860"/>
      <c r="AB385" s="860"/>
      <c r="AC385" s="860"/>
      <c r="AD385" s="860"/>
      <c r="AE385" s="860"/>
      <c r="AF385" s="860"/>
      <c r="AG385" s="860"/>
      <c r="AH385" s="860"/>
      <c r="AI385" s="860"/>
      <c r="AJ385" s="860"/>
      <c r="AK385" s="860"/>
      <c r="AL385" s="860"/>
      <c r="AM385" s="860"/>
      <c r="AN385" s="860"/>
      <c r="AO385" s="860"/>
      <c r="AP385" s="860"/>
      <c r="AQ385" s="860"/>
      <c r="AR385" s="860"/>
      <c r="AS385" s="860"/>
      <c r="AT385" s="860"/>
      <c r="AU385" s="860"/>
      <c r="AV385" s="860"/>
      <c r="AW385" s="860"/>
      <c r="AX385" s="860"/>
      <c r="AY385" s="860"/>
      <c r="AZ385" s="860"/>
      <c r="BA385" s="860"/>
      <c r="BB385" s="860"/>
      <c r="BC385" s="860"/>
      <c r="BD385" s="860"/>
      <c r="BE385" s="860"/>
      <c r="BF385" s="860"/>
      <c r="BG385" s="860"/>
      <c r="BH385" s="860"/>
      <c r="BI385" s="860"/>
      <c r="BJ385" s="860"/>
      <c r="BK385" s="860"/>
      <c r="BL385" s="860"/>
      <c r="BM385" s="860"/>
      <c r="BN385" s="860"/>
      <c r="BO385" s="860"/>
      <c r="BP385" s="860"/>
      <c r="BQ385" s="860"/>
      <c r="BR385" s="860"/>
      <c r="BS385" s="860"/>
      <c r="BT385" s="860"/>
      <c r="BU385" s="860"/>
      <c r="BV385" s="860"/>
      <c r="BW385" s="860"/>
      <c r="BX385" s="860"/>
      <c r="BY385" s="860"/>
      <c r="BZ385" s="860"/>
      <c r="CA385" s="860"/>
      <c r="CB385" s="860"/>
      <c r="CC385" s="860"/>
      <c r="CD385" s="860"/>
      <c r="CE385" s="860"/>
      <c r="CF385" s="860"/>
      <c r="CG385" s="860"/>
      <c r="CH385" s="860"/>
      <c r="CI385" s="860"/>
      <c r="CJ385" s="860"/>
      <c r="CK385" s="860"/>
      <c r="CL385" s="860"/>
      <c r="CM385" s="860"/>
      <c r="CN385" s="860"/>
      <c r="CO385" s="860"/>
      <c r="CP385" s="860"/>
      <c r="CQ385" s="860"/>
      <c r="CR385" s="860"/>
      <c r="CS385" s="860"/>
      <c r="CT385" s="860"/>
      <c r="CU385" s="860"/>
      <c r="CV385" s="860"/>
      <c r="CW385" s="860"/>
      <c r="CX385" s="860"/>
      <c r="CY385" s="860"/>
      <c r="CZ385" s="860"/>
      <c r="DA385" s="860"/>
      <c r="DB385" s="860"/>
      <c r="DC385" s="860"/>
      <c r="DD385" s="860"/>
      <c r="DE385" s="860"/>
      <c r="DF385" s="860"/>
      <c r="DG385" s="860"/>
      <c r="DH385" s="860"/>
      <c r="DI385" s="860"/>
      <c r="DJ385" s="860"/>
      <c r="DK385" s="860"/>
      <c r="DL385" s="860"/>
      <c r="DM385" s="860"/>
      <c r="DN385" s="860"/>
      <c r="DO385" s="860"/>
      <c r="DP385" s="860"/>
      <c r="DQ385" s="860"/>
      <c r="DR385" s="860"/>
      <c r="DS385" s="860"/>
      <c r="DT385" s="860"/>
      <c r="DU385" s="860"/>
      <c r="DV385" s="860"/>
      <c r="DW385" s="860"/>
      <c r="DX385" s="860"/>
      <c r="DY385" s="860"/>
      <c r="DZ385" s="860"/>
      <c r="EA385" s="860"/>
      <c r="EB385" s="860"/>
      <c r="EC385" s="860"/>
      <c r="ED385" s="860"/>
      <c r="EE385" s="860"/>
      <c r="EF385" s="860"/>
      <c r="EG385" s="860"/>
      <c r="EH385" s="860"/>
      <c r="EI385" s="860"/>
      <c r="EJ385" s="860"/>
      <c r="EK385" s="860"/>
      <c r="EL385" s="860"/>
      <c r="EM385" s="860"/>
      <c r="EN385" s="860"/>
      <c r="EO385" s="860"/>
      <c r="EP385" s="860"/>
      <c r="EQ385" s="860"/>
      <c r="ER385" s="860"/>
      <c r="ES385" s="860"/>
      <c r="ET385" s="860"/>
      <c r="EU385" s="860"/>
      <c r="EV385" s="860"/>
      <c r="EW385" s="860"/>
      <c r="EX385" s="860"/>
      <c r="EY385" s="860"/>
      <c r="EZ385" s="860"/>
      <c r="FA385" s="860"/>
      <c r="FB385" s="860"/>
      <c r="FC385" s="860"/>
      <c r="FD385" s="860"/>
      <c r="FE385" s="860"/>
      <c r="FF385" s="860"/>
      <c r="FG385" s="860"/>
      <c r="FH385" s="860"/>
      <c r="FI385" s="860"/>
      <c r="FJ385" s="860"/>
      <c r="FW385" s="860"/>
      <c r="FX385" s="860"/>
      <c r="FY385" s="860"/>
      <c r="FZ385" s="860"/>
      <c r="GA385" s="860"/>
      <c r="GB385" s="860"/>
      <c r="GC385" s="860"/>
      <c r="GD385" s="860"/>
      <c r="GE385" s="860"/>
      <c r="GF385" s="860"/>
      <c r="GG385" s="860"/>
      <c r="GH385" s="860"/>
      <c r="GI385" s="860"/>
      <c r="GJ385" s="860"/>
      <c r="GK385" s="860"/>
      <c r="GL385" s="860"/>
      <c r="GM385" s="860"/>
      <c r="GN385" s="860"/>
      <c r="GO385" s="860"/>
      <c r="GP385" s="860"/>
      <c r="GQ385" s="860"/>
      <c r="GR385" s="860"/>
      <c r="GS385" s="860"/>
      <c r="GT385" s="860"/>
      <c r="GU385" s="860"/>
      <c r="GV385" s="860"/>
      <c r="GW385" s="860"/>
      <c r="GX385" s="860"/>
      <c r="GY385" s="860"/>
      <c r="GZ385" s="860"/>
      <c r="HA385" s="860"/>
      <c r="HB385" s="860"/>
      <c r="HC385" s="860"/>
      <c r="HE385" s="860"/>
      <c r="HF385" s="860"/>
      <c r="HH385" s="860"/>
      <c r="HI385" s="860"/>
      <c r="HJ385" s="860"/>
      <c r="HL385" s="860"/>
      <c r="HM385" s="860"/>
      <c r="HO385" s="860"/>
      <c r="HP385" s="860"/>
      <c r="HR385" s="860"/>
    </row>
    <row r="386" spans="1:226">
      <c r="A386" s="860"/>
      <c r="B386" s="860"/>
      <c r="C386" s="860"/>
      <c r="D386" s="860"/>
      <c r="E386" s="860"/>
      <c r="F386" s="860"/>
      <c r="G386" s="860"/>
      <c r="H386" s="860"/>
      <c r="I386" s="860"/>
      <c r="J386" s="860"/>
      <c r="K386" s="860"/>
      <c r="L386" s="860"/>
      <c r="M386" s="860"/>
      <c r="N386" s="860"/>
      <c r="O386" s="860"/>
      <c r="P386" s="860"/>
      <c r="Q386" s="860"/>
      <c r="R386" s="860"/>
      <c r="S386" s="860"/>
      <c r="T386" s="860"/>
      <c r="U386" s="860"/>
      <c r="V386" s="860"/>
      <c r="W386" s="860"/>
      <c r="X386" s="860"/>
      <c r="Y386" s="860"/>
      <c r="Z386" s="860"/>
      <c r="AA386" s="860"/>
      <c r="AB386" s="860"/>
      <c r="AC386" s="860"/>
      <c r="AD386" s="860"/>
      <c r="AE386" s="860"/>
      <c r="AF386" s="860"/>
      <c r="AG386" s="860"/>
      <c r="AH386" s="860"/>
      <c r="AI386" s="860"/>
      <c r="AJ386" s="860"/>
      <c r="AK386" s="860"/>
      <c r="AL386" s="860"/>
      <c r="AM386" s="860"/>
      <c r="AN386" s="860"/>
      <c r="AO386" s="860"/>
      <c r="AP386" s="860"/>
      <c r="AQ386" s="860"/>
      <c r="AR386" s="860"/>
      <c r="AS386" s="860"/>
      <c r="AT386" s="860"/>
      <c r="AU386" s="860"/>
      <c r="AV386" s="860"/>
      <c r="AW386" s="860"/>
      <c r="AX386" s="860"/>
      <c r="AY386" s="860"/>
      <c r="AZ386" s="860"/>
      <c r="BA386" s="860"/>
      <c r="BB386" s="860"/>
      <c r="BC386" s="860"/>
      <c r="BD386" s="860"/>
      <c r="BE386" s="860"/>
      <c r="BF386" s="860"/>
      <c r="BG386" s="860"/>
      <c r="BH386" s="860"/>
      <c r="BI386" s="860"/>
      <c r="BJ386" s="860"/>
      <c r="BK386" s="860"/>
      <c r="BL386" s="860"/>
      <c r="BM386" s="860"/>
      <c r="BN386" s="860"/>
      <c r="BO386" s="860"/>
      <c r="BP386" s="860"/>
      <c r="BQ386" s="860"/>
      <c r="BR386" s="860"/>
      <c r="BS386" s="860"/>
      <c r="BT386" s="860"/>
      <c r="BU386" s="860"/>
      <c r="BV386" s="860"/>
      <c r="BW386" s="860"/>
      <c r="BX386" s="860"/>
      <c r="BY386" s="860"/>
      <c r="BZ386" s="860"/>
      <c r="CA386" s="860"/>
      <c r="CB386" s="860"/>
      <c r="CC386" s="860"/>
      <c r="CD386" s="860"/>
      <c r="CE386" s="860"/>
      <c r="CF386" s="860"/>
      <c r="CG386" s="860"/>
      <c r="CH386" s="860"/>
      <c r="CI386" s="860"/>
      <c r="CJ386" s="860"/>
      <c r="CK386" s="860"/>
      <c r="CL386" s="860"/>
      <c r="CM386" s="860"/>
      <c r="CN386" s="860"/>
      <c r="CO386" s="860"/>
      <c r="CP386" s="860"/>
      <c r="CQ386" s="860"/>
      <c r="CR386" s="860"/>
      <c r="CS386" s="860"/>
      <c r="CT386" s="860"/>
      <c r="CU386" s="860"/>
      <c r="CV386" s="860"/>
      <c r="CW386" s="860"/>
      <c r="CX386" s="860"/>
      <c r="CY386" s="860"/>
      <c r="CZ386" s="860"/>
      <c r="DA386" s="860"/>
      <c r="DB386" s="860"/>
      <c r="DC386" s="860"/>
      <c r="DD386" s="860"/>
      <c r="DE386" s="860"/>
      <c r="DF386" s="860"/>
      <c r="DG386" s="860"/>
      <c r="DH386" s="860"/>
      <c r="DI386" s="860"/>
      <c r="DJ386" s="860"/>
      <c r="DK386" s="860"/>
      <c r="DL386" s="860"/>
      <c r="DM386" s="860"/>
      <c r="DN386" s="860"/>
      <c r="DO386" s="860"/>
      <c r="DP386" s="860"/>
      <c r="DQ386" s="860"/>
      <c r="DR386" s="860"/>
      <c r="DS386" s="860"/>
      <c r="DT386" s="860"/>
      <c r="DU386" s="860"/>
      <c r="DV386" s="860"/>
      <c r="DW386" s="860"/>
      <c r="DX386" s="860"/>
      <c r="DY386" s="860"/>
      <c r="DZ386" s="860"/>
      <c r="EA386" s="860"/>
      <c r="EB386" s="860"/>
      <c r="EC386" s="860"/>
      <c r="ED386" s="860"/>
      <c r="EE386" s="860"/>
      <c r="EF386" s="860"/>
      <c r="EG386" s="860"/>
      <c r="EH386" s="860"/>
      <c r="EI386" s="860"/>
      <c r="EJ386" s="860"/>
      <c r="EK386" s="860"/>
      <c r="EL386" s="860"/>
      <c r="EM386" s="860"/>
      <c r="EN386" s="860"/>
      <c r="EO386" s="860"/>
      <c r="EP386" s="860"/>
      <c r="EQ386" s="860"/>
      <c r="ER386" s="860"/>
      <c r="ES386" s="860"/>
      <c r="ET386" s="860"/>
      <c r="EU386" s="860"/>
      <c r="EV386" s="860"/>
      <c r="EW386" s="860"/>
      <c r="EX386" s="860"/>
      <c r="EY386" s="860"/>
      <c r="EZ386" s="860"/>
      <c r="FA386" s="860"/>
      <c r="FB386" s="860"/>
      <c r="FC386" s="860"/>
      <c r="FD386" s="860"/>
      <c r="FE386" s="860"/>
      <c r="FF386" s="860"/>
      <c r="FG386" s="860"/>
      <c r="FH386" s="860"/>
      <c r="FI386" s="860"/>
      <c r="FJ386" s="860"/>
      <c r="FW386" s="860"/>
      <c r="FX386" s="860"/>
      <c r="FY386" s="860"/>
      <c r="FZ386" s="860"/>
      <c r="GA386" s="860"/>
      <c r="GB386" s="860"/>
      <c r="GC386" s="860"/>
      <c r="GD386" s="860"/>
      <c r="GE386" s="860"/>
      <c r="GF386" s="860"/>
      <c r="GG386" s="860"/>
      <c r="GH386" s="860"/>
      <c r="GI386" s="860"/>
      <c r="GJ386" s="860"/>
      <c r="GK386" s="860"/>
      <c r="GL386" s="860"/>
      <c r="GM386" s="860"/>
      <c r="GN386" s="860"/>
      <c r="GO386" s="860"/>
      <c r="GP386" s="860"/>
      <c r="GQ386" s="860"/>
      <c r="GR386" s="860"/>
      <c r="GS386" s="860"/>
      <c r="GT386" s="860"/>
      <c r="GU386" s="860"/>
      <c r="GV386" s="860"/>
      <c r="GW386" s="860"/>
      <c r="GX386" s="860"/>
      <c r="GY386" s="860"/>
      <c r="GZ386" s="860"/>
      <c r="HA386" s="860"/>
      <c r="HB386" s="860"/>
      <c r="HC386" s="860"/>
      <c r="HE386" s="860"/>
      <c r="HF386" s="860"/>
      <c r="HH386" s="860"/>
      <c r="HI386" s="860"/>
      <c r="HJ386" s="860"/>
      <c r="HL386" s="860"/>
      <c r="HM386" s="860"/>
      <c r="HO386" s="860"/>
      <c r="HP386" s="860"/>
      <c r="HR386" s="860"/>
    </row>
    <row r="387" spans="1:226">
      <c r="A387" s="860"/>
      <c r="B387" s="860"/>
      <c r="C387" s="860"/>
      <c r="D387" s="860"/>
      <c r="E387" s="860"/>
      <c r="F387" s="860"/>
      <c r="G387" s="860"/>
      <c r="H387" s="860"/>
      <c r="I387" s="860"/>
      <c r="J387" s="860"/>
      <c r="K387" s="860"/>
      <c r="L387" s="860"/>
      <c r="M387" s="860"/>
      <c r="N387" s="860"/>
      <c r="O387" s="860"/>
      <c r="P387" s="860"/>
      <c r="Q387" s="860"/>
      <c r="R387" s="860"/>
      <c r="S387" s="860"/>
      <c r="T387" s="860"/>
      <c r="U387" s="860"/>
      <c r="V387" s="860"/>
      <c r="W387" s="860"/>
      <c r="X387" s="860"/>
      <c r="Y387" s="860"/>
      <c r="Z387" s="860"/>
      <c r="AA387" s="860"/>
      <c r="AB387" s="860"/>
      <c r="AC387" s="860"/>
      <c r="AD387" s="860"/>
      <c r="AE387" s="860"/>
      <c r="AF387" s="860"/>
      <c r="AG387" s="860"/>
      <c r="AH387" s="860"/>
      <c r="AI387" s="860"/>
      <c r="AJ387" s="860"/>
      <c r="AK387" s="860"/>
      <c r="AL387" s="860"/>
      <c r="AM387" s="860"/>
      <c r="AN387" s="860"/>
      <c r="AO387" s="860"/>
      <c r="AP387" s="860"/>
      <c r="AQ387" s="860"/>
      <c r="AR387" s="860"/>
      <c r="AS387" s="860"/>
      <c r="AT387" s="860"/>
      <c r="AU387" s="860"/>
      <c r="AV387" s="860"/>
      <c r="AW387" s="860"/>
      <c r="AX387" s="860"/>
      <c r="AY387" s="860"/>
      <c r="AZ387" s="860"/>
      <c r="BA387" s="860"/>
      <c r="BB387" s="860"/>
      <c r="BC387" s="860"/>
      <c r="BD387" s="860"/>
      <c r="BE387" s="860"/>
      <c r="BF387" s="860"/>
      <c r="BG387" s="860"/>
      <c r="BH387" s="860"/>
      <c r="BI387" s="860"/>
      <c r="BJ387" s="860"/>
      <c r="BK387" s="860"/>
      <c r="BL387" s="860"/>
      <c r="BM387" s="860"/>
      <c r="BN387" s="860"/>
      <c r="BO387" s="860"/>
      <c r="BP387" s="860"/>
      <c r="BQ387" s="860"/>
      <c r="BR387" s="860"/>
      <c r="BS387" s="860"/>
      <c r="BT387" s="860"/>
      <c r="BU387" s="860"/>
      <c r="BV387" s="860"/>
      <c r="BW387" s="860"/>
      <c r="BX387" s="860"/>
      <c r="BY387" s="860"/>
      <c r="BZ387" s="860"/>
      <c r="CA387" s="860"/>
      <c r="CB387" s="860"/>
      <c r="CC387" s="860"/>
      <c r="CD387" s="860"/>
      <c r="CE387" s="860"/>
      <c r="CF387" s="860"/>
      <c r="CG387" s="860"/>
      <c r="CH387" s="860"/>
      <c r="CI387" s="860"/>
      <c r="CJ387" s="860"/>
      <c r="CK387" s="860"/>
      <c r="CL387" s="860"/>
      <c r="CM387" s="860"/>
      <c r="CN387" s="860"/>
      <c r="CO387" s="860"/>
      <c r="CP387" s="860"/>
      <c r="CQ387" s="860"/>
      <c r="CR387" s="860"/>
      <c r="CS387" s="860"/>
      <c r="CT387" s="860"/>
      <c r="CU387" s="860"/>
      <c r="CV387" s="860"/>
      <c r="CW387" s="860"/>
      <c r="CX387" s="860"/>
      <c r="CY387" s="860"/>
      <c r="CZ387" s="860"/>
      <c r="DA387" s="860"/>
      <c r="DB387" s="860"/>
      <c r="DC387" s="860"/>
      <c r="DD387" s="860"/>
      <c r="DE387" s="860"/>
      <c r="DF387" s="860"/>
      <c r="DG387" s="860"/>
      <c r="DH387" s="860"/>
      <c r="DI387" s="860"/>
      <c r="DJ387" s="860"/>
      <c r="DK387" s="860"/>
      <c r="DL387" s="860"/>
      <c r="DM387" s="860"/>
      <c r="DN387" s="860"/>
      <c r="DO387" s="860"/>
      <c r="DP387" s="860"/>
      <c r="DQ387" s="860"/>
      <c r="DR387" s="860"/>
      <c r="DS387" s="860"/>
      <c r="DT387" s="860"/>
      <c r="DU387" s="860"/>
      <c r="DV387" s="860"/>
      <c r="DW387" s="860"/>
      <c r="DX387" s="860"/>
      <c r="DY387" s="860"/>
      <c r="DZ387" s="860"/>
      <c r="EA387" s="860"/>
      <c r="EB387" s="860"/>
      <c r="EC387" s="860"/>
      <c r="ED387" s="860"/>
      <c r="EE387" s="860"/>
      <c r="EF387" s="860"/>
      <c r="EG387" s="860"/>
      <c r="EH387" s="860"/>
      <c r="EI387" s="860"/>
      <c r="EJ387" s="860"/>
      <c r="EK387" s="860"/>
      <c r="EL387" s="860"/>
      <c r="EM387" s="860"/>
      <c r="EN387" s="860"/>
      <c r="EO387" s="860"/>
      <c r="EP387" s="860"/>
      <c r="EQ387" s="860"/>
      <c r="ER387" s="860"/>
      <c r="ES387" s="860"/>
      <c r="ET387" s="860"/>
      <c r="EU387" s="860"/>
      <c r="EV387" s="860"/>
      <c r="EW387" s="860"/>
      <c r="EX387" s="860"/>
      <c r="EY387" s="860"/>
      <c r="EZ387" s="860"/>
      <c r="FA387" s="860"/>
      <c r="FB387" s="860"/>
      <c r="FC387" s="860"/>
      <c r="FD387" s="860"/>
      <c r="FE387" s="860"/>
      <c r="FF387" s="860"/>
      <c r="FG387" s="860"/>
      <c r="FH387" s="860"/>
      <c r="FI387" s="860"/>
      <c r="FJ387" s="860"/>
      <c r="FW387" s="860"/>
      <c r="FX387" s="860"/>
      <c r="FY387" s="860"/>
      <c r="FZ387" s="860"/>
      <c r="GA387" s="860"/>
      <c r="GB387" s="860"/>
      <c r="GC387" s="860"/>
      <c r="GD387" s="860"/>
      <c r="GE387" s="860"/>
      <c r="GF387" s="860"/>
      <c r="GG387" s="860"/>
      <c r="GH387" s="860"/>
      <c r="GI387" s="860"/>
      <c r="GJ387" s="860"/>
      <c r="GK387" s="860"/>
      <c r="GL387" s="860"/>
      <c r="GM387" s="860"/>
      <c r="GN387" s="860"/>
      <c r="GO387" s="860"/>
      <c r="GP387" s="860"/>
      <c r="GQ387" s="860"/>
      <c r="GR387" s="860"/>
      <c r="GS387" s="860"/>
      <c r="GT387" s="860"/>
      <c r="GU387" s="860"/>
      <c r="GV387" s="860"/>
      <c r="GW387" s="860"/>
      <c r="GX387" s="860"/>
      <c r="GY387" s="860"/>
      <c r="GZ387" s="860"/>
      <c r="HA387" s="860"/>
      <c r="HB387" s="860"/>
      <c r="HC387" s="860"/>
      <c r="HE387" s="860"/>
      <c r="HF387" s="860"/>
      <c r="HH387" s="860"/>
      <c r="HI387" s="860"/>
      <c r="HJ387" s="860"/>
      <c r="HL387" s="860"/>
      <c r="HM387" s="860"/>
      <c r="HO387" s="860"/>
      <c r="HP387" s="860"/>
      <c r="HR387" s="860"/>
    </row>
    <row r="388" spans="1:226">
      <c r="A388" s="860"/>
      <c r="B388" s="860"/>
      <c r="C388" s="860"/>
      <c r="D388" s="860"/>
      <c r="E388" s="860"/>
      <c r="F388" s="860"/>
      <c r="G388" s="860"/>
      <c r="H388" s="860"/>
      <c r="I388" s="860"/>
      <c r="J388" s="860"/>
      <c r="K388" s="860"/>
      <c r="L388" s="860"/>
      <c r="M388" s="860"/>
      <c r="N388" s="860"/>
      <c r="O388" s="860"/>
      <c r="P388" s="860"/>
      <c r="Q388" s="860"/>
      <c r="R388" s="860"/>
      <c r="S388" s="860"/>
      <c r="T388" s="860"/>
      <c r="U388" s="860"/>
      <c r="V388" s="860"/>
      <c r="W388" s="860"/>
      <c r="X388" s="860"/>
      <c r="Y388" s="860"/>
      <c r="Z388" s="860"/>
      <c r="AA388" s="860"/>
      <c r="AB388" s="860"/>
      <c r="AC388" s="860"/>
      <c r="AD388" s="860"/>
      <c r="AE388" s="860"/>
      <c r="AF388" s="860"/>
      <c r="AG388" s="860"/>
      <c r="AH388" s="860"/>
      <c r="AI388" s="860"/>
      <c r="AJ388" s="860"/>
      <c r="AK388" s="860"/>
      <c r="AL388" s="860"/>
      <c r="AM388" s="860"/>
      <c r="AN388" s="860"/>
      <c r="AO388" s="860"/>
      <c r="AP388" s="860"/>
      <c r="AQ388" s="860"/>
      <c r="AR388" s="860"/>
      <c r="AS388" s="860"/>
      <c r="AT388" s="860"/>
      <c r="AU388" s="860"/>
      <c r="AV388" s="860"/>
      <c r="AW388" s="860"/>
      <c r="AX388" s="860"/>
      <c r="AY388" s="860"/>
      <c r="AZ388" s="860"/>
      <c r="BA388" s="860"/>
      <c r="BB388" s="860"/>
      <c r="BC388" s="860"/>
      <c r="BD388" s="860"/>
      <c r="BE388" s="860"/>
      <c r="BF388" s="860"/>
      <c r="BG388" s="860"/>
      <c r="BH388" s="860"/>
      <c r="BI388" s="860"/>
      <c r="BJ388" s="860"/>
      <c r="BK388" s="860"/>
      <c r="BL388" s="860"/>
      <c r="BM388" s="860"/>
      <c r="BN388" s="860"/>
      <c r="BO388" s="860"/>
      <c r="BP388" s="860"/>
      <c r="BQ388" s="860"/>
      <c r="BR388" s="860"/>
      <c r="BS388" s="860"/>
      <c r="BT388" s="860"/>
      <c r="BU388" s="860"/>
      <c r="BV388" s="860"/>
      <c r="BW388" s="860"/>
      <c r="BX388" s="860"/>
      <c r="BY388" s="860"/>
      <c r="BZ388" s="860"/>
      <c r="CA388" s="860"/>
      <c r="CB388" s="860"/>
      <c r="CC388" s="860"/>
      <c r="CD388" s="860"/>
      <c r="CE388" s="860"/>
      <c r="CF388" s="860"/>
      <c r="CG388" s="860"/>
      <c r="CH388" s="860"/>
      <c r="CI388" s="860"/>
      <c r="CJ388" s="860"/>
      <c r="CK388" s="860"/>
      <c r="CL388" s="860"/>
      <c r="CM388" s="860"/>
      <c r="CN388" s="860"/>
      <c r="CO388" s="860"/>
      <c r="CP388" s="860"/>
      <c r="CQ388" s="860"/>
      <c r="CR388" s="860"/>
      <c r="CS388" s="860"/>
      <c r="CT388" s="860"/>
      <c r="CU388" s="860"/>
      <c r="CV388" s="860"/>
      <c r="CW388" s="860"/>
      <c r="CX388" s="860"/>
      <c r="CY388" s="860"/>
      <c r="CZ388" s="860"/>
      <c r="DA388" s="860"/>
      <c r="DB388" s="860"/>
      <c r="DC388" s="860"/>
      <c r="DD388" s="860"/>
      <c r="DE388" s="860"/>
      <c r="DF388" s="860"/>
      <c r="DG388" s="860"/>
      <c r="DH388" s="860"/>
      <c r="DI388" s="860"/>
      <c r="DJ388" s="860"/>
      <c r="DK388" s="860"/>
      <c r="DL388" s="860"/>
      <c r="DM388" s="860"/>
      <c r="DN388" s="860"/>
      <c r="DO388" s="860"/>
      <c r="DP388" s="860"/>
      <c r="DQ388" s="860"/>
      <c r="DR388" s="860"/>
      <c r="DS388" s="860"/>
      <c r="DT388" s="860"/>
      <c r="DU388" s="860"/>
      <c r="DV388" s="860"/>
      <c r="DW388" s="860"/>
      <c r="DX388" s="860"/>
      <c r="DY388" s="860"/>
      <c r="DZ388" s="860"/>
      <c r="EA388" s="860"/>
      <c r="EB388" s="860"/>
      <c r="EC388" s="860"/>
      <c r="ED388" s="860"/>
      <c r="EE388" s="860"/>
      <c r="EF388" s="860"/>
      <c r="EG388" s="860"/>
      <c r="EH388" s="860"/>
      <c r="EI388" s="860"/>
      <c r="EJ388" s="860"/>
      <c r="EK388" s="860"/>
      <c r="EL388" s="860"/>
      <c r="EM388" s="860"/>
      <c r="EN388" s="860"/>
      <c r="EO388" s="860"/>
      <c r="EP388" s="860"/>
      <c r="EQ388" s="860"/>
      <c r="ER388" s="860"/>
      <c r="ES388" s="860"/>
      <c r="ET388" s="860"/>
      <c r="EU388" s="860"/>
      <c r="EV388" s="860"/>
      <c r="EW388" s="860"/>
      <c r="EX388" s="860"/>
      <c r="EY388" s="860"/>
      <c r="EZ388" s="860"/>
      <c r="FA388" s="860"/>
      <c r="FB388" s="860"/>
      <c r="FC388" s="860"/>
      <c r="FD388" s="860"/>
      <c r="FE388" s="860"/>
      <c r="FF388" s="860"/>
      <c r="FG388" s="860"/>
      <c r="FH388" s="860"/>
      <c r="FI388" s="860"/>
      <c r="FJ388" s="860"/>
      <c r="FW388" s="860"/>
      <c r="FX388" s="860"/>
      <c r="FY388" s="860"/>
      <c r="FZ388" s="860"/>
      <c r="GA388" s="860"/>
      <c r="GB388" s="860"/>
      <c r="GC388" s="860"/>
      <c r="GD388" s="860"/>
      <c r="GE388" s="860"/>
      <c r="GF388" s="860"/>
      <c r="GG388" s="860"/>
      <c r="GH388" s="860"/>
      <c r="GI388" s="860"/>
      <c r="GJ388" s="860"/>
      <c r="GK388" s="860"/>
      <c r="GL388" s="860"/>
      <c r="GM388" s="860"/>
      <c r="GN388" s="860"/>
      <c r="GO388" s="860"/>
      <c r="GP388" s="860"/>
      <c r="GQ388" s="860"/>
      <c r="GR388" s="860"/>
      <c r="GS388" s="860"/>
      <c r="GT388" s="860"/>
      <c r="GU388" s="860"/>
      <c r="GV388" s="860"/>
      <c r="GW388" s="860"/>
      <c r="GX388" s="860"/>
      <c r="GY388" s="860"/>
      <c r="GZ388" s="860"/>
      <c r="HA388" s="860"/>
      <c r="HB388" s="860"/>
      <c r="HC388" s="860"/>
      <c r="HE388" s="860"/>
      <c r="HF388" s="860"/>
      <c r="HH388" s="860"/>
      <c r="HI388" s="860"/>
      <c r="HJ388" s="860"/>
      <c r="HL388" s="860"/>
      <c r="HM388" s="860"/>
      <c r="HO388" s="860"/>
      <c r="HP388" s="860"/>
      <c r="HR388" s="860"/>
    </row>
    <row r="389" spans="1:226">
      <c r="A389" s="860"/>
      <c r="B389" s="860"/>
      <c r="C389" s="860"/>
      <c r="D389" s="860"/>
      <c r="E389" s="860"/>
      <c r="F389" s="860"/>
      <c r="G389" s="860"/>
      <c r="H389" s="860"/>
      <c r="I389" s="860"/>
      <c r="J389" s="860"/>
      <c r="K389" s="860"/>
      <c r="L389" s="860"/>
      <c r="M389" s="860"/>
      <c r="N389" s="860"/>
      <c r="O389" s="860"/>
      <c r="P389" s="860"/>
      <c r="Q389" s="860"/>
      <c r="R389" s="860"/>
      <c r="S389" s="860"/>
      <c r="T389" s="860"/>
      <c r="U389" s="860"/>
      <c r="V389" s="860"/>
      <c r="W389" s="860"/>
      <c r="X389" s="860"/>
      <c r="Y389" s="860"/>
      <c r="Z389" s="860"/>
      <c r="AA389" s="860"/>
      <c r="AB389" s="860"/>
      <c r="AC389" s="860"/>
      <c r="AD389" s="860"/>
      <c r="AE389" s="860"/>
      <c r="AF389" s="860"/>
      <c r="AG389" s="860"/>
      <c r="AH389" s="860"/>
      <c r="AI389" s="860"/>
      <c r="AJ389" s="860"/>
      <c r="AK389" s="860"/>
      <c r="AL389" s="860"/>
      <c r="AM389" s="860"/>
      <c r="AN389" s="860"/>
      <c r="AO389" s="860"/>
      <c r="AP389" s="860"/>
      <c r="AQ389" s="860"/>
      <c r="AR389" s="860"/>
      <c r="AS389" s="860"/>
      <c r="AT389" s="860"/>
      <c r="AU389" s="860"/>
      <c r="AV389" s="860"/>
      <c r="AW389" s="860"/>
      <c r="AX389" s="860"/>
      <c r="AY389" s="860"/>
      <c r="AZ389" s="860"/>
      <c r="BA389" s="860"/>
      <c r="BB389" s="860"/>
      <c r="BC389" s="860"/>
      <c r="BD389" s="860"/>
      <c r="BE389" s="860"/>
      <c r="BF389" s="860"/>
      <c r="BG389" s="860"/>
      <c r="BH389" s="860"/>
      <c r="BI389" s="860"/>
      <c r="BJ389" s="860"/>
      <c r="BK389" s="860"/>
      <c r="BL389" s="860"/>
      <c r="BM389" s="860"/>
      <c r="BN389" s="860"/>
      <c r="BO389" s="860"/>
      <c r="BP389" s="860"/>
      <c r="BQ389" s="860"/>
      <c r="BR389" s="860"/>
      <c r="BS389" s="860"/>
      <c r="BT389" s="860"/>
      <c r="BU389" s="860"/>
      <c r="BV389" s="860"/>
      <c r="BW389" s="860"/>
      <c r="BX389" s="860"/>
      <c r="BY389" s="860"/>
      <c r="BZ389" s="860"/>
      <c r="CA389" s="860"/>
      <c r="CB389" s="860"/>
      <c r="CC389" s="860"/>
      <c r="CD389" s="860"/>
      <c r="CE389" s="860"/>
      <c r="CF389" s="860"/>
      <c r="CG389" s="860"/>
      <c r="CH389" s="860"/>
      <c r="CI389" s="860"/>
      <c r="CJ389" s="860"/>
      <c r="CK389" s="860"/>
      <c r="CL389" s="860"/>
      <c r="CM389" s="860"/>
      <c r="CN389" s="860"/>
      <c r="CO389" s="860"/>
      <c r="CP389" s="860"/>
      <c r="CQ389" s="860"/>
      <c r="CR389" s="860"/>
      <c r="CS389" s="860"/>
      <c r="CT389" s="860"/>
      <c r="CU389" s="860"/>
      <c r="CV389" s="860"/>
      <c r="CW389" s="860"/>
      <c r="CX389" s="860"/>
      <c r="CY389" s="860"/>
      <c r="CZ389" s="860"/>
      <c r="DA389" s="860"/>
      <c r="DB389" s="860"/>
      <c r="DC389" s="860"/>
      <c r="DD389" s="860"/>
      <c r="DE389" s="860"/>
      <c r="DF389" s="860"/>
      <c r="DG389" s="860"/>
      <c r="DH389" s="860"/>
      <c r="DI389" s="860"/>
      <c r="DJ389" s="860"/>
      <c r="DK389" s="860"/>
      <c r="DL389" s="860"/>
      <c r="DM389" s="860"/>
      <c r="DN389" s="860"/>
      <c r="DO389" s="860"/>
      <c r="DP389" s="860"/>
      <c r="DQ389" s="860"/>
      <c r="DR389" s="860"/>
      <c r="DS389" s="860"/>
      <c r="DT389" s="860"/>
      <c r="DU389" s="860"/>
      <c r="DV389" s="860"/>
      <c r="DW389" s="860"/>
      <c r="DX389" s="860"/>
      <c r="DY389" s="860"/>
      <c r="DZ389" s="860"/>
      <c r="EA389" s="860"/>
      <c r="EB389" s="860"/>
      <c r="EC389" s="860"/>
      <c r="ED389" s="860"/>
      <c r="EE389" s="860"/>
      <c r="EF389" s="860"/>
      <c r="EG389" s="860"/>
      <c r="EH389" s="860"/>
      <c r="EI389" s="860"/>
      <c r="EJ389" s="860"/>
      <c r="EK389" s="860"/>
      <c r="EL389" s="860"/>
      <c r="EM389" s="860"/>
      <c r="EN389" s="860"/>
      <c r="EO389" s="860"/>
      <c r="EP389" s="860"/>
      <c r="EQ389" s="860"/>
      <c r="ER389" s="860"/>
      <c r="ES389" s="860"/>
      <c r="ET389" s="860"/>
      <c r="EU389" s="860"/>
      <c r="EV389" s="860"/>
      <c r="EW389" s="860"/>
      <c r="EX389" s="860"/>
      <c r="EY389" s="860"/>
      <c r="EZ389" s="860"/>
      <c r="FA389" s="860"/>
      <c r="FB389" s="860"/>
      <c r="FC389" s="860"/>
      <c r="FD389" s="860"/>
      <c r="FE389" s="860"/>
      <c r="FF389" s="860"/>
      <c r="FG389" s="860"/>
      <c r="FH389" s="860"/>
      <c r="FI389" s="860"/>
      <c r="FJ389" s="860"/>
      <c r="FW389" s="860"/>
      <c r="FX389" s="860"/>
      <c r="FY389" s="860"/>
      <c r="FZ389" s="860"/>
      <c r="GA389" s="860"/>
      <c r="GB389" s="860"/>
      <c r="GC389" s="860"/>
      <c r="GD389" s="860"/>
      <c r="GE389" s="860"/>
      <c r="GF389" s="860"/>
      <c r="GG389" s="860"/>
      <c r="GH389" s="860"/>
      <c r="GI389" s="860"/>
      <c r="GJ389" s="860"/>
      <c r="GK389" s="860"/>
      <c r="GL389" s="860"/>
      <c r="GM389" s="860"/>
      <c r="GN389" s="860"/>
      <c r="GO389" s="860"/>
      <c r="GP389" s="860"/>
      <c r="GQ389" s="860"/>
      <c r="GR389" s="860"/>
      <c r="GS389" s="860"/>
      <c r="GT389" s="860"/>
      <c r="GU389" s="860"/>
      <c r="GV389" s="860"/>
      <c r="GW389" s="860"/>
      <c r="GX389" s="860"/>
      <c r="GY389" s="860"/>
      <c r="GZ389" s="860"/>
      <c r="HA389" s="860"/>
      <c r="HB389" s="860"/>
      <c r="HC389" s="860"/>
      <c r="HE389" s="860"/>
      <c r="HF389" s="860"/>
      <c r="HH389" s="860"/>
      <c r="HI389" s="860"/>
      <c r="HJ389" s="860"/>
      <c r="HL389" s="860"/>
      <c r="HM389" s="860"/>
      <c r="HO389" s="860"/>
      <c r="HP389" s="860"/>
      <c r="HR389" s="860"/>
    </row>
    <row r="390" spans="1:226">
      <c r="A390" s="860"/>
      <c r="B390" s="860"/>
      <c r="C390" s="860"/>
      <c r="D390" s="860"/>
      <c r="E390" s="860"/>
      <c r="F390" s="860"/>
      <c r="G390" s="860"/>
      <c r="H390" s="860"/>
      <c r="I390" s="860"/>
      <c r="J390" s="860"/>
      <c r="K390" s="860"/>
      <c r="L390" s="860"/>
      <c r="M390" s="860"/>
      <c r="N390" s="860"/>
      <c r="O390" s="860"/>
      <c r="P390" s="860"/>
      <c r="Q390" s="860"/>
      <c r="R390" s="860"/>
      <c r="S390" s="860"/>
      <c r="T390" s="860"/>
      <c r="U390" s="860"/>
      <c r="V390" s="860"/>
      <c r="W390" s="860"/>
      <c r="X390" s="860"/>
      <c r="Y390" s="860"/>
      <c r="Z390" s="860"/>
      <c r="AA390" s="860"/>
      <c r="AB390" s="860"/>
      <c r="AC390" s="860"/>
      <c r="AD390" s="860"/>
      <c r="AE390" s="860"/>
      <c r="AF390" s="860"/>
      <c r="AG390" s="860"/>
      <c r="AH390" s="860"/>
      <c r="AI390" s="860"/>
      <c r="AJ390" s="860"/>
      <c r="AK390" s="860"/>
      <c r="AL390" s="860"/>
      <c r="AM390" s="860"/>
      <c r="AN390" s="860"/>
      <c r="AO390" s="860"/>
      <c r="AP390" s="860"/>
      <c r="AQ390" s="860"/>
      <c r="AR390" s="860"/>
      <c r="AS390" s="860"/>
      <c r="AT390" s="860"/>
      <c r="AU390" s="860"/>
      <c r="AV390" s="860"/>
      <c r="AW390" s="860"/>
      <c r="AX390" s="860"/>
      <c r="AY390" s="860"/>
      <c r="AZ390" s="860"/>
      <c r="BA390" s="860"/>
      <c r="BB390" s="860"/>
      <c r="BC390" s="860"/>
      <c r="BD390" s="860"/>
      <c r="BE390" s="860"/>
      <c r="BF390" s="860"/>
      <c r="BG390" s="860"/>
      <c r="BH390" s="860"/>
      <c r="BI390" s="860"/>
      <c r="BJ390" s="860"/>
      <c r="BK390" s="860"/>
      <c r="BL390" s="860"/>
      <c r="BM390" s="860"/>
      <c r="BN390" s="860"/>
      <c r="BO390" s="860"/>
      <c r="BP390" s="860"/>
      <c r="BQ390" s="860"/>
      <c r="BR390" s="860"/>
      <c r="BS390" s="860"/>
      <c r="BT390" s="860"/>
      <c r="BU390" s="860"/>
      <c r="BV390" s="860"/>
      <c r="BW390" s="860"/>
      <c r="BX390" s="860"/>
      <c r="BY390" s="860"/>
      <c r="BZ390" s="860"/>
      <c r="CA390" s="860"/>
      <c r="CB390" s="860"/>
      <c r="CC390" s="860"/>
      <c r="CD390" s="860"/>
      <c r="CE390" s="860"/>
      <c r="CF390" s="860"/>
      <c r="CG390" s="860"/>
      <c r="CH390" s="860"/>
      <c r="CI390" s="860"/>
      <c r="CJ390" s="860"/>
      <c r="CK390" s="860"/>
      <c r="CL390" s="860"/>
      <c r="CM390" s="860"/>
      <c r="CN390" s="860"/>
      <c r="CO390" s="860"/>
      <c r="CP390" s="860"/>
      <c r="CQ390" s="860"/>
      <c r="CR390" s="860"/>
      <c r="CS390" s="860"/>
      <c r="CT390" s="860"/>
      <c r="CU390" s="860"/>
      <c r="CV390" s="860"/>
      <c r="CW390" s="860"/>
      <c r="CX390" s="860"/>
      <c r="CY390" s="860"/>
      <c r="CZ390" s="860"/>
      <c r="DA390" s="860"/>
      <c r="DB390" s="860"/>
      <c r="DC390" s="860"/>
      <c r="DD390" s="860"/>
      <c r="DE390" s="860"/>
      <c r="DF390" s="860"/>
      <c r="DG390" s="860"/>
      <c r="DH390" s="860"/>
      <c r="DI390" s="860"/>
      <c r="DJ390" s="860"/>
      <c r="DK390" s="860"/>
      <c r="DL390" s="860"/>
      <c r="DM390" s="860"/>
      <c r="DN390" s="860"/>
      <c r="DO390" s="860"/>
      <c r="DP390" s="860"/>
      <c r="DQ390" s="860"/>
      <c r="DR390" s="860"/>
      <c r="DS390" s="860"/>
      <c r="DT390" s="860"/>
      <c r="DU390" s="860"/>
      <c r="DV390" s="860"/>
      <c r="DW390" s="860"/>
      <c r="DX390" s="860"/>
      <c r="DY390" s="860"/>
      <c r="DZ390" s="860"/>
      <c r="EA390" s="860"/>
      <c r="EB390" s="860"/>
      <c r="EC390" s="860"/>
      <c r="ED390" s="860"/>
      <c r="EE390" s="860"/>
      <c r="EF390" s="860"/>
      <c r="EG390" s="860"/>
      <c r="EH390" s="860"/>
      <c r="EI390" s="860"/>
      <c r="EJ390" s="860"/>
      <c r="EK390" s="860"/>
      <c r="EL390" s="860"/>
      <c r="EM390" s="860"/>
      <c r="EN390" s="860"/>
      <c r="EO390" s="860"/>
      <c r="EP390" s="860"/>
      <c r="EQ390" s="860"/>
      <c r="ER390" s="860"/>
      <c r="ES390" s="860"/>
      <c r="ET390" s="860"/>
      <c r="EU390" s="860"/>
      <c r="EV390" s="860"/>
      <c r="EW390" s="860"/>
      <c r="EX390" s="860"/>
      <c r="EY390" s="860"/>
      <c r="EZ390" s="860"/>
      <c r="FA390" s="860"/>
      <c r="FB390" s="860"/>
      <c r="FC390" s="860"/>
      <c r="FD390" s="860"/>
      <c r="FE390" s="860"/>
      <c r="FF390" s="860"/>
      <c r="FG390" s="860"/>
      <c r="FH390" s="860"/>
      <c r="FI390" s="860"/>
      <c r="FJ390" s="860"/>
      <c r="FW390" s="860"/>
      <c r="FX390" s="860"/>
      <c r="FY390" s="860"/>
      <c r="FZ390" s="860"/>
      <c r="GA390" s="860"/>
      <c r="GB390" s="860"/>
      <c r="GC390" s="860"/>
      <c r="GD390" s="860"/>
      <c r="GE390" s="860"/>
      <c r="GF390" s="860"/>
      <c r="GG390" s="860"/>
      <c r="GH390" s="860"/>
      <c r="GI390" s="860"/>
      <c r="GJ390" s="860"/>
      <c r="GK390" s="860"/>
      <c r="GL390" s="860"/>
      <c r="GM390" s="860"/>
      <c r="GN390" s="860"/>
      <c r="GO390" s="860"/>
      <c r="GP390" s="860"/>
      <c r="GQ390" s="860"/>
      <c r="GR390" s="860"/>
      <c r="GS390" s="860"/>
      <c r="GT390" s="860"/>
      <c r="GU390" s="860"/>
      <c r="GV390" s="860"/>
      <c r="GW390" s="860"/>
      <c r="GX390" s="860"/>
      <c r="GY390" s="860"/>
      <c r="GZ390" s="860"/>
      <c r="HA390" s="860"/>
      <c r="HB390" s="860"/>
      <c r="HC390" s="860"/>
      <c r="HE390" s="860"/>
      <c r="HF390" s="860"/>
      <c r="HH390" s="860"/>
      <c r="HI390" s="860"/>
      <c r="HJ390" s="860"/>
      <c r="HL390" s="860"/>
      <c r="HM390" s="860"/>
      <c r="HO390" s="860"/>
      <c r="HP390" s="860"/>
      <c r="HR390" s="860"/>
    </row>
    <row r="391" spans="1:226">
      <c r="A391" s="860"/>
      <c r="B391" s="860"/>
      <c r="C391" s="860"/>
      <c r="D391" s="860"/>
      <c r="E391" s="860"/>
      <c r="F391" s="860"/>
      <c r="G391" s="860"/>
      <c r="H391" s="860"/>
      <c r="I391" s="860"/>
      <c r="J391" s="860"/>
      <c r="K391" s="860"/>
      <c r="L391" s="860"/>
      <c r="M391" s="860"/>
      <c r="N391" s="860"/>
      <c r="O391" s="860"/>
      <c r="P391" s="860"/>
      <c r="Q391" s="860"/>
      <c r="R391" s="860"/>
      <c r="S391" s="860"/>
      <c r="T391" s="860"/>
      <c r="U391" s="860"/>
      <c r="V391" s="860"/>
      <c r="W391" s="860"/>
      <c r="X391" s="860"/>
      <c r="Y391" s="860"/>
      <c r="Z391" s="860"/>
      <c r="AA391" s="860"/>
      <c r="AB391" s="860"/>
      <c r="AC391" s="860"/>
      <c r="AD391" s="860"/>
      <c r="AE391" s="860"/>
      <c r="AF391" s="860"/>
      <c r="AG391" s="860"/>
      <c r="AH391" s="860"/>
      <c r="AI391" s="860"/>
      <c r="AJ391" s="860"/>
      <c r="AK391" s="860"/>
      <c r="AL391" s="860"/>
      <c r="AM391" s="860"/>
      <c r="AN391" s="860"/>
      <c r="AO391" s="860"/>
      <c r="AP391" s="860"/>
      <c r="AQ391" s="860"/>
      <c r="AR391" s="860"/>
      <c r="AS391" s="860"/>
      <c r="AT391" s="860"/>
      <c r="AU391" s="860"/>
      <c r="AV391" s="860"/>
      <c r="AW391" s="860"/>
      <c r="AX391" s="860"/>
      <c r="AY391" s="860"/>
      <c r="AZ391" s="860"/>
      <c r="BA391" s="860"/>
      <c r="BB391" s="860"/>
      <c r="BC391" s="860"/>
      <c r="BD391" s="860"/>
      <c r="BE391" s="860"/>
      <c r="BF391" s="860"/>
      <c r="BG391" s="860"/>
      <c r="BH391" s="860"/>
      <c r="BI391" s="860"/>
      <c r="BJ391" s="860"/>
      <c r="BK391" s="860"/>
      <c r="BL391" s="860"/>
      <c r="BM391" s="860"/>
      <c r="BN391" s="860"/>
      <c r="BO391" s="860"/>
      <c r="BP391" s="860"/>
      <c r="BQ391" s="860"/>
      <c r="BR391" s="860"/>
      <c r="BS391" s="860"/>
      <c r="BT391" s="860"/>
      <c r="BU391" s="860"/>
      <c r="BV391" s="860"/>
      <c r="BW391" s="860"/>
      <c r="BX391" s="860"/>
      <c r="BY391" s="860"/>
      <c r="BZ391" s="860"/>
      <c r="CA391" s="860"/>
      <c r="CB391" s="860"/>
      <c r="CC391" s="860"/>
      <c r="CD391" s="860"/>
      <c r="CE391" s="860"/>
      <c r="CF391" s="860"/>
      <c r="CG391" s="860"/>
      <c r="CH391" s="860"/>
      <c r="CI391" s="860"/>
      <c r="CJ391" s="860"/>
      <c r="CK391" s="860"/>
      <c r="CL391" s="860"/>
      <c r="CM391" s="860"/>
      <c r="CN391" s="860"/>
      <c r="CO391" s="860"/>
      <c r="CP391" s="860"/>
      <c r="CQ391" s="860"/>
      <c r="CR391" s="860"/>
      <c r="CS391" s="860"/>
      <c r="CT391" s="860"/>
      <c r="CU391" s="860"/>
      <c r="CV391" s="860"/>
      <c r="CW391" s="860"/>
      <c r="CX391" s="860"/>
      <c r="CY391" s="860"/>
      <c r="CZ391" s="860"/>
      <c r="DA391" s="860"/>
      <c r="DB391" s="860"/>
      <c r="DC391" s="860"/>
      <c r="DD391" s="860"/>
      <c r="DE391" s="860"/>
      <c r="DF391" s="860"/>
      <c r="DG391" s="860"/>
      <c r="DH391" s="860"/>
      <c r="DI391" s="860"/>
      <c r="DJ391" s="860"/>
      <c r="DK391" s="860"/>
      <c r="DL391" s="860"/>
      <c r="DM391" s="860"/>
      <c r="DN391" s="860"/>
      <c r="DO391" s="860"/>
      <c r="DP391" s="860"/>
      <c r="DQ391" s="860"/>
      <c r="DR391" s="860"/>
      <c r="DS391" s="860"/>
      <c r="DT391" s="860"/>
      <c r="DU391" s="860"/>
      <c r="DV391" s="860"/>
      <c r="DW391" s="860"/>
      <c r="DX391" s="860"/>
      <c r="DY391" s="860"/>
      <c r="DZ391" s="860"/>
      <c r="EA391" s="860"/>
      <c r="EB391" s="860"/>
      <c r="EC391" s="860"/>
      <c r="ED391" s="860"/>
      <c r="EE391" s="860"/>
      <c r="EF391" s="860"/>
      <c r="EG391" s="860"/>
      <c r="EH391" s="860"/>
      <c r="EI391" s="860"/>
      <c r="EJ391" s="860"/>
      <c r="EK391" s="860"/>
      <c r="EL391" s="860"/>
      <c r="EM391" s="860"/>
      <c r="EN391" s="860"/>
      <c r="EO391" s="860"/>
      <c r="EP391" s="860"/>
      <c r="EQ391" s="860"/>
      <c r="ER391" s="860"/>
      <c r="ES391" s="860"/>
      <c r="ET391" s="860"/>
      <c r="EU391" s="860"/>
      <c r="EV391" s="860"/>
      <c r="EW391" s="860"/>
      <c r="EX391" s="860"/>
      <c r="EY391" s="860"/>
      <c r="EZ391" s="860"/>
      <c r="FA391" s="860"/>
      <c r="FB391" s="860"/>
      <c r="FC391" s="860"/>
      <c r="FD391" s="860"/>
      <c r="FE391" s="860"/>
      <c r="FF391" s="860"/>
      <c r="FG391" s="860"/>
      <c r="FH391" s="860"/>
      <c r="FI391" s="860"/>
      <c r="FJ391" s="860"/>
      <c r="FW391" s="860"/>
      <c r="FX391" s="860"/>
      <c r="FY391" s="860"/>
      <c r="FZ391" s="860"/>
      <c r="GA391" s="860"/>
      <c r="GB391" s="860"/>
      <c r="GC391" s="860"/>
      <c r="GD391" s="860"/>
      <c r="GE391" s="860"/>
      <c r="GF391" s="860"/>
      <c r="GG391" s="860"/>
      <c r="GH391" s="860"/>
      <c r="GI391" s="860"/>
      <c r="GJ391" s="860"/>
      <c r="GK391" s="860"/>
      <c r="GL391" s="860"/>
      <c r="GM391" s="860"/>
      <c r="GN391" s="860"/>
      <c r="GO391" s="860"/>
      <c r="GP391" s="860"/>
      <c r="GQ391" s="860"/>
      <c r="GR391" s="860"/>
      <c r="GS391" s="860"/>
      <c r="GT391" s="860"/>
      <c r="GU391" s="860"/>
      <c r="GV391" s="860"/>
      <c r="GW391" s="860"/>
      <c r="GX391" s="860"/>
      <c r="GY391" s="860"/>
      <c r="GZ391" s="860"/>
      <c r="HA391" s="860"/>
      <c r="HB391" s="860"/>
      <c r="HC391" s="860"/>
      <c r="HE391" s="860"/>
      <c r="HF391" s="860"/>
      <c r="HH391" s="860"/>
      <c r="HI391" s="860"/>
      <c r="HJ391" s="860"/>
      <c r="HL391" s="860"/>
      <c r="HM391" s="860"/>
      <c r="HO391" s="860"/>
      <c r="HP391" s="860"/>
      <c r="HR391" s="860"/>
    </row>
    <row r="392" spans="1:226">
      <c r="A392" s="860"/>
      <c r="B392" s="860"/>
      <c r="C392" s="860"/>
      <c r="D392" s="860"/>
      <c r="E392" s="860"/>
      <c r="F392" s="860"/>
      <c r="G392" s="860"/>
      <c r="H392" s="860"/>
      <c r="I392" s="860"/>
      <c r="J392" s="860"/>
      <c r="K392" s="860"/>
      <c r="L392" s="860"/>
      <c r="M392" s="860"/>
      <c r="N392" s="860"/>
      <c r="O392" s="860"/>
      <c r="P392" s="860"/>
      <c r="Q392" s="860"/>
      <c r="R392" s="860"/>
      <c r="S392" s="860"/>
      <c r="T392" s="860"/>
      <c r="U392" s="860"/>
      <c r="V392" s="860"/>
      <c r="W392" s="860"/>
      <c r="X392" s="860"/>
      <c r="Y392" s="860"/>
      <c r="Z392" s="860"/>
      <c r="AA392" s="860"/>
      <c r="AB392" s="860"/>
      <c r="AC392" s="860"/>
      <c r="AD392" s="860"/>
      <c r="AE392" s="860"/>
      <c r="AF392" s="860"/>
      <c r="AG392" s="860"/>
      <c r="AH392" s="860"/>
      <c r="AI392" s="860"/>
      <c r="AJ392" s="860"/>
      <c r="AK392" s="860"/>
      <c r="AL392" s="860"/>
      <c r="AM392" s="860"/>
      <c r="AN392" s="860"/>
      <c r="AO392" s="860"/>
      <c r="AP392" s="860"/>
      <c r="AQ392" s="860"/>
      <c r="AR392" s="860"/>
      <c r="AS392" s="860"/>
      <c r="AT392" s="860"/>
      <c r="AU392" s="860"/>
      <c r="AV392" s="860"/>
      <c r="AW392" s="860"/>
      <c r="AX392" s="860"/>
      <c r="AY392" s="860"/>
      <c r="AZ392" s="860"/>
      <c r="BA392" s="860"/>
      <c r="BB392" s="860"/>
      <c r="BC392" s="860"/>
      <c r="BD392" s="860"/>
      <c r="BE392" s="860"/>
      <c r="BF392" s="860"/>
      <c r="BG392" s="860"/>
      <c r="BH392" s="860"/>
      <c r="BI392" s="860"/>
      <c r="BJ392" s="860"/>
      <c r="BK392" s="860"/>
      <c r="BL392" s="860"/>
      <c r="BM392" s="860"/>
      <c r="BN392" s="860"/>
      <c r="BO392" s="860"/>
      <c r="BP392" s="860"/>
      <c r="BQ392" s="860"/>
      <c r="BR392" s="860"/>
      <c r="BS392" s="860"/>
      <c r="BT392" s="860"/>
      <c r="BU392" s="860"/>
      <c r="BV392" s="860"/>
      <c r="BW392" s="860"/>
      <c r="BX392" s="860"/>
      <c r="BY392" s="860"/>
      <c r="BZ392" s="860"/>
      <c r="CA392" s="860"/>
      <c r="CB392" s="860"/>
      <c r="CC392" s="860"/>
      <c r="CD392" s="860"/>
      <c r="CE392" s="860"/>
      <c r="CF392" s="860"/>
      <c r="CG392" s="860"/>
      <c r="CH392" s="860"/>
      <c r="CI392" s="860"/>
      <c r="CJ392" s="860"/>
      <c r="CK392" s="860"/>
      <c r="CL392" s="860"/>
      <c r="CM392" s="860"/>
      <c r="CN392" s="860"/>
      <c r="CO392" s="860"/>
      <c r="CP392" s="860"/>
      <c r="CQ392" s="860"/>
      <c r="CR392" s="860"/>
      <c r="CS392" s="860"/>
      <c r="CT392" s="860"/>
      <c r="CU392" s="860"/>
      <c r="CV392" s="860"/>
      <c r="CW392" s="860"/>
      <c r="CX392" s="860"/>
      <c r="CY392" s="860"/>
      <c r="CZ392" s="860"/>
      <c r="DA392" s="860"/>
      <c r="DB392" s="860"/>
      <c r="DC392" s="860"/>
      <c r="DD392" s="860"/>
      <c r="DE392" s="860"/>
      <c r="DF392" s="860"/>
      <c r="DG392" s="860"/>
      <c r="DH392" s="860"/>
      <c r="DI392" s="860"/>
      <c r="DJ392" s="860"/>
      <c r="DK392" s="860"/>
      <c r="DL392" s="860"/>
      <c r="DM392" s="860"/>
      <c r="DN392" s="860"/>
      <c r="DO392" s="860"/>
      <c r="DP392" s="860"/>
      <c r="DQ392" s="860"/>
      <c r="DR392" s="860"/>
      <c r="DS392" s="860"/>
      <c r="DT392" s="860"/>
      <c r="DU392" s="860"/>
      <c r="DV392" s="860"/>
      <c r="DW392" s="860"/>
      <c r="DX392" s="860"/>
      <c r="DY392" s="860"/>
      <c r="DZ392" s="860"/>
      <c r="EA392" s="860"/>
      <c r="EB392" s="860"/>
      <c r="EC392" s="860"/>
      <c r="ED392" s="860"/>
      <c r="EE392" s="860"/>
      <c r="EF392" s="860"/>
      <c r="EG392" s="860"/>
      <c r="EH392" s="860"/>
      <c r="EI392" s="860"/>
      <c r="EJ392" s="860"/>
      <c r="EK392" s="860"/>
      <c r="EL392" s="860"/>
      <c r="EM392" s="860"/>
      <c r="EN392" s="860"/>
      <c r="EO392" s="860"/>
      <c r="EP392" s="860"/>
      <c r="EQ392" s="860"/>
      <c r="ER392" s="860"/>
      <c r="ES392" s="860"/>
      <c r="ET392" s="860"/>
      <c r="EU392" s="860"/>
      <c r="EV392" s="860"/>
      <c r="EW392" s="860"/>
      <c r="EX392" s="860"/>
      <c r="EY392" s="860"/>
      <c r="EZ392" s="860"/>
      <c r="FA392" s="860"/>
      <c r="FB392" s="860"/>
      <c r="FC392" s="860"/>
      <c r="FD392" s="860"/>
      <c r="FE392" s="860"/>
      <c r="FF392" s="860"/>
      <c r="FG392" s="860"/>
      <c r="FH392" s="860"/>
      <c r="FI392" s="860"/>
      <c r="FJ392" s="860"/>
      <c r="FK392" s="860"/>
      <c r="FL392" s="860"/>
      <c r="FM392" s="860"/>
      <c r="FN392" s="860"/>
      <c r="FO392" s="860"/>
      <c r="FP392" s="860"/>
      <c r="FQ392" s="860"/>
      <c r="FR392" s="860"/>
      <c r="FS392" s="860"/>
      <c r="FT392" s="860"/>
      <c r="FU392" s="860"/>
      <c r="FV392" s="860"/>
      <c r="FW392" s="860"/>
      <c r="FX392" s="860"/>
      <c r="FY392" s="860"/>
      <c r="FZ392" s="860"/>
      <c r="GA392" s="860"/>
      <c r="GB392" s="860"/>
      <c r="GC392" s="860"/>
      <c r="GD392" s="860"/>
      <c r="GE392" s="860"/>
      <c r="GF392" s="860"/>
      <c r="GG392" s="860"/>
      <c r="GH392" s="860"/>
      <c r="GI392" s="860"/>
      <c r="GJ392" s="860"/>
      <c r="GK392" s="860"/>
      <c r="GL392" s="860"/>
      <c r="GM392" s="860"/>
      <c r="GN392" s="860"/>
      <c r="GO392" s="860"/>
      <c r="GP392" s="860"/>
      <c r="GQ392" s="860"/>
      <c r="GR392" s="860"/>
      <c r="GS392" s="860"/>
      <c r="GT392" s="860"/>
      <c r="GU392" s="860"/>
      <c r="GV392" s="860"/>
      <c r="GW392" s="860"/>
      <c r="GX392" s="860"/>
      <c r="GY392" s="860"/>
      <c r="GZ392" s="860"/>
      <c r="HA392" s="860"/>
      <c r="HB392" s="860"/>
      <c r="HC392" s="860"/>
      <c r="HE392" s="860"/>
      <c r="HF392" s="860"/>
      <c r="HH392" s="860"/>
      <c r="HI392" s="860"/>
      <c r="HJ392" s="860"/>
      <c r="HL392" s="860"/>
      <c r="HM392" s="860"/>
      <c r="HO392" s="860"/>
      <c r="HP392" s="860"/>
      <c r="HR392" s="860"/>
    </row>
    <row r="393" spans="1:226">
      <c r="A393" s="860"/>
      <c r="B393" s="860"/>
      <c r="C393" s="860"/>
      <c r="D393" s="860"/>
      <c r="E393" s="860"/>
      <c r="F393" s="860"/>
      <c r="G393" s="860"/>
      <c r="H393" s="860"/>
      <c r="I393" s="860"/>
      <c r="J393" s="860"/>
      <c r="K393" s="860"/>
      <c r="L393" s="860"/>
      <c r="M393" s="860"/>
      <c r="N393" s="860"/>
      <c r="O393" s="860"/>
      <c r="P393" s="860"/>
      <c r="Q393" s="860"/>
      <c r="R393" s="860"/>
      <c r="S393" s="860"/>
      <c r="T393" s="860"/>
      <c r="U393" s="860"/>
      <c r="V393" s="860"/>
      <c r="W393" s="860"/>
      <c r="X393" s="860"/>
      <c r="Y393" s="860"/>
      <c r="Z393" s="860"/>
      <c r="AA393" s="860"/>
      <c r="AB393" s="860"/>
      <c r="AC393" s="860"/>
      <c r="AD393" s="860"/>
      <c r="AE393" s="860"/>
      <c r="AF393" s="860"/>
      <c r="AG393" s="860"/>
      <c r="AH393" s="860"/>
      <c r="AI393" s="860"/>
      <c r="AJ393" s="860"/>
      <c r="AK393" s="860"/>
      <c r="AL393" s="860"/>
      <c r="AM393" s="860"/>
      <c r="AN393" s="860"/>
      <c r="AO393" s="860"/>
      <c r="AP393" s="860"/>
      <c r="AQ393" s="860"/>
      <c r="AR393" s="860"/>
      <c r="AS393" s="860"/>
      <c r="AT393" s="860"/>
      <c r="AU393" s="860"/>
      <c r="AV393" s="860"/>
      <c r="AW393" s="860"/>
      <c r="AX393" s="860"/>
      <c r="AY393" s="860"/>
      <c r="AZ393" s="860"/>
      <c r="BA393" s="860"/>
      <c r="BB393" s="860"/>
      <c r="BC393" s="860"/>
      <c r="BD393" s="860"/>
      <c r="BE393" s="860"/>
      <c r="BF393" s="860"/>
      <c r="BG393" s="860"/>
      <c r="BH393" s="860"/>
      <c r="BI393" s="860"/>
      <c r="BJ393" s="860"/>
      <c r="BK393" s="860"/>
      <c r="BL393" s="860"/>
      <c r="BM393" s="860"/>
      <c r="BN393" s="860"/>
      <c r="BO393" s="860"/>
      <c r="BP393" s="860"/>
      <c r="BQ393" s="860"/>
      <c r="BR393" s="860"/>
      <c r="BS393" s="860"/>
      <c r="BT393" s="860"/>
      <c r="BU393" s="860"/>
      <c r="BV393" s="860"/>
      <c r="BW393" s="860"/>
      <c r="BX393" s="860"/>
      <c r="BY393" s="860"/>
      <c r="BZ393" s="860"/>
      <c r="CA393" s="860"/>
      <c r="CB393" s="860"/>
      <c r="CC393" s="860"/>
      <c r="CD393" s="860"/>
      <c r="CE393" s="860"/>
      <c r="CF393" s="860"/>
      <c r="CG393" s="860"/>
      <c r="CH393" s="860"/>
      <c r="CI393" s="860"/>
      <c r="CJ393" s="860"/>
      <c r="CK393" s="860"/>
      <c r="CL393" s="860"/>
      <c r="CM393" s="860"/>
      <c r="CN393" s="860"/>
      <c r="CO393" s="860"/>
      <c r="CP393" s="860"/>
      <c r="CQ393" s="860"/>
      <c r="CR393" s="860"/>
      <c r="CS393" s="860"/>
      <c r="CT393" s="860"/>
      <c r="CU393" s="860"/>
      <c r="CV393" s="860"/>
      <c r="CW393" s="860"/>
      <c r="CX393" s="860"/>
      <c r="CY393" s="860"/>
      <c r="CZ393" s="860"/>
      <c r="DA393" s="860"/>
      <c r="DB393" s="860"/>
      <c r="DC393" s="860"/>
      <c r="DD393" s="860"/>
      <c r="DE393" s="860"/>
      <c r="DF393" s="860"/>
      <c r="DG393" s="860"/>
      <c r="DH393" s="860"/>
      <c r="DI393" s="860"/>
      <c r="DJ393" s="860"/>
      <c r="DK393" s="860"/>
      <c r="DL393" s="860"/>
      <c r="DM393" s="860"/>
      <c r="DN393" s="860"/>
      <c r="DO393" s="860"/>
      <c r="DP393" s="860"/>
      <c r="DQ393" s="860"/>
      <c r="DR393" s="860"/>
      <c r="DS393" s="860"/>
      <c r="DT393" s="860"/>
      <c r="DU393" s="860"/>
      <c r="DV393" s="860"/>
      <c r="DW393" s="860"/>
      <c r="DX393" s="860"/>
      <c r="DY393" s="860"/>
      <c r="DZ393" s="860"/>
      <c r="EA393" s="860"/>
      <c r="EB393" s="860"/>
      <c r="EC393" s="860"/>
      <c r="ED393" s="860"/>
      <c r="EE393" s="860"/>
      <c r="EF393" s="860"/>
      <c r="EG393" s="860"/>
      <c r="EH393" s="860"/>
      <c r="EI393" s="860"/>
      <c r="EJ393" s="860"/>
      <c r="EK393" s="860"/>
      <c r="EL393" s="860"/>
      <c r="EM393" s="860"/>
      <c r="EN393" s="860"/>
      <c r="EO393" s="860"/>
      <c r="EP393" s="860"/>
      <c r="EQ393" s="860"/>
      <c r="ER393" s="860"/>
      <c r="ES393" s="860"/>
      <c r="ET393" s="860"/>
      <c r="EU393" s="860"/>
      <c r="EV393" s="860"/>
      <c r="EW393" s="860"/>
      <c r="EX393" s="860"/>
      <c r="EY393" s="860"/>
      <c r="EZ393" s="860"/>
      <c r="FA393" s="860"/>
      <c r="FB393" s="860"/>
      <c r="FC393" s="860"/>
      <c r="FD393" s="860"/>
      <c r="FE393" s="860"/>
      <c r="FF393" s="860"/>
      <c r="FG393" s="860"/>
      <c r="FH393" s="860"/>
      <c r="FI393" s="860"/>
      <c r="FJ393" s="860"/>
      <c r="FK393" s="860"/>
      <c r="FL393" s="1262" t="s">
        <v>753</v>
      </c>
      <c r="FM393" s="1262" t="s">
        <v>754</v>
      </c>
      <c r="FN393" s="1262" t="s">
        <v>755</v>
      </c>
      <c r="FO393" s="1262" t="s">
        <v>756</v>
      </c>
      <c r="FP393" s="1262" t="s">
        <v>757</v>
      </c>
      <c r="FQ393" s="1262" t="s">
        <v>758</v>
      </c>
      <c r="FR393" s="1262" t="s">
        <v>846</v>
      </c>
      <c r="FS393" s="1262" t="s">
        <v>847</v>
      </c>
      <c r="FT393" s="860"/>
      <c r="FU393" s="860"/>
      <c r="FV393" s="860"/>
      <c r="FW393" s="860"/>
      <c r="FX393" s="860"/>
      <c r="FY393" s="860"/>
      <c r="FZ393" s="860"/>
      <c r="GA393" s="860"/>
      <c r="GB393" s="860"/>
      <c r="GC393" s="860"/>
      <c r="GD393" s="860"/>
      <c r="GE393" s="860"/>
      <c r="GF393" s="860"/>
      <c r="GG393" s="860"/>
      <c r="GH393" s="860"/>
      <c r="GI393" s="860"/>
      <c r="GJ393" s="860"/>
      <c r="GK393" s="860"/>
      <c r="GL393" s="860"/>
      <c r="GM393" s="860"/>
      <c r="GN393" s="860"/>
      <c r="GO393" s="860"/>
      <c r="GP393" s="860"/>
      <c r="GQ393" s="860"/>
      <c r="GR393" s="860"/>
      <c r="GS393" s="860"/>
      <c r="GT393" s="860"/>
      <c r="GU393" s="860"/>
      <c r="GV393" s="860"/>
      <c r="GW393" s="860"/>
      <c r="GX393" s="860"/>
      <c r="GY393" s="860"/>
      <c r="GZ393" s="860"/>
      <c r="HA393" s="860"/>
      <c r="HB393" s="860"/>
      <c r="HC393" s="860"/>
      <c r="HE393" s="860"/>
      <c r="HF393" s="860"/>
      <c r="HH393" s="860"/>
      <c r="HI393" s="860"/>
      <c r="HJ393" s="860"/>
      <c r="HL393" s="860"/>
      <c r="HM393" s="860"/>
      <c r="HO393" s="860"/>
      <c r="HP393" s="860"/>
      <c r="HR393" s="860"/>
    </row>
    <row r="394" spans="1:226">
      <c r="A394" s="860"/>
      <c r="B394" s="860"/>
      <c r="C394" s="860"/>
      <c r="D394" s="860"/>
      <c r="E394" s="860"/>
      <c r="F394" s="860"/>
      <c r="G394" s="860"/>
      <c r="H394" s="860"/>
      <c r="I394" s="860"/>
      <c r="J394" s="860"/>
      <c r="K394" s="860"/>
      <c r="L394" s="860"/>
      <c r="M394" s="860"/>
      <c r="N394" s="860"/>
      <c r="O394" s="860"/>
      <c r="P394" s="860"/>
      <c r="Q394" s="860"/>
      <c r="R394" s="860"/>
      <c r="S394" s="860"/>
      <c r="T394" s="860"/>
      <c r="U394" s="860"/>
      <c r="V394" s="860"/>
      <c r="W394" s="860"/>
      <c r="X394" s="860"/>
      <c r="Y394" s="860"/>
      <c r="Z394" s="860"/>
      <c r="AA394" s="860"/>
      <c r="AB394" s="860"/>
      <c r="AC394" s="860"/>
      <c r="AD394" s="860"/>
      <c r="AE394" s="860"/>
      <c r="AF394" s="860"/>
      <c r="AG394" s="860"/>
      <c r="AH394" s="860"/>
      <c r="AI394" s="860"/>
      <c r="AJ394" s="860"/>
      <c r="AK394" s="860"/>
      <c r="AL394" s="860"/>
      <c r="AM394" s="860"/>
      <c r="AN394" s="860"/>
      <c r="AO394" s="860"/>
      <c r="AP394" s="860"/>
      <c r="AQ394" s="860"/>
      <c r="AR394" s="860"/>
      <c r="AS394" s="860"/>
      <c r="AT394" s="860"/>
      <c r="AU394" s="860"/>
      <c r="AV394" s="860"/>
      <c r="AW394" s="860"/>
      <c r="AX394" s="860"/>
      <c r="AY394" s="860"/>
      <c r="AZ394" s="860"/>
      <c r="BA394" s="860"/>
      <c r="BB394" s="860"/>
      <c r="BC394" s="860"/>
      <c r="BD394" s="860"/>
      <c r="BE394" s="860"/>
      <c r="BF394" s="860"/>
      <c r="BG394" s="860"/>
      <c r="BH394" s="860"/>
      <c r="BI394" s="860"/>
      <c r="BJ394" s="860"/>
      <c r="BK394" s="860"/>
      <c r="BL394" s="860"/>
      <c r="BM394" s="860"/>
      <c r="BN394" s="860"/>
      <c r="BO394" s="860"/>
      <c r="BP394" s="860"/>
      <c r="BQ394" s="860"/>
      <c r="BR394" s="860"/>
      <c r="BS394" s="860"/>
      <c r="BT394" s="860"/>
      <c r="BU394" s="860"/>
      <c r="BV394" s="860"/>
      <c r="BW394" s="860"/>
      <c r="BX394" s="860"/>
      <c r="BY394" s="860"/>
      <c r="BZ394" s="860"/>
      <c r="CA394" s="860"/>
      <c r="CB394" s="860"/>
      <c r="CC394" s="860"/>
      <c r="CD394" s="860"/>
      <c r="CE394" s="860"/>
      <c r="CF394" s="860"/>
      <c r="CG394" s="860"/>
      <c r="CH394" s="860"/>
      <c r="CI394" s="860"/>
      <c r="CJ394" s="860"/>
      <c r="CK394" s="860"/>
      <c r="CL394" s="860"/>
      <c r="CM394" s="860"/>
      <c r="CN394" s="860"/>
      <c r="CO394" s="860"/>
      <c r="CP394" s="860"/>
      <c r="CQ394" s="860"/>
      <c r="CR394" s="860"/>
      <c r="CS394" s="860"/>
      <c r="CT394" s="860"/>
      <c r="CU394" s="860"/>
      <c r="CV394" s="860"/>
      <c r="CW394" s="860"/>
      <c r="CX394" s="860"/>
      <c r="CY394" s="860"/>
      <c r="CZ394" s="860"/>
      <c r="DA394" s="860"/>
      <c r="DB394" s="860"/>
      <c r="DC394" s="860"/>
      <c r="DD394" s="860"/>
      <c r="DE394" s="860"/>
      <c r="DF394" s="860"/>
      <c r="DG394" s="860"/>
      <c r="DH394" s="860"/>
      <c r="DI394" s="860"/>
      <c r="DJ394" s="860"/>
      <c r="DK394" s="860"/>
      <c r="DL394" s="860"/>
      <c r="DM394" s="860"/>
      <c r="DN394" s="860"/>
      <c r="DO394" s="860"/>
      <c r="DP394" s="860"/>
      <c r="DQ394" s="860"/>
      <c r="DR394" s="860"/>
      <c r="DS394" s="860"/>
      <c r="DT394" s="860"/>
      <c r="DU394" s="860"/>
      <c r="DV394" s="860"/>
      <c r="DW394" s="860"/>
      <c r="DX394" s="860"/>
      <c r="DY394" s="860"/>
      <c r="DZ394" s="860"/>
      <c r="EA394" s="860"/>
      <c r="EB394" s="860"/>
      <c r="EC394" s="860"/>
      <c r="ED394" s="860"/>
      <c r="EE394" s="860"/>
      <c r="EF394" s="860"/>
      <c r="EG394" s="860"/>
      <c r="EH394" s="860"/>
      <c r="EI394" s="860"/>
      <c r="EJ394" s="860"/>
      <c r="EK394" s="860"/>
      <c r="EL394" s="860"/>
      <c r="EM394" s="860"/>
      <c r="EN394" s="860"/>
      <c r="EO394" s="860"/>
      <c r="EP394" s="860"/>
      <c r="EQ394" s="860"/>
      <c r="ER394" s="860"/>
      <c r="ES394" s="860"/>
      <c r="ET394" s="860"/>
      <c r="EU394" s="860"/>
      <c r="EV394" s="860"/>
      <c r="EW394" s="860"/>
      <c r="EX394" s="860"/>
      <c r="EY394" s="860"/>
      <c r="EZ394" s="860"/>
      <c r="FA394" s="860"/>
      <c r="FB394" s="860"/>
      <c r="FC394" s="860"/>
      <c r="FD394" s="860"/>
      <c r="FE394" s="860"/>
      <c r="FF394" s="860"/>
      <c r="FG394" s="860"/>
      <c r="FH394" s="860"/>
      <c r="FI394" s="860"/>
      <c r="FJ394" s="860"/>
      <c r="FK394" s="860"/>
      <c r="FL394" s="1217">
        <f>DY8</f>
        <v>-0.28430973138868521</v>
      </c>
      <c r="FM394" s="1217">
        <f>DZ8</f>
        <v>-0.33135025055488188</v>
      </c>
      <c r="FN394" s="1217">
        <f>EA8</f>
        <v>-0.13004240740353878</v>
      </c>
      <c r="FO394" s="1217">
        <f>EB8</f>
        <v>1.1328278403770486E-3</v>
      </c>
      <c r="FP394" s="1217">
        <f>ED8</f>
        <v>0.28074835869606485</v>
      </c>
      <c r="FQ394" s="1217">
        <f>EE8</f>
        <v>0.32092259256724387</v>
      </c>
      <c r="FR394" s="1217">
        <f>EF8</f>
        <v>0.15834213812313913</v>
      </c>
      <c r="FS394" s="1217">
        <f>EG8</f>
        <v>7.1679666872859427E-2</v>
      </c>
      <c r="FT394" s="860"/>
      <c r="FU394" s="860"/>
      <c r="FV394" s="860"/>
      <c r="FW394" s="860"/>
      <c r="FX394" s="860"/>
      <c r="FY394" s="860"/>
      <c r="FZ394" s="860"/>
      <c r="GA394" s="860"/>
      <c r="GB394" s="860"/>
      <c r="GC394" s="860"/>
      <c r="GD394" s="860"/>
      <c r="GE394" s="860"/>
      <c r="GF394" s="860"/>
      <c r="GG394" s="860"/>
      <c r="GH394" s="860"/>
      <c r="GI394" s="860"/>
      <c r="GJ394" s="860"/>
      <c r="GK394" s="860"/>
      <c r="GL394" s="860"/>
      <c r="GM394" s="860"/>
      <c r="GN394" s="860"/>
      <c r="GO394" s="860"/>
      <c r="GP394" s="860"/>
      <c r="GQ394" s="860"/>
      <c r="GR394" s="860"/>
      <c r="GS394" s="860"/>
      <c r="GT394" s="860"/>
      <c r="GU394" s="860"/>
      <c r="GV394" s="860"/>
      <c r="GW394" s="860"/>
      <c r="GX394" s="860"/>
      <c r="GY394" s="860"/>
      <c r="GZ394" s="860"/>
      <c r="HA394" s="860"/>
      <c r="HB394" s="860"/>
      <c r="HC394" s="860"/>
      <c r="HE394" s="860"/>
      <c r="HF394" s="860"/>
      <c r="HH394" s="860"/>
      <c r="HI394" s="860"/>
      <c r="HJ394" s="860"/>
      <c r="HL394" s="860"/>
      <c r="HM394" s="860"/>
      <c r="HO394" s="860"/>
      <c r="HP394" s="860"/>
      <c r="HR394" s="860"/>
    </row>
    <row r="395" spans="1:226">
      <c r="A395" s="860"/>
      <c r="B395" s="860"/>
      <c r="C395" s="860"/>
      <c r="D395" s="860"/>
      <c r="E395" s="860"/>
      <c r="F395" s="860"/>
      <c r="G395" s="860"/>
      <c r="H395" s="860"/>
      <c r="I395" s="860"/>
      <c r="J395" s="860"/>
      <c r="K395" s="860"/>
      <c r="L395" s="860"/>
      <c r="M395" s="860"/>
      <c r="N395" s="860"/>
      <c r="O395" s="860"/>
      <c r="P395" s="860"/>
      <c r="Q395" s="860"/>
      <c r="R395" s="860"/>
      <c r="S395" s="860"/>
      <c r="T395" s="860"/>
      <c r="U395" s="860"/>
      <c r="V395" s="860"/>
      <c r="W395" s="860"/>
      <c r="X395" s="860"/>
      <c r="Y395" s="860"/>
      <c r="Z395" s="860"/>
      <c r="AA395" s="860"/>
      <c r="AB395" s="860"/>
      <c r="AC395" s="860"/>
      <c r="AD395" s="860"/>
      <c r="AE395" s="860"/>
      <c r="AF395" s="860"/>
      <c r="AG395" s="860"/>
      <c r="AH395" s="860"/>
      <c r="AI395" s="860"/>
      <c r="AJ395" s="860"/>
      <c r="AK395" s="860"/>
      <c r="AL395" s="860"/>
      <c r="AM395" s="860"/>
      <c r="AN395" s="860"/>
      <c r="AO395" s="860"/>
      <c r="AP395" s="860"/>
      <c r="AQ395" s="860"/>
      <c r="AR395" s="860"/>
      <c r="AS395" s="860"/>
      <c r="AT395" s="860"/>
      <c r="AU395" s="860"/>
      <c r="AV395" s="860"/>
      <c r="AW395" s="860"/>
      <c r="AX395" s="860"/>
      <c r="AY395" s="860"/>
      <c r="AZ395" s="860"/>
      <c r="BA395" s="860"/>
      <c r="BB395" s="860"/>
      <c r="BC395" s="860"/>
      <c r="BD395" s="860"/>
      <c r="BE395" s="860"/>
      <c r="BF395" s="860"/>
      <c r="BG395" s="860"/>
      <c r="BH395" s="860"/>
      <c r="BI395" s="860"/>
      <c r="BJ395" s="860"/>
      <c r="BK395" s="860"/>
      <c r="BL395" s="860"/>
      <c r="BM395" s="860"/>
      <c r="BN395" s="860"/>
      <c r="BO395" s="860"/>
      <c r="BP395" s="860"/>
      <c r="BQ395" s="860"/>
      <c r="BR395" s="860"/>
      <c r="BS395" s="860"/>
      <c r="BT395" s="860"/>
      <c r="BU395" s="860"/>
      <c r="BV395" s="860"/>
      <c r="BW395" s="860"/>
      <c r="BX395" s="860"/>
      <c r="BY395" s="860"/>
      <c r="BZ395" s="860"/>
      <c r="CA395" s="860"/>
      <c r="CB395" s="860"/>
      <c r="CC395" s="860"/>
      <c r="CD395" s="860"/>
      <c r="CE395" s="860"/>
      <c r="CF395" s="860"/>
      <c r="CG395" s="860"/>
      <c r="CH395" s="860"/>
      <c r="CI395" s="860"/>
      <c r="CJ395" s="860"/>
      <c r="CK395" s="860"/>
      <c r="CL395" s="860"/>
      <c r="CM395" s="860"/>
      <c r="CN395" s="860"/>
      <c r="CO395" s="860"/>
      <c r="CP395" s="860"/>
      <c r="CQ395" s="860"/>
      <c r="CR395" s="860"/>
      <c r="CS395" s="860"/>
      <c r="CT395" s="860"/>
      <c r="CU395" s="860"/>
      <c r="CV395" s="860"/>
      <c r="CW395" s="860"/>
      <c r="CX395" s="860"/>
      <c r="CY395" s="860"/>
      <c r="CZ395" s="860"/>
      <c r="DA395" s="860"/>
      <c r="DB395" s="860"/>
      <c r="DC395" s="860"/>
      <c r="DD395" s="860"/>
      <c r="DE395" s="860"/>
      <c r="DF395" s="860"/>
      <c r="DG395" s="860"/>
      <c r="DH395" s="860"/>
      <c r="DI395" s="860"/>
      <c r="DJ395" s="860"/>
      <c r="DK395" s="860"/>
      <c r="DL395" s="860"/>
      <c r="DM395" s="860"/>
      <c r="DN395" s="860"/>
      <c r="DO395" s="860"/>
      <c r="DP395" s="860"/>
      <c r="DQ395" s="860"/>
      <c r="DR395" s="860"/>
      <c r="DS395" s="860"/>
      <c r="DT395" s="860"/>
      <c r="DU395" s="860"/>
      <c r="DV395" s="860"/>
      <c r="DW395" s="860"/>
      <c r="DX395" s="860"/>
      <c r="DY395" s="860"/>
      <c r="DZ395" s="860"/>
      <c r="EA395" s="860"/>
      <c r="EB395" s="860"/>
      <c r="EC395" s="860"/>
      <c r="ED395" s="860"/>
      <c r="EE395" s="860"/>
      <c r="EF395" s="860"/>
      <c r="EG395" s="860"/>
      <c r="EH395" s="860"/>
      <c r="EI395" s="860"/>
      <c r="EJ395" s="860"/>
      <c r="EK395" s="860"/>
      <c r="EL395" s="860"/>
      <c r="EM395" s="860"/>
      <c r="EN395" s="860"/>
      <c r="EO395" s="860"/>
      <c r="EP395" s="860"/>
      <c r="EQ395" s="860"/>
      <c r="ER395" s="860"/>
      <c r="ES395" s="860"/>
      <c r="ET395" s="860"/>
      <c r="EU395" s="860"/>
      <c r="EV395" s="860"/>
      <c r="EW395" s="860"/>
      <c r="EX395" s="860"/>
      <c r="EY395" s="860"/>
      <c r="EZ395" s="860"/>
      <c r="FA395" s="860"/>
      <c r="FB395" s="860"/>
      <c r="FC395" s="860"/>
      <c r="FD395" s="860"/>
      <c r="FE395" s="860"/>
      <c r="FF395" s="860"/>
      <c r="FG395" s="860"/>
      <c r="FH395" s="860"/>
      <c r="FI395" s="860"/>
      <c r="FJ395" s="860"/>
      <c r="FK395" s="860"/>
      <c r="FL395" s="1162">
        <f>DY29</f>
        <v>-0.28818418383098843</v>
      </c>
      <c r="FM395" s="1162">
        <f>DZ29</f>
        <v>-0.28941706792336852</v>
      </c>
      <c r="FN395" s="1162">
        <f>EA29</f>
        <v>5.8606175497220692E-2</v>
      </c>
      <c r="FO395" s="1162">
        <f>EB29</f>
        <v>0.18182618261826144</v>
      </c>
      <c r="FP395" s="1162">
        <f>ED29</f>
        <v>0.47251998265072181</v>
      </c>
      <c r="FQ395" s="1162">
        <f>EE29</f>
        <v>0.23471741637831589</v>
      </c>
      <c r="FR395" s="1162">
        <f>EF29</f>
        <v>2.8803836464625032E-2</v>
      </c>
      <c r="FS395" s="1162">
        <f>EG29</f>
        <v>1.3460177979670362E-2</v>
      </c>
      <c r="FT395" s="860"/>
      <c r="FU395" s="860"/>
      <c r="FV395" s="860"/>
      <c r="FW395" s="860"/>
      <c r="FX395" s="860"/>
      <c r="FY395" s="860"/>
      <c r="FZ395" s="860"/>
      <c r="GA395" s="860"/>
      <c r="GB395" s="860"/>
      <c r="GC395" s="860"/>
      <c r="GD395" s="860"/>
      <c r="GE395" s="860"/>
      <c r="GF395" s="860"/>
      <c r="GG395" s="860"/>
      <c r="GH395" s="860"/>
      <c r="GI395" s="860"/>
      <c r="GJ395" s="860"/>
      <c r="GK395" s="860"/>
      <c r="GL395" s="860"/>
      <c r="GM395" s="860"/>
      <c r="GN395" s="860"/>
      <c r="GO395" s="860"/>
      <c r="GP395" s="860"/>
      <c r="GQ395" s="860"/>
      <c r="GR395" s="860"/>
      <c r="GS395" s="860"/>
      <c r="GT395" s="860"/>
      <c r="GU395" s="860"/>
      <c r="GV395" s="860"/>
      <c r="GW395" s="860"/>
      <c r="GX395" s="860"/>
      <c r="GY395" s="860"/>
      <c r="GZ395" s="860"/>
      <c r="HA395" s="860"/>
      <c r="HB395" s="860"/>
      <c r="HC395" s="860"/>
      <c r="HE395" s="860"/>
      <c r="HF395" s="860"/>
      <c r="HH395" s="860"/>
      <c r="HI395" s="860"/>
      <c r="HJ395" s="860"/>
      <c r="HL395" s="860"/>
      <c r="HM395" s="860"/>
      <c r="HO395" s="860"/>
      <c r="HP395" s="860"/>
      <c r="HR395" s="860"/>
    </row>
    <row r="396" spans="1:226">
      <c r="A396" s="860"/>
      <c r="B396" s="860"/>
      <c r="C396" s="860"/>
      <c r="D396" s="860"/>
      <c r="E396" s="860"/>
      <c r="F396" s="860"/>
      <c r="G396" s="860"/>
      <c r="H396" s="860"/>
      <c r="I396" s="860"/>
      <c r="J396" s="860"/>
      <c r="K396" s="860"/>
      <c r="L396" s="860"/>
      <c r="M396" s="860"/>
      <c r="N396" s="860"/>
      <c r="O396" s="860"/>
      <c r="P396" s="860"/>
      <c r="Q396" s="860"/>
      <c r="R396" s="860"/>
      <c r="S396" s="860"/>
      <c r="T396" s="860"/>
      <c r="U396" s="860"/>
      <c r="V396" s="860"/>
      <c r="W396" s="860"/>
      <c r="X396" s="860"/>
      <c r="Y396" s="860"/>
      <c r="Z396" s="860"/>
      <c r="AA396" s="860"/>
      <c r="AB396" s="860"/>
      <c r="AC396" s="860"/>
      <c r="AD396" s="860"/>
      <c r="AE396" s="860"/>
      <c r="AF396" s="860"/>
      <c r="AG396" s="860"/>
      <c r="AH396" s="860"/>
      <c r="AI396" s="860"/>
      <c r="AJ396" s="860"/>
      <c r="AK396" s="860"/>
      <c r="AL396" s="860"/>
      <c r="AM396" s="860"/>
      <c r="AN396" s="860"/>
      <c r="AO396" s="860"/>
      <c r="AP396" s="860"/>
      <c r="AQ396" s="860"/>
      <c r="AR396" s="860"/>
      <c r="AS396" s="860"/>
      <c r="AT396" s="860"/>
      <c r="AU396" s="860"/>
      <c r="AV396" s="860"/>
      <c r="AW396" s="860"/>
      <c r="AX396" s="860"/>
      <c r="AY396" s="860"/>
      <c r="AZ396" s="860"/>
      <c r="BA396" s="860"/>
      <c r="BB396" s="860"/>
      <c r="BC396" s="860"/>
      <c r="BD396" s="860"/>
      <c r="BE396" s="860"/>
      <c r="BF396" s="860"/>
      <c r="BG396" s="860"/>
      <c r="BH396" s="860"/>
      <c r="BI396" s="860"/>
      <c r="BJ396" s="860"/>
      <c r="BK396" s="860"/>
      <c r="BL396" s="860"/>
      <c r="BM396" s="860"/>
      <c r="BN396" s="860"/>
      <c r="BO396" s="860"/>
      <c r="BP396" s="860"/>
      <c r="BQ396" s="860"/>
      <c r="BR396" s="860"/>
      <c r="BS396" s="860"/>
      <c r="BT396" s="860"/>
      <c r="BU396" s="860"/>
      <c r="BV396" s="860"/>
      <c r="BW396" s="860"/>
      <c r="BX396" s="860"/>
      <c r="BY396" s="860"/>
      <c r="BZ396" s="860"/>
      <c r="CA396" s="860"/>
      <c r="CB396" s="860"/>
      <c r="CC396" s="860"/>
      <c r="CD396" s="860"/>
      <c r="CE396" s="860"/>
      <c r="CF396" s="860"/>
      <c r="CG396" s="860"/>
      <c r="CH396" s="860"/>
      <c r="CI396" s="860"/>
      <c r="CJ396" s="860"/>
      <c r="CK396" s="860"/>
      <c r="CL396" s="860"/>
      <c r="CM396" s="860"/>
      <c r="CN396" s="860"/>
      <c r="CO396" s="860"/>
      <c r="CP396" s="860"/>
      <c r="CQ396" s="860"/>
      <c r="CR396" s="860"/>
      <c r="CS396" s="860"/>
      <c r="CT396" s="860"/>
      <c r="CU396" s="860"/>
      <c r="CV396" s="860"/>
      <c r="CW396" s="860"/>
      <c r="CX396" s="860"/>
      <c r="CY396" s="860"/>
      <c r="CZ396" s="860"/>
      <c r="DA396" s="860"/>
      <c r="DB396" s="860"/>
      <c r="DC396" s="860"/>
      <c r="DD396" s="860"/>
      <c r="DE396" s="860"/>
      <c r="DF396" s="860"/>
      <c r="DG396" s="860"/>
      <c r="DH396" s="860"/>
      <c r="DI396" s="860"/>
      <c r="DJ396" s="860"/>
      <c r="DK396" s="860"/>
      <c r="DL396" s="860"/>
      <c r="DM396" s="860"/>
      <c r="DN396" s="860"/>
      <c r="DO396" s="860"/>
      <c r="DP396" s="860"/>
      <c r="DQ396" s="860"/>
      <c r="DR396" s="860"/>
      <c r="DS396" s="860"/>
      <c r="DT396" s="860"/>
      <c r="DU396" s="860"/>
      <c r="DV396" s="860"/>
      <c r="DW396" s="860"/>
      <c r="DX396" s="860"/>
      <c r="DY396" s="860"/>
      <c r="DZ396" s="860"/>
      <c r="EA396" s="860"/>
      <c r="EB396" s="860"/>
      <c r="EC396" s="860"/>
      <c r="ED396" s="860"/>
      <c r="EE396" s="860"/>
      <c r="EF396" s="860"/>
      <c r="EG396" s="860"/>
      <c r="EH396" s="860"/>
      <c r="EI396" s="860"/>
      <c r="EJ396" s="860"/>
      <c r="EK396" s="860"/>
      <c r="EL396" s="860"/>
      <c r="EM396" s="860"/>
      <c r="EN396" s="860"/>
      <c r="EO396" s="860"/>
      <c r="EP396" s="860"/>
      <c r="EQ396" s="860"/>
      <c r="ER396" s="860"/>
      <c r="ES396" s="860"/>
      <c r="ET396" s="860"/>
      <c r="EU396" s="860"/>
      <c r="EV396" s="860"/>
      <c r="EW396" s="860"/>
      <c r="EX396" s="860"/>
      <c r="EY396" s="860"/>
      <c r="EZ396" s="860"/>
      <c r="FA396" s="860"/>
      <c r="FB396" s="860"/>
      <c r="FC396" s="860"/>
      <c r="FD396" s="860"/>
      <c r="FE396" s="860"/>
      <c r="FF396" s="860"/>
      <c r="FG396" s="860"/>
      <c r="FH396" s="860"/>
      <c r="FI396" s="860"/>
      <c r="FJ396" s="860"/>
      <c r="FK396" s="860"/>
      <c r="FL396" s="860"/>
      <c r="FM396" s="860"/>
      <c r="FN396" s="860"/>
      <c r="FO396" s="860"/>
      <c r="FP396" s="860"/>
      <c r="FQ396" s="860"/>
      <c r="FR396" s="860"/>
      <c r="FS396" s="860"/>
      <c r="FT396" s="860"/>
      <c r="FU396" s="860"/>
      <c r="FV396" s="860"/>
      <c r="FW396" s="860"/>
      <c r="FX396" s="860"/>
      <c r="FY396" s="860"/>
      <c r="FZ396" s="860"/>
      <c r="GA396" s="860"/>
      <c r="GB396" s="860"/>
      <c r="GC396" s="860"/>
      <c r="GD396" s="860"/>
      <c r="GE396" s="860"/>
      <c r="GF396" s="860"/>
      <c r="GG396" s="860"/>
      <c r="GH396" s="860"/>
      <c r="GI396" s="860"/>
      <c r="GJ396" s="860"/>
      <c r="GK396" s="860"/>
      <c r="GL396" s="860"/>
      <c r="GM396" s="860"/>
      <c r="GN396" s="860"/>
      <c r="GO396" s="860"/>
      <c r="GP396" s="860"/>
      <c r="GQ396" s="860"/>
      <c r="GR396" s="860"/>
      <c r="GS396" s="860"/>
      <c r="GT396" s="860"/>
      <c r="GU396" s="860"/>
      <c r="GV396" s="860"/>
      <c r="GW396" s="860"/>
      <c r="GX396" s="860"/>
      <c r="GY396" s="860"/>
      <c r="GZ396" s="860"/>
      <c r="HA396" s="860"/>
      <c r="HB396" s="860"/>
      <c r="HC396" s="860"/>
      <c r="HE396" s="860"/>
      <c r="HF396" s="860"/>
      <c r="HH396" s="860"/>
      <c r="HI396" s="860"/>
      <c r="HJ396" s="860"/>
      <c r="HL396" s="860"/>
      <c r="HM396" s="860"/>
      <c r="HO396" s="860"/>
      <c r="HP396" s="860"/>
      <c r="HR396" s="860"/>
    </row>
    <row r="397" spans="1:226">
      <c r="A397" s="860"/>
      <c r="B397" s="860"/>
      <c r="C397" s="860"/>
      <c r="D397" s="860"/>
      <c r="E397" s="860"/>
      <c r="F397" s="860"/>
      <c r="G397" s="860"/>
      <c r="H397" s="860"/>
      <c r="I397" s="860"/>
      <c r="J397" s="860"/>
      <c r="K397" s="860"/>
      <c r="L397" s="860"/>
      <c r="M397" s="860"/>
      <c r="N397" s="860"/>
      <c r="O397" s="860"/>
      <c r="P397" s="860"/>
      <c r="Q397" s="860"/>
      <c r="R397" s="860"/>
      <c r="S397" s="860"/>
      <c r="T397" s="860"/>
      <c r="U397" s="860"/>
      <c r="V397" s="860"/>
      <c r="W397" s="860"/>
      <c r="X397" s="860"/>
      <c r="Y397" s="860"/>
      <c r="Z397" s="860"/>
      <c r="AA397" s="860"/>
      <c r="AB397" s="860"/>
      <c r="AC397" s="860"/>
      <c r="AD397" s="860"/>
      <c r="AE397" s="860"/>
      <c r="AF397" s="860"/>
      <c r="AG397" s="860"/>
      <c r="AH397" s="860"/>
      <c r="AI397" s="860"/>
      <c r="AJ397" s="860"/>
      <c r="AK397" s="860"/>
      <c r="AL397" s="860"/>
      <c r="AM397" s="860"/>
      <c r="AN397" s="860"/>
      <c r="AO397" s="860"/>
      <c r="AP397" s="860"/>
      <c r="AQ397" s="860"/>
      <c r="AR397" s="860"/>
      <c r="AS397" s="860"/>
      <c r="AT397" s="860"/>
      <c r="AU397" s="860"/>
      <c r="AV397" s="860"/>
      <c r="AW397" s="860"/>
      <c r="AX397" s="860"/>
      <c r="AY397" s="860"/>
      <c r="AZ397" s="860"/>
      <c r="BA397" s="860"/>
      <c r="BB397" s="860"/>
      <c r="BC397" s="860"/>
      <c r="BD397" s="860"/>
      <c r="BE397" s="860"/>
      <c r="BF397" s="860"/>
      <c r="BG397" s="860"/>
      <c r="BH397" s="860"/>
      <c r="BI397" s="860"/>
      <c r="BJ397" s="860"/>
      <c r="BK397" s="860"/>
      <c r="BL397" s="860"/>
      <c r="BM397" s="860"/>
      <c r="BN397" s="860"/>
      <c r="BO397" s="860"/>
      <c r="BP397" s="860"/>
      <c r="BQ397" s="860"/>
      <c r="BR397" s="860"/>
      <c r="BS397" s="860"/>
      <c r="BT397" s="860"/>
      <c r="BU397" s="860"/>
      <c r="BV397" s="860"/>
      <c r="BW397" s="860"/>
      <c r="BX397" s="860"/>
      <c r="BY397" s="860"/>
      <c r="BZ397" s="860"/>
      <c r="CA397" s="860"/>
      <c r="CB397" s="860"/>
      <c r="CC397" s="860"/>
      <c r="CD397" s="860"/>
      <c r="CE397" s="860"/>
      <c r="CF397" s="860"/>
      <c r="CG397" s="860"/>
      <c r="CH397" s="860"/>
      <c r="CI397" s="860"/>
      <c r="CJ397" s="860"/>
      <c r="CK397" s="860"/>
      <c r="CL397" s="860"/>
      <c r="CM397" s="860"/>
      <c r="CN397" s="860"/>
      <c r="CO397" s="860"/>
      <c r="CP397" s="860"/>
      <c r="CQ397" s="860"/>
      <c r="CR397" s="860"/>
      <c r="CS397" s="860"/>
      <c r="CT397" s="860"/>
      <c r="CU397" s="860"/>
      <c r="CV397" s="860"/>
      <c r="CW397" s="860"/>
      <c r="CX397" s="860"/>
      <c r="CY397" s="860"/>
      <c r="CZ397" s="860"/>
      <c r="DA397" s="860"/>
      <c r="DB397" s="860"/>
      <c r="DC397" s="860"/>
      <c r="DD397" s="860"/>
      <c r="DE397" s="860"/>
      <c r="DF397" s="860"/>
      <c r="DG397" s="860"/>
      <c r="DH397" s="860"/>
      <c r="DI397" s="860"/>
      <c r="DJ397" s="860"/>
      <c r="DK397" s="860"/>
      <c r="DL397" s="860"/>
      <c r="DM397" s="860"/>
      <c r="DN397" s="860"/>
      <c r="DO397" s="860"/>
      <c r="DP397" s="860"/>
      <c r="DQ397" s="860"/>
      <c r="DR397" s="860"/>
      <c r="DS397" s="860"/>
      <c r="DT397" s="860"/>
      <c r="DU397" s="860"/>
      <c r="DV397" s="860"/>
      <c r="DW397" s="860"/>
      <c r="DX397" s="860"/>
      <c r="DY397" s="860"/>
      <c r="DZ397" s="860"/>
      <c r="EA397" s="860"/>
      <c r="EB397" s="860"/>
      <c r="EC397" s="860"/>
      <c r="ED397" s="860"/>
      <c r="EE397" s="860"/>
      <c r="EF397" s="860"/>
      <c r="EG397" s="860"/>
      <c r="EH397" s="860"/>
      <c r="EI397" s="860"/>
      <c r="EJ397" s="860"/>
      <c r="EK397" s="860"/>
      <c r="EL397" s="860"/>
      <c r="EM397" s="860"/>
      <c r="EN397" s="860"/>
      <c r="EO397" s="860"/>
      <c r="EP397" s="860"/>
      <c r="EQ397" s="860"/>
      <c r="ER397" s="860"/>
      <c r="ES397" s="860"/>
      <c r="ET397" s="860"/>
      <c r="EU397" s="860"/>
      <c r="EV397" s="860"/>
      <c r="EW397" s="860"/>
      <c r="EX397" s="860"/>
      <c r="EY397" s="860"/>
      <c r="EZ397" s="860"/>
      <c r="FA397" s="860"/>
      <c r="FB397" s="860"/>
      <c r="FC397" s="860"/>
      <c r="FD397" s="860"/>
      <c r="FE397" s="860"/>
      <c r="FF397" s="860"/>
      <c r="FG397" s="860"/>
      <c r="FH397" s="860"/>
      <c r="FI397" s="860"/>
      <c r="FJ397" s="860"/>
      <c r="FK397" s="860"/>
      <c r="FL397" s="860"/>
      <c r="FM397" s="860"/>
      <c r="FN397" s="860"/>
      <c r="FO397" s="860"/>
      <c r="FP397" s="860"/>
      <c r="FQ397" s="860"/>
      <c r="FR397" s="860"/>
      <c r="FS397" s="860"/>
      <c r="FT397" s="860"/>
      <c r="FU397" s="860"/>
      <c r="FV397" s="860"/>
      <c r="FW397" s="860"/>
      <c r="FX397" s="860"/>
      <c r="FY397" s="860"/>
      <c r="FZ397" s="860"/>
      <c r="GA397" s="860"/>
      <c r="GB397" s="860"/>
      <c r="GC397" s="860"/>
      <c r="GD397" s="860"/>
      <c r="GE397" s="860"/>
      <c r="GF397" s="860"/>
      <c r="GG397" s="860"/>
      <c r="GH397" s="860"/>
      <c r="GI397" s="860"/>
      <c r="GJ397" s="860"/>
      <c r="GK397" s="860"/>
      <c r="GL397" s="860"/>
      <c r="GM397" s="860"/>
      <c r="GN397" s="860"/>
      <c r="GO397" s="860"/>
      <c r="GP397" s="860"/>
      <c r="GQ397" s="860"/>
      <c r="GR397" s="860"/>
      <c r="GS397" s="860"/>
      <c r="GT397" s="860"/>
      <c r="GU397" s="860"/>
      <c r="GV397" s="860"/>
      <c r="GW397" s="860"/>
      <c r="GX397" s="860"/>
      <c r="GY397" s="860"/>
      <c r="GZ397" s="860"/>
      <c r="HA397" s="860"/>
      <c r="HB397" s="860"/>
      <c r="HC397" s="860"/>
      <c r="HE397" s="860"/>
      <c r="HF397" s="860"/>
      <c r="HH397" s="860"/>
      <c r="HI397" s="860"/>
      <c r="HJ397" s="860"/>
      <c r="HL397" s="860"/>
      <c r="HM397" s="860"/>
      <c r="HO397" s="860"/>
      <c r="HP397" s="860"/>
      <c r="HR397" s="860"/>
    </row>
    <row r="398" spans="1:226">
      <c r="A398" s="860"/>
      <c r="B398" s="860"/>
      <c r="C398" s="860"/>
      <c r="D398" s="860"/>
      <c r="E398" s="860"/>
      <c r="F398" s="860"/>
      <c r="G398" s="860"/>
      <c r="H398" s="860"/>
      <c r="I398" s="860"/>
      <c r="J398" s="860"/>
      <c r="K398" s="860"/>
      <c r="L398" s="860"/>
      <c r="M398" s="860"/>
      <c r="N398" s="860"/>
      <c r="O398" s="860"/>
      <c r="P398" s="860"/>
      <c r="Q398" s="860"/>
      <c r="R398" s="860"/>
      <c r="S398" s="860"/>
      <c r="T398" s="860"/>
      <c r="U398" s="860"/>
      <c r="V398" s="860"/>
      <c r="W398" s="860"/>
      <c r="X398" s="860"/>
      <c r="Y398" s="860"/>
      <c r="Z398" s="860"/>
      <c r="AA398" s="860"/>
      <c r="AB398" s="860"/>
      <c r="AC398" s="860"/>
      <c r="AD398" s="860"/>
      <c r="AE398" s="860"/>
      <c r="AF398" s="860"/>
      <c r="AG398" s="860"/>
      <c r="AH398" s="860"/>
      <c r="AI398" s="860"/>
      <c r="AJ398" s="860"/>
      <c r="AK398" s="860"/>
      <c r="AL398" s="860"/>
      <c r="AM398" s="860"/>
      <c r="AN398" s="860"/>
      <c r="AO398" s="860"/>
      <c r="AP398" s="860"/>
      <c r="AQ398" s="860"/>
      <c r="AR398" s="860"/>
      <c r="AS398" s="860"/>
      <c r="AT398" s="860"/>
      <c r="AU398" s="860"/>
      <c r="AV398" s="860"/>
      <c r="AW398" s="860"/>
      <c r="AX398" s="860"/>
      <c r="AY398" s="860"/>
      <c r="AZ398" s="860"/>
      <c r="BA398" s="860"/>
      <c r="BB398" s="860"/>
      <c r="BC398" s="860"/>
      <c r="BD398" s="860"/>
      <c r="BE398" s="860"/>
      <c r="BF398" s="860"/>
      <c r="BG398" s="860"/>
      <c r="BH398" s="860"/>
      <c r="BI398" s="860"/>
      <c r="BJ398" s="860"/>
      <c r="BK398" s="860"/>
      <c r="BL398" s="860"/>
      <c r="BM398" s="860"/>
      <c r="BN398" s="860"/>
      <c r="BO398" s="860"/>
      <c r="BP398" s="860"/>
      <c r="BQ398" s="860"/>
      <c r="BR398" s="860"/>
      <c r="BS398" s="860"/>
      <c r="BT398" s="860"/>
      <c r="BU398" s="860"/>
      <c r="BV398" s="860"/>
      <c r="BW398" s="860"/>
      <c r="BX398" s="860"/>
      <c r="BY398" s="860"/>
      <c r="BZ398" s="860"/>
      <c r="CA398" s="860"/>
      <c r="CB398" s="860"/>
      <c r="CC398" s="860"/>
      <c r="CD398" s="860"/>
      <c r="CE398" s="860"/>
      <c r="CF398" s="860"/>
      <c r="CG398" s="860"/>
      <c r="CH398" s="860"/>
      <c r="CI398" s="860"/>
      <c r="CJ398" s="860"/>
      <c r="CK398" s="860"/>
      <c r="CL398" s="860"/>
      <c r="CM398" s="860"/>
      <c r="CN398" s="860"/>
      <c r="CO398" s="860"/>
      <c r="CP398" s="860"/>
      <c r="CQ398" s="860"/>
      <c r="CR398" s="860"/>
      <c r="CS398" s="860"/>
      <c r="CT398" s="860"/>
      <c r="CU398" s="860"/>
      <c r="CV398" s="860"/>
      <c r="CW398" s="860"/>
      <c r="CX398" s="860"/>
      <c r="CY398" s="860"/>
      <c r="CZ398" s="860"/>
      <c r="DA398" s="860"/>
      <c r="DB398" s="860"/>
      <c r="DC398" s="860"/>
      <c r="DD398" s="860"/>
      <c r="DE398" s="860"/>
      <c r="DF398" s="860"/>
      <c r="DG398" s="860"/>
      <c r="DH398" s="860"/>
      <c r="DI398" s="860"/>
      <c r="DJ398" s="860"/>
      <c r="DK398" s="860"/>
      <c r="DL398" s="860"/>
      <c r="DM398" s="860"/>
      <c r="DN398" s="860"/>
      <c r="DO398" s="860"/>
      <c r="DP398" s="860"/>
      <c r="DQ398" s="860"/>
      <c r="DR398" s="860"/>
      <c r="DS398" s="860"/>
      <c r="DT398" s="860"/>
      <c r="DU398" s="860"/>
      <c r="DV398" s="860"/>
      <c r="DW398" s="860"/>
      <c r="DX398" s="860"/>
      <c r="DY398" s="860"/>
      <c r="DZ398" s="860"/>
      <c r="EA398" s="860"/>
      <c r="EB398" s="860"/>
      <c r="EC398" s="860"/>
      <c r="ED398" s="860"/>
      <c r="EE398" s="860"/>
      <c r="EF398" s="860"/>
      <c r="EG398" s="860"/>
      <c r="EH398" s="860"/>
      <c r="EI398" s="860"/>
      <c r="EJ398" s="860"/>
      <c r="EK398" s="860"/>
      <c r="EL398" s="860"/>
      <c r="EM398" s="860"/>
      <c r="EN398" s="860"/>
      <c r="EO398" s="860"/>
      <c r="EP398" s="860"/>
      <c r="EQ398" s="860"/>
      <c r="ER398" s="860"/>
      <c r="ES398" s="860"/>
      <c r="ET398" s="860"/>
      <c r="EU398" s="860"/>
      <c r="EV398" s="860"/>
      <c r="EW398" s="860"/>
      <c r="EX398" s="860"/>
      <c r="EY398" s="860"/>
      <c r="EZ398" s="860"/>
      <c r="FA398" s="860"/>
      <c r="FB398" s="860"/>
      <c r="FC398" s="860"/>
      <c r="FD398" s="860"/>
      <c r="FE398" s="860"/>
      <c r="FF398" s="860"/>
      <c r="FG398" s="860"/>
      <c r="FH398" s="860"/>
      <c r="FI398" s="860"/>
      <c r="FJ398" s="860"/>
      <c r="FK398" s="860"/>
      <c r="FL398" s="860"/>
      <c r="FM398" s="860"/>
      <c r="FN398" s="860"/>
      <c r="FO398" s="860"/>
      <c r="FP398" s="860"/>
      <c r="FQ398" s="860"/>
      <c r="FR398" s="860"/>
      <c r="FS398" s="860"/>
      <c r="FT398" s="860"/>
      <c r="FU398" s="860"/>
      <c r="FV398" s="860"/>
      <c r="FW398" s="860"/>
      <c r="FX398" s="860"/>
      <c r="FY398" s="860"/>
      <c r="FZ398" s="860"/>
      <c r="GA398" s="860"/>
      <c r="GB398" s="860"/>
      <c r="GC398" s="860"/>
      <c r="GD398" s="860"/>
      <c r="GE398" s="860"/>
      <c r="GF398" s="860"/>
      <c r="GG398" s="860"/>
      <c r="GH398" s="860"/>
      <c r="GI398" s="860"/>
      <c r="GJ398" s="860"/>
      <c r="GK398" s="860"/>
      <c r="GL398" s="860"/>
      <c r="GM398" s="860"/>
      <c r="GN398" s="860"/>
      <c r="GO398" s="860"/>
      <c r="GP398" s="860"/>
      <c r="GQ398" s="860"/>
      <c r="GR398" s="860"/>
      <c r="GS398" s="860"/>
      <c r="GT398" s="860"/>
      <c r="GU398" s="860"/>
      <c r="GV398" s="860"/>
      <c r="GW398" s="860"/>
      <c r="GX398" s="860"/>
      <c r="GY398" s="860"/>
      <c r="GZ398" s="860"/>
      <c r="HA398" s="860"/>
      <c r="HB398" s="860"/>
      <c r="HC398" s="860"/>
      <c r="HE398" s="860"/>
      <c r="HF398" s="860"/>
      <c r="HH398" s="860"/>
      <c r="HI398" s="860"/>
      <c r="HJ398" s="860"/>
      <c r="HL398" s="860"/>
      <c r="HM398" s="860"/>
      <c r="HO398" s="860"/>
      <c r="HP398" s="860"/>
      <c r="HR398" s="860"/>
    </row>
    <row r="399" spans="1:226">
      <c r="A399" s="860"/>
      <c r="B399" s="860"/>
      <c r="C399" s="860"/>
      <c r="D399" s="860"/>
      <c r="E399" s="860"/>
      <c r="F399" s="860"/>
      <c r="G399" s="860"/>
      <c r="H399" s="860"/>
      <c r="I399" s="860"/>
      <c r="J399" s="860"/>
      <c r="K399" s="860"/>
      <c r="L399" s="860"/>
      <c r="M399" s="860"/>
      <c r="N399" s="860"/>
      <c r="O399" s="860"/>
      <c r="P399" s="860"/>
      <c r="Q399" s="860"/>
      <c r="R399" s="860"/>
      <c r="S399" s="860"/>
      <c r="T399" s="860"/>
      <c r="U399" s="860"/>
      <c r="V399" s="860"/>
      <c r="W399" s="860"/>
      <c r="X399" s="860"/>
      <c r="Y399" s="860"/>
      <c r="Z399" s="860"/>
      <c r="AA399" s="860"/>
      <c r="AB399" s="860"/>
      <c r="AC399" s="860"/>
      <c r="AD399" s="860"/>
      <c r="AE399" s="860"/>
      <c r="AF399" s="860"/>
      <c r="AG399" s="860"/>
      <c r="AH399" s="860"/>
      <c r="AI399" s="860"/>
      <c r="AJ399" s="860"/>
      <c r="AK399" s="860"/>
      <c r="AL399" s="860"/>
      <c r="AM399" s="860"/>
      <c r="AN399" s="860"/>
      <c r="AO399" s="860"/>
      <c r="AP399" s="860"/>
      <c r="AQ399" s="860"/>
      <c r="AR399" s="860"/>
      <c r="AS399" s="860"/>
      <c r="AT399" s="860"/>
      <c r="AU399" s="860"/>
      <c r="AV399" s="860"/>
      <c r="AW399" s="860"/>
      <c r="AX399" s="860"/>
      <c r="AY399" s="860"/>
      <c r="AZ399" s="860"/>
      <c r="BA399" s="860"/>
      <c r="BB399" s="860"/>
      <c r="BC399" s="860"/>
      <c r="BD399" s="860"/>
      <c r="BE399" s="860"/>
      <c r="BF399" s="860"/>
      <c r="BG399" s="860"/>
      <c r="BH399" s="860"/>
      <c r="BI399" s="860"/>
      <c r="BJ399" s="860"/>
      <c r="BK399" s="860"/>
      <c r="BL399" s="860"/>
      <c r="BM399" s="860"/>
      <c r="BN399" s="860"/>
      <c r="BO399" s="860"/>
      <c r="BP399" s="860"/>
      <c r="BQ399" s="860"/>
      <c r="BR399" s="860"/>
      <c r="BS399" s="860"/>
      <c r="BT399" s="860"/>
      <c r="BU399" s="860"/>
      <c r="BV399" s="860"/>
      <c r="BW399" s="860"/>
      <c r="BX399" s="860"/>
      <c r="BY399" s="860"/>
      <c r="BZ399" s="860"/>
      <c r="CA399" s="860"/>
      <c r="CB399" s="860"/>
      <c r="CC399" s="860"/>
      <c r="CD399" s="860"/>
      <c r="CE399" s="860"/>
      <c r="CF399" s="860"/>
      <c r="CG399" s="860"/>
      <c r="CH399" s="860"/>
      <c r="CI399" s="860"/>
      <c r="CJ399" s="860"/>
      <c r="CK399" s="860"/>
      <c r="CL399" s="860"/>
      <c r="CM399" s="860"/>
      <c r="CN399" s="860"/>
      <c r="CO399" s="860"/>
      <c r="CP399" s="860"/>
      <c r="CQ399" s="860"/>
      <c r="CR399" s="860"/>
      <c r="CS399" s="860"/>
      <c r="CT399" s="860"/>
      <c r="CU399" s="860"/>
      <c r="CV399" s="860"/>
      <c r="CW399" s="860"/>
      <c r="CX399" s="860"/>
      <c r="CY399" s="860"/>
      <c r="CZ399" s="860"/>
      <c r="DA399" s="860"/>
      <c r="DB399" s="860"/>
      <c r="DC399" s="860"/>
      <c r="DD399" s="860"/>
      <c r="DE399" s="860"/>
      <c r="DF399" s="860"/>
      <c r="DG399" s="860"/>
      <c r="DH399" s="860"/>
      <c r="DI399" s="860"/>
      <c r="DJ399" s="860"/>
      <c r="DK399" s="860"/>
      <c r="DL399" s="860"/>
      <c r="DM399" s="860"/>
      <c r="DN399" s="860"/>
      <c r="DO399" s="860"/>
      <c r="DP399" s="860"/>
      <c r="DQ399" s="860"/>
      <c r="DR399" s="860"/>
      <c r="DS399" s="860"/>
      <c r="DT399" s="860"/>
      <c r="DU399" s="860"/>
      <c r="DV399" s="860"/>
      <c r="DW399" s="860"/>
      <c r="DX399" s="860"/>
      <c r="DY399" s="860"/>
      <c r="DZ399" s="860"/>
      <c r="EA399" s="860"/>
      <c r="EB399" s="860"/>
      <c r="EC399" s="860"/>
      <c r="ED399" s="860"/>
      <c r="EE399" s="860"/>
      <c r="EF399" s="860"/>
      <c r="EG399" s="860"/>
      <c r="EH399" s="860"/>
      <c r="EI399" s="860"/>
      <c r="EJ399" s="860"/>
      <c r="EK399" s="860"/>
      <c r="EL399" s="860"/>
      <c r="EM399" s="860"/>
      <c r="EN399" s="860"/>
      <c r="EO399" s="860"/>
      <c r="EP399" s="860"/>
      <c r="EQ399" s="860"/>
      <c r="ER399" s="860"/>
      <c r="ES399" s="860"/>
      <c r="ET399" s="860"/>
      <c r="EU399" s="860"/>
      <c r="EV399" s="860"/>
      <c r="EW399" s="860"/>
      <c r="EX399" s="860"/>
      <c r="EY399" s="860"/>
      <c r="EZ399" s="860"/>
      <c r="FA399" s="860"/>
      <c r="FB399" s="860"/>
      <c r="FC399" s="860"/>
      <c r="FD399" s="860"/>
      <c r="FE399" s="860"/>
      <c r="FF399" s="860"/>
      <c r="FG399" s="860"/>
      <c r="FH399" s="860"/>
      <c r="FI399" s="860"/>
      <c r="FJ399" s="860"/>
      <c r="FK399" s="860"/>
      <c r="FL399" s="860"/>
      <c r="FM399" s="860"/>
      <c r="FN399" s="860"/>
      <c r="FO399" s="860"/>
      <c r="FP399" s="860"/>
      <c r="FQ399" s="860"/>
      <c r="FR399" s="860"/>
      <c r="FS399" s="860"/>
      <c r="FT399" s="860"/>
      <c r="FU399" s="860"/>
      <c r="FV399" s="860"/>
      <c r="FW399" s="860"/>
      <c r="FX399" s="860"/>
      <c r="FY399" s="860"/>
      <c r="FZ399" s="860"/>
      <c r="GA399" s="860"/>
      <c r="GB399" s="860"/>
      <c r="GC399" s="860"/>
      <c r="GD399" s="860"/>
      <c r="GE399" s="860"/>
      <c r="GF399" s="860"/>
      <c r="GG399" s="860"/>
      <c r="GH399" s="860"/>
      <c r="GI399" s="860"/>
      <c r="GJ399" s="860"/>
      <c r="GK399" s="860"/>
      <c r="GL399" s="860"/>
      <c r="GM399" s="860"/>
      <c r="GN399" s="860"/>
      <c r="GO399" s="860"/>
      <c r="GP399" s="860"/>
      <c r="GQ399" s="860"/>
      <c r="GR399" s="860"/>
      <c r="GS399" s="860"/>
      <c r="GT399" s="860"/>
      <c r="GU399" s="860"/>
      <c r="GV399" s="860"/>
      <c r="GW399" s="860"/>
      <c r="GX399" s="860"/>
      <c r="GY399" s="860"/>
      <c r="GZ399" s="860"/>
      <c r="HA399" s="860"/>
      <c r="HB399" s="860"/>
      <c r="HC399" s="860"/>
      <c r="HE399" s="860"/>
      <c r="HF399" s="860"/>
      <c r="HH399" s="860"/>
      <c r="HI399" s="860"/>
      <c r="HJ399" s="860"/>
      <c r="HL399" s="860"/>
      <c r="HM399" s="860"/>
      <c r="HO399" s="860"/>
      <c r="HP399" s="860"/>
      <c r="HR399" s="860"/>
    </row>
    <row r="400" spans="1:226">
      <c r="A400" s="860"/>
      <c r="B400" s="860"/>
      <c r="C400" s="860"/>
      <c r="D400" s="860"/>
      <c r="E400" s="860"/>
      <c r="F400" s="860"/>
      <c r="G400" s="860"/>
      <c r="H400" s="860"/>
      <c r="I400" s="860"/>
      <c r="J400" s="860"/>
      <c r="K400" s="860"/>
      <c r="L400" s="860"/>
      <c r="M400" s="860"/>
      <c r="N400" s="860"/>
      <c r="O400" s="860"/>
      <c r="P400" s="860"/>
      <c r="Q400" s="860"/>
      <c r="R400" s="860"/>
      <c r="S400" s="860"/>
      <c r="T400" s="860"/>
      <c r="U400" s="860"/>
      <c r="V400" s="860"/>
      <c r="W400" s="860"/>
      <c r="X400" s="860"/>
      <c r="Y400" s="860"/>
      <c r="Z400" s="860"/>
      <c r="AA400" s="860"/>
      <c r="AB400" s="860"/>
      <c r="AC400" s="860"/>
      <c r="AD400" s="860"/>
      <c r="AE400" s="860"/>
      <c r="AF400" s="860"/>
      <c r="AG400" s="860"/>
      <c r="AH400" s="860"/>
      <c r="AI400" s="860"/>
      <c r="AJ400" s="860"/>
      <c r="AK400" s="860"/>
      <c r="AL400" s="860"/>
      <c r="AM400" s="860"/>
      <c r="AN400" s="860"/>
      <c r="AO400" s="860"/>
      <c r="AP400" s="860"/>
      <c r="AQ400" s="860"/>
      <c r="AR400" s="860"/>
      <c r="AS400" s="860"/>
      <c r="AT400" s="860"/>
      <c r="AU400" s="860"/>
      <c r="AV400" s="860"/>
      <c r="AW400" s="860"/>
      <c r="AX400" s="860"/>
      <c r="AY400" s="860"/>
      <c r="AZ400" s="860"/>
      <c r="BA400" s="860"/>
      <c r="BB400" s="860"/>
      <c r="BC400" s="860"/>
      <c r="BD400" s="860"/>
      <c r="BE400" s="860"/>
      <c r="BF400" s="860"/>
      <c r="BG400" s="860"/>
      <c r="BH400" s="860"/>
      <c r="BI400" s="860"/>
      <c r="BJ400" s="860"/>
      <c r="BK400" s="860"/>
      <c r="BL400" s="860"/>
      <c r="BM400" s="860"/>
      <c r="BN400" s="860"/>
      <c r="BO400" s="860"/>
      <c r="BP400" s="860"/>
      <c r="BQ400" s="860"/>
      <c r="BR400" s="860"/>
      <c r="BS400" s="860"/>
      <c r="BT400" s="860"/>
      <c r="BU400" s="860"/>
      <c r="BV400" s="860"/>
      <c r="BW400" s="860"/>
      <c r="BX400" s="860"/>
      <c r="BY400" s="860"/>
      <c r="BZ400" s="860"/>
      <c r="CA400" s="860"/>
      <c r="CB400" s="860"/>
      <c r="CC400" s="860"/>
      <c r="CD400" s="860"/>
      <c r="CE400" s="860"/>
      <c r="CF400" s="860"/>
      <c r="CG400" s="860"/>
      <c r="CH400" s="860"/>
      <c r="CI400" s="860"/>
      <c r="CJ400" s="860"/>
      <c r="CK400" s="860"/>
      <c r="CL400" s="860"/>
      <c r="CM400" s="860"/>
      <c r="CN400" s="860"/>
      <c r="CO400" s="860"/>
      <c r="CP400" s="860"/>
      <c r="CQ400" s="860"/>
      <c r="CR400" s="860"/>
      <c r="CS400" s="860"/>
      <c r="CT400" s="860"/>
      <c r="CU400" s="860"/>
      <c r="CV400" s="860"/>
      <c r="CW400" s="860"/>
      <c r="CX400" s="860"/>
      <c r="CY400" s="860"/>
      <c r="CZ400" s="860"/>
      <c r="DA400" s="860"/>
      <c r="DB400" s="860"/>
      <c r="DC400" s="860"/>
      <c r="DD400" s="860"/>
      <c r="DE400" s="860"/>
      <c r="DF400" s="860"/>
      <c r="DG400" s="860"/>
      <c r="DH400" s="860"/>
      <c r="DI400" s="860"/>
      <c r="DJ400" s="860"/>
      <c r="DK400" s="860"/>
      <c r="DL400" s="860"/>
      <c r="DM400" s="860"/>
      <c r="DN400" s="860"/>
      <c r="DO400" s="860"/>
      <c r="DP400" s="860"/>
      <c r="DQ400" s="860"/>
      <c r="DR400" s="860"/>
      <c r="DS400" s="860"/>
      <c r="DT400" s="860"/>
      <c r="DU400" s="860"/>
      <c r="DV400" s="860"/>
      <c r="DW400" s="860"/>
      <c r="DX400" s="860"/>
      <c r="DY400" s="860"/>
      <c r="DZ400" s="860"/>
      <c r="EA400" s="860"/>
      <c r="EB400" s="860"/>
      <c r="EC400" s="860"/>
      <c r="ED400" s="860"/>
      <c r="EE400" s="860"/>
      <c r="EF400" s="860"/>
      <c r="EG400" s="860"/>
      <c r="EH400" s="860"/>
      <c r="EI400" s="860"/>
      <c r="EJ400" s="860"/>
      <c r="EK400" s="860"/>
      <c r="EL400" s="860"/>
      <c r="EM400" s="860"/>
      <c r="EN400" s="860"/>
      <c r="EO400" s="860"/>
      <c r="EP400" s="860"/>
      <c r="EQ400" s="860"/>
      <c r="ER400" s="860"/>
      <c r="ES400" s="860"/>
      <c r="ET400" s="860"/>
      <c r="EU400" s="860"/>
      <c r="EV400" s="860"/>
      <c r="EW400" s="860"/>
      <c r="EX400" s="860"/>
      <c r="EY400" s="860"/>
      <c r="EZ400" s="860"/>
      <c r="FA400" s="860"/>
      <c r="FB400" s="860"/>
      <c r="FC400" s="860"/>
      <c r="FD400" s="860"/>
      <c r="FE400" s="860"/>
      <c r="FF400" s="860"/>
      <c r="FG400" s="860"/>
      <c r="FH400" s="860"/>
      <c r="FI400" s="860"/>
      <c r="FJ400" s="860"/>
      <c r="FK400" s="860"/>
      <c r="FL400" s="860"/>
      <c r="FM400" s="860"/>
      <c r="FN400" s="860"/>
      <c r="FO400" s="860"/>
      <c r="FP400" s="860"/>
      <c r="FQ400" s="860"/>
      <c r="FR400" s="860"/>
      <c r="FS400" s="860"/>
      <c r="FT400" s="860"/>
      <c r="FU400" s="860"/>
      <c r="FV400" s="860"/>
      <c r="FW400" s="860"/>
      <c r="FX400" s="860"/>
      <c r="FY400" s="860"/>
      <c r="FZ400" s="860"/>
      <c r="GA400" s="860"/>
      <c r="GB400" s="860"/>
      <c r="GC400" s="860"/>
      <c r="GD400" s="860"/>
      <c r="GE400" s="860"/>
      <c r="GF400" s="860"/>
      <c r="GG400" s="860"/>
      <c r="GH400" s="860"/>
      <c r="GI400" s="860"/>
      <c r="GJ400" s="860"/>
      <c r="GK400" s="860"/>
      <c r="GL400" s="860"/>
      <c r="GM400" s="860"/>
      <c r="GN400" s="860"/>
      <c r="GO400" s="860"/>
      <c r="GP400" s="860"/>
      <c r="GQ400" s="860"/>
      <c r="GR400" s="860"/>
      <c r="GS400" s="860"/>
      <c r="GT400" s="860"/>
      <c r="GU400" s="860"/>
      <c r="GV400" s="860"/>
      <c r="GW400" s="860"/>
      <c r="GX400" s="860"/>
      <c r="GY400" s="860"/>
      <c r="GZ400" s="860"/>
      <c r="HA400" s="860"/>
      <c r="HB400" s="860"/>
      <c r="HC400" s="860"/>
      <c r="HE400" s="860"/>
      <c r="HF400" s="860"/>
      <c r="HH400" s="860"/>
      <c r="HI400" s="860"/>
      <c r="HJ400" s="860"/>
      <c r="HL400" s="860"/>
      <c r="HM400" s="860"/>
      <c r="HO400" s="860"/>
      <c r="HP400" s="860"/>
      <c r="HR400" s="860"/>
    </row>
    <row r="401" spans="1:226">
      <c r="A401" s="860"/>
      <c r="B401" s="860"/>
      <c r="C401" s="860"/>
      <c r="D401" s="860"/>
      <c r="E401" s="860"/>
      <c r="F401" s="860"/>
      <c r="G401" s="860"/>
      <c r="H401" s="860"/>
      <c r="I401" s="860"/>
      <c r="J401" s="860"/>
      <c r="K401" s="860"/>
      <c r="L401" s="860"/>
      <c r="M401" s="860"/>
      <c r="N401" s="860"/>
      <c r="O401" s="860"/>
      <c r="P401" s="860"/>
      <c r="Q401" s="860"/>
      <c r="R401" s="860"/>
      <c r="S401" s="860"/>
      <c r="T401" s="860"/>
      <c r="U401" s="860"/>
      <c r="V401" s="860"/>
      <c r="W401" s="860"/>
      <c r="X401" s="860"/>
      <c r="Y401" s="860"/>
      <c r="Z401" s="860"/>
      <c r="AA401" s="860"/>
      <c r="AB401" s="860"/>
      <c r="AC401" s="860"/>
      <c r="AD401" s="860"/>
      <c r="AE401" s="860"/>
      <c r="AF401" s="860"/>
      <c r="AG401" s="860"/>
      <c r="AH401" s="860"/>
      <c r="AI401" s="860"/>
      <c r="AJ401" s="860"/>
      <c r="AK401" s="860"/>
      <c r="AL401" s="860"/>
      <c r="AM401" s="860"/>
      <c r="AN401" s="860"/>
      <c r="AO401" s="860"/>
      <c r="AP401" s="860"/>
      <c r="AQ401" s="860"/>
      <c r="AR401" s="860"/>
      <c r="AS401" s="860"/>
      <c r="AT401" s="860"/>
      <c r="AU401" s="860"/>
      <c r="AV401" s="860"/>
      <c r="AW401" s="860"/>
      <c r="AX401" s="860"/>
      <c r="AY401" s="860"/>
      <c r="AZ401" s="860"/>
      <c r="BA401" s="860"/>
      <c r="BB401" s="860"/>
      <c r="BC401" s="860"/>
      <c r="BD401" s="860"/>
      <c r="BE401" s="860"/>
      <c r="BF401" s="860"/>
      <c r="BG401" s="860"/>
      <c r="BH401" s="860"/>
      <c r="BI401" s="860"/>
      <c r="BJ401" s="860"/>
      <c r="BK401" s="860"/>
      <c r="BL401" s="860"/>
      <c r="BM401" s="860"/>
      <c r="BN401" s="860"/>
      <c r="BO401" s="860"/>
      <c r="BP401" s="860"/>
      <c r="BQ401" s="860"/>
      <c r="BR401" s="860"/>
      <c r="BS401" s="860"/>
      <c r="BT401" s="860"/>
      <c r="BU401" s="860"/>
      <c r="BV401" s="860"/>
      <c r="BW401" s="860"/>
      <c r="BX401" s="860"/>
      <c r="BY401" s="860"/>
      <c r="BZ401" s="860"/>
      <c r="CA401" s="860"/>
      <c r="CB401" s="860"/>
      <c r="CC401" s="860"/>
      <c r="CD401" s="860"/>
      <c r="CE401" s="860"/>
      <c r="CF401" s="860"/>
      <c r="CG401" s="860"/>
      <c r="CH401" s="860"/>
      <c r="CI401" s="860"/>
      <c r="CJ401" s="860"/>
      <c r="CK401" s="860"/>
      <c r="CL401" s="860"/>
      <c r="CM401" s="860"/>
      <c r="CN401" s="860"/>
      <c r="CO401" s="860"/>
      <c r="CP401" s="860"/>
      <c r="CQ401" s="860"/>
      <c r="CR401" s="860"/>
      <c r="CS401" s="860"/>
      <c r="CT401" s="860"/>
      <c r="CU401" s="860"/>
      <c r="CV401" s="860"/>
      <c r="CW401" s="860"/>
      <c r="CX401" s="860"/>
      <c r="CY401" s="860"/>
      <c r="CZ401" s="860"/>
      <c r="DA401" s="860"/>
      <c r="DB401" s="860"/>
      <c r="DC401" s="860"/>
      <c r="DD401" s="860"/>
      <c r="DE401" s="860"/>
      <c r="DF401" s="860"/>
      <c r="DG401" s="860"/>
      <c r="DH401" s="860"/>
      <c r="DI401" s="860"/>
      <c r="DJ401" s="860"/>
      <c r="DK401" s="860"/>
      <c r="DL401" s="860"/>
      <c r="DM401" s="860"/>
      <c r="DN401" s="860"/>
      <c r="DO401" s="860"/>
      <c r="DP401" s="860"/>
      <c r="DQ401" s="860"/>
      <c r="DR401" s="860"/>
      <c r="DS401" s="860"/>
      <c r="DT401" s="860"/>
      <c r="DU401" s="860"/>
      <c r="DV401" s="860"/>
      <c r="DW401" s="860"/>
      <c r="DX401" s="860"/>
      <c r="DY401" s="860"/>
      <c r="DZ401" s="860"/>
      <c r="EA401" s="860"/>
      <c r="EB401" s="860"/>
      <c r="EC401" s="860"/>
      <c r="ED401" s="860"/>
      <c r="EE401" s="860"/>
      <c r="EF401" s="860"/>
      <c r="EG401" s="860"/>
      <c r="EH401" s="860"/>
      <c r="EI401" s="860"/>
      <c r="EJ401" s="860"/>
      <c r="EK401" s="860"/>
      <c r="EL401" s="860"/>
      <c r="EM401" s="860"/>
      <c r="EN401" s="860"/>
      <c r="EO401" s="860"/>
      <c r="EP401" s="860"/>
      <c r="EQ401" s="860"/>
      <c r="ER401" s="860"/>
      <c r="ES401" s="860"/>
      <c r="ET401" s="860"/>
      <c r="EU401" s="860"/>
      <c r="EV401" s="860"/>
      <c r="EW401" s="860"/>
      <c r="EX401" s="860"/>
      <c r="EY401" s="860"/>
      <c r="EZ401" s="860"/>
      <c r="FA401" s="860"/>
      <c r="FB401" s="860"/>
      <c r="FC401" s="860"/>
      <c r="FD401" s="860"/>
      <c r="FE401" s="860"/>
      <c r="FF401" s="860"/>
      <c r="FG401" s="860"/>
      <c r="FH401" s="860"/>
      <c r="FI401" s="860"/>
      <c r="FJ401" s="860"/>
      <c r="FK401" s="860"/>
      <c r="FL401" s="860"/>
      <c r="FM401" s="860"/>
      <c r="FN401" s="860"/>
      <c r="FO401" s="860"/>
      <c r="FP401" s="860"/>
      <c r="FQ401" s="860"/>
      <c r="FR401" s="860"/>
      <c r="FS401" s="860"/>
      <c r="FT401" s="860"/>
      <c r="FU401" s="860"/>
      <c r="FV401" s="860"/>
      <c r="FW401" s="860"/>
      <c r="FX401" s="860"/>
      <c r="FY401" s="860"/>
      <c r="FZ401" s="860"/>
      <c r="GA401" s="860"/>
      <c r="GB401" s="860"/>
      <c r="GC401" s="860"/>
      <c r="GD401" s="860"/>
      <c r="GE401" s="860"/>
      <c r="GF401" s="860"/>
      <c r="GG401" s="860"/>
      <c r="GH401" s="860"/>
      <c r="GI401" s="860"/>
      <c r="GJ401" s="860"/>
      <c r="GK401" s="860"/>
      <c r="GL401" s="860"/>
      <c r="GM401" s="860"/>
      <c r="GN401" s="860"/>
      <c r="GO401" s="860"/>
      <c r="GP401" s="860"/>
      <c r="GQ401" s="860"/>
      <c r="GR401" s="860"/>
      <c r="GS401" s="860"/>
      <c r="GT401" s="860"/>
      <c r="GU401" s="860"/>
      <c r="GV401" s="860"/>
      <c r="GW401" s="860"/>
      <c r="GX401" s="860"/>
      <c r="GY401" s="860"/>
      <c r="GZ401" s="860"/>
      <c r="HA401" s="860"/>
      <c r="HB401" s="860"/>
      <c r="HC401" s="860"/>
      <c r="HE401" s="860"/>
      <c r="HF401" s="860"/>
      <c r="HH401" s="860"/>
      <c r="HI401" s="860"/>
      <c r="HJ401" s="860"/>
      <c r="HL401" s="860"/>
      <c r="HM401" s="860"/>
      <c r="HO401" s="860"/>
      <c r="HP401" s="860"/>
      <c r="HR401" s="860"/>
    </row>
    <row r="402" spans="1:226">
      <c r="A402" s="860"/>
      <c r="B402" s="860"/>
      <c r="C402" s="860"/>
      <c r="D402" s="860"/>
      <c r="E402" s="860"/>
      <c r="F402" s="860"/>
      <c r="G402" s="860"/>
      <c r="H402" s="860"/>
      <c r="I402" s="860"/>
      <c r="J402" s="860"/>
      <c r="K402" s="860"/>
      <c r="L402" s="860"/>
      <c r="M402" s="860"/>
      <c r="N402" s="860"/>
      <c r="O402" s="860"/>
      <c r="P402" s="860"/>
      <c r="Q402" s="860"/>
      <c r="R402" s="860"/>
      <c r="S402" s="860"/>
      <c r="T402" s="860"/>
      <c r="U402" s="860"/>
      <c r="V402" s="860"/>
      <c r="W402" s="860"/>
      <c r="X402" s="860"/>
      <c r="Y402" s="860"/>
      <c r="Z402" s="860"/>
      <c r="AA402" s="860"/>
      <c r="AB402" s="860"/>
      <c r="AC402" s="860"/>
      <c r="AD402" s="860"/>
      <c r="AE402" s="860"/>
      <c r="AF402" s="860"/>
      <c r="AG402" s="860"/>
      <c r="AH402" s="860"/>
      <c r="AI402" s="860"/>
      <c r="AJ402" s="860"/>
      <c r="AK402" s="860"/>
      <c r="AL402" s="860"/>
      <c r="AM402" s="860"/>
      <c r="AN402" s="860"/>
      <c r="AO402" s="860"/>
      <c r="AP402" s="860"/>
      <c r="AQ402" s="860"/>
      <c r="AR402" s="860"/>
      <c r="AS402" s="860"/>
      <c r="AT402" s="860"/>
      <c r="AU402" s="860"/>
      <c r="AV402" s="860"/>
      <c r="AW402" s="860"/>
      <c r="AX402" s="860"/>
      <c r="AY402" s="860"/>
      <c r="AZ402" s="860"/>
      <c r="BA402" s="860"/>
      <c r="BB402" s="860"/>
      <c r="BC402" s="860"/>
      <c r="BD402" s="860"/>
      <c r="BE402" s="860"/>
      <c r="BF402" s="860"/>
      <c r="BG402" s="860"/>
      <c r="BH402" s="860"/>
      <c r="BI402" s="860"/>
      <c r="BJ402" s="860"/>
      <c r="BK402" s="860"/>
      <c r="BL402" s="860"/>
      <c r="BM402" s="860"/>
      <c r="BN402" s="860"/>
      <c r="BO402" s="860"/>
      <c r="BP402" s="860"/>
      <c r="BQ402" s="860"/>
      <c r="BR402" s="860"/>
      <c r="BS402" s="860"/>
      <c r="BT402" s="860"/>
      <c r="BU402" s="860"/>
      <c r="BV402" s="860"/>
      <c r="BW402" s="860"/>
      <c r="BX402" s="860"/>
      <c r="BY402" s="860"/>
      <c r="BZ402" s="860"/>
      <c r="CA402" s="860"/>
      <c r="CB402" s="860"/>
      <c r="CC402" s="860"/>
      <c r="CD402" s="860"/>
      <c r="CE402" s="860"/>
      <c r="CF402" s="860"/>
      <c r="CG402" s="860"/>
      <c r="CH402" s="860"/>
      <c r="CI402" s="860"/>
      <c r="CJ402" s="860"/>
      <c r="CK402" s="860"/>
      <c r="CL402" s="860"/>
      <c r="CM402" s="860"/>
      <c r="CN402" s="860"/>
      <c r="CO402" s="860"/>
      <c r="CP402" s="860"/>
      <c r="CQ402" s="860"/>
      <c r="CR402" s="860"/>
      <c r="CS402" s="860"/>
      <c r="CT402" s="860"/>
      <c r="CU402" s="860"/>
      <c r="CV402" s="860"/>
      <c r="CW402" s="860"/>
      <c r="CX402" s="860"/>
      <c r="CY402" s="860"/>
      <c r="CZ402" s="860"/>
      <c r="DA402" s="860"/>
      <c r="DB402" s="860"/>
      <c r="DC402" s="860"/>
      <c r="DD402" s="860"/>
      <c r="DE402" s="860"/>
      <c r="DF402" s="860"/>
      <c r="DG402" s="860"/>
      <c r="DH402" s="860"/>
      <c r="DI402" s="860"/>
      <c r="DJ402" s="860"/>
      <c r="DK402" s="860"/>
      <c r="DL402" s="860"/>
      <c r="DM402" s="860"/>
      <c r="DN402" s="860"/>
      <c r="DO402" s="860"/>
      <c r="DP402" s="860"/>
      <c r="DQ402" s="860"/>
      <c r="DR402" s="860"/>
      <c r="DS402" s="860"/>
      <c r="DT402" s="860"/>
      <c r="DU402" s="860"/>
      <c r="DV402" s="860"/>
      <c r="DW402" s="860"/>
      <c r="DX402" s="860"/>
      <c r="DY402" s="860"/>
      <c r="DZ402" s="860"/>
      <c r="EA402" s="860"/>
      <c r="EB402" s="860"/>
      <c r="EC402" s="860"/>
      <c r="ED402" s="860"/>
      <c r="EE402" s="860"/>
      <c r="EF402" s="860"/>
      <c r="EG402" s="860"/>
      <c r="EH402" s="860"/>
      <c r="EI402" s="860"/>
      <c r="EJ402" s="860"/>
      <c r="EK402" s="860"/>
      <c r="EL402" s="860"/>
      <c r="EM402" s="860"/>
      <c r="EN402" s="860"/>
      <c r="EO402" s="860"/>
      <c r="EP402" s="860"/>
      <c r="EQ402" s="860"/>
      <c r="ER402" s="860"/>
      <c r="ES402" s="860"/>
      <c r="ET402" s="860"/>
      <c r="EU402" s="860"/>
      <c r="EV402" s="860"/>
      <c r="EW402" s="860"/>
      <c r="EX402" s="860"/>
      <c r="EY402" s="860"/>
      <c r="EZ402" s="860"/>
      <c r="FA402" s="860"/>
      <c r="FB402" s="860"/>
      <c r="FC402" s="860"/>
      <c r="FD402" s="860"/>
      <c r="FE402" s="860"/>
      <c r="FF402" s="860"/>
      <c r="FG402" s="860"/>
      <c r="FH402" s="860"/>
      <c r="FI402" s="860"/>
      <c r="FJ402" s="860"/>
      <c r="FK402" s="860"/>
      <c r="FL402" s="860"/>
      <c r="FM402" s="860"/>
      <c r="FN402" s="860"/>
      <c r="FO402" s="860"/>
      <c r="FP402" s="860"/>
      <c r="FQ402" s="860"/>
      <c r="FR402" s="860"/>
      <c r="FS402" s="860"/>
      <c r="FT402" s="860"/>
      <c r="FU402" s="860"/>
      <c r="FV402" s="860"/>
      <c r="FW402" s="860"/>
      <c r="FX402" s="860"/>
      <c r="FY402" s="860"/>
      <c r="FZ402" s="860"/>
      <c r="GA402" s="860"/>
      <c r="GB402" s="860"/>
      <c r="GC402" s="860"/>
      <c r="GD402" s="860"/>
      <c r="GE402" s="860"/>
      <c r="GF402" s="860"/>
      <c r="GG402" s="860"/>
      <c r="GH402" s="860"/>
      <c r="GI402" s="860"/>
      <c r="GJ402" s="860"/>
      <c r="GK402" s="860"/>
      <c r="GL402" s="860"/>
      <c r="GM402" s="860"/>
      <c r="GN402" s="860"/>
      <c r="GO402" s="860"/>
      <c r="GP402" s="860"/>
      <c r="GQ402" s="860"/>
      <c r="GR402" s="860"/>
      <c r="GS402" s="860"/>
      <c r="GT402" s="860"/>
      <c r="GU402" s="860"/>
      <c r="GV402" s="860"/>
      <c r="GW402" s="860"/>
      <c r="GX402" s="860"/>
      <c r="GY402" s="860"/>
      <c r="GZ402" s="860"/>
      <c r="HA402" s="860"/>
      <c r="HB402" s="860"/>
      <c r="HC402" s="860"/>
      <c r="HE402" s="860"/>
      <c r="HF402" s="860"/>
      <c r="HH402" s="860"/>
      <c r="HI402" s="860"/>
      <c r="HJ402" s="860"/>
      <c r="HL402" s="860"/>
      <c r="HM402" s="860"/>
      <c r="HO402" s="860"/>
      <c r="HP402" s="860"/>
      <c r="HR402" s="860"/>
    </row>
    <row r="403" spans="1:226">
      <c r="A403" s="860"/>
      <c r="B403" s="860"/>
      <c r="C403" s="860"/>
      <c r="D403" s="860"/>
      <c r="E403" s="860"/>
      <c r="F403" s="860"/>
      <c r="G403" s="860"/>
      <c r="H403" s="860"/>
      <c r="I403" s="860"/>
      <c r="J403" s="860"/>
      <c r="K403" s="860"/>
      <c r="L403" s="860"/>
      <c r="M403" s="860"/>
      <c r="N403" s="860"/>
      <c r="O403" s="860"/>
      <c r="P403" s="860"/>
      <c r="Q403" s="860"/>
      <c r="R403" s="860"/>
      <c r="S403" s="860"/>
      <c r="T403" s="860"/>
      <c r="U403" s="860"/>
      <c r="V403" s="860"/>
      <c r="W403" s="860"/>
      <c r="X403" s="860"/>
      <c r="Y403" s="860"/>
      <c r="Z403" s="860"/>
      <c r="AA403" s="860"/>
      <c r="AB403" s="860"/>
      <c r="AC403" s="860"/>
      <c r="AD403" s="860"/>
      <c r="AE403" s="860"/>
      <c r="AF403" s="860"/>
      <c r="AG403" s="860"/>
      <c r="AH403" s="860"/>
      <c r="AI403" s="860"/>
      <c r="AJ403" s="860"/>
      <c r="AK403" s="860"/>
      <c r="AL403" s="860"/>
      <c r="AM403" s="860"/>
      <c r="AN403" s="860"/>
      <c r="AO403" s="860"/>
      <c r="AP403" s="860"/>
      <c r="AQ403" s="860"/>
      <c r="AR403" s="860"/>
      <c r="AS403" s="860"/>
      <c r="AT403" s="860"/>
      <c r="AU403" s="860"/>
      <c r="AV403" s="860"/>
      <c r="AW403" s="860"/>
      <c r="AX403" s="860"/>
      <c r="AY403" s="860"/>
      <c r="AZ403" s="860"/>
      <c r="BA403" s="860"/>
      <c r="BB403" s="860"/>
      <c r="BC403" s="860"/>
      <c r="BD403" s="860"/>
      <c r="BE403" s="860"/>
      <c r="BF403" s="860"/>
      <c r="BG403" s="860"/>
      <c r="BH403" s="860"/>
      <c r="BI403" s="860"/>
      <c r="BJ403" s="860"/>
      <c r="BK403" s="860"/>
      <c r="BL403" s="860"/>
      <c r="BM403" s="860"/>
      <c r="BN403" s="860"/>
      <c r="BO403" s="860"/>
      <c r="BP403" s="860"/>
      <c r="BQ403" s="860"/>
      <c r="BR403" s="860"/>
      <c r="BS403" s="860"/>
      <c r="BT403" s="860"/>
      <c r="BU403" s="860"/>
      <c r="BV403" s="860"/>
      <c r="BW403" s="860"/>
      <c r="BX403" s="860"/>
      <c r="BY403" s="860"/>
      <c r="BZ403" s="860"/>
      <c r="CA403" s="860"/>
      <c r="CB403" s="860"/>
      <c r="CC403" s="860"/>
      <c r="CD403" s="860"/>
      <c r="CE403" s="860"/>
      <c r="CF403" s="860"/>
      <c r="CG403" s="860"/>
      <c r="CH403" s="860"/>
      <c r="CI403" s="860"/>
      <c r="CJ403" s="860"/>
      <c r="CK403" s="860"/>
      <c r="CL403" s="860"/>
      <c r="CM403" s="860"/>
      <c r="CN403" s="860"/>
      <c r="CO403" s="860"/>
      <c r="CP403" s="860"/>
      <c r="CQ403" s="860"/>
      <c r="CR403" s="860"/>
      <c r="CS403" s="860"/>
      <c r="CT403" s="860"/>
      <c r="CU403" s="860"/>
      <c r="CV403" s="860"/>
      <c r="CW403" s="860"/>
      <c r="CX403" s="860"/>
      <c r="CY403" s="860"/>
      <c r="CZ403" s="860"/>
      <c r="DA403" s="860"/>
      <c r="DB403" s="860"/>
      <c r="DC403" s="860"/>
      <c r="DD403" s="860"/>
      <c r="DE403" s="860"/>
      <c r="DF403" s="860"/>
      <c r="DG403" s="860"/>
      <c r="DH403" s="860"/>
      <c r="DI403" s="860"/>
      <c r="DJ403" s="860"/>
      <c r="DK403" s="860"/>
      <c r="DL403" s="860"/>
      <c r="DM403" s="860"/>
      <c r="DN403" s="860"/>
      <c r="DO403" s="860"/>
      <c r="DP403" s="860"/>
      <c r="DQ403" s="860"/>
      <c r="DR403" s="860"/>
      <c r="DS403" s="860"/>
      <c r="DT403" s="860"/>
      <c r="DU403" s="860"/>
      <c r="DV403" s="860"/>
      <c r="DW403" s="860"/>
      <c r="DX403" s="860"/>
      <c r="DY403" s="860"/>
      <c r="DZ403" s="860"/>
      <c r="EA403" s="860"/>
      <c r="EB403" s="860"/>
      <c r="EC403" s="860"/>
      <c r="ED403" s="860"/>
      <c r="EE403" s="860"/>
      <c r="EF403" s="860"/>
      <c r="EG403" s="860"/>
      <c r="EH403" s="860"/>
      <c r="EI403" s="860"/>
      <c r="EJ403" s="860"/>
      <c r="EK403" s="860"/>
      <c r="EL403" s="860"/>
      <c r="EM403" s="860"/>
      <c r="EN403" s="860"/>
      <c r="EO403" s="860"/>
      <c r="EP403" s="860"/>
      <c r="EQ403" s="860"/>
      <c r="ER403" s="860"/>
      <c r="ES403" s="860"/>
      <c r="ET403" s="860"/>
      <c r="EU403" s="860"/>
      <c r="EV403" s="860"/>
      <c r="EW403" s="860"/>
      <c r="EX403" s="860"/>
      <c r="EY403" s="860"/>
      <c r="EZ403" s="860"/>
      <c r="FA403" s="860"/>
      <c r="FB403" s="860"/>
      <c r="FC403" s="860"/>
      <c r="FD403" s="860"/>
      <c r="FE403" s="860"/>
      <c r="FF403" s="860"/>
      <c r="FG403" s="860"/>
      <c r="FH403" s="860"/>
      <c r="FI403" s="860"/>
      <c r="FJ403" s="860"/>
      <c r="FK403" s="860"/>
      <c r="FL403" s="860"/>
      <c r="FM403" s="860"/>
      <c r="FN403" s="860"/>
      <c r="FO403" s="860"/>
      <c r="FP403" s="860"/>
      <c r="FQ403" s="860"/>
      <c r="FR403" s="860"/>
      <c r="FS403" s="860"/>
      <c r="FT403" s="860"/>
      <c r="FU403" s="860"/>
      <c r="FV403" s="860"/>
      <c r="FW403" s="860"/>
      <c r="FX403" s="860"/>
      <c r="FY403" s="860"/>
      <c r="FZ403" s="860"/>
      <c r="GA403" s="860"/>
      <c r="GB403" s="860"/>
      <c r="GC403" s="860"/>
      <c r="GD403" s="860"/>
      <c r="GE403" s="860"/>
      <c r="GF403" s="860"/>
      <c r="GG403" s="860"/>
      <c r="GH403" s="860"/>
      <c r="GI403" s="860"/>
      <c r="GJ403" s="860"/>
      <c r="GK403" s="860"/>
      <c r="GL403" s="860"/>
      <c r="GM403" s="860"/>
      <c r="GN403" s="860"/>
      <c r="GO403" s="860"/>
      <c r="GP403" s="860"/>
      <c r="GQ403" s="860"/>
      <c r="GR403" s="860"/>
      <c r="GS403" s="860"/>
      <c r="GT403" s="860"/>
      <c r="GU403" s="860"/>
      <c r="GV403" s="860"/>
      <c r="GW403" s="860"/>
      <c r="GX403" s="860"/>
      <c r="GY403" s="860"/>
      <c r="GZ403" s="860"/>
      <c r="HA403" s="860"/>
      <c r="HB403" s="860"/>
      <c r="HC403" s="860"/>
      <c r="HE403" s="860"/>
      <c r="HF403" s="860"/>
      <c r="HH403" s="860"/>
      <c r="HI403" s="860"/>
      <c r="HJ403" s="860"/>
      <c r="HL403" s="860"/>
      <c r="HM403" s="860"/>
      <c r="HO403" s="860"/>
      <c r="HP403" s="860"/>
      <c r="HR403" s="860"/>
    </row>
    <row r="404" spans="1:226">
      <c r="A404" s="860"/>
      <c r="B404" s="860"/>
      <c r="C404" s="860"/>
      <c r="D404" s="860"/>
      <c r="E404" s="860"/>
      <c r="F404" s="860"/>
      <c r="G404" s="860"/>
      <c r="H404" s="860"/>
      <c r="I404" s="860"/>
      <c r="J404" s="860"/>
      <c r="K404" s="860"/>
      <c r="L404" s="860"/>
      <c r="M404" s="860"/>
      <c r="N404" s="860"/>
      <c r="O404" s="860"/>
      <c r="P404" s="860"/>
      <c r="Q404" s="860"/>
      <c r="R404" s="860"/>
      <c r="S404" s="860"/>
      <c r="T404" s="860"/>
      <c r="U404" s="860"/>
      <c r="V404" s="860"/>
      <c r="W404" s="860"/>
      <c r="X404" s="860"/>
      <c r="Y404" s="860"/>
      <c r="Z404" s="860"/>
      <c r="AA404" s="860"/>
      <c r="AB404" s="860"/>
      <c r="AC404" s="860"/>
      <c r="AD404" s="860"/>
      <c r="AE404" s="860"/>
      <c r="AF404" s="860"/>
      <c r="AG404" s="860"/>
      <c r="AH404" s="860"/>
      <c r="AI404" s="860"/>
      <c r="AJ404" s="860"/>
      <c r="AK404" s="860"/>
      <c r="AL404" s="860"/>
      <c r="AM404" s="860"/>
      <c r="AN404" s="860"/>
      <c r="AO404" s="860"/>
      <c r="AP404" s="860"/>
      <c r="AQ404" s="860"/>
      <c r="AR404" s="860"/>
      <c r="AS404" s="860"/>
      <c r="AT404" s="860"/>
      <c r="AU404" s="860"/>
      <c r="AV404" s="860"/>
      <c r="AW404" s="860"/>
      <c r="AX404" s="860"/>
      <c r="AY404" s="860"/>
      <c r="AZ404" s="860"/>
      <c r="BA404" s="860"/>
      <c r="BB404" s="860"/>
      <c r="BC404" s="860"/>
      <c r="BD404" s="860"/>
      <c r="BE404" s="860"/>
      <c r="BF404" s="860"/>
      <c r="BG404" s="860"/>
      <c r="BH404" s="860"/>
      <c r="BI404" s="860"/>
      <c r="BJ404" s="860"/>
      <c r="BK404" s="860"/>
      <c r="BL404" s="860"/>
      <c r="BM404" s="860"/>
      <c r="BN404" s="860"/>
      <c r="BO404" s="860"/>
      <c r="BP404" s="860"/>
      <c r="BQ404" s="860"/>
      <c r="BR404" s="860"/>
      <c r="BS404" s="860"/>
      <c r="BT404" s="860"/>
      <c r="BU404" s="860"/>
      <c r="BV404" s="860"/>
      <c r="BW404" s="860"/>
      <c r="BX404" s="860"/>
      <c r="BY404" s="860"/>
      <c r="BZ404" s="860"/>
      <c r="CA404" s="860"/>
      <c r="CB404" s="860"/>
      <c r="CC404" s="860"/>
      <c r="CD404" s="860"/>
      <c r="CE404" s="860"/>
      <c r="CF404" s="860"/>
      <c r="CG404" s="860"/>
      <c r="CH404" s="860"/>
      <c r="CI404" s="860"/>
      <c r="CJ404" s="860"/>
      <c r="CK404" s="860"/>
      <c r="CL404" s="860"/>
      <c r="CM404" s="860"/>
      <c r="CN404" s="860"/>
      <c r="CO404" s="860"/>
      <c r="CP404" s="860"/>
      <c r="CQ404" s="860"/>
      <c r="CR404" s="860"/>
      <c r="CS404" s="860"/>
      <c r="CT404" s="860"/>
      <c r="CU404" s="860"/>
      <c r="CV404" s="860"/>
      <c r="CW404" s="860"/>
      <c r="CX404" s="860"/>
      <c r="CY404" s="860"/>
      <c r="CZ404" s="860"/>
      <c r="DA404" s="860"/>
      <c r="DB404" s="860"/>
      <c r="DC404" s="860"/>
      <c r="DD404" s="860"/>
      <c r="DE404" s="860"/>
      <c r="DF404" s="860"/>
      <c r="DG404" s="860"/>
      <c r="DH404" s="860"/>
      <c r="DI404" s="860"/>
      <c r="DJ404" s="860"/>
      <c r="DK404" s="860"/>
      <c r="DL404" s="860"/>
      <c r="DM404" s="860"/>
      <c r="DN404" s="860"/>
      <c r="DO404" s="860"/>
      <c r="DP404" s="860"/>
      <c r="DQ404" s="860"/>
      <c r="DR404" s="860"/>
      <c r="DS404" s="860"/>
      <c r="DT404" s="860"/>
      <c r="DU404" s="860"/>
      <c r="DV404" s="860"/>
      <c r="DW404" s="860"/>
      <c r="DX404" s="860"/>
      <c r="DY404" s="860"/>
      <c r="DZ404" s="860"/>
      <c r="EA404" s="860"/>
      <c r="EB404" s="860"/>
      <c r="EC404" s="860"/>
      <c r="ED404" s="860"/>
      <c r="EE404" s="860"/>
      <c r="EF404" s="860"/>
      <c r="EG404" s="860"/>
      <c r="EH404" s="860"/>
      <c r="EI404" s="860"/>
      <c r="EJ404" s="860"/>
      <c r="EK404" s="860"/>
      <c r="EL404" s="860"/>
      <c r="EM404" s="860"/>
      <c r="EN404" s="860"/>
      <c r="EO404" s="860"/>
      <c r="EP404" s="860"/>
      <c r="EQ404" s="860"/>
      <c r="ER404" s="860"/>
      <c r="ES404" s="860"/>
      <c r="ET404" s="860"/>
      <c r="EU404" s="860"/>
      <c r="EV404" s="860"/>
      <c r="EW404" s="860"/>
      <c r="EX404" s="860"/>
      <c r="EY404" s="860"/>
      <c r="EZ404" s="860"/>
      <c r="FA404" s="860"/>
      <c r="FB404" s="860"/>
      <c r="FC404" s="860"/>
      <c r="FD404" s="860"/>
      <c r="FE404" s="860"/>
      <c r="FF404" s="860"/>
      <c r="FG404" s="860"/>
      <c r="FH404" s="860"/>
      <c r="FI404" s="860"/>
      <c r="FJ404" s="860"/>
      <c r="FK404" s="860"/>
      <c r="FL404" s="860"/>
      <c r="FM404" s="860"/>
      <c r="FN404" s="860"/>
      <c r="FO404" s="860"/>
      <c r="FP404" s="860"/>
      <c r="FQ404" s="860"/>
      <c r="FR404" s="860"/>
      <c r="FS404" s="860"/>
      <c r="FT404" s="860"/>
      <c r="FU404" s="860"/>
      <c r="FV404" s="860"/>
      <c r="FW404" s="860"/>
      <c r="FX404" s="860"/>
      <c r="FY404" s="860"/>
      <c r="FZ404" s="860"/>
      <c r="GA404" s="860"/>
      <c r="GB404" s="860"/>
      <c r="GC404" s="860"/>
      <c r="GD404" s="860"/>
      <c r="GE404" s="860"/>
      <c r="GF404" s="860"/>
      <c r="GG404" s="860"/>
      <c r="GH404" s="860"/>
      <c r="GI404" s="860"/>
      <c r="GJ404" s="860"/>
      <c r="GK404" s="860"/>
      <c r="GL404" s="860"/>
      <c r="GM404" s="860"/>
      <c r="GN404" s="860"/>
      <c r="GO404" s="860"/>
      <c r="GP404" s="860"/>
      <c r="GQ404" s="860"/>
      <c r="GR404" s="860"/>
      <c r="GS404" s="860"/>
      <c r="GT404" s="860"/>
      <c r="GU404" s="860"/>
      <c r="GV404" s="860"/>
      <c r="GW404" s="860"/>
      <c r="GX404" s="860"/>
      <c r="GY404" s="860"/>
      <c r="GZ404" s="860"/>
      <c r="HA404" s="860"/>
      <c r="HB404" s="860"/>
      <c r="HC404" s="860"/>
      <c r="HE404" s="860"/>
      <c r="HF404" s="860"/>
      <c r="HH404" s="860"/>
      <c r="HI404" s="860"/>
      <c r="HJ404" s="860"/>
      <c r="HL404" s="860"/>
      <c r="HM404" s="860"/>
      <c r="HO404" s="860"/>
      <c r="HP404" s="860"/>
      <c r="HR404" s="860"/>
    </row>
    <row r="405" spans="1:226">
      <c r="A405" s="860"/>
      <c r="B405" s="860"/>
      <c r="C405" s="860"/>
      <c r="D405" s="860"/>
      <c r="E405" s="860"/>
      <c r="F405" s="860"/>
      <c r="G405" s="860"/>
      <c r="H405" s="860"/>
      <c r="I405" s="860"/>
      <c r="J405" s="860"/>
      <c r="K405" s="860"/>
      <c r="L405" s="860"/>
      <c r="M405" s="860"/>
      <c r="N405" s="860"/>
      <c r="O405" s="860"/>
      <c r="P405" s="860"/>
      <c r="Q405" s="860"/>
      <c r="R405" s="860"/>
      <c r="S405" s="860"/>
      <c r="T405" s="860"/>
      <c r="U405" s="860"/>
      <c r="V405" s="860"/>
      <c r="W405" s="860"/>
      <c r="X405" s="860"/>
      <c r="Y405" s="860"/>
      <c r="Z405" s="860"/>
      <c r="AA405" s="860"/>
      <c r="AB405" s="860"/>
      <c r="AC405" s="860"/>
      <c r="AD405" s="860"/>
      <c r="AE405" s="860"/>
      <c r="AF405" s="860"/>
      <c r="AG405" s="860"/>
      <c r="AH405" s="860"/>
      <c r="AI405" s="860"/>
      <c r="AJ405" s="860"/>
      <c r="AK405" s="860"/>
      <c r="AL405" s="860"/>
      <c r="AM405" s="860"/>
      <c r="AN405" s="860"/>
      <c r="AO405" s="860"/>
      <c r="AP405" s="860"/>
      <c r="AQ405" s="860"/>
      <c r="AR405" s="860"/>
      <c r="AS405" s="860"/>
      <c r="AT405" s="860"/>
      <c r="AU405" s="860"/>
      <c r="AV405" s="860"/>
      <c r="AW405" s="860"/>
      <c r="AX405" s="860"/>
      <c r="AY405" s="860"/>
      <c r="AZ405" s="860"/>
      <c r="BA405" s="860"/>
      <c r="BB405" s="860"/>
      <c r="BC405" s="860"/>
      <c r="BD405" s="860"/>
      <c r="BE405" s="860"/>
      <c r="BF405" s="860"/>
      <c r="BG405" s="860"/>
      <c r="BH405" s="860"/>
      <c r="BI405" s="860"/>
      <c r="BJ405" s="860"/>
      <c r="BK405" s="860"/>
      <c r="BL405" s="860"/>
      <c r="BM405" s="860"/>
      <c r="BN405" s="860"/>
      <c r="BO405" s="860"/>
      <c r="BP405" s="860"/>
      <c r="BQ405" s="860"/>
      <c r="BR405" s="860"/>
      <c r="BS405" s="860"/>
      <c r="BT405" s="860"/>
      <c r="BU405" s="860"/>
      <c r="BV405" s="860"/>
      <c r="BW405" s="860"/>
      <c r="BX405" s="860"/>
      <c r="BY405" s="860"/>
      <c r="BZ405" s="860"/>
      <c r="CA405" s="860"/>
      <c r="CB405" s="860"/>
      <c r="CC405" s="860"/>
      <c r="CD405" s="860"/>
      <c r="CE405" s="860"/>
      <c r="CF405" s="860"/>
      <c r="CG405" s="860"/>
      <c r="CH405" s="860"/>
      <c r="CI405" s="860"/>
      <c r="CJ405" s="860"/>
      <c r="CK405" s="860"/>
      <c r="CL405" s="860"/>
      <c r="CM405" s="860"/>
      <c r="CN405" s="860"/>
      <c r="CO405" s="860"/>
      <c r="CP405" s="860"/>
      <c r="CQ405" s="860"/>
      <c r="CR405" s="860"/>
      <c r="CS405" s="860"/>
      <c r="CT405" s="860"/>
      <c r="CU405" s="860"/>
      <c r="CV405" s="860"/>
      <c r="CW405" s="860"/>
      <c r="CX405" s="860"/>
      <c r="CY405" s="860"/>
      <c r="CZ405" s="860"/>
      <c r="DA405" s="860"/>
      <c r="DB405" s="860"/>
      <c r="DC405" s="860"/>
      <c r="DD405" s="860"/>
      <c r="DE405" s="860"/>
      <c r="DF405" s="860"/>
      <c r="DG405" s="860"/>
      <c r="DH405" s="860"/>
      <c r="DI405" s="860"/>
      <c r="DJ405" s="860"/>
      <c r="DK405" s="860"/>
      <c r="DL405" s="860"/>
      <c r="DM405" s="860"/>
      <c r="DN405" s="860"/>
      <c r="DO405" s="860"/>
      <c r="DP405" s="860"/>
      <c r="DQ405" s="860"/>
      <c r="DR405" s="860"/>
      <c r="DS405" s="860"/>
      <c r="DT405" s="860"/>
      <c r="DU405" s="860"/>
      <c r="DV405" s="860"/>
      <c r="DW405" s="860"/>
      <c r="DX405" s="860"/>
      <c r="DY405" s="860"/>
      <c r="DZ405" s="860"/>
      <c r="EA405" s="860"/>
      <c r="EB405" s="860"/>
      <c r="EC405" s="860"/>
      <c r="ED405" s="860"/>
      <c r="EE405" s="860"/>
      <c r="EF405" s="860"/>
      <c r="EG405" s="860"/>
      <c r="EH405" s="860"/>
      <c r="EI405" s="860"/>
      <c r="EJ405" s="860"/>
      <c r="EK405" s="860"/>
      <c r="EL405" s="860"/>
      <c r="EM405" s="860"/>
      <c r="EN405" s="860"/>
      <c r="EO405" s="860"/>
      <c r="EP405" s="860"/>
      <c r="EQ405" s="860"/>
      <c r="ER405" s="860"/>
      <c r="ES405" s="860"/>
      <c r="ET405" s="860"/>
      <c r="EU405" s="860"/>
      <c r="EV405" s="860"/>
      <c r="EW405" s="860"/>
      <c r="EX405" s="860"/>
      <c r="EY405" s="860"/>
      <c r="EZ405" s="860"/>
      <c r="FA405" s="860"/>
      <c r="FB405" s="860"/>
      <c r="FC405" s="860"/>
      <c r="FD405" s="860"/>
      <c r="FE405" s="860"/>
      <c r="FF405" s="860"/>
      <c r="FG405" s="860"/>
      <c r="FH405" s="860"/>
      <c r="FI405" s="860"/>
      <c r="FJ405" s="860"/>
      <c r="FK405" s="860"/>
      <c r="FL405" s="860"/>
      <c r="FM405" s="860"/>
      <c r="FN405" s="860"/>
      <c r="FO405" s="860"/>
      <c r="FP405" s="860"/>
      <c r="FQ405" s="860"/>
      <c r="FR405" s="860"/>
      <c r="FS405" s="860"/>
      <c r="FT405" s="860"/>
      <c r="FU405" s="860"/>
      <c r="FV405" s="860"/>
      <c r="FW405" s="860"/>
      <c r="FX405" s="860"/>
      <c r="FY405" s="860"/>
      <c r="FZ405" s="860"/>
      <c r="GA405" s="860"/>
      <c r="GB405" s="860"/>
      <c r="GC405" s="860"/>
      <c r="GD405" s="860"/>
      <c r="GE405" s="860"/>
      <c r="GF405" s="860"/>
      <c r="GG405" s="860"/>
      <c r="GH405" s="860"/>
      <c r="GI405" s="860"/>
      <c r="GJ405" s="860"/>
      <c r="GK405" s="860"/>
      <c r="GL405" s="860"/>
      <c r="GM405" s="860"/>
      <c r="GN405" s="860"/>
      <c r="GO405" s="860"/>
      <c r="GP405" s="860"/>
      <c r="GQ405" s="860"/>
      <c r="GR405" s="860"/>
      <c r="GS405" s="860"/>
      <c r="GT405" s="860"/>
      <c r="GU405" s="860"/>
      <c r="GV405" s="860"/>
      <c r="GW405" s="860"/>
      <c r="GX405" s="860"/>
      <c r="GY405" s="860"/>
      <c r="GZ405" s="860"/>
      <c r="HA405" s="860"/>
      <c r="HB405" s="860"/>
      <c r="HC405" s="860"/>
      <c r="HE405" s="860"/>
      <c r="HF405" s="860"/>
      <c r="HH405" s="860"/>
      <c r="HI405" s="860"/>
      <c r="HJ405" s="860"/>
      <c r="HL405" s="860"/>
      <c r="HM405" s="860"/>
      <c r="HO405" s="860"/>
      <c r="HP405" s="860"/>
      <c r="HR405" s="860"/>
    </row>
    <row r="406" spans="1:226">
      <c r="A406" s="860"/>
      <c r="B406" s="860"/>
      <c r="C406" s="860"/>
      <c r="D406" s="860"/>
      <c r="E406" s="860"/>
      <c r="F406" s="860"/>
      <c r="G406" s="860"/>
      <c r="H406" s="860"/>
      <c r="I406" s="860"/>
      <c r="J406" s="860"/>
      <c r="K406" s="860"/>
      <c r="L406" s="860"/>
      <c r="M406" s="860"/>
      <c r="N406" s="860"/>
      <c r="O406" s="860"/>
      <c r="P406" s="860"/>
      <c r="Q406" s="860"/>
      <c r="R406" s="860"/>
      <c r="S406" s="860"/>
      <c r="T406" s="860"/>
      <c r="U406" s="860"/>
      <c r="V406" s="860"/>
      <c r="W406" s="860"/>
      <c r="X406" s="860"/>
      <c r="Y406" s="860"/>
      <c r="Z406" s="860"/>
      <c r="AA406" s="860"/>
      <c r="AB406" s="860"/>
      <c r="AC406" s="860"/>
      <c r="AD406" s="860"/>
      <c r="AE406" s="860"/>
      <c r="AF406" s="860"/>
      <c r="AG406" s="860"/>
      <c r="AH406" s="860"/>
      <c r="AI406" s="860"/>
      <c r="AJ406" s="860"/>
      <c r="AK406" s="860"/>
      <c r="AL406" s="860"/>
      <c r="AM406" s="860"/>
      <c r="AN406" s="860"/>
      <c r="AO406" s="860"/>
      <c r="AP406" s="860"/>
      <c r="AQ406" s="860"/>
      <c r="AR406" s="860"/>
      <c r="AS406" s="860"/>
      <c r="AT406" s="860"/>
      <c r="AU406" s="860"/>
      <c r="AV406" s="860"/>
      <c r="AW406" s="860"/>
      <c r="AX406" s="860"/>
      <c r="AY406" s="860"/>
      <c r="AZ406" s="860"/>
      <c r="BA406" s="860"/>
      <c r="BB406" s="860"/>
      <c r="BC406" s="860"/>
      <c r="BD406" s="860"/>
      <c r="BE406" s="860"/>
      <c r="BF406" s="860"/>
      <c r="BG406" s="860"/>
      <c r="BH406" s="860"/>
      <c r="BI406" s="860"/>
      <c r="BJ406" s="860"/>
      <c r="BK406" s="860"/>
      <c r="BL406" s="860"/>
      <c r="BM406" s="860"/>
      <c r="BN406" s="860"/>
      <c r="BO406" s="860"/>
      <c r="BP406" s="860"/>
      <c r="BQ406" s="860"/>
      <c r="BR406" s="860"/>
      <c r="BS406" s="860"/>
      <c r="BT406" s="860"/>
      <c r="BU406" s="860"/>
      <c r="BV406" s="860"/>
      <c r="BW406" s="860"/>
      <c r="BX406" s="860"/>
      <c r="BY406" s="860"/>
      <c r="BZ406" s="860"/>
      <c r="CA406" s="860"/>
      <c r="CB406" s="860"/>
      <c r="CC406" s="860"/>
      <c r="CD406" s="860"/>
      <c r="CE406" s="860"/>
      <c r="CF406" s="860"/>
      <c r="CG406" s="860"/>
      <c r="CH406" s="860"/>
      <c r="CI406" s="860"/>
      <c r="CJ406" s="860"/>
      <c r="CK406" s="860"/>
      <c r="CL406" s="860"/>
      <c r="CM406" s="860"/>
      <c r="CN406" s="860"/>
      <c r="CO406" s="860"/>
      <c r="CP406" s="860"/>
      <c r="CQ406" s="860"/>
      <c r="CR406" s="860"/>
      <c r="CS406" s="860"/>
      <c r="CT406" s="860"/>
      <c r="CU406" s="860"/>
      <c r="CV406" s="860"/>
      <c r="CW406" s="860"/>
      <c r="CX406" s="860"/>
      <c r="CY406" s="860"/>
      <c r="CZ406" s="860"/>
      <c r="DA406" s="860"/>
      <c r="DB406" s="860"/>
      <c r="DC406" s="860"/>
      <c r="DD406" s="860"/>
      <c r="DE406" s="860"/>
      <c r="DF406" s="860"/>
      <c r="DG406" s="860"/>
      <c r="DH406" s="860"/>
      <c r="DI406" s="860"/>
      <c r="DJ406" s="860"/>
      <c r="DK406" s="860"/>
      <c r="DL406" s="860"/>
      <c r="DM406" s="860"/>
      <c r="DN406" s="860"/>
      <c r="DO406" s="860"/>
      <c r="DP406" s="860"/>
      <c r="DQ406" s="860"/>
      <c r="DR406" s="860"/>
      <c r="DS406" s="860"/>
      <c r="DT406" s="860"/>
      <c r="DU406" s="860"/>
      <c r="DV406" s="860"/>
      <c r="DW406" s="860"/>
      <c r="DX406" s="860"/>
      <c r="DY406" s="860"/>
      <c r="DZ406" s="860"/>
      <c r="EA406" s="860"/>
      <c r="EB406" s="860"/>
      <c r="EC406" s="860"/>
      <c r="ED406" s="860"/>
      <c r="EE406" s="860"/>
      <c r="EF406" s="860"/>
      <c r="EG406" s="860"/>
      <c r="EH406" s="860"/>
      <c r="EI406" s="860"/>
      <c r="EJ406" s="860"/>
      <c r="EK406" s="860"/>
      <c r="EL406" s="860"/>
      <c r="EM406" s="860"/>
      <c r="EN406" s="860"/>
      <c r="EO406" s="860"/>
      <c r="EP406" s="860"/>
      <c r="EQ406" s="860"/>
      <c r="ER406" s="860"/>
      <c r="ES406" s="860"/>
      <c r="ET406" s="860"/>
      <c r="EU406" s="860"/>
      <c r="EV406" s="860"/>
      <c r="EW406" s="860"/>
      <c r="EX406" s="860"/>
      <c r="EY406" s="860"/>
      <c r="EZ406" s="860"/>
      <c r="FA406" s="860"/>
      <c r="FB406" s="860"/>
      <c r="FC406" s="860"/>
      <c r="FD406" s="860"/>
      <c r="FE406" s="860"/>
      <c r="FF406" s="860"/>
      <c r="FG406" s="860"/>
      <c r="FH406" s="860"/>
      <c r="FI406" s="860"/>
      <c r="FJ406" s="860"/>
      <c r="FK406" s="860"/>
      <c r="FL406" s="860"/>
      <c r="FM406" s="860"/>
      <c r="FN406" s="860"/>
      <c r="FO406" s="860"/>
      <c r="FP406" s="860"/>
      <c r="FQ406" s="860"/>
      <c r="FR406" s="860"/>
      <c r="FS406" s="860"/>
      <c r="FT406" s="860"/>
      <c r="FU406" s="860"/>
      <c r="FV406" s="860"/>
      <c r="FW406" s="860"/>
      <c r="FX406" s="860"/>
      <c r="FY406" s="860"/>
      <c r="FZ406" s="860"/>
      <c r="GA406" s="860"/>
      <c r="GB406" s="860"/>
      <c r="GC406" s="860"/>
      <c r="GD406" s="860"/>
      <c r="GE406" s="860"/>
      <c r="GF406" s="860"/>
      <c r="GG406" s="860"/>
      <c r="GH406" s="860"/>
      <c r="GI406" s="860"/>
      <c r="GJ406" s="860"/>
      <c r="GK406" s="860"/>
      <c r="GL406" s="860"/>
      <c r="GM406" s="860"/>
      <c r="GN406" s="860"/>
      <c r="GO406" s="860"/>
      <c r="GP406" s="860"/>
      <c r="GQ406" s="860"/>
      <c r="GR406" s="860"/>
      <c r="GS406" s="860"/>
      <c r="GT406" s="860"/>
      <c r="GU406" s="860"/>
      <c r="GV406" s="860"/>
      <c r="GW406" s="860"/>
      <c r="GX406" s="860"/>
      <c r="GY406" s="860"/>
      <c r="GZ406" s="860"/>
      <c r="HA406" s="860"/>
      <c r="HB406" s="860"/>
      <c r="HC406" s="860"/>
      <c r="HE406" s="860"/>
      <c r="HF406" s="860"/>
      <c r="HH406" s="860"/>
      <c r="HI406" s="860"/>
      <c r="HJ406" s="860"/>
      <c r="HL406" s="860"/>
      <c r="HM406" s="860"/>
      <c r="HO406" s="860"/>
      <c r="HP406" s="860"/>
      <c r="HR406" s="860"/>
    </row>
    <row r="407" spans="1:226">
      <c r="A407" s="860"/>
      <c r="B407" s="860"/>
      <c r="C407" s="860"/>
      <c r="D407" s="860"/>
      <c r="E407" s="860"/>
      <c r="F407" s="860"/>
      <c r="G407" s="860"/>
      <c r="H407" s="860"/>
      <c r="I407" s="860"/>
      <c r="J407" s="860"/>
      <c r="K407" s="860"/>
      <c r="L407" s="860"/>
      <c r="M407" s="860"/>
      <c r="N407" s="860"/>
      <c r="O407" s="860"/>
      <c r="P407" s="860"/>
      <c r="Q407" s="860"/>
      <c r="R407" s="860"/>
      <c r="S407" s="860"/>
      <c r="T407" s="860"/>
      <c r="U407" s="860"/>
      <c r="V407" s="860"/>
      <c r="W407" s="860"/>
      <c r="X407" s="860"/>
      <c r="Y407" s="860"/>
      <c r="Z407" s="860"/>
      <c r="AA407" s="860"/>
      <c r="AB407" s="860"/>
      <c r="AC407" s="860"/>
      <c r="AD407" s="860"/>
      <c r="AE407" s="860"/>
      <c r="AF407" s="860"/>
      <c r="AG407" s="860"/>
      <c r="AH407" s="860"/>
      <c r="AI407" s="860"/>
      <c r="AJ407" s="860"/>
      <c r="AK407" s="860"/>
      <c r="AL407" s="860"/>
      <c r="AM407" s="860"/>
      <c r="AN407" s="860"/>
      <c r="AO407" s="860"/>
      <c r="AP407" s="860"/>
      <c r="AQ407" s="860"/>
      <c r="AR407" s="860"/>
      <c r="AS407" s="860"/>
      <c r="AT407" s="860"/>
      <c r="AU407" s="860"/>
      <c r="AV407" s="860"/>
      <c r="AW407" s="860"/>
      <c r="AX407" s="860"/>
      <c r="AY407" s="860"/>
      <c r="AZ407" s="860"/>
      <c r="BA407" s="860"/>
      <c r="BB407" s="860"/>
      <c r="BC407" s="860"/>
      <c r="BD407" s="860"/>
      <c r="BE407" s="860"/>
      <c r="BF407" s="860"/>
      <c r="BG407" s="860"/>
      <c r="BH407" s="860"/>
      <c r="BI407" s="860"/>
      <c r="BJ407" s="860"/>
      <c r="BK407" s="860"/>
      <c r="BL407" s="860"/>
      <c r="BM407" s="860"/>
      <c r="BN407" s="860"/>
      <c r="BO407" s="860"/>
      <c r="BP407" s="860"/>
      <c r="BQ407" s="860"/>
      <c r="BR407" s="860"/>
      <c r="BS407" s="860"/>
      <c r="BT407" s="860"/>
      <c r="BU407" s="860"/>
      <c r="BV407" s="860"/>
      <c r="BW407" s="860"/>
      <c r="BX407" s="860"/>
      <c r="BY407" s="860"/>
      <c r="BZ407" s="860"/>
      <c r="CA407" s="860"/>
      <c r="CB407" s="860"/>
      <c r="CC407" s="860"/>
      <c r="CD407" s="860"/>
      <c r="CE407" s="860"/>
      <c r="CF407" s="860"/>
      <c r="CG407" s="860"/>
      <c r="CH407" s="860"/>
      <c r="CI407" s="860"/>
      <c r="CJ407" s="860"/>
      <c r="CK407" s="860"/>
      <c r="CL407" s="860"/>
      <c r="CM407" s="860"/>
      <c r="CN407" s="860"/>
      <c r="CO407" s="860"/>
      <c r="CP407" s="860"/>
      <c r="CQ407" s="860"/>
      <c r="CR407" s="860"/>
      <c r="CS407" s="860"/>
      <c r="CT407" s="860"/>
      <c r="CU407" s="860"/>
      <c r="CV407" s="860"/>
      <c r="CW407" s="860"/>
      <c r="CX407" s="860"/>
      <c r="CY407" s="860"/>
      <c r="CZ407" s="860"/>
      <c r="DA407" s="860"/>
      <c r="DB407" s="860"/>
      <c r="DC407" s="860"/>
      <c r="DD407" s="860"/>
      <c r="DE407" s="860"/>
      <c r="DF407" s="860"/>
      <c r="DG407" s="860"/>
      <c r="DH407" s="860"/>
      <c r="DI407" s="860"/>
      <c r="DJ407" s="860"/>
      <c r="DK407" s="860"/>
      <c r="DL407" s="860"/>
      <c r="DM407" s="860"/>
      <c r="DN407" s="860"/>
      <c r="DO407" s="860"/>
      <c r="DP407" s="860"/>
      <c r="DQ407" s="860"/>
      <c r="DR407" s="860"/>
      <c r="DS407" s="860"/>
      <c r="DT407" s="860"/>
      <c r="DU407" s="860"/>
      <c r="DV407" s="860"/>
      <c r="DW407" s="860"/>
      <c r="DX407" s="860"/>
      <c r="DY407" s="860"/>
      <c r="DZ407" s="860"/>
      <c r="EA407" s="860"/>
      <c r="EB407" s="860"/>
      <c r="EC407" s="860"/>
      <c r="ED407" s="860"/>
      <c r="EE407" s="860"/>
      <c r="EF407" s="860"/>
      <c r="EG407" s="860"/>
      <c r="EH407" s="860"/>
      <c r="EI407" s="860"/>
      <c r="EJ407" s="860"/>
      <c r="EK407" s="860"/>
      <c r="EL407" s="860"/>
      <c r="EM407" s="860"/>
      <c r="EN407" s="860"/>
      <c r="EO407" s="860"/>
      <c r="EP407" s="860"/>
      <c r="EQ407" s="860"/>
      <c r="ER407" s="860"/>
      <c r="ES407" s="860"/>
      <c r="ET407" s="860"/>
      <c r="EU407" s="860"/>
      <c r="EV407" s="860"/>
      <c r="EW407" s="860"/>
      <c r="EX407" s="860"/>
      <c r="EY407" s="860"/>
      <c r="EZ407" s="860"/>
      <c r="FA407" s="860"/>
      <c r="FB407" s="860"/>
      <c r="FC407" s="860"/>
      <c r="FD407" s="860"/>
      <c r="FE407" s="860"/>
      <c r="FF407" s="860"/>
      <c r="FG407" s="860"/>
      <c r="FH407" s="860"/>
      <c r="FI407" s="860"/>
      <c r="FJ407" s="860"/>
      <c r="FK407" s="860"/>
      <c r="FL407" s="860"/>
      <c r="FM407" s="860"/>
      <c r="FN407" s="860"/>
      <c r="FO407" s="860"/>
      <c r="FP407" s="860"/>
      <c r="FQ407" s="860"/>
      <c r="FR407" s="860"/>
      <c r="FS407" s="860"/>
      <c r="FT407" s="860"/>
      <c r="FU407" s="860"/>
      <c r="FV407" s="860"/>
      <c r="FW407" s="860"/>
      <c r="FX407" s="860"/>
      <c r="FY407" s="860"/>
      <c r="FZ407" s="860"/>
      <c r="GA407" s="860"/>
      <c r="GB407" s="860"/>
      <c r="GC407" s="860"/>
      <c r="GD407" s="860"/>
      <c r="GE407" s="860"/>
      <c r="GF407" s="860"/>
      <c r="GG407" s="860"/>
      <c r="GH407" s="860"/>
      <c r="GI407" s="860"/>
      <c r="GJ407" s="860"/>
      <c r="GK407" s="860"/>
      <c r="GL407" s="860"/>
      <c r="GM407" s="860"/>
      <c r="GN407" s="860"/>
      <c r="GO407" s="860"/>
      <c r="GP407" s="860"/>
      <c r="GQ407" s="860"/>
      <c r="GR407" s="860"/>
      <c r="GS407" s="860"/>
      <c r="GT407" s="860"/>
      <c r="GU407" s="860"/>
      <c r="GV407" s="860"/>
      <c r="GW407" s="860"/>
      <c r="GX407" s="860"/>
      <c r="GY407" s="860"/>
      <c r="GZ407" s="860"/>
      <c r="HA407" s="860"/>
      <c r="HB407" s="860"/>
      <c r="HC407" s="860"/>
      <c r="HE407" s="860"/>
      <c r="HF407" s="860"/>
      <c r="HH407" s="860"/>
      <c r="HI407" s="860"/>
      <c r="HJ407" s="860"/>
      <c r="HL407" s="860"/>
      <c r="HM407" s="860"/>
      <c r="HO407" s="860"/>
      <c r="HP407" s="860"/>
      <c r="HR407" s="860"/>
    </row>
    <row r="408" spans="1:226">
      <c r="A408" s="860"/>
      <c r="B408" s="860"/>
      <c r="C408" s="860"/>
      <c r="D408" s="860"/>
      <c r="E408" s="860"/>
      <c r="F408" s="860"/>
      <c r="G408" s="860"/>
      <c r="H408" s="860"/>
      <c r="I408" s="860"/>
      <c r="J408" s="860"/>
      <c r="K408" s="860"/>
      <c r="L408" s="860"/>
      <c r="M408" s="860"/>
      <c r="N408" s="860"/>
      <c r="O408" s="860"/>
      <c r="P408" s="860"/>
      <c r="Q408" s="860"/>
      <c r="R408" s="860"/>
      <c r="S408" s="860"/>
      <c r="T408" s="860"/>
      <c r="U408" s="860"/>
      <c r="V408" s="860"/>
      <c r="W408" s="860"/>
      <c r="X408" s="860"/>
      <c r="Y408" s="860"/>
      <c r="Z408" s="860"/>
      <c r="AA408" s="860"/>
      <c r="AB408" s="860"/>
      <c r="AC408" s="860"/>
      <c r="AD408" s="860"/>
      <c r="AE408" s="860"/>
      <c r="AF408" s="860"/>
      <c r="AG408" s="860"/>
      <c r="AH408" s="860"/>
      <c r="AI408" s="860"/>
      <c r="AJ408" s="860"/>
      <c r="AK408" s="860"/>
      <c r="AL408" s="860"/>
      <c r="AM408" s="860"/>
      <c r="AN408" s="860"/>
      <c r="AO408" s="860"/>
      <c r="AP408" s="860"/>
      <c r="AQ408" s="860"/>
      <c r="AR408" s="860"/>
      <c r="AS408" s="860"/>
      <c r="AT408" s="860"/>
      <c r="AU408" s="860"/>
      <c r="AV408" s="860"/>
      <c r="AW408" s="860"/>
      <c r="AX408" s="860"/>
      <c r="AY408" s="860"/>
      <c r="AZ408" s="860"/>
      <c r="BA408" s="860"/>
      <c r="BB408" s="860"/>
      <c r="BC408" s="860"/>
      <c r="BD408" s="860"/>
      <c r="BE408" s="860"/>
      <c r="BF408" s="860"/>
      <c r="BG408" s="860"/>
      <c r="BH408" s="860"/>
      <c r="BI408" s="860"/>
      <c r="BJ408" s="860"/>
      <c r="BK408" s="860"/>
      <c r="BL408" s="860"/>
      <c r="BM408" s="860"/>
      <c r="BN408" s="860"/>
      <c r="BO408" s="860"/>
      <c r="BP408" s="860"/>
      <c r="BQ408" s="860"/>
      <c r="BR408" s="860"/>
      <c r="BS408" s="860"/>
      <c r="BT408" s="860"/>
      <c r="BU408" s="860"/>
      <c r="BV408" s="860"/>
      <c r="BW408" s="860"/>
      <c r="BX408" s="860"/>
      <c r="BY408" s="860"/>
      <c r="BZ408" s="860"/>
      <c r="CA408" s="860"/>
      <c r="CB408" s="860"/>
      <c r="CC408" s="860"/>
      <c r="CD408" s="860"/>
      <c r="CE408" s="860"/>
      <c r="CF408" s="860"/>
      <c r="CG408" s="860"/>
      <c r="CH408" s="860"/>
      <c r="CI408" s="860"/>
      <c r="CJ408" s="860"/>
      <c r="CK408" s="860"/>
      <c r="CL408" s="860"/>
      <c r="CM408" s="860"/>
      <c r="CN408" s="860"/>
      <c r="CO408" s="860"/>
      <c r="CP408" s="860"/>
      <c r="CQ408" s="860"/>
      <c r="CR408" s="860"/>
      <c r="CS408" s="860"/>
      <c r="CT408" s="860"/>
      <c r="CU408" s="860"/>
      <c r="CV408" s="860"/>
      <c r="CW408" s="860"/>
      <c r="CX408" s="860"/>
      <c r="CY408" s="860"/>
      <c r="CZ408" s="860"/>
      <c r="DA408" s="860"/>
      <c r="DB408" s="860"/>
      <c r="DC408" s="860"/>
      <c r="DD408" s="860"/>
      <c r="DE408" s="860"/>
      <c r="DF408" s="860"/>
      <c r="DG408" s="860"/>
      <c r="DH408" s="860"/>
      <c r="DI408" s="860"/>
      <c r="DJ408" s="860"/>
      <c r="DK408" s="860"/>
      <c r="DL408" s="860"/>
      <c r="DM408" s="860"/>
      <c r="DN408" s="860"/>
      <c r="DO408" s="860"/>
      <c r="DP408" s="860"/>
      <c r="DQ408" s="860"/>
      <c r="DR408" s="860"/>
      <c r="DS408" s="860"/>
      <c r="DT408" s="860"/>
      <c r="DU408" s="860"/>
      <c r="DV408" s="860"/>
      <c r="DW408" s="860"/>
      <c r="DX408" s="860"/>
      <c r="DY408" s="860"/>
      <c r="DZ408" s="860"/>
      <c r="EA408" s="860"/>
      <c r="EB408" s="860"/>
      <c r="EC408" s="860"/>
      <c r="ED408" s="860"/>
      <c r="EE408" s="860"/>
      <c r="EF408" s="860"/>
      <c r="EG408" s="860"/>
      <c r="EH408" s="860"/>
      <c r="EI408" s="860"/>
      <c r="EJ408" s="860"/>
      <c r="EK408" s="860"/>
      <c r="EL408" s="860"/>
      <c r="EM408" s="860"/>
      <c r="EN408" s="860"/>
      <c r="EO408" s="860"/>
      <c r="EP408" s="860"/>
      <c r="EQ408" s="860"/>
      <c r="ER408" s="860"/>
      <c r="ES408" s="860"/>
      <c r="ET408" s="860"/>
      <c r="EU408" s="860"/>
      <c r="EV408" s="860"/>
      <c r="EW408" s="860"/>
      <c r="EX408" s="860"/>
      <c r="EY408" s="860"/>
      <c r="EZ408" s="860"/>
      <c r="FA408" s="860"/>
      <c r="FB408" s="860"/>
      <c r="FC408" s="860"/>
      <c r="FD408" s="860"/>
      <c r="FE408" s="860"/>
      <c r="FF408" s="860"/>
      <c r="FG408" s="860"/>
      <c r="FH408" s="860"/>
      <c r="FI408" s="860"/>
      <c r="FJ408" s="860"/>
      <c r="FK408" s="860"/>
      <c r="FL408" s="860"/>
      <c r="FM408" s="860"/>
      <c r="FN408" s="860"/>
      <c r="FO408" s="860"/>
      <c r="FP408" s="860"/>
      <c r="FQ408" s="860"/>
      <c r="FR408" s="860"/>
      <c r="FS408" s="860"/>
      <c r="FT408" s="860"/>
      <c r="FU408" s="860"/>
      <c r="FV408" s="860"/>
      <c r="FW408" s="860"/>
      <c r="FX408" s="860"/>
      <c r="FY408" s="860"/>
      <c r="FZ408" s="860"/>
      <c r="GA408" s="860"/>
      <c r="GB408" s="860"/>
      <c r="GC408" s="860"/>
      <c r="GD408" s="860"/>
      <c r="GE408" s="860"/>
      <c r="GF408" s="860"/>
      <c r="GG408" s="860"/>
      <c r="GH408" s="860"/>
      <c r="GI408" s="860"/>
      <c r="GJ408" s="860"/>
      <c r="GK408" s="860"/>
      <c r="GL408" s="860"/>
      <c r="GM408" s="860"/>
      <c r="GN408" s="860"/>
      <c r="GO408" s="860"/>
      <c r="GP408" s="860"/>
      <c r="GQ408" s="860"/>
      <c r="GR408" s="860"/>
      <c r="GS408" s="860"/>
      <c r="GT408" s="860"/>
      <c r="GU408" s="860"/>
      <c r="GV408" s="860"/>
      <c r="GW408" s="860"/>
      <c r="GX408" s="860"/>
      <c r="GY408" s="860"/>
      <c r="GZ408" s="860"/>
      <c r="HA408" s="860"/>
      <c r="HB408" s="860"/>
      <c r="HC408" s="860"/>
      <c r="HE408" s="860"/>
      <c r="HF408" s="860"/>
      <c r="HH408" s="860"/>
      <c r="HI408" s="860"/>
      <c r="HJ408" s="860"/>
      <c r="HL408" s="860"/>
      <c r="HM408" s="860"/>
      <c r="HO408" s="860"/>
      <c r="HP408" s="860"/>
      <c r="HR408" s="860"/>
    </row>
    <row r="409" spans="1:226">
      <c r="A409" s="860"/>
      <c r="B409" s="860"/>
      <c r="C409" s="860"/>
      <c r="D409" s="860"/>
      <c r="E409" s="860"/>
      <c r="F409" s="860"/>
      <c r="G409" s="860"/>
      <c r="H409" s="860"/>
      <c r="I409" s="860"/>
      <c r="J409" s="860"/>
      <c r="K409" s="860"/>
      <c r="L409" s="860"/>
      <c r="M409" s="860"/>
      <c r="N409" s="860"/>
      <c r="O409" s="860"/>
      <c r="P409" s="860"/>
      <c r="Q409" s="860"/>
      <c r="R409" s="860"/>
      <c r="S409" s="860"/>
      <c r="T409" s="860"/>
      <c r="U409" s="860"/>
      <c r="V409" s="860"/>
      <c r="W409" s="860"/>
      <c r="X409" s="860"/>
      <c r="Y409" s="860"/>
      <c r="Z409" s="860"/>
      <c r="AA409" s="860"/>
      <c r="AB409" s="860"/>
      <c r="AC409" s="860"/>
      <c r="AD409" s="860"/>
      <c r="AE409" s="860"/>
      <c r="AF409" s="860"/>
      <c r="AG409" s="860"/>
      <c r="AH409" s="860"/>
      <c r="AI409" s="860"/>
      <c r="AJ409" s="860"/>
      <c r="AK409" s="860"/>
      <c r="AL409" s="860"/>
      <c r="AM409" s="860"/>
      <c r="AN409" s="860"/>
      <c r="AO409" s="860"/>
      <c r="AP409" s="860"/>
      <c r="AQ409" s="860"/>
      <c r="AR409" s="860"/>
      <c r="AS409" s="860"/>
      <c r="AT409" s="860"/>
      <c r="AU409" s="860"/>
      <c r="AV409" s="860"/>
      <c r="AW409" s="860"/>
      <c r="AX409" s="860"/>
      <c r="AY409" s="860"/>
      <c r="AZ409" s="860"/>
      <c r="BA409" s="860"/>
      <c r="BB409" s="860"/>
      <c r="BC409" s="860"/>
      <c r="BD409" s="860"/>
      <c r="BE409" s="860"/>
      <c r="BF409" s="860"/>
      <c r="BG409" s="860"/>
      <c r="BH409" s="860"/>
      <c r="BI409" s="860"/>
      <c r="BJ409" s="860"/>
      <c r="BK409" s="860"/>
      <c r="BL409" s="860"/>
      <c r="BM409" s="860"/>
      <c r="BN409" s="860"/>
      <c r="BO409" s="860"/>
      <c r="BP409" s="860"/>
      <c r="BQ409" s="860"/>
      <c r="BR409" s="860"/>
      <c r="BS409" s="860"/>
      <c r="BT409" s="860"/>
      <c r="BU409" s="860"/>
      <c r="BV409" s="860"/>
      <c r="BW409" s="860"/>
      <c r="BX409" s="860"/>
      <c r="BY409" s="860"/>
      <c r="BZ409" s="860"/>
      <c r="CA409" s="860"/>
      <c r="CB409" s="860"/>
      <c r="CC409" s="860"/>
      <c r="CD409" s="860"/>
      <c r="CE409" s="860"/>
      <c r="CF409" s="860"/>
      <c r="CG409" s="860"/>
      <c r="CH409" s="860"/>
      <c r="CI409" s="860"/>
      <c r="CJ409" s="860"/>
      <c r="CK409" s="860"/>
      <c r="CL409" s="860"/>
      <c r="CM409" s="860"/>
      <c r="CN409" s="860"/>
      <c r="CO409" s="860"/>
      <c r="CP409" s="860"/>
      <c r="CQ409" s="860"/>
      <c r="CR409" s="860"/>
      <c r="CS409" s="860"/>
      <c r="CT409" s="860"/>
      <c r="CU409" s="860"/>
      <c r="CV409" s="860"/>
      <c r="CW409" s="860"/>
      <c r="CX409" s="860"/>
      <c r="CY409" s="860"/>
      <c r="CZ409" s="860"/>
      <c r="DA409" s="860"/>
      <c r="DB409" s="860"/>
      <c r="DC409" s="860"/>
      <c r="DD409" s="860"/>
      <c r="DE409" s="860"/>
      <c r="DF409" s="860"/>
      <c r="DG409" s="860"/>
      <c r="DH409" s="860"/>
      <c r="DI409" s="860"/>
      <c r="DJ409" s="860"/>
      <c r="DK409" s="860"/>
      <c r="DL409" s="860"/>
      <c r="DM409" s="860"/>
      <c r="DN409" s="860"/>
      <c r="DO409" s="860"/>
      <c r="DP409" s="860"/>
      <c r="DQ409" s="860"/>
      <c r="DR409" s="860"/>
      <c r="DS409" s="860"/>
      <c r="DT409" s="860"/>
      <c r="DU409" s="860"/>
      <c r="DV409" s="860"/>
      <c r="DW409" s="860"/>
      <c r="DX409" s="860"/>
      <c r="DY409" s="860"/>
      <c r="DZ409" s="860"/>
      <c r="EA409" s="860"/>
      <c r="EB409" s="860"/>
      <c r="EC409" s="860"/>
      <c r="ED409" s="860"/>
      <c r="EE409" s="860"/>
      <c r="EF409" s="860"/>
      <c r="EG409" s="860"/>
      <c r="EH409" s="860"/>
      <c r="EI409" s="860"/>
      <c r="EJ409" s="860"/>
      <c r="EK409" s="860"/>
      <c r="EL409" s="860"/>
      <c r="EM409" s="860"/>
      <c r="EN409" s="860"/>
      <c r="EO409" s="860"/>
      <c r="EP409" s="860"/>
      <c r="EQ409" s="860"/>
      <c r="ER409" s="860"/>
      <c r="ES409" s="860"/>
      <c r="ET409" s="860"/>
      <c r="EU409" s="860"/>
      <c r="EV409" s="860"/>
      <c r="EW409" s="860"/>
      <c r="EX409" s="860"/>
      <c r="EY409" s="860"/>
      <c r="EZ409" s="860"/>
      <c r="FA409" s="860"/>
      <c r="FB409" s="860"/>
      <c r="FC409" s="860"/>
      <c r="FD409" s="860"/>
      <c r="FE409" s="860"/>
      <c r="FF409" s="860"/>
      <c r="FG409" s="860"/>
      <c r="FH409" s="860"/>
      <c r="FI409" s="860"/>
      <c r="FJ409" s="860"/>
      <c r="FK409" s="860"/>
      <c r="FL409" s="860"/>
      <c r="FM409" s="860"/>
      <c r="FN409" s="860"/>
      <c r="FO409" s="860"/>
      <c r="FP409" s="860"/>
      <c r="FQ409" s="860"/>
      <c r="FR409" s="860"/>
      <c r="FS409" s="860"/>
      <c r="FT409" s="860"/>
      <c r="FU409" s="860"/>
      <c r="FV409" s="860"/>
      <c r="FW409" s="860"/>
      <c r="FX409" s="860"/>
      <c r="FY409" s="860"/>
      <c r="FZ409" s="860"/>
      <c r="GA409" s="860"/>
      <c r="GB409" s="860"/>
      <c r="GC409" s="860"/>
      <c r="GD409" s="860"/>
      <c r="GE409" s="860"/>
      <c r="GF409" s="860"/>
      <c r="GG409" s="860"/>
      <c r="GH409" s="860"/>
      <c r="GI409" s="860"/>
      <c r="GJ409" s="860"/>
      <c r="GK409" s="860"/>
      <c r="GL409" s="860"/>
      <c r="GM409" s="860"/>
      <c r="GN409" s="860"/>
      <c r="GO409" s="860"/>
      <c r="GP409" s="860"/>
      <c r="GQ409" s="860"/>
      <c r="GR409" s="860"/>
      <c r="GS409" s="860"/>
      <c r="GT409" s="860"/>
      <c r="GU409" s="860"/>
      <c r="GV409" s="860"/>
      <c r="GW409" s="860"/>
      <c r="GX409" s="860"/>
      <c r="GY409" s="860"/>
      <c r="GZ409" s="860"/>
      <c r="HA409" s="860"/>
      <c r="HB409" s="860"/>
      <c r="HC409" s="860"/>
      <c r="HE409" s="860"/>
      <c r="HF409" s="860"/>
      <c r="HH409" s="860"/>
      <c r="HI409" s="860"/>
      <c r="HJ409" s="860"/>
      <c r="HL409" s="860"/>
      <c r="HM409" s="860"/>
      <c r="HO409" s="860"/>
      <c r="HP409" s="860"/>
      <c r="HR409" s="860"/>
    </row>
    <row r="410" spans="1:226">
      <c r="A410" s="860"/>
      <c r="B410" s="860"/>
      <c r="C410" s="860"/>
      <c r="D410" s="860"/>
      <c r="E410" s="860"/>
      <c r="F410" s="860"/>
      <c r="G410" s="860"/>
      <c r="H410" s="860"/>
      <c r="I410" s="860"/>
      <c r="J410" s="860"/>
      <c r="K410" s="860"/>
      <c r="L410" s="860"/>
      <c r="M410" s="860"/>
      <c r="N410" s="860"/>
      <c r="O410" s="860"/>
      <c r="P410" s="860"/>
      <c r="Q410" s="860"/>
      <c r="R410" s="860"/>
      <c r="S410" s="860"/>
      <c r="T410" s="860"/>
      <c r="U410" s="860"/>
      <c r="V410" s="860"/>
      <c r="W410" s="860"/>
      <c r="X410" s="860"/>
      <c r="Y410" s="860"/>
      <c r="Z410" s="860"/>
      <c r="AA410" s="860"/>
      <c r="AB410" s="860"/>
      <c r="AC410" s="860"/>
      <c r="AD410" s="860"/>
      <c r="AE410" s="860"/>
      <c r="AF410" s="860"/>
      <c r="AG410" s="860"/>
      <c r="AH410" s="860"/>
      <c r="AI410" s="860"/>
      <c r="AJ410" s="860"/>
      <c r="AK410" s="860"/>
      <c r="AL410" s="860"/>
      <c r="AM410" s="860"/>
      <c r="AN410" s="860"/>
      <c r="AO410" s="860"/>
      <c r="AP410" s="860"/>
      <c r="AQ410" s="860"/>
      <c r="AR410" s="860"/>
      <c r="AS410" s="860"/>
      <c r="AT410" s="860"/>
      <c r="AU410" s="860"/>
      <c r="AV410" s="860"/>
      <c r="AW410" s="860"/>
      <c r="AX410" s="860"/>
      <c r="AY410" s="860"/>
      <c r="AZ410" s="860"/>
      <c r="BA410" s="860"/>
      <c r="BB410" s="860"/>
      <c r="BC410" s="860"/>
      <c r="BD410" s="860"/>
      <c r="BE410" s="860"/>
      <c r="BF410" s="860"/>
      <c r="BG410" s="860"/>
      <c r="BH410" s="860"/>
      <c r="BI410" s="860"/>
      <c r="BJ410" s="860"/>
      <c r="BK410" s="860"/>
      <c r="BL410" s="860"/>
      <c r="BM410" s="860"/>
      <c r="BN410" s="860"/>
      <c r="BO410" s="860"/>
      <c r="BP410" s="860"/>
      <c r="BQ410" s="860"/>
      <c r="BR410" s="860"/>
      <c r="BS410" s="860"/>
      <c r="BT410" s="860"/>
      <c r="BU410" s="860"/>
      <c r="BV410" s="860"/>
      <c r="BW410" s="860"/>
      <c r="BX410" s="860"/>
      <c r="BY410" s="860"/>
      <c r="BZ410" s="860"/>
      <c r="CA410" s="860"/>
      <c r="CB410" s="860"/>
      <c r="CC410" s="860"/>
      <c r="CD410" s="860"/>
      <c r="CE410" s="860"/>
      <c r="CF410" s="860"/>
      <c r="CG410" s="860"/>
      <c r="CH410" s="860"/>
      <c r="CI410" s="860"/>
      <c r="CJ410" s="860"/>
      <c r="CK410" s="860"/>
      <c r="CL410" s="860"/>
      <c r="CM410" s="860"/>
      <c r="CN410" s="860"/>
      <c r="CO410" s="860"/>
      <c r="CP410" s="860"/>
      <c r="CQ410" s="860"/>
      <c r="CR410" s="860"/>
      <c r="CS410" s="860"/>
      <c r="CT410" s="860"/>
      <c r="CU410" s="860"/>
      <c r="CV410" s="860"/>
      <c r="CW410" s="860"/>
      <c r="CX410" s="860"/>
      <c r="CY410" s="860"/>
      <c r="CZ410" s="860"/>
      <c r="DA410" s="860"/>
      <c r="DB410" s="860"/>
      <c r="DC410" s="860"/>
      <c r="DD410" s="860"/>
      <c r="DE410" s="860"/>
      <c r="DF410" s="860"/>
      <c r="DG410" s="860"/>
      <c r="DH410" s="860"/>
      <c r="DI410" s="860"/>
      <c r="DJ410" s="860"/>
      <c r="DK410" s="860"/>
      <c r="DL410" s="860"/>
      <c r="DM410" s="860"/>
      <c r="DN410" s="860"/>
      <c r="DO410" s="860"/>
      <c r="DP410" s="860"/>
      <c r="DQ410" s="860"/>
      <c r="DR410" s="860"/>
      <c r="DS410" s="860"/>
      <c r="DT410" s="860"/>
      <c r="DU410" s="860"/>
      <c r="DV410" s="860"/>
      <c r="DW410" s="860"/>
      <c r="DX410" s="860"/>
      <c r="DY410" s="860"/>
      <c r="DZ410" s="860"/>
      <c r="EA410" s="860"/>
      <c r="EB410" s="860"/>
      <c r="EC410" s="860"/>
      <c r="ED410" s="860"/>
      <c r="EE410" s="860"/>
      <c r="EF410" s="860"/>
      <c r="EG410" s="860"/>
      <c r="EH410" s="860"/>
      <c r="EI410" s="860"/>
      <c r="EJ410" s="860"/>
      <c r="EK410" s="860"/>
      <c r="EL410" s="860"/>
      <c r="EM410" s="860"/>
      <c r="EN410" s="860"/>
      <c r="EO410" s="860"/>
      <c r="EP410" s="860"/>
      <c r="EQ410" s="860"/>
      <c r="ER410" s="860"/>
      <c r="ES410" s="860"/>
      <c r="ET410" s="860"/>
      <c r="EU410" s="860"/>
      <c r="EV410" s="860"/>
      <c r="EW410" s="860"/>
      <c r="EX410" s="860"/>
      <c r="EY410" s="860"/>
      <c r="EZ410" s="860"/>
      <c r="FA410" s="860"/>
      <c r="FB410" s="860"/>
      <c r="FC410" s="860"/>
      <c r="FD410" s="860"/>
      <c r="FE410" s="860"/>
      <c r="FF410" s="860"/>
      <c r="FG410" s="860"/>
      <c r="FH410" s="860"/>
      <c r="FI410" s="860"/>
      <c r="FJ410" s="860"/>
      <c r="FK410" s="860"/>
      <c r="FL410" s="860"/>
      <c r="FM410" s="860"/>
      <c r="FN410" s="860"/>
      <c r="FO410" s="860"/>
      <c r="FP410" s="860"/>
      <c r="FQ410" s="860"/>
      <c r="FR410" s="860"/>
      <c r="FS410" s="860"/>
      <c r="FT410" s="860"/>
      <c r="FU410" s="860"/>
      <c r="FV410" s="860"/>
      <c r="FW410" s="860"/>
      <c r="FX410" s="860"/>
      <c r="FY410" s="860"/>
      <c r="FZ410" s="860"/>
      <c r="GA410" s="860"/>
      <c r="GB410" s="860"/>
      <c r="GC410" s="860"/>
      <c r="GD410" s="860"/>
      <c r="GE410" s="860"/>
      <c r="GF410" s="860"/>
      <c r="GG410" s="860"/>
      <c r="GH410" s="860"/>
      <c r="GI410" s="860"/>
      <c r="GJ410" s="860"/>
      <c r="GK410" s="860"/>
      <c r="GL410" s="860"/>
      <c r="GM410" s="860"/>
      <c r="GN410" s="860"/>
      <c r="GO410" s="860"/>
      <c r="GP410" s="860"/>
      <c r="GQ410" s="860"/>
      <c r="GR410" s="860"/>
      <c r="GS410" s="860"/>
      <c r="GT410" s="860"/>
      <c r="GU410" s="860"/>
      <c r="GV410" s="860"/>
      <c r="GW410" s="860"/>
      <c r="GX410" s="860"/>
      <c r="GY410" s="860"/>
      <c r="GZ410" s="860"/>
      <c r="HA410" s="860"/>
      <c r="HB410" s="860"/>
      <c r="HC410" s="860"/>
      <c r="HE410" s="860"/>
      <c r="HF410" s="860"/>
      <c r="HH410" s="860"/>
      <c r="HI410" s="860"/>
      <c r="HJ410" s="860"/>
      <c r="HL410" s="860"/>
      <c r="HM410" s="860"/>
      <c r="HO410" s="860"/>
      <c r="HP410" s="860"/>
      <c r="HR410" s="860"/>
    </row>
    <row r="411" spans="1:226">
      <c r="A411" s="860"/>
      <c r="B411" s="860"/>
      <c r="C411" s="860"/>
      <c r="D411" s="860"/>
      <c r="E411" s="860"/>
      <c r="F411" s="860"/>
      <c r="G411" s="860"/>
      <c r="H411" s="860"/>
      <c r="I411" s="860"/>
      <c r="J411" s="860"/>
      <c r="K411" s="860"/>
      <c r="L411" s="860"/>
      <c r="M411" s="860"/>
      <c r="N411" s="860"/>
      <c r="O411" s="860"/>
      <c r="P411" s="860"/>
      <c r="Q411" s="860"/>
      <c r="R411" s="860"/>
      <c r="S411" s="860"/>
      <c r="T411" s="860"/>
      <c r="U411" s="860"/>
      <c r="V411" s="860"/>
      <c r="W411" s="860"/>
      <c r="X411" s="860"/>
      <c r="Y411" s="860"/>
      <c r="Z411" s="860"/>
      <c r="AA411" s="860"/>
      <c r="AB411" s="860"/>
      <c r="AC411" s="860"/>
      <c r="AD411" s="860"/>
      <c r="AE411" s="860"/>
      <c r="AF411" s="860"/>
      <c r="AG411" s="860"/>
      <c r="AH411" s="860"/>
      <c r="AI411" s="860"/>
      <c r="AJ411" s="860"/>
      <c r="AK411" s="860"/>
      <c r="AL411" s="860"/>
      <c r="AM411" s="860"/>
      <c r="AN411" s="860"/>
      <c r="AO411" s="860"/>
      <c r="AP411" s="860"/>
      <c r="AQ411" s="860"/>
      <c r="AR411" s="860"/>
      <c r="AS411" s="860"/>
      <c r="AT411" s="860"/>
      <c r="AU411" s="860"/>
      <c r="AV411" s="860"/>
      <c r="AW411" s="860"/>
      <c r="AX411" s="860"/>
      <c r="AY411" s="860"/>
      <c r="AZ411" s="860"/>
      <c r="BA411" s="860"/>
      <c r="BB411" s="860"/>
      <c r="BC411" s="860"/>
      <c r="BD411" s="860"/>
      <c r="BE411" s="860"/>
      <c r="BF411" s="860"/>
      <c r="BG411" s="860"/>
      <c r="BH411" s="860"/>
      <c r="BI411" s="860"/>
      <c r="BJ411" s="860"/>
      <c r="BK411" s="860"/>
      <c r="BL411" s="860"/>
      <c r="BM411" s="860"/>
      <c r="BN411" s="860"/>
      <c r="BO411" s="860"/>
      <c r="BP411" s="860"/>
      <c r="BQ411" s="860"/>
      <c r="BR411" s="860"/>
      <c r="BS411" s="860"/>
      <c r="BT411" s="860"/>
      <c r="BU411" s="860"/>
      <c r="BV411" s="860"/>
      <c r="BW411" s="860"/>
      <c r="BX411" s="860"/>
      <c r="BY411" s="860"/>
      <c r="BZ411" s="860"/>
      <c r="CA411" s="860"/>
      <c r="CB411" s="860"/>
      <c r="CC411" s="860"/>
      <c r="CD411" s="860"/>
      <c r="CE411" s="860"/>
      <c r="CF411" s="860"/>
      <c r="CG411" s="860"/>
      <c r="CH411" s="860"/>
      <c r="CI411" s="860"/>
      <c r="CJ411" s="860"/>
      <c r="CK411" s="860"/>
      <c r="CL411" s="860"/>
      <c r="CM411" s="860"/>
      <c r="CN411" s="860"/>
      <c r="CO411" s="860"/>
      <c r="CP411" s="860"/>
      <c r="CQ411" s="860"/>
      <c r="CR411" s="860"/>
      <c r="CS411" s="860"/>
      <c r="CT411" s="860"/>
      <c r="CU411" s="860"/>
      <c r="CV411" s="860"/>
      <c r="CW411" s="860"/>
      <c r="CX411" s="860"/>
      <c r="CY411" s="860"/>
      <c r="CZ411" s="860"/>
      <c r="DA411" s="860"/>
      <c r="DB411" s="860"/>
      <c r="DC411" s="860"/>
      <c r="DD411" s="860"/>
      <c r="DE411" s="860"/>
      <c r="DF411" s="860"/>
      <c r="DG411" s="860"/>
      <c r="DH411" s="860"/>
      <c r="DI411" s="860"/>
      <c r="DJ411" s="860"/>
      <c r="DK411" s="860"/>
      <c r="DL411" s="860"/>
      <c r="DM411" s="860"/>
      <c r="DN411" s="860"/>
      <c r="DO411" s="860"/>
      <c r="DP411" s="860"/>
      <c r="DQ411" s="860"/>
      <c r="DR411" s="860"/>
      <c r="DS411" s="860"/>
      <c r="DT411" s="860"/>
      <c r="DU411" s="860"/>
      <c r="DV411" s="860"/>
      <c r="DW411" s="860"/>
      <c r="DX411" s="860"/>
      <c r="DY411" s="860"/>
      <c r="DZ411" s="860"/>
      <c r="EA411" s="860"/>
      <c r="EB411" s="860"/>
      <c r="EC411" s="860"/>
      <c r="ED411" s="860"/>
      <c r="EE411" s="860"/>
      <c r="EF411" s="860"/>
      <c r="EG411" s="860"/>
      <c r="EH411" s="860"/>
      <c r="EI411" s="860"/>
      <c r="EJ411" s="860"/>
      <c r="EK411" s="860"/>
      <c r="EL411" s="860"/>
      <c r="EM411" s="860"/>
      <c r="EN411" s="860"/>
      <c r="EO411" s="860"/>
      <c r="EP411" s="860"/>
      <c r="EQ411" s="860"/>
      <c r="ER411" s="860"/>
      <c r="ES411" s="860"/>
      <c r="ET411" s="860"/>
      <c r="EU411" s="860"/>
      <c r="EV411" s="860"/>
      <c r="EW411" s="860"/>
      <c r="EX411" s="860"/>
      <c r="EY411" s="860"/>
      <c r="EZ411" s="860"/>
      <c r="FA411" s="860"/>
      <c r="FB411" s="860"/>
      <c r="FC411" s="860"/>
      <c r="FD411" s="860"/>
      <c r="FE411" s="860"/>
      <c r="FF411" s="860"/>
      <c r="FG411" s="860"/>
      <c r="FH411" s="860"/>
      <c r="FI411" s="860"/>
      <c r="FJ411" s="860"/>
      <c r="FK411" s="860"/>
      <c r="FL411" s="860"/>
      <c r="FM411" s="860"/>
      <c r="FN411" s="860"/>
      <c r="FO411" s="860"/>
      <c r="FP411" s="860"/>
      <c r="FQ411" s="860"/>
      <c r="FR411" s="860"/>
      <c r="FS411" s="860"/>
      <c r="FT411" s="860"/>
      <c r="FU411" s="860"/>
      <c r="FV411" s="860"/>
      <c r="FW411" s="860"/>
      <c r="FX411" s="860"/>
      <c r="FY411" s="860"/>
      <c r="FZ411" s="860"/>
      <c r="GA411" s="860"/>
      <c r="GB411" s="860"/>
      <c r="GC411" s="860"/>
      <c r="GD411" s="860"/>
      <c r="GE411" s="860"/>
      <c r="GF411" s="860"/>
      <c r="GG411" s="860"/>
      <c r="GH411" s="860"/>
      <c r="GI411" s="860"/>
      <c r="GJ411" s="860"/>
      <c r="GK411" s="860"/>
      <c r="GL411" s="860"/>
      <c r="GM411" s="860"/>
      <c r="GN411" s="860"/>
      <c r="GO411" s="860"/>
      <c r="GP411" s="860"/>
      <c r="GQ411" s="860"/>
      <c r="GR411" s="860"/>
      <c r="GS411" s="860"/>
      <c r="GT411" s="860"/>
      <c r="GU411" s="860"/>
      <c r="GV411" s="860"/>
      <c r="GW411" s="860"/>
      <c r="GX411" s="860"/>
      <c r="GY411" s="860"/>
      <c r="GZ411" s="860"/>
      <c r="HA411" s="860"/>
      <c r="HB411" s="860"/>
      <c r="HC411" s="860"/>
      <c r="HE411" s="860"/>
      <c r="HF411" s="860"/>
      <c r="HH411" s="860"/>
      <c r="HI411" s="860"/>
      <c r="HJ411" s="860"/>
      <c r="HL411" s="860"/>
      <c r="HM411" s="860"/>
      <c r="HO411" s="860"/>
      <c r="HP411" s="860"/>
      <c r="HR411" s="860"/>
    </row>
    <row r="412" spans="1:226">
      <c r="A412" s="860"/>
      <c r="B412" s="860"/>
      <c r="C412" s="860"/>
      <c r="D412" s="860"/>
      <c r="E412" s="860"/>
      <c r="F412" s="860"/>
      <c r="G412" s="860"/>
      <c r="H412" s="860"/>
      <c r="I412" s="860"/>
      <c r="J412" s="860"/>
      <c r="K412" s="860"/>
      <c r="L412" s="860"/>
      <c r="M412" s="860"/>
      <c r="N412" s="860"/>
      <c r="O412" s="860"/>
      <c r="P412" s="860"/>
      <c r="Q412" s="860"/>
      <c r="R412" s="860"/>
      <c r="S412" s="860"/>
      <c r="T412" s="860"/>
      <c r="U412" s="860"/>
      <c r="V412" s="860"/>
      <c r="W412" s="860"/>
      <c r="X412" s="860"/>
      <c r="Y412" s="860"/>
      <c r="Z412" s="860"/>
      <c r="AA412" s="860"/>
      <c r="AB412" s="860"/>
      <c r="AC412" s="860"/>
      <c r="AD412" s="860"/>
      <c r="AE412" s="860"/>
      <c r="AF412" s="860"/>
      <c r="AG412" s="860"/>
      <c r="AH412" s="860"/>
      <c r="AI412" s="860"/>
      <c r="AJ412" s="860"/>
      <c r="AK412" s="860"/>
      <c r="AL412" s="860"/>
      <c r="AM412" s="860"/>
      <c r="AN412" s="860"/>
      <c r="AO412" s="860"/>
      <c r="AP412" s="860"/>
      <c r="AQ412" s="860"/>
      <c r="AR412" s="860"/>
      <c r="AS412" s="860"/>
      <c r="AT412" s="860"/>
      <c r="AU412" s="860"/>
      <c r="AV412" s="860"/>
      <c r="AW412" s="860"/>
      <c r="AX412" s="860"/>
      <c r="AY412" s="860"/>
      <c r="AZ412" s="860"/>
      <c r="BA412" s="860"/>
      <c r="BB412" s="860"/>
      <c r="BC412" s="860"/>
      <c r="BD412" s="860"/>
      <c r="BE412" s="860"/>
      <c r="BF412" s="860"/>
      <c r="BG412" s="860"/>
      <c r="BH412" s="860"/>
      <c r="BI412" s="860"/>
      <c r="BJ412" s="860"/>
      <c r="BK412" s="860"/>
      <c r="BL412" s="860"/>
      <c r="BM412" s="860"/>
      <c r="BN412" s="860"/>
      <c r="BO412" s="860"/>
      <c r="BP412" s="860"/>
      <c r="BQ412" s="860"/>
      <c r="BR412" s="860"/>
      <c r="BS412" s="860"/>
      <c r="BT412" s="860"/>
      <c r="BU412" s="860"/>
      <c r="BV412" s="860"/>
      <c r="BW412" s="860"/>
      <c r="BX412" s="860"/>
      <c r="BY412" s="860"/>
      <c r="BZ412" s="860"/>
      <c r="CA412" s="860"/>
      <c r="CB412" s="860"/>
      <c r="CC412" s="860"/>
      <c r="CD412" s="860"/>
      <c r="CE412" s="860"/>
      <c r="CF412" s="860"/>
      <c r="CG412" s="860"/>
      <c r="CH412" s="860"/>
      <c r="CI412" s="860"/>
      <c r="CJ412" s="860"/>
      <c r="CK412" s="860"/>
      <c r="CL412" s="860"/>
      <c r="CM412" s="860"/>
      <c r="CN412" s="860"/>
      <c r="CO412" s="860"/>
      <c r="CP412" s="860"/>
      <c r="CQ412" s="860"/>
      <c r="CR412" s="860"/>
      <c r="CS412" s="860"/>
      <c r="CT412" s="860"/>
      <c r="CU412" s="860"/>
      <c r="CV412" s="860"/>
      <c r="CW412" s="860"/>
      <c r="CX412" s="860"/>
      <c r="CY412" s="860"/>
      <c r="CZ412" s="860"/>
      <c r="DA412" s="860"/>
      <c r="DB412" s="860"/>
      <c r="DC412" s="860"/>
      <c r="DD412" s="860"/>
      <c r="DE412" s="860"/>
      <c r="DF412" s="860"/>
      <c r="DG412" s="860"/>
      <c r="DH412" s="860"/>
      <c r="DI412" s="860"/>
      <c r="DJ412" s="860"/>
      <c r="DK412" s="860"/>
      <c r="DL412" s="860"/>
      <c r="DM412" s="860"/>
      <c r="DN412" s="860"/>
      <c r="DO412" s="860"/>
      <c r="DP412" s="860"/>
      <c r="DQ412" s="860"/>
      <c r="DR412" s="860"/>
      <c r="DS412" s="860"/>
      <c r="DT412" s="860"/>
      <c r="DU412" s="860"/>
      <c r="DV412" s="860"/>
      <c r="DW412" s="860"/>
      <c r="DX412" s="860"/>
      <c r="DY412" s="860"/>
      <c r="DZ412" s="860"/>
      <c r="EA412" s="860"/>
      <c r="EB412" s="860"/>
      <c r="EC412" s="860"/>
      <c r="ED412" s="860"/>
      <c r="EE412" s="860"/>
      <c r="EF412" s="860"/>
      <c r="EG412" s="860"/>
      <c r="EH412" s="860"/>
      <c r="EI412" s="860"/>
      <c r="EJ412" s="860"/>
      <c r="EK412" s="860"/>
      <c r="EL412" s="860"/>
      <c r="EM412" s="860"/>
      <c r="EN412" s="860"/>
      <c r="EO412" s="860"/>
      <c r="EP412" s="860"/>
      <c r="EQ412" s="860"/>
      <c r="ER412" s="860"/>
      <c r="ES412" s="860"/>
      <c r="ET412" s="860"/>
      <c r="EU412" s="860"/>
      <c r="EV412" s="860"/>
      <c r="EW412" s="860"/>
      <c r="EX412" s="860"/>
      <c r="EY412" s="860"/>
      <c r="EZ412" s="860"/>
      <c r="FA412" s="860"/>
      <c r="FB412" s="860"/>
      <c r="FC412" s="860"/>
      <c r="FD412" s="860"/>
      <c r="FE412" s="860"/>
      <c r="FF412" s="860"/>
      <c r="FG412" s="860"/>
      <c r="FH412" s="860"/>
      <c r="FI412" s="860"/>
      <c r="FJ412" s="860"/>
      <c r="FK412" s="860"/>
      <c r="FL412" s="860"/>
      <c r="FM412" s="860"/>
      <c r="FN412" s="860"/>
      <c r="FO412" s="860"/>
      <c r="FP412" s="860"/>
      <c r="FQ412" s="860"/>
      <c r="FR412" s="860"/>
      <c r="FS412" s="860"/>
      <c r="FT412" s="860"/>
      <c r="FU412" s="860"/>
      <c r="FV412" s="860"/>
      <c r="FW412" s="860"/>
      <c r="FX412" s="860"/>
      <c r="FY412" s="860"/>
      <c r="FZ412" s="860"/>
      <c r="GA412" s="860"/>
      <c r="GB412" s="860"/>
      <c r="GC412" s="860"/>
      <c r="GD412" s="860"/>
      <c r="GE412" s="860"/>
      <c r="GF412" s="860"/>
      <c r="GG412" s="860"/>
      <c r="GH412" s="860"/>
      <c r="GI412" s="860"/>
      <c r="GJ412" s="860"/>
      <c r="GK412" s="860"/>
      <c r="GL412" s="860"/>
      <c r="GM412" s="860"/>
      <c r="GN412" s="860"/>
      <c r="GO412" s="860"/>
      <c r="GP412" s="860"/>
      <c r="GQ412" s="860"/>
      <c r="GR412" s="860"/>
      <c r="GS412" s="860"/>
      <c r="GT412" s="860"/>
      <c r="GU412" s="860"/>
      <c r="GV412" s="860"/>
      <c r="GW412" s="860"/>
      <c r="GX412" s="860"/>
      <c r="GY412" s="860"/>
      <c r="GZ412" s="860"/>
      <c r="HA412" s="860"/>
      <c r="HB412" s="860"/>
      <c r="HC412" s="860"/>
      <c r="HE412" s="860"/>
      <c r="HF412" s="860"/>
      <c r="HH412" s="860"/>
      <c r="HI412" s="860"/>
      <c r="HJ412" s="860"/>
      <c r="HL412" s="860"/>
      <c r="HM412" s="860"/>
      <c r="HO412" s="860"/>
      <c r="HP412" s="860"/>
      <c r="HR412" s="860"/>
    </row>
    <row r="413" spans="1:226">
      <c r="A413" s="860"/>
      <c r="B413" s="860"/>
      <c r="C413" s="860"/>
      <c r="D413" s="860"/>
      <c r="E413" s="860"/>
      <c r="F413" s="860"/>
      <c r="G413" s="860"/>
      <c r="H413" s="860"/>
      <c r="I413" s="860"/>
      <c r="J413" s="860"/>
      <c r="K413" s="860"/>
      <c r="L413" s="860"/>
      <c r="M413" s="860"/>
      <c r="N413" s="860"/>
      <c r="O413" s="860"/>
      <c r="P413" s="860"/>
      <c r="Q413" s="860"/>
      <c r="R413" s="860"/>
      <c r="S413" s="860"/>
      <c r="T413" s="860"/>
      <c r="U413" s="860"/>
      <c r="V413" s="860"/>
      <c r="W413" s="860"/>
      <c r="X413" s="860"/>
      <c r="Y413" s="860"/>
      <c r="Z413" s="860"/>
      <c r="AA413" s="860"/>
      <c r="AB413" s="860"/>
      <c r="AC413" s="860"/>
      <c r="AD413" s="860"/>
      <c r="AE413" s="860"/>
      <c r="AF413" s="860"/>
      <c r="AG413" s="860"/>
      <c r="AH413" s="860"/>
      <c r="AI413" s="860"/>
      <c r="AJ413" s="860"/>
      <c r="AK413" s="860"/>
      <c r="AL413" s="860"/>
      <c r="AM413" s="860"/>
      <c r="AN413" s="860"/>
      <c r="AO413" s="860"/>
      <c r="AP413" s="860"/>
      <c r="AQ413" s="860"/>
      <c r="AR413" s="860"/>
      <c r="AS413" s="860"/>
      <c r="AT413" s="860"/>
      <c r="AU413" s="860"/>
      <c r="AV413" s="860"/>
      <c r="AW413" s="860"/>
      <c r="AX413" s="860"/>
      <c r="AY413" s="860"/>
      <c r="AZ413" s="860"/>
      <c r="BA413" s="860"/>
      <c r="BB413" s="860"/>
      <c r="BC413" s="860"/>
      <c r="BD413" s="860"/>
      <c r="BE413" s="860"/>
      <c r="BF413" s="860"/>
      <c r="BG413" s="860"/>
      <c r="BH413" s="860"/>
      <c r="BI413" s="860"/>
      <c r="BJ413" s="860"/>
      <c r="BK413" s="860"/>
      <c r="BL413" s="860"/>
      <c r="BM413" s="860"/>
      <c r="BN413" s="860"/>
      <c r="BO413" s="860"/>
      <c r="BP413" s="860"/>
      <c r="BQ413" s="860"/>
      <c r="BR413" s="860"/>
      <c r="BS413" s="860"/>
      <c r="BT413" s="860"/>
      <c r="BU413" s="860"/>
      <c r="BV413" s="860"/>
      <c r="BW413" s="860"/>
      <c r="BX413" s="860"/>
      <c r="BY413" s="860"/>
      <c r="BZ413" s="860"/>
      <c r="CA413" s="860"/>
      <c r="CB413" s="860"/>
      <c r="CC413" s="860"/>
      <c r="CD413" s="860"/>
      <c r="CE413" s="860"/>
      <c r="CF413" s="860"/>
      <c r="CG413" s="860"/>
      <c r="CH413" s="860"/>
      <c r="CI413" s="860"/>
      <c r="CJ413" s="860"/>
      <c r="CK413" s="860"/>
      <c r="CL413" s="860"/>
      <c r="CM413" s="860"/>
      <c r="CN413" s="860"/>
      <c r="CO413" s="860"/>
      <c r="CP413" s="860"/>
      <c r="CQ413" s="860"/>
      <c r="CR413" s="860"/>
      <c r="CS413" s="860"/>
      <c r="CT413" s="860"/>
      <c r="CU413" s="860"/>
      <c r="CV413" s="860"/>
      <c r="CW413" s="860"/>
      <c r="CX413" s="860"/>
      <c r="CY413" s="860"/>
      <c r="CZ413" s="860"/>
      <c r="DA413" s="860"/>
      <c r="DB413" s="860"/>
      <c r="DC413" s="860"/>
      <c r="DD413" s="860"/>
      <c r="DE413" s="860"/>
      <c r="DF413" s="860"/>
      <c r="DG413" s="860"/>
      <c r="DH413" s="860"/>
      <c r="DI413" s="860"/>
      <c r="DJ413" s="860"/>
      <c r="DK413" s="860"/>
      <c r="DL413" s="860"/>
      <c r="DM413" s="860"/>
      <c r="DN413" s="860"/>
      <c r="DO413" s="860"/>
      <c r="DP413" s="860"/>
      <c r="DQ413" s="860"/>
      <c r="DR413" s="860"/>
      <c r="DS413" s="860"/>
      <c r="DT413" s="860"/>
      <c r="DU413" s="860"/>
      <c r="DV413" s="860"/>
      <c r="DW413" s="860"/>
      <c r="DX413" s="860"/>
      <c r="DY413" s="860"/>
      <c r="DZ413" s="860"/>
      <c r="EA413" s="860"/>
      <c r="EB413" s="860"/>
      <c r="EC413" s="860"/>
      <c r="ED413" s="860"/>
      <c r="EE413" s="860"/>
      <c r="EF413" s="860"/>
      <c r="EG413" s="860"/>
      <c r="EH413" s="860"/>
      <c r="EI413" s="860"/>
      <c r="EJ413" s="860"/>
      <c r="EK413" s="860"/>
      <c r="EL413" s="860"/>
      <c r="EM413" s="860"/>
      <c r="EN413" s="860"/>
      <c r="EO413" s="860"/>
      <c r="EP413" s="860"/>
      <c r="EQ413" s="860"/>
      <c r="ER413" s="860"/>
      <c r="ES413" s="860"/>
      <c r="ET413" s="860"/>
      <c r="EU413" s="860"/>
      <c r="EV413" s="860"/>
      <c r="EW413" s="860"/>
      <c r="EX413" s="860"/>
      <c r="EY413" s="860"/>
      <c r="EZ413" s="860"/>
      <c r="FA413" s="860"/>
      <c r="FB413" s="860"/>
      <c r="FC413" s="860"/>
      <c r="FD413" s="860"/>
      <c r="FE413" s="860"/>
      <c r="FF413" s="860"/>
      <c r="FG413" s="860"/>
      <c r="FH413" s="860"/>
      <c r="FI413" s="860"/>
      <c r="FJ413" s="860"/>
      <c r="FK413" s="860"/>
      <c r="FL413" s="860"/>
      <c r="FM413" s="860"/>
      <c r="FN413" s="860"/>
      <c r="FO413" s="860"/>
      <c r="FP413" s="860"/>
      <c r="FQ413" s="860"/>
      <c r="FR413" s="860"/>
      <c r="FS413" s="860"/>
      <c r="FT413" s="860"/>
      <c r="FU413" s="860"/>
      <c r="FV413" s="860"/>
      <c r="FW413" s="860"/>
      <c r="FX413" s="860"/>
      <c r="FY413" s="860"/>
      <c r="FZ413" s="860"/>
      <c r="GA413" s="860"/>
      <c r="GB413" s="860"/>
      <c r="GC413" s="860"/>
      <c r="GD413" s="860"/>
      <c r="GE413" s="860"/>
      <c r="GF413" s="860"/>
      <c r="GG413" s="860"/>
      <c r="GH413" s="860"/>
      <c r="GI413" s="860"/>
      <c r="GJ413" s="860"/>
      <c r="GK413" s="860"/>
      <c r="GL413" s="860"/>
      <c r="GM413" s="860"/>
      <c r="GN413" s="860"/>
      <c r="GO413" s="860"/>
      <c r="GP413" s="860"/>
      <c r="GQ413" s="860"/>
      <c r="GR413" s="860"/>
      <c r="GS413" s="860"/>
      <c r="GT413" s="860"/>
      <c r="GU413" s="860"/>
      <c r="GV413" s="860"/>
      <c r="GW413" s="860"/>
      <c r="GX413" s="860"/>
      <c r="GY413" s="860"/>
      <c r="GZ413" s="860"/>
      <c r="HA413" s="860"/>
      <c r="HB413" s="860"/>
      <c r="HC413" s="860"/>
      <c r="HE413" s="860"/>
      <c r="HF413" s="860"/>
      <c r="HH413" s="860"/>
      <c r="HI413" s="860"/>
      <c r="HJ413" s="860"/>
      <c r="HL413" s="860"/>
      <c r="HM413" s="860"/>
      <c r="HO413" s="860"/>
      <c r="HP413" s="860"/>
      <c r="HR413" s="860"/>
    </row>
    <row r="414" spans="1:226" ht="15.75">
      <c r="FK414" s="860"/>
      <c r="FL414" s="860"/>
      <c r="FM414" s="860"/>
      <c r="FN414" s="860"/>
      <c r="FO414" s="860"/>
      <c r="FP414" s="860"/>
      <c r="FQ414" s="860"/>
      <c r="FR414" s="860"/>
      <c r="FS414" s="860"/>
      <c r="FT414" s="860"/>
      <c r="FU414" s="860"/>
      <c r="FV414" s="860"/>
      <c r="FW414" s="860"/>
      <c r="FX414" s="860"/>
    </row>
    <row r="415" spans="1:226" ht="15.75">
      <c r="FK415" s="860"/>
      <c r="FL415" s="860"/>
      <c r="FM415" s="860"/>
      <c r="FN415" s="860"/>
      <c r="FO415" s="860"/>
      <c r="FP415" s="860"/>
      <c r="FQ415" s="860"/>
      <c r="FR415" s="860"/>
      <c r="FS415" s="860"/>
      <c r="FT415" s="860"/>
      <c r="FU415" s="860"/>
      <c r="FV415" s="860"/>
      <c r="FW415" s="860"/>
      <c r="FX415" s="860"/>
    </row>
    <row r="416" spans="1:226" ht="15.75">
      <c r="FK416" s="860"/>
      <c r="FL416" s="860"/>
      <c r="FM416" s="860"/>
      <c r="FN416" s="860"/>
      <c r="FO416" s="860"/>
      <c r="FP416" s="860"/>
      <c r="FQ416" s="860"/>
      <c r="FR416" s="860"/>
      <c r="FS416" s="860"/>
      <c r="FT416" s="860"/>
      <c r="FU416" s="860"/>
      <c r="FV416" s="860"/>
      <c r="FW416" s="860"/>
      <c r="FX416" s="860"/>
    </row>
    <row r="417" spans="167:180" ht="15.75">
      <c r="FK417" s="860" t="s">
        <v>848</v>
      </c>
      <c r="FL417" s="1217">
        <f>DY14</f>
        <v>9.3613925904971751E-2</v>
      </c>
      <c r="FM417" s="1217">
        <f>DZ14</f>
        <v>0.10700196755973623</v>
      </c>
      <c r="FN417" s="1217">
        <f>EA14</f>
        <v>7.9057140965371087E-2</v>
      </c>
      <c r="FO417" s="1217">
        <f>EB14</f>
        <v>7.3492433801435553E-2</v>
      </c>
      <c r="FP417" s="1217">
        <f>ED14</f>
        <v>7.8690402505381174E-2</v>
      </c>
      <c r="FQ417" s="1217">
        <f>EE14</f>
        <v>5.9493491794001319E-2</v>
      </c>
      <c r="FR417" s="1217">
        <f>EF14</f>
        <v>5.7740688470270696E-2</v>
      </c>
      <c r="FS417" s="1217">
        <f>EG14</f>
        <v>3.9786228299382387E-2</v>
      </c>
      <c r="FT417" s="860"/>
      <c r="FU417" s="860"/>
      <c r="FV417" s="860"/>
      <c r="FW417" s="860"/>
      <c r="FX417" s="860"/>
    </row>
    <row r="418" spans="167:180" ht="15.75">
      <c r="FK418" s="860" t="s">
        <v>849</v>
      </c>
      <c r="FL418" s="1217">
        <f t="shared" ref="FL418:FO419" si="325">AZ135</f>
        <v>9.9344166234702769E-2</v>
      </c>
      <c r="FM418" s="1217">
        <f t="shared" si="325"/>
        <v>7.7261088447183379E-2</v>
      </c>
      <c r="FN418" s="1217">
        <f t="shared" si="325"/>
        <v>6.4932630833628435E-2</v>
      </c>
      <c r="FO418" s="1217">
        <f t="shared" si="325"/>
        <v>7.4329908477792861E-2</v>
      </c>
      <c r="FP418" s="1217">
        <f t="shared" ref="FP418:FS419" si="326">BE135</f>
        <v>7.2736218454662938E-2</v>
      </c>
      <c r="FQ418" s="1217">
        <f t="shared" si="326"/>
        <v>6.4035290918430077E-2</v>
      </c>
      <c r="FR418" s="1217">
        <f t="shared" si="326"/>
        <v>5.823571973326569E-2</v>
      </c>
      <c r="FS418" s="1217">
        <f t="shared" si="326"/>
        <v>4.8198377875282583E-2</v>
      </c>
      <c r="FT418" s="860"/>
      <c r="FU418" s="860"/>
      <c r="FV418" s="860"/>
      <c r="FW418" s="860"/>
      <c r="FX418" s="860"/>
    </row>
    <row r="419" spans="167:180" ht="15.75">
      <c r="FK419" s="860" t="s">
        <v>850</v>
      </c>
      <c r="FL419" s="1217">
        <f t="shared" si="325"/>
        <v>6.4388773239537844E-2</v>
      </c>
      <c r="FM419" s="1217">
        <f t="shared" si="325"/>
        <v>0.26627972819932055</v>
      </c>
      <c r="FN419" s="1217">
        <f t="shared" si="325"/>
        <v>0.20609306531265204</v>
      </c>
      <c r="FO419" s="1217">
        <f t="shared" si="325"/>
        <v>9.0190067443286281E-2</v>
      </c>
      <c r="FP419" s="1217">
        <f t="shared" si="326"/>
        <v>0.14668195306177512</v>
      </c>
      <c r="FQ419" s="1217">
        <f t="shared" si="326"/>
        <v>4.2537730575740618E-2</v>
      </c>
      <c r="FR419" s="1217">
        <f t="shared" si="326"/>
        <v>5.9976931949250467E-3</v>
      </c>
      <c r="FS419" s="1217">
        <f t="shared" si="326"/>
        <v>0.10359372363759123</v>
      </c>
      <c r="FT419" s="860"/>
      <c r="FU419" s="860"/>
      <c r="FV419" s="860"/>
      <c r="FW419" s="860"/>
      <c r="FX419" s="860"/>
    </row>
    <row r="420" spans="167:180" ht="15.75">
      <c r="FK420" s="860" t="s">
        <v>851</v>
      </c>
      <c r="FL420" s="1217">
        <f>DY32</f>
        <v>4.4960554792767171E-2</v>
      </c>
      <c r="FM420" s="1217">
        <f>DZ32</f>
        <v>4.0861032255180341E-2</v>
      </c>
      <c r="FN420" s="1217">
        <f>EA32</f>
        <v>7.0285829038088332E-2</v>
      </c>
      <c r="FO420" s="1217">
        <f>EB32</f>
        <v>9.0165016501650097E-2</v>
      </c>
      <c r="FP420" s="1217">
        <f>ED32</f>
        <v>7.6676391332427762E-2</v>
      </c>
      <c r="FQ420" s="1217">
        <f>EE32</f>
        <v>7.8084398153119405E-2</v>
      </c>
      <c r="FR420" s="1217">
        <f>EF32</f>
        <v>5.5830049825922101E-2</v>
      </c>
      <c r="FS420" s="1217">
        <f>EG32</f>
        <v>8.2949866795834382E-2</v>
      </c>
      <c r="FT420" s="860"/>
      <c r="FU420" s="860"/>
      <c r="FV420" s="860"/>
      <c r="FW420" s="860"/>
      <c r="FX420" s="860"/>
    </row>
    <row r="421" spans="167:180" ht="15.75">
      <c r="FK421" s="860"/>
      <c r="FL421" s="860"/>
      <c r="FM421" s="860"/>
      <c r="FN421" s="860"/>
      <c r="FO421" s="860"/>
      <c r="FP421" s="860"/>
      <c r="FQ421" s="860"/>
      <c r="FR421" s="860"/>
      <c r="FS421" s="860"/>
      <c r="FT421" s="860"/>
      <c r="FU421" s="860"/>
      <c r="FV421" s="860"/>
      <c r="FW421" s="860"/>
      <c r="FX421" s="860"/>
    </row>
    <row r="422" spans="167:180" ht="15.75">
      <c r="FK422" s="860"/>
      <c r="FL422" s="860"/>
      <c r="FM422" s="860"/>
      <c r="FN422" s="860"/>
      <c r="FO422" s="860"/>
      <c r="FP422" s="860"/>
      <c r="FQ422" s="860"/>
      <c r="FR422" s="860"/>
      <c r="FS422" s="860"/>
      <c r="FT422" s="860"/>
      <c r="FU422" s="860"/>
      <c r="FV422" s="860"/>
      <c r="FW422" s="860"/>
      <c r="FX422" s="860"/>
    </row>
    <row r="423" spans="167:180" ht="15.75">
      <c r="FK423" s="860"/>
      <c r="FL423" s="860"/>
      <c r="FM423" s="860"/>
      <c r="FN423" s="860"/>
      <c r="FO423" s="860"/>
      <c r="FP423" s="860"/>
      <c r="FQ423" s="860"/>
      <c r="FR423" s="860"/>
      <c r="FS423" s="860"/>
      <c r="FT423" s="860"/>
      <c r="FU423" s="860"/>
      <c r="FV423" s="860"/>
      <c r="FW423" s="860"/>
      <c r="FX423" s="860"/>
    </row>
    <row r="424" spans="167:180" ht="15.75">
      <c r="FK424" s="860"/>
      <c r="FL424" s="860"/>
      <c r="FM424" s="860"/>
      <c r="FN424" s="860"/>
      <c r="FO424" s="860"/>
      <c r="FP424" s="860"/>
      <c r="FQ424" s="860"/>
      <c r="FR424" s="860"/>
      <c r="FS424" s="860"/>
      <c r="FT424" s="860"/>
      <c r="FU424" s="860"/>
      <c r="FV424" s="860"/>
      <c r="FW424" s="860"/>
      <c r="FX424" s="860"/>
    </row>
    <row r="425" spans="167:180" ht="15.75">
      <c r="FK425" s="860"/>
      <c r="FL425" s="860"/>
      <c r="FM425" s="860"/>
      <c r="FN425" s="860"/>
      <c r="FO425" s="860"/>
      <c r="FP425" s="860"/>
      <c r="FQ425" s="860"/>
      <c r="FR425" s="860"/>
      <c r="FS425" s="860"/>
      <c r="FT425" s="860"/>
      <c r="FU425" s="860"/>
      <c r="FV425" s="860"/>
      <c r="FW425" s="860"/>
      <c r="FX425" s="860"/>
    </row>
    <row r="426" spans="167:180" ht="15.75">
      <c r="FK426" s="860"/>
      <c r="FL426" s="860"/>
      <c r="FM426" s="860"/>
      <c r="FN426" s="860"/>
      <c r="FO426" s="860"/>
      <c r="FP426" s="860"/>
      <c r="FQ426" s="860"/>
      <c r="FR426" s="860"/>
      <c r="FS426" s="860"/>
      <c r="FT426" s="860"/>
      <c r="FU426" s="860"/>
      <c r="FV426" s="860"/>
      <c r="FW426" s="860"/>
      <c r="FX426" s="860"/>
    </row>
    <row r="427" spans="167:180" ht="15.75">
      <c r="FK427" s="860"/>
      <c r="FL427" s="860"/>
      <c r="FM427" s="860"/>
      <c r="FN427" s="860"/>
      <c r="FO427" s="860"/>
      <c r="FP427" s="860"/>
      <c r="FQ427" s="860"/>
      <c r="FR427" s="860"/>
      <c r="FS427" s="860"/>
      <c r="FT427" s="860"/>
      <c r="FU427" s="860"/>
      <c r="FV427" s="860"/>
      <c r="FW427" s="860"/>
      <c r="FX427" s="860"/>
    </row>
    <row r="428" spans="167:180" ht="15.75">
      <c r="FK428" s="860"/>
      <c r="FL428" s="860"/>
      <c r="FM428" s="860"/>
      <c r="FN428" s="860"/>
      <c r="FO428" s="860"/>
      <c r="FP428" s="860"/>
      <c r="FQ428" s="860"/>
      <c r="FR428" s="860"/>
      <c r="FS428" s="860"/>
      <c r="FT428" s="860"/>
      <c r="FU428" s="860"/>
      <c r="FV428" s="860"/>
      <c r="FW428" s="860"/>
      <c r="FX428" s="860"/>
    </row>
    <row r="429" spans="167:180" ht="15.75">
      <c r="FK429" s="860"/>
      <c r="FL429" s="860"/>
      <c r="FM429" s="860"/>
      <c r="FN429" s="860"/>
      <c r="FO429" s="860"/>
      <c r="FP429" s="860"/>
      <c r="FQ429" s="860"/>
      <c r="FR429" s="860"/>
      <c r="FS429" s="860"/>
      <c r="FT429" s="860"/>
      <c r="FU429" s="860"/>
      <c r="FV429" s="860"/>
      <c r="FW429" s="860"/>
      <c r="FX429" s="860"/>
    </row>
    <row r="430" spans="167:180" ht="15.75">
      <c r="FK430" s="860"/>
      <c r="FL430" s="860"/>
      <c r="FM430" s="860"/>
      <c r="FN430" s="860"/>
      <c r="FO430" s="860"/>
      <c r="FP430" s="860"/>
      <c r="FQ430" s="860"/>
      <c r="FR430" s="860"/>
      <c r="FS430" s="860"/>
      <c r="FT430" s="860"/>
      <c r="FU430" s="860"/>
      <c r="FV430" s="860"/>
      <c r="FW430" s="860"/>
      <c r="FX430" s="860"/>
    </row>
    <row r="431" spans="167:180" ht="15.75">
      <c r="FK431" s="860"/>
      <c r="FL431" s="860"/>
      <c r="FM431" s="860"/>
      <c r="FN431" s="860"/>
      <c r="FO431" s="860"/>
      <c r="FP431" s="860"/>
      <c r="FQ431" s="860"/>
      <c r="FR431" s="860"/>
      <c r="FS431" s="860"/>
      <c r="FT431" s="860"/>
      <c r="FU431" s="860"/>
      <c r="FV431" s="860"/>
      <c r="FW431" s="860"/>
      <c r="FX431" s="860"/>
    </row>
    <row r="432" spans="167:180" ht="15.75">
      <c r="FK432" s="860"/>
      <c r="FL432" s="860"/>
      <c r="FM432" s="860"/>
      <c r="FN432" s="860"/>
      <c r="FO432" s="860"/>
      <c r="FP432" s="860"/>
      <c r="FQ432" s="860"/>
      <c r="FR432" s="860"/>
      <c r="FS432" s="860"/>
      <c r="FT432" s="860"/>
      <c r="FU432" s="860"/>
      <c r="FV432" s="860"/>
      <c r="FW432" s="860"/>
      <c r="FX432" s="860"/>
    </row>
    <row r="433" spans="167:180" ht="15.75">
      <c r="FK433" s="860"/>
      <c r="FL433" s="860"/>
      <c r="FM433" s="860"/>
      <c r="FN433" s="860"/>
      <c r="FO433" s="860"/>
      <c r="FP433" s="860"/>
      <c r="FQ433" s="860"/>
      <c r="FR433" s="860"/>
      <c r="FS433" s="860"/>
      <c r="FT433" s="860"/>
      <c r="FU433" s="860"/>
      <c r="FV433" s="860"/>
      <c r="FW433" s="860"/>
      <c r="FX433" s="860"/>
    </row>
    <row r="434" spans="167:180" ht="15.75">
      <c r="FK434" s="860"/>
      <c r="FL434" s="860"/>
      <c r="FM434" s="860"/>
      <c r="FN434" s="860"/>
      <c r="FO434" s="860"/>
      <c r="FP434" s="860"/>
      <c r="FQ434" s="860"/>
      <c r="FR434" s="860"/>
      <c r="FS434" s="860"/>
      <c r="FT434" s="860"/>
      <c r="FU434" s="860"/>
      <c r="FV434" s="860"/>
      <c r="FW434" s="860"/>
      <c r="FX434" s="860"/>
    </row>
    <row r="435" spans="167:180" ht="15.75">
      <c r="FK435" s="860"/>
      <c r="FL435" s="860"/>
      <c r="FM435" s="860"/>
      <c r="FN435" s="860"/>
      <c r="FO435" s="860"/>
      <c r="FP435" s="860"/>
      <c r="FQ435" s="860"/>
      <c r="FR435" s="860"/>
      <c r="FS435" s="860"/>
      <c r="FT435" s="860"/>
      <c r="FU435" s="860"/>
      <c r="FV435" s="860"/>
      <c r="FW435" s="860"/>
      <c r="FX435" s="860"/>
    </row>
    <row r="436" spans="167:180" ht="15.75">
      <c r="FK436" s="860"/>
      <c r="FL436" s="860"/>
      <c r="FM436" s="860"/>
      <c r="FN436" s="860"/>
      <c r="FO436" s="860"/>
      <c r="FP436" s="860"/>
      <c r="FQ436" s="860"/>
      <c r="FR436" s="860"/>
      <c r="FS436" s="860"/>
      <c r="FT436" s="860"/>
      <c r="FU436" s="860"/>
      <c r="FV436" s="860"/>
      <c r="FW436" s="860"/>
      <c r="FX436" s="860"/>
    </row>
    <row r="437" spans="167:180" ht="15.75">
      <c r="FK437" s="860"/>
      <c r="FL437" s="860"/>
      <c r="FM437" s="860"/>
      <c r="FN437" s="860"/>
      <c r="FO437" s="860"/>
      <c r="FP437" s="860"/>
      <c r="FQ437" s="860"/>
      <c r="FR437" s="860"/>
      <c r="FS437" s="860"/>
      <c r="FT437" s="860"/>
      <c r="FU437" s="860"/>
      <c r="FV437" s="860"/>
      <c r="FW437" s="860"/>
      <c r="FX437" s="860"/>
    </row>
    <row r="438" spans="167:180" ht="15.75">
      <c r="FK438" s="860"/>
      <c r="FL438" s="860"/>
      <c r="FM438" s="860"/>
      <c r="FN438" s="860"/>
      <c r="FO438" s="860"/>
      <c r="FP438" s="860"/>
      <c r="FQ438" s="860"/>
      <c r="FR438" s="860"/>
      <c r="FS438" s="860"/>
      <c r="FT438" s="860"/>
      <c r="FU438" s="860"/>
      <c r="FV438" s="860"/>
      <c r="FW438" s="860"/>
      <c r="FX438" s="860"/>
    </row>
    <row r="439" spans="167:180" ht="15.75">
      <c r="FK439" s="860"/>
      <c r="FL439" s="860"/>
      <c r="FM439" s="860"/>
      <c r="FN439" s="860"/>
      <c r="FO439" s="860"/>
      <c r="FP439" s="860"/>
      <c r="FQ439" s="860"/>
      <c r="FR439" s="860"/>
      <c r="FS439" s="860"/>
      <c r="FT439" s="860"/>
      <c r="FU439" s="860"/>
      <c r="FV439" s="860"/>
      <c r="FW439" s="860"/>
      <c r="FX439" s="860"/>
    </row>
    <row r="440" spans="167:180" ht="15.75">
      <c r="FK440" s="860"/>
      <c r="FL440" s="860"/>
      <c r="FM440" s="860"/>
      <c r="FN440" s="860"/>
      <c r="FO440" s="860"/>
      <c r="FP440" s="860"/>
      <c r="FQ440" s="860"/>
      <c r="FR440" s="860"/>
      <c r="FS440" s="860"/>
      <c r="FT440" s="860"/>
      <c r="FU440" s="860"/>
      <c r="FV440" s="860"/>
      <c r="FW440" s="860"/>
      <c r="FX440" s="860"/>
    </row>
    <row r="441" spans="167:180" ht="15.75">
      <c r="FK441" s="860" t="s">
        <v>852</v>
      </c>
      <c r="FL441" s="1162">
        <f>DY16</f>
        <v>2.3420933050590786E-2</v>
      </c>
      <c r="FM441" s="1162">
        <f>DZ16</f>
        <v>3.1151249976627104E-2</v>
      </c>
      <c r="FN441" s="1162">
        <f>EA16</f>
        <v>4.8629713579229294E-2</v>
      </c>
      <c r="FO441" s="1162">
        <f>EB16</f>
        <v>4.4189548437471027E-2</v>
      </c>
      <c r="FP441" s="1162">
        <f>ED16</f>
        <v>4.0608291861691237E-2</v>
      </c>
      <c r="FQ441" s="1162">
        <f>EE16</f>
        <v>1.0045877382269364E-2</v>
      </c>
      <c r="FR441" s="1162">
        <f>EF16</f>
        <v>-2.4741420889976551E-2</v>
      </c>
      <c r="FS441" s="1162">
        <f>EG16</f>
        <v>-4.3530123913972485E-2</v>
      </c>
      <c r="FT441" s="860"/>
      <c r="FU441" s="860"/>
      <c r="FV441" s="860"/>
      <c r="FW441" s="860"/>
      <c r="FX441" s="860"/>
    </row>
    <row r="442" spans="167:180" ht="15.75">
      <c r="FK442" s="860" t="s">
        <v>853</v>
      </c>
      <c r="FL442" s="1162">
        <f>DY31</f>
        <v>-3.1600849625037952E-2</v>
      </c>
      <c r="FM442" s="1162">
        <f>DZ31</f>
        <v>6.8528799444831368E-3</v>
      </c>
      <c r="FN442" s="1162">
        <f>EA31</f>
        <v>1.5333972248843697E-2</v>
      </c>
      <c r="FO442" s="1162">
        <f>EB31</f>
        <v>1.6501493669685452E-2</v>
      </c>
      <c r="FP442" s="1162">
        <f>ED31</f>
        <v>-3.558639212175474E-2</v>
      </c>
      <c r="FQ442" s="1162">
        <f>EE31</f>
        <v>-3.3901955716378218E-2</v>
      </c>
      <c r="FR442" s="1162">
        <f>EF31</f>
        <v>-7.1818442976156249E-2</v>
      </c>
      <c r="FS442" s="1162">
        <f>EG31</f>
        <v>-0.13915193357279454</v>
      </c>
      <c r="FT442" s="860"/>
      <c r="FU442" s="860"/>
      <c r="FV442" s="860"/>
      <c r="FW442" s="860"/>
      <c r="FX442" s="860"/>
    </row>
    <row r="443" spans="167:180" ht="15.75">
      <c r="FK443" s="860"/>
      <c r="FL443" s="860"/>
      <c r="FM443" s="860"/>
      <c r="FN443" s="860"/>
      <c r="FO443" s="860"/>
      <c r="FP443" s="860"/>
      <c r="FQ443" s="860"/>
      <c r="FR443" s="860"/>
      <c r="FS443" s="860"/>
      <c r="FT443" s="860"/>
      <c r="FU443" s="860"/>
      <c r="FV443" s="860"/>
      <c r="FW443" s="860"/>
      <c r="FX443" s="860"/>
    </row>
    <row r="444" spans="167:180" ht="15.75">
      <c r="FK444" s="860"/>
      <c r="FL444" s="860"/>
      <c r="FM444" s="860"/>
      <c r="FN444" s="860"/>
      <c r="FO444" s="860"/>
      <c r="FP444" s="860"/>
      <c r="FQ444" s="860"/>
      <c r="FR444" s="860"/>
      <c r="FS444" s="860"/>
      <c r="FT444" s="860"/>
      <c r="FU444" s="860"/>
      <c r="FV444" s="860"/>
      <c r="FW444" s="860"/>
      <c r="FX444" s="860"/>
    </row>
    <row r="445" spans="167:180" ht="15.75">
      <c r="FK445" s="860"/>
      <c r="FL445" s="860"/>
      <c r="FM445" s="860"/>
      <c r="FN445" s="860"/>
      <c r="FO445" s="860"/>
      <c r="FP445" s="860"/>
      <c r="FQ445" s="860"/>
      <c r="FR445" s="860"/>
      <c r="FS445" s="860"/>
      <c r="FT445" s="860"/>
      <c r="FU445" s="860"/>
      <c r="FV445" s="860"/>
      <c r="FW445" s="860"/>
      <c r="FX445" s="860"/>
    </row>
    <row r="446" spans="167:180" ht="15.75">
      <c r="FK446" s="860"/>
      <c r="FL446" s="860"/>
      <c r="FM446" s="860"/>
      <c r="FN446" s="860"/>
      <c r="FO446" s="860"/>
      <c r="FP446" s="860"/>
      <c r="FQ446" s="860"/>
      <c r="FR446" s="860"/>
      <c r="FS446" s="860"/>
      <c r="FT446" s="860"/>
      <c r="FU446" s="860"/>
      <c r="FV446" s="860"/>
      <c r="FW446" s="860"/>
      <c r="FX446" s="860"/>
    </row>
    <row r="447" spans="167:180" ht="15.75">
      <c r="FK447" s="860"/>
      <c r="FL447" s="860"/>
      <c r="FM447" s="860"/>
      <c r="FN447" s="860"/>
      <c r="FO447" s="860"/>
      <c r="FP447" s="860"/>
      <c r="FQ447" s="860"/>
      <c r="FR447" s="860"/>
      <c r="FS447" s="860"/>
      <c r="FT447" s="860"/>
      <c r="FU447" s="860"/>
      <c r="FV447" s="860"/>
      <c r="FW447" s="860"/>
      <c r="FX447" s="860"/>
    </row>
    <row r="448" spans="167:180" ht="15.75">
      <c r="FK448" s="860"/>
      <c r="FL448" s="860"/>
      <c r="FM448" s="860"/>
      <c r="FN448" s="860"/>
      <c r="FO448" s="860"/>
      <c r="FP448" s="860"/>
      <c r="FQ448" s="860"/>
      <c r="FR448" s="860"/>
      <c r="FS448" s="860"/>
      <c r="FT448" s="860"/>
      <c r="FU448" s="860"/>
      <c r="FV448" s="860"/>
      <c r="FW448" s="860"/>
      <c r="FX448" s="860"/>
    </row>
    <row r="449" spans="167:180" ht="15.75">
      <c r="FK449" s="860"/>
      <c r="FL449" s="860"/>
      <c r="FM449" s="860"/>
      <c r="FN449" s="860"/>
      <c r="FO449" s="860"/>
      <c r="FP449" s="860"/>
      <c r="FQ449" s="860"/>
      <c r="FR449" s="860"/>
      <c r="FS449" s="860"/>
      <c r="FT449" s="860"/>
      <c r="FU449" s="860"/>
      <c r="FV449" s="860"/>
      <c r="FW449" s="860"/>
      <c r="FX449" s="860"/>
    </row>
    <row r="450" spans="167:180" ht="15.75">
      <c r="FK450" s="860"/>
      <c r="FL450" s="860"/>
      <c r="FM450" s="860"/>
      <c r="FN450" s="860"/>
      <c r="FO450" s="860"/>
      <c r="FP450" s="860"/>
      <c r="FQ450" s="860"/>
      <c r="FR450" s="860"/>
      <c r="FS450" s="860"/>
      <c r="FT450" s="860"/>
      <c r="FU450" s="860"/>
      <c r="FV450" s="860"/>
      <c r="FW450" s="860"/>
      <c r="FX450" s="860"/>
    </row>
    <row r="451" spans="167:180" ht="15.75">
      <c r="FK451" s="860"/>
      <c r="FL451" s="860"/>
      <c r="FM451" s="860"/>
      <c r="FN451" s="860"/>
      <c r="FO451" s="860"/>
      <c r="FP451" s="860"/>
      <c r="FQ451" s="860"/>
      <c r="FR451" s="860"/>
      <c r="FS451" s="860"/>
      <c r="FT451" s="860"/>
      <c r="FU451" s="860"/>
      <c r="FV451" s="860"/>
      <c r="FW451" s="860"/>
      <c r="FX451" s="860"/>
    </row>
    <row r="452" spans="167:180" ht="15.75">
      <c r="FK452" s="860"/>
      <c r="FL452" s="860"/>
      <c r="FM452" s="860"/>
      <c r="FN452" s="860"/>
      <c r="FO452" s="860"/>
      <c r="FP452" s="860"/>
      <c r="FQ452" s="860"/>
      <c r="FR452" s="860"/>
      <c r="FS452" s="860"/>
      <c r="FT452" s="860"/>
      <c r="FU452" s="860"/>
      <c r="FV452" s="860"/>
      <c r="FW452" s="860"/>
      <c r="FX452" s="860"/>
    </row>
    <row r="453" spans="167:180" ht="15.75">
      <c r="FK453" s="860"/>
      <c r="FL453" s="860"/>
      <c r="FM453" s="860"/>
      <c r="FN453" s="860"/>
      <c r="FO453" s="860"/>
      <c r="FP453" s="860"/>
      <c r="FQ453" s="860"/>
      <c r="FR453" s="860"/>
      <c r="FS453" s="860"/>
      <c r="FT453" s="860"/>
      <c r="FU453" s="860"/>
      <c r="FV453" s="860"/>
      <c r="FW453" s="860"/>
      <c r="FX453" s="860"/>
    </row>
    <row r="454" spans="167:180" ht="15.75">
      <c r="FK454" s="860"/>
      <c r="FL454" s="860"/>
      <c r="FM454" s="860"/>
      <c r="FN454" s="860"/>
      <c r="FO454" s="860"/>
      <c r="FP454" s="860"/>
      <c r="FQ454" s="860"/>
      <c r="FR454" s="860"/>
      <c r="FS454" s="860"/>
      <c r="FT454" s="860"/>
      <c r="FU454" s="860"/>
      <c r="FV454" s="860"/>
      <c r="FW454" s="860"/>
      <c r="FX454" s="860"/>
    </row>
    <row r="455" spans="167:180" ht="15.75">
      <c r="FK455" s="860"/>
      <c r="FL455" s="860"/>
      <c r="FM455" s="860"/>
      <c r="FN455" s="860"/>
      <c r="FO455" s="860"/>
      <c r="FP455" s="860"/>
      <c r="FQ455" s="860"/>
      <c r="FR455" s="860"/>
      <c r="FS455" s="860"/>
      <c r="FT455" s="860"/>
      <c r="FU455" s="860"/>
      <c r="FV455" s="860"/>
      <c r="FW455" s="860"/>
      <c r="FX455" s="860"/>
    </row>
    <row r="456" spans="167:180" ht="15.75">
      <c r="FK456" s="860"/>
      <c r="FL456" s="860"/>
      <c r="FM456" s="860"/>
      <c r="FN456" s="860"/>
      <c r="FO456" s="860"/>
      <c r="FP456" s="860"/>
      <c r="FQ456" s="860"/>
      <c r="FR456" s="860"/>
      <c r="FS456" s="860"/>
      <c r="FT456" s="860"/>
      <c r="FU456" s="860"/>
      <c r="FV456" s="860"/>
      <c r="FW456" s="860"/>
      <c r="FX456" s="860"/>
    </row>
    <row r="457" spans="167:180" ht="15.75">
      <c r="FK457" s="860"/>
      <c r="FL457" s="860"/>
      <c r="FM457" s="860"/>
      <c r="FN457" s="860"/>
      <c r="FO457" s="860"/>
      <c r="FP457" s="860"/>
      <c r="FQ457" s="860"/>
      <c r="FR457" s="860"/>
      <c r="FS457" s="860"/>
      <c r="FT457" s="860"/>
      <c r="FU457" s="860"/>
      <c r="FV457" s="860"/>
      <c r="FW457" s="860"/>
      <c r="FX457" s="860"/>
    </row>
    <row r="458" spans="167:180" ht="15.75">
      <c r="FK458" s="860"/>
      <c r="FL458" s="860"/>
      <c r="FM458" s="860"/>
      <c r="FN458" s="860"/>
      <c r="FO458" s="860"/>
      <c r="FP458" s="860"/>
      <c r="FQ458" s="860"/>
      <c r="FR458" s="860"/>
      <c r="FS458" s="860"/>
      <c r="FT458" s="860"/>
      <c r="FU458" s="860"/>
      <c r="FV458" s="860"/>
      <c r="FW458" s="860"/>
      <c r="FX458" s="860"/>
    </row>
    <row r="459" spans="167:180" ht="15.75">
      <c r="FK459" s="860"/>
      <c r="FL459" s="860"/>
      <c r="FM459" s="860"/>
      <c r="FN459" s="860"/>
      <c r="FO459" s="860"/>
      <c r="FP459" s="860"/>
      <c r="FQ459" s="860"/>
      <c r="FR459" s="860"/>
      <c r="FS459" s="860"/>
      <c r="FT459" s="860"/>
      <c r="FU459" s="860"/>
      <c r="FV459" s="860"/>
      <c r="FW459" s="860"/>
      <c r="FX459" s="860"/>
    </row>
    <row r="460" spans="167:180" ht="15.75">
      <c r="FK460" s="860"/>
      <c r="FL460" s="860"/>
      <c r="FM460" s="860"/>
      <c r="FN460" s="860"/>
      <c r="FO460" s="860"/>
      <c r="FP460" s="860"/>
      <c r="FQ460" s="860"/>
      <c r="FR460" s="860"/>
      <c r="FS460" s="860"/>
      <c r="FT460" s="860"/>
      <c r="FU460" s="860"/>
      <c r="FV460" s="860"/>
      <c r="FW460" s="860"/>
      <c r="FX460" s="860"/>
    </row>
    <row r="461" spans="167:180" ht="15.75">
      <c r="FK461" s="860"/>
      <c r="FL461" s="860"/>
      <c r="FM461" s="860"/>
      <c r="FN461" s="860"/>
      <c r="FO461" s="860"/>
      <c r="FP461" s="860"/>
      <c r="FQ461" s="860"/>
      <c r="FR461" s="860"/>
      <c r="FS461" s="860"/>
      <c r="FT461" s="860"/>
      <c r="FU461" s="860"/>
      <c r="FV461" s="860"/>
      <c r="FW461" s="860"/>
      <c r="FX461" s="860"/>
    </row>
    <row r="462" spans="167:180" ht="15.75">
      <c r="FK462" s="860"/>
      <c r="FL462" s="860"/>
      <c r="FM462" s="860"/>
      <c r="FN462" s="860"/>
      <c r="FO462" s="860"/>
      <c r="FP462" s="860"/>
      <c r="FQ462" s="860"/>
      <c r="FR462" s="860"/>
      <c r="FS462" s="860"/>
      <c r="FT462" s="860"/>
      <c r="FU462" s="860"/>
      <c r="FV462" s="860"/>
      <c r="FW462" s="860"/>
      <c r="FX462" s="860"/>
    </row>
    <row r="463" spans="167:180" ht="15.75">
      <c r="FK463" s="860"/>
      <c r="FL463" s="860"/>
      <c r="FM463" s="860"/>
      <c r="FN463" s="860"/>
      <c r="FO463" s="860"/>
      <c r="FP463" s="860"/>
      <c r="FQ463" s="860"/>
      <c r="FR463" s="860"/>
      <c r="FS463" s="860"/>
      <c r="FT463" s="860"/>
      <c r="FU463" s="860"/>
      <c r="FV463" s="860"/>
      <c r="FW463" s="860"/>
      <c r="FX463" s="860"/>
    </row>
    <row r="464" spans="167:180" ht="15.75">
      <c r="FK464" s="860"/>
      <c r="FL464" s="860"/>
      <c r="FM464" s="860"/>
      <c r="FN464" s="860"/>
      <c r="FO464" s="860"/>
      <c r="FP464" s="860"/>
      <c r="FQ464" s="860"/>
      <c r="FR464" s="860"/>
      <c r="FS464" s="860"/>
      <c r="FT464" s="860"/>
      <c r="FU464" s="860"/>
      <c r="FV464" s="860"/>
      <c r="FW464" s="860"/>
      <c r="FX464" s="860"/>
    </row>
    <row r="465" spans="167:180" ht="15.75">
      <c r="FK465" s="860"/>
      <c r="FL465" s="860"/>
      <c r="FM465" s="860"/>
      <c r="FN465" s="860"/>
      <c r="FO465" s="860"/>
      <c r="FP465" s="860"/>
      <c r="FQ465" s="860"/>
      <c r="FR465" s="860"/>
      <c r="FS465" s="860"/>
      <c r="FT465" s="860"/>
      <c r="FU465" s="860"/>
      <c r="FV465" s="860"/>
      <c r="FW465" s="860"/>
      <c r="FX465" s="860"/>
    </row>
    <row r="466" spans="167:180" ht="15.75">
      <c r="FK466" s="860"/>
      <c r="FL466" s="860"/>
      <c r="FM466" s="860"/>
      <c r="FN466" s="860"/>
      <c r="FO466" s="860"/>
      <c r="FP466" s="860"/>
      <c r="FQ466" s="860"/>
      <c r="FR466" s="860"/>
      <c r="FS466" s="860"/>
      <c r="FT466" s="860"/>
      <c r="FU466" s="860"/>
      <c r="FV466" s="860"/>
      <c r="FW466" s="860"/>
      <c r="FX466" s="860"/>
    </row>
    <row r="467" spans="167:180" ht="15.75">
      <c r="FK467" s="860"/>
      <c r="FL467" s="860"/>
      <c r="FM467" s="860"/>
      <c r="FN467" s="860"/>
      <c r="FO467" s="860"/>
      <c r="FP467" s="860"/>
      <c r="FQ467" s="860"/>
      <c r="FR467" s="860"/>
      <c r="FS467" s="860"/>
      <c r="FT467" s="860"/>
      <c r="FU467" s="860"/>
      <c r="FV467" s="860"/>
      <c r="FW467" s="860"/>
      <c r="FX467" s="860"/>
    </row>
    <row r="468" spans="167:180" ht="15.75">
      <c r="FK468" s="860"/>
      <c r="FL468" s="860"/>
      <c r="FM468" s="860"/>
      <c r="FN468" s="860"/>
      <c r="FO468" s="860"/>
      <c r="FP468" s="860"/>
      <c r="FQ468" s="860"/>
      <c r="FR468" s="860"/>
      <c r="FS468" s="860"/>
      <c r="FT468" s="860"/>
      <c r="FU468" s="860"/>
      <c r="FV468" s="860"/>
      <c r="FW468" s="860"/>
      <c r="FX468" s="860"/>
    </row>
    <row r="469" spans="167:180" ht="15.75">
      <c r="FK469" s="860"/>
      <c r="FL469" s="860"/>
      <c r="FM469" s="860"/>
      <c r="FN469" s="860"/>
      <c r="FO469" s="860"/>
      <c r="FP469" s="860"/>
      <c r="FQ469" s="860"/>
      <c r="FR469" s="860"/>
      <c r="FS469" s="860"/>
      <c r="FT469" s="860"/>
      <c r="FU469" s="860"/>
      <c r="FV469" s="860"/>
      <c r="FW469" s="860"/>
      <c r="FX469" s="860"/>
    </row>
    <row r="470" spans="167:180" ht="15.75">
      <c r="FK470" s="860"/>
      <c r="FL470" s="860"/>
      <c r="FM470" s="860"/>
      <c r="FN470" s="860"/>
      <c r="FO470" s="860"/>
      <c r="FP470" s="860"/>
      <c r="FQ470" s="860"/>
      <c r="FR470" s="860"/>
      <c r="FS470" s="860"/>
      <c r="FT470" s="860"/>
      <c r="FU470" s="860"/>
      <c r="FV470" s="860"/>
      <c r="FW470" s="860"/>
      <c r="FX470" s="860"/>
    </row>
    <row r="471" spans="167:180" ht="15.75">
      <c r="FK471" s="860"/>
      <c r="FL471" s="860"/>
      <c r="FM471" s="860"/>
      <c r="FN471" s="860"/>
      <c r="FO471" s="860"/>
      <c r="FP471" s="860"/>
      <c r="FQ471" s="860"/>
      <c r="FR471" s="860"/>
      <c r="FS471" s="860"/>
      <c r="FT471" s="860"/>
      <c r="FU471" s="860"/>
      <c r="FV471" s="860"/>
      <c r="FW471" s="860"/>
      <c r="FX471" s="860"/>
    </row>
    <row r="472" spans="167:180" ht="15.75">
      <c r="FK472" s="860"/>
      <c r="FL472" s="860"/>
      <c r="FM472" s="860"/>
      <c r="FN472" s="860"/>
      <c r="FO472" s="860"/>
      <c r="FP472" s="860"/>
      <c r="FQ472" s="860"/>
      <c r="FR472" s="860"/>
      <c r="FS472" s="860"/>
      <c r="FT472" s="860"/>
      <c r="FU472" s="860"/>
      <c r="FV472" s="860"/>
      <c r="FW472" s="860"/>
      <c r="FX472" s="860"/>
    </row>
    <row r="473" spans="167:180" ht="15.75">
      <c r="FK473" s="860"/>
      <c r="FL473" s="860" t="s">
        <v>753</v>
      </c>
      <c r="FM473" s="860" t="s">
        <v>754</v>
      </c>
      <c r="FN473" s="860" t="s">
        <v>755</v>
      </c>
      <c r="FO473" s="860" t="s">
        <v>756</v>
      </c>
      <c r="FP473" s="860" t="s">
        <v>757</v>
      </c>
      <c r="FQ473" s="860" t="s">
        <v>758</v>
      </c>
      <c r="FR473" s="860" t="s">
        <v>759</v>
      </c>
      <c r="FS473" s="860" t="s">
        <v>760</v>
      </c>
      <c r="FT473" s="860" t="s">
        <v>761</v>
      </c>
      <c r="FU473" s="860"/>
      <c r="FV473" s="860"/>
      <c r="FW473" s="860"/>
      <c r="FX473" s="860"/>
    </row>
    <row r="474" spans="167:180" ht="15.75">
      <c r="FK474" s="860" t="s">
        <v>33</v>
      </c>
      <c r="FL474" s="1217">
        <f>DY16</f>
        <v>2.3420933050590786E-2</v>
      </c>
      <c r="FM474" s="1217">
        <f>DZ16</f>
        <v>3.1151249976627104E-2</v>
      </c>
      <c r="FN474" s="1217">
        <f>EA16</f>
        <v>4.8629713579229294E-2</v>
      </c>
      <c r="FO474" s="1217">
        <f>EB16</f>
        <v>4.4189548437471027E-2</v>
      </c>
      <c r="FP474" s="1217">
        <f>ED16</f>
        <v>4.0608291861691237E-2</v>
      </c>
      <c r="FQ474" s="1217">
        <f>EE16</f>
        <v>1.0045877382269364E-2</v>
      </c>
      <c r="FR474" s="1217">
        <f>EF16</f>
        <v>-2.4741420889976551E-2</v>
      </c>
      <c r="FS474" s="1217">
        <f>EG16</f>
        <v>-4.3530123913972485E-2</v>
      </c>
      <c r="FT474" s="1217">
        <f>EI16</f>
        <v>-6.2064428957474105E-2</v>
      </c>
      <c r="FU474" s="860"/>
      <c r="FV474" s="860"/>
      <c r="FW474" s="860"/>
      <c r="FX474" s="860"/>
    </row>
    <row r="475" spans="167:180" ht="15.75">
      <c r="FK475" s="860" t="s">
        <v>34</v>
      </c>
      <c r="FL475" s="1162">
        <f>DY31</f>
        <v>-3.1600849625037952E-2</v>
      </c>
      <c r="FM475" s="1162">
        <f>DZ31</f>
        <v>6.8528799444831368E-3</v>
      </c>
      <c r="FN475" s="1162">
        <f>EA31</f>
        <v>1.5333972248843697E-2</v>
      </c>
      <c r="FO475" s="1162">
        <f>EB31</f>
        <v>1.6501493669685452E-2</v>
      </c>
      <c r="FP475" s="1162">
        <f>ED31</f>
        <v>-3.558639212175474E-2</v>
      </c>
      <c r="FQ475" s="1162">
        <f>EE31</f>
        <v>-3.3901955716378218E-2</v>
      </c>
      <c r="FR475" s="1162">
        <f>EF31</f>
        <v>-7.1818442976156249E-2</v>
      </c>
      <c r="FS475" s="1162">
        <f>EG31</f>
        <v>-0.13915193357279454</v>
      </c>
      <c r="FT475" s="1162">
        <f>EI31</f>
        <v>-0.13604084474355993</v>
      </c>
      <c r="FU475" s="860"/>
      <c r="FV475" s="860"/>
      <c r="FW475" s="860"/>
      <c r="FX475" s="860"/>
    </row>
    <row r="476" spans="167:180" ht="15.75">
      <c r="FK476" s="860"/>
      <c r="FL476" s="860"/>
      <c r="FM476" s="860"/>
      <c r="FN476" s="860"/>
      <c r="FO476" s="860"/>
      <c r="FP476" s="860"/>
      <c r="FQ476" s="860"/>
      <c r="FR476" s="860"/>
      <c r="FS476" s="860"/>
      <c r="FT476" s="860"/>
      <c r="FU476" s="860"/>
      <c r="FV476" s="860"/>
      <c r="FW476" s="860"/>
      <c r="FX476" s="860"/>
    </row>
    <row r="477" spans="167:180" ht="15.75">
      <c r="FK477" s="860"/>
      <c r="FL477" s="860"/>
      <c r="FM477" s="860"/>
      <c r="FN477" s="860"/>
      <c r="FO477" s="860"/>
      <c r="FP477" s="860"/>
      <c r="FQ477" s="860"/>
      <c r="FR477" s="860"/>
      <c r="FS477" s="860"/>
      <c r="FT477" s="860"/>
      <c r="FU477" s="860"/>
      <c r="FV477" s="860"/>
      <c r="FW477" s="860"/>
      <c r="FX477" s="860"/>
    </row>
    <row r="478" spans="167:180" ht="15.75">
      <c r="FK478" s="860"/>
      <c r="FL478" s="860"/>
      <c r="FM478" s="860"/>
      <c r="FN478" s="860"/>
      <c r="FO478" s="860"/>
      <c r="FP478" s="860"/>
      <c r="FQ478" s="860"/>
      <c r="FR478" s="860"/>
      <c r="FS478" s="860"/>
      <c r="FT478" s="860"/>
      <c r="FU478" s="860"/>
      <c r="FV478" s="860"/>
      <c r="FW478" s="860"/>
      <c r="FX478" s="860"/>
    </row>
    <row r="479" spans="167:180" ht="15.75">
      <c r="FK479" s="860"/>
      <c r="FL479" s="860"/>
      <c r="FM479" s="860"/>
      <c r="FN479" s="860"/>
      <c r="FO479" s="860"/>
      <c r="FP479" s="860"/>
      <c r="FQ479" s="860"/>
      <c r="FR479" s="860"/>
      <c r="FS479" s="860"/>
      <c r="FT479" s="860"/>
      <c r="FU479" s="860"/>
      <c r="FV479" s="860"/>
      <c r="FW479" s="860"/>
      <c r="FX479" s="860"/>
    </row>
    <row r="480" spans="167:180" ht="15.75">
      <c r="FK480" s="860"/>
      <c r="FL480" s="860"/>
      <c r="FM480" s="860"/>
      <c r="FN480" s="860"/>
      <c r="FO480" s="860"/>
      <c r="FP480" s="860"/>
      <c r="FQ480" s="860"/>
      <c r="FR480" s="860"/>
      <c r="FS480" s="860"/>
      <c r="FT480" s="860"/>
      <c r="FU480" s="860"/>
      <c r="FV480" s="860"/>
      <c r="FW480" s="860"/>
      <c r="FX480" s="860"/>
    </row>
    <row r="481" spans="167:180" ht="15.75">
      <c r="FK481" s="860"/>
      <c r="FL481" s="860"/>
      <c r="FM481" s="860"/>
      <c r="FN481" s="860"/>
      <c r="FO481" s="860"/>
      <c r="FP481" s="860"/>
      <c r="FQ481" s="860"/>
      <c r="FR481" s="860"/>
      <c r="FS481" s="860"/>
      <c r="FT481" s="860"/>
      <c r="FU481" s="860"/>
      <c r="FV481" s="860"/>
      <c r="FW481" s="860"/>
      <c r="FX481" s="860"/>
    </row>
    <row r="482" spans="167:180" ht="15.75">
      <c r="FK482" s="860"/>
      <c r="FL482" s="860"/>
      <c r="FM482" s="860"/>
      <c r="FN482" s="860"/>
      <c r="FO482" s="860"/>
      <c r="FP482" s="860"/>
      <c r="FQ482" s="860"/>
      <c r="FR482" s="860"/>
      <c r="FS482" s="860"/>
      <c r="FT482" s="860"/>
      <c r="FU482" s="860"/>
      <c r="FV482" s="860"/>
      <c r="FW482" s="860"/>
      <c r="FX482" s="860"/>
    </row>
    <row r="483" spans="167:180" ht="15.75">
      <c r="FK483" s="860"/>
      <c r="FL483" s="860"/>
      <c r="FM483" s="860"/>
      <c r="FN483" s="860"/>
      <c r="FO483" s="860"/>
      <c r="FP483" s="860"/>
      <c r="FQ483" s="860"/>
      <c r="FR483" s="860"/>
      <c r="FS483" s="860"/>
      <c r="FT483" s="860"/>
      <c r="FU483" s="860"/>
      <c r="FV483" s="860"/>
      <c r="FW483" s="860"/>
      <c r="FX483" s="860"/>
    </row>
    <row r="484" spans="167:180" ht="15.75">
      <c r="FK484" s="860"/>
      <c r="FL484" s="860"/>
      <c r="FM484" s="860"/>
      <c r="FN484" s="860"/>
      <c r="FO484" s="860"/>
      <c r="FP484" s="860"/>
      <c r="FQ484" s="860"/>
      <c r="FR484" s="860"/>
      <c r="FS484" s="860"/>
      <c r="FT484" s="860"/>
      <c r="FU484" s="860"/>
      <c r="FV484" s="860"/>
      <c r="FW484" s="860"/>
      <c r="FX484" s="860"/>
    </row>
    <row r="485" spans="167:180" ht="15.75">
      <c r="FK485" s="860"/>
      <c r="FL485" s="860"/>
      <c r="FM485" s="860"/>
      <c r="FN485" s="860"/>
      <c r="FO485" s="860"/>
      <c r="FP485" s="860"/>
      <c r="FQ485" s="860"/>
      <c r="FR485" s="860"/>
      <c r="FS485" s="860"/>
      <c r="FT485" s="860"/>
      <c r="FU485" s="860"/>
      <c r="FV485" s="860"/>
      <c r="FW485" s="860"/>
      <c r="FX485" s="860"/>
    </row>
    <row r="486" spans="167:180" ht="15.75">
      <c r="FK486" s="860"/>
      <c r="FL486" s="860"/>
      <c r="FM486" s="860"/>
      <c r="FN486" s="860"/>
      <c r="FO486" s="860"/>
      <c r="FP486" s="860"/>
      <c r="FQ486" s="860"/>
      <c r="FR486" s="860"/>
      <c r="FS486" s="860"/>
      <c r="FT486" s="860"/>
      <c r="FU486" s="860"/>
      <c r="FV486" s="860"/>
      <c r="FW486" s="860"/>
      <c r="FX486" s="860"/>
    </row>
    <row r="487" spans="167:180" ht="15.75">
      <c r="FK487" s="860"/>
      <c r="FL487" s="860"/>
      <c r="FM487" s="860"/>
      <c r="FN487" s="860"/>
      <c r="FO487" s="860"/>
      <c r="FP487" s="860"/>
      <c r="FQ487" s="860"/>
      <c r="FR487" s="860"/>
      <c r="FS487" s="860"/>
      <c r="FT487" s="860"/>
      <c r="FU487" s="860"/>
      <c r="FV487" s="860"/>
      <c r="FW487" s="860"/>
      <c r="FX487" s="860"/>
    </row>
    <row r="488" spans="167:180" ht="15.75">
      <c r="FK488" s="860"/>
      <c r="FL488" s="860"/>
      <c r="FM488" s="860"/>
      <c r="FN488" s="860"/>
      <c r="FO488" s="860"/>
      <c r="FP488" s="860"/>
      <c r="FQ488" s="860"/>
      <c r="FR488" s="860"/>
      <c r="FS488" s="860"/>
      <c r="FT488" s="860"/>
      <c r="FU488" s="860"/>
      <c r="FV488" s="860"/>
      <c r="FW488" s="860"/>
      <c r="FX488" s="860"/>
    </row>
    <row r="489" spans="167:180" ht="15.75">
      <c r="FK489" s="860"/>
      <c r="FL489" s="860"/>
      <c r="FM489" s="860"/>
      <c r="FN489" s="860"/>
      <c r="FO489" s="860"/>
      <c r="FP489" s="860"/>
      <c r="FQ489" s="860"/>
      <c r="FR489" s="860"/>
      <c r="FS489" s="860"/>
      <c r="FT489" s="860"/>
      <c r="FU489" s="860"/>
      <c r="FV489" s="860"/>
      <c r="FW489" s="860"/>
      <c r="FX489" s="860"/>
    </row>
    <row r="490" spans="167:180" ht="15.75">
      <c r="FK490" s="860"/>
      <c r="FL490" s="860"/>
      <c r="FM490" s="860"/>
      <c r="FN490" s="860"/>
      <c r="FO490" s="860"/>
      <c r="FP490" s="860"/>
      <c r="FQ490" s="860"/>
      <c r="FR490" s="860"/>
      <c r="FS490" s="860"/>
      <c r="FT490" s="860"/>
      <c r="FU490" s="860"/>
      <c r="FV490" s="860"/>
      <c r="FW490" s="860"/>
      <c r="FX490" s="860"/>
    </row>
    <row r="491" spans="167:180" ht="15.75">
      <c r="FK491" s="860"/>
      <c r="FL491" s="860"/>
      <c r="FM491" s="860"/>
      <c r="FN491" s="860"/>
      <c r="FO491" s="860"/>
      <c r="FP491" s="860"/>
      <c r="FQ491" s="860"/>
      <c r="FR491" s="860"/>
      <c r="FS491" s="860"/>
      <c r="FT491" s="860"/>
      <c r="FU491" s="860"/>
      <c r="FV491" s="860"/>
      <c r="FW491" s="860"/>
      <c r="FX491" s="860"/>
    </row>
    <row r="492" spans="167:180" ht="15.75">
      <c r="FK492" s="860"/>
      <c r="FL492" s="860"/>
      <c r="FM492" s="860"/>
      <c r="FN492" s="860"/>
      <c r="FO492" s="860"/>
      <c r="FP492" s="860"/>
      <c r="FQ492" s="860"/>
      <c r="FR492" s="860"/>
      <c r="FS492" s="860"/>
      <c r="FT492" s="860"/>
      <c r="FU492" s="860"/>
      <c r="FV492" s="860"/>
      <c r="FW492" s="860"/>
      <c r="FX492" s="860"/>
    </row>
    <row r="493" spans="167:180" ht="15.75">
      <c r="FK493" s="860"/>
      <c r="FL493" s="860"/>
      <c r="FM493" s="860"/>
      <c r="FN493" s="860"/>
      <c r="FO493" s="860"/>
      <c r="FP493" s="860"/>
      <c r="FQ493" s="860"/>
      <c r="FR493" s="860"/>
      <c r="FS493" s="860"/>
      <c r="FT493" s="860"/>
      <c r="FU493" s="860"/>
      <c r="FV493" s="860"/>
      <c r="FW493" s="860"/>
      <c r="FX493" s="860"/>
    </row>
    <row r="494" spans="167:180" ht="15.75">
      <c r="FK494" s="860"/>
      <c r="FL494" s="860"/>
      <c r="FM494" s="860"/>
      <c r="FN494" s="860"/>
      <c r="FO494" s="860"/>
      <c r="FP494" s="860"/>
      <c r="FQ494" s="860"/>
      <c r="FR494" s="860"/>
      <c r="FS494" s="860"/>
      <c r="FT494" s="860"/>
      <c r="FU494" s="860"/>
      <c r="FV494" s="860"/>
      <c r="FW494" s="860"/>
      <c r="FX494" s="860"/>
    </row>
    <row r="495" spans="167:180" ht="15.75">
      <c r="FK495" s="860"/>
      <c r="FL495" s="860"/>
      <c r="FM495" s="860"/>
      <c r="FN495" s="860"/>
      <c r="FO495" s="860"/>
      <c r="FP495" s="860"/>
      <c r="FQ495" s="860"/>
      <c r="FR495" s="860"/>
      <c r="FS495" s="860"/>
      <c r="FT495" s="860"/>
      <c r="FU495" s="860"/>
      <c r="FV495" s="860"/>
      <c r="FW495" s="860"/>
      <c r="FX495" s="860"/>
    </row>
    <row r="496" spans="167:180" ht="15.75">
      <c r="FK496" s="860"/>
      <c r="FL496" s="860"/>
      <c r="FM496" s="860"/>
      <c r="FN496" s="860"/>
      <c r="FO496" s="860"/>
      <c r="FP496" s="860"/>
      <c r="FQ496" s="860"/>
      <c r="FR496" s="860"/>
      <c r="FS496" s="860"/>
      <c r="FT496" s="860"/>
      <c r="FU496" s="860"/>
      <c r="FV496" s="860"/>
      <c r="FW496" s="860"/>
      <c r="FX496" s="860"/>
    </row>
  </sheetData>
  <mergeCells count="28">
    <mergeCell ref="ES3:EW3"/>
    <mergeCell ref="EN3:ER3"/>
    <mergeCell ref="B3:F3"/>
    <mergeCell ref="G3:K3"/>
    <mergeCell ref="L3:P3"/>
    <mergeCell ref="CK3:CO3"/>
    <mergeCell ref="Q3:U3"/>
    <mergeCell ref="V3:Z3"/>
    <mergeCell ref="AA3:AE3"/>
    <mergeCell ref="AK3:AO3"/>
    <mergeCell ref="AF3:AJ3"/>
    <mergeCell ref="AU3:AY3"/>
    <mergeCell ref="AP3:AT3"/>
    <mergeCell ref="AZ3:BD3"/>
    <mergeCell ref="BE3:BI3"/>
    <mergeCell ref="BJ3:BN3"/>
    <mergeCell ref="BO3:BS3"/>
    <mergeCell ref="BT3:BX3"/>
    <mergeCell ref="EI3:EM3"/>
    <mergeCell ref="CP3:CT3"/>
    <mergeCell ref="ED3:EH3"/>
    <mergeCell ref="CU3:CY3"/>
    <mergeCell ref="DJ3:DN3"/>
    <mergeCell ref="DO3:DS3"/>
    <mergeCell ref="CZ3:DD3"/>
    <mergeCell ref="DT3:DX3"/>
    <mergeCell ref="DE3:DI3"/>
    <mergeCell ref="DY3:EC3"/>
  </mergeCells>
  <phoneticPr fontId="157" type="noConversion"/>
  <pageMargins left="0.74803149606299213" right="0.74803149606299213" top="0.98425196850393704" bottom="0.98425196850393704" header="0" footer="0"/>
  <pageSetup scale="10" fitToHeight="2" orientation="landscape" r:id="rId1"/>
  <headerFooter alignWithMargins="0"/>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45DFD126F1C944A14E489380A940D9" ma:contentTypeVersion="13" ma:contentTypeDescription="Create a new document." ma:contentTypeScope="" ma:versionID="e7acdc210f4cf5f473d94777a06df922">
  <xsd:schema xmlns:xsd="http://www.w3.org/2001/XMLSchema" xmlns:xs="http://www.w3.org/2001/XMLSchema" xmlns:p="http://schemas.microsoft.com/office/2006/metadata/properties" xmlns:ns2="7a64ecaf-0ff2-4962-b687-c42052c96c69" xmlns:ns3="ac44878d-96d9-4f15-b496-a71362426953" targetNamespace="http://schemas.microsoft.com/office/2006/metadata/properties" ma:root="true" ma:fieldsID="c5f8146c6253f578a072380d557b0e17" ns2:_="" ns3:_="">
    <xsd:import namespace="7a64ecaf-0ff2-4962-b687-c42052c96c69"/>
    <xsd:import namespace="ac44878d-96d9-4f15-b496-a713624269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64ecaf-0ff2-4962-b687-c42052c96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47c01aa-fa72-499e-a558-c0906cb7ca6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44878d-96d9-4f15-b496-a7136242695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b3b699d-aa6c-457c-8a6e-4428a86250e7}" ma:internalName="TaxCatchAll" ma:showField="CatchAllData" ma:web="ac44878d-96d9-4f15-b496-a713624269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a64ecaf-0ff2-4962-b687-c42052c96c69">
      <Terms xmlns="http://schemas.microsoft.com/office/infopath/2007/PartnerControls"/>
    </lcf76f155ced4ddcb4097134ff3c332f>
    <TaxCatchAll xmlns="ac44878d-96d9-4f15-b496-a713624269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421E4F-5C00-4F36-B9E0-7960ACDAEA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64ecaf-0ff2-4962-b687-c42052c96c69"/>
    <ds:schemaRef ds:uri="ac44878d-96d9-4f15-b496-a71362426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357690-5F19-4357-8036-6EBD1F82D3B1}">
  <ds:schemaRefs>
    <ds:schemaRef ds:uri="http://www.w3.org/XML/1998/namespace"/>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purl.org/dc/terms/"/>
    <ds:schemaRef ds:uri="ac44878d-96d9-4f15-b496-a71362426953"/>
    <ds:schemaRef ds:uri="http://schemas.openxmlformats.org/package/2006/metadata/core-properties"/>
    <ds:schemaRef ds:uri="7a64ecaf-0ff2-4962-b687-c42052c96c69"/>
  </ds:schemaRefs>
</ds:datastoreItem>
</file>

<file path=customXml/itemProps3.xml><?xml version="1.0" encoding="utf-8"?>
<ds:datastoreItem xmlns:ds="http://schemas.openxmlformats.org/officeDocument/2006/customXml" ds:itemID="{0BC61C09-700B-41DE-ADEA-DE6D0818A8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27</vt:i4>
      </vt:variant>
      <vt:variant>
        <vt:lpstr>Named Ranges</vt:lpstr>
      </vt:variant>
      <vt:variant>
        <vt:i4>4</vt:i4>
      </vt:variant>
    </vt:vector>
  </HeadingPairs>
  <TitlesOfParts>
    <vt:vector size="31" baseType="lpstr">
      <vt:lpstr>Cover</vt:lpstr>
      <vt:lpstr>Summary I</vt:lpstr>
      <vt:lpstr>SOP</vt:lpstr>
      <vt:lpstr>Valuation</vt:lpstr>
      <vt:lpstr>Master</vt:lpstr>
      <vt:lpstr>Cable</vt:lpstr>
      <vt:lpstr>SKY Mex</vt:lpstr>
      <vt:lpstr>Mobile</vt:lpstr>
      <vt:lpstr>Interims</vt:lpstr>
      <vt:lpstr>HY</vt:lpstr>
      <vt:lpstr>Earnings Snaps</vt:lpstr>
      <vt:lpstr>VOD</vt:lpstr>
      <vt:lpstr>VOD-quarts</vt:lpstr>
      <vt:lpstr>Analysis</vt:lpstr>
      <vt:lpstr>Consensus</vt:lpstr>
      <vt:lpstr>Anna</vt:lpstr>
      <vt:lpstr>Content</vt:lpstr>
      <vt:lpstr>Notes</vt:lpstr>
      <vt:lpstr>Questions</vt:lpstr>
      <vt:lpstr>Pricing comps</vt:lpstr>
      <vt:lpstr>Iusacell</vt:lpstr>
      <vt:lpstr>Univision</vt:lpstr>
      <vt:lpstr>JER</vt:lpstr>
      <vt:lpstr>SEGMENTOS</vt:lpstr>
      <vt:lpstr>Shares</vt:lpstr>
      <vt:lpstr>export to DTV</vt:lpstr>
      <vt:lpstr>FKLink</vt:lpstr>
      <vt:lpstr>Analysis!Print_Area</vt:lpstr>
      <vt:lpstr>SOP!Print_Area</vt:lpstr>
      <vt:lpstr>Interims!Print_Titles</vt:lpstr>
      <vt:lpstr>SEGMENTOS!Print_Titles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Soomit Datta</dc:creator>
  <cp:keywords/>
  <dc:description/>
  <cp:lastModifiedBy>David-Mickael Lopes</cp:lastModifiedBy>
  <cp:revision/>
  <dcterms:created xsi:type="dcterms:W3CDTF">2012-07-16T14:32:22Z</dcterms:created>
  <dcterms:modified xsi:type="dcterms:W3CDTF">2026-06-17T11:27:23Z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0x0101004E45DFD126F1C944A14E489380A940D9</vt:lpwstr>
  </property>
  <property fmtid="{D5CDD505-2E9C-101B-9397-08002B2CF9AE}" pid="3" name="Order">
    <vt:r8>11463400</vt:r8>
  </property>
  <property fmtid="{D5CDD505-2E9C-101B-9397-08002B2CF9AE}" pid="4" name="MediaServiceImageTags">
    <vt:lpwstr/>
  </property>
</Properties>
</file>